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6d0cadc5e67c7b7/Library Paper/Final Draft/"/>
    </mc:Choice>
  </mc:AlternateContent>
  <xr:revisionPtr revIDLastSave="3" documentId="11_D6A40111D8AACE61C7858C1885180620BA7F0A52" xr6:coauthVersionLast="43" xr6:coauthVersionMax="43" xr10:uidLastSave="{B9289A7F-142F-409F-85C6-A39565F450D5}"/>
  <bookViews>
    <workbookView xWindow="-120" yWindow="-120" windowWidth="29040" windowHeight="15840" xr2:uid="{00000000-000D-0000-FFFF-FFFF00000000}"/>
  </bookViews>
  <sheets>
    <sheet name="UKLib_12_06_17" sheetId="1" r:id="rId1"/>
    <sheet name="UKLib_24_07_17" sheetId="2" r:id="rId2"/>
    <sheet name="Outliers" sheetId="19" r:id="rId3"/>
    <sheet name="Anomalies" sheetId="5" r:id="rId4"/>
    <sheet name="Orkney_18_08_17" sheetId="20" r:id="rId5"/>
  </sheets>
  <definedNames>
    <definedName name="_xlnm._FilterDatabase" localSheetId="3" hidden="1">Anomalies!$A$1:$F$115</definedName>
    <definedName name="_xlnm._FilterDatabase" localSheetId="0" hidden="1">UKLib_12_06_17!$A$1:$J$1363</definedName>
    <definedName name="_xlnm._FilterDatabase" localSheetId="1" hidden="1">UKLib_24_07_17!$A$1:$M$1424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5204" i="20" l="1"/>
  <c r="A35203" i="20"/>
  <c r="A35202" i="20"/>
  <c r="A35201" i="20"/>
  <c r="A35200" i="20"/>
  <c r="A35199" i="20"/>
  <c r="A35198" i="20"/>
  <c r="A35197" i="20"/>
  <c r="A35196" i="20"/>
  <c r="A35195" i="20"/>
  <c r="A35194" i="20"/>
  <c r="A35193" i="20"/>
  <c r="A35192" i="20"/>
  <c r="A35191" i="20"/>
  <c r="A35190" i="20"/>
  <c r="A35189" i="20"/>
  <c r="A35188" i="20"/>
  <c r="A35187" i="20"/>
  <c r="A35186" i="20"/>
  <c r="A35185" i="20"/>
  <c r="A35184" i="20"/>
  <c r="A35183" i="20"/>
  <c r="A35182" i="20"/>
  <c r="A35181" i="20"/>
  <c r="A35180" i="20"/>
  <c r="A35179" i="20"/>
  <c r="A35178" i="20"/>
  <c r="A35177" i="20"/>
  <c r="A35176" i="20"/>
  <c r="A35175" i="20"/>
  <c r="A35174" i="20"/>
  <c r="A35173" i="20"/>
  <c r="A35172" i="20"/>
  <c r="A35171" i="20"/>
  <c r="A35170" i="20"/>
  <c r="A35169" i="20"/>
  <c r="A35168" i="20"/>
  <c r="A35167" i="20"/>
  <c r="A35166" i="20"/>
  <c r="A35165" i="20"/>
  <c r="A35164" i="20"/>
  <c r="A35163" i="20"/>
  <c r="A35162" i="20"/>
  <c r="A35161" i="20"/>
  <c r="A35160" i="20"/>
  <c r="A35159" i="20"/>
  <c r="A35158" i="20"/>
  <c r="A35157" i="20"/>
  <c r="A35156" i="20"/>
  <c r="A35155" i="20"/>
  <c r="A35154" i="20"/>
  <c r="A35153" i="20"/>
  <c r="A35152" i="20"/>
  <c r="A35151" i="20"/>
  <c r="A35150" i="20"/>
  <c r="A35149" i="20"/>
  <c r="A35148" i="20"/>
  <c r="A35147" i="20"/>
  <c r="A35146" i="20"/>
  <c r="A35145" i="20"/>
  <c r="A35144" i="20"/>
  <c r="A35143" i="20"/>
  <c r="A35142" i="20"/>
  <c r="A35141" i="20"/>
  <c r="A35140" i="20"/>
  <c r="A35139" i="20"/>
  <c r="A35138" i="20"/>
  <c r="A35137" i="20"/>
  <c r="A35136" i="20"/>
  <c r="A35135" i="20"/>
  <c r="A35134" i="20"/>
  <c r="A35133" i="20"/>
  <c r="A35132" i="20"/>
  <c r="A35131" i="20"/>
  <c r="A35130" i="20"/>
  <c r="A35129" i="20"/>
  <c r="A35128" i="20"/>
  <c r="A35127" i="20"/>
  <c r="A35126" i="20"/>
  <c r="A35125" i="20"/>
  <c r="A35124" i="20"/>
  <c r="A35123" i="20"/>
  <c r="A35122" i="20"/>
  <c r="A35121" i="20"/>
  <c r="A35120" i="20"/>
  <c r="A35119" i="20"/>
  <c r="A35118" i="20"/>
  <c r="A35117" i="20"/>
  <c r="A35116" i="20"/>
  <c r="A35115" i="20"/>
  <c r="A35114" i="20"/>
  <c r="A35113" i="20"/>
  <c r="A35112" i="20"/>
  <c r="A35111" i="20"/>
  <c r="A35110" i="20"/>
  <c r="A35109" i="20"/>
  <c r="A35108" i="20"/>
  <c r="A35107" i="20"/>
  <c r="A35106" i="20"/>
  <c r="A35105" i="20"/>
  <c r="A35104" i="20"/>
  <c r="A35103" i="20"/>
  <c r="A35102" i="20"/>
  <c r="A35101" i="20"/>
  <c r="A35100" i="20"/>
  <c r="A35099" i="20"/>
  <c r="A35098" i="20"/>
  <c r="A35097" i="20"/>
  <c r="A35096" i="20"/>
  <c r="A35095" i="20"/>
  <c r="A35094" i="20"/>
  <c r="A35093" i="20"/>
  <c r="A35092" i="20"/>
  <c r="A35091" i="20"/>
  <c r="A35090" i="20"/>
  <c r="A35089" i="20"/>
  <c r="A35088" i="20"/>
  <c r="A35087" i="20"/>
  <c r="A35086" i="20"/>
  <c r="A35085" i="20"/>
  <c r="A35084" i="20"/>
  <c r="A35083" i="20"/>
  <c r="A35082" i="20"/>
  <c r="A35081" i="20"/>
  <c r="A35080" i="20"/>
  <c r="A35079" i="20"/>
  <c r="A35078" i="20"/>
  <c r="A35077" i="20"/>
  <c r="A35076" i="20"/>
  <c r="A35075" i="20"/>
  <c r="A35074" i="20"/>
  <c r="A35073" i="20"/>
  <c r="A35072" i="20"/>
  <c r="A35071" i="20"/>
  <c r="A35070" i="20"/>
  <c r="A35069" i="20"/>
  <c r="A35068" i="20"/>
  <c r="A35067" i="20"/>
  <c r="A35066" i="20"/>
  <c r="A35065" i="20"/>
  <c r="A35064" i="20"/>
  <c r="A35063" i="20"/>
  <c r="A35062" i="20"/>
  <c r="A35061" i="20"/>
  <c r="A35060" i="20"/>
  <c r="A35059" i="20"/>
  <c r="A35058" i="20"/>
  <c r="A35057" i="20"/>
  <c r="A35056" i="20"/>
  <c r="A35055" i="20"/>
  <c r="A35054" i="20"/>
  <c r="A35053" i="20"/>
  <c r="A35052" i="20"/>
  <c r="A35051" i="20"/>
  <c r="A35050" i="20"/>
  <c r="A35049" i="20"/>
  <c r="A35048" i="20"/>
  <c r="A35047" i="20"/>
  <c r="A35046" i="20"/>
  <c r="A35045" i="20"/>
  <c r="A35044" i="20"/>
  <c r="A35043" i="20"/>
  <c r="A35042" i="20"/>
  <c r="A35041" i="20"/>
  <c r="A35040" i="20"/>
  <c r="A35039" i="20"/>
  <c r="A35038" i="20"/>
  <c r="A35037" i="20"/>
  <c r="A35036" i="20"/>
  <c r="A35035" i="20"/>
  <c r="A35034" i="20"/>
  <c r="A35033" i="20"/>
  <c r="A35032" i="20"/>
  <c r="A35031" i="20"/>
  <c r="A35030" i="20"/>
  <c r="A35029" i="20"/>
  <c r="A35028" i="20"/>
  <c r="A35027" i="20"/>
  <c r="A35026" i="20"/>
  <c r="A35025" i="20"/>
  <c r="A35024" i="20"/>
  <c r="A35023" i="20"/>
  <c r="A35022" i="20"/>
  <c r="A35021" i="20"/>
  <c r="A35020" i="20"/>
  <c r="A35019" i="20"/>
  <c r="A35018" i="20"/>
  <c r="A35017" i="20"/>
  <c r="A35016" i="20"/>
  <c r="A35015" i="20"/>
  <c r="A35014" i="20"/>
  <c r="A35013" i="20"/>
  <c r="A35012" i="20"/>
  <c r="A35011" i="20"/>
  <c r="A35010" i="20"/>
  <c r="A35009" i="20"/>
  <c r="A35008" i="20"/>
  <c r="A35007" i="20"/>
  <c r="A35006" i="20"/>
  <c r="A35005" i="20"/>
  <c r="A35004" i="20"/>
  <c r="A35003" i="20"/>
  <c r="A35002" i="20"/>
  <c r="A35001" i="20"/>
  <c r="A35000" i="20"/>
  <c r="A34999" i="20"/>
  <c r="A34998" i="20"/>
  <c r="A34997" i="20"/>
  <c r="A34996" i="20"/>
  <c r="A34995" i="20"/>
  <c r="A34994" i="20"/>
  <c r="A34993" i="20"/>
  <c r="A34992" i="20"/>
  <c r="A34991" i="20"/>
  <c r="A34990" i="20"/>
  <c r="A34989" i="20"/>
  <c r="A34988" i="20"/>
  <c r="A34987" i="20"/>
  <c r="A34986" i="20"/>
  <c r="A34985" i="20"/>
  <c r="A34984" i="20"/>
  <c r="A34983" i="20"/>
  <c r="A34982" i="20"/>
  <c r="A34981" i="20"/>
  <c r="A34980" i="20"/>
  <c r="A34979" i="20"/>
  <c r="A34978" i="20"/>
  <c r="A34977" i="20"/>
  <c r="A34976" i="20"/>
  <c r="A34975" i="20"/>
  <c r="A34974" i="20"/>
  <c r="A34973" i="20"/>
  <c r="A34972" i="20"/>
  <c r="A34971" i="20"/>
  <c r="A34970" i="20"/>
  <c r="A34969" i="20"/>
  <c r="A34968" i="20"/>
  <c r="A34967" i="20"/>
  <c r="A34966" i="20"/>
  <c r="A34965" i="20"/>
  <c r="A34964" i="20"/>
  <c r="A34963" i="20"/>
  <c r="A34962" i="20"/>
  <c r="A34961" i="20"/>
  <c r="A34960" i="20"/>
  <c r="A34959" i="20"/>
  <c r="A34958" i="20"/>
  <c r="A34957" i="20"/>
  <c r="A34956" i="20"/>
  <c r="A34955" i="20"/>
  <c r="A34954" i="20"/>
  <c r="A34953" i="20"/>
  <c r="A34952" i="20"/>
  <c r="A34951" i="20"/>
  <c r="A34950" i="20"/>
  <c r="A34949" i="20"/>
  <c r="A34948" i="20"/>
  <c r="A34947" i="20"/>
  <c r="A34946" i="20"/>
  <c r="A34945" i="20"/>
  <c r="A34944" i="20"/>
  <c r="A34943" i="20"/>
  <c r="A34942" i="20"/>
  <c r="A34941" i="20"/>
  <c r="A34940" i="20"/>
  <c r="A34939" i="20"/>
  <c r="A34938" i="20"/>
  <c r="A34937" i="20"/>
  <c r="A34936" i="20"/>
  <c r="A34935" i="20"/>
  <c r="A34934" i="20"/>
  <c r="A34933" i="20"/>
  <c r="A34932" i="20"/>
  <c r="A34931" i="20"/>
  <c r="A34930" i="20"/>
  <c r="A34929" i="20"/>
  <c r="A34928" i="20"/>
  <c r="A34927" i="20"/>
  <c r="A34926" i="20"/>
  <c r="A34925" i="20"/>
  <c r="A34924" i="20"/>
  <c r="A34923" i="20"/>
  <c r="A34922" i="20"/>
  <c r="A34921" i="20"/>
  <c r="A34920" i="20"/>
  <c r="A34919" i="20"/>
  <c r="A34918" i="20"/>
  <c r="A34917" i="20"/>
  <c r="A34916" i="20"/>
  <c r="A34915" i="20"/>
  <c r="A34914" i="20"/>
  <c r="A34913" i="20"/>
  <c r="A34912" i="20"/>
  <c r="A34911" i="20"/>
  <c r="A34910" i="20"/>
  <c r="A34909" i="20"/>
  <c r="A34908" i="20"/>
  <c r="A34907" i="20"/>
  <c r="A34906" i="20"/>
  <c r="A34905" i="20"/>
  <c r="A34904" i="20"/>
  <c r="A34903" i="20"/>
  <c r="A34902" i="20"/>
  <c r="A34901" i="20"/>
  <c r="A34900" i="20"/>
  <c r="A34899" i="20"/>
  <c r="A34898" i="20"/>
  <c r="A34897" i="20"/>
  <c r="A34896" i="20"/>
  <c r="A34895" i="20"/>
  <c r="A34894" i="20"/>
  <c r="A34893" i="20"/>
  <c r="A34892" i="20"/>
  <c r="A34891" i="20"/>
  <c r="A34890" i="20"/>
  <c r="A34889" i="20"/>
  <c r="A34888" i="20"/>
  <c r="A34887" i="20"/>
  <c r="A34886" i="20"/>
  <c r="A34885" i="20"/>
  <c r="A34884" i="20"/>
  <c r="A34883" i="20"/>
  <c r="A34882" i="20"/>
  <c r="A34881" i="20"/>
  <c r="A34880" i="20"/>
  <c r="A34879" i="20"/>
  <c r="A34878" i="20"/>
  <c r="A34877" i="20"/>
  <c r="A34876" i="20"/>
  <c r="A34875" i="20"/>
  <c r="A34874" i="20"/>
  <c r="A34873" i="20"/>
  <c r="A34872" i="20"/>
  <c r="A34871" i="20"/>
  <c r="A34870" i="20"/>
  <c r="A34869" i="20"/>
  <c r="A34868" i="20"/>
  <c r="A34867" i="20"/>
  <c r="A34866" i="20"/>
  <c r="A34865" i="20"/>
  <c r="A34864" i="20"/>
  <c r="A34863" i="20"/>
  <c r="A34862" i="20"/>
  <c r="A34861" i="20"/>
  <c r="A34860" i="20"/>
  <c r="A34859" i="20"/>
  <c r="A34858" i="20"/>
  <c r="A34857" i="20"/>
  <c r="A34856" i="20"/>
  <c r="A34855" i="20"/>
  <c r="A34854" i="20"/>
  <c r="A34853" i="20"/>
  <c r="A34852" i="20"/>
  <c r="A34851" i="20"/>
  <c r="A34850" i="20"/>
  <c r="A34849" i="20"/>
  <c r="A34848" i="20"/>
  <c r="A34847" i="20"/>
  <c r="A34846" i="20"/>
  <c r="A34845" i="20"/>
  <c r="A34844" i="20"/>
  <c r="A34843" i="20"/>
  <c r="A34842" i="20"/>
  <c r="A34841" i="20"/>
  <c r="A34840" i="20"/>
  <c r="A34839" i="20"/>
  <c r="A34838" i="20"/>
  <c r="A34837" i="20"/>
  <c r="A34836" i="20"/>
  <c r="A34835" i="20"/>
  <c r="A34834" i="20"/>
  <c r="A34833" i="20"/>
  <c r="A34832" i="20"/>
  <c r="A34831" i="20"/>
  <c r="A34830" i="20"/>
  <c r="A34829" i="20"/>
  <c r="A34828" i="20"/>
  <c r="A34827" i="20"/>
  <c r="A34826" i="20"/>
  <c r="A34825" i="20"/>
  <c r="A34824" i="20"/>
  <c r="A34823" i="20"/>
  <c r="A34822" i="20"/>
  <c r="A34821" i="20"/>
  <c r="A34820" i="20"/>
  <c r="A34819" i="20"/>
  <c r="A34818" i="20"/>
  <c r="A34817" i="20"/>
  <c r="A34816" i="20"/>
  <c r="A34815" i="20"/>
  <c r="A34814" i="20"/>
  <c r="A34813" i="20"/>
  <c r="A34812" i="20"/>
  <c r="A34811" i="20"/>
  <c r="A34810" i="20"/>
  <c r="A34809" i="20"/>
  <c r="A34808" i="20"/>
  <c r="A34807" i="20"/>
  <c r="A34806" i="20"/>
  <c r="A34805" i="20"/>
  <c r="A34804" i="20"/>
  <c r="A34803" i="20"/>
  <c r="A34802" i="20"/>
  <c r="A34801" i="20"/>
  <c r="A34800" i="20"/>
  <c r="A34799" i="20"/>
  <c r="A34798" i="20"/>
  <c r="A34797" i="20"/>
  <c r="A34796" i="20"/>
  <c r="A34795" i="20"/>
  <c r="A34794" i="20"/>
  <c r="A34793" i="20"/>
  <c r="A34792" i="20"/>
  <c r="A34791" i="20"/>
  <c r="A34790" i="20"/>
  <c r="A34789" i="20"/>
  <c r="A34788" i="20"/>
  <c r="A34787" i="20"/>
  <c r="A34786" i="20"/>
  <c r="A34785" i="20"/>
  <c r="A34784" i="20"/>
  <c r="A34783" i="20"/>
  <c r="A34782" i="20"/>
  <c r="A34781" i="20"/>
  <c r="A34780" i="20"/>
  <c r="A34779" i="20"/>
  <c r="A34778" i="20"/>
  <c r="A34777" i="20"/>
  <c r="A34776" i="20"/>
  <c r="A34775" i="20"/>
  <c r="A34774" i="20"/>
  <c r="A34773" i="20"/>
  <c r="A34772" i="20"/>
  <c r="A34771" i="20"/>
  <c r="A34770" i="20"/>
  <c r="A34769" i="20"/>
  <c r="A34768" i="20"/>
  <c r="A34767" i="20"/>
  <c r="A34766" i="20"/>
  <c r="A34765" i="20"/>
  <c r="A34764" i="20"/>
  <c r="A34763" i="20"/>
  <c r="A34762" i="20"/>
  <c r="A34761" i="20"/>
  <c r="A34760" i="20"/>
  <c r="A34759" i="20"/>
  <c r="A34758" i="20"/>
  <c r="A34757" i="20"/>
  <c r="A34756" i="20"/>
  <c r="A34755" i="20"/>
  <c r="A34754" i="20"/>
  <c r="A34753" i="20"/>
  <c r="A34752" i="20"/>
  <c r="A34751" i="20"/>
  <c r="A34750" i="20"/>
  <c r="A34749" i="20"/>
  <c r="A34748" i="20"/>
  <c r="A34747" i="20"/>
  <c r="A34746" i="20"/>
  <c r="A34745" i="20"/>
  <c r="A34744" i="20"/>
  <c r="A34743" i="20"/>
  <c r="A34742" i="20"/>
  <c r="A34741" i="20"/>
  <c r="A34740" i="20"/>
  <c r="A34739" i="20"/>
  <c r="A34738" i="20"/>
  <c r="A34737" i="20"/>
  <c r="A34736" i="20"/>
  <c r="A34735" i="20"/>
  <c r="A34734" i="20"/>
  <c r="A34733" i="20"/>
  <c r="A34732" i="20"/>
  <c r="A34731" i="20"/>
  <c r="A34730" i="20"/>
  <c r="A34729" i="20"/>
  <c r="A34728" i="20"/>
  <c r="A34727" i="20"/>
  <c r="A34726" i="20"/>
  <c r="A34725" i="20"/>
  <c r="A34724" i="20"/>
  <c r="A34723" i="20"/>
  <c r="A34722" i="20"/>
  <c r="A34721" i="20"/>
  <c r="A34720" i="20"/>
  <c r="A34719" i="20"/>
  <c r="A34718" i="20"/>
  <c r="A34717" i="20"/>
  <c r="A34716" i="20"/>
  <c r="A34715" i="20"/>
  <c r="A34714" i="20"/>
  <c r="A34713" i="20"/>
  <c r="A34712" i="20"/>
  <c r="A34711" i="20"/>
  <c r="A34710" i="20"/>
  <c r="A34709" i="20"/>
  <c r="A34708" i="20"/>
  <c r="A34707" i="20"/>
  <c r="A34706" i="20"/>
  <c r="A34705" i="20"/>
  <c r="A34704" i="20"/>
  <c r="A34703" i="20"/>
  <c r="A34702" i="20"/>
  <c r="A34701" i="20"/>
  <c r="A34700" i="20"/>
  <c r="A34699" i="20"/>
  <c r="A34698" i="20"/>
  <c r="A34697" i="20"/>
  <c r="A34696" i="20"/>
  <c r="A34695" i="20"/>
  <c r="A34694" i="20"/>
  <c r="A34693" i="20"/>
  <c r="A34692" i="20"/>
  <c r="A34691" i="20"/>
  <c r="A34690" i="20"/>
  <c r="A34689" i="20"/>
  <c r="A34688" i="20"/>
  <c r="A34687" i="20"/>
  <c r="A34686" i="20"/>
  <c r="A34685" i="20"/>
  <c r="A34684" i="20"/>
  <c r="A34683" i="20"/>
  <c r="A34682" i="20"/>
  <c r="A34681" i="20"/>
  <c r="A34680" i="20"/>
  <c r="A34679" i="20"/>
  <c r="A34678" i="20"/>
  <c r="A34677" i="20"/>
  <c r="A34676" i="20"/>
  <c r="A34675" i="20"/>
  <c r="A34674" i="20"/>
  <c r="A34673" i="20"/>
  <c r="A34672" i="20"/>
  <c r="A34671" i="20"/>
  <c r="A34670" i="20"/>
  <c r="A34669" i="20"/>
  <c r="A34668" i="20"/>
  <c r="A34667" i="20"/>
  <c r="A34666" i="20"/>
  <c r="A34665" i="20"/>
  <c r="A34664" i="20"/>
  <c r="A34663" i="20"/>
  <c r="A34662" i="20"/>
  <c r="A34661" i="20"/>
  <c r="A34660" i="20"/>
  <c r="A34659" i="20"/>
  <c r="A34658" i="20"/>
  <c r="A34657" i="20"/>
  <c r="A34656" i="20"/>
  <c r="A34655" i="20"/>
  <c r="A34654" i="20"/>
  <c r="A34653" i="20"/>
  <c r="A34652" i="20"/>
  <c r="A34651" i="20"/>
  <c r="A34650" i="20"/>
  <c r="A34649" i="20"/>
  <c r="A34648" i="20"/>
  <c r="A34647" i="20"/>
  <c r="A34646" i="20"/>
  <c r="A34645" i="20"/>
  <c r="A34644" i="20"/>
  <c r="A34643" i="20"/>
  <c r="A34642" i="20"/>
  <c r="A34641" i="20"/>
  <c r="A34640" i="20"/>
  <c r="A34639" i="20"/>
  <c r="A34638" i="20"/>
  <c r="A34637" i="20"/>
  <c r="A34636" i="20"/>
  <c r="A34635" i="20"/>
  <c r="A34634" i="20"/>
  <c r="A34633" i="20"/>
  <c r="A34632" i="20"/>
  <c r="A34631" i="20"/>
  <c r="A34630" i="20"/>
  <c r="A34629" i="20"/>
  <c r="A34628" i="20"/>
  <c r="A34627" i="20"/>
  <c r="A34626" i="20"/>
  <c r="A34625" i="20"/>
  <c r="A34624" i="20"/>
  <c r="A34623" i="20"/>
  <c r="A34622" i="20"/>
  <c r="A34621" i="20"/>
  <c r="A34620" i="20"/>
  <c r="A34619" i="20"/>
  <c r="A34618" i="20"/>
  <c r="A34617" i="20"/>
  <c r="A34616" i="20"/>
  <c r="A34615" i="20"/>
  <c r="A34614" i="20"/>
  <c r="A34613" i="20"/>
  <c r="A34612" i="20"/>
  <c r="A34611" i="20"/>
  <c r="A34610" i="20"/>
  <c r="A34609" i="20"/>
  <c r="A34608" i="20"/>
  <c r="A34607" i="20"/>
  <c r="A34606" i="20"/>
  <c r="A34605" i="20"/>
  <c r="A34604" i="20"/>
  <c r="A34603" i="20"/>
  <c r="A34602" i="20"/>
  <c r="A34601" i="20"/>
  <c r="A34600" i="20"/>
  <c r="A34599" i="20"/>
  <c r="A34598" i="20"/>
  <c r="A34597" i="20"/>
  <c r="A34596" i="20"/>
  <c r="A34595" i="20"/>
  <c r="A34594" i="20"/>
  <c r="A34593" i="20"/>
  <c r="A34592" i="20"/>
  <c r="A34591" i="20"/>
  <c r="A34590" i="20"/>
  <c r="A34589" i="20"/>
  <c r="A34588" i="20"/>
  <c r="A34587" i="20"/>
  <c r="A34586" i="20"/>
  <c r="A34585" i="20"/>
  <c r="A34584" i="20"/>
  <c r="A34583" i="20"/>
  <c r="A34582" i="20"/>
  <c r="A34581" i="20"/>
  <c r="A34580" i="20"/>
  <c r="A34579" i="20"/>
  <c r="A34578" i="20"/>
  <c r="A34577" i="20"/>
  <c r="A34576" i="20"/>
  <c r="A34575" i="20"/>
  <c r="A34574" i="20"/>
  <c r="A34573" i="20"/>
  <c r="A34572" i="20"/>
  <c r="A34571" i="20"/>
  <c r="A34570" i="20"/>
  <c r="A34569" i="20"/>
  <c r="A34568" i="20"/>
  <c r="A34567" i="20"/>
  <c r="A34566" i="20"/>
  <c r="A34565" i="20"/>
  <c r="A34564" i="20"/>
  <c r="A34563" i="20"/>
  <c r="A34562" i="20"/>
  <c r="A34561" i="20"/>
  <c r="A34560" i="20"/>
  <c r="A34559" i="20"/>
  <c r="A34558" i="20"/>
  <c r="A34557" i="20"/>
  <c r="A34556" i="20"/>
  <c r="A34555" i="20"/>
  <c r="A34554" i="20"/>
  <c r="A34553" i="20"/>
  <c r="A34552" i="20"/>
  <c r="A34551" i="20"/>
  <c r="A34550" i="20"/>
  <c r="A34549" i="20"/>
  <c r="A34548" i="20"/>
  <c r="A34547" i="20"/>
  <c r="A34546" i="20"/>
  <c r="A34545" i="20"/>
  <c r="A34544" i="20"/>
  <c r="A34543" i="20"/>
  <c r="A34542" i="20"/>
  <c r="A34541" i="20"/>
  <c r="A34540" i="20"/>
  <c r="A34539" i="20"/>
  <c r="A34538" i="20"/>
  <c r="A34537" i="20"/>
  <c r="A34536" i="20"/>
  <c r="A34535" i="20"/>
  <c r="A34534" i="20"/>
  <c r="A34533" i="20"/>
  <c r="A34532" i="20"/>
  <c r="A34531" i="20"/>
  <c r="A34530" i="20"/>
  <c r="A34529" i="20"/>
  <c r="A34528" i="20"/>
  <c r="A34527" i="20"/>
  <c r="A34526" i="20"/>
  <c r="A34525" i="20"/>
  <c r="A34524" i="20"/>
  <c r="A34523" i="20"/>
  <c r="A34522" i="20"/>
  <c r="A34521" i="20"/>
  <c r="A34520" i="20"/>
  <c r="A34519" i="20"/>
  <c r="A34518" i="20"/>
  <c r="A34517" i="20"/>
  <c r="A34516" i="20"/>
  <c r="A34515" i="20"/>
  <c r="A34514" i="20"/>
  <c r="A34513" i="20"/>
  <c r="A34512" i="20"/>
  <c r="A34511" i="20"/>
  <c r="A34510" i="20"/>
  <c r="A34509" i="20"/>
  <c r="A34508" i="20"/>
  <c r="A34507" i="20"/>
  <c r="A34506" i="20"/>
  <c r="A34505" i="20"/>
  <c r="A34504" i="20"/>
  <c r="A34503" i="20"/>
  <c r="A34502" i="20"/>
  <c r="A34501" i="20"/>
  <c r="A34500" i="20"/>
  <c r="A34499" i="20"/>
  <c r="A34498" i="20"/>
  <c r="A34497" i="20"/>
  <c r="A34496" i="20"/>
  <c r="A34495" i="20"/>
  <c r="A34494" i="20"/>
  <c r="A34493" i="20"/>
  <c r="A34492" i="20"/>
  <c r="A34491" i="20"/>
  <c r="A34490" i="20"/>
  <c r="A34489" i="20"/>
  <c r="A34488" i="20"/>
  <c r="A34487" i="20"/>
  <c r="A34486" i="20"/>
  <c r="A34485" i="20"/>
  <c r="A34484" i="20"/>
  <c r="A34483" i="20"/>
  <c r="A34482" i="20"/>
  <c r="A34481" i="20"/>
  <c r="A34480" i="20"/>
  <c r="A34479" i="20"/>
  <c r="A34478" i="20"/>
  <c r="A34477" i="20"/>
  <c r="A34476" i="20"/>
  <c r="A34475" i="20"/>
  <c r="A34474" i="20"/>
  <c r="A34473" i="20"/>
  <c r="A34472" i="20"/>
  <c r="A34471" i="20"/>
  <c r="A34470" i="20"/>
  <c r="A34469" i="20"/>
  <c r="A34468" i="20"/>
  <c r="A34467" i="20"/>
  <c r="A34466" i="20"/>
  <c r="A34465" i="20"/>
  <c r="A34464" i="20"/>
  <c r="A34463" i="20"/>
  <c r="A34462" i="20"/>
  <c r="A34461" i="20"/>
  <c r="A34460" i="20"/>
  <c r="A34459" i="20"/>
  <c r="A34458" i="20"/>
  <c r="A34457" i="20"/>
  <c r="A34456" i="20"/>
  <c r="A34455" i="20"/>
  <c r="A34454" i="20"/>
  <c r="A34453" i="20"/>
  <c r="A34452" i="20"/>
  <c r="A34451" i="20"/>
  <c r="A34450" i="20"/>
  <c r="A34449" i="20"/>
  <c r="A34448" i="20"/>
  <c r="A34447" i="20"/>
  <c r="A34446" i="20"/>
  <c r="A34445" i="20"/>
  <c r="A34444" i="20"/>
  <c r="A34443" i="20"/>
  <c r="A34442" i="20"/>
  <c r="A34441" i="20"/>
  <c r="A34440" i="20"/>
  <c r="A34439" i="20"/>
  <c r="A34438" i="20"/>
  <c r="A34437" i="20"/>
  <c r="A34436" i="20"/>
  <c r="A34435" i="20"/>
  <c r="A34434" i="20"/>
  <c r="A34433" i="20"/>
  <c r="A34432" i="20"/>
  <c r="A34431" i="20"/>
  <c r="A34430" i="20"/>
  <c r="A34429" i="20"/>
  <c r="A34428" i="20"/>
  <c r="A34427" i="20"/>
  <c r="A34426" i="20"/>
  <c r="A34425" i="20"/>
  <c r="A34424" i="20"/>
  <c r="A34423" i="20"/>
  <c r="A34422" i="20"/>
  <c r="A34421" i="20"/>
  <c r="A34420" i="20"/>
  <c r="A34419" i="20"/>
  <c r="A34418" i="20"/>
  <c r="A34417" i="20"/>
  <c r="A34416" i="20"/>
  <c r="A34415" i="20"/>
  <c r="A34414" i="20"/>
  <c r="A34413" i="20"/>
  <c r="A34412" i="20"/>
  <c r="A34411" i="20"/>
  <c r="A34410" i="20"/>
  <c r="A34409" i="20"/>
  <c r="A34408" i="20"/>
  <c r="A34407" i="20"/>
  <c r="A34406" i="20"/>
  <c r="A34405" i="20"/>
  <c r="A34404" i="20"/>
  <c r="A34403" i="20"/>
  <c r="A34402" i="20"/>
  <c r="A34401" i="20"/>
  <c r="A34400" i="20"/>
  <c r="A34399" i="20"/>
  <c r="A34398" i="20"/>
  <c r="A34397" i="20"/>
  <c r="A34396" i="20"/>
  <c r="A34395" i="20"/>
  <c r="A34394" i="20"/>
  <c r="A34393" i="20"/>
  <c r="A34392" i="20"/>
  <c r="A34391" i="20"/>
  <c r="A34390" i="20"/>
  <c r="A34389" i="20"/>
  <c r="A34388" i="20"/>
  <c r="A34387" i="20"/>
  <c r="A34386" i="20"/>
  <c r="A34385" i="20"/>
  <c r="A34384" i="20"/>
  <c r="A34383" i="20"/>
  <c r="A34382" i="20"/>
  <c r="A34381" i="20"/>
  <c r="A34380" i="20"/>
  <c r="A34379" i="20"/>
  <c r="A34378" i="20"/>
  <c r="A34377" i="20"/>
  <c r="A34376" i="20"/>
  <c r="A34375" i="20"/>
  <c r="A34374" i="20"/>
  <c r="A34373" i="20"/>
  <c r="A34372" i="20"/>
  <c r="A34371" i="20"/>
  <c r="A34370" i="20"/>
  <c r="A34369" i="20"/>
  <c r="A34368" i="20"/>
  <c r="A34367" i="20"/>
  <c r="A34366" i="20"/>
  <c r="A34365" i="20"/>
  <c r="A34364" i="20"/>
  <c r="A34363" i="20"/>
  <c r="A34362" i="20"/>
  <c r="A34361" i="20"/>
  <c r="A34360" i="20"/>
  <c r="A34359" i="20"/>
  <c r="A34358" i="20"/>
  <c r="A34357" i="20"/>
  <c r="A34356" i="20"/>
  <c r="A34355" i="20"/>
  <c r="A34354" i="20"/>
  <c r="A34353" i="20"/>
  <c r="A34352" i="20"/>
  <c r="A34351" i="20"/>
  <c r="A34350" i="20"/>
  <c r="A34349" i="20"/>
  <c r="A34348" i="20"/>
  <c r="A34347" i="20"/>
  <c r="A34346" i="20"/>
  <c r="A34345" i="20"/>
  <c r="A34344" i="20"/>
  <c r="A34343" i="20"/>
  <c r="A34342" i="20"/>
  <c r="A34341" i="20"/>
  <c r="A34340" i="20"/>
  <c r="A34339" i="20"/>
  <c r="A34338" i="20"/>
  <c r="A34337" i="20"/>
  <c r="A34336" i="20"/>
  <c r="A34335" i="20"/>
  <c r="A34334" i="20"/>
  <c r="A34333" i="20"/>
  <c r="A34332" i="20"/>
  <c r="A34331" i="20"/>
  <c r="A34330" i="20"/>
  <c r="A34329" i="20"/>
  <c r="A34328" i="20"/>
  <c r="A34327" i="20"/>
  <c r="A34326" i="20"/>
  <c r="A34325" i="20"/>
  <c r="A34324" i="20"/>
  <c r="A34323" i="20"/>
  <c r="A34322" i="20"/>
  <c r="A34321" i="20"/>
  <c r="A34320" i="20"/>
  <c r="A34319" i="20"/>
  <c r="A34318" i="20"/>
  <c r="A34317" i="20"/>
  <c r="A34316" i="20"/>
  <c r="A34315" i="20"/>
  <c r="A34314" i="20"/>
  <c r="A34313" i="20"/>
  <c r="A34312" i="20"/>
  <c r="A34311" i="20"/>
  <c r="A34310" i="20"/>
  <c r="A34309" i="20"/>
  <c r="A34308" i="20"/>
  <c r="A34307" i="20"/>
  <c r="A34306" i="20"/>
  <c r="A34305" i="20"/>
  <c r="A34304" i="20"/>
  <c r="A34303" i="20"/>
  <c r="A34302" i="20"/>
  <c r="A34301" i="20"/>
  <c r="A34300" i="20"/>
  <c r="A34299" i="20"/>
  <c r="A34298" i="20"/>
  <c r="A34297" i="20"/>
  <c r="A34296" i="20"/>
  <c r="A34295" i="20"/>
  <c r="A34294" i="20"/>
  <c r="A34293" i="20"/>
  <c r="A34292" i="20"/>
  <c r="A34291" i="20"/>
  <c r="A34290" i="20"/>
  <c r="A34289" i="20"/>
  <c r="A34288" i="20"/>
  <c r="A34287" i="20"/>
  <c r="A34286" i="20"/>
  <c r="A34285" i="20"/>
  <c r="A34284" i="20"/>
  <c r="A34283" i="20"/>
  <c r="A34282" i="20"/>
  <c r="A34281" i="20"/>
  <c r="A34280" i="20"/>
  <c r="A34279" i="20"/>
  <c r="A34278" i="20"/>
  <c r="A34277" i="20"/>
  <c r="A34276" i="20"/>
  <c r="A34275" i="20"/>
  <c r="A34274" i="20"/>
  <c r="A34273" i="20"/>
  <c r="A34272" i="20"/>
  <c r="A34271" i="20"/>
  <c r="A34270" i="20"/>
  <c r="A34269" i="20"/>
  <c r="A34268" i="20"/>
  <c r="A34267" i="20"/>
  <c r="A34266" i="20"/>
  <c r="A34265" i="20"/>
  <c r="A34264" i="20"/>
  <c r="A34263" i="20"/>
  <c r="A34262" i="20"/>
  <c r="A34261" i="20"/>
  <c r="A34260" i="20"/>
  <c r="A34259" i="20"/>
  <c r="A34258" i="20"/>
  <c r="A34257" i="20"/>
  <c r="A34256" i="20"/>
  <c r="A34255" i="20"/>
  <c r="A34254" i="20"/>
  <c r="A34253" i="20"/>
  <c r="A34252" i="20"/>
  <c r="A34251" i="20"/>
  <c r="A34250" i="20"/>
  <c r="A34249" i="20"/>
  <c r="A34248" i="20"/>
  <c r="A34247" i="20"/>
  <c r="A34246" i="20"/>
  <c r="A34245" i="20"/>
  <c r="A34244" i="20"/>
  <c r="A34243" i="20"/>
  <c r="A34242" i="20"/>
  <c r="A34241" i="20"/>
  <c r="A34240" i="20"/>
  <c r="A34239" i="20"/>
  <c r="A34238" i="20"/>
  <c r="A34237" i="20"/>
  <c r="A34236" i="20"/>
  <c r="A34235" i="20"/>
  <c r="A34234" i="20"/>
  <c r="A34233" i="20"/>
  <c r="A34232" i="20"/>
  <c r="A34231" i="20"/>
  <c r="A34230" i="20"/>
  <c r="A34229" i="20"/>
  <c r="A34228" i="20"/>
  <c r="A34227" i="20"/>
  <c r="A34226" i="20"/>
  <c r="A34225" i="20"/>
  <c r="A34224" i="20"/>
  <c r="A34223" i="20"/>
  <c r="A34222" i="20"/>
  <c r="A34221" i="20"/>
  <c r="A34220" i="20"/>
  <c r="A34219" i="20"/>
  <c r="A34218" i="20"/>
  <c r="A34217" i="20"/>
  <c r="A34216" i="20"/>
  <c r="A34215" i="20"/>
  <c r="A34214" i="20"/>
  <c r="A34213" i="20"/>
  <c r="A34212" i="20"/>
  <c r="A34211" i="20"/>
  <c r="A34210" i="20"/>
  <c r="A34209" i="20"/>
  <c r="A34208" i="20"/>
  <c r="A34207" i="20"/>
  <c r="A34206" i="20"/>
  <c r="A34205" i="20"/>
  <c r="A34204" i="20"/>
  <c r="A34203" i="20"/>
  <c r="A34202" i="20"/>
  <c r="A34201" i="20"/>
  <c r="A34200" i="20"/>
  <c r="A34199" i="20"/>
  <c r="A34198" i="20"/>
  <c r="A34197" i="20"/>
  <c r="A34196" i="20"/>
  <c r="A34195" i="20"/>
  <c r="A34194" i="20"/>
  <c r="A34193" i="20"/>
  <c r="A34192" i="20"/>
  <c r="A34191" i="20"/>
  <c r="A34190" i="20"/>
  <c r="A34189" i="20"/>
  <c r="A34188" i="20"/>
  <c r="A34187" i="20"/>
  <c r="A34186" i="20"/>
  <c r="A34185" i="20"/>
  <c r="A34184" i="20"/>
  <c r="A34183" i="20"/>
  <c r="A34182" i="20"/>
  <c r="A34181" i="20"/>
  <c r="A34180" i="20"/>
  <c r="A34179" i="20"/>
  <c r="A34178" i="20"/>
  <c r="A34177" i="20"/>
  <c r="A34176" i="20"/>
  <c r="A34175" i="20"/>
  <c r="A34174" i="20"/>
  <c r="A34173" i="20"/>
  <c r="A34172" i="20"/>
  <c r="A34171" i="20"/>
  <c r="A34170" i="20"/>
  <c r="A34169" i="20"/>
  <c r="A34168" i="20"/>
  <c r="A34167" i="20"/>
  <c r="A34166" i="20"/>
  <c r="A34165" i="20"/>
  <c r="A34164" i="20"/>
  <c r="A34163" i="20"/>
  <c r="A34162" i="20"/>
  <c r="A34161" i="20"/>
  <c r="A34160" i="20"/>
  <c r="A34159" i="20"/>
  <c r="A34158" i="20"/>
  <c r="A34157" i="20"/>
  <c r="A34156" i="20"/>
  <c r="A34155" i="20"/>
  <c r="A34154" i="20"/>
  <c r="A34153" i="20"/>
  <c r="A34152" i="20"/>
  <c r="A34151" i="20"/>
  <c r="A34150" i="20"/>
  <c r="A34149" i="20"/>
  <c r="A34148" i="20"/>
  <c r="A34147" i="20"/>
  <c r="A34146" i="20"/>
  <c r="A34145" i="20"/>
  <c r="A34144" i="20"/>
  <c r="A34143" i="20"/>
  <c r="A34142" i="20"/>
  <c r="A34141" i="20"/>
  <c r="A34140" i="20"/>
  <c r="A34139" i="20"/>
  <c r="A34138" i="20"/>
  <c r="A34137" i="20"/>
  <c r="A34136" i="20"/>
  <c r="A34135" i="20"/>
  <c r="A34134" i="20"/>
  <c r="A34133" i="20"/>
  <c r="A34132" i="20"/>
  <c r="A34131" i="20"/>
  <c r="A34130" i="20"/>
  <c r="A34129" i="20"/>
  <c r="A34128" i="20"/>
  <c r="A34127" i="20"/>
  <c r="A34126" i="20"/>
  <c r="A34125" i="20"/>
  <c r="A34124" i="20"/>
  <c r="A34123" i="20"/>
  <c r="A34122" i="20"/>
  <c r="A34121" i="20"/>
  <c r="A34120" i="20"/>
  <c r="A34119" i="20"/>
  <c r="A34118" i="20"/>
  <c r="A34117" i="20"/>
  <c r="A34116" i="20"/>
  <c r="A34115" i="20"/>
  <c r="A34114" i="20"/>
  <c r="A34113" i="20"/>
  <c r="A34112" i="20"/>
  <c r="A34111" i="20"/>
  <c r="A34110" i="20"/>
  <c r="A34109" i="20"/>
  <c r="A34108" i="20"/>
  <c r="A34107" i="20"/>
  <c r="A34106" i="20"/>
  <c r="A34105" i="20"/>
  <c r="A34104" i="20"/>
  <c r="A34103" i="20"/>
  <c r="A34102" i="20"/>
  <c r="A34101" i="20"/>
  <c r="A34100" i="20"/>
  <c r="A34099" i="20"/>
  <c r="A34098" i="20"/>
  <c r="A34097" i="20"/>
  <c r="A34096" i="20"/>
  <c r="A34095" i="20"/>
  <c r="A34094" i="20"/>
  <c r="A34093" i="20"/>
  <c r="A34092" i="20"/>
  <c r="A34091" i="20"/>
  <c r="A34090" i="20"/>
  <c r="A34089" i="20"/>
  <c r="A34088" i="20"/>
  <c r="A34087" i="20"/>
  <c r="A34086" i="20"/>
  <c r="A34085" i="20"/>
  <c r="A34084" i="20"/>
  <c r="A34083" i="20"/>
  <c r="A34082" i="20"/>
  <c r="A34081" i="20"/>
  <c r="A34080" i="20"/>
  <c r="A34079" i="20"/>
  <c r="A34078" i="20"/>
  <c r="A34077" i="20"/>
  <c r="A34076" i="20"/>
  <c r="A34075" i="20"/>
  <c r="A34074" i="20"/>
  <c r="A34073" i="20"/>
  <c r="A34072" i="20"/>
  <c r="A34071" i="20"/>
  <c r="A34070" i="20"/>
  <c r="A34069" i="20"/>
  <c r="A34068" i="20"/>
  <c r="A34067" i="20"/>
  <c r="A34066" i="20"/>
  <c r="A34065" i="20"/>
  <c r="A34064" i="20"/>
  <c r="A34063" i="20"/>
  <c r="A34062" i="20"/>
  <c r="A34061" i="20"/>
  <c r="A34060" i="20"/>
  <c r="A34059" i="20"/>
  <c r="A34058" i="20"/>
  <c r="A34057" i="20"/>
  <c r="A34056" i="20"/>
  <c r="A34055" i="20"/>
  <c r="A34054" i="20"/>
  <c r="A34053" i="20"/>
  <c r="A34052" i="20"/>
  <c r="A34051" i="20"/>
  <c r="A34050" i="20"/>
  <c r="A34049" i="20"/>
  <c r="A34048" i="20"/>
  <c r="A34047" i="20"/>
  <c r="A34046" i="20"/>
  <c r="A34045" i="20"/>
  <c r="A34044" i="20"/>
  <c r="A34043" i="20"/>
  <c r="A34042" i="20"/>
  <c r="A34041" i="20"/>
  <c r="A34040" i="20"/>
  <c r="A34039" i="20"/>
  <c r="A34038" i="20"/>
  <c r="A34037" i="20"/>
  <c r="A34036" i="20"/>
  <c r="A34035" i="20"/>
  <c r="A34034" i="20"/>
  <c r="A34033" i="20"/>
  <c r="A34032" i="20"/>
  <c r="A34031" i="20"/>
  <c r="A34030" i="20"/>
  <c r="A34029" i="20"/>
  <c r="A34028" i="20"/>
  <c r="A34027" i="20"/>
  <c r="A34026" i="20"/>
  <c r="A34025" i="20"/>
  <c r="A34024" i="20"/>
  <c r="A34023" i="20"/>
  <c r="A34022" i="20"/>
  <c r="A34021" i="20"/>
  <c r="A34020" i="20"/>
  <c r="A34019" i="20"/>
  <c r="A34018" i="20"/>
  <c r="A34017" i="20"/>
  <c r="A34016" i="20"/>
  <c r="A34015" i="20"/>
  <c r="A34014" i="20"/>
  <c r="A34013" i="20"/>
  <c r="A34012" i="20"/>
  <c r="A34011" i="20"/>
  <c r="A34010" i="20"/>
  <c r="A34009" i="20"/>
  <c r="A34008" i="20"/>
  <c r="A34007" i="20"/>
  <c r="A34006" i="20"/>
  <c r="A34005" i="20"/>
  <c r="A34004" i="20"/>
  <c r="A34003" i="20"/>
  <c r="A34002" i="20"/>
  <c r="A34001" i="20"/>
  <c r="A34000" i="20"/>
  <c r="A33999" i="20"/>
  <c r="A33998" i="20"/>
  <c r="A33997" i="20"/>
  <c r="A33996" i="20"/>
  <c r="A33995" i="20"/>
  <c r="A33994" i="20"/>
  <c r="A33993" i="20"/>
  <c r="A33992" i="20"/>
  <c r="A33991" i="20"/>
  <c r="A33990" i="20"/>
  <c r="A33989" i="20"/>
  <c r="A33988" i="20"/>
  <c r="A33987" i="20"/>
  <c r="A33986" i="20"/>
  <c r="A33985" i="20"/>
  <c r="A33984" i="20"/>
  <c r="A33983" i="20"/>
  <c r="A33982" i="20"/>
  <c r="A33981" i="20"/>
  <c r="A33980" i="20"/>
  <c r="A33979" i="20"/>
  <c r="A33978" i="20"/>
  <c r="A33977" i="20"/>
  <c r="A33976" i="20"/>
  <c r="A33975" i="20"/>
  <c r="A33974" i="20"/>
  <c r="A33973" i="20"/>
  <c r="A33972" i="20"/>
  <c r="A33971" i="20"/>
  <c r="A33970" i="20"/>
  <c r="A33969" i="20"/>
  <c r="A33968" i="20"/>
  <c r="A33967" i="20"/>
  <c r="A33966" i="20"/>
  <c r="A33965" i="20"/>
  <c r="A33964" i="20"/>
  <c r="A33963" i="20"/>
  <c r="A33962" i="20"/>
  <c r="A33961" i="20"/>
  <c r="A33960" i="20"/>
  <c r="A33959" i="20"/>
  <c r="A33958" i="20"/>
  <c r="A33957" i="20"/>
  <c r="A33956" i="20"/>
  <c r="A33955" i="20"/>
  <c r="A33954" i="20"/>
  <c r="A33953" i="20"/>
  <c r="A33952" i="20"/>
  <c r="A33951" i="20"/>
  <c r="A33950" i="20"/>
  <c r="A33949" i="20"/>
  <c r="A33948" i="20"/>
  <c r="A33947" i="20"/>
  <c r="A33946" i="20"/>
  <c r="A33945" i="20"/>
  <c r="A33944" i="20"/>
  <c r="A33943" i="20"/>
  <c r="A33942" i="20"/>
  <c r="A33941" i="20"/>
  <c r="A33940" i="20"/>
  <c r="A33939" i="20"/>
  <c r="A33938" i="20"/>
  <c r="A33937" i="20"/>
  <c r="A33936" i="20"/>
  <c r="A33935" i="20"/>
  <c r="A33934" i="20"/>
  <c r="A33933" i="20"/>
  <c r="A33932" i="20"/>
  <c r="A33931" i="20"/>
  <c r="A33930" i="20"/>
  <c r="A33929" i="20"/>
  <c r="A33928" i="20"/>
  <c r="A33927" i="20"/>
  <c r="A33926" i="20"/>
  <c r="A33925" i="20"/>
  <c r="A33924" i="20"/>
  <c r="A33923" i="20"/>
  <c r="A33922" i="20"/>
  <c r="A33921" i="20"/>
  <c r="A33920" i="20"/>
  <c r="A33919" i="20"/>
  <c r="A33918" i="20"/>
  <c r="A33917" i="20"/>
  <c r="A33916" i="20"/>
  <c r="A33915" i="20"/>
  <c r="A33914" i="20"/>
  <c r="A33913" i="20"/>
  <c r="A33912" i="20"/>
  <c r="A33911" i="20"/>
  <c r="A33910" i="20"/>
  <c r="A33909" i="20"/>
  <c r="A33908" i="20"/>
  <c r="A33907" i="20"/>
  <c r="A33906" i="20"/>
  <c r="A33905" i="20"/>
  <c r="A33904" i="20"/>
  <c r="A33903" i="20"/>
  <c r="A33902" i="20"/>
  <c r="A33901" i="20"/>
  <c r="A33900" i="20"/>
  <c r="A33899" i="20"/>
  <c r="A33898" i="20"/>
  <c r="A33897" i="20"/>
  <c r="A33896" i="20"/>
  <c r="A33895" i="20"/>
  <c r="A33894" i="20"/>
  <c r="A33893" i="20"/>
  <c r="A33892" i="20"/>
  <c r="A33891" i="20"/>
  <c r="A33890" i="20"/>
  <c r="A33889" i="20"/>
  <c r="A33888" i="20"/>
  <c r="A33887" i="20"/>
  <c r="A33886" i="20"/>
  <c r="A33885" i="20"/>
  <c r="A33884" i="20"/>
  <c r="A33883" i="20"/>
  <c r="A33882" i="20"/>
  <c r="A33881" i="20"/>
  <c r="A33880" i="20"/>
  <c r="A33879" i="20"/>
  <c r="A33878" i="20"/>
  <c r="A33877" i="20"/>
  <c r="A33876" i="20"/>
  <c r="A33875" i="20"/>
  <c r="A33874" i="20"/>
  <c r="A33873" i="20"/>
  <c r="A33872" i="20"/>
  <c r="A33871" i="20"/>
  <c r="A33870" i="20"/>
  <c r="A33869" i="20"/>
  <c r="A33868" i="20"/>
  <c r="A33867" i="20"/>
  <c r="A33866" i="20"/>
  <c r="A33865" i="20"/>
  <c r="A33864" i="20"/>
  <c r="A33863" i="20"/>
  <c r="A33862" i="20"/>
  <c r="A33861" i="20"/>
  <c r="A33860" i="20"/>
  <c r="A33859" i="20"/>
  <c r="A33858" i="20"/>
  <c r="A33857" i="20"/>
  <c r="A33856" i="20"/>
  <c r="A33855" i="20"/>
  <c r="A33854" i="20"/>
  <c r="A33853" i="20"/>
  <c r="A33852" i="20"/>
  <c r="A33851" i="20"/>
  <c r="A33850" i="20"/>
  <c r="A33849" i="20"/>
  <c r="A33848" i="20"/>
  <c r="A33847" i="20"/>
  <c r="A33846" i="20"/>
  <c r="A33845" i="20"/>
  <c r="A33844" i="20"/>
  <c r="A33843" i="20"/>
  <c r="A33842" i="20"/>
  <c r="A33841" i="20"/>
  <c r="A33840" i="20"/>
  <c r="A33839" i="20"/>
  <c r="A33838" i="20"/>
  <c r="A33837" i="20"/>
  <c r="A33836" i="20"/>
  <c r="A33835" i="20"/>
  <c r="A33834" i="20"/>
  <c r="A33833" i="20"/>
  <c r="A33832" i="20"/>
  <c r="A33831" i="20"/>
  <c r="A33830" i="20"/>
  <c r="A33829" i="20"/>
  <c r="A33828" i="20"/>
  <c r="A33827" i="20"/>
  <c r="A33826" i="20"/>
  <c r="A33825" i="20"/>
  <c r="A33824" i="20"/>
  <c r="A33823" i="20"/>
  <c r="A33822" i="20"/>
  <c r="A33821" i="20"/>
  <c r="A33820" i="20"/>
  <c r="A33819" i="20"/>
  <c r="A33818" i="20"/>
  <c r="A33817" i="20"/>
  <c r="A33816" i="20"/>
  <c r="A33815" i="20"/>
  <c r="A33814" i="20"/>
  <c r="A33813" i="20"/>
  <c r="A33812" i="20"/>
  <c r="A33811" i="20"/>
  <c r="A33810" i="20"/>
  <c r="A33809" i="20"/>
  <c r="A33808" i="20"/>
  <c r="A33807" i="20"/>
  <c r="A33806" i="20"/>
  <c r="A33805" i="20"/>
  <c r="A33804" i="20"/>
  <c r="A33803" i="20"/>
  <c r="A33802" i="20"/>
  <c r="A33801" i="20"/>
  <c r="A33800" i="20"/>
  <c r="A33799" i="20"/>
  <c r="A33798" i="20"/>
  <c r="A33797" i="20"/>
  <c r="A33796" i="20"/>
  <c r="A33795" i="20"/>
  <c r="A33794" i="20"/>
  <c r="A33793" i="20"/>
  <c r="A33792" i="20"/>
  <c r="A33791" i="20"/>
  <c r="A33790" i="20"/>
  <c r="A33789" i="20"/>
  <c r="A33788" i="20"/>
  <c r="A33787" i="20"/>
  <c r="A33786" i="20"/>
  <c r="A33785" i="20"/>
  <c r="A33784" i="20"/>
  <c r="A33783" i="20"/>
  <c r="A33782" i="20"/>
  <c r="A33781" i="20"/>
  <c r="A33780" i="20"/>
  <c r="A33779" i="20"/>
  <c r="A33778" i="20"/>
  <c r="A33777" i="20"/>
  <c r="A33776" i="20"/>
  <c r="A33775" i="20"/>
  <c r="A33774" i="20"/>
  <c r="A33773" i="20"/>
  <c r="A33772" i="20"/>
  <c r="A33771" i="20"/>
  <c r="A33770" i="20"/>
  <c r="A33769" i="20"/>
  <c r="A33768" i="20"/>
  <c r="A33767" i="20"/>
  <c r="A33766" i="20"/>
  <c r="A33765" i="20"/>
  <c r="A33764" i="20"/>
  <c r="A33763" i="20"/>
  <c r="A33762" i="20"/>
  <c r="A33761" i="20"/>
  <c r="A33760" i="20"/>
  <c r="A33759" i="20"/>
  <c r="A33758" i="20"/>
  <c r="A33757" i="20"/>
  <c r="A33756" i="20"/>
  <c r="A33755" i="20"/>
  <c r="A33754" i="20"/>
  <c r="A33753" i="20"/>
  <c r="A33752" i="20"/>
  <c r="A33751" i="20"/>
  <c r="A33750" i="20"/>
  <c r="A33749" i="20"/>
  <c r="A33748" i="20"/>
  <c r="A33747" i="20"/>
  <c r="A33746" i="20"/>
  <c r="A33745" i="20"/>
  <c r="A33744" i="20"/>
  <c r="A33743" i="20"/>
  <c r="A33742" i="20"/>
  <c r="A33741" i="20"/>
  <c r="A33740" i="20"/>
  <c r="A33739" i="20"/>
  <c r="A33738" i="20"/>
  <c r="A33737" i="20"/>
  <c r="A33736" i="20"/>
  <c r="A33735" i="20"/>
  <c r="A33734" i="20"/>
  <c r="A33733" i="20"/>
  <c r="A33732" i="20"/>
  <c r="A33731" i="20"/>
  <c r="A33730" i="20"/>
  <c r="A33729" i="20"/>
  <c r="A33728" i="20"/>
  <c r="A33727" i="20"/>
  <c r="A33726" i="20"/>
  <c r="A33725" i="20"/>
  <c r="A33724" i="20"/>
  <c r="A33723" i="20"/>
  <c r="A33722" i="20"/>
  <c r="A33721" i="20"/>
  <c r="A33720" i="20"/>
  <c r="A33719" i="20"/>
  <c r="A33718" i="20"/>
  <c r="A33717" i="20"/>
  <c r="A33716" i="20"/>
  <c r="A33715" i="20"/>
  <c r="A33714" i="20"/>
  <c r="A33713" i="20"/>
  <c r="A33712" i="20"/>
  <c r="A33711" i="20"/>
  <c r="A33710" i="20"/>
  <c r="A33709" i="20"/>
  <c r="A33708" i="20"/>
  <c r="A33707" i="20"/>
  <c r="A33706" i="20"/>
  <c r="A33705" i="20"/>
  <c r="A33704" i="20"/>
  <c r="A33703" i="20"/>
  <c r="A33702" i="20"/>
  <c r="A33701" i="20"/>
  <c r="A33700" i="20"/>
  <c r="A33699" i="20"/>
  <c r="A33698" i="20"/>
  <c r="A33697" i="20"/>
  <c r="A33696" i="20"/>
  <c r="A33695" i="20"/>
  <c r="A33694" i="20"/>
  <c r="A33693" i="20"/>
  <c r="A33692" i="20"/>
  <c r="A33691" i="20"/>
  <c r="A33690" i="20"/>
  <c r="A33689" i="20"/>
  <c r="A33688" i="20"/>
  <c r="A33687" i="20"/>
  <c r="A33686" i="20"/>
  <c r="A33685" i="20"/>
  <c r="A33684" i="20"/>
  <c r="A33683" i="20"/>
  <c r="A33682" i="20"/>
  <c r="A33681" i="20"/>
  <c r="A33680" i="20"/>
  <c r="A33679" i="20"/>
  <c r="A33678" i="20"/>
  <c r="A33677" i="20"/>
  <c r="A33676" i="20"/>
  <c r="A33675" i="20"/>
  <c r="A33674" i="20"/>
  <c r="A33673" i="20"/>
  <c r="A33672" i="20"/>
  <c r="A33671" i="20"/>
  <c r="A33670" i="20"/>
  <c r="A33669" i="20"/>
  <c r="A33668" i="20"/>
  <c r="A33667" i="20"/>
  <c r="A33666" i="20"/>
  <c r="A33665" i="20"/>
  <c r="A33664" i="20"/>
  <c r="A33663" i="20"/>
  <c r="A33662" i="20"/>
  <c r="A33661" i="20"/>
  <c r="A33660" i="20"/>
  <c r="A33659" i="20"/>
  <c r="A33658" i="20"/>
  <c r="A33657" i="20"/>
  <c r="A33656" i="20"/>
  <c r="A33655" i="20"/>
  <c r="A33654" i="20"/>
  <c r="A33653" i="20"/>
  <c r="A33652" i="20"/>
  <c r="A33651" i="20"/>
  <c r="A33650" i="20"/>
  <c r="A33649" i="20"/>
  <c r="A33648" i="20"/>
  <c r="A33647" i="20"/>
  <c r="A33646" i="20"/>
  <c r="A33645" i="20"/>
  <c r="A33644" i="20"/>
  <c r="A33643" i="20"/>
  <c r="A33642" i="20"/>
  <c r="A33641" i="20"/>
  <c r="A33640" i="20"/>
  <c r="A33639" i="20"/>
  <c r="A33638" i="20"/>
  <c r="A33637" i="20"/>
  <c r="A33636" i="20"/>
  <c r="A33635" i="20"/>
  <c r="A33634" i="20"/>
  <c r="A33633" i="20"/>
  <c r="A33632" i="20"/>
  <c r="A33631" i="20"/>
  <c r="A33630" i="20"/>
  <c r="A33629" i="20"/>
  <c r="A33628" i="20"/>
  <c r="A33627" i="20"/>
  <c r="A33626" i="20"/>
  <c r="A33625" i="20"/>
  <c r="A33624" i="20"/>
  <c r="A33623" i="20"/>
  <c r="A33622" i="20"/>
  <c r="A33621" i="20"/>
  <c r="A33620" i="20"/>
  <c r="A33619" i="20"/>
  <c r="A33618" i="20"/>
  <c r="A33617" i="20"/>
  <c r="A33616" i="20"/>
  <c r="A33615" i="20"/>
  <c r="A33614" i="20"/>
  <c r="A33613" i="20"/>
  <c r="A33612" i="20"/>
  <c r="A33611" i="20"/>
  <c r="A33610" i="20"/>
  <c r="A33609" i="20"/>
  <c r="A33608" i="20"/>
  <c r="A33607" i="20"/>
  <c r="A33606" i="20"/>
  <c r="A33605" i="20"/>
  <c r="A33604" i="20"/>
  <c r="A33603" i="20"/>
  <c r="A33602" i="20"/>
  <c r="A33601" i="20"/>
  <c r="A33600" i="20"/>
  <c r="A33599" i="20"/>
  <c r="A33598" i="20"/>
  <c r="A33597" i="20"/>
  <c r="A33596" i="20"/>
  <c r="A33595" i="20"/>
  <c r="A33594" i="20"/>
  <c r="A33593" i="20"/>
  <c r="A33592" i="20"/>
  <c r="A33591" i="20"/>
  <c r="A33590" i="20"/>
  <c r="A33589" i="20"/>
  <c r="A33588" i="20"/>
  <c r="A33587" i="20"/>
  <c r="A33586" i="20"/>
  <c r="A33585" i="20"/>
  <c r="A33584" i="20"/>
  <c r="A33583" i="20"/>
  <c r="A33582" i="20"/>
  <c r="A33581" i="20"/>
  <c r="A33580" i="20"/>
  <c r="A33579" i="20"/>
  <c r="A33578" i="20"/>
  <c r="A33577" i="20"/>
  <c r="A33576" i="20"/>
  <c r="A33575" i="20"/>
  <c r="A33574" i="20"/>
  <c r="A33573" i="20"/>
  <c r="A33572" i="20"/>
  <c r="A33571" i="20"/>
  <c r="A33570" i="20"/>
  <c r="A33569" i="20"/>
  <c r="A33568" i="20"/>
  <c r="A33567" i="20"/>
  <c r="A33566" i="20"/>
  <c r="A33565" i="20"/>
  <c r="A33564" i="20"/>
  <c r="A33563" i="20"/>
  <c r="A33562" i="20"/>
  <c r="A33561" i="20"/>
  <c r="A33560" i="20"/>
  <c r="A33559" i="20"/>
  <c r="A33558" i="20"/>
  <c r="A33557" i="20"/>
  <c r="A33556" i="20"/>
  <c r="A33555" i="20"/>
  <c r="A33554" i="20"/>
  <c r="A33553" i="20"/>
  <c r="A33552" i="20"/>
  <c r="A33551" i="20"/>
  <c r="A33550" i="20"/>
  <c r="A33549" i="20"/>
  <c r="A33548" i="20"/>
  <c r="A33547" i="20"/>
  <c r="A33546" i="20"/>
  <c r="A33545" i="20"/>
  <c r="A33544" i="20"/>
  <c r="A33543" i="20"/>
  <c r="A33542" i="20"/>
  <c r="A33541" i="20"/>
  <c r="A33540" i="20"/>
  <c r="A33539" i="20"/>
  <c r="A33538" i="20"/>
  <c r="A33537" i="20"/>
  <c r="A33536" i="20"/>
  <c r="A33535" i="20"/>
  <c r="A33534" i="20"/>
  <c r="A33533" i="20"/>
  <c r="A33532" i="20"/>
  <c r="A33531" i="20"/>
  <c r="A33530" i="20"/>
  <c r="A33529" i="20"/>
  <c r="A33528" i="20"/>
  <c r="A33527" i="20"/>
  <c r="A33526" i="20"/>
  <c r="A33525" i="20"/>
  <c r="A33524" i="20"/>
  <c r="A33523" i="20"/>
  <c r="A33522" i="20"/>
  <c r="A33521" i="20"/>
  <c r="A33520" i="20"/>
  <c r="A33519" i="20"/>
  <c r="A33518" i="20"/>
  <c r="A33517" i="20"/>
  <c r="A33516" i="20"/>
  <c r="A33515" i="20"/>
  <c r="A33514" i="20"/>
  <c r="A33513" i="20"/>
  <c r="A33512" i="20"/>
  <c r="A33511" i="20"/>
  <c r="A33510" i="20"/>
  <c r="A33509" i="20"/>
  <c r="A33508" i="20"/>
  <c r="A33507" i="20"/>
  <c r="A33506" i="20"/>
  <c r="A33505" i="20"/>
  <c r="A33504" i="20"/>
  <c r="A33503" i="20"/>
  <c r="A33502" i="20"/>
  <c r="A33501" i="20"/>
  <c r="A33500" i="20"/>
  <c r="A33499" i="20"/>
  <c r="A33498" i="20"/>
  <c r="A33497" i="20"/>
  <c r="A33496" i="20"/>
  <c r="A33495" i="20"/>
  <c r="A33494" i="20"/>
  <c r="A33493" i="20"/>
  <c r="A33492" i="20"/>
  <c r="A33491" i="20"/>
  <c r="A33490" i="20"/>
  <c r="A33489" i="20"/>
  <c r="A33488" i="20"/>
  <c r="A33487" i="20"/>
  <c r="A33486" i="20"/>
  <c r="A33485" i="20"/>
  <c r="A33484" i="20"/>
  <c r="A33483" i="20"/>
  <c r="A33482" i="20"/>
  <c r="A33481" i="20"/>
  <c r="A33480" i="20"/>
  <c r="A33479" i="20"/>
  <c r="A33478" i="20"/>
  <c r="A33477" i="20"/>
  <c r="A33476" i="20"/>
  <c r="A33475" i="20"/>
  <c r="A33474" i="20"/>
  <c r="A33473" i="20"/>
  <c r="A33472" i="20"/>
  <c r="A33471" i="20"/>
  <c r="A33470" i="20"/>
  <c r="A33469" i="20"/>
  <c r="A33468" i="20"/>
  <c r="A33467" i="20"/>
  <c r="A33466" i="20"/>
  <c r="A33465" i="20"/>
  <c r="A33464" i="20"/>
  <c r="A33463" i="20"/>
  <c r="A33462" i="20"/>
  <c r="A33461" i="20"/>
  <c r="A33460" i="20"/>
  <c r="A33459" i="20"/>
  <c r="A33458" i="20"/>
  <c r="A33457" i="20"/>
  <c r="A33456" i="20"/>
  <c r="A33455" i="20"/>
  <c r="A33454" i="20"/>
  <c r="A33453" i="20"/>
  <c r="A33452" i="20"/>
  <c r="A33451" i="20"/>
  <c r="A33450" i="20"/>
  <c r="A33449" i="20"/>
  <c r="A33448" i="20"/>
  <c r="A33447" i="20"/>
  <c r="A33446" i="20"/>
  <c r="A33445" i="20"/>
  <c r="A33444" i="20"/>
  <c r="A33443" i="20"/>
  <c r="A33442" i="20"/>
  <c r="A33441" i="20"/>
  <c r="A33440" i="20"/>
  <c r="A33439" i="20"/>
  <c r="A33438" i="20"/>
  <c r="A33437" i="20"/>
  <c r="A33436" i="20"/>
  <c r="A33435" i="20"/>
  <c r="A33434" i="20"/>
  <c r="A33433" i="20"/>
  <c r="A33432" i="20"/>
  <c r="A33431" i="20"/>
  <c r="A33430" i="20"/>
  <c r="A33429" i="20"/>
  <c r="A33428" i="20"/>
  <c r="A33427" i="20"/>
  <c r="A33426" i="20"/>
  <c r="A33425" i="20"/>
  <c r="A33424" i="20"/>
  <c r="A33423" i="20"/>
  <c r="A33422" i="20"/>
  <c r="A33421" i="20"/>
  <c r="A33420" i="20"/>
  <c r="A33419" i="20"/>
  <c r="A33418" i="20"/>
  <c r="A33417" i="20"/>
  <c r="A33416" i="20"/>
  <c r="A33415" i="20"/>
  <c r="A33414" i="20"/>
  <c r="A33413" i="20"/>
  <c r="A33412" i="20"/>
  <c r="A33411" i="20"/>
  <c r="A33410" i="20"/>
  <c r="A33409" i="20"/>
  <c r="A33408" i="20"/>
  <c r="A33407" i="20"/>
  <c r="A33406" i="20"/>
  <c r="A33405" i="20"/>
  <c r="A33404" i="20"/>
  <c r="A33403" i="20"/>
  <c r="A33402" i="20"/>
  <c r="A33401" i="20"/>
  <c r="A33400" i="20"/>
  <c r="A33399" i="20"/>
  <c r="A33398" i="20"/>
  <c r="A33397" i="20"/>
  <c r="A33396" i="20"/>
  <c r="A33395" i="20"/>
  <c r="A33394" i="20"/>
  <c r="A33393" i="20"/>
  <c r="A33392" i="20"/>
  <c r="A33391" i="20"/>
  <c r="A33390" i="20"/>
  <c r="A33389" i="20"/>
  <c r="A33388" i="20"/>
  <c r="A33387" i="20"/>
  <c r="A33386" i="20"/>
  <c r="A33385" i="20"/>
  <c r="A33384" i="20"/>
  <c r="A33383" i="20"/>
  <c r="A33382" i="20"/>
  <c r="A33381" i="20"/>
  <c r="A33380" i="20"/>
  <c r="A33379" i="20"/>
  <c r="A33378" i="20"/>
  <c r="A33377" i="20"/>
  <c r="A33376" i="20"/>
  <c r="A33375" i="20"/>
  <c r="A33374" i="20"/>
  <c r="A33373" i="20"/>
  <c r="A33372" i="20"/>
  <c r="A33371" i="20"/>
  <c r="A33370" i="20"/>
  <c r="A33369" i="20"/>
  <c r="A33368" i="20"/>
  <c r="A33367" i="20"/>
  <c r="A33366" i="20"/>
  <c r="A33365" i="20"/>
  <c r="A33364" i="20"/>
  <c r="A33363" i="20"/>
  <c r="A33362" i="20"/>
  <c r="A33361" i="20"/>
  <c r="A33360" i="20"/>
  <c r="A33359" i="20"/>
  <c r="A33358" i="20"/>
  <c r="A33357" i="20"/>
  <c r="A33356" i="20"/>
  <c r="A33355" i="20"/>
  <c r="A33354" i="20"/>
  <c r="A33353" i="20"/>
  <c r="A33352" i="20"/>
  <c r="A33351" i="20"/>
  <c r="A33350" i="20"/>
  <c r="A33349" i="20"/>
  <c r="A33348" i="20"/>
  <c r="A33347" i="20"/>
  <c r="A33346" i="20"/>
  <c r="A33345" i="20"/>
  <c r="A33344" i="20"/>
  <c r="A33343" i="20"/>
  <c r="A33342" i="20"/>
  <c r="A33341" i="20"/>
  <c r="A33340" i="20"/>
  <c r="A33339" i="20"/>
  <c r="A33338" i="20"/>
  <c r="A33337" i="20"/>
  <c r="A33336" i="20"/>
  <c r="A33335" i="20"/>
  <c r="A33334" i="20"/>
  <c r="A33333" i="20"/>
  <c r="A33332" i="20"/>
  <c r="A33331" i="20"/>
  <c r="A33330" i="20"/>
  <c r="A33329" i="20"/>
  <c r="A33328" i="20"/>
  <c r="A33327" i="20"/>
  <c r="A33326" i="20"/>
  <c r="A33325" i="20"/>
  <c r="A33324" i="20"/>
  <c r="A33323" i="20"/>
  <c r="A33322" i="20"/>
  <c r="A33321" i="20"/>
  <c r="A33320" i="20"/>
  <c r="A33319" i="20"/>
  <c r="A33318" i="20"/>
  <c r="A33317" i="20"/>
  <c r="A33316" i="20"/>
  <c r="A33315" i="20"/>
  <c r="A33314" i="20"/>
  <c r="A33313" i="20"/>
  <c r="A33312" i="20"/>
  <c r="A33311" i="20"/>
  <c r="A33310" i="20"/>
  <c r="A33309" i="20"/>
  <c r="A33308" i="20"/>
  <c r="A33307" i="20"/>
  <c r="A33306" i="20"/>
  <c r="A33305" i="20"/>
  <c r="A33304" i="20"/>
  <c r="A33303" i="20"/>
  <c r="A33302" i="20"/>
  <c r="A33301" i="20"/>
  <c r="A33300" i="20"/>
  <c r="A33299" i="20"/>
  <c r="A33298" i="20"/>
  <c r="A33297" i="20"/>
  <c r="A33296" i="20"/>
  <c r="A33295" i="20"/>
  <c r="A33294" i="20"/>
  <c r="A33293" i="20"/>
  <c r="A33292" i="20"/>
  <c r="A33291" i="20"/>
  <c r="A33290" i="20"/>
  <c r="A33289" i="20"/>
  <c r="A33288" i="20"/>
  <c r="A33287" i="20"/>
  <c r="A33286" i="20"/>
  <c r="A33285" i="20"/>
  <c r="A33284" i="20"/>
  <c r="A33283" i="20"/>
  <c r="A33282" i="20"/>
  <c r="A33281" i="20"/>
  <c r="A33280" i="20"/>
  <c r="A33279" i="20"/>
  <c r="A33278" i="20"/>
  <c r="A33277" i="20"/>
  <c r="A33276" i="20"/>
  <c r="A33275" i="20"/>
  <c r="A33274" i="20"/>
  <c r="A33273" i="20"/>
  <c r="A33272" i="20"/>
  <c r="A33271" i="20"/>
  <c r="A33270" i="20"/>
  <c r="A33269" i="20"/>
  <c r="A33268" i="20"/>
  <c r="A33267" i="20"/>
  <c r="A33266" i="20"/>
  <c r="A33265" i="20"/>
  <c r="A33264" i="20"/>
  <c r="A33263" i="20"/>
  <c r="A33262" i="20"/>
  <c r="A33261" i="20"/>
  <c r="A33260" i="20"/>
  <c r="A33259" i="20"/>
  <c r="A33258" i="20"/>
  <c r="A33257" i="20"/>
  <c r="A33256" i="20"/>
  <c r="A33255" i="20"/>
  <c r="A33254" i="20"/>
  <c r="A33253" i="20"/>
  <c r="A33252" i="20"/>
  <c r="A33251" i="20"/>
  <c r="A33250" i="20"/>
  <c r="A33249" i="20"/>
  <c r="A33248" i="20"/>
  <c r="A33247" i="20"/>
  <c r="A33246" i="20"/>
  <c r="A33245" i="20"/>
  <c r="A33244" i="20"/>
  <c r="A33243" i="20"/>
  <c r="A33242" i="20"/>
  <c r="A33241" i="20"/>
  <c r="A33240" i="20"/>
  <c r="A33239" i="20"/>
  <c r="A33238" i="20"/>
  <c r="A33237" i="20"/>
  <c r="A33236" i="20"/>
  <c r="A33235" i="20"/>
  <c r="A33234" i="20"/>
  <c r="A33233" i="20"/>
  <c r="A33232" i="20"/>
  <c r="A33231" i="20"/>
  <c r="A33230" i="20"/>
  <c r="A33229" i="20"/>
  <c r="A33228" i="20"/>
  <c r="A33227" i="20"/>
  <c r="A33226" i="20"/>
  <c r="A33225" i="20"/>
  <c r="A33224" i="20"/>
  <c r="A33223" i="20"/>
  <c r="A33222" i="20"/>
  <c r="A33221" i="20"/>
  <c r="A33220" i="20"/>
  <c r="A33219" i="20"/>
  <c r="A33218" i="20"/>
  <c r="A33217" i="20"/>
  <c r="A33216" i="20"/>
  <c r="A33215" i="20"/>
  <c r="A33214" i="20"/>
  <c r="A33213" i="20"/>
  <c r="A33212" i="20"/>
  <c r="A33211" i="20"/>
  <c r="A33210" i="20"/>
  <c r="A33209" i="20"/>
  <c r="A33208" i="20"/>
  <c r="A33207" i="20"/>
  <c r="A33206" i="20"/>
  <c r="A33205" i="20"/>
  <c r="A33204" i="20"/>
  <c r="A33203" i="20"/>
  <c r="A33202" i="20"/>
  <c r="A33201" i="20"/>
  <c r="A33200" i="20"/>
  <c r="A33199" i="20"/>
  <c r="A33198" i="20"/>
  <c r="A33197" i="20"/>
  <c r="A33196" i="20"/>
  <c r="A33195" i="20"/>
  <c r="A33194" i="20"/>
  <c r="A33193" i="20"/>
  <c r="A33192" i="20"/>
  <c r="A33191" i="20"/>
  <c r="A33190" i="20"/>
  <c r="A33189" i="20"/>
  <c r="A33188" i="20"/>
  <c r="A33187" i="20"/>
  <c r="A33186" i="20"/>
  <c r="A33185" i="20"/>
  <c r="A33184" i="20"/>
  <c r="A33183" i="20"/>
  <c r="A33182" i="20"/>
  <c r="A33181" i="20"/>
  <c r="A33180" i="20"/>
  <c r="A33179" i="20"/>
  <c r="A33178" i="20"/>
  <c r="A33177" i="20"/>
  <c r="A33176" i="20"/>
  <c r="A33175" i="20"/>
  <c r="A33174" i="20"/>
  <c r="A33173" i="20"/>
  <c r="A33172" i="20"/>
  <c r="A33171" i="20"/>
  <c r="A33170" i="20"/>
  <c r="A33169" i="20"/>
  <c r="A33168" i="20"/>
  <c r="A33167" i="20"/>
  <c r="A33166" i="20"/>
  <c r="A33165" i="20"/>
  <c r="A33164" i="20"/>
  <c r="A33163" i="20"/>
  <c r="A33162" i="20"/>
  <c r="A33161" i="20"/>
  <c r="A33160" i="20"/>
  <c r="A33159" i="20"/>
  <c r="A33158" i="20"/>
  <c r="A33157" i="20"/>
  <c r="A33156" i="20"/>
  <c r="A33155" i="20"/>
  <c r="A33154" i="20"/>
  <c r="A33153" i="20"/>
  <c r="A33152" i="20"/>
  <c r="A33151" i="20"/>
  <c r="A33150" i="20"/>
  <c r="A33149" i="20"/>
  <c r="A33148" i="20"/>
  <c r="A33147" i="20"/>
  <c r="A33146" i="20"/>
  <c r="A33145" i="20"/>
  <c r="A33144" i="20"/>
  <c r="A33143" i="20"/>
  <c r="A33142" i="20"/>
  <c r="A33141" i="20"/>
  <c r="A33140" i="20"/>
  <c r="A33139" i="20"/>
  <c r="A33138" i="20"/>
  <c r="A33137" i="20"/>
  <c r="A33136" i="20"/>
  <c r="A33135" i="20"/>
  <c r="A33134" i="20"/>
  <c r="A33133" i="20"/>
  <c r="A33132" i="20"/>
  <c r="A33131" i="20"/>
  <c r="A33130" i="20"/>
  <c r="A33129" i="20"/>
  <c r="A33128" i="20"/>
  <c r="A33127" i="20"/>
  <c r="A33126" i="20"/>
  <c r="A33125" i="20"/>
  <c r="A33124" i="20"/>
  <c r="A33123" i="20"/>
  <c r="A33122" i="20"/>
  <c r="A33121" i="20"/>
  <c r="A33120" i="20"/>
  <c r="A33119" i="20"/>
  <c r="A33118" i="20"/>
  <c r="A33117" i="20"/>
  <c r="A33116" i="20"/>
  <c r="A33115" i="20"/>
  <c r="A33114" i="20"/>
  <c r="A33113" i="20"/>
  <c r="A33112" i="20"/>
  <c r="A33111" i="20"/>
  <c r="A33110" i="20"/>
  <c r="A33109" i="20"/>
  <c r="A33108" i="20"/>
  <c r="A33107" i="20"/>
  <c r="A33106" i="20"/>
  <c r="A33105" i="20"/>
  <c r="A33104" i="20"/>
  <c r="A33103" i="20"/>
  <c r="A33102" i="20"/>
  <c r="A33101" i="20"/>
  <c r="A33100" i="20"/>
  <c r="A33099" i="20"/>
  <c r="A33098" i="20"/>
  <c r="A33097" i="20"/>
  <c r="A33096" i="20"/>
  <c r="A33095" i="20"/>
  <c r="A33094" i="20"/>
  <c r="A33093" i="20"/>
  <c r="A33092" i="20"/>
  <c r="A33091" i="20"/>
  <c r="A33090" i="20"/>
  <c r="A33089" i="20"/>
  <c r="A33088" i="20"/>
  <c r="A33087" i="20"/>
  <c r="A33086" i="20"/>
  <c r="A33085" i="20"/>
  <c r="A33084" i="20"/>
  <c r="A33083" i="20"/>
  <c r="A33082" i="20"/>
  <c r="A33081" i="20"/>
  <c r="A33080" i="20"/>
  <c r="A33079" i="20"/>
  <c r="A33078" i="20"/>
  <c r="A33077" i="20"/>
  <c r="A33076" i="20"/>
  <c r="A33075" i="20"/>
  <c r="A33074" i="20"/>
  <c r="A33073" i="20"/>
  <c r="A33072" i="20"/>
  <c r="A33071" i="20"/>
  <c r="A33070" i="20"/>
  <c r="A33069" i="20"/>
  <c r="A33068" i="20"/>
  <c r="A33067" i="20"/>
  <c r="A33066" i="20"/>
  <c r="A33065" i="20"/>
  <c r="A33064" i="20"/>
  <c r="A33063" i="20"/>
  <c r="A33062" i="20"/>
  <c r="A33061" i="20"/>
  <c r="A33060" i="20"/>
  <c r="A33059" i="20"/>
  <c r="A33058" i="20"/>
  <c r="A33057" i="20"/>
  <c r="A33056" i="20"/>
  <c r="A33055" i="20"/>
  <c r="A33054" i="20"/>
  <c r="A33053" i="20"/>
  <c r="A33052" i="20"/>
  <c r="A33051" i="20"/>
  <c r="A33050" i="20"/>
  <c r="A33049" i="20"/>
  <c r="A33048" i="20"/>
  <c r="A33047" i="20"/>
  <c r="A33046" i="20"/>
  <c r="A33045" i="20"/>
  <c r="A33044" i="20"/>
  <c r="A33043" i="20"/>
  <c r="A33042" i="20"/>
  <c r="A33041" i="20"/>
  <c r="A33040" i="20"/>
  <c r="A33039" i="20"/>
  <c r="A33038" i="20"/>
  <c r="A33037" i="20"/>
  <c r="A33036" i="20"/>
  <c r="A33035" i="20"/>
  <c r="A33034" i="20"/>
  <c r="A33033" i="20"/>
  <c r="A33032" i="20"/>
  <c r="A33031" i="20"/>
  <c r="A33030" i="20"/>
  <c r="A33029" i="20"/>
  <c r="A33028" i="20"/>
  <c r="A33027" i="20"/>
  <c r="A33026" i="20"/>
  <c r="A33025" i="20"/>
  <c r="A33024" i="20"/>
  <c r="A33023" i="20"/>
  <c r="A33022" i="20"/>
  <c r="A33021" i="20"/>
  <c r="A33020" i="20"/>
  <c r="A33019" i="20"/>
  <c r="A33018" i="20"/>
  <c r="A33017" i="20"/>
  <c r="A33016" i="20"/>
  <c r="A33015" i="20"/>
  <c r="A33014" i="20"/>
  <c r="A33013" i="20"/>
  <c r="A33012" i="20"/>
  <c r="A33011" i="20"/>
  <c r="A33010" i="20"/>
  <c r="A33009" i="20"/>
  <c r="A33008" i="20"/>
  <c r="A33007" i="20"/>
  <c r="A33006" i="20"/>
  <c r="A33005" i="20"/>
  <c r="A33004" i="20"/>
  <c r="A33003" i="20"/>
  <c r="A33002" i="20"/>
  <c r="A33001" i="20"/>
  <c r="A33000" i="20"/>
  <c r="A32999" i="20"/>
  <c r="A32998" i="20"/>
  <c r="A32997" i="20"/>
  <c r="A32996" i="20"/>
  <c r="A32995" i="20"/>
  <c r="A32994" i="20"/>
  <c r="A32993" i="20"/>
  <c r="A32992" i="20"/>
  <c r="A32991" i="20"/>
  <c r="A32990" i="20"/>
  <c r="A32989" i="20"/>
  <c r="A32988" i="20"/>
  <c r="A32987" i="20"/>
  <c r="A32986" i="20"/>
  <c r="A32985" i="20"/>
  <c r="A32984" i="20"/>
  <c r="A32983" i="20"/>
  <c r="A32982" i="20"/>
  <c r="A32981" i="20"/>
  <c r="A32980" i="20"/>
  <c r="A32979" i="20"/>
  <c r="A32978" i="20"/>
  <c r="A32977" i="20"/>
  <c r="A32976" i="20"/>
  <c r="A32975" i="20"/>
  <c r="A32974" i="20"/>
  <c r="A32973" i="20"/>
  <c r="A32972" i="20"/>
  <c r="A32971" i="20"/>
  <c r="A32970" i="20"/>
  <c r="A32969" i="20"/>
  <c r="A32968" i="20"/>
  <c r="A32967" i="20"/>
  <c r="A32966" i="20"/>
  <c r="A32965" i="20"/>
  <c r="A32964" i="20"/>
  <c r="A32963" i="20"/>
  <c r="A32962" i="20"/>
  <c r="A32961" i="20"/>
  <c r="A32960" i="20"/>
  <c r="A32959" i="20"/>
  <c r="A32958" i="20"/>
  <c r="A32957" i="20"/>
  <c r="A32956" i="20"/>
  <c r="A32955" i="20"/>
  <c r="A32954" i="20"/>
  <c r="A32953" i="20"/>
  <c r="A32952" i="20"/>
  <c r="A32951" i="20"/>
  <c r="A32950" i="20"/>
  <c r="A32949" i="20"/>
  <c r="A32948" i="20"/>
  <c r="A32947" i="20"/>
  <c r="A32946" i="20"/>
  <c r="A32945" i="20"/>
  <c r="A32944" i="20"/>
  <c r="A32943" i="20"/>
  <c r="A32942" i="20"/>
  <c r="A32941" i="20"/>
  <c r="A32940" i="20"/>
  <c r="A32939" i="20"/>
  <c r="A32938" i="20"/>
  <c r="A32937" i="20"/>
  <c r="A32936" i="20"/>
  <c r="A32935" i="20"/>
  <c r="A32934" i="20"/>
  <c r="A32933" i="20"/>
  <c r="A32932" i="20"/>
  <c r="A32931" i="20"/>
  <c r="A32930" i="20"/>
  <c r="A32929" i="20"/>
  <c r="A32928" i="20"/>
  <c r="A32927" i="20"/>
  <c r="A32926" i="20"/>
  <c r="A32925" i="20"/>
  <c r="A32924" i="20"/>
  <c r="A32923" i="20"/>
  <c r="A32922" i="20"/>
  <c r="A32921" i="20"/>
  <c r="A32920" i="20"/>
  <c r="A32919" i="20"/>
  <c r="A32918" i="20"/>
  <c r="A32917" i="20"/>
  <c r="A32916" i="20"/>
  <c r="A32915" i="20"/>
  <c r="A32914" i="20"/>
  <c r="A32913" i="20"/>
  <c r="A32912" i="20"/>
  <c r="A32911" i="20"/>
  <c r="A32910" i="20"/>
  <c r="A32909" i="20"/>
  <c r="A32908" i="20"/>
  <c r="A32907" i="20"/>
  <c r="A32906" i="20"/>
  <c r="A32905" i="20"/>
  <c r="A32904" i="20"/>
  <c r="A32903" i="20"/>
  <c r="A32902" i="20"/>
  <c r="A32901" i="20"/>
  <c r="A32900" i="20"/>
  <c r="A32899" i="20"/>
  <c r="A32898" i="20"/>
  <c r="A32897" i="20"/>
  <c r="A32896" i="20"/>
  <c r="A32895" i="20"/>
  <c r="A32894" i="20"/>
  <c r="A32893" i="20"/>
  <c r="A32892" i="20"/>
  <c r="A32891" i="20"/>
  <c r="A32890" i="20"/>
  <c r="A32889" i="20"/>
  <c r="A32888" i="20"/>
  <c r="A32887" i="20"/>
  <c r="A32886" i="20"/>
  <c r="A32885" i="20"/>
  <c r="A32884" i="20"/>
  <c r="A32883" i="20"/>
  <c r="A32882" i="20"/>
  <c r="A32881" i="20"/>
  <c r="A32880" i="20"/>
  <c r="A32879" i="20"/>
  <c r="A32878" i="20"/>
  <c r="A32877" i="20"/>
  <c r="A32876" i="20"/>
  <c r="A32875" i="20"/>
  <c r="A32874" i="20"/>
  <c r="A32873" i="20"/>
  <c r="A32872" i="20"/>
  <c r="A32871" i="20"/>
  <c r="A32870" i="20"/>
  <c r="A32869" i="20"/>
  <c r="A32868" i="20"/>
  <c r="A32867" i="20"/>
  <c r="A32866" i="20"/>
  <c r="A32865" i="20"/>
  <c r="A32864" i="20"/>
  <c r="A32863" i="20"/>
  <c r="A32862" i="20"/>
  <c r="A32861" i="20"/>
  <c r="A32860" i="20"/>
  <c r="A32859" i="20"/>
  <c r="A32858" i="20"/>
  <c r="A32857" i="20"/>
  <c r="A32856" i="20"/>
  <c r="A32855" i="20"/>
  <c r="A32854" i="20"/>
  <c r="A32853" i="20"/>
  <c r="A32852" i="20"/>
  <c r="A32851" i="20"/>
  <c r="A32850" i="20"/>
  <c r="A32849" i="20"/>
  <c r="A32848" i="20"/>
  <c r="A32847" i="20"/>
  <c r="A32846" i="20"/>
  <c r="A32845" i="20"/>
  <c r="A32844" i="20"/>
  <c r="A32843" i="20"/>
  <c r="A32842" i="20"/>
  <c r="A32841" i="20"/>
  <c r="A32840" i="20"/>
  <c r="A32839" i="20"/>
  <c r="A32838" i="20"/>
  <c r="A32837" i="20"/>
  <c r="A32836" i="20"/>
  <c r="A32835" i="20"/>
  <c r="A32834" i="20"/>
  <c r="A32833" i="20"/>
  <c r="A32832" i="20"/>
  <c r="A32831" i="20"/>
  <c r="A32830" i="20"/>
  <c r="A32829" i="20"/>
  <c r="A32828" i="20"/>
  <c r="A32827" i="20"/>
  <c r="A32826" i="20"/>
  <c r="A32825" i="20"/>
  <c r="A32824" i="20"/>
  <c r="A32823" i="20"/>
  <c r="A32822" i="20"/>
  <c r="A32821" i="20"/>
  <c r="A32820" i="20"/>
  <c r="A32819" i="20"/>
  <c r="A32818" i="20"/>
  <c r="A32817" i="20"/>
  <c r="A32816" i="20"/>
  <c r="A32815" i="20"/>
  <c r="A32814" i="20"/>
  <c r="A32813" i="20"/>
  <c r="A32812" i="20"/>
  <c r="A32811" i="20"/>
  <c r="A32810" i="20"/>
  <c r="A32809" i="20"/>
  <c r="A32808" i="20"/>
  <c r="A32807" i="20"/>
  <c r="A32806" i="20"/>
  <c r="A32805" i="20"/>
  <c r="A32804" i="20"/>
  <c r="A32803" i="20"/>
  <c r="A32802" i="20"/>
  <c r="A32801" i="20"/>
  <c r="A32800" i="20"/>
  <c r="A32799" i="20"/>
  <c r="A32798" i="20"/>
  <c r="A32797" i="20"/>
  <c r="A32796" i="20"/>
  <c r="A32795" i="20"/>
  <c r="A32794" i="20"/>
  <c r="A32793" i="20"/>
  <c r="A32792" i="20"/>
  <c r="A32791" i="20"/>
  <c r="A32790" i="20"/>
  <c r="A32789" i="20"/>
  <c r="A32788" i="20"/>
  <c r="A32787" i="20"/>
  <c r="A32786" i="20"/>
  <c r="A32785" i="20"/>
  <c r="A32784" i="20"/>
  <c r="A32783" i="20"/>
  <c r="A32782" i="20"/>
  <c r="A32781" i="20"/>
  <c r="A32780" i="20"/>
  <c r="A32779" i="20"/>
  <c r="A32778" i="20"/>
  <c r="A32777" i="20"/>
  <c r="A32776" i="20"/>
  <c r="A32775" i="20"/>
  <c r="A32774" i="20"/>
  <c r="A32773" i="20"/>
  <c r="A32772" i="20"/>
  <c r="A32771" i="20"/>
  <c r="A32770" i="20"/>
  <c r="A32769" i="20"/>
  <c r="A32768" i="20"/>
  <c r="A32767" i="20"/>
  <c r="A32766" i="20"/>
  <c r="A32765" i="20"/>
  <c r="A32764" i="20"/>
  <c r="A32763" i="20"/>
  <c r="A32762" i="20"/>
  <c r="A32761" i="20"/>
  <c r="A32760" i="20"/>
  <c r="A32759" i="20"/>
  <c r="A32758" i="20"/>
  <c r="A32757" i="20"/>
  <c r="A32756" i="20"/>
  <c r="A32755" i="20"/>
  <c r="A32754" i="20"/>
  <c r="A32753" i="20"/>
  <c r="A32752" i="20"/>
  <c r="A32751" i="20"/>
  <c r="A32750" i="20"/>
  <c r="A32749" i="20"/>
  <c r="A32748" i="20"/>
  <c r="A32747" i="20"/>
  <c r="A32746" i="20"/>
  <c r="A32745" i="20"/>
  <c r="A32744" i="20"/>
  <c r="A32743" i="20"/>
  <c r="A32742" i="20"/>
  <c r="A32741" i="20"/>
  <c r="A32740" i="20"/>
  <c r="A32739" i="20"/>
  <c r="A32738" i="20"/>
  <c r="A32737" i="20"/>
  <c r="A32736" i="20"/>
  <c r="A32735" i="20"/>
  <c r="A32734" i="20"/>
  <c r="A32733" i="20"/>
  <c r="A32732" i="20"/>
  <c r="A32731" i="20"/>
  <c r="A32730" i="20"/>
  <c r="A32729" i="20"/>
  <c r="A32728" i="20"/>
  <c r="A32727" i="20"/>
  <c r="A32726" i="20"/>
  <c r="A32725" i="20"/>
  <c r="A32724" i="20"/>
  <c r="A32723" i="20"/>
  <c r="A32722" i="20"/>
  <c r="A32721" i="20"/>
  <c r="A32720" i="20"/>
  <c r="A32719" i="20"/>
  <c r="A32718" i="20"/>
  <c r="A32717" i="20"/>
  <c r="A32716" i="20"/>
  <c r="A32715" i="20"/>
  <c r="A32714" i="20"/>
  <c r="A32713" i="20"/>
  <c r="A32712" i="20"/>
  <c r="A32711" i="20"/>
  <c r="A32710" i="20"/>
  <c r="A32709" i="20"/>
  <c r="A32708" i="20"/>
  <c r="A32707" i="20"/>
  <c r="A32706" i="20"/>
  <c r="A32705" i="20"/>
  <c r="A32704" i="20"/>
  <c r="A32703" i="20"/>
  <c r="A32702" i="20"/>
  <c r="A32701" i="20"/>
  <c r="A32700" i="20"/>
  <c r="A32699" i="20"/>
  <c r="A32698" i="20"/>
  <c r="A32697" i="20"/>
  <c r="A32696" i="20"/>
  <c r="A32695" i="20"/>
  <c r="A32694" i="20"/>
  <c r="A32693" i="20"/>
  <c r="A32692" i="20"/>
  <c r="A32691" i="20"/>
  <c r="A32690" i="20"/>
  <c r="A32689" i="20"/>
  <c r="A32688" i="20"/>
  <c r="A32687" i="20"/>
  <c r="A32686" i="20"/>
  <c r="A32685" i="20"/>
  <c r="A32684" i="20"/>
  <c r="A32683" i="20"/>
  <c r="A32682" i="20"/>
  <c r="A32681" i="20"/>
  <c r="A32680" i="20"/>
  <c r="A32679" i="20"/>
  <c r="A32678" i="20"/>
  <c r="A32677" i="20"/>
  <c r="A32676" i="20"/>
  <c r="A32675" i="20"/>
  <c r="A32674" i="20"/>
  <c r="A32673" i="20"/>
  <c r="A32672" i="20"/>
  <c r="A32671" i="20"/>
  <c r="A32670" i="20"/>
  <c r="A32669" i="20"/>
  <c r="A32668" i="20"/>
  <c r="A32667" i="20"/>
  <c r="A32666" i="20"/>
  <c r="A32665" i="20"/>
  <c r="A32664" i="20"/>
  <c r="A32663" i="20"/>
  <c r="A32662" i="20"/>
  <c r="A32661" i="20"/>
  <c r="A32660" i="20"/>
  <c r="A32659" i="20"/>
  <c r="A32658" i="20"/>
  <c r="A32657" i="20"/>
  <c r="A32656" i="20"/>
  <c r="A32655" i="20"/>
  <c r="A32654" i="20"/>
  <c r="A32653" i="20"/>
  <c r="A32652" i="20"/>
  <c r="A32651" i="20"/>
  <c r="A32650" i="20"/>
  <c r="A32649" i="20"/>
  <c r="A32648" i="20"/>
  <c r="A32647" i="20"/>
  <c r="A32646" i="20"/>
  <c r="A32645" i="20"/>
  <c r="A32644" i="20"/>
  <c r="A32643" i="20"/>
  <c r="A32642" i="20"/>
  <c r="A32641" i="20"/>
  <c r="A32640" i="20"/>
  <c r="A32639" i="20"/>
  <c r="A32638" i="20"/>
  <c r="A32637" i="20"/>
  <c r="A32636" i="20"/>
  <c r="A32635" i="20"/>
  <c r="A32634" i="20"/>
  <c r="A32633" i="20"/>
  <c r="A32632" i="20"/>
  <c r="A32631" i="20"/>
  <c r="A32630" i="20"/>
  <c r="A32629" i="20"/>
  <c r="A32628" i="20"/>
  <c r="A32627" i="20"/>
  <c r="A32626" i="20"/>
  <c r="A32625" i="20"/>
  <c r="A32624" i="20"/>
  <c r="A32623" i="20"/>
  <c r="A32622" i="20"/>
  <c r="A32621" i="20"/>
  <c r="A32620" i="20"/>
  <c r="A32619" i="20"/>
  <c r="A32618" i="20"/>
  <c r="A32617" i="20"/>
  <c r="A32616" i="20"/>
  <c r="A32615" i="20"/>
  <c r="A32614" i="20"/>
  <c r="A32613" i="20"/>
  <c r="A32612" i="20"/>
  <c r="A32611" i="20"/>
  <c r="A32610" i="20"/>
  <c r="A32609" i="20"/>
  <c r="A32608" i="20"/>
  <c r="A32607" i="20"/>
  <c r="A32606" i="20"/>
  <c r="A32605" i="20"/>
  <c r="A32604" i="20"/>
  <c r="A32603" i="20"/>
  <c r="A32602" i="20"/>
  <c r="A32601" i="20"/>
  <c r="A32600" i="20"/>
  <c r="A32599" i="20"/>
  <c r="A32598" i="20"/>
  <c r="A32597" i="20"/>
  <c r="A32596" i="20"/>
  <c r="A32595" i="20"/>
  <c r="A32594" i="20"/>
  <c r="A32593" i="20"/>
  <c r="A32592" i="20"/>
  <c r="A32591" i="20"/>
  <c r="A32590" i="20"/>
  <c r="A32589" i="20"/>
  <c r="A32588" i="20"/>
  <c r="A32587" i="20"/>
  <c r="A32586" i="20"/>
  <c r="A32585" i="20"/>
  <c r="A32584" i="20"/>
  <c r="A32583" i="20"/>
  <c r="A32582" i="20"/>
  <c r="A32581" i="20"/>
  <c r="A32580" i="20"/>
  <c r="A32579" i="20"/>
  <c r="A32578" i="20"/>
  <c r="A32577" i="20"/>
  <c r="A32576" i="20"/>
  <c r="A32575" i="20"/>
  <c r="A32574" i="20"/>
  <c r="A32573" i="20"/>
  <c r="A32572" i="20"/>
  <c r="A32571" i="20"/>
  <c r="A32570" i="20"/>
  <c r="A32569" i="20"/>
  <c r="A32568" i="20"/>
  <c r="A32567" i="20"/>
  <c r="A32566" i="20"/>
  <c r="A32565" i="20"/>
  <c r="A32564" i="20"/>
  <c r="A32563" i="20"/>
  <c r="A32562" i="20"/>
  <c r="A32561" i="20"/>
  <c r="A32560" i="20"/>
  <c r="A32559" i="20"/>
  <c r="A32558" i="20"/>
  <c r="A32557" i="20"/>
  <c r="A32556" i="20"/>
  <c r="A32555" i="20"/>
  <c r="A32554" i="20"/>
  <c r="A32553" i="20"/>
  <c r="A32552" i="20"/>
  <c r="A32551" i="20"/>
  <c r="A32550" i="20"/>
  <c r="A32549" i="20"/>
  <c r="A32548" i="20"/>
  <c r="A32547" i="20"/>
  <c r="A32546" i="20"/>
  <c r="A32545" i="20"/>
  <c r="A32544" i="20"/>
  <c r="A32543" i="20"/>
  <c r="A32542" i="20"/>
  <c r="A32541" i="20"/>
  <c r="A32540" i="20"/>
  <c r="A32539" i="20"/>
  <c r="A32538" i="20"/>
  <c r="A32537" i="20"/>
  <c r="A32536" i="20"/>
  <c r="A32535" i="20"/>
  <c r="A32534" i="20"/>
  <c r="A32533" i="20"/>
  <c r="A32532" i="20"/>
  <c r="A32531" i="20"/>
  <c r="A32530" i="20"/>
  <c r="A32529" i="20"/>
  <c r="A32528" i="20"/>
  <c r="A32527" i="20"/>
  <c r="A32526" i="20"/>
  <c r="A32525" i="20"/>
  <c r="A32524" i="20"/>
  <c r="A32523" i="20"/>
  <c r="A32522" i="20"/>
  <c r="A32521" i="20"/>
  <c r="A32520" i="20"/>
  <c r="A32519" i="20"/>
  <c r="A32518" i="20"/>
  <c r="A32517" i="20"/>
  <c r="A32516" i="20"/>
  <c r="A32515" i="20"/>
  <c r="A32514" i="20"/>
  <c r="A32513" i="20"/>
  <c r="A32512" i="20"/>
  <c r="A32511" i="20"/>
  <c r="A32510" i="20"/>
  <c r="A32509" i="20"/>
  <c r="A32508" i="20"/>
  <c r="A32507" i="20"/>
  <c r="A32506" i="20"/>
  <c r="A32505" i="20"/>
  <c r="A32504" i="20"/>
  <c r="A32503" i="20"/>
  <c r="A32502" i="20"/>
  <c r="A32501" i="20"/>
  <c r="A32500" i="20"/>
  <c r="A32499" i="20"/>
  <c r="A32498" i="20"/>
  <c r="A32497" i="20"/>
  <c r="A32496" i="20"/>
  <c r="A32495" i="20"/>
  <c r="A32494" i="20"/>
  <c r="A32493" i="20"/>
  <c r="A32492" i="20"/>
  <c r="A32491" i="20"/>
  <c r="A32490" i="20"/>
  <c r="A32489" i="20"/>
  <c r="A32488" i="20"/>
  <c r="A32487" i="20"/>
  <c r="A32486" i="20"/>
  <c r="A32485" i="20"/>
  <c r="A32484" i="20"/>
  <c r="A32483" i="20"/>
  <c r="A32482" i="20"/>
  <c r="A32481" i="20"/>
  <c r="A32480" i="20"/>
  <c r="A32479" i="20"/>
  <c r="A32478" i="20"/>
  <c r="A32477" i="20"/>
  <c r="A32476" i="20"/>
  <c r="A32475" i="20"/>
  <c r="A32474" i="20"/>
  <c r="A32473" i="20"/>
  <c r="A32472" i="20"/>
  <c r="A32471" i="20"/>
  <c r="A32470" i="20"/>
  <c r="A32469" i="20"/>
  <c r="A32468" i="20"/>
  <c r="A32467" i="20"/>
  <c r="A32466" i="20"/>
  <c r="A32465" i="20"/>
  <c r="A32464" i="20"/>
  <c r="A32463" i="20"/>
  <c r="A32462" i="20"/>
  <c r="A32461" i="20"/>
  <c r="A32460" i="20"/>
  <c r="A32459" i="20"/>
  <c r="A32458" i="20"/>
  <c r="A32457" i="20"/>
  <c r="A32456" i="20"/>
  <c r="A32455" i="20"/>
  <c r="A32454" i="20"/>
  <c r="A32453" i="20"/>
  <c r="A32452" i="20"/>
  <c r="A32451" i="20"/>
  <c r="A32450" i="20"/>
  <c r="A32449" i="20"/>
  <c r="A32448" i="20"/>
  <c r="A32447" i="20"/>
  <c r="A32446" i="20"/>
  <c r="A32445" i="20"/>
  <c r="A32444" i="20"/>
  <c r="A32443" i="20"/>
  <c r="A32442" i="20"/>
  <c r="A32441" i="20"/>
  <c r="A32440" i="20"/>
  <c r="A32439" i="20"/>
  <c r="A32438" i="20"/>
  <c r="A32437" i="20"/>
  <c r="A32436" i="20"/>
  <c r="A32435" i="20"/>
  <c r="A32434" i="20"/>
  <c r="A32433" i="20"/>
  <c r="A32432" i="20"/>
  <c r="A32431" i="20"/>
  <c r="A32430" i="20"/>
  <c r="A32429" i="20"/>
  <c r="A32428" i="20"/>
  <c r="A32427" i="20"/>
  <c r="A32426" i="20"/>
  <c r="A32425" i="20"/>
  <c r="A32424" i="20"/>
  <c r="A32423" i="20"/>
  <c r="A32422" i="20"/>
  <c r="A32421" i="20"/>
  <c r="A32420" i="20"/>
  <c r="A32419" i="20"/>
  <c r="A32418" i="20"/>
  <c r="A32417" i="20"/>
  <c r="A32416" i="20"/>
  <c r="A32415" i="20"/>
  <c r="A32414" i="20"/>
  <c r="A32413" i="20"/>
  <c r="A32412" i="20"/>
  <c r="A32411" i="20"/>
  <c r="A32410" i="20"/>
  <c r="A32409" i="20"/>
  <c r="A32408" i="20"/>
  <c r="A32407" i="20"/>
  <c r="A32406" i="20"/>
  <c r="A32405" i="20"/>
  <c r="A32404" i="20"/>
  <c r="A32403" i="20"/>
  <c r="A32402" i="20"/>
  <c r="A32401" i="20"/>
  <c r="A32400" i="20"/>
  <c r="A32399" i="20"/>
  <c r="A32398" i="20"/>
  <c r="A32397" i="20"/>
  <c r="A32396" i="20"/>
  <c r="A32395" i="20"/>
  <c r="A32394" i="20"/>
  <c r="A32393" i="20"/>
  <c r="A32392" i="20"/>
  <c r="A32391" i="20"/>
  <c r="A32390" i="20"/>
  <c r="A32389" i="20"/>
  <c r="A32388" i="20"/>
  <c r="A32387" i="20"/>
  <c r="A32386" i="20"/>
  <c r="A32385" i="20"/>
  <c r="A32384" i="20"/>
  <c r="A32383" i="20"/>
  <c r="A32382" i="20"/>
  <c r="A32381" i="20"/>
  <c r="A32380" i="20"/>
  <c r="A32379" i="20"/>
  <c r="A32378" i="20"/>
  <c r="A32377" i="20"/>
  <c r="A32376" i="20"/>
  <c r="A32375" i="20"/>
  <c r="A32374" i="20"/>
  <c r="A32373" i="20"/>
  <c r="A32372" i="20"/>
  <c r="A32371" i="20"/>
  <c r="A32370" i="20"/>
  <c r="A32369" i="20"/>
  <c r="A32368" i="20"/>
  <c r="A32367" i="20"/>
  <c r="A32366" i="20"/>
  <c r="A32365" i="20"/>
  <c r="A32364" i="20"/>
  <c r="A32363" i="20"/>
  <c r="A32362" i="20"/>
  <c r="A32361" i="20"/>
  <c r="A32360" i="20"/>
  <c r="A32359" i="20"/>
  <c r="A32358" i="20"/>
  <c r="A32357" i="20"/>
  <c r="A32356" i="20"/>
  <c r="A32355" i="20"/>
  <c r="A32354" i="20"/>
  <c r="A32353" i="20"/>
  <c r="A32352" i="20"/>
  <c r="A32351" i="20"/>
  <c r="A32350" i="20"/>
  <c r="A32349" i="20"/>
  <c r="A32348" i="20"/>
  <c r="A32347" i="20"/>
  <c r="A32346" i="20"/>
  <c r="A32345" i="20"/>
  <c r="A32344" i="20"/>
  <c r="A32343" i="20"/>
  <c r="A32342" i="20"/>
  <c r="A32341" i="20"/>
  <c r="A32340" i="20"/>
  <c r="A32339" i="20"/>
  <c r="A32338" i="20"/>
  <c r="A32337" i="20"/>
  <c r="A32336" i="20"/>
  <c r="A32335" i="20"/>
  <c r="A32334" i="20"/>
  <c r="A32333" i="20"/>
  <c r="A32332" i="20"/>
  <c r="A32331" i="20"/>
  <c r="A32330" i="20"/>
  <c r="A32329" i="20"/>
  <c r="A32328" i="20"/>
  <c r="A32327" i="20"/>
  <c r="A32326" i="20"/>
  <c r="A32325" i="20"/>
  <c r="A32324" i="20"/>
  <c r="A32323" i="20"/>
  <c r="A32322" i="20"/>
  <c r="A32321" i="20"/>
  <c r="A32320" i="20"/>
  <c r="A32319" i="20"/>
  <c r="A32318" i="20"/>
  <c r="A32317" i="20"/>
  <c r="A32316" i="20"/>
  <c r="A32315" i="20"/>
  <c r="A32314" i="20"/>
  <c r="A32313" i="20"/>
  <c r="A32312" i="20"/>
  <c r="A32311" i="20"/>
  <c r="A32310" i="20"/>
  <c r="A32309" i="20"/>
  <c r="A32308" i="20"/>
  <c r="A32307" i="20"/>
  <c r="A32306" i="20"/>
  <c r="A32305" i="20"/>
  <c r="A32304" i="20"/>
  <c r="A32303" i="20"/>
  <c r="A32302" i="20"/>
  <c r="A32301" i="20"/>
  <c r="A32300" i="20"/>
  <c r="A32299" i="20"/>
  <c r="A32298" i="20"/>
  <c r="A32297" i="20"/>
  <c r="A32296" i="20"/>
  <c r="A32295" i="20"/>
  <c r="A32294" i="20"/>
  <c r="A32293" i="20"/>
  <c r="A32292" i="20"/>
  <c r="A32291" i="20"/>
  <c r="A32290" i="20"/>
  <c r="A32289" i="20"/>
  <c r="A32288" i="20"/>
  <c r="A32287" i="20"/>
  <c r="A32286" i="20"/>
  <c r="A32285" i="20"/>
  <c r="A32284" i="20"/>
  <c r="A32283" i="20"/>
  <c r="A32282" i="20"/>
  <c r="A32281" i="20"/>
  <c r="A32280" i="20"/>
  <c r="A32279" i="20"/>
  <c r="A32278" i="20"/>
  <c r="A32277" i="20"/>
  <c r="A32276" i="20"/>
  <c r="A32275" i="20"/>
  <c r="A32274" i="20"/>
  <c r="A32273" i="20"/>
  <c r="A32272" i="20"/>
  <c r="A32271" i="20"/>
  <c r="A32270" i="20"/>
  <c r="A32269" i="20"/>
  <c r="A32268" i="20"/>
  <c r="A32267" i="20"/>
  <c r="A32266" i="20"/>
  <c r="A32265" i="20"/>
  <c r="A32264" i="20"/>
  <c r="A32263" i="20"/>
  <c r="A32262" i="20"/>
  <c r="A32261" i="20"/>
  <c r="A32260" i="20"/>
  <c r="A32259" i="20"/>
  <c r="A32258" i="20"/>
  <c r="A32257" i="20"/>
  <c r="A32256" i="20"/>
  <c r="A32255" i="20"/>
  <c r="A32254" i="20"/>
  <c r="A32253" i="20"/>
  <c r="A32252" i="20"/>
  <c r="A32251" i="20"/>
  <c r="A32250" i="20"/>
  <c r="A32249" i="20"/>
  <c r="A32248" i="20"/>
  <c r="A32247" i="20"/>
  <c r="A32246" i="20"/>
  <c r="A32245" i="20"/>
  <c r="A32244" i="20"/>
  <c r="A32243" i="20"/>
  <c r="A32242" i="20"/>
  <c r="A32241" i="20"/>
  <c r="A32240" i="20"/>
  <c r="A32239" i="20"/>
  <c r="A32238" i="20"/>
  <c r="A32237" i="20"/>
  <c r="A32236" i="20"/>
  <c r="A32235" i="20"/>
  <c r="A32234" i="20"/>
  <c r="A32233" i="20"/>
  <c r="A32232" i="20"/>
  <c r="A32231" i="20"/>
  <c r="A32230" i="20"/>
  <c r="A32229" i="20"/>
  <c r="A32228" i="20"/>
  <c r="A32227" i="20"/>
  <c r="A32226" i="20"/>
  <c r="A32225" i="20"/>
  <c r="A32224" i="20"/>
  <c r="A32223" i="20"/>
  <c r="A32222" i="20"/>
  <c r="A32221" i="20"/>
  <c r="A32220" i="20"/>
  <c r="A32219" i="20"/>
  <c r="A32218" i="20"/>
  <c r="A32217" i="20"/>
  <c r="A32216" i="20"/>
  <c r="A32215" i="20"/>
  <c r="A32214" i="20"/>
  <c r="A32213" i="20"/>
  <c r="A32212" i="20"/>
  <c r="A32211" i="20"/>
  <c r="A32210" i="20"/>
  <c r="A32209" i="20"/>
  <c r="A32208" i="20"/>
  <c r="A32207" i="20"/>
  <c r="A32206" i="20"/>
  <c r="A32205" i="20"/>
  <c r="A32204" i="20"/>
  <c r="A32203" i="20"/>
  <c r="A32202" i="20"/>
  <c r="A32201" i="20"/>
  <c r="A32200" i="20"/>
  <c r="A32199" i="20"/>
  <c r="A32198" i="20"/>
  <c r="A32197" i="20"/>
  <c r="A32196" i="20"/>
  <c r="A32195" i="20"/>
  <c r="A32194" i="20"/>
  <c r="A32193" i="20"/>
  <c r="A32192" i="20"/>
  <c r="A32191" i="20"/>
  <c r="A32190" i="20"/>
  <c r="A32189" i="20"/>
  <c r="A32188" i="20"/>
  <c r="A32187" i="20"/>
  <c r="A32186" i="20"/>
  <c r="A32185" i="20"/>
  <c r="A32184" i="20"/>
  <c r="A32183" i="20"/>
  <c r="A32182" i="20"/>
  <c r="A32181" i="20"/>
  <c r="A32180" i="20"/>
  <c r="A32179" i="20"/>
  <c r="A32178" i="20"/>
  <c r="A32177" i="20"/>
  <c r="A32176" i="20"/>
  <c r="A32175" i="20"/>
  <c r="A32174" i="20"/>
  <c r="A32173" i="20"/>
  <c r="A32172" i="20"/>
  <c r="A32171" i="20"/>
  <c r="A32170" i="20"/>
  <c r="A32169" i="20"/>
  <c r="A32168" i="20"/>
  <c r="A32167" i="20"/>
  <c r="A32166" i="20"/>
  <c r="A32165" i="20"/>
  <c r="A32164" i="20"/>
  <c r="A32163" i="20"/>
  <c r="A32162" i="20"/>
  <c r="A32161" i="20"/>
  <c r="A32160" i="20"/>
  <c r="A32159" i="20"/>
  <c r="A32158" i="20"/>
  <c r="A32157" i="20"/>
  <c r="A32156" i="20"/>
  <c r="A32155" i="20"/>
  <c r="A32154" i="20"/>
  <c r="A32153" i="20"/>
  <c r="A32152" i="20"/>
  <c r="A32151" i="20"/>
  <c r="A32150" i="20"/>
  <c r="A32149" i="20"/>
  <c r="A32148" i="20"/>
  <c r="A32147" i="20"/>
  <c r="A32146" i="20"/>
  <c r="A32145" i="20"/>
  <c r="A32144" i="20"/>
  <c r="A32143" i="20"/>
  <c r="A32142" i="20"/>
  <c r="A32141" i="20"/>
  <c r="A32140" i="20"/>
  <c r="A32139" i="20"/>
  <c r="A32138" i="20"/>
  <c r="A32137" i="20"/>
  <c r="A32136" i="20"/>
  <c r="A32135" i="20"/>
  <c r="A32134" i="20"/>
  <c r="A32133" i="20"/>
  <c r="A32132" i="20"/>
  <c r="A32131" i="20"/>
  <c r="A32130" i="20"/>
  <c r="A32129" i="20"/>
  <c r="A32128" i="20"/>
  <c r="A32127" i="20"/>
  <c r="A32126" i="20"/>
  <c r="A32125" i="20"/>
  <c r="A32124" i="20"/>
  <c r="A32123" i="20"/>
  <c r="A32122" i="20"/>
  <c r="A32121" i="20"/>
  <c r="A32120" i="20"/>
  <c r="A32119" i="20"/>
  <c r="A32118" i="20"/>
  <c r="A32117" i="20"/>
  <c r="A32116" i="20"/>
  <c r="A32115" i="20"/>
  <c r="A32114" i="20"/>
  <c r="A32113" i="20"/>
  <c r="A32112" i="20"/>
  <c r="A32111" i="20"/>
  <c r="A32110" i="20"/>
  <c r="A32109" i="20"/>
  <c r="A32108" i="20"/>
  <c r="A32107" i="20"/>
  <c r="A32106" i="20"/>
  <c r="A32105" i="20"/>
  <c r="A32104" i="20"/>
  <c r="A32103" i="20"/>
  <c r="A32102" i="20"/>
  <c r="A32101" i="20"/>
  <c r="A32100" i="20"/>
  <c r="A32099" i="20"/>
  <c r="A32098" i="20"/>
  <c r="A32097" i="20"/>
  <c r="A32096" i="20"/>
  <c r="A32095" i="20"/>
  <c r="A32094" i="20"/>
  <c r="A32093" i="20"/>
  <c r="A32092" i="20"/>
  <c r="A32091" i="20"/>
  <c r="A32090" i="20"/>
  <c r="A32089" i="20"/>
  <c r="A32088" i="20"/>
  <c r="A32087" i="20"/>
  <c r="A32086" i="20"/>
  <c r="A32085" i="20"/>
  <c r="A32084" i="20"/>
  <c r="A32083" i="20"/>
  <c r="A32082" i="20"/>
  <c r="A32081" i="20"/>
  <c r="A32080" i="20"/>
  <c r="A32079" i="20"/>
  <c r="A32078" i="20"/>
  <c r="A32077" i="20"/>
  <c r="A32076" i="20"/>
  <c r="A32075" i="20"/>
  <c r="A32074" i="20"/>
  <c r="A32073" i="20"/>
  <c r="A32072" i="20"/>
  <c r="A32071" i="20"/>
  <c r="A32070" i="20"/>
  <c r="A32069" i="20"/>
  <c r="A32068" i="20"/>
  <c r="A32067" i="20"/>
  <c r="A32066" i="20"/>
  <c r="A32065" i="20"/>
  <c r="A32064" i="20"/>
  <c r="A32063" i="20"/>
  <c r="A32062" i="20"/>
  <c r="A32061" i="20"/>
  <c r="A32060" i="20"/>
  <c r="A32059" i="20"/>
  <c r="A32058" i="20"/>
  <c r="A32057" i="20"/>
  <c r="A32056" i="20"/>
  <c r="A32055" i="20"/>
  <c r="A32054" i="20"/>
  <c r="A32053" i="20"/>
  <c r="A32052" i="20"/>
  <c r="A32051" i="20"/>
  <c r="A32050" i="20"/>
  <c r="A32049" i="20"/>
  <c r="A32048" i="20"/>
  <c r="A32047" i="20"/>
  <c r="A32046" i="20"/>
  <c r="A32045" i="20"/>
  <c r="A32044" i="20"/>
  <c r="A32043" i="20"/>
  <c r="A32042" i="20"/>
  <c r="A32041" i="20"/>
  <c r="A32040" i="20"/>
  <c r="A32039" i="20"/>
  <c r="A32038" i="20"/>
  <c r="A32037" i="20"/>
  <c r="A32036" i="20"/>
  <c r="A32035" i="20"/>
  <c r="A32034" i="20"/>
  <c r="A32033" i="20"/>
  <c r="A32032" i="20"/>
  <c r="A32031" i="20"/>
  <c r="A32030" i="20"/>
  <c r="A32029" i="20"/>
  <c r="A32028" i="20"/>
  <c r="A32027" i="20"/>
  <c r="A32026" i="20"/>
  <c r="A32025" i="20"/>
  <c r="A32024" i="20"/>
  <c r="A32023" i="20"/>
  <c r="A32022" i="20"/>
  <c r="A32021" i="20"/>
  <c r="A32020" i="20"/>
  <c r="A32019" i="20"/>
  <c r="A32018" i="20"/>
  <c r="A32017" i="20"/>
  <c r="A32016" i="20"/>
  <c r="A32015" i="20"/>
  <c r="A32014" i="20"/>
  <c r="A32013" i="20"/>
  <c r="A32012" i="20"/>
  <c r="A32011" i="20"/>
  <c r="A32010" i="20"/>
  <c r="A32009" i="20"/>
  <c r="A32008" i="20"/>
  <c r="A32007" i="20"/>
  <c r="A32006" i="20"/>
  <c r="A32005" i="20"/>
  <c r="A32004" i="20"/>
  <c r="A32003" i="20"/>
  <c r="A32002" i="20"/>
  <c r="A32001" i="20"/>
  <c r="A32000" i="20"/>
  <c r="A31999" i="20"/>
  <c r="A31998" i="20"/>
  <c r="A31997" i="20"/>
  <c r="A31996" i="20"/>
  <c r="A31995" i="20"/>
  <c r="A31994" i="20"/>
  <c r="A31993" i="20"/>
  <c r="A31992" i="20"/>
  <c r="A31991" i="20"/>
  <c r="A31990" i="20"/>
  <c r="A31989" i="20"/>
  <c r="A31988" i="20"/>
  <c r="A31987" i="20"/>
  <c r="A31986" i="20"/>
  <c r="A31985" i="20"/>
  <c r="A31984" i="20"/>
  <c r="A31983" i="20"/>
  <c r="A31982" i="20"/>
  <c r="A31981" i="20"/>
  <c r="A31980" i="20"/>
  <c r="A31979" i="20"/>
  <c r="A31978" i="20"/>
  <c r="A31977" i="20"/>
  <c r="A31976" i="20"/>
  <c r="A31975" i="20"/>
  <c r="A31974" i="20"/>
  <c r="A31973" i="20"/>
  <c r="A31972" i="20"/>
  <c r="A31971" i="20"/>
  <c r="A31970" i="20"/>
  <c r="A31969" i="20"/>
  <c r="A31968" i="20"/>
  <c r="A31967" i="20"/>
  <c r="A31966" i="20"/>
  <c r="A31965" i="20"/>
  <c r="A31964" i="20"/>
  <c r="A31963" i="20"/>
  <c r="A31962" i="20"/>
  <c r="A31961" i="20"/>
  <c r="A31960" i="20"/>
  <c r="A31959" i="20"/>
  <c r="A31958" i="20"/>
  <c r="A31957" i="20"/>
  <c r="A31956" i="20"/>
  <c r="A31955" i="20"/>
  <c r="A31954" i="20"/>
  <c r="A31953" i="20"/>
  <c r="A31952" i="20"/>
  <c r="A31951" i="20"/>
  <c r="A31950" i="20"/>
  <c r="A31949" i="20"/>
  <c r="A31948" i="20"/>
  <c r="A31947" i="20"/>
  <c r="A31946" i="20"/>
  <c r="A31945" i="20"/>
  <c r="A31944" i="20"/>
  <c r="A31943" i="20"/>
  <c r="A31942" i="20"/>
  <c r="A31941" i="20"/>
  <c r="A31940" i="20"/>
  <c r="A31939" i="20"/>
  <c r="A31938" i="20"/>
  <c r="A31937" i="20"/>
  <c r="A31936" i="20"/>
  <c r="A31935" i="20"/>
  <c r="A31934" i="20"/>
  <c r="A31933" i="20"/>
  <c r="A31932" i="20"/>
  <c r="A31931" i="20"/>
  <c r="A31930" i="20"/>
  <c r="A31929" i="20"/>
  <c r="A31928" i="20"/>
  <c r="A31927" i="20"/>
  <c r="A31926" i="20"/>
  <c r="A31925" i="20"/>
  <c r="A31924" i="20"/>
  <c r="A31923" i="20"/>
  <c r="A31922" i="20"/>
  <c r="A31921" i="20"/>
  <c r="A31920" i="20"/>
  <c r="A31919" i="20"/>
  <c r="A31918" i="20"/>
  <c r="A31917" i="20"/>
  <c r="A31916" i="20"/>
  <c r="A31915" i="20"/>
  <c r="A31914" i="20"/>
  <c r="A31913" i="20"/>
  <c r="A31912" i="20"/>
  <c r="A31911" i="20"/>
  <c r="A31910" i="20"/>
  <c r="A31909" i="20"/>
  <c r="A31908" i="20"/>
  <c r="A31907" i="20"/>
  <c r="A31906" i="20"/>
  <c r="A31905" i="20"/>
  <c r="A31904" i="20"/>
  <c r="A31903" i="20"/>
  <c r="A31902" i="20"/>
  <c r="A31901" i="20"/>
  <c r="A31900" i="20"/>
  <c r="A31899" i="20"/>
  <c r="A31898" i="20"/>
  <c r="A31897" i="20"/>
  <c r="A31896" i="20"/>
  <c r="A31895" i="20"/>
  <c r="A31894" i="20"/>
  <c r="A31893" i="20"/>
  <c r="A31892" i="20"/>
  <c r="A31891" i="20"/>
  <c r="A31890" i="20"/>
  <c r="A31889" i="20"/>
  <c r="A31888" i="20"/>
  <c r="A31887" i="20"/>
  <c r="A31886" i="20"/>
  <c r="A31885" i="20"/>
  <c r="A31884" i="20"/>
  <c r="A31883" i="20"/>
  <c r="A31882" i="20"/>
  <c r="A31881" i="20"/>
  <c r="A31880" i="20"/>
  <c r="A31879" i="20"/>
  <c r="A31878" i="20"/>
  <c r="A31877" i="20"/>
  <c r="A31876" i="20"/>
  <c r="A31875" i="20"/>
  <c r="A31874" i="20"/>
  <c r="A31873" i="20"/>
  <c r="A31872" i="20"/>
  <c r="A31871" i="20"/>
  <c r="A31870" i="20"/>
  <c r="A31869" i="20"/>
  <c r="A31868" i="20"/>
  <c r="A31867" i="20"/>
  <c r="A31866" i="20"/>
  <c r="A31865" i="20"/>
  <c r="A31864" i="20"/>
  <c r="A31863" i="20"/>
  <c r="A31862" i="20"/>
  <c r="A31861" i="20"/>
  <c r="A31860" i="20"/>
  <c r="A31859" i="20"/>
  <c r="A31858" i="20"/>
  <c r="A31857" i="20"/>
  <c r="A31856" i="20"/>
  <c r="A31855" i="20"/>
  <c r="A31854" i="20"/>
  <c r="A31853" i="20"/>
  <c r="A31852" i="20"/>
  <c r="A31851" i="20"/>
  <c r="A31850" i="20"/>
  <c r="A31849" i="20"/>
  <c r="A31848" i="20"/>
  <c r="A31847" i="20"/>
  <c r="A31846" i="20"/>
  <c r="A31845" i="20"/>
  <c r="A31844" i="20"/>
  <c r="A31843" i="20"/>
  <c r="A31842" i="20"/>
  <c r="A31841" i="20"/>
  <c r="A31840" i="20"/>
  <c r="A31839" i="20"/>
  <c r="A31838" i="20"/>
  <c r="A31837" i="20"/>
  <c r="A31836" i="20"/>
  <c r="A31835" i="20"/>
  <c r="A31834" i="20"/>
  <c r="A31833" i="20"/>
  <c r="A31832" i="20"/>
  <c r="A31831" i="20"/>
  <c r="A31830" i="20"/>
  <c r="A31829" i="20"/>
  <c r="A31828" i="20"/>
  <c r="A31827" i="20"/>
  <c r="A31826" i="20"/>
  <c r="A31825" i="20"/>
  <c r="A31824" i="20"/>
  <c r="A31823" i="20"/>
  <c r="A31822" i="20"/>
  <c r="A31821" i="20"/>
  <c r="A31820" i="20"/>
  <c r="A31819" i="20"/>
  <c r="A31818" i="20"/>
  <c r="A31817" i="20"/>
  <c r="A31816" i="20"/>
  <c r="A31815" i="20"/>
  <c r="A31814" i="20"/>
  <c r="A31813" i="20"/>
  <c r="A31812" i="20"/>
  <c r="A31811" i="20"/>
  <c r="A31810" i="20"/>
  <c r="A31809" i="20"/>
  <c r="A31808" i="20"/>
  <c r="A31807" i="20"/>
  <c r="A31806" i="20"/>
  <c r="A31805" i="20"/>
  <c r="A31804" i="20"/>
  <c r="A31803" i="20"/>
  <c r="A31802" i="20"/>
  <c r="A31801" i="20"/>
  <c r="A31800" i="20"/>
  <c r="A31799" i="20"/>
  <c r="A31798" i="20"/>
  <c r="A31797" i="20"/>
  <c r="A31796" i="20"/>
  <c r="A31795" i="20"/>
  <c r="A31794" i="20"/>
  <c r="A31793" i="20"/>
  <c r="A31792" i="20"/>
  <c r="A31791" i="20"/>
  <c r="A31790" i="20"/>
  <c r="A31789" i="20"/>
  <c r="A31788" i="20"/>
  <c r="A31787" i="20"/>
  <c r="A31786" i="20"/>
  <c r="A31785" i="20"/>
  <c r="A31784" i="20"/>
  <c r="A31783" i="20"/>
  <c r="A31782" i="20"/>
  <c r="A31781" i="20"/>
  <c r="A31780" i="20"/>
  <c r="A31779" i="20"/>
  <c r="A31778" i="20"/>
  <c r="A31777" i="20"/>
  <c r="A31776" i="20"/>
  <c r="A31775" i="20"/>
  <c r="A31774" i="20"/>
  <c r="A31773" i="20"/>
  <c r="A31772" i="20"/>
  <c r="A31771" i="20"/>
  <c r="A31770" i="20"/>
  <c r="A31769" i="20"/>
  <c r="A31768" i="20"/>
  <c r="A31767" i="20"/>
  <c r="A31766" i="20"/>
  <c r="A31765" i="20"/>
  <c r="A31764" i="20"/>
  <c r="A31763" i="20"/>
  <c r="A31762" i="20"/>
  <c r="A31761" i="20"/>
  <c r="A31760" i="20"/>
  <c r="A31759" i="20"/>
  <c r="A31758" i="20"/>
  <c r="A31757" i="20"/>
  <c r="A31756" i="20"/>
  <c r="A31755" i="20"/>
  <c r="A31754" i="20"/>
  <c r="A31753" i="20"/>
  <c r="A31752" i="20"/>
  <c r="A31751" i="20"/>
  <c r="A31750" i="20"/>
  <c r="A31749" i="20"/>
  <c r="A31748" i="20"/>
  <c r="A31747" i="20"/>
  <c r="A31746" i="20"/>
  <c r="A31745" i="20"/>
  <c r="A31744" i="20"/>
  <c r="A31743" i="20"/>
  <c r="A31742" i="20"/>
  <c r="A31741" i="20"/>
  <c r="A31740" i="20"/>
  <c r="A31739" i="20"/>
  <c r="A31738" i="20"/>
  <c r="A31737" i="20"/>
  <c r="A31736" i="20"/>
  <c r="A31735" i="20"/>
  <c r="A31734" i="20"/>
  <c r="A31733" i="20"/>
  <c r="A31732" i="20"/>
  <c r="A31731" i="20"/>
  <c r="A31730" i="20"/>
  <c r="A31729" i="20"/>
  <c r="A31728" i="20"/>
  <c r="A31727" i="20"/>
  <c r="A31726" i="20"/>
  <c r="A31725" i="20"/>
  <c r="A31724" i="20"/>
  <c r="A31723" i="20"/>
  <c r="A31722" i="20"/>
  <c r="A31721" i="20"/>
  <c r="A31720" i="20"/>
  <c r="A31719" i="20"/>
  <c r="A31718" i="20"/>
  <c r="A31717" i="20"/>
  <c r="A31716" i="20"/>
  <c r="A31715" i="20"/>
  <c r="A31714" i="20"/>
  <c r="A31713" i="20"/>
  <c r="A31712" i="20"/>
  <c r="A31711" i="20"/>
  <c r="A31710" i="20"/>
  <c r="A31709" i="20"/>
  <c r="A31708" i="20"/>
  <c r="A31707" i="20"/>
  <c r="A31706" i="20"/>
  <c r="A31705" i="20"/>
  <c r="A31704" i="20"/>
  <c r="A31703" i="20"/>
  <c r="A31702" i="20"/>
  <c r="A31701" i="20"/>
  <c r="A31700" i="20"/>
  <c r="A31699" i="20"/>
  <c r="A31698" i="20"/>
  <c r="A31697" i="20"/>
  <c r="A31696" i="20"/>
  <c r="A31695" i="20"/>
  <c r="A31694" i="20"/>
  <c r="A31693" i="20"/>
  <c r="A31692" i="20"/>
  <c r="A31691" i="20"/>
  <c r="A31690" i="20"/>
  <c r="A31689" i="20"/>
  <c r="A31688" i="20"/>
  <c r="A31687" i="20"/>
  <c r="A31686" i="20"/>
  <c r="A31685" i="20"/>
  <c r="A31684" i="20"/>
  <c r="A31683" i="20"/>
  <c r="A31682" i="20"/>
  <c r="A31681" i="20"/>
  <c r="A31680" i="20"/>
  <c r="A31679" i="20"/>
  <c r="A31678" i="20"/>
  <c r="A31677" i="20"/>
  <c r="A31676" i="20"/>
  <c r="A31675" i="20"/>
  <c r="A31674" i="20"/>
  <c r="A31673" i="20"/>
  <c r="A31672" i="20"/>
  <c r="A31671" i="20"/>
  <c r="A31670" i="20"/>
  <c r="A31669" i="20"/>
  <c r="A31668" i="20"/>
  <c r="A31667" i="20"/>
  <c r="A31666" i="20"/>
  <c r="A31665" i="20"/>
  <c r="A31664" i="20"/>
  <c r="A31663" i="20"/>
  <c r="A31662" i="20"/>
  <c r="A31661" i="20"/>
  <c r="A31660" i="20"/>
  <c r="A31659" i="20"/>
  <c r="A31658" i="20"/>
  <c r="A31657" i="20"/>
  <c r="A31656" i="20"/>
  <c r="A31655" i="20"/>
  <c r="A31654" i="20"/>
  <c r="A31653" i="20"/>
  <c r="A31652" i="20"/>
  <c r="A31651" i="20"/>
  <c r="A31650" i="20"/>
  <c r="A31649" i="20"/>
  <c r="A31648" i="20"/>
  <c r="A31647" i="20"/>
  <c r="A31646" i="20"/>
  <c r="A31645" i="20"/>
  <c r="A31644" i="20"/>
  <c r="A31643" i="20"/>
  <c r="A31642" i="20"/>
  <c r="A31641" i="20"/>
  <c r="A31640" i="20"/>
  <c r="A31639" i="20"/>
  <c r="A31638" i="20"/>
  <c r="A31637" i="20"/>
  <c r="A31636" i="20"/>
  <c r="A31635" i="20"/>
  <c r="A31634" i="20"/>
  <c r="A31633" i="20"/>
  <c r="A31632" i="20"/>
  <c r="A31631" i="20"/>
  <c r="A31630" i="20"/>
  <c r="A31629" i="20"/>
  <c r="A31628" i="20"/>
  <c r="A31627" i="20"/>
  <c r="A31626" i="20"/>
  <c r="A31625" i="20"/>
  <c r="A31624" i="20"/>
  <c r="A31623" i="20"/>
  <c r="A31622" i="20"/>
  <c r="A31621" i="20"/>
  <c r="A31620" i="20"/>
  <c r="A31619" i="20"/>
  <c r="A31618" i="20"/>
  <c r="A31617" i="20"/>
  <c r="A31616" i="20"/>
  <c r="A31615" i="20"/>
  <c r="A31614" i="20"/>
  <c r="A31613" i="20"/>
  <c r="A31612" i="20"/>
  <c r="A31611" i="20"/>
  <c r="A31610" i="20"/>
  <c r="A31609" i="20"/>
  <c r="A31608" i="20"/>
  <c r="A31607" i="20"/>
  <c r="A31606" i="20"/>
  <c r="A31605" i="20"/>
  <c r="A31604" i="20"/>
  <c r="A31603" i="20"/>
  <c r="A31602" i="20"/>
  <c r="A31601" i="20"/>
  <c r="A31600" i="20"/>
  <c r="A31599" i="20"/>
  <c r="A31598" i="20"/>
  <c r="A31597" i="20"/>
  <c r="A31596" i="20"/>
  <c r="A31595" i="20"/>
  <c r="A31594" i="20"/>
  <c r="A31593" i="20"/>
  <c r="A31592" i="20"/>
  <c r="A31591" i="20"/>
  <c r="A31590" i="20"/>
  <c r="A31589" i="20"/>
  <c r="A31588" i="20"/>
  <c r="A31587" i="20"/>
  <c r="A31586" i="20"/>
  <c r="A31585" i="20"/>
  <c r="A31584" i="20"/>
  <c r="A31583" i="20"/>
  <c r="A31582" i="20"/>
  <c r="A31581" i="20"/>
  <c r="A31580" i="20"/>
  <c r="A31579" i="20"/>
  <c r="A31578" i="20"/>
  <c r="A31577" i="20"/>
  <c r="A31576" i="20"/>
  <c r="A31575" i="20"/>
  <c r="A31574" i="20"/>
  <c r="A31573" i="20"/>
  <c r="A31572" i="20"/>
  <c r="A31571" i="20"/>
  <c r="A31570" i="20"/>
  <c r="A31569" i="20"/>
  <c r="A31568" i="20"/>
  <c r="A31567" i="20"/>
  <c r="A31566" i="20"/>
  <c r="A31565" i="20"/>
  <c r="A31564" i="20"/>
  <c r="A31563" i="20"/>
  <c r="A31562" i="20"/>
  <c r="A31561" i="20"/>
  <c r="A31560" i="20"/>
  <c r="A31559" i="20"/>
  <c r="A31558" i="20"/>
  <c r="A31557" i="20"/>
  <c r="A31556" i="20"/>
  <c r="A31555" i="20"/>
  <c r="A31554" i="20"/>
  <c r="A31553" i="20"/>
  <c r="A31552" i="20"/>
  <c r="A31551" i="20"/>
  <c r="A31550" i="20"/>
  <c r="A31549" i="20"/>
  <c r="A31548" i="20"/>
  <c r="A31547" i="20"/>
  <c r="A31546" i="20"/>
  <c r="A31545" i="20"/>
  <c r="A31544" i="20"/>
  <c r="A31543" i="20"/>
  <c r="A31542" i="20"/>
  <c r="A31541" i="20"/>
  <c r="A31540" i="20"/>
  <c r="A31539" i="20"/>
  <c r="A31538" i="20"/>
  <c r="A31537" i="20"/>
  <c r="A31536" i="20"/>
  <c r="A31535" i="20"/>
  <c r="A31534" i="20"/>
  <c r="A31533" i="20"/>
  <c r="A31532" i="20"/>
  <c r="A31531" i="20"/>
  <c r="A31530" i="20"/>
  <c r="A31529" i="20"/>
  <c r="A31528" i="20"/>
  <c r="A31527" i="20"/>
  <c r="A31526" i="20"/>
  <c r="A31525" i="20"/>
  <c r="A31524" i="20"/>
  <c r="A31523" i="20"/>
  <c r="A31522" i="20"/>
  <c r="A31521" i="20"/>
  <c r="A31520" i="20"/>
  <c r="A31519" i="20"/>
  <c r="A31518" i="20"/>
  <c r="A31517" i="20"/>
  <c r="A31516" i="20"/>
  <c r="A31515" i="20"/>
  <c r="A31514" i="20"/>
  <c r="A31513" i="20"/>
  <c r="A31512" i="20"/>
  <c r="A31511" i="20"/>
  <c r="A31510" i="20"/>
  <c r="A31509" i="20"/>
  <c r="A31508" i="20"/>
  <c r="A31507" i="20"/>
  <c r="A31506" i="20"/>
  <c r="A31505" i="20"/>
  <c r="A31504" i="20"/>
  <c r="A31503" i="20"/>
  <c r="A31502" i="20"/>
  <c r="A31501" i="20"/>
  <c r="A31500" i="20"/>
  <c r="A31499" i="20"/>
  <c r="A31498" i="20"/>
  <c r="A31497" i="20"/>
  <c r="A31496" i="20"/>
  <c r="A31495" i="20"/>
  <c r="A31494" i="20"/>
  <c r="A31493" i="20"/>
  <c r="A31492" i="20"/>
  <c r="A31491" i="20"/>
  <c r="A31490" i="20"/>
  <c r="A31489" i="20"/>
  <c r="A31488" i="20"/>
  <c r="A31487" i="20"/>
  <c r="A31486" i="20"/>
  <c r="A31485" i="20"/>
  <c r="A31484" i="20"/>
  <c r="A31483" i="20"/>
  <c r="A31482" i="20"/>
  <c r="A31481" i="20"/>
  <c r="A31480" i="20"/>
  <c r="A31479" i="20"/>
  <c r="A31478" i="20"/>
  <c r="A31477" i="20"/>
  <c r="A31476" i="20"/>
  <c r="A31475" i="20"/>
  <c r="A31474" i="20"/>
  <c r="A31473" i="20"/>
  <c r="A31472" i="20"/>
  <c r="A31471" i="20"/>
  <c r="A31470" i="20"/>
  <c r="A31469" i="20"/>
  <c r="A31468" i="20"/>
  <c r="A31467" i="20"/>
  <c r="A31466" i="20"/>
  <c r="A31465" i="20"/>
  <c r="A31464" i="20"/>
  <c r="A31463" i="20"/>
  <c r="A31462" i="20"/>
  <c r="A31461" i="20"/>
  <c r="A31460" i="20"/>
  <c r="A31459" i="20"/>
  <c r="A31458" i="20"/>
  <c r="A31457" i="20"/>
  <c r="A31456" i="20"/>
  <c r="A31455" i="20"/>
  <c r="A31454" i="20"/>
  <c r="A31453" i="20"/>
  <c r="A31452" i="20"/>
  <c r="A31451" i="20"/>
  <c r="A31450" i="20"/>
  <c r="A31449" i="20"/>
  <c r="A31448" i="20"/>
  <c r="A31447" i="20"/>
  <c r="A31446" i="20"/>
  <c r="A31445" i="20"/>
  <c r="A31444" i="20"/>
  <c r="A31443" i="20"/>
  <c r="A31442" i="20"/>
  <c r="A31441" i="20"/>
  <c r="A31440" i="20"/>
  <c r="A31439" i="20"/>
  <c r="A31438" i="20"/>
  <c r="A31437" i="20"/>
  <c r="A31436" i="20"/>
  <c r="A31435" i="20"/>
  <c r="A31434" i="20"/>
  <c r="A31433" i="20"/>
  <c r="A31432" i="20"/>
  <c r="A31431" i="20"/>
  <c r="A31430" i="20"/>
  <c r="A31429" i="20"/>
  <c r="A31428" i="20"/>
  <c r="A31427" i="20"/>
  <c r="A31426" i="20"/>
  <c r="A31425" i="20"/>
  <c r="A31424" i="20"/>
  <c r="A31423" i="20"/>
  <c r="A31422" i="20"/>
  <c r="A31421" i="20"/>
  <c r="A31420" i="20"/>
  <c r="A31419" i="20"/>
  <c r="A31418" i="20"/>
  <c r="A31417" i="20"/>
  <c r="A31416" i="20"/>
  <c r="A31415" i="20"/>
  <c r="A31414" i="20"/>
  <c r="A31413" i="20"/>
  <c r="A31412" i="20"/>
  <c r="A31411" i="20"/>
  <c r="A31410" i="20"/>
  <c r="A31409" i="20"/>
  <c r="A31408" i="20"/>
  <c r="A31407" i="20"/>
  <c r="A31406" i="20"/>
  <c r="A31405" i="20"/>
  <c r="A31404" i="20"/>
  <c r="A31403" i="20"/>
  <c r="A31402" i="20"/>
  <c r="A31401" i="20"/>
  <c r="A31400" i="20"/>
  <c r="A31399" i="20"/>
  <c r="A31398" i="20"/>
  <c r="A31397" i="20"/>
  <c r="A31396" i="20"/>
  <c r="A31395" i="20"/>
  <c r="A31394" i="20"/>
  <c r="A31393" i="20"/>
  <c r="A31392" i="20"/>
  <c r="A31391" i="20"/>
  <c r="A31390" i="20"/>
  <c r="A31389" i="20"/>
  <c r="A31388" i="20"/>
  <c r="A31387" i="20"/>
  <c r="A31386" i="20"/>
  <c r="A31385" i="20"/>
  <c r="A31384" i="20"/>
  <c r="A31383" i="20"/>
  <c r="A31382" i="20"/>
  <c r="A31381" i="20"/>
  <c r="A31380" i="20"/>
  <c r="A31379" i="20"/>
  <c r="A31378" i="20"/>
  <c r="A31377" i="20"/>
  <c r="A31376" i="20"/>
  <c r="A31375" i="20"/>
  <c r="A31374" i="20"/>
  <c r="A31373" i="20"/>
  <c r="A31372" i="20"/>
  <c r="A31371" i="20"/>
  <c r="A31370" i="20"/>
  <c r="A31369" i="20"/>
  <c r="A31368" i="20"/>
  <c r="A31367" i="20"/>
  <c r="A31366" i="20"/>
  <c r="A31365" i="20"/>
  <c r="A31364" i="20"/>
  <c r="A31363" i="20"/>
  <c r="A31362" i="20"/>
  <c r="A31361" i="20"/>
  <c r="A31360" i="20"/>
  <c r="A31359" i="20"/>
  <c r="A31358" i="20"/>
  <c r="A31357" i="20"/>
  <c r="A31356" i="20"/>
  <c r="A31355" i="20"/>
  <c r="A31354" i="20"/>
  <c r="A31353" i="20"/>
  <c r="A31352" i="20"/>
  <c r="A31351" i="20"/>
  <c r="A31350" i="20"/>
  <c r="A31349" i="20"/>
  <c r="A31348" i="20"/>
  <c r="A31347" i="20"/>
  <c r="A31346" i="20"/>
  <c r="A31345" i="20"/>
  <c r="A31344" i="20"/>
  <c r="A31343" i="20"/>
  <c r="A31342" i="20"/>
  <c r="A31341" i="20"/>
  <c r="A31340" i="20"/>
  <c r="A31339" i="20"/>
  <c r="A31338" i="20"/>
  <c r="A31337" i="20"/>
  <c r="A31336" i="20"/>
  <c r="A31335" i="20"/>
  <c r="A31334" i="20"/>
  <c r="A31333" i="20"/>
  <c r="A31332" i="20"/>
  <c r="A31331" i="20"/>
  <c r="A31330" i="20"/>
  <c r="A31329" i="20"/>
  <c r="A31328" i="20"/>
  <c r="A31327" i="20"/>
  <c r="A31326" i="20"/>
  <c r="A31325" i="20"/>
  <c r="A31324" i="20"/>
  <c r="A31323" i="20"/>
  <c r="A31322" i="20"/>
  <c r="A31321" i="20"/>
  <c r="A31320" i="20"/>
  <c r="A31319" i="20"/>
  <c r="A31318" i="20"/>
  <c r="A31317" i="20"/>
  <c r="A31316" i="20"/>
  <c r="A31315" i="20"/>
  <c r="A31314" i="20"/>
  <c r="A31313" i="20"/>
  <c r="A31312" i="20"/>
  <c r="A31311" i="20"/>
  <c r="A31310" i="20"/>
  <c r="A31309" i="20"/>
  <c r="A31308" i="20"/>
  <c r="A31307" i="20"/>
  <c r="A31306" i="20"/>
  <c r="A31305" i="20"/>
  <c r="A31304" i="20"/>
  <c r="A31303" i="20"/>
  <c r="A31302" i="20"/>
  <c r="A31301" i="20"/>
  <c r="A31300" i="20"/>
  <c r="A31299" i="20"/>
  <c r="A31298" i="20"/>
  <c r="A31297" i="20"/>
  <c r="A31296" i="20"/>
  <c r="A31295" i="20"/>
  <c r="A31294" i="20"/>
  <c r="A31293" i="20"/>
  <c r="A31292" i="20"/>
  <c r="A31291" i="20"/>
  <c r="A31290" i="20"/>
  <c r="A31289" i="20"/>
  <c r="A31288" i="20"/>
  <c r="A31287" i="20"/>
  <c r="A31286" i="20"/>
  <c r="A31285" i="20"/>
  <c r="A31284" i="20"/>
  <c r="A31283" i="20"/>
  <c r="A31282" i="20"/>
  <c r="A31281" i="20"/>
  <c r="A31280" i="20"/>
  <c r="A31279" i="20"/>
  <c r="A31278" i="20"/>
  <c r="A31277" i="20"/>
  <c r="A31276" i="20"/>
  <c r="A31275" i="20"/>
  <c r="A31274" i="20"/>
  <c r="A31273" i="20"/>
  <c r="A31272" i="20"/>
  <c r="A31271" i="20"/>
  <c r="A31270" i="20"/>
  <c r="A31269" i="20"/>
  <c r="A31268" i="20"/>
  <c r="A31267" i="20"/>
  <c r="A31266" i="20"/>
  <c r="A31265" i="20"/>
  <c r="A31264" i="20"/>
  <c r="A31263" i="20"/>
  <c r="A31262" i="20"/>
  <c r="A31261" i="20"/>
  <c r="A31260" i="20"/>
  <c r="A31259" i="20"/>
  <c r="A31258" i="20"/>
  <c r="A31257" i="20"/>
  <c r="A31256" i="20"/>
  <c r="A31255" i="20"/>
  <c r="A31254" i="20"/>
  <c r="A31253" i="20"/>
  <c r="A31252" i="20"/>
  <c r="A31251" i="20"/>
  <c r="A31250" i="20"/>
  <c r="A31249" i="20"/>
  <c r="A31248" i="20"/>
  <c r="A31247" i="20"/>
  <c r="A31246" i="20"/>
  <c r="A31245" i="20"/>
  <c r="A31244" i="20"/>
  <c r="A31243" i="20"/>
  <c r="A31242" i="20"/>
  <c r="A31241" i="20"/>
  <c r="A31240" i="20"/>
  <c r="A31239" i="20"/>
  <c r="A31238" i="20"/>
  <c r="A31237" i="20"/>
  <c r="A31236" i="20"/>
  <c r="A31235" i="20"/>
  <c r="A31234" i="20"/>
  <c r="A31233" i="20"/>
  <c r="A31232" i="20"/>
  <c r="A31231" i="20"/>
  <c r="A31230" i="20"/>
  <c r="A31229" i="20"/>
  <c r="A31228" i="20"/>
  <c r="A31227" i="20"/>
  <c r="A31226" i="20"/>
  <c r="A31225" i="20"/>
  <c r="A31224" i="20"/>
  <c r="A31223" i="20"/>
  <c r="A31222" i="20"/>
  <c r="A31221" i="20"/>
  <c r="A31220" i="20"/>
  <c r="A31219" i="20"/>
  <c r="A31218" i="20"/>
  <c r="A31217" i="20"/>
  <c r="A31216" i="20"/>
  <c r="A31215" i="20"/>
  <c r="A31214" i="20"/>
  <c r="A31213" i="20"/>
  <c r="A31212" i="20"/>
  <c r="A31211" i="20"/>
  <c r="A31210" i="20"/>
  <c r="A31209" i="20"/>
  <c r="A31208" i="20"/>
  <c r="A31207" i="20"/>
  <c r="A31206" i="20"/>
  <c r="A31205" i="20"/>
  <c r="A31204" i="20"/>
  <c r="A31203" i="20"/>
  <c r="A31202" i="20"/>
  <c r="A31201" i="20"/>
  <c r="A31200" i="20"/>
  <c r="A31199" i="20"/>
  <c r="A31198" i="20"/>
  <c r="A31197" i="20"/>
  <c r="A31196" i="20"/>
  <c r="A31195" i="20"/>
  <c r="A31194" i="20"/>
  <c r="A31193" i="20"/>
  <c r="A31192" i="20"/>
  <c r="A31191" i="20"/>
  <c r="A31190" i="20"/>
  <c r="A31189" i="20"/>
  <c r="A31188" i="20"/>
  <c r="A31187" i="20"/>
  <c r="A31186" i="20"/>
  <c r="A31185" i="20"/>
  <c r="A31184" i="20"/>
  <c r="A31183" i="20"/>
  <c r="A31182" i="20"/>
  <c r="A31181" i="20"/>
  <c r="A31180" i="20"/>
  <c r="A31179" i="20"/>
  <c r="A31178" i="20"/>
  <c r="A31177" i="20"/>
  <c r="A31176" i="20"/>
  <c r="A31175" i="20"/>
  <c r="A31174" i="20"/>
  <c r="A31173" i="20"/>
  <c r="A31172" i="20"/>
  <c r="A31171" i="20"/>
  <c r="A31170" i="20"/>
  <c r="A31169" i="20"/>
  <c r="A31168" i="20"/>
  <c r="A31167" i="20"/>
  <c r="A31166" i="20"/>
  <c r="A31165" i="20"/>
  <c r="A31164" i="20"/>
  <c r="A31163" i="20"/>
  <c r="A31162" i="20"/>
  <c r="A31161" i="20"/>
  <c r="A31160" i="20"/>
  <c r="A31159" i="20"/>
  <c r="A31158" i="20"/>
  <c r="A31157" i="20"/>
  <c r="A31156" i="20"/>
  <c r="A31155" i="20"/>
  <c r="A31154" i="20"/>
  <c r="A31153" i="20"/>
  <c r="A31152" i="20"/>
  <c r="A31151" i="20"/>
  <c r="A31150" i="20"/>
  <c r="A31149" i="20"/>
  <c r="A31148" i="20"/>
  <c r="A31147" i="20"/>
  <c r="A31146" i="20"/>
  <c r="A31145" i="20"/>
  <c r="A31144" i="20"/>
  <c r="A31143" i="20"/>
  <c r="A31142" i="20"/>
  <c r="A31141" i="20"/>
  <c r="A31140" i="20"/>
  <c r="A31139" i="20"/>
  <c r="A31138" i="20"/>
  <c r="A31137" i="20"/>
  <c r="A31136" i="20"/>
  <c r="A31135" i="20"/>
  <c r="A31134" i="20"/>
  <c r="A31133" i="20"/>
  <c r="A31132" i="20"/>
  <c r="A31131" i="20"/>
  <c r="A31130" i="20"/>
  <c r="A31129" i="20"/>
  <c r="A31128" i="20"/>
  <c r="A31127" i="20"/>
  <c r="A31126" i="20"/>
  <c r="A31125" i="20"/>
  <c r="A31124" i="20"/>
  <c r="A31123" i="20"/>
  <c r="A31122" i="20"/>
  <c r="A31121" i="20"/>
  <c r="A31120" i="20"/>
  <c r="A31119" i="20"/>
  <c r="A31118" i="20"/>
  <c r="A31117" i="20"/>
  <c r="A31116" i="20"/>
  <c r="A31115" i="20"/>
  <c r="A31114" i="20"/>
  <c r="A31113" i="20"/>
  <c r="A31112" i="20"/>
  <c r="A31111" i="20"/>
  <c r="A31110" i="20"/>
  <c r="A31109" i="20"/>
  <c r="A31108" i="20"/>
  <c r="A31107" i="20"/>
  <c r="A31106" i="20"/>
  <c r="A31105" i="20"/>
  <c r="A31104" i="20"/>
  <c r="A31103" i="20"/>
  <c r="A31102" i="20"/>
  <c r="A31101" i="20"/>
  <c r="A31100" i="20"/>
  <c r="A31099" i="20"/>
  <c r="A31098" i="20"/>
  <c r="A31097" i="20"/>
  <c r="A31096" i="20"/>
  <c r="A31095" i="20"/>
  <c r="A31094" i="20"/>
  <c r="A31093" i="20"/>
  <c r="A31092" i="20"/>
  <c r="A31091" i="20"/>
  <c r="A31090" i="20"/>
  <c r="A31089" i="20"/>
  <c r="A31088" i="20"/>
  <c r="A31087" i="20"/>
  <c r="A31086" i="20"/>
  <c r="A31085" i="20"/>
  <c r="A31084" i="20"/>
  <c r="A31083" i="20"/>
  <c r="A31082" i="20"/>
  <c r="A31081" i="20"/>
  <c r="A31080" i="20"/>
  <c r="A31079" i="20"/>
  <c r="A31078" i="20"/>
  <c r="A31077" i="20"/>
  <c r="A31076" i="20"/>
  <c r="A31075" i="20"/>
  <c r="A31074" i="20"/>
  <c r="A31073" i="20"/>
  <c r="A31072" i="20"/>
  <c r="A31071" i="20"/>
  <c r="A31070" i="20"/>
  <c r="A31069" i="20"/>
  <c r="A31068" i="20"/>
  <c r="A31067" i="20"/>
  <c r="A31066" i="20"/>
  <c r="A31065" i="20"/>
  <c r="A31064" i="20"/>
  <c r="A31063" i="20"/>
  <c r="A31062" i="20"/>
  <c r="A31061" i="20"/>
  <c r="A31060" i="20"/>
  <c r="A31059" i="20"/>
  <c r="A31058" i="20"/>
  <c r="A31057" i="20"/>
  <c r="A31056" i="20"/>
  <c r="A31055" i="20"/>
  <c r="A31054" i="20"/>
  <c r="A31053" i="20"/>
  <c r="A31052" i="20"/>
  <c r="A31051" i="20"/>
  <c r="A31050" i="20"/>
  <c r="A31049" i="20"/>
  <c r="A31048" i="20"/>
  <c r="A31047" i="20"/>
  <c r="A31046" i="20"/>
  <c r="A31045" i="20"/>
  <c r="A31044" i="20"/>
  <c r="A31043" i="20"/>
  <c r="A31042" i="20"/>
  <c r="A31041" i="20"/>
  <c r="A31040" i="20"/>
  <c r="A31039" i="20"/>
  <c r="A31038" i="20"/>
  <c r="A31037" i="20"/>
  <c r="A31036" i="20"/>
  <c r="A31035" i="20"/>
  <c r="A31034" i="20"/>
  <c r="A31033" i="20"/>
  <c r="A31032" i="20"/>
  <c r="A31031" i="20"/>
  <c r="A31030" i="20"/>
  <c r="A31029" i="20"/>
  <c r="A31028" i="20"/>
  <c r="A31027" i="20"/>
  <c r="A31026" i="20"/>
  <c r="A31025" i="20"/>
  <c r="A31024" i="20"/>
  <c r="A31023" i="20"/>
  <c r="A31022" i="20"/>
  <c r="A31021" i="20"/>
  <c r="A31020" i="20"/>
  <c r="A31019" i="20"/>
  <c r="A31018" i="20"/>
  <c r="A31017" i="20"/>
  <c r="A31016" i="20"/>
  <c r="A31015" i="20"/>
  <c r="A31014" i="20"/>
  <c r="A31013" i="20"/>
  <c r="A31012" i="20"/>
  <c r="A31011" i="20"/>
  <c r="A31010" i="20"/>
  <c r="A31009" i="20"/>
  <c r="A31008" i="20"/>
  <c r="A31007" i="20"/>
  <c r="A31006" i="20"/>
  <c r="A31005" i="20"/>
  <c r="A31004" i="20"/>
  <c r="A31003" i="20"/>
  <c r="A31002" i="20"/>
  <c r="A31001" i="20"/>
  <c r="A31000" i="20"/>
  <c r="A30999" i="20"/>
  <c r="A30998" i="20"/>
  <c r="A30997" i="20"/>
  <c r="A30996" i="20"/>
  <c r="A30995" i="20"/>
  <c r="A30994" i="20"/>
  <c r="A30993" i="20"/>
  <c r="A30992" i="20"/>
  <c r="A30991" i="20"/>
  <c r="A30990" i="20"/>
  <c r="A30989" i="20"/>
  <c r="A30988" i="20"/>
  <c r="A30987" i="20"/>
  <c r="A30986" i="20"/>
  <c r="A30985" i="20"/>
  <c r="A30984" i="20"/>
  <c r="A30983" i="20"/>
  <c r="A30982" i="20"/>
  <c r="A30981" i="20"/>
  <c r="A30980" i="20"/>
  <c r="A30979" i="20"/>
  <c r="A30978" i="20"/>
  <c r="A30977" i="20"/>
  <c r="A30976" i="20"/>
  <c r="A30975" i="20"/>
  <c r="A30974" i="20"/>
  <c r="A30973" i="20"/>
  <c r="A30972" i="20"/>
  <c r="A30971" i="20"/>
  <c r="A30970" i="20"/>
  <c r="A30969" i="20"/>
  <c r="A30968" i="20"/>
  <c r="A30967" i="20"/>
  <c r="A30966" i="20"/>
  <c r="A30965" i="20"/>
  <c r="A30964" i="20"/>
  <c r="A30963" i="20"/>
  <c r="A30962" i="20"/>
  <c r="A30961" i="20"/>
  <c r="A30960" i="20"/>
  <c r="A30959" i="20"/>
  <c r="A30958" i="20"/>
  <c r="A30957" i="20"/>
  <c r="A30956" i="20"/>
  <c r="A30955" i="20"/>
  <c r="A30954" i="20"/>
  <c r="A30953" i="20"/>
  <c r="A30952" i="20"/>
  <c r="A30951" i="20"/>
  <c r="A30950" i="20"/>
  <c r="A30949" i="20"/>
  <c r="A30948" i="20"/>
  <c r="A30947" i="20"/>
  <c r="A30946" i="20"/>
  <c r="A30945" i="20"/>
  <c r="A30944" i="20"/>
  <c r="A30943" i="20"/>
  <c r="A30942" i="20"/>
  <c r="A30941" i="20"/>
  <c r="A30940" i="20"/>
  <c r="A30939" i="20"/>
  <c r="A30938" i="20"/>
  <c r="A30937" i="20"/>
  <c r="A30936" i="20"/>
  <c r="A30935" i="20"/>
  <c r="A30934" i="20"/>
  <c r="A30933" i="20"/>
  <c r="A30932" i="20"/>
  <c r="A30931" i="20"/>
  <c r="A30930" i="20"/>
  <c r="A30929" i="20"/>
  <c r="A30928" i="20"/>
  <c r="A30927" i="20"/>
  <c r="A30926" i="20"/>
  <c r="A30925" i="20"/>
  <c r="A30924" i="20"/>
  <c r="A30923" i="20"/>
  <c r="A30922" i="20"/>
  <c r="A30921" i="20"/>
  <c r="A30920" i="20"/>
  <c r="A30919" i="20"/>
  <c r="A30918" i="20"/>
  <c r="A30917" i="20"/>
  <c r="A30916" i="20"/>
  <c r="A30915" i="20"/>
  <c r="A30914" i="20"/>
  <c r="A30913" i="20"/>
  <c r="A30912" i="20"/>
  <c r="A30911" i="20"/>
  <c r="A30910" i="20"/>
  <c r="A30909" i="20"/>
  <c r="A30908" i="20"/>
  <c r="A30907" i="20"/>
  <c r="A30906" i="20"/>
  <c r="A30905" i="20"/>
  <c r="A30904" i="20"/>
  <c r="A30903" i="20"/>
  <c r="A30902" i="20"/>
  <c r="A30901" i="20"/>
  <c r="A30900" i="20"/>
  <c r="A30899" i="20"/>
  <c r="A30898" i="20"/>
  <c r="A30897" i="20"/>
  <c r="A30896" i="20"/>
  <c r="A30895" i="20"/>
  <c r="A30894" i="20"/>
  <c r="A30893" i="20"/>
  <c r="A30892" i="20"/>
  <c r="A30891" i="20"/>
  <c r="A30890" i="20"/>
  <c r="A30889" i="20"/>
  <c r="A30888" i="20"/>
  <c r="A30887" i="20"/>
  <c r="A30886" i="20"/>
  <c r="A30885" i="20"/>
  <c r="A30884" i="20"/>
  <c r="A30883" i="20"/>
  <c r="A30882" i="20"/>
  <c r="A30881" i="20"/>
  <c r="A30880" i="20"/>
  <c r="A30879" i="20"/>
  <c r="A30878" i="20"/>
  <c r="A30877" i="20"/>
  <c r="A30876" i="20"/>
  <c r="A30875" i="20"/>
  <c r="A30874" i="20"/>
  <c r="A30873" i="20"/>
  <c r="A30872" i="20"/>
  <c r="A30871" i="20"/>
  <c r="A30870" i="20"/>
  <c r="A30869" i="20"/>
  <c r="A30868" i="20"/>
  <c r="A30867" i="20"/>
  <c r="A30866" i="20"/>
  <c r="A30865" i="20"/>
  <c r="A30864" i="20"/>
  <c r="A30863" i="20"/>
  <c r="A30862" i="20"/>
  <c r="A30861" i="20"/>
  <c r="A30860" i="20"/>
  <c r="A30859" i="20"/>
  <c r="A30858" i="20"/>
  <c r="A30857" i="20"/>
  <c r="A30856" i="20"/>
  <c r="A30855" i="20"/>
  <c r="A30854" i="20"/>
  <c r="A30853" i="20"/>
  <c r="A30852" i="20"/>
  <c r="A30851" i="20"/>
  <c r="A30850" i="20"/>
  <c r="A30849" i="20"/>
  <c r="A30848" i="20"/>
  <c r="A30847" i="20"/>
  <c r="A30846" i="20"/>
  <c r="A30845" i="20"/>
  <c r="A30844" i="20"/>
  <c r="A30843" i="20"/>
  <c r="A30842" i="20"/>
  <c r="A30841" i="20"/>
  <c r="A30840" i="20"/>
  <c r="A30839" i="20"/>
  <c r="A30838" i="20"/>
  <c r="A30837" i="20"/>
  <c r="A30836" i="20"/>
  <c r="A30835" i="20"/>
  <c r="A30834" i="20"/>
  <c r="A30833" i="20"/>
  <c r="A30832" i="20"/>
  <c r="A30831" i="20"/>
  <c r="A30830" i="20"/>
  <c r="A30829" i="20"/>
  <c r="A30828" i="20"/>
  <c r="A30827" i="20"/>
  <c r="A30826" i="20"/>
  <c r="A30825" i="20"/>
  <c r="A30824" i="20"/>
  <c r="A30823" i="20"/>
  <c r="A30822" i="20"/>
  <c r="A30821" i="20"/>
  <c r="A30820" i="20"/>
  <c r="A30819" i="20"/>
  <c r="A30818" i="20"/>
  <c r="A30817" i="20"/>
  <c r="A30816" i="20"/>
  <c r="A30815" i="20"/>
  <c r="A30814" i="20"/>
  <c r="A30813" i="20"/>
  <c r="A30812" i="20"/>
  <c r="A30811" i="20"/>
  <c r="A30810" i="20"/>
  <c r="A30809" i="20"/>
  <c r="A30808" i="20"/>
  <c r="A30807" i="20"/>
  <c r="A30806" i="20"/>
  <c r="A30805" i="20"/>
  <c r="A30804" i="20"/>
  <c r="A30803" i="20"/>
  <c r="A30802" i="20"/>
  <c r="A30801" i="20"/>
  <c r="A30800" i="20"/>
  <c r="A30799" i="20"/>
  <c r="A30798" i="20"/>
  <c r="A30797" i="20"/>
  <c r="A30796" i="20"/>
  <c r="A30795" i="20"/>
  <c r="A30794" i="20"/>
  <c r="A30793" i="20"/>
  <c r="A30792" i="20"/>
  <c r="A30791" i="20"/>
  <c r="A30790" i="20"/>
  <c r="A30789" i="20"/>
  <c r="A30788" i="20"/>
  <c r="A30787" i="20"/>
  <c r="A30786" i="20"/>
  <c r="A30785" i="20"/>
  <c r="A30784" i="20"/>
  <c r="A30783" i="20"/>
  <c r="A30782" i="20"/>
  <c r="A30781" i="20"/>
  <c r="A30780" i="20"/>
  <c r="A30779" i="20"/>
  <c r="A30778" i="20"/>
  <c r="A30777" i="20"/>
  <c r="A30776" i="20"/>
  <c r="A30775" i="20"/>
  <c r="A30774" i="20"/>
  <c r="A30773" i="20"/>
  <c r="A30772" i="20"/>
  <c r="A30771" i="20"/>
  <c r="A30770" i="20"/>
  <c r="A30769" i="20"/>
  <c r="A30768" i="20"/>
  <c r="A30767" i="20"/>
  <c r="A30766" i="20"/>
  <c r="A30765" i="20"/>
  <c r="A30764" i="20"/>
  <c r="A30763" i="20"/>
  <c r="A30762" i="20"/>
  <c r="A30761" i="20"/>
  <c r="A30760" i="20"/>
  <c r="A30759" i="20"/>
  <c r="A30758" i="20"/>
  <c r="A30757" i="20"/>
  <c r="A30756" i="20"/>
  <c r="A30755" i="20"/>
  <c r="A30754" i="20"/>
  <c r="A30753" i="20"/>
  <c r="A30752" i="20"/>
  <c r="A30751" i="20"/>
  <c r="A30750" i="20"/>
  <c r="A30749" i="20"/>
  <c r="A30748" i="20"/>
  <c r="A30747" i="20"/>
  <c r="A30746" i="20"/>
  <c r="A30745" i="20"/>
  <c r="A30744" i="20"/>
  <c r="A30743" i="20"/>
  <c r="A30742" i="20"/>
  <c r="A30741" i="20"/>
  <c r="A30740" i="20"/>
  <c r="A30739" i="20"/>
  <c r="A30738" i="20"/>
  <c r="A30737" i="20"/>
  <c r="A30736" i="20"/>
  <c r="A30735" i="20"/>
  <c r="A30734" i="20"/>
  <c r="A30733" i="20"/>
  <c r="A30732" i="20"/>
  <c r="A30731" i="20"/>
  <c r="A30730" i="20"/>
  <c r="A30729" i="20"/>
  <c r="A30728" i="20"/>
  <c r="A30727" i="20"/>
  <c r="A30726" i="20"/>
  <c r="A30725" i="20"/>
  <c r="A30724" i="20"/>
  <c r="A30723" i="20"/>
  <c r="A30722" i="20"/>
  <c r="A30721" i="20"/>
  <c r="A30720" i="20"/>
  <c r="A30719" i="20"/>
  <c r="A30718" i="20"/>
  <c r="A30717" i="20"/>
  <c r="A30716" i="20"/>
  <c r="A30715" i="20"/>
  <c r="A30714" i="20"/>
  <c r="A30713" i="20"/>
  <c r="A30712" i="20"/>
  <c r="A30711" i="20"/>
  <c r="A30710" i="20"/>
  <c r="A30709" i="20"/>
  <c r="A30708" i="20"/>
  <c r="A30707" i="20"/>
  <c r="A30706" i="20"/>
  <c r="A30705" i="20"/>
  <c r="A30704" i="20"/>
  <c r="A30703" i="20"/>
  <c r="A30702" i="20"/>
  <c r="A30701" i="20"/>
  <c r="A30700" i="20"/>
  <c r="A30699" i="20"/>
  <c r="A30698" i="20"/>
  <c r="A30697" i="20"/>
  <c r="A30696" i="20"/>
  <c r="A30695" i="20"/>
  <c r="A30694" i="20"/>
  <c r="A30693" i="20"/>
  <c r="A30692" i="20"/>
  <c r="A30691" i="20"/>
  <c r="A30690" i="20"/>
  <c r="A30689" i="20"/>
  <c r="A30688" i="20"/>
  <c r="A30687" i="20"/>
  <c r="A30686" i="20"/>
  <c r="A30685" i="20"/>
  <c r="A30684" i="20"/>
  <c r="A30683" i="20"/>
  <c r="A30682" i="20"/>
  <c r="A30681" i="20"/>
  <c r="A30680" i="20"/>
  <c r="A30679" i="20"/>
  <c r="A30678" i="20"/>
  <c r="A30677" i="20"/>
  <c r="A30676" i="20"/>
  <c r="A30675" i="20"/>
  <c r="A30674" i="20"/>
  <c r="A30673" i="20"/>
  <c r="A30672" i="20"/>
  <c r="A30671" i="20"/>
  <c r="A30670" i="20"/>
  <c r="A30669" i="20"/>
  <c r="A30668" i="20"/>
  <c r="A30667" i="20"/>
  <c r="A30666" i="20"/>
  <c r="A30665" i="20"/>
  <c r="A30664" i="20"/>
  <c r="A30663" i="20"/>
  <c r="A30662" i="20"/>
  <c r="A30661" i="20"/>
  <c r="A30660" i="20"/>
  <c r="A30659" i="20"/>
  <c r="A30658" i="20"/>
  <c r="A30657" i="20"/>
  <c r="A30656" i="20"/>
  <c r="A30655" i="20"/>
  <c r="A30654" i="20"/>
  <c r="A30653" i="20"/>
  <c r="A30652" i="20"/>
  <c r="A30651" i="20"/>
  <c r="A30650" i="20"/>
  <c r="A30649" i="20"/>
  <c r="A30648" i="20"/>
  <c r="A30647" i="20"/>
  <c r="A30646" i="20"/>
  <c r="A30645" i="20"/>
  <c r="A30644" i="20"/>
  <c r="A30643" i="20"/>
  <c r="A30642" i="20"/>
  <c r="A30641" i="20"/>
  <c r="A30640" i="20"/>
  <c r="A30639" i="20"/>
  <c r="A30638" i="20"/>
  <c r="A30637" i="20"/>
  <c r="A30636" i="20"/>
  <c r="A30635" i="20"/>
  <c r="A30634" i="20"/>
  <c r="A30633" i="20"/>
  <c r="A30632" i="20"/>
  <c r="A30631" i="20"/>
  <c r="A30630" i="20"/>
  <c r="A30629" i="20"/>
  <c r="A30628" i="20"/>
  <c r="A30627" i="20"/>
  <c r="A30626" i="20"/>
  <c r="A30625" i="20"/>
  <c r="A30624" i="20"/>
  <c r="A30623" i="20"/>
  <c r="A30622" i="20"/>
  <c r="A30621" i="20"/>
  <c r="A30620" i="20"/>
  <c r="A30619" i="20"/>
  <c r="A30618" i="20"/>
  <c r="A30617" i="20"/>
  <c r="A30616" i="20"/>
  <c r="A30615" i="20"/>
  <c r="A30614" i="20"/>
  <c r="A30613" i="20"/>
  <c r="A30612" i="20"/>
  <c r="A30611" i="20"/>
  <c r="A30610" i="20"/>
  <c r="A30609" i="20"/>
  <c r="A30608" i="20"/>
  <c r="A30607" i="20"/>
  <c r="A30606" i="20"/>
  <c r="A30605" i="20"/>
  <c r="A30604" i="20"/>
  <c r="A30603" i="20"/>
  <c r="A30602" i="20"/>
  <c r="A30601" i="20"/>
  <c r="A30600" i="20"/>
  <c r="A30599" i="20"/>
  <c r="A30598" i="20"/>
  <c r="A30597" i="20"/>
  <c r="A30596" i="20"/>
  <c r="A30595" i="20"/>
  <c r="A30594" i="20"/>
  <c r="A30593" i="20"/>
  <c r="A30592" i="20"/>
  <c r="A30591" i="20"/>
  <c r="A30590" i="20"/>
  <c r="A30589" i="20"/>
  <c r="A30588" i="20"/>
  <c r="A30587" i="20"/>
  <c r="A30586" i="20"/>
  <c r="A30585" i="20"/>
  <c r="A30584" i="20"/>
  <c r="A30583" i="20"/>
  <c r="A30582" i="20"/>
  <c r="A30581" i="20"/>
  <c r="A30580" i="20"/>
  <c r="A30579" i="20"/>
  <c r="A30578" i="20"/>
  <c r="A30577" i="20"/>
  <c r="A30576" i="20"/>
  <c r="A30575" i="20"/>
  <c r="A30574" i="20"/>
  <c r="A30573" i="20"/>
  <c r="A30572" i="20"/>
  <c r="A30571" i="20"/>
  <c r="A30570" i="20"/>
  <c r="A30569" i="20"/>
  <c r="A30568" i="20"/>
  <c r="A30567" i="20"/>
  <c r="A30566" i="20"/>
  <c r="A30565" i="20"/>
  <c r="A30564" i="20"/>
  <c r="A30563" i="20"/>
  <c r="A30562" i="20"/>
  <c r="A30561" i="20"/>
  <c r="A30560" i="20"/>
  <c r="A30559" i="20"/>
  <c r="A30558" i="20"/>
  <c r="A30557" i="20"/>
  <c r="A30556" i="20"/>
  <c r="A30555" i="20"/>
  <c r="A30554" i="20"/>
  <c r="A30553" i="20"/>
  <c r="A30552" i="20"/>
  <c r="A30551" i="20"/>
  <c r="A30550" i="20"/>
  <c r="A30549" i="20"/>
  <c r="A30548" i="20"/>
  <c r="A30547" i="20"/>
  <c r="A30546" i="20"/>
  <c r="A30545" i="20"/>
  <c r="A30544" i="20"/>
  <c r="A30543" i="20"/>
  <c r="A30542" i="20"/>
  <c r="A30541" i="20"/>
  <c r="A30540" i="20"/>
  <c r="A30539" i="20"/>
  <c r="A30538" i="20"/>
  <c r="A30537" i="20"/>
  <c r="A30536" i="20"/>
  <c r="A30535" i="20"/>
  <c r="A30534" i="20"/>
  <c r="A30533" i="20"/>
  <c r="A30532" i="20"/>
  <c r="A30531" i="20"/>
  <c r="A30530" i="20"/>
  <c r="A30529" i="20"/>
  <c r="A30528" i="20"/>
  <c r="A30527" i="20"/>
  <c r="A30526" i="20"/>
  <c r="A30525" i="20"/>
  <c r="A30524" i="20"/>
  <c r="A30523" i="20"/>
  <c r="A30522" i="20"/>
  <c r="A30521" i="20"/>
  <c r="A30520" i="20"/>
  <c r="A30519" i="20"/>
  <c r="A30518" i="20"/>
  <c r="A30517" i="20"/>
  <c r="A30516" i="20"/>
  <c r="A30515" i="20"/>
  <c r="A30514" i="20"/>
  <c r="A30513" i="20"/>
  <c r="A30512" i="20"/>
  <c r="A30511" i="20"/>
  <c r="A30510" i="20"/>
  <c r="A30509" i="20"/>
  <c r="A30508" i="20"/>
  <c r="A30507" i="20"/>
  <c r="A30506" i="20"/>
  <c r="A30505" i="20"/>
  <c r="A30504" i="20"/>
  <c r="A30503" i="20"/>
  <c r="A30502" i="20"/>
  <c r="A30501" i="20"/>
  <c r="A30500" i="20"/>
  <c r="A30499" i="20"/>
  <c r="A30498" i="20"/>
  <c r="A30497" i="20"/>
  <c r="A30496" i="20"/>
  <c r="A30495" i="20"/>
  <c r="A30494" i="20"/>
  <c r="A30493" i="20"/>
  <c r="A30492" i="20"/>
  <c r="A30491" i="20"/>
  <c r="A30490" i="20"/>
  <c r="A30489" i="20"/>
  <c r="A30488" i="20"/>
  <c r="A30487" i="20"/>
  <c r="A30486" i="20"/>
  <c r="A30485" i="20"/>
  <c r="A30484" i="20"/>
  <c r="A30483" i="20"/>
  <c r="A30482" i="20"/>
  <c r="A30481" i="20"/>
  <c r="A30480" i="20"/>
  <c r="A30479" i="20"/>
  <c r="A30478" i="20"/>
  <c r="A30477" i="20"/>
  <c r="A30476" i="20"/>
  <c r="A30475" i="20"/>
  <c r="A30474" i="20"/>
  <c r="A30473" i="20"/>
  <c r="A30472" i="20"/>
  <c r="A30471" i="20"/>
  <c r="A30470" i="20"/>
  <c r="A30469" i="20"/>
  <c r="A30468" i="20"/>
  <c r="A30467" i="20"/>
  <c r="A30466" i="20"/>
  <c r="A30465" i="20"/>
  <c r="A30464" i="20"/>
  <c r="A30463" i="20"/>
  <c r="A30462" i="20"/>
  <c r="A30461" i="20"/>
  <c r="A30460" i="20"/>
  <c r="A30459" i="20"/>
  <c r="A30458" i="20"/>
  <c r="A30457" i="20"/>
  <c r="A30456" i="20"/>
  <c r="A30455" i="20"/>
  <c r="A30454" i="20"/>
  <c r="A30453" i="20"/>
  <c r="A30452" i="20"/>
  <c r="A30451" i="20"/>
  <c r="A30450" i="20"/>
  <c r="A30449" i="20"/>
  <c r="A30448" i="20"/>
  <c r="A30447" i="20"/>
  <c r="A30446" i="20"/>
  <c r="A30445" i="20"/>
  <c r="A30444" i="20"/>
  <c r="A30443" i="20"/>
  <c r="A30442" i="20"/>
  <c r="A30441" i="20"/>
  <c r="A30440" i="20"/>
  <c r="A30439" i="20"/>
  <c r="A30438" i="20"/>
  <c r="A30437" i="20"/>
  <c r="A30436" i="20"/>
  <c r="A30435" i="20"/>
  <c r="A30434" i="20"/>
  <c r="A30433" i="20"/>
  <c r="A30432" i="20"/>
  <c r="A30431" i="20"/>
  <c r="A30430" i="20"/>
  <c r="A30429" i="20"/>
  <c r="A30428" i="20"/>
  <c r="A30427" i="20"/>
  <c r="A30426" i="20"/>
  <c r="A30425" i="20"/>
  <c r="A30424" i="20"/>
  <c r="A30423" i="20"/>
  <c r="A30422" i="20"/>
  <c r="A30421" i="20"/>
  <c r="A30420" i="20"/>
  <c r="A30419" i="20"/>
  <c r="A30418" i="20"/>
  <c r="A30417" i="20"/>
  <c r="A30416" i="20"/>
  <c r="A30415" i="20"/>
  <c r="A30414" i="20"/>
  <c r="A30413" i="20"/>
  <c r="A30412" i="20"/>
  <c r="A30411" i="20"/>
  <c r="A30410" i="20"/>
  <c r="A30409" i="20"/>
  <c r="A30408" i="20"/>
  <c r="A30407" i="20"/>
  <c r="A30406" i="20"/>
  <c r="A30405" i="20"/>
  <c r="A30404" i="20"/>
  <c r="A30403" i="20"/>
  <c r="A30402" i="20"/>
  <c r="A30401" i="20"/>
  <c r="A30400" i="20"/>
  <c r="A30399" i="20"/>
  <c r="A30398" i="20"/>
  <c r="A30397" i="20"/>
  <c r="A30396" i="20"/>
  <c r="A30395" i="20"/>
  <c r="A30394" i="20"/>
  <c r="A30393" i="20"/>
  <c r="A30392" i="20"/>
  <c r="A30391" i="20"/>
  <c r="A30390" i="20"/>
  <c r="A30389" i="20"/>
  <c r="A30388" i="20"/>
  <c r="A30387" i="20"/>
  <c r="A30386" i="20"/>
  <c r="A30385" i="20"/>
  <c r="A30384" i="20"/>
  <c r="A30383" i="20"/>
  <c r="A30382" i="20"/>
  <c r="A30381" i="20"/>
  <c r="A30380" i="20"/>
  <c r="A30379" i="20"/>
  <c r="A30378" i="20"/>
  <c r="A30377" i="20"/>
  <c r="A30376" i="20"/>
  <c r="A30375" i="20"/>
  <c r="A30374" i="20"/>
  <c r="A30373" i="20"/>
  <c r="A30372" i="20"/>
  <c r="A30371" i="20"/>
  <c r="A30370" i="20"/>
  <c r="A30369" i="20"/>
  <c r="A30368" i="20"/>
  <c r="A30367" i="20"/>
  <c r="A30366" i="20"/>
  <c r="A30365" i="20"/>
  <c r="A30364" i="20"/>
  <c r="A30363" i="20"/>
  <c r="A30362" i="20"/>
  <c r="A30361" i="20"/>
  <c r="A30360" i="20"/>
  <c r="A30359" i="20"/>
  <c r="A30358" i="20"/>
  <c r="A30357" i="20"/>
  <c r="A30356" i="20"/>
  <c r="A30355" i="20"/>
  <c r="A30354" i="20"/>
  <c r="A30353" i="20"/>
  <c r="A30352" i="20"/>
  <c r="A30351" i="20"/>
  <c r="A30350" i="20"/>
  <c r="A30349" i="20"/>
  <c r="A30348" i="20"/>
  <c r="A30347" i="20"/>
  <c r="A30346" i="20"/>
  <c r="A30345" i="20"/>
  <c r="A30344" i="20"/>
  <c r="A30343" i="20"/>
  <c r="A30342" i="20"/>
  <c r="A30341" i="20"/>
  <c r="A30340" i="20"/>
  <c r="A30339" i="20"/>
  <c r="A30338" i="20"/>
  <c r="A30337" i="20"/>
  <c r="A30336" i="20"/>
  <c r="A30335" i="20"/>
  <c r="A30334" i="20"/>
  <c r="A30333" i="20"/>
  <c r="A30332" i="20"/>
  <c r="A30331" i="20"/>
  <c r="A30330" i="20"/>
  <c r="A30329" i="20"/>
  <c r="A30328" i="20"/>
  <c r="A30327" i="20"/>
  <c r="A30326" i="20"/>
  <c r="A30325" i="20"/>
  <c r="A30324" i="20"/>
  <c r="A30323" i="20"/>
  <c r="A30322" i="20"/>
  <c r="A30321" i="20"/>
  <c r="A30320" i="20"/>
  <c r="A30319" i="20"/>
  <c r="A30318" i="20"/>
  <c r="A30317" i="20"/>
  <c r="A30316" i="20"/>
  <c r="A30315" i="20"/>
  <c r="A30314" i="20"/>
  <c r="A30313" i="20"/>
  <c r="A30312" i="20"/>
  <c r="A30311" i="20"/>
  <c r="A30310" i="20"/>
  <c r="A30309" i="20"/>
  <c r="A30308" i="20"/>
  <c r="A30307" i="20"/>
  <c r="A30306" i="20"/>
  <c r="A30305" i="20"/>
  <c r="A30304" i="20"/>
  <c r="A30303" i="20"/>
  <c r="A30302" i="20"/>
  <c r="A30301" i="20"/>
  <c r="A30300" i="20"/>
  <c r="A30299" i="20"/>
  <c r="A30298" i="20"/>
  <c r="A30297" i="20"/>
  <c r="A30296" i="20"/>
  <c r="A30295" i="20"/>
  <c r="A30294" i="20"/>
  <c r="A30293" i="20"/>
  <c r="A30292" i="20"/>
  <c r="A30291" i="20"/>
  <c r="A30290" i="20"/>
  <c r="A30289" i="20"/>
  <c r="A30288" i="20"/>
  <c r="A30287" i="20"/>
  <c r="A30286" i="20"/>
  <c r="A30285" i="20"/>
  <c r="A30284" i="20"/>
  <c r="A30283" i="20"/>
  <c r="A30282" i="20"/>
  <c r="A30281" i="20"/>
  <c r="A30280" i="20"/>
  <c r="A30279" i="20"/>
  <c r="A30278" i="20"/>
  <c r="A30277" i="20"/>
  <c r="A30276" i="20"/>
  <c r="A30275" i="20"/>
  <c r="A30274" i="20"/>
  <c r="A30273" i="20"/>
  <c r="A30272" i="20"/>
  <c r="A30271" i="20"/>
  <c r="A30270" i="20"/>
  <c r="A30269" i="20"/>
  <c r="A30268" i="20"/>
  <c r="A30267" i="20"/>
  <c r="A30266" i="20"/>
  <c r="A30265" i="20"/>
  <c r="A30264" i="20"/>
  <c r="A30263" i="20"/>
  <c r="A30262" i="20"/>
  <c r="A30261" i="20"/>
  <c r="A30260" i="20"/>
  <c r="A30259" i="20"/>
  <c r="A30258" i="20"/>
  <c r="A30257" i="20"/>
  <c r="A30256" i="20"/>
  <c r="A30255" i="20"/>
  <c r="A30254" i="20"/>
  <c r="A30253" i="20"/>
  <c r="A30252" i="20"/>
  <c r="A30251" i="20"/>
  <c r="A30250" i="20"/>
  <c r="A30249" i="20"/>
  <c r="A30248" i="20"/>
  <c r="A30247" i="20"/>
  <c r="A30246" i="20"/>
  <c r="A30245" i="20"/>
  <c r="A30244" i="20"/>
  <c r="A30243" i="20"/>
  <c r="A30242" i="20"/>
  <c r="A30241" i="20"/>
  <c r="A30240" i="20"/>
  <c r="A30239" i="20"/>
  <c r="A30238" i="20"/>
  <c r="A30237" i="20"/>
  <c r="A30236" i="20"/>
  <c r="A30235" i="20"/>
  <c r="A30234" i="20"/>
  <c r="A30233" i="20"/>
  <c r="A30232" i="20"/>
  <c r="A30231" i="20"/>
  <c r="A30230" i="20"/>
  <c r="A30229" i="20"/>
  <c r="A30228" i="20"/>
  <c r="A30227" i="20"/>
  <c r="A30226" i="20"/>
  <c r="A30225" i="20"/>
  <c r="A30224" i="20"/>
  <c r="A30223" i="20"/>
  <c r="A30222" i="20"/>
  <c r="A30221" i="20"/>
  <c r="A30220" i="20"/>
  <c r="A30219" i="20"/>
  <c r="A30218" i="20"/>
  <c r="A30217" i="20"/>
  <c r="A30216" i="20"/>
  <c r="A30215" i="20"/>
  <c r="A30214" i="20"/>
  <c r="A30213" i="20"/>
  <c r="A30212" i="20"/>
  <c r="A30211" i="20"/>
  <c r="A30210" i="20"/>
  <c r="A30209" i="20"/>
  <c r="A30208" i="20"/>
  <c r="A30207" i="20"/>
  <c r="A30206" i="20"/>
  <c r="A30205" i="20"/>
  <c r="A30204" i="20"/>
  <c r="A30203" i="20"/>
  <c r="A30202" i="20"/>
  <c r="A30201" i="20"/>
  <c r="A30200" i="20"/>
  <c r="A30199" i="20"/>
  <c r="A30198" i="20"/>
  <c r="A30197" i="20"/>
  <c r="A30196" i="20"/>
  <c r="A30195" i="20"/>
  <c r="A30194" i="20"/>
  <c r="A30193" i="20"/>
  <c r="A30192" i="20"/>
  <c r="A30191" i="20"/>
  <c r="A30190" i="20"/>
  <c r="A30189" i="20"/>
  <c r="A30188" i="20"/>
  <c r="A30187" i="20"/>
  <c r="A30186" i="20"/>
  <c r="A30185" i="20"/>
  <c r="A30184" i="20"/>
  <c r="A30183" i="20"/>
  <c r="A30182" i="20"/>
  <c r="A30181" i="20"/>
  <c r="A30180" i="20"/>
  <c r="A30179" i="20"/>
  <c r="A30178" i="20"/>
  <c r="A30177" i="20"/>
  <c r="A30176" i="20"/>
  <c r="A30175" i="20"/>
  <c r="A30174" i="20"/>
  <c r="A30173" i="20"/>
  <c r="A30172" i="20"/>
  <c r="A30171" i="20"/>
  <c r="A30170" i="20"/>
  <c r="A30169" i="20"/>
  <c r="A30168" i="20"/>
  <c r="A30167" i="20"/>
  <c r="A30166" i="20"/>
  <c r="A30165" i="20"/>
  <c r="A30164" i="20"/>
  <c r="A30163" i="20"/>
  <c r="A30162" i="20"/>
  <c r="A30161" i="20"/>
  <c r="A30160" i="20"/>
  <c r="A30159" i="20"/>
  <c r="A30158" i="20"/>
  <c r="A30157" i="20"/>
  <c r="A30156" i="20"/>
  <c r="A30155" i="20"/>
  <c r="A30154" i="20"/>
  <c r="A30153" i="20"/>
  <c r="A30152" i="20"/>
  <c r="A30151" i="20"/>
  <c r="A30150" i="20"/>
  <c r="A30149" i="20"/>
  <c r="A30148" i="20"/>
  <c r="A30147" i="20"/>
  <c r="A30146" i="20"/>
  <c r="A30145" i="20"/>
  <c r="A30144" i="20"/>
  <c r="A30143" i="20"/>
  <c r="A30142" i="20"/>
  <c r="A30141" i="20"/>
  <c r="A30140" i="20"/>
  <c r="A30139" i="20"/>
  <c r="A30138" i="20"/>
  <c r="A30137" i="20"/>
  <c r="A30136" i="20"/>
  <c r="A30135" i="20"/>
  <c r="A30134" i="20"/>
  <c r="A30133" i="20"/>
  <c r="A30132" i="20"/>
  <c r="A30131" i="20"/>
  <c r="A30130" i="20"/>
  <c r="A30129" i="20"/>
  <c r="A30128" i="20"/>
  <c r="A30127" i="20"/>
  <c r="A30126" i="20"/>
  <c r="A30125" i="20"/>
  <c r="A30124" i="20"/>
  <c r="A30123" i="20"/>
  <c r="A30122" i="20"/>
  <c r="A30121" i="20"/>
  <c r="A30120" i="20"/>
  <c r="A30119" i="20"/>
  <c r="A30118" i="20"/>
  <c r="A30117" i="20"/>
  <c r="A30116" i="20"/>
  <c r="A30115" i="20"/>
  <c r="A30114" i="20"/>
  <c r="A30113" i="20"/>
  <c r="A30112" i="20"/>
  <c r="A30111" i="20"/>
  <c r="A30110" i="20"/>
  <c r="A30109" i="20"/>
  <c r="A30108" i="20"/>
  <c r="A30107" i="20"/>
  <c r="A30106" i="20"/>
  <c r="A30105" i="20"/>
  <c r="A30104" i="20"/>
  <c r="A30103" i="20"/>
  <c r="A30102" i="20"/>
  <c r="A30101" i="20"/>
  <c r="A30100" i="20"/>
  <c r="A30099" i="20"/>
  <c r="A30098" i="20"/>
  <c r="A30097" i="20"/>
  <c r="A30096" i="20"/>
  <c r="A30095" i="20"/>
  <c r="A30094" i="20"/>
  <c r="A30093" i="20"/>
  <c r="A30092" i="20"/>
  <c r="A30091" i="20"/>
  <c r="A30090" i="20"/>
  <c r="A30089" i="20"/>
  <c r="A30088" i="20"/>
  <c r="A30087" i="20"/>
  <c r="A30086" i="20"/>
  <c r="A30085" i="20"/>
  <c r="A30084" i="20"/>
  <c r="A30083" i="20"/>
  <c r="A30082" i="20"/>
  <c r="A30081" i="20"/>
  <c r="A30080" i="20"/>
  <c r="A30079" i="20"/>
  <c r="A30078" i="20"/>
  <c r="A30077" i="20"/>
  <c r="A30076" i="20"/>
  <c r="A30075" i="20"/>
  <c r="A30074" i="20"/>
  <c r="A30073" i="20"/>
  <c r="A30072" i="20"/>
  <c r="A30071" i="20"/>
  <c r="A30070" i="20"/>
  <c r="A30069" i="20"/>
  <c r="A30068" i="20"/>
  <c r="A30067" i="20"/>
  <c r="A30066" i="20"/>
  <c r="A30065" i="20"/>
  <c r="A30064" i="20"/>
  <c r="A30063" i="20"/>
  <c r="A30062" i="20"/>
  <c r="A30061" i="20"/>
  <c r="A30060" i="20"/>
  <c r="A30059" i="20"/>
  <c r="A30058" i="20"/>
  <c r="A30057" i="20"/>
  <c r="A30056" i="20"/>
  <c r="A30055" i="20"/>
  <c r="A30054" i="20"/>
  <c r="A30053" i="20"/>
  <c r="A30052" i="20"/>
  <c r="A30051" i="20"/>
  <c r="A30050" i="20"/>
  <c r="A30049" i="20"/>
  <c r="A30048" i="20"/>
  <c r="A30047" i="20"/>
  <c r="A30046" i="20"/>
  <c r="A30045" i="20"/>
  <c r="A30044" i="20"/>
  <c r="A30043" i="20"/>
  <c r="A30042" i="20"/>
  <c r="A30041" i="20"/>
  <c r="A30040" i="20"/>
  <c r="A30039" i="20"/>
  <c r="A30038" i="20"/>
  <c r="A30037" i="20"/>
  <c r="A30036" i="20"/>
  <c r="A30035" i="20"/>
  <c r="A30034" i="20"/>
  <c r="A30033" i="20"/>
  <c r="A30032" i="20"/>
  <c r="A30031" i="20"/>
  <c r="A30030" i="20"/>
  <c r="A30029" i="20"/>
  <c r="A30028" i="20"/>
  <c r="A30027" i="20"/>
  <c r="A30026" i="20"/>
  <c r="A30025" i="20"/>
  <c r="A30024" i="20"/>
  <c r="A30023" i="20"/>
  <c r="A30022" i="20"/>
  <c r="A30021" i="20"/>
  <c r="A30020" i="20"/>
  <c r="A30019" i="20"/>
  <c r="A30018" i="20"/>
  <c r="A30017" i="20"/>
  <c r="A30016" i="20"/>
  <c r="A30015" i="20"/>
  <c r="A30014" i="20"/>
  <c r="A30013" i="20"/>
  <c r="A30012" i="20"/>
  <c r="A30011" i="20"/>
  <c r="A30010" i="20"/>
  <c r="A30009" i="20"/>
  <c r="A30008" i="20"/>
  <c r="A30007" i="20"/>
  <c r="A30006" i="20"/>
  <c r="A30005" i="20"/>
  <c r="A30004" i="20"/>
  <c r="A30003" i="20"/>
  <c r="A30002" i="20"/>
  <c r="A30001" i="20"/>
  <c r="A30000" i="20"/>
  <c r="A29999" i="20"/>
  <c r="A29998" i="20"/>
  <c r="A29997" i="20"/>
  <c r="A29996" i="20"/>
  <c r="A29995" i="20"/>
  <c r="A29994" i="20"/>
  <c r="A29993" i="20"/>
  <c r="A29992" i="20"/>
  <c r="A29991" i="20"/>
  <c r="A29990" i="20"/>
  <c r="A29989" i="20"/>
  <c r="A29988" i="20"/>
  <c r="A29987" i="20"/>
  <c r="A29986" i="20"/>
  <c r="A29985" i="20"/>
  <c r="A29984" i="20"/>
  <c r="A29983" i="20"/>
  <c r="A29982" i="20"/>
  <c r="A29981" i="20"/>
  <c r="A29980" i="20"/>
  <c r="A29979" i="20"/>
  <c r="A29978" i="20"/>
  <c r="A29977" i="20"/>
  <c r="A29976" i="20"/>
  <c r="A29975" i="20"/>
  <c r="A29974" i="20"/>
  <c r="A29973" i="20"/>
  <c r="A29972" i="20"/>
  <c r="A29971" i="20"/>
  <c r="A29970" i="20"/>
  <c r="A29969" i="20"/>
  <c r="A29968" i="20"/>
  <c r="A29967" i="20"/>
  <c r="A29966" i="20"/>
  <c r="A29965" i="20"/>
  <c r="A29964" i="20"/>
  <c r="A29963" i="20"/>
  <c r="A29962" i="20"/>
  <c r="A29961" i="20"/>
  <c r="A29960" i="20"/>
  <c r="A29959" i="20"/>
  <c r="A29958" i="20"/>
  <c r="A29957" i="20"/>
  <c r="A29956" i="20"/>
  <c r="A29955" i="20"/>
  <c r="A29954" i="20"/>
  <c r="A29953" i="20"/>
  <c r="A29952" i="20"/>
  <c r="A29951" i="20"/>
  <c r="A29950" i="20"/>
  <c r="A29949" i="20"/>
  <c r="A29948" i="20"/>
  <c r="A29947" i="20"/>
  <c r="A29946" i="20"/>
  <c r="A29945" i="20"/>
  <c r="A29944" i="20"/>
  <c r="A29943" i="20"/>
  <c r="A29942" i="20"/>
  <c r="A29941" i="20"/>
  <c r="A29940" i="20"/>
  <c r="A29939" i="20"/>
  <c r="A29938" i="20"/>
  <c r="A29937" i="20"/>
  <c r="A29936" i="20"/>
  <c r="A29935" i="20"/>
  <c r="A29934" i="20"/>
  <c r="A29933" i="20"/>
  <c r="A29932" i="20"/>
  <c r="A29931" i="20"/>
  <c r="A29930" i="20"/>
  <c r="A29929" i="20"/>
  <c r="A29928" i="20"/>
  <c r="A29927" i="20"/>
  <c r="A29926" i="20"/>
  <c r="A29925" i="20"/>
  <c r="A29924" i="20"/>
  <c r="A29923" i="20"/>
  <c r="A29922" i="20"/>
  <c r="A29921" i="20"/>
  <c r="A29920" i="20"/>
  <c r="A29919" i="20"/>
  <c r="A29918" i="20"/>
  <c r="A29917" i="20"/>
  <c r="A29916" i="20"/>
  <c r="A29915" i="20"/>
  <c r="A29914" i="20"/>
  <c r="A29913" i="20"/>
  <c r="A29912" i="20"/>
  <c r="A29911" i="20"/>
  <c r="A29910" i="20"/>
  <c r="A29909" i="20"/>
  <c r="A29908" i="20"/>
  <c r="A29907" i="20"/>
  <c r="A29906" i="20"/>
  <c r="A29905" i="20"/>
  <c r="A29904" i="20"/>
  <c r="A29903" i="20"/>
  <c r="A29902" i="20"/>
  <c r="A29901" i="20"/>
  <c r="A29900" i="20"/>
  <c r="A29899" i="20"/>
  <c r="A29898" i="20"/>
  <c r="A29897" i="20"/>
  <c r="A29896" i="20"/>
  <c r="A29895" i="20"/>
  <c r="A29894" i="20"/>
  <c r="A29893" i="20"/>
  <c r="A29892" i="20"/>
  <c r="A29891" i="20"/>
  <c r="A29890" i="20"/>
  <c r="A29889" i="20"/>
  <c r="A29888" i="20"/>
  <c r="A29887" i="20"/>
  <c r="A29886" i="20"/>
  <c r="A29885" i="20"/>
  <c r="A29884" i="20"/>
  <c r="A29883" i="20"/>
  <c r="A29882" i="20"/>
  <c r="A29881" i="20"/>
  <c r="A29880" i="20"/>
  <c r="A29879" i="20"/>
  <c r="A29878" i="20"/>
  <c r="A29877" i="20"/>
  <c r="A29876" i="20"/>
  <c r="A29875" i="20"/>
  <c r="A29874" i="20"/>
  <c r="A29873" i="20"/>
  <c r="A29872" i="20"/>
  <c r="A29871" i="20"/>
  <c r="A29870" i="20"/>
  <c r="A29869" i="20"/>
  <c r="A29868" i="20"/>
  <c r="A29867" i="20"/>
  <c r="A29866" i="20"/>
  <c r="A29865" i="20"/>
  <c r="A29864" i="20"/>
  <c r="A29863" i="20"/>
  <c r="A29862" i="20"/>
  <c r="A29861" i="20"/>
  <c r="A29860" i="20"/>
  <c r="A29859" i="20"/>
  <c r="A29858" i="20"/>
  <c r="A29857" i="20"/>
  <c r="A29856" i="20"/>
  <c r="A29855" i="20"/>
  <c r="A29854" i="20"/>
  <c r="A29853" i="20"/>
  <c r="A29852" i="20"/>
  <c r="A29851" i="20"/>
  <c r="A29850" i="20"/>
  <c r="A29849" i="20"/>
  <c r="A29848" i="20"/>
  <c r="A29847" i="20"/>
  <c r="A29846" i="20"/>
  <c r="A29845" i="20"/>
  <c r="A29844" i="20"/>
  <c r="A29843" i="20"/>
  <c r="A29842" i="20"/>
  <c r="A29841" i="20"/>
  <c r="A29840" i="20"/>
  <c r="A29839" i="20"/>
  <c r="A29838" i="20"/>
  <c r="A29837" i="20"/>
  <c r="A29836" i="20"/>
  <c r="A29835" i="20"/>
  <c r="A29834" i="20"/>
  <c r="A29833" i="20"/>
  <c r="A29832" i="20"/>
  <c r="A29831" i="20"/>
  <c r="A29830" i="20"/>
  <c r="A29829" i="20"/>
  <c r="A29828" i="20"/>
  <c r="A29827" i="20"/>
  <c r="A29826" i="20"/>
  <c r="A29825" i="20"/>
  <c r="A29824" i="20"/>
  <c r="A29823" i="20"/>
  <c r="A29822" i="20"/>
  <c r="A29821" i="20"/>
  <c r="A29820" i="20"/>
  <c r="A29819" i="20"/>
  <c r="A29818" i="20"/>
  <c r="A29817" i="20"/>
  <c r="A29816" i="20"/>
  <c r="A29815" i="20"/>
  <c r="A29814" i="20"/>
  <c r="A29813" i="20"/>
  <c r="A29812" i="20"/>
  <c r="A29811" i="20"/>
  <c r="A29810" i="20"/>
  <c r="A29809" i="20"/>
  <c r="A29808" i="20"/>
  <c r="A29807" i="20"/>
  <c r="A29806" i="20"/>
  <c r="A29805" i="20"/>
  <c r="A29804" i="20"/>
  <c r="A29803" i="20"/>
  <c r="A29802" i="20"/>
  <c r="A29801" i="20"/>
  <c r="A29800" i="20"/>
  <c r="A29799" i="20"/>
  <c r="A29798" i="20"/>
  <c r="A29797" i="20"/>
  <c r="A29796" i="20"/>
  <c r="A29795" i="20"/>
  <c r="A29794" i="20"/>
  <c r="A29793" i="20"/>
  <c r="A29792" i="20"/>
  <c r="A29791" i="20"/>
  <c r="A29790" i="20"/>
  <c r="A29789" i="20"/>
  <c r="A29788" i="20"/>
  <c r="A29787" i="20"/>
  <c r="A29786" i="20"/>
  <c r="A29785" i="20"/>
  <c r="A29784" i="20"/>
  <c r="A29783" i="20"/>
  <c r="A29782" i="20"/>
  <c r="A29781" i="20"/>
  <c r="A29780" i="20"/>
  <c r="A29779" i="20"/>
  <c r="A29778" i="20"/>
  <c r="A29777" i="20"/>
  <c r="A29776" i="20"/>
  <c r="A29775" i="20"/>
  <c r="A29774" i="20"/>
  <c r="A29773" i="20"/>
  <c r="A29772" i="20"/>
  <c r="A29771" i="20"/>
  <c r="A29770" i="20"/>
  <c r="A29769" i="20"/>
  <c r="A29768" i="20"/>
  <c r="A29767" i="20"/>
  <c r="A29766" i="20"/>
  <c r="A29765" i="20"/>
  <c r="A29764" i="20"/>
  <c r="A29763" i="20"/>
  <c r="A29762" i="20"/>
  <c r="A29761" i="20"/>
  <c r="A29760" i="20"/>
  <c r="A29759" i="20"/>
  <c r="A29758" i="20"/>
  <c r="A29757" i="20"/>
  <c r="A29756" i="20"/>
  <c r="A29755" i="20"/>
  <c r="A29754" i="20"/>
  <c r="A29753" i="20"/>
  <c r="A29752" i="20"/>
  <c r="A29751" i="20"/>
  <c r="A29750" i="20"/>
  <c r="A29749" i="20"/>
  <c r="A29748" i="20"/>
  <c r="A29747" i="20"/>
  <c r="A29746" i="20"/>
  <c r="A29745" i="20"/>
  <c r="A29744" i="20"/>
  <c r="A29743" i="20"/>
  <c r="A29742" i="20"/>
  <c r="A29741" i="20"/>
  <c r="A29740" i="20"/>
  <c r="A29739" i="20"/>
  <c r="A29738" i="20"/>
  <c r="A29737" i="20"/>
  <c r="A29736" i="20"/>
  <c r="A29735" i="20"/>
  <c r="A29734" i="20"/>
  <c r="A29733" i="20"/>
  <c r="A29732" i="20"/>
  <c r="A29731" i="20"/>
  <c r="A29730" i="20"/>
  <c r="A29729" i="20"/>
  <c r="A29728" i="20"/>
  <c r="A29727" i="20"/>
  <c r="A29726" i="20"/>
  <c r="A29725" i="20"/>
  <c r="A29724" i="20"/>
  <c r="A29723" i="20"/>
  <c r="A29722" i="20"/>
  <c r="A29721" i="20"/>
  <c r="A29720" i="20"/>
  <c r="A29719" i="20"/>
  <c r="A29718" i="20"/>
  <c r="A29717" i="20"/>
  <c r="A29716" i="20"/>
  <c r="A29715" i="20"/>
  <c r="A29714" i="20"/>
  <c r="A29713" i="20"/>
  <c r="A29712" i="20"/>
  <c r="A29711" i="20"/>
  <c r="A29710" i="20"/>
  <c r="A29709" i="20"/>
  <c r="A29708" i="20"/>
  <c r="A29707" i="20"/>
  <c r="A29706" i="20"/>
  <c r="A29705" i="20"/>
  <c r="A29704" i="20"/>
  <c r="A29703" i="20"/>
  <c r="A29702" i="20"/>
  <c r="A29701" i="20"/>
  <c r="A29700" i="20"/>
  <c r="A29699" i="20"/>
  <c r="A29698" i="20"/>
  <c r="A29697" i="20"/>
  <c r="A29696" i="20"/>
  <c r="A29695" i="20"/>
  <c r="A29694" i="20"/>
  <c r="A29693" i="20"/>
  <c r="A29692" i="20"/>
  <c r="A29691" i="20"/>
  <c r="A29690" i="20"/>
  <c r="A29689" i="20"/>
  <c r="A29688" i="20"/>
  <c r="A29687" i="20"/>
  <c r="A29686" i="20"/>
  <c r="A29685" i="20"/>
  <c r="A29684" i="20"/>
  <c r="A29683" i="20"/>
  <c r="A29682" i="20"/>
  <c r="A29681" i="20"/>
  <c r="A29680" i="20"/>
  <c r="A29679" i="20"/>
  <c r="A29678" i="20"/>
  <c r="A29677" i="20"/>
  <c r="A29676" i="20"/>
  <c r="A29675" i="20"/>
  <c r="A29674" i="20"/>
  <c r="A29673" i="20"/>
  <c r="A29672" i="20"/>
  <c r="A29671" i="20"/>
  <c r="A29670" i="20"/>
  <c r="A29669" i="20"/>
  <c r="A29668" i="20"/>
  <c r="A29667" i="20"/>
  <c r="A29666" i="20"/>
  <c r="A29665" i="20"/>
  <c r="A29664" i="20"/>
  <c r="A29663" i="20"/>
  <c r="A29662" i="20"/>
  <c r="A29661" i="20"/>
  <c r="A29660" i="20"/>
  <c r="A29659" i="20"/>
  <c r="A29658" i="20"/>
  <c r="A29657" i="20"/>
  <c r="A29656" i="20"/>
  <c r="A29655" i="20"/>
  <c r="A29654" i="20"/>
  <c r="A29653" i="20"/>
  <c r="A29652" i="20"/>
  <c r="A29651" i="20"/>
  <c r="A29650" i="20"/>
  <c r="A29649" i="20"/>
  <c r="A29648" i="20"/>
  <c r="A29647" i="20"/>
  <c r="A29646" i="20"/>
  <c r="A29645" i="20"/>
  <c r="A29644" i="20"/>
  <c r="A29643" i="20"/>
  <c r="A29642" i="20"/>
  <c r="A29641" i="20"/>
  <c r="A29640" i="20"/>
  <c r="A29639" i="20"/>
  <c r="A29638" i="20"/>
  <c r="A29637" i="20"/>
  <c r="A29636" i="20"/>
  <c r="A29635" i="20"/>
  <c r="A29634" i="20"/>
  <c r="A29633" i="20"/>
  <c r="A29632" i="20"/>
  <c r="A29631" i="20"/>
  <c r="A29630" i="20"/>
  <c r="A29629" i="20"/>
  <c r="A29628" i="20"/>
  <c r="A29627" i="20"/>
  <c r="A29626" i="20"/>
  <c r="A29625" i="20"/>
  <c r="A29624" i="20"/>
  <c r="A29623" i="20"/>
  <c r="A29622" i="20"/>
  <c r="A29621" i="20"/>
  <c r="A29620" i="20"/>
  <c r="A29619" i="20"/>
  <c r="A29618" i="20"/>
  <c r="A29617" i="20"/>
  <c r="A29616" i="20"/>
  <c r="A29615" i="20"/>
  <c r="A29614" i="20"/>
  <c r="A29613" i="20"/>
  <c r="A29612" i="20"/>
  <c r="A29611" i="20"/>
  <c r="A29610" i="20"/>
  <c r="A29609" i="20"/>
  <c r="A29608" i="20"/>
  <c r="A29607" i="20"/>
  <c r="A29606" i="20"/>
  <c r="A29605" i="20"/>
  <c r="A29604" i="20"/>
  <c r="A29603" i="20"/>
  <c r="A29602" i="20"/>
  <c r="A29601" i="20"/>
  <c r="A29600" i="20"/>
  <c r="A29599" i="20"/>
  <c r="A29598" i="20"/>
  <c r="A29597" i="20"/>
  <c r="A29596" i="20"/>
  <c r="A29595" i="20"/>
  <c r="A29594" i="20"/>
  <c r="A29593" i="20"/>
  <c r="A29592" i="20"/>
  <c r="A29591" i="20"/>
  <c r="A29590" i="20"/>
  <c r="A29589" i="20"/>
  <c r="A29588" i="20"/>
  <c r="A29587" i="20"/>
  <c r="A29586" i="20"/>
  <c r="A29585" i="20"/>
  <c r="A29584" i="20"/>
  <c r="A29583" i="20"/>
  <c r="A29582" i="20"/>
  <c r="A29581" i="20"/>
  <c r="A29580" i="20"/>
  <c r="A29579" i="20"/>
  <c r="A29578" i="20"/>
  <c r="A29577" i="20"/>
  <c r="A29576" i="20"/>
  <c r="A29575" i="20"/>
  <c r="A29574" i="20"/>
  <c r="A29573" i="20"/>
  <c r="A29572" i="20"/>
  <c r="A29571" i="20"/>
  <c r="A29570" i="20"/>
  <c r="A29569" i="20"/>
  <c r="A29568" i="20"/>
  <c r="A29567" i="20"/>
  <c r="A29566" i="20"/>
  <c r="A29565" i="20"/>
  <c r="A29564" i="20"/>
  <c r="A29563" i="20"/>
  <c r="A29562" i="20"/>
  <c r="A29561" i="20"/>
  <c r="A29560" i="20"/>
  <c r="A29559" i="20"/>
  <c r="A29558" i="20"/>
  <c r="A29557" i="20"/>
  <c r="A29556" i="20"/>
  <c r="A29555" i="20"/>
  <c r="A29554" i="20"/>
  <c r="A29553" i="20"/>
  <c r="A29552" i="20"/>
  <c r="A29551" i="20"/>
  <c r="A29550" i="20"/>
  <c r="A29549" i="20"/>
  <c r="A29548" i="20"/>
  <c r="A29547" i="20"/>
  <c r="A29546" i="20"/>
  <c r="A29545" i="20"/>
  <c r="A29544" i="20"/>
  <c r="A29543" i="20"/>
  <c r="A29542" i="20"/>
  <c r="A29541" i="20"/>
  <c r="A29540" i="20"/>
  <c r="A29539" i="20"/>
  <c r="A29538" i="20"/>
  <c r="A29537" i="20"/>
  <c r="A29536" i="20"/>
  <c r="A29535" i="20"/>
  <c r="A29534" i="20"/>
  <c r="A29533" i="20"/>
  <c r="A29532" i="20"/>
  <c r="A29531" i="20"/>
  <c r="A29530" i="20"/>
  <c r="A29529" i="20"/>
  <c r="A29528" i="20"/>
  <c r="A29527" i="20"/>
  <c r="A29526" i="20"/>
  <c r="A29525" i="20"/>
  <c r="A29524" i="20"/>
  <c r="A29523" i="20"/>
  <c r="A29522" i="20"/>
  <c r="A29521" i="20"/>
  <c r="A29520" i="20"/>
  <c r="A29519" i="20"/>
  <c r="A29518" i="20"/>
  <c r="A29517" i="20"/>
  <c r="A29516" i="20"/>
  <c r="A29515" i="20"/>
  <c r="A29514" i="20"/>
  <c r="A29513" i="20"/>
  <c r="A29512" i="20"/>
  <c r="A29511" i="20"/>
  <c r="A29510" i="20"/>
  <c r="A29509" i="20"/>
  <c r="A29508" i="20"/>
  <c r="A29507" i="20"/>
  <c r="A29506" i="20"/>
  <c r="A29505" i="20"/>
  <c r="A29504" i="20"/>
  <c r="A29503" i="20"/>
  <c r="A29502" i="20"/>
  <c r="A29501" i="20"/>
  <c r="A29500" i="20"/>
  <c r="A29499" i="20"/>
  <c r="A29498" i="20"/>
  <c r="A29497" i="20"/>
  <c r="A29496" i="20"/>
  <c r="A29495" i="20"/>
  <c r="A29494" i="20"/>
  <c r="A29493" i="20"/>
  <c r="A29492" i="20"/>
  <c r="A29491" i="20"/>
  <c r="A29490" i="20"/>
  <c r="A29489" i="20"/>
  <c r="A29488" i="20"/>
  <c r="A29487" i="20"/>
  <c r="A29486" i="20"/>
  <c r="A29485" i="20"/>
  <c r="A29484" i="20"/>
  <c r="A29483" i="20"/>
  <c r="A29482" i="20"/>
  <c r="A29481" i="20"/>
  <c r="A29480" i="20"/>
  <c r="A29479" i="20"/>
  <c r="A29478" i="20"/>
  <c r="A29477" i="20"/>
  <c r="A29476" i="20"/>
  <c r="A29475" i="20"/>
  <c r="A29474" i="20"/>
  <c r="A29473" i="20"/>
  <c r="A29472" i="20"/>
  <c r="A29471" i="20"/>
  <c r="A29470" i="20"/>
  <c r="A29469" i="20"/>
  <c r="A29468" i="20"/>
  <c r="A29467" i="20"/>
  <c r="A29466" i="20"/>
  <c r="A29465" i="20"/>
  <c r="A29464" i="20"/>
  <c r="A29463" i="20"/>
  <c r="A29462" i="20"/>
  <c r="A29461" i="20"/>
  <c r="A29460" i="20"/>
  <c r="A29459" i="20"/>
  <c r="A29458" i="20"/>
  <c r="A29457" i="20"/>
  <c r="A29456" i="20"/>
  <c r="A29455" i="20"/>
  <c r="A29454" i="20"/>
  <c r="A29453" i="20"/>
  <c r="A29452" i="20"/>
  <c r="A29451" i="20"/>
  <c r="A29450" i="20"/>
  <c r="A29449" i="20"/>
  <c r="A29448" i="20"/>
  <c r="A29447" i="20"/>
  <c r="A29446" i="20"/>
  <c r="A29445" i="20"/>
  <c r="A29444" i="20"/>
  <c r="A29443" i="20"/>
  <c r="A29442" i="20"/>
  <c r="A29441" i="20"/>
  <c r="A29440" i="20"/>
  <c r="A29439" i="20"/>
  <c r="A29438" i="20"/>
  <c r="A29437" i="20"/>
  <c r="A29436" i="20"/>
  <c r="A29435" i="20"/>
  <c r="A29434" i="20"/>
  <c r="A29433" i="20"/>
  <c r="A29432" i="20"/>
  <c r="A29431" i="20"/>
  <c r="A29430" i="20"/>
  <c r="A29429" i="20"/>
  <c r="A29428" i="20"/>
  <c r="A29427" i="20"/>
  <c r="A29426" i="20"/>
  <c r="A29425" i="20"/>
  <c r="A29424" i="20"/>
  <c r="A29423" i="20"/>
  <c r="A29422" i="20"/>
  <c r="A29421" i="20"/>
  <c r="A29420" i="20"/>
  <c r="A29419" i="20"/>
  <c r="A29418" i="20"/>
  <c r="A29417" i="20"/>
  <c r="A29416" i="20"/>
  <c r="A29415" i="20"/>
  <c r="A29414" i="20"/>
  <c r="A29413" i="20"/>
  <c r="A29412" i="20"/>
  <c r="A29411" i="20"/>
  <c r="A29410" i="20"/>
  <c r="A29409" i="20"/>
  <c r="A29408" i="20"/>
  <c r="A29407" i="20"/>
  <c r="A29406" i="20"/>
  <c r="A29405" i="20"/>
  <c r="A29404" i="20"/>
  <c r="A29403" i="20"/>
  <c r="A29402" i="20"/>
  <c r="A29401" i="20"/>
  <c r="A29400" i="20"/>
  <c r="A29399" i="20"/>
  <c r="A29398" i="20"/>
  <c r="A29397" i="20"/>
  <c r="A29396" i="20"/>
  <c r="A29395" i="20"/>
  <c r="A29394" i="20"/>
  <c r="A29393" i="20"/>
  <c r="A29392" i="20"/>
  <c r="A29391" i="20"/>
  <c r="A29390" i="20"/>
  <c r="A29389" i="20"/>
  <c r="A29388" i="20"/>
  <c r="A29387" i="20"/>
  <c r="A29386" i="20"/>
  <c r="A29385" i="20"/>
  <c r="A29384" i="20"/>
  <c r="A29383" i="20"/>
  <c r="A29382" i="20"/>
  <c r="A29381" i="20"/>
  <c r="A29380" i="20"/>
  <c r="A29379" i="20"/>
  <c r="A29378" i="20"/>
  <c r="A29377" i="20"/>
  <c r="A29376" i="20"/>
  <c r="A29375" i="20"/>
  <c r="A29374" i="20"/>
  <c r="A29373" i="20"/>
  <c r="A29372" i="20"/>
  <c r="A29371" i="20"/>
  <c r="A29370" i="20"/>
  <c r="A29369" i="20"/>
  <c r="A29368" i="20"/>
  <c r="A29367" i="20"/>
  <c r="A29366" i="20"/>
  <c r="A29365" i="20"/>
  <c r="A29364" i="20"/>
  <c r="A29363" i="20"/>
  <c r="A29362" i="20"/>
  <c r="A29361" i="20"/>
  <c r="A29360" i="20"/>
  <c r="A29359" i="20"/>
  <c r="A29358" i="20"/>
  <c r="A29357" i="20"/>
  <c r="A29356" i="20"/>
  <c r="A29355" i="20"/>
  <c r="A29354" i="20"/>
  <c r="A29353" i="20"/>
  <c r="A29352" i="20"/>
  <c r="A29351" i="20"/>
  <c r="A29350" i="20"/>
  <c r="A29349" i="20"/>
  <c r="A29348" i="20"/>
  <c r="A29347" i="20"/>
  <c r="A29346" i="20"/>
  <c r="A29345" i="20"/>
  <c r="A29344" i="20"/>
  <c r="A29343" i="20"/>
  <c r="A29342" i="20"/>
  <c r="A29341" i="20"/>
  <c r="A29340" i="20"/>
  <c r="A29339" i="20"/>
  <c r="A29338" i="20"/>
  <c r="A29337" i="20"/>
  <c r="A29336" i="20"/>
  <c r="A29335" i="20"/>
  <c r="A29334" i="20"/>
  <c r="A29333" i="20"/>
  <c r="A29332" i="20"/>
  <c r="A29331" i="20"/>
  <c r="A29330" i="20"/>
  <c r="A29329" i="20"/>
  <c r="A29328" i="20"/>
  <c r="A29327" i="20"/>
  <c r="A29326" i="20"/>
  <c r="A29325" i="20"/>
  <c r="A29324" i="20"/>
  <c r="A29323" i="20"/>
  <c r="A29322" i="20"/>
  <c r="A29321" i="20"/>
  <c r="A29320" i="20"/>
  <c r="A29319" i="20"/>
  <c r="A29318" i="20"/>
  <c r="A29317" i="20"/>
  <c r="A29316" i="20"/>
  <c r="A29315" i="20"/>
  <c r="A29314" i="20"/>
  <c r="A29313" i="20"/>
  <c r="A29312" i="20"/>
  <c r="A29311" i="20"/>
  <c r="A29310" i="20"/>
  <c r="A29309" i="20"/>
  <c r="A29308" i="20"/>
  <c r="A29307" i="20"/>
  <c r="A29306" i="20"/>
  <c r="A29305" i="20"/>
  <c r="A29304" i="20"/>
  <c r="A29303" i="20"/>
  <c r="A29302" i="20"/>
  <c r="A29301" i="20"/>
  <c r="A29300" i="20"/>
  <c r="A29299" i="20"/>
  <c r="A29298" i="20"/>
  <c r="A29297" i="20"/>
  <c r="A29296" i="20"/>
  <c r="A29295" i="20"/>
  <c r="A29294" i="20"/>
  <c r="A29293" i="20"/>
  <c r="A29292" i="20"/>
  <c r="A29291" i="20"/>
  <c r="A29290" i="20"/>
  <c r="A29289" i="20"/>
  <c r="A29288" i="20"/>
  <c r="A29287" i="20"/>
  <c r="A29286" i="20"/>
  <c r="A29285" i="20"/>
  <c r="A29284" i="20"/>
  <c r="A29283" i="20"/>
  <c r="A29282" i="20"/>
  <c r="A29281" i="20"/>
  <c r="A29280" i="20"/>
  <c r="A29279" i="20"/>
  <c r="A29278" i="20"/>
  <c r="A29277" i="20"/>
  <c r="A29276" i="20"/>
  <c r="A29275" i="20"/>
  <c r="A29274" i="20"/>
  <c r="A29273" i="20"/>
  <c r="A29272" i="20"/>
  <c r="A29271" i="20"/>
  <c r="A29270" i="20"/>
  <c r="A29269" i="20"/>
  <c r="A29268" i="20"/>
  <c r="A29267" i="20"/>
  <c r="A29266" i="20"/>
  <c r="A29265" i="20"/>
  <c r="A29264" i="20"/>
  <c r="A29263" i="20"/>
  <c r="A29262" i="20"/>
  <c r="A29261" i="20"/>
  <c r="A29260" i="20"/>
  <c r="A29259" i="20"/>
  <c r="A29258" i="20"/>
  <c r="A29257" i="20"/>
  <c r="A29256" i="20"/>
  <c r="A29255" i="20"/>
  <c r="A29254" i="20"/>
  <c r="A29253" i="20"/>
  <c r="A29252" i="20"/>
  <c r="A29251" i="20"/>
  <c r="A29250" i="20"/>
  <c r="A29249" i="20"/>
  <c r="A29248" i="20"/>
  <c r="A29247" i="20"/>
  <c r="A29246" i="20"/>
  <c r="A29245" i="20"/>
  <c r="A29244" i="20"/>
  <c r="A29243" i="20"/>
  <c r="A29242" i="20"/>
  <c r="A29241" i="20"/>
  <c r="A29240" i="20"/>
  <c r="A29239" i="20"/>
  <c r="A29238" i="20"/>
  <c r="A29237" i="20"/>
  <c r="A29236" i="20"/>
  <c r="A29235" i="20"/>
  <c r="A29234" i="20"/>
  <c r="A29233" i="20"/>
  <c r="A29232" i="20"/>
  <c r="A29231" i="20"/>
  <c r="A29230" i="20"/>
  <c r="A29229" i="20"/>
  <c r="A29228" i="20"/>
  <c r="A29227" i="20"/>
  <c r="A29226" i="20"/>
  <c r="A29225" i="20"/>
  <c r="A29224" i="20"/>
  <c r="A29223" i="20"/>
  <c r="A29222" i="20"/>
  <c r="A29221" i="20"/>
  <c r="A29220" i="20"/>
  <c r="A29219" i="20"/>
  <c r="A29218" i="20"/>
  <c r="A29217" i="20"/>
  <c r="A29216" i="20"/>
  <c r="A29215" i="20"/>
  <c r="A29214" i="20"/>
  <c r="A29213" i="20"/>
  <c r="A29212" i="20"/>
  <c r="A29211" i="20"/>
  <c r="A29210" i="20"/>
  <c r="A29209" i="20"/>
  <c r="A29208" i="20"/>
  <c r="A29207" i="20"/>
  <c r="A29206" i="20"/>
  <c r="A29205" i="20"/>
  <c r="A29204" i="20"/>
  <c r="A29203" i="20"/>
  <c r="A29202" i="20"/>
  <c r="A29201" i="20"/>
  <c r="A29200" i="20"/>
  <c r="A29199" i="20"/>
  <c r="A29198" i="20"/>
  <c r="A29197" i="20"/>
  <c r="A29196" i="20"/>
  <c r="A29195" i="20"/>
  <c r="A29194" i="20"/>
  <c r="A29193" i="20"/>
  <c r="A29192" i="20"/>
  <c r="A29191" i="20"/>
  <c r="A29190" i="20"/>
  <c r="A29189" i="20"/>
  <c r="A29188" i="20"/>
  <c r="A29187" i="20"/>
  <c r="A29186" i="20"/>
  <c r="A29185" i="20"/>
  <c r="A29184" i="20"/>
  <c r="A29183" i="20"/>
  <c r="A29182" i="20"/>
  <c r="A29181" i="20"/>
  <c r="A29180" i="20"/>
  <c r="A29179" i="20"/>
  <c r="A29178" i="20"/>
  <c r="A29177" i="20"/>
  <c r="A29176" i="20"/>
  <c r="A29175" i="20"/>
  <c r="A29174" i="20"/>
  <c r="A29173" i="20"/>
  <c r="A29172" i="20"/>
  <c r="A29171" i="20"/>
  <c r="A29170" i="20"/>
  <c r="A29169" i="20"/>
  <c r="A29168" i="20"/>
  <c r="A29167" i="20"/>
  <c r="A29166" i="20"/>
  <c r="A29165" i="20"/>
  <c r="A29164" i="20"/>
  <c r="A29163" i="20"/>
  <c r="A29162" i="20"/>
  <c r="A29161" i="20"/>
  <c r="A29160" i="20"/>
  <c r="A29159" i="20"/>
  <c r="A29158" i="20"/>
  <c r="A29157" i="20"/>
  <c r="A29156" i="20"/>
  <c r="A29155" i="20"/>
  <c r="A29154" i="20"/>
  <c r="A29153" i="20"/>
  <c r="A29152" i="20"/>
  <c r="A29151" i="20"/>
  <c r="A29150" i="20"/>
  <c r="A29149" i="20"/>
  <c r="A29148" i="20"/>
  <c r="A29147" i="20"/>
  <c r="A29146" i="20"/>
  <c r="A29145" i="20"/>
  <c r="A29144" i="20"/>
  <c r="A29143" i="20"/>
  <c r="A29142" i="20"/>
  <c r="A29141" i="20"/>
  <c r="A29140" i="20"/>
  <c r="A29139" i="20"/>
  <c r="A29138" i="20"/>
  <c r="A29137" i="20"/>
  <c r="A29136" i="20"/>
  <c r="A29135" i="20"/>
  <c r="A29134" i="20"/>
  <c r="A29133" i="20"/>
  <c r="A29132" i="20"/>
  <c r="A29131" i="20"/>
  <c r="A29130" i="20"/>
  <c r="A29129" i="20"/>
  <c r="A29128" i="20"/>
  <c r="A29127" i="20"/>
  <c r="A29126" i="20"/>
  <c r="A29125" i="20"/>
  <c r="A29124" i="20"/>
  <c r="A29123" i="20"/>
  <c r="A29122" i="20"/>
  <c r="A29121" i="20"/>
  <c r="A29120" i="20"/>
  <c r="A29119" i="20"/>
  <c r="A29118" i="20"/>
  <c r="A29117" i="20"/>
  <c r="A29116" i="20"/>
  <c r="A29115" i="20"/>
  <c r="A29114" i="20"/>
  <c r="A29113" i="20"/>
  <c r="A29112" i="20"/>
  <c r="A29111" i="20"/>
  <c r="A29110" i="20"/>
  <c r="A29109" i="20"/>
  <c r="A29108" i="20"/>
  <c r="A29107" i="20"/>
  <c r="A29106" i="20"/>
  <c r="A29105" i="20"/>
  <c r="A29104" i="20"/>
  <c r="A29103" i="20"/>
  <c r="A29102" i="20"/>
  <c r="A29101" i="20"/>
  <c r="A29100" i="20"/>
  <c r="A29099" i="20"/>
  <c r="A29098" i="20"/>
  <c r="A29097" i="20"/>
  <c r="A29096" i="20"/>
  <c r="A29095" i="20"/>
  <c r="A29094" i="20"/>
  <c r="A29093" i="20"/>
  <c r="A29092" i="20"/>
  <c r="A29091" i="20"/>
  <c r="A29090" i="20"/>
  <c r="A29089" i="20"/>
  <c r="A29088" i="20"/>
  <c r="A29087" i="20"/>
  <c r="A29086" i="20"/>
  <c r="A29085" i="20"/>
  <c r="A29084" i="20"/>
  <c r="A29083" i="20"/>
  <c r="A29082" i="20"/>
  <c r="A29081" i="20"/>
  <c r="A29080" i="20"/>
  <c r="A29079" i="20"/>
  <c r="A29078" i="20"/>
  <c r="A29077" i="20"/>
  <c r="A29076" i="20"/>
  <c r="A29075" i="20"/>
  <c r="A29074" i="20"/>
  <c r="A29073" i="20"/>
  <c r="A29072" i="20"/>
  <c r="A29071" i="20"/>
  <c r="A29070" i="20"/>
  <c r="A29069" i="20"/>
  <c r="A29068" i="20"/>
  <c r="A29067" i="20"/>
  <c r="A29066" i="20"/>
  <c r="A29065" i="20"/>
  <c r="A29064" i="20"/>
  <c r="A29063" i="20"/>
  <c r="A29062" i="20"/>
  <c r="A29061" i="20"/>
  <c r="A29060" i="20"/>
  <c r="A29059" i="20"/>
  <c r="A29058" i="20"/>
  <c r="A29057" i="20"/>
  <c r="A29056" i="20"/>
  <c r="A29055" i="20"/>
  <c r="A29054" i="20"/>
  <c r="A29053" i="20"/>
  <c r="A29052" i="20"/>
  <c r="A29051" i="20"/>
  <c r="A29050" i="20"/>
  <c r="A29049" i="20"/>
  <c r="A29048" i="20"/>
  <c r="A29047" i="20"/>
  <c r="A29046" i="20"/>
  <c r="A29045" i="20"/>
  <c r="A29044" i="20"/>
  <c r="A29043" i="20"/>
  <c r="A29042" i="20"/>
  <c r="A29041" i="20"/>
  <c r="A29040" i="20"/>
  <c r="A29039" i="20"/>
  <c r="A29038" i="20"/>
  <c r="A29037" i="20"/>
  <c r="A29036" i="20"/>
  <c r="A29035" i="20"/>
  <c r="A29034" i="20"/>
  <c r="A29033" i="20"/>
  <c r="A29032" i="20"/>
  <c r="A29031" i="20"/>
  <c r="A29030" i="20"/>
  <c r="A29029" i="20"/>
  <c r="A29028" i="20"/>
  <c r="A29027" i="20"/>
  <c r="A29026" i="20"/>
  <c r="A29025" i="20"/>
  <c r="A29024" i="20"/>
  <c r="A29023" i="20"/>
  <c r="A29022" i="20"/>
  <c r="A29021" i="20"/>
  <c r="A29020" i="20"/>
  <c r="A29019" i="20"/>
  <c r="A29018" i="20"/>
  <c r="A29017" i="20"/>
  <c r="A29016" i="20"/>
  <c r="A29015" i="20"/>
  <c r="A29014" i="20"/>
  <c r="A29013" i="20"/>
  <c r="A29012" i="20"/>
  <c r="A29011" i="20"/>
  <c r="A29010" i="20"/>
  <c r="A29009" i="20"/>
  <c r="A29008" i="20"/>
  <c r="A29007" i="20"/>
  <c r="A29006" i="20"/>
  <c r="A29005" i="20"/>
  <c r="A29004" i="20"/>
  <c r="A29003" i="20"/>
  <c r="A29002" i="20"/>
  <c r="A29001" i="20"/>
  <c r="A29000" i="20"/>
  <c r="A28999" i="20"/>
  <c r="A28998" i="20"/>
  <c r="A28997" i="20"/>
  <c r="A28996" i="20"/>
  <c r="A28995" i="20"/>
  <c r="A28994" i="20"/>
  <c r="A28993" i="20"/>
  <c r="A28992" i="20"/>
  <c r="A28991" i="20"/>
  <c r="A28990" i="20"/>
  <c r="A28989" i="20"/>
  <c r="A28988" i="20"/>
  <c r="A28987" i="20"/>
  <c r="A28986" i="20"/>
  <c r="A28985" i="20"/>
  <c r="A28984" i="20"/>
  <c r="A28983" i="20"/>
  <c r="A28982" i="20"/>
  <c r="A28981" i="20"/>
  <c r="A28980" i="20"/>
  <c r="A28979" i="20"/>
  <c r="A28978" i="20"/>
  <c r="A28977" i="20"/>
  <c r="A28976" i="20"/>
  <c r="A28975" i="20"/>
  <c r="A28974" i="20"/>
  <c r="A28973" i="20"/>
  <c r="A28972" i="20"/>
  <c r="A28971" i="20"/>
  <c r="A28970" i="20"/>
  <c r="A28969" i="20"/>
  <c r="A28968" i="20"/>
  <c r="A28967" i="20"/>
  <c r="A28966" i="20"/>
  <c r="A28965" i="20"/>
  <c r="A28964" i="20"/>
  <c r="A28963" i="20"/>
  <c r="A28962" i="20"/>
  <c r="A28961" i="20"/>
  <c r="A28960" i="20"/>
  <c r="A28959" i="20"/>
  <c r="A28958" i="20"/>
  <c r="A28957" i="20"/>
  <c r="A28956" i="20"/>
  <c r="A28955" i="20"/>
  <c r="A28954" i="20"/>
  <c r="A28953" i="20"/>
  <c r="A28952" i="20"/>
  <c r="A28951" i="20"/>
  <c r="A28950" i="20"/>
  <c r="A28949" i="20"/>
  <c r="A28948" i="20"/>
  <c r="A28947" i="20"/>
  <c r="A28946" i="20"/>
  <c r="A28945" i="20"/>
  <c r="A28944" i="20"/>
  <c r="A28943" i="20"/>
  <c r="A28942" i="20"/>
  <c r="A28941" i="20"/>
  <c r="A28940" i="20"/>
  <c r="A28939" i="20"/>
  <c r="A28938" i="20"/>
  <c r="A28937" i="20"/>
  <c r="A28936" i="20"/>
  <c r="A28935" i="20"/>
  <c r="A28934" i="20"/>
  <c r="A28933" i="20"/>
  <c r="A28932" i="20"/>
  <c r="A28931" i="20"/>
  <c r="A28930" i="20"/>
  <c r="A28929" i="20"/>
  <c r="A28928" i="20"/>
  <c r="A28927" i="20"/>
  <c r="A28926" i="20"/>
  <c r="A28925" i="20"/>
  <c r="A28924" i="20"/>
  <c r="A28923" i="20"/>
  <c r="A28922" i="20"/>
  <c r="A28921" i="20"/>
  <c r="A28920" i="20"/>
  <c r="A28919" i="20"/>
  <c r="A28918" i="20"/>
  <c r="A28917" i="20"/>
  <c r="A28916" i="20"/>
  <c r="A28915" i="20"/>
  <c r="A28914" i="20"/>
  <c r="A28913" i="20"/>
  <c r="A28912" i="20"/>
  <c r="A28911" i="20"/>
  <c r="A28910" i="20"/>
  <c r="A28909" i="20"/>
  <c r="A28908" i="20"/>
  <c r="A28907" i="20"/>
  <c r="A28906" i="20"/>
  <c r="A28905" i="20"/>
  <c r="A28904" i="20"/>
  <c r="A28903" i="20"/>
  <c r="A28902" i="20"/>
  <c r="A28901" i="20"/>
  <c r="A28900" i="20"/>
  <c r="A28899" i="20"/>
  <c r="A28898" i="20"/>
  <c r="A28897" i="20"/>
  <c r="A28896" i="20"/>
  <c r="A28895" i="20"/>
  <c r="A28894" i="20"/>
  <c r="A28893" i="20"/>
  <c r="A28892" i="20"/>
  <c r="A28891" i="20"/>
  <c r="A28890" i="20"/>
  <c r="A28889" i="20"/>
  <c r="A28888" i="20"/>
  <c r="A28887" i="20"/>
  <c r="A28886" i="20"/>
  <c r="A28885" i="20"/>
  <c r="A28884" i="20"/>
  <c r="A28883" i="20"/>
  <c r="A28882" i="20"/>
  <c r="A28881" i="20"/>
  <c r="A28880" i="20"/>
  <c r="A28879" i="20"/>
  <c r="A28878" i="20"/>
  <c r="A28877" i="20"/>
  <c r="A28876" i="20"/>
  <c r="A28875" i="20"/>
  <c r="A28874" i="20"/>
  <c r="A28873" i="20"/>
  <c r="A28872" i="20"/>
  <c r="A28871" i="20"/>
  <c r="A28870" i="20"/>
  <c r="A28869" i="20"/>
  <c r="A28868" i="20"/>
  <c r="A28867" i="20"/>
  <c r="A28866" i="20"/>
  <c r="A28865" i="20"/>
  <c r="A28864" i="20"/>
  <c r="A28863" i="20"/>
  <c r="A28862" i="20"/>
  <c r="A28861" i="20"/>
  <c r="A28860" i="20"/>
  <c r="A28859" i="20"/>
  <c r="A28858" i="20"/>
  <c r="A28857" i="20"/>
  <c r="A28856" i="20"/>
  <c r="A28855" i="20"/>
  <c r="A28854" i="20"/>
  <c r="A28853" i="20"/>
  <c r="A28852" i="20"/>
  <c r="A28851" i="20"/>
  <c r="A28850" i="20"/>
  <c r="A28849" i="20"/>
  <c r="A28848" i="20"/>
  <c r="A28847" i="20"/>
  <c r="A28846" i="20"/>
  <c r="A28845" i="20"/>
  <c r="A28844" i="20"/>
  <c r="A28843" i="20"/>
  <c r="A28842" i="20"/>
  <c r="A28841" i="20"/>
  <c r="A28840" i="20"/>
  <c r="A28839" i="20"/>
  <c r="A28838" i="20"/>
  <c r="A28837" i="20"/>
  <c r="A28836" i="20"/>
  <c r="A28835" i="20"/>
  <c r="A28834" i="20"/>
  <c r="A28833" i="20"/>
  <c r="A28832" i="20"/>
  <c r="A28831" i="20"/>
  <c r="A28830" i="20"/>
  <c r="A28829" i="20"/>
  <c r="A28828" i="20"/>
  <c r="A28827" i="20"/>
  <c r="A28826" i="20"/>
  <c r="A28825" i="20"/>
  <c r="A28824" i="20"/>
  <c r="A28823" i="20"/>
  <c r="A28822" i="20"/>
  <c r="A28821" i="20"/>
  <c r="A28820" i="20"/>
  <c r="A28819" i="20"/>
  <c r="A28818" i="20"/>
  <c r="A28817" i="20"/>
  <c r="A28816" i="20"/>
  <c r="A28815" i="20"/>
  <c r="A28814" i="20"/>
  <c r="A28813" i="20"/>
  <c r="A28812" i="20"/>
  <c r="A28811" i="20"/>
  <c r="A28810" i="20"/>
  <c r="A28809" i="20"/>
  <c r="A28808" i="20"/>
  <c r="A28807" i="20"/>
  <c r="A28806" i="20"/>
  <c r="A28805" i="20"/>
  <c r="A28804" i="20"/>
  <c r="A28803" i="20"/>
  <c r="A28802" i="20"/>
  <c r="A28801" i="20"/>
  <c r="A28800" i="20"/>
  <c r="A28799" i="20"/>
  <c r="A28798" i="20"/>
  <c r="A28797" i="20"/>
  <c r="A28796" i="20"/>
  <c r="A28795" i="20"/>
  <c r="A28794" i="20"/>
  <c r="A28793" i="20"/>
  <c r="A28792" i="20"/>
  <c r="A28791" i="20"/>
  <c r="A28790" i="20"/>
  <c r="A28789" i="20"/>
  <c r="A28788" i="20"/>
  <c r="A28787" i="20"/>
  <c r="A28786" i="20"/>
  <c r="A28785" i="20"/>
  <c r="A28784" i="20"/>
  <c r="A28783" i="20"/>
  <c r="A28782" i="20"/>
  <c r="A28781" i="20"/>
  <c r="A28780" i="20"/>
  <c r="A28779" i="20"/>
  <c r="A28778" i="20"/>
  <c r="A28777" i="20"/>
  <c r="A28776" i="20"/>
  <c r="A28775" i="20"/>
  <c r="A28774" i="20"/>
  <c r="A28773" i="20"/>
  <c r="A28772" i="20"/>
  <c r="A28771" i="20"/>
  <c r="A28770" i="20"/>
  <c r="A28769" i="20"/>
  <c r="A28768" i="20"/>
  <c r="A28767" i="20"/>
  <c r="A28766" i="20"/>
  <c r="A28765" i="20"/>
  <c r="A28764" i="20"/>
  <c r="A28763" i="20"/>
  <c r="A28762" i="20"/>
  <c r="A28761" i="20"/>
  <c r="A28760" i="20"/>
  <c r="A28759" i="20"/>
  <c r="A28758" i="20"/>
  <c r="A28757" i="20"/>
  <c r="A28756" i="20"/>
  <c r="A28755" i="20"/>
  <c r="A28754" i="20"/>
  <c r="A28753" i="20"/>
  <c r="A28752" i="20"/>
  <c r="A28751" i="20"/>
  <c r="A28750" i="20"/>
  <c r="A28749" i="20"/>
  <c r="A28748" i="20"/>
  <c r="A28747" i="20"/>
  <c r="A28746" i="20"/>
  <c r="A28745" i="20"/>
  <c r="A28744" i="20"/>
  <c r="A28743" i="20"/>
  <c r="A28742" i="20"/>
  <c r="A28741" i="20"/>
  <c r="A28740" i="20"/>
  <c r="A28739" i="20"/>
  <c r="A28738" i="20"/>
  <c r="A28737" i="20"/>
  <c r="A28736" i="20"/>
  <c r="A28735" i="20"/>
  <c r="A28734" i="20"/>
  <c r="A28733" i="20"/>
  <c r="A28732" i="20"/>
  <c r="A28731" i="20"/>
  <c r="A28730" i="20"/>
  <c r="A28729" i="20"/>
  <c r="A28728" i="20"/>
  <c r="A28727" i="20"/>
  <c r="A28726" i="20"/>
  <c r="A28725" i="20"/>
  <c r="A28724" i="20"/>
  <c r="A28723" i="20"/>
  <c r="A28722" i="20"/>
  <c r="A28721" i="20"/>
  <c r="A28720" i="20"/>
  <c r="A28719" i="20"/>
  <c r="A28718" i="20"/>
  <c r="A28717" i="20"/>
  <c r="A28716" i="20"/>
  <c r="A28715" i="20"/>
  <c r="A28714" i="20"/>
  <c r="A28713" i="20"/>
  <c r="A28712" i="20"/>
  <c r="A28711" i="20"/>
  <c r="A28710" i="20"/>
  <c r="A28709" i="20"/>
  <c r="A28708" i="20"/>
  <c r="A28707" i="20"/>
  <c r="A28706" i="20"/>
  <c r="A28705" i="20"/>
  <c r="A28704" i="20"/>
  <c r="A28703" i="20"/>
  <c r="A28702" i="20"/>
  <c r="A28701" i="20"/>
  <c r="A28700" i="20"/>
  <c r="A28699" i="20"/>
  <c r="A28698" i="20"/>
  <c r="A28697" i="20"/>
  <c r="A28696" i="20"/>
  <c r="A28695" i="20"/>
  <c r="A28694" i="20"/>
  <c r="A28693" i="20"/>
  <c r="A28692" i="20"/>
  <c r="A28691" i="20"/>
  <c r="A28690" i="20"/>
  <c r="A28689" i="20"/>
  <c r="A28688" i="20"/>
  <c r="A28687" i="20"/>
  <c r="A28686" i="20"/>
  <c r="A28685" i="20"/>
  <c r="A28684" i="20"/>
  <c r="A28683" i="20"/>
  <c r="A28682" i="20"/>
  <c r="A28681" i="20"/>
  <c r="A28680" i="20"/>
  <c r="A28679" i="20"/>
  <c r="A28678" i="20"/>
  <c r="A28677" i="20"/>
  <c r="A28676" i="20"/>
  <c r="A28675" i="20"/>
  <c r="A28674" i="20"/>
  <c r="A28673" i="20"/>
  <c r="A28672" i="20"/>
  <c r="A28671" i="20"/>
  <c r="A28670" i="20"/>
  <c r="A28669" i="20"/>
  <c r="A28668" i="20"/>
  <c r="A28667" i="20"/>
  <c r="A28666" i="20"/>
  <c r="A28665" i="20"/>
  <c r="A28664" i="20"/>
  <c r="A28663" i="20"/>
  <c r="A28662" i="20"/>
  <c r="A28661" i="20"/>
  <c r="A28660" i="20"/>
  <c r="A28659" i="20"/>
  <c r="A28658" i="20"/>
  <c r="A28657" i="20"/>
  <c r="A28656" i="20"/>
  <c r="A28655" i="20"/>
  <c r="A28654" i="20"/>
  <c r="A28653" i="20"/>
  <c r="A28652" i="20"/>
  <c r="A28651" i="20"/>
  <c r="A28650" i="20"/>
  <c r="A28649" i="20"/>
  <c r="A28648" i="20"/>
  <c r="A28647" i="20"/>
  <c r="A28646" i="20"/>
  <c r="A28645" i="20"/>
  <c r="A28644" i="20"/>
  <c r="A28643" i="20"/>
  <c r="A28642" i="20"/>
  <c r="A28641" i="20"/>
  <c r="A28640" i="20"/>
  <c r="A28639" i="20"/>
  <c r="A28638" i="20"/>
  <c r="A28637" i="20"/>
  <c r="A28636" i="20"/>
  <c r="A28635" i="20"/>
  <c r="A28634" i="20"/>
  <c r="A28633" i="20"/>
  <c r="A28632" i="20"/>
  <c r="A28631" i="20"/>
  <c r="A28630" i="20"/>
  <c r="A28629" i="20"/>
  <c r="A28628" i="20"/>
  <c r="A28627" i="20"/>
  <c r="A28626" i="20"/>
  <c r="A28625" i="20"/>
  <c r="A28624" i="20"/>
  <c r="A28623" i="20"/>
  <c r="A28622" i="20"/>
  <c r="A28621" i="20"/>
  <c r="A28620" i="20"/>
  <c r="A28619" i="20"/>
  <c r="A28618" i="20"/>
  <c r="A28617" i="20"/>
  <c r="A28616" i="20"/>
  <c r="A28615" i="20"/>
  <c r="A28614" i="20"/>
  <c r="A28613" i="20"/>
  <c r="A28612" i="20"/>
  <c r="A28611" i="20"/>
  <c r="A28610" i="20"/>
  <c r="A28609" i="20"/>
  <c r="A28608" i="20"/>
  <c r="A28607" i="20"/>
  <c r="A28606" i="20"/>
  <c r="A28605" i="20"/>
  <c r="A28604" i="20"/>
  <c r="A28603" i="20"/>
  <c r="A28602" i="20"/>
  <c r="A28601" i="20"/>
  <c r="A28600" i="20"/>
  <c r="A28599" i="20"/>
  <c r="A28598" i="20"/>
  <c r="A28597" i="20"/>
  <c r="A28596" i="20"/>
  <c r="A28595" i="20"/>
  <c r="A28594" i="20"/>
  <c r="A28593" i="20"/>
  <c r="A28592" i="20"/>
  <c r="A28591" i="20"/>
  <c r="A28590" i="20"/>
  <c r="A28589" i="20"/>
  <c r="A28588" i="20"/>
  <c r="A28587" i="20"/>
  <c r="A28586" i="20"/>
  <c r="A28585" i="20"/>
  <c r="A28584" i="20"/>
  <c r="A28583" i="20"/>
  <c r="A28582" i="20"/>
  <c r="A28581" i="20"/>
  <c r="A28580" i="20"/>
  <c r="A28579" i="20"/>
  <c r="A28578" i="20"/>
  <c r="A28577" i="20"/>
  <c r="A28576" i="20"/>
  <c r="A28575" i="20"/>
  <c r="A28574" i="20"/>
  <c r="A28573" i="20"/>
  <c r="A28572" i="20"/>
  <c r="A28571" i="20"/>
  <c r="A28570" i="20"/>
  <c r="A28569" i="20"/>
  <c r="A28568" i="20"/>
  <c r="A28567" i="20"/>
  <c r="A28566" i="20"/>
  <c r="A28565" i="20"/>
  <c r="A28564" i="20"/>
  <c r="A28563" i="20"/>
  <c r="A28562" i="20"/>
  <c r="A28561" i="20"/>
  <c r="A28560" i="20"/>
  <c r="A28559" i="20"/>
  <c r="A28558" i="20"/>
  <c r="A28557" i="20"/>
  <c r="A28556" i="20"/>
  <c r="A28555" i="20"/>
  <c r="A28554" i="20"/>
  <c r="A28553" i="20"/>
  <c r="A28552" i="20"/>
  <c r="A28551" i="20"/>
  <c r="A28550" i="20"/>
  <c r="A28549" i="20"/>
  <c r="A28548" i="20"/>
  <c r="A28547" i="20"/>
  <c r="A28546" i="20"/>
  <c r="A28545" i="20"/>
  <c r="A28544" i="20"/>
  <c r="A28543" i="20"/>
  <c r="A28542" i="20"/>
  <c r="A28541" i="20"/>
  <c r="A28540" i="20"/>
  <c r="A28539" i="20"/>
  <c r="A28538" i="20"/>
  <c r="A28537" i="20"/>
  <c r="A28536" i="20"/>
  <c r="A28535" i="20"/>
  <c r="A28534" i="20"/>
  <c r="A28533" i="20"/>
  <c r="A28532" i="20"/>
  <c r="A28531" i="20"/>
  <c r="A28530" i="20"/>
  <c r="A28529" i="20"/>
  <c r="A28528" i="20"/>
  <c r="A28527" i="20"/>
  <c r="A28526" i="20"/>
  <c r="A28525" i="20"/>
  <c r="A28524" i="20"/>
  <c r="A28523" i="20"/>
  <c r="A28522" i="20"/>
  <c r="A28521" i="20"/>
  <c r="A28520" i="20"/>
  <c r="A28519" i="20"/>
  <c r="A28518" i="20"/>
  <c r="A28517" i="20"/>
  <c r="A28516" i="20"/>
  <c r="A28515" i="20"/>
  <c r="A28514" i="20"/>
  <c r="A28513" i="20"/>
  <c r="A28512" i="20"/>
  <c r="A28511" i="20"/>
  <c r="A28510" i="20"/>
  <c r="A28509" i="20"/>
  <c r="A28508" i="20"/>
  <c r="A28507" i="20"/>
  <c r="A28506" i="20"/>
  <c r="A28505" i="20"/>
  <c r="A28504" i="20"/>
  <c r="A28503" i="20"/>
  <c r="A28502" i="20"/>
  <c r="A28501" i="20"/>
  <c r="A28500" i="20"/>
  <c r="A28499" i="20"/>
  <c r="A28498" i="20"/>
  <c r="A28497" i="20"/>
  <c r="A28496" i="20"/>
  <c r="A28495" i="20"/>
  <c r="A28494" i="20"/>
  <c r="A28493" i="20"/>
  <c r="A28492" i="20"/>
  <c r="A28491" i="20"/>
  <c r="A28490" i="20"/>
  <c r="A28489" i="20"/>
  <c r="A28488" i="20"/>
  <c r="A28487" i="20"/>
  <c r="A28486" i="20"/>
  <c r="A28485" i="20"/>
  <c r="A28484" i="20"/>
  <c r="A28483" i="20"/>
  <c r="A28482" i="20"/>
  <c r="A28481" i="20"/>
  <c r="A28480" i="20"/>
  <c r="A28479" i="20"/>
  <c r="A28478" i="20"/>
  <c r="A28477" i="20"/>
  <c r="A28476" i="20"/>
  <c r="A28475" i="20"/>
  <c r="A28474" i="20"/>
  <c r="A28473" i="20"/>
  <c r="A28472" i="20"/>
  <c r="A28471" i="20"/>
  <c r="A28470" i="20"/>
  <c r="A28469" i="20"/>
  <c r="A28468" i="20"/>
  <c r="A28467" i="20"/>
  <c r="A28466" i="20"/>
  <c r="A28465" i="20"/>
  <c r="A28464" i="20"/>
  <c r="A28463" i="20"/>
  <c r="A28462" i="20"/>
  <c r="A28461" i="20"/>
  <c r="A28460" i="20"/>
  <c r="A28459" i="20"/>
  <c r="A28458" i="20"/>
  <c r="A28457" i="20"/>
  <c r="A28456" i="20"/>
  <c r="A28455" i="20"/>
  <c r="A28454" i="20"/>
  <c r="A28453" i="20"/>
  <c r="A28452" i="20"/>
  <c r="A28451" i="20"/>
  <c r="A28450" i="20"/>
  <c r="A28449" i="20"/>
  <c r="A28448" i="20"/>
  <c r="A28447" i="20"/>
  <c r="A28446" i="20"/>
  <c r="A28445" i="20"/>
  <c r="A28444" i="20"/>
  <c r="A28443" i="20"/>
  <c r="A28442" i="20"/>
  <c r="A28441" i="20"/>
  <c r="A28440" i="20"/>
  <c r="A28439" i="20"/>
  <c r="A28438" i="20"/>
  <c r="A28437" i="20"/>
  <c r="A28436" i="20"/>
  <c r="A28435" i="20"/>
  <c r="A28434" i="20"/>
  <c r="A28433" i="20"/>
  <c r="A28432" i="20"/>
  <c r="A28431" i="20"/>
  <c r="A28430" i="20"/>
  <c r="A28429" i="20"/>
  <c r="A28428" i="20"/>
  <c r="A28427" i="20"/>
  <c r="A28426" i="20"/>
  <c r="A28425" i="20"/>
  <c r="A28424" i="20"/>
  <c r="A28423" i="20"/>
  <c r="A28422" i="20"/>
  <c r="A28421" i="20"/>
  <c r="A28420" i="20"/>
  <c r="A28419" i="20"/>
  <c r="A28418" i="20"/>
  <c r="A28417" i="20"/>
  <c r="A28416" i="20"/>
  <c r="A28415" i="20"/>
  <c r="A28414" i="20"/>
  <c r="A28413" i="20"/>
  <c r="A28412" i="20"/>
  <c r="A28411" i="20"/>
  <c r="A28410" i="20"/>
  <c r="A28409" i="20"/>
  <c r="A28408" i="20"/>
  <c r="A28407" i="20"/>
  <c r="A28406" i="20"/>
  <c r="A28405" i="20"/>
  <c r="A28404" i="20"/>
  <c r="A28403" i="20"/>
  <c r="A28402" i="20"/>
  <c r="A28401" i="20"/>
  <c r="A28400" i="20"/>
  <c r="A28399" i="20"/>
  <c r="A28398" i="20"/>
  <c r="A28397" i="20"/>
  <c r="A28396" i="20"/>
  <c r="A28395" i="20"/>
  <c r="A28394" i="20"/>
  <c r="A28393" i="20"/>
  <c r="A28392" i="20"/>
  <c r="A28391" i="20"/>
  <c r="A28390" i="20"/>
  <c r="A28389" i="20"/>
  <c r="A28388" i="20"/>
  <c r="A28387" i="20"/>
  <c r="A28386" i="20"/>
  <c r="A28385" i="20"/>
  <c r="A28384" i="20"/>
  <c r="A28383" i="20"/>
  <c r="A28382" i="20"/>
  <c r="A28381" i="20"/>
  <c r="A28380" i="20"/>
  <c r="A28379" i="20"/>
  <c r="A28378" i="20"/>
  <c r="A28377" i="20"/>
  <c r="A28376" i="20"/>
  <c r="A28375" i="20"/>
  <c r="A28374" i="20"/>
  <c r="A28373" i="20"/>
  <c r="A28372" i="20"/>
  <c r="A28371" i="20"/>
  <c r="A28370" i="20"/>
  <c r="A28369" i="20"/>
  <c r="A28368" i="20"/>
  <c r="A28367" i="20"/>
  <c r="A28366" i="20"/>
  <c r="A28365" i="20"/>
  <c r="A28364" i="20"/>
  <c r="A28363" i="20"/>
  <c r="A28362" i="20"/>
  <c r="A28361" i="20"/>
  <c r="A28360" i="20"/>
  <c r="A28359" i="20"/>
  <c r="A28358" i="20"/>
  <c r="A28357" i="20"/>
  <c r="A28356" i="20"/>
  <c r="A28355" i="20"/>
  <c r="A28354" i="20"/>
  <c r="A28353" i="20"/>
  <c r="A28352" i="20"/>
  <c r="A28351" i="20"/>
  <c r="A28350" i="20"/>
  <c r="A28349" i="20"/>
  <c r="A28348" i="20"/>
  <c r="A28347" i="20"/>
  <c r="A28346" i="20"/>
  <c r="A28345" i="20"/>
  <c r="A28344" i="20"/>
  <c r="A28343" i="20"/>
  <c r="A28342" i="20"/>
  <c r="A28341" i="20"/>
  <c r="A28340" i="20"/>
  <c r="A28339" i="20"/>
  <c r="A28338" i="20"/>
  <c r="A28337" i="20"/>
  <c r="A28336" i="20"/>
  <c r="A28335" i="20"/>
  <c r="A28334" i="20"/>
  <c r="A28333" i="20"/>
  <c r="A28332" i="20"/>
  <c r="A28331" i="20"/>
  <c r="A28330" i="20"/>
  <c r="A28329" i="20"/>
  <c r="A28328" i="20"/>
  <c r="A28327" i="20"/>
  <c r="A28326" i="20"/>
  <c r="A28325" i="20"/>
  <c r="A28324" i="20"/>
  <c r="A28323" i="20"/>
  <c r="A28322" i="20"/>
  <c r="A28321" i="20"/>
  <c r="A28320" i="20"/>
  <c r="A28319" i="20"/>
  <c r="A28318" i="20"/>
  <c r="A28317" i="20"/>
  <c r="A28316" i="20"/>
  <c r="A28315" i="20"/>
  <c r="A28314" i="20"/>
  <c r="A28313" i="20"/>
  <c r="A28312" i="20"/>
  <c r="A28311" i="20"/>
  <c r="A28310" i="20"/>
  <c r="A28309" i="20"/>
  <c r="A28308" i="20"/>
  <c r="A28307" i="20"/>
  <c r="A28306" i="20"/>
  <c r="A28305" i="20"/>
  <c r="A28304" i="20"/>
  <c r="A28303" i="20"/>
  <c r="A28302" i="20"/>
  <c r="A28301" i="20"/>
  <c r="A28300" i="20"/>
  <c r="A28299" i="20"/>
  <c r="A28298" i="20"/>
  <c r="A28297" i="20"/>
  <c r="A28296" i="20"/>
  <c r="A28295" i="20"/>
  <c r="A28294" i="20"/>
  <c r="A28293" i="20"/>
  <c r="A28292" i="20"/>
  <c r="A28291" i="20"/>
  <c r="A28290" i="20"/>
  <c r="A28289" i="20"/>
  <c r="A28288" i="20"/>
  <c r="A28287" i="20"/>
  <c r="A28286" i="20"/>
  <c r="A28285" i="20"/>
  <c r="A28284" i="20"/>
  <c r="A28283" i="20"/>
  <c r="A28282" i="20"/>
  <c r="A28281" i="20"/>
  <c r="A28280" i="20"/>
  <c r="A28279" i="20"/>
  <c r="A28278" i="20"/>
  <c r="A28277" i="20"/>
  <c r="A28276" i="20"/>
  <c r="A28275" i="20"/>
  <c r="A28274" i="20"/>
  <c r="A28273" i="20"/>
  <c r="A28272" i="20"/>
  <c r="A28271" i="20"/>
  <c r="A28270" i="20"/>
  <c r="A28269" i="20"/>
  <c r="A28268" i="20"/>
  <c r="A28267" i="20"/>
  <c r="A28266" i="20"/>
  <c r="A28265" i="20"/>
  <c r="A28264" i="20"/>
  <c r="A28263" i="20"/>
  <c r="A28262" i="20"/>
  <c r="A28261" i="20"/>
  <c r="A28260" i="20"/>
  <c r="A28259" i="20"/>
  <c r="A28258" i="20"/>
  <c r="A28257" i="20"/>
  <c r="A28256" i="20"/>
  <c r="A28255" i="20"/>
  <c r="A28254" i="20"/>
  <c r="A28253" i="20"/>
  <c r="A28252" i="20"/>
  <c r="A28251" i="20"/>
  <c r="A28250" i="20"/>
  <c r="A28249" i="20"/>
  <c r="A28248" i="20"/>
  <c r="A28247" i="20"/>
  <c r="A28246" i="20"/>
  <c r="A28245" i="20"/>
  <c r="A28244" i="20"/>
  <c r="A28243" i="20"/>
  <c r="A28242" i="20"/>
  <c r="A28241" i="20"/>
  <c r="A28240" i="20"/>
  <c r="A28239" i="20"/>
  <c r="A28238" i="20"/>
  <c r="A28237" i="20"/>
  <c r="A28236" i="20"/>
  <c r="A28235" i="20"/>
  <c r="A28234" i="20"/>
  <c r="A28233" i="20"/>
  <c r="A28232" i="20"/>
  <c r="A28231" i="20"/>
  <c r="A28230" i="20"/>
  <c r="A28229" i="20"/>
  <c r="A28228" i="20"/>
  <c r="A28227" i="20"/>
  <c r="A28226" i="20"/>
  <c r="A28225" i="20"/>
  <c r="A28224" i="20"/>
  <c r="A28223" i="20"/>
  <c r="A28222" i="20"/>
  <c r="A28221" i="20"/>
  <c r="A28220" i="20"/>
  <c r="A28219" i="20"/>
  <c r="A28218" i="20"/>
  <c r="A28217" i="20"/>
  <c r="A28216" i="20"/>
  <c r="A28215" i="20"/>
  <c r="A28214" i="20"/>
  <c r="A28213" i="20"/>
  <c r="A28212" i="20"/>
  <c r="A28211" i="20"/>
  <c r="A28210" i="20"/>
  <c r="A28209" i="20"/>
  <c r="A28208" i="20"/>
  <c r="A28207" i="20"/>
  <c r="A28206" i="20"/>
  <c r="A28205" i="20"/>
  <c r="A28204" i="20"/>
  <c r="A28203" i="20"/>
  <c r="A28202" i="20"/>
  <c r="A28201" i="20"/>
  <c r="A28200" i="20"/>
  <c r="A28199" i="20"/>
  <c r="A28198" i="20"/>
  <c r="A28197" i="20"/>
  <c r="A28196" i="20"/>
  <c r="A28195" i="20"/>
  <c r="A28194" i="20"/>
  <c r="A28193" i="20"/>
  <c r="A28192" i="20"/>
  <c r="A28191" i="20"/>
  <c r="A28190" i="20"/>
  <c r="A28189" i="20"/>
  <c r="A28188" i="20"/>
  <c r="A28187" i="20"/>
  <c r="A28186" i="20"/>
  <c r="A28185" i="20"/>
  <c r="A28184" i="20"/>
  <c r="A28183" i="20"/>
  <c r="A28182" i="20"/>
  <c r="A28181" i="20"/>
  <c r="A28180" i="20"/>
  <c r="A28179" i="20"/>
  <c r="A28178" i="20"/>
  <c r="A28177" i="20"/>
  <c r="A28176" i="20"/>
  <c r="A28175" i="20"/>
  <c r="A28174" i="20"/>
  <c r="A28173" i="20"/>
  <c r="A28172" i="20"/>
  <c r="A28171" i="20"/>
  <c r="A28170" i="20"/>
  <c r="A28169" i="20"/>
  <c r="A28168" i="20"/>
  <c r="A28167" i="20"/>
  <c r="A28166" i="20"/>
  <c r="A28165" i="20"/>
  <c r="A28164" i="20"/>
  <c r="A28163" i="20"/>
  <c r="A28162" i="20"/>
  <c r="A28161" i="20"/>
  <c r="A28160" i="20"/>
  <c r="A28159" i="20"/>
  <c r="A28158" i="20"/>
  <c r="A28157" i="20"/>
  <c r="A28156" i="20"/>
  <c r="A28155" i="20"/>
  <c r="A28154" i="20"/>
  <c r="A28153" i="20"/>
  <c r="A28152" i="20"/>
  <c r="A28151" i="20"/>
  <c r="A28150" i="20"/>
  <c r="A28149" i="20"/>
  <c r="A28148" i="20"/>
  <c r="A28147" i="20"/>
  <c r="A28146" i="20"/>
  <c r="A28145" i="20"/>
  <c r="A28144" i="20"/>
  <c r="A28143" i="20"/>
  <c r="A28142" i="20"/>
  <c r="A28141" i="20"/>
  <c r="A28140" i="20"/>
  <c r="A28139" i="20"/>
  <c r="A28138" i="20"/>
  <c r="A28137" i="20"/>
  <c r="A28136" i="20"/>
  <c r="A28135" i="20"/>
  <c r="A28134" i="20"/>
  <c r="A28133" i="20"/>
  <c r="A28132" i="20"/>
  <c r="A28131" i="20"/>
  <c r="A28130" i="20"/>
  <c r="A28129" i="20"/>
  <c r="A28128" i="20"/>
  <c r="A28127" i="20"/>
  <c r="A28126" i="20"/>
  <c r="A28125" i="20"/>
  <c r="A28124" i="20"/>
  <c r="A28123" i="20"/>
  <c r="A28122" i="20"/>
  <c r="A28121" i="20"/>
  <c r="A28120" i="20"/>
  <c r="A28119" i="20"/>
  <c r="A28118" i="20"/>
  <c r="A28117" i="20"/>
  <c r="A28116" i="20"/>
  <c r="A28115" i="20"/>
  <c r="A28114" i="20"/>
  <c r="A28113" i="20"/>
  <c r="A28112" i="20"/>
  <c r="A28111" i="20"/>
  <c r="A28110" i="20"/>
  <c r="A28109" i="20"/>
  <c r="A28108" i="20"/>
  <c r="A28107" i="20"/>
  <c r="A28106" i="20"/>
  <c r="A28105" i="20"/>
  <c r="A28104" i="20"/>
  <c r="A28103" i="20"/>
  <c r="A28102" i="20"/>
  <c r="A28101" i="20"/>
  <c r="A28100" i="20"/>
  <c r="A28099" i="20"/>
  <c r="A28098" i="20"/>
  <c r="A28097" i="20"/>
  <c r="A28096" i="20"/>
  <c r="A28095" i="20"/>
  <c r="A28094" i="20"/>
  <c r="A28093" i="20"/>
  <c r="A28092" i="20"/>
  <c r="A28091" i="20"/>
  <c r="A28090" i="20"/>
  <c r="A28089" i="20"/>
  <c r="A28088" i="20"/>
  <c r="A28087" i="20"/>
  <c r="A28086" i="20"/>
  <c r="A28085" i="20"/>
  <c r="A28084" i="20"/>
  <c r="A28083" i="20"/>
  <c r="A28082" i="20"/>
  <c r="A28081" i="20"/>
  <c r="A28080" i="20"/>
  <c r="A28079" i="20"/>
  <c r="A28078" i="20"/>
  <c r="A28077" i="20"/>
  <c r="A28076" i="20"/>
  <c r="A28075" i="20"/>
  <c r="A28074" i="20"/>
  <c r="A28073" i="20"/>
  <c r="A28072" i="20"/>
  <c r="A28071" i="20"/>
  <c r="A28070" i="20"/>
  <c r="A28069" i="20"/>
  <c r="A28068" i="20"/>
  <c r="A28067" i="20"/>
  <c r="A28066" i="20"/>
  <c r="A28065" i="20"/>
  <c r="A28064" i="20"/>
  <c r="A28063" i="20"/>
  <c r="A28062" i="20"/>
  <c r="A28061" i="20"/>
  <c r="A28060" i="20"/>
  <c r="A28059" i="20"/>
  <c r="A28058" i="20"/>
  <c r="A28057" i="20"/>
  <c r="A28056" i="20"/>
  <c r="A28055" i="20"/>
  <c r="A28054" i="20"/>
  <c r="A28053" i="20"/>
  <c r="A28052" i="20"/>
  <c r="A28051" i="20"/>
  <c r="A28050" i="20"/>
  <c r="A28049" i="20"/>
  <c r="A28048" i="20"/>
  <c r="A28047" i="20"/>
  <c r="A28046" i="20"/>
  <c r="A28045" i="20"/>
  <c r="A28044" i="20"/>
  <c r="A28043" i="20"/>
  <c r="A28042" i="20"/>
  <c r="A28041" i="20"/>
  <c r="A28040" i="20"/>
  <c r="A28039" i="20"/>
  <c r="A28038" i="20"/>
  <c r="A28037" i="20"/>
  <c r="A28036" i="20"/>
  <c r="A28035" i="20"/>
  <c r="A28034" i="20"/>
  <c r="A28033" i="20"/>
  <c r="A28032" i="20"/>
  <c r="A28031" i="20"/>
  <c r="A28030" i="20"/>
  <c r="A28029" i="20"/>
  <c r="A28028" i="20"/>
  <c r="A28027" i="20"/>
  <c r="A28026" i="20"/>
  <c r="A28025" i="20"/>
  <c r="A28024" i="20"/>
  <c r="A28023" i="20"/>
  <c r="A28022" i="20"/>
  <c r="A28021" i="20"/>
  <c r="A28020" i="20"/>
  <c r="A28019" i="20"/>
  <c r="A28018" i="20"/>
  <c r="A28017" i="20"/>
  <c r="A28016" i="20"/>
  <c r="A28015" i="20"/>
  <c r="A28014" i="20"/>
  <c r="A28013" i="20"/>
  <c r="A28012" i="20"/>
  <c r="A28011" i="20"/>
  <c r="A28010" i="20"/>
  <c r="A28009" i="20"/>
  <c r="A28008" i="20"/>
  <c r="A28007" i="20"/>
  <c r="A28006" i="20"/>
  <c r="A28005" i="20"/>
  <c r="A28004" i="20"/>
  <c r="A28003" i="20"/>
  <c r="A28002" i="20"/>
  <c r="A28001" i="20"/>
  <c r="A28000" i="20"/>
  <c r="A27999" i="20"/>
  <c r="A27998" i="20"/>
  <c r="A27997" i="20"/>
  <c r="A27996" i="20"/>
  <c r="A27995" i="20"/>
  <c r="A27994" i="20"/>
  <c r="A27993" i="20"/>
  <c r="A27992" i="20"/>
  <c r="A27991" i="20"/>
  <c r="A27990" i="20"/>
  <c r="A27989" i="20"/>
  <c r="A27988" i="20"/>
  <c r="A27987" i="20"/>
  <c r="A27986" i="20"/>
  <c r="A27985" i="20"/>
  <c r="A27984" i="20"/>
  <c r="A27983" i="20"/>
  <c r="A27982" i="20"/>
  <c r="A27981" i="20"/>
  <c r="A27980" i="20"/>
  <c r="A27979" i="20"/>
  <c r="A27978" i="20"/>
  <c r="A27977" i="20"/>
  <c r="A27976" i="20"/>
  <c r="A27975" i="20"/>
  <c r="A27974" i="20"/>
  <c r="A27973" i="20"/>
  <c r="A27972" i="20"/>
  <c r="A27971" i="20"/>
  <c r="A27970" i="20"/>
  <c r="A27969" i="20"/>
  <c r="A27968" i="20"/>
  <c r="A27967" i="20"/>
  <c r="A27966" i="20"/>
  <c r="A27965" i="20"/>
  <c r="A27964" i="20"/>
  <c r="A27963" i="20"/>
  <c r="A27962" i="20"/>
  <c r="A27961" i="20"/>
  <c r="A27960" i="20"/>
  <c r="A27959" i="20"/>
  <c r="A27958" i="20"/>
  <c r="A27957" i="20"/>
  <c r="A27956" i="20"/>
  <c r="A27955" i="20"/>
  <c r="A27954" i="20"/>
  <c r="A27953" i="20"/>
  <c r="A27952" i="20"/>
  <c r="A27951" i="20"/>
  <c r="A27950" i="20"/>
  <c r="A27949" i="20"/>
  <c r="A27948" i="20"/>
  <c r="A27947" i="20"/>
  <c r="A27946" i="20"/>
  <c r="A27945" i="20"/>
  <c r="A27944" i="20"/>
  <c r="A27943" i="20"/>
  <c r="A27942" i="20"/>
  <c r="A27941" i="20"/>
  <c r="A27940" i="20"/>
  <c r="A27939" i="20"/>
  <c r="A27938" i="20"/>
  <c r="A27937" i="20"/>
  <c r="A27936" i="20"/>
  <c r="A27935" i="20"/>
  <c r="A27934" i="20"/>
  <c r="A27933" i="20"/>
  <c r="A27932" i="20"/>
  <c r="A27931" i="20"/>
  <c r="A27930" i="20"/>
  <c r="A27929" i="20"/>
  <c r="A27928" i="20"/>
  <c r="A27927" i="20"/>
  <c r="A27926" i="20"/>
  <c r="A27925" i="20"/>
  <c r="A27924" i="20"/>
  <c r="A27923" i="20"/>
  <c r="A27922" i="20"/>
  <c r="A27921" i="20"/>
  <c r="A27920" i="20"/>
  <c r="A27919" i="20"/>
  <c r="A27918" i="20"/>
  <c r="A27917" i="20"/>
  <c r="A27916" i="20"/>
  <c r="A27915" i="20"/>
  <c r="A27914" i="20"/>
  <c r="A27913" i="20"/>
  <c r="A27912" i="20"/>
  <c r="A27911" i="20"/>
  <c r="A27910" i="20"/>
  <c r="A27909" i="20"/>
  <c r="A27908" i="20"/>
  <c r="A27907" i="20"/>
  <c r="A27906" i="20"/>
  <c r="A27905" i="20"/>
  <c r="A27904" i="20"/>
  <c r="A27903" i="20"/>
  <c r="A27902" i="20"/>
  <c r="A27901" i="20"/>
  <c r="A27900" i="20"/>
  <c r="A27899" i="20"/>
  <c r="A27898" i="20"/>
  <c r="A27897" i="20"/>
  <c r="A27896" i="20"/>
  <c r="A27895" i="20"/>
  <c r="A27894" i="20"/>
  <c r="A27893" i="20"/>
  <c r="A27892" i="20"/>
  <c r="A27891" i="20"/>
  <c r="A27890" i="20"/>
  <c r="A27889" i="20"/>
  <c r="A27888" i="20"/>
  <c r="A27887" i="20"/>
  <c r="A27886" i="20"/>
  <c r="A27885" i="20"/>
  <c r="A27884" i="20"/>
  <c r="A27883" i="20"/>
  <c r="A27882" i="20"/>
  <c r="A27881" i="20"/>
  <c r="A27880" i="20"/>
  <c r="A27879" i="20"/>
  <c r="A27878" i="20"/>
  <c r="A27877" i="20"/>
  <c r="A27876" i="20"/>
  <c r="A27875" i="20"/>
  <c r="A27874" i="20"/>
  <c r="A27873" i="20"/>
  <c r="A27872" i="20"/>
  <c r="A27871" i="20"/>
  <c r="A27870" i="20"/>
  <c r="A27869" i="20"/>
  <c r="A27868" i="20"/>
  <c r="A27867" i="20"/>
  <c r="A27866" i="20"/>
  <c r="A27865" i="20"/>
  <c r="A27864" i="20"/>
  <c r="A27863" i="20"/>
  <c r="A27862" i="20"/>
  <c r="A27861" i="20"/>
  <c r="A27860" i="20"/>
  <c r="A27859" i="20"/>
  <c r="A27858" i="20"/>
  <c r="A27857" i="20"/>
  <c r="A27856" i="20"/>
  <c r="A27855" i="20"/>
  <c r="A27854" i="20"/>
  <c r="A27853" i="20"/>
  <c r="A27852" i="20"/>
  <c r="A27851" i="20"/>
  <c r="A27850" i="20"/>
  <c r="A27849" i="20"/>
  <c r="A27848" i="20"/>
  <c r="A27847" i="20"/>
  <c r="A27846" i="20"/>
  <c r="A27845" i="20"/>
  <c r="A27844" i="20"/>
  <c r="A27843" i="20"/>
  <c r="A27842" i="20"/>
  <c r="A27841" i="20"/>
  <c r="A27840" i="20"/>
  <c r="A27839" i="20"/>
  <c r="A27838" i="20"/>
  <c r="A27837" i="20"/>
  <c r="A27836" i="20"/>
  <c r="A27835" i="20"/>
  <c r="A27834" i="20"/>
  <c r="A27833" i="20"/>
  <c r="A27832" i="20"/>
  <c r="A27831" i="20"/>
  <c r="A27830" i="20"/>
  <c r="A27829" i="20"/>
  <c r="A27828" i="20"/>
  <c r="A27827" i="20"/>
  <c r="A27826" i="20"/>
  <c r="A27825" i="20"/>
  <c r="A27824" i="20"/>
  <c r="A27823" i="20"/>
  <c r="A27822" i="20"/>
  <c r="A27821" i="20"/>
  <c r="A27820" i="20"/>
  <c r="A27819" i="20"/>
  <c r="A27818" i="20"/>
  <c r="A27817" i="20"/>
  <c r="A27816" i="20"/>
  <c r="A27815" i="20"/>
  <c r="A27814" i="20"/>
  <c r="A27813" i="20"/>
  <c r="A27812" i="20"/>
  <c r="A27811" i="20"/>
  <c r="A27810" i="20"/>
  <c r="A27809" i="20"/>
  <c r="A27808" i="20"/>
  <c r="A27807" i="20"/>
  <c r="A27806" i="20"/>
  <c r="A27805" i="20"/>
  <c r="A27804" i="20"/>
  <c r="A27803" i="20"/>
  <c r="A27802" i="20"/>
  <c r="A27801" i="20"/>
  <c r="A27800" i="20"/>
  <c r="A27799" i="20"/>
  <c r="A27798" i="20"/>
  <c r="A27797" i="20"/>
  <c r="A27796" i="20"/>
  <c r="A27795" i="20"/>
  <c r="A27794" i="20"/>
  <c r="A27793" i="20"/>
  <c r="A27792" i="20"/>
  <c r="A27791" i="20"/>
  <c r="A27790" i="20"/>
  <c r="A27789" i="20"/>
  <c r="A27788" i="20"/>
  <c r="A27787" i="20"/>
  <c r="A27786" i="20"/>
  <c r="A27785" i="20"/>
  <c r="A27784" i="20"/>
  <c r="A27783" i="20"/>
  <c r="A27782" i="20"/>
  <c r="A27781" i="20"/>
  <c r="A27780" i="20"/>
  <c r="A27779" i="20"/>
  <c r="A27778" i="20"/>
  <c r="A27777" i="20"/>
  <c r="A27776" i="20"/>
  <c r="A27775" i="20"/>
  <c r="A27774" i="20"/>
  <c r="A27773" i="20"/>
  <c r="A27772" i="20"/>
  <c r="A27771" i="20"/>
  <c r="A27770" i="20"/>
  <c r="A27769" i="20"/>
  <c r="A27768" i="20"/>
  <c r="A27767" i="20"/>
  <c r="A27766" i="20"/>
  <c r="A27765" i="20"/>
  <c r="A27764" i="20"/>
  <c r="A27763" i="20"/>
  <c r="A27762" i="20"/>
  <c r="A27761" i="20"/>
  <c r="A27760" i="20"/>
  <c r="A27759" i="20"/>
  <c r="A27758" i="20"/>
  <c r="A27757" i="20"/>
  <c r="A27756" i="20"/>
  <c r="A27755" i="20"/>
  <c r="A27754" i="20"/>
  <c r="A27753" i="20"/>
  <c r="A27752" i="20"/>
  <c r="A27751" i="20"/>
  <c r="A27750" i="20"/>
  <c r="A27749" i="20"/>
  <c r="A27748" i="20"/>
  <c r="A27747" i="20"/>
  <c r="A27746" i="20"/>
  <c r="A27745" i="20"/>
  <c r="A27744" i="20"/>
  <c r="A27743" i="20"/>
  <c r="A27742" i="20"/>
  <c r="A27741" i="20"/>
  <c r="A27740" i="20"/>
  <c r="A27739" i="20"/>
  <c r="A27738" i="20"/>
  <c r="A27737" i="20"/>
  <c r="A27736" i="20"/>
  <c r="A27735" i="20"/>
  <c r="A27734" i="20"/>
  <c r="A27733" i="20"/>
  <c r="A27732" i="20"/>
  <c r="A27731" i="20"/>
  <c r="A27730" i="20"/>
  <c r="A27729" i="20"/>
  <c r="A27728" i="20"/>
  <c r="A27727" i="20"/>
  <c r="A27726" i="20"/>
  <c r="A27725" i="20"/>
  <c r="A27724" i="20"/>
  <c r="A27723" i="20"/>
  <c r="A27722" i="20"/>
  <c r="A27721" i="20"/>
  <c r="A27720" i="20"/>
  <c r="A27719" i="20"/>
  <c r="A27718" i="20"/>
  <c r="A27717" i="20"/>
  <c r="A27716" i="20"/>
  <c r="A27715" i="20"/>
  <c r="A27714" i="20"/>
  <c r="A27713" i="20"/>
  <c r="A27712" i="20"/>
  <c r="A27711" i="20"/>
  <c r="A27710" i="20"/>
  <c r="A27709" i="20"/>
  <c r="A27708" i="20"/>
  <c r="A27707" i="20"/>
  <c r="A27706" i="20"/>
  <c r="A27705" i="20"/>
  <c r="A27704" i="20"/>
  <c r="A27703" i="20"/>
  <c r="A27702" i="20"/>
  <c r="A27701" i="20"/>
  <c r="A27700" i="20"/>
  <c r="A27699" i="20"/>
  <c r="A27698" i="20"/>
  <c r="A27697" i="20"/>
  <c r="A27696" i="20"/>
  <c r="A27695" i="20"/>
  <c r="A27694" i="20"/>
  <c r="A27693" i="20"/>
  <c r="A27692" i="20"/>
  <c r="A27691" i="20"/>
  <c r="A27690" i="20"/>
  <c r="A27689" i="20"/>
  <c r="A27688" i="20"/>
  <c r="A27687" i="20"/>
  <c r="A27686" i="20"/>
  <c r="A27685" i="20"/>
  <c r="A27684" i="20"/>
  <c r="A27683" i="20"/>
  <c r="A27682" i="20"/>
  <c r="A27681" i="20"/>
  <c r="A27680" i="20"/>
  <c r="A27679" i="20"/>
  <c r="A27678" i="20"/>
  <c r="A27677" i="20"/>
  <c r="A27676" i="20"/>
  <c r="A27675" i="20"/>
  <c r="A27674" i="20"/>
  <c r="A27673" i="20"/>
  <c r="A27672" i="20"/>
  <c r="A27671" i="20"/>
  <c r="A27670" i="20"/>
  <c r="A27669" i="20"/>
  <c r="A27668" i="20"/>
  <c r="A27667" i="20"/>
  <c r="A27666" i="20"/>
  <c r="A27665" i="20"/>
  <c r="A27664" i="20"/>
  <c r="A27663" i="20"/>
  <c r="A27662" i="20"/>
  <c r="A27661" i="20"/>
  <c r="A27660" i="20"/>
  <c r="A27659" i="20"/>
  <c r="A27658" i="20"/>
  <c r="A27657" i="20"/>
  <c r="A27656" i="20"/>
  <c r="A27655" i="20"/>
  <c r="A27654" i="20"/>
  <c r="A27653" i="20"/>
  <c r="A27652" i="20"/>
  <c r="A27651" i="20"/>
  <c r="A27650" i="20"/>
  <c r="A27649" i="20"/>
  <c r="A27648" i="20"/>
  <c r="A27647" i="20"/>
  <c r="A27646" i="20"/>
  <c r="A27645" i="20"/>
  <c r="A27644" i="20"/>
  <c r="A27643" i="20"/>
  <c r="A27642" i="20"/>
  <c r="A27641" i="20"/>
  <c r="A27640" i="20"/>
  <c r="A27639" i="20"/>
  <c r="A27638" i="20"/>
  <c r="A27637" i="20"/>
  <c r="A27636" i="20"/>
  <c r="A27635" i="20"/>
  <c r="A27634" i="20"/>
  <c r="A27633" i="20"/>
  <c r="A27632" i="20"/>
  <c r="A27631" i="20"/>
  <c r="A27630" i="20"/>
  <c r="A27629" i="20"/>
  <c r="A27628" i="20"/>
  <c r="A27627" i="20"/>
  <c r="A27626" i="20"/>
  <c r="A27625" i="20"/>
  <c r="A27624" i="20"/>
  <c r="A27623" i="20"/>
  <c r="A27622" i="20"/>
  <c r="A27621" i="20"/>
  <c r="A27620" i="20"/>
  <c r="A27619" i="20"/>
  <c r="A27618" i="20"/>
  <c r="A27617" i="20"/>
  <c r="A27616" i="20"/>
  <c r="A27615" i="20"/>
  <c r="A27614" i="20"/>
  <c r="A27613" i="20"/>
  <c r="A27612" i="20"/>
  <c r="A27611" i="20"/>
  <c r="A27610" i="20"/>
  <c r="A27609" i="20"/>
  <c r="A27608" i="20"/>
  <c r="A27607" i="20"/>
  <c r="A27606" i="20"/>
  <c r="A27605" i="20"/>
  <c r="A27604" i="20"/>
  <c r="A27603" i="20"/>
  <c r="A27602" i="20"/>
  <c r="A27601" i="20"/>
  <c r="A27600" i="20"/>
  <c r="A27599" i="20"/>
  <c r="A27598" i="20"/>
  <c r="A27597" i="20"/>
  <c r="A27596" i="20"/>
  <c r="A27595" i="20"/>
  <c r="A27594" i="20"/>
  <c r="A27593" i="20"/>
  <c r="A27592" i="20"/>
  <c r="A27591" i="20"/>
  <c r="A27590" i="20"/>
  <c r="A27589" i="20"/>
  <c r="A27588" i="20"/>
  <c r="A27587" i="20"/>
  <c r="A27586" i="20"/>
  <c r="A27585" i="20"/>
  <c r="A27584" i="20"/>
  <c r="A27583" i="20"/>
  <c r="A27582" i="20"/>
  <c r="A27581" i="20"/>
  <c r="A27580" i="20"/>
  <c r="A27579" i="20"/>
  <c r="A27578" i="20"/>
  <c r="A27577" i="20"/>
  <c r="A27576" i="20"/>
  <c r="A27575" i="20"/>
  <c r="A27574" i="20"/>
  <c r="A27573" i="20"/>
  <c r="A27572" i="20"/>
  <c r="A27571" i="20"/>
  <c r="A27570" i="20"/>
  <c r="A27569" i="20"/>
  <c r="A27568" i="20"/>
  <c r="A27567" i="20"/>
  <c r="A27566" i="20"/>
  <c r="A27565" i="20"/>
  <c r="A27564" i="20"/>
  <c r="A27563" i="20"/>
  <c r="A27562" i="20"/>
  <c r="A27561" i="20"/>
  <c r="A27560" i="20"/>
  <c r="A27559" i="20"/>
  <c r="A27558" i="20"/>
  <c r="A27557" i="20"/>
  <c r="A27556" i="20"/>
  <c r="A27555" i="20"/>
  <c r="A27554" i="20"/>
  <c r="A27553" i="20"/>
  <c r="A27552" i="20"/>
  <c r="A27551" i="20"/>
  <c r="A27550" i="20"/>
  <c r="A27549" i="20"/>
  <c r="A27548" i="20"/>
  <c r="A27547" i="20"/>
  <c r="A27546" i="20"/>
  <c r="A27545" i="20"/>
  <c r="A27544" i="20"/>
  <c r="A27543" i="20"/>
  <c r="A27542" i="20"/>
  <c r="A27541" i="20"/>
  <c r="A27540" i="20"/>
  <c r="A27539" i="20"/>
  <c r="A27538" i="20"/>
  <c r="A27537" i="20"/>
  <c r="A27536" i="20"/>
  <c r="A27535" i="20"/>
  <c r="A27534" i="20"/>
  <c r="A27533" i="20"/>
  <c r="A27532" i="20"/>
  <c r="A27531" i="20"/>
  <c r="A27530" i="20"/>
  <c r="A27529" i="20"/>
  <c r="A27528" i="20"/>
  <c r="A27527" i="20"/>
  <c r="A27526" i="20"/>
  <c r="A27525" i="20"/>
  <c r="A27524" i="20"/>
  <c r="A27523" i="20"/>
  <c r="A27522" i="20"/>
  <c r="A27521" i="20"/>
  <c r="A27520" i="20"/>
  <c r="A27519" i="20"/>
  <c r="A27518" i="20"/>
  <c r="A27517" i="20"/>
  <c r="A27516" i="20"/>
  <c r="A27515" i="20"/>
  <c r="A27514" i="20"/>
  <c r="A27513" i="20"/>
  <c r="A27512" i="20"/>
  <c r="A27511" i="20"/>
  <c r="A27510" i="20"/>
  <c r="A27509" i="20"/>
  <c r="A27508" i="20"/>
  <c r="A27507" i="20"/>
  <c r="A27506" i="20"/>
  <c r="A27505" i="20"/>
  <c r="A27504" i="20"/>
  <c r="A27503" i="20"/>
  <c r="A27502" i="20"/>
  <c r="A27501" i="20"/>
  <c r="A27500" i="20"/>
  <c r="A27499" i="20"/>
  <c r="A27498" i="20"/>
  <c r="A27497" i="20"/>
  <c r="A27496" i="20"/>
  <c r="A27495" i="20"/>
  <c r="A27494" i="20"/>
  <c r="A27493" i="20"/>
  <c r="A27492" i="20"/>
  <c r="A27491" i="20"/>
  <c r="A27490" i="20"/>
  <c r="A27489" i="20"/>
  <c r="A27488" i="20"/>
  <c r="A27487" i="20"/>
  <c r="A27486" i="20"/>
  <c r="A27485" i="20"/>
  <c r="A27484" i="20"/>
  <c r="A27483" i="20"/>
  <c r="A27482" i="20"/>
  <c r="A27481" i="20"/>
  <c r="A27480" i="20"/>
  <c r="A27479" i="20"/>
  <c r="A27478" i="20"/>
  <c r="A27477" i="20"/>
  <c r="A27476" i="20"/>
  <c r="A27475" i="20"/>
  <c r="A27474" i="20"/>
  <c r="A27473" i="20"/>
  <c r="A27472" i="20"/>
  <c r="A27471" i="20"/>
  <c r="A27470" i="20"/>
  <c r="A27469" i="20"/>
  <c r="A27468" i="20"/>
  <c r="A27467" i="20"/>
  <c r="A27466" i="20"/>
  <c r="A27465" i="20"/>
  <c r="A27464" i="20"/>
  <c r="A27463" i="20"/>
  <c r="A27462" i="20"/>
  <c r="A27461" i="20"/>
  <c r="A27460" i="20"/>
  <c r="A27459" i="20"/>
  <c r="A27458" i="20"/>
  <c r="A27457" i="20"/>
  <c r="A27456" i="20"/>
  <c r="A27455" i="20"/>
  <c r="A27454" i="20"/>
  <c r="A27453" i="20"/>
  <c r="A27452" i="20"/>
  <c r="A27451" i="20"/>
  <c r="A27450" i="20"/>
  <c r="A27449" i="20"/>
  <c r="A27448" i="20"/>
  <c r="A27447" i="20"/>
  <c r="A27446" i="20"/>
  <c r="A27445" i="20"/>
  <c r="A27444" i="20"/>
  <c r="A27443" i="20"/>
  <c r="A27442" i="20"/>
  <c r="A27441" i="20"/>
  <c r="A27440" i="20"/>
  <c r="A27439" i="20"/>
  <c r="A27438" i="20"/>
  <c r="A27437" i="20"/>
  <c r="A27436" i="20"/>
  <c r="A27435" i="20"/>
  <c r="A27434" i="20"/>
  <c r="A27433" i="20"/>
  <c r="A27432" i="20"/>
  <c r="A27431" i="20"/>
  <c r="A27430" i="20"/>
  <c r="A27429" i="20"/>
  <c r="A27428" i="20"/>
  <c r="A27427" i="20"/>
  <c r="A27426" i="20"/>
  <c r="A27425" i="20"/>
  <c r="A27424" i="20"/>
  <c r="A27423" i="20"/>
  <c r="A27422" i="20"/>
  <c r="A27421" i="20"/>
  <c r="A27420" i="20"/>
  <c r="A27419" i="20"/>
  <c r="A27418" i="20"/>
  <c r="A27417" i="20"/>
  <c r="A27416" i="20"/>
  <c r="A27415" i="20"/>
  <c r="A27414" i="20"/>
  <c r="A27413" i="20"/>
  <c r="A27412" i="20"/>
  <c r="A27411" i="20"/>
  <c r="A27410" i="20"/>
  <c r="A27409" i="20"/>
  <c r="A27408" i="20"/>
  <c r="A27407" i="20"/>
  <c r="A27406" i="20"/>
  <c r="A27405" i="20"/>
  <c r="A27404" i="20"/>
  <c r="A27403" i="20"/>
  <c r="A27402" i="20"/>
  <c r="A27401" i="20"/>
  <c r="A27400" i="20"/>
  <c r="A27399" i="20"/>
  <c r="A27398" i="20"/>
  <c r="A27397" i="20"/>
  <c r="A27396" i="20"/>
  <c r="A27395" i="20"/>
  <c r="A27394" i="20"/>
  <c r="A27393" i="20"/>
  <c r="A27392" i="20"/>
  <c r="A27391" i="20"/>
  <c r="A27390" i="20"/>
  <c r="A27389" i="20"/>
  <c r="A27388" i="20"/>
  <c r="A27387" i="20"/>
  <c r="A27386" i="20"/>
  <c r="A27385" i="20"/>
  <c r="A27384" i="20"/>
  <c r="A27383" i="20"/>
  <c r="A27382" i="20"/>
  <c r="A27381" i="20"/>
  <c r="A27380" i="20"/>
  <c r="A27379" i="20"/>
  <c r="A27378" i="20"/>
  <c r="A27377" i="20"/>
  <c r="A27376" i="20"/>
  <c r="A27375" i="20"/>
  <c r="A27374" i="20"/>
  <c r="A27373" i="20"/>
  <c r="A27372" i="20"/>
  <c r="A27371" i="20"/>
  <c r="A27370" i="20"/>
  <c r="A27369" i="20"/>
  <c r="A27368" i="20"/>
  <c r="A27367" i="20"/>
  <c r="A27366" i="20"/>
  <c r="A27365" i="20"/>
  <c r="A27364" i="20"/>
  <c r="A27363" i="20"/>
  <c r="A27362" i="20"/>
  <c r="A27361" i="20"/>
  <c r="A27360" i="20"/>
  <c r="A27359" i="20"/>
  <c r="A27358" i="20"/>
  <c r="A27357" i="20"/>
  <c r="A27356" i="20"/>
  <c r="A27355" i="20"/>
  <c r="A27354" i="20"/>
  <c r="A27353" i="20"/>
  <c r="A27352" i="20"/>
  <c r="A27351" i="20"/>
  <c r="A27350" i="20"/>
  <c r="A27349" i="20"/>
  <c r="A27348" i="20"/>
  <c r="A27347" i="20"/>
  <c r="A27346" i="20"/>
  <c r="A27345" i="20"/>
  <c r="A27344" i="20"/>
  <c r="A27343" i="20"/>
  <c r="A27342" i="20"/>
  <c r="A27341" i="20"/>
  <c r="A27340" i="20"/>
  <c r="A27339" i="20"/>
  <c r="A27338" i="20"/>
  <c r="A27337" i="20"/>
  <c r="A27336" i="20"/>
  <c r="A27335" i="20"/>
  <c r="A27334" i="20"/>
  <c r="A27333" i="20"/>
  <c r="A27332" i="20"/>
  <c r="A27331" i="20"/>
  <c r="A27330" i="20"/>
  <c r="A27329" i="20"/>
  <c r="A27328" i="20"/>
  <c r="A27327" i="20"/>
  <c r="A27326" i="20"/>
  <c r="A27325" i="20"/>
  <c r="A27324" i="20"/>
  <c r="A27323" i="20"/>
  <c r="A27322" i="20"/>
  <c r="A27321" i="20"/>
  <c r="A27320" i="20"/>
  <c r="A27319" i="20"/>
  <c r="A27318" i="20"/>
  <c r="A27317" i="20"/>
  <c r="A27316" i="20"/>
  <c r="A27315" i="20"/>
  <c r="A27314" i="20"/>
  <c r="A27313" i="20"/>
  <c r="A27312" i="20"/>
  <c r="A27311" i="20"/>
  <c r="A27310" i="20"/>
  <c r="A27309" i="20"/>
  <c r="A27308" i="20"/>
  <c r="A27307" i="20"/>
  <c r="A27306" i="20"/>
  <c r="A27305" i="20"/>
  <c r="A27304" i="20"/>
  <c r="A27303" i="20"/>
  <c r="A27302" i="20"/>
  <c r="A27301" i="20"/>
  <c r="A27300" i="20"/>
  <c r="A27299" i="20"/>
  <c r="A27298" i="20"/>
  <c r="A27297" i="20"/>
  <c r="A27296" i="20"/>
  <c r="A27295" i="20"/>
  <c r="A27294" i="20"/>
  <c r="A27293" i="20"/>
  <c r="A27292" i="20"/>
  <c r="A27291" i="20"/>
  <c r="A27290" i="20"/>
  <c r="A27289" i="20"/>
  <c r="A27288" i="20"/>
  <c r="A27287" i="20"/>
  <c r="A27286" i="20"/>
  <c r="A27285" i="20"/>
  <c r="A27284" i="20"/>
  <c r="A27283" i="20"/>
  <c r="A27282" i="20"/>
  <c r="A27281" i="20"/>
  <c r="A27280" i="20"/>
  <c r="A27279" i="20"/>
  <c r="A27278" i="20"/>
  <c r="A27277" i="20"/>
  <c r="A27276" i="20"/>
  <c r="A27275" i="20"/>
  <c r="A27274" i="20"/>
  <c r="A27273" i="20"/>
  <c r="A27272" i="20"/>
  <c r="A27271" i="20"/>
  <c r="A27270" i="20"/>
  <c r="A27269" i="20"/>
  <c r="A27268" i="20"/>
  <c r="A27267" i="20"/>
  <c r="A27266" i="20"/>
  <c r="A27265" i="20"/>
  <c r="A27264" i="20"/>
  <c r="A27263" i="20"/>
  <c r="A27262" i="20"/>
  <c r="A27261" i="20"/>
  <c r="A27260" i="20"/>
  <c r="A27259" i="20"/>
  <c r="A27258" i="20"/>
  <c r="A27257" i="20"/>
  <c r="A27256" i="20"/>
  <c r="A27255" i="20"/>
  <c r="A27254" i="20"/>
  <c r="A27253" i="20"/>
  <c r="A27252" i="20"/>
  <c r="A27251" i="20"/>
  <c r="A27250" i="20"/>
  <c r="A27249" i="20"/>
  <c r="A27248" i="20"/>
  <c r="A27247" i="20"/>
  <c r="A27246" i="20"/>
  <c r="A27245" i="20"/>
  <c r="A27244" i="20"/>
  <c r="A27243" i="20"/>
  <c r="A27242" i="20"/>
  <c r="A27241" i="20"/>
  <c r="A27240" i="20"/>
  <c r="A27239" i="20"/>
  <c r="A27238" i="20"/>
  <c r="A27237" i="20"/>
  <c r="A27236" i="20"/>
  <c r="A27235" i="20"/>
  <c r="A27234" i="20"/>
  <c r="A27233" i="20"/>
  <c r="A27232" i="20"/>
  <c r="A27231" i="20"/>
  <c r="A27230" i="20"/>
  <c r="A27229" i="20"/>
  <c r="A27228" i="20"/>
  <c r="A27227" i="20"/>
  <c r="A27226" i="20"/>
  <c r="A27225" i="20"/>
  <c r="A27224" i="20"/>
  <c r="A27223" i="20"/>
  <c r="A27222" i="20"/>
  <c r="A27221" i="20"/>
  <c r="A27220" i="20"/>
  <c r="A27219" i="20"/>
  <c r="A27218" i="20"/>
  <c r="A27217" i="20"/>
  <c r="A27216" i="20"/>
  <c r="A27215" i="20"/>
  <c r="A27214" i="20"/>
  <c r="A27213" i="20"/>
  <c r="A27212" i="20"/>
  <c r="A27211" i="20"/>
  <c r="A27210" i="20"/>
  <c r="A27209" i="20"/>
  <c r="A27208" i="20"/>
  <c r="A27207" i="20"/>
  <c r="A27206" i="20"/>
  <c r="A27205" i="20"/>
  <c r="A27204" i="20"/>
  <c r="A27203" i="20"/>
  <c r="A27202" i="20"/>
  <c r="A27201" i="20"/>
  <c r="A27200" i="20"/>
  <c r="A27199" i="20"/>
  <c r="A27198" i="20"/>
  <c r="A27197" i="20"/>
  <c r="A27196" i="20"/>
  <c r="A27195" i="20"/>
  <c r="A27194" i="20"/>
  <c r="A27193" i="20"/>
  <c r="A27192" i="20"/>
  <c r="A27191" i="20"/>
  <c r="A27190" i="20"/>
  <c r="A27189" i="20"/>
  <c r="A27188" i="20"/>
  <c r="A27187" i="20"/>
  <c r="A27186" i="20"/>
  <c r="A27185" i="20"/>
  <c r="A27184" i="20"/>
  <c r="A27183" i="20"/>
  <c r="A27182" i="20"/>
  <c r="A27181" i="20"/>
  <c r="A27180" i="20"/>
  <c r="A27179" i="20"/>
  <c r="A27178" i="20"/>
  <c r="A27177" i="20"/>
  <c r="A27176" i="20"/>
  <c r="A27175" i="20"/>
  <c r="A27174" i="20"/>
  <c r="A27173" i="20"/>
  <c r="A27172" i="20"/>
  <c r="A27171" i="20"/>
  <c r="A27170" i="20"/>
  <c r="A27169" i="20"/>
  <c r="A27168" i="20"/>
  <c r="A27167" i="20"/>
  <c r="A27166" i="20"/>
  <c r="A27165" i="20"/>
  <c r="A27164" i="20"/>
  <c r="A27163" i="20"/>
  <c r="A27162" i="20"/>
  <c r="A27161" i="20"/>
  <c r="A27160" i="20"/>
  <c r="A27159" i="20"/>
  <c r="A27158" i="20"/>
  <c r="A27157" i="20"/>
  <c r="A27156" i="20"/>
  <c r="A27155" i="20"/>
  <c r="A27154" i="20"/>
  <c r="A27153" i="20"/>
  <c r="A27152" i="20"/>
  <c r="A27151" i="20"/>
  <c r="A27150" i="20"/>
  <c r="A27149" i="20"/>
  <c r="A27148" i="20"/>
  <c r="A27147" i="20"/>
  <c r="A27146" i="20"/>
  <c r="A27145" i="20"/>
  <c r="A27144" i="20"/>
  <c r="A27143" i="20"/>
  <c r="A27142" i="20"/>
  <c r="A27141" i="20"/>
  <c r="A27140" i="20"/>
  <c r="A27139" i="20"/>
  <c r="A27138" i="20"/>
  <c r="A27137" i="20"/>
  <c r="A27136" i="20"/>
  <c r="A27135" i="20"/>
  <c r="A27134" i="20"/>
  <c r="A27133" i="20"/>
  <c r="A27132" i="20"/>
  <c r="A27131" i="20"/>
  <c r="A27130" i="20"/>
  <c r="A27129" i="20"/>
  <c r="A27128" i="20"/>
  <c r="A27127" i="20"/>
  <c r="A27126" i="20"/>
  <c r="A27125" i="20"/>
  <c r="A27124" i="20"/>
  <c r="A27123" i="20"/>
  <c r="A27122" i="20"/>
  <c r="A27121" i="20"/>
  <c r="A27120" i="20"/>
  <c r="A27119" i="20"/>
  <c r="A27118" i="20"/>
  <c r="A27117" i="20"/>
  <c r="A27116" i="20"/>
  <c r="A27115" i="20"/>
  <c r="A27114" i="20"/>
  <c r="A27113" i="20"/>
  <c r="A27112" i="20"/>
  <c r="A27111" i="20"/>
  <c r="A27110" i="20"/>
  <c r="A27109" i="20"/>
  <c r="A27108" i="20"/>
  <c r="A27107" i="20"/>
  <c r="A27106" i="20"/>
  <c r="A27105" i="20"/>
  <c r="A27104" i="20"/>
  <c r="A27103" i="20"/>
  <c r="A27102" i="20"/>
  <c r="A27101" i="20"/>
  <c r="A27100" i="20"/>
  <c r="A27099" i="20"/>
  <c r="A27098" i="20"/>
  <c r="A27097" i="20"/>
  <c r="A27096" i="20"/>
  <c r="A27095" i="20"/>
  <c r="A27094" i="20"/>
  <c r="A27093" i="20"/>
  <c r="A27092" i="20"/>
  <c r="A27091" i="20"/>
  <c r="A27090" i="20"/>
  <c r="A27089" i="20"/>
  <c r="A27088" i="20"/>
  <c r="A27087" i="20"/>
  <c r="A27086" i="20"/>
  <c r="A27085" i="20"/>
  <c r="A27084" i="20"/>
  <c r="A27083" i="20"/>
  <c r="A27082" i="20"/>
  <c r="A27081" i="20"/>
  <c r="A27080" i="20"/>
  <c r="A27079" i="20"/>
  <c r="A27078" i="20"/>
  <c r="A27077" i="20"/>
  <c r="A27076" i="20"/>
  <c r="A27075" i="20"/>
  <c r="A27074" i="20"/>
  <c r="A27073" i="20"/>
  <c r="A27072" i="20"/>
  <c r="A27071" i="20"/>
  <c r="A27070" i="20"/>
  <c r="A27069" i="20"/>
  <c r="A27068" i="20"/>
  <c r="A27067" i="20"/>
  <c r="A27066" i="20"/>
  <c r="A27065" i="20"/>
  <c r="A27064" i="20"/>
  <c r="A27063" i="20"/>
  <c r="A27062" i="20"/>
  <c r="A27061" i="20"/>
  <c r="A27060" i="20"/>
  <c r="A27059" i="20"/>
  <c r="A27058" i="20"/>
  <c r="A27057" i="20"/>
  <c r="A27056" i="20"/>
  <c r="A27055" i="20"/>
  <c r="A27054" i="20"/>
  <c r="A27053" i="20"/>
  <c r="A27052" i="20"/>
  <c r="A27051" i="20"/>
  <c r="A27050" i="20"/>
  <c r="A27049" i="20"/>
  <c r="A27048" i="20"/>
  <c r="A27047" i="20"/>
  <c r="A27046" i="20"/>
  <c r="A27045" i="20"/>
  <c r="A27044" i="20"/>
  <c r="A27043" i="20"/>
  <c r="A27042" i="20"/>
  <c r="A27041" i="20"/>
  <c r="A27040" i="20"/>
  <c r="A27039" i="20"/>
  <c r="A27038" i="20"/>
  <c r="A27037" i="20"/>
  <c r="A27036" i="20"/>
  <c r="A27035" i="20"/>
  <c r="A27034" i="20"/>
  <c r="A27033" i="20"/>
  <c r="A27032" i="20"/>
  <c r="A27031" i="20"/>
  <c r="A27030" i="20"/>
  <c r="A27029" i="20"/>
  <c r="A27028" i="20"/>
  <c r="A27027" i="20"/>
  <c r="A27026" i="20"/>
  <c r="A27025" i="20"/>
  <c r="A27024" i="20"/>
  <c r="A27023" i="20"/>
  <c r="A27022" i="20"/>
  <c r="A27021" i="20"/>
  <c r="A27020" i="20"/>
  <c r="A27019" i="20"/>
  <c r="A27018" i="20"/>
  <c r="A27017" i="20"/>
  <c r="A27016" i="20"/>
  <c r="A27015" i="20"/>
  <c r="A27014" i="20"/>
  <c r="A27013" i="20"/>
  <c r="A27012" i="20"/>
  <c r="A27011" i="20"/>
  <c r="A27010" i="20"/>
  <c r="A27009" i="20"/>
  <c r="A27008" i="20"/>
  <c r="A27007" i="20"/>
  <c r="A27006" i="20"/>
  <c r="A27005" i="20"/>
  <c r="A27004" i="20"/>
  <c r="A27003" i="20"/>
  <c r="A27002" i="20"/>
  <c r="A27001" i="20"/>
  <c r="A27000" i="20"/>
  <c r="A26999" i="20"/>
  <c r="A26998" i="20"/>
  <c r="A26997" i="20"/>
  <c r="A26996" i="20"/>
  <c r="A26995" i="20"/>
  <c r="A26994" i="20"/>
  <c r="A26993" i="20"/>
  <c r="A26992" i="20"/>
  <c r="A26991" i="20"/>
  <c r="A26990" i="20"/>
  <c r="A26989" i="20"/>
  <c r="A26988" i="20"/>
  <c r="A26987" i="20"/>
  <c r="A26986" i="20"/>
  <c r="A26985" i="20"/>
  <c r="A26984" i="20"/>
  <c r="A26983" i="20"/>
  <c r="A26982" i="20"/>
  <c r="A26981" i="20"/>
  <c r="A26980" i="20"/>
  <c r="A26979" i="20"/>
  <c r="A26978" i="20"/>
  <c r="A26977" i="20"/>
  <c r="A26976" i="20"/>
  <c r="A26975" i="20"/>
  <c r="A26974" i="20"/>
  <c r="A26973" i="20"/>
  <c r="A26972" i="20"/>
  <c r="A26971" i="20"/>
  <c r="A26970" i="20"/>
  <c r="A26969" i="20"/>
  <c r="A26968" i="20"/>
  <c r="A26967" i="20"/>
  <c r="A26966" i="20"/>
  <c r="A26965" i="20"/>
  <c r="A26964" i="20"/>
  <c r="A26963" i="20"/>
  <c r="A26962" i="20"/>
  <c r="A26961" i="20"/>
  <c r="A26960" i="20"/>
  <c r="A26959" i="20"/>
  <c r="A26958" i="20"/>
  <c r="A26957" i="20"/>
  <c r="A26956" i="20"/>
  <c r="A26955" i="20"/>
  <c r="A26954" i="20"/>
  <c r="A26953" i="20"/>
  <c r="A26952" i="20"/>
  <c r="A26951" i="20"/>
  <c r="A26950" i="20"/>
  <c r="A26949" i="20"/>
  <c r="A26948" i="20"/>
  <c r="A26947" i="20"/>
  <c r="A26946" i="20"/>
  <c r="A26945" i="20"/>
  <c r="A26944" i="20"/>
  <c r="A26943" i="20"/>
  <c r="A26942" i="20"/>
  <c r="A26941" i="20"/>
  <c r="A26940" i="20"/>
  <c r="A26939" i="20"/>
  <c r="A26938" i="20"/>
  <c r="A26937" i="20"/>
  <c r="A26936" i="20"/>
  <c r="A26935" i="20"/>
  <c r="A26934" i="20"/>
  <c r="A26933" i="20"/>
  <c r="A26932" i="20"/>
  <c r="A26931" i="20"/>
  <c r="A26930" i="20"/>
  <c r="A26929" i="20"/>
  <c r="A26928" i="20"/>
  <c r="A26927" i="20"/>
  <c r="A26926" i="20"/>
  <c r="A26925" i="20"/>
  <c r="A26924" i="20"/>
  <c r="A26923" i="20"/>
  <c r="A26922" i="20"/>
  <c r="A26921" i="20"/>
  <c r="A26920" i="20"/>
  <c r="A26919" i="20"/>
  <c r="A26918" i="20"/>
  <c r="A26917" i="20"/>
  <c r="A26916" i="20"/>
  <c r="A26915" i="20"/>
  <c r="A26914" i="20"/>
  <c r="A26913" i="20"/>
  <c r="A26912" i="20"/>
  <c r="A26911" i="20"/>
  <c r="A26910" i="20"/>
  <c r="A26909" i="20"/>
  <c r="A26908" i="20"/>
  <c r="A26907" i="20"/>
  <c r="A26906" i="20"/>
  <c r="A26905" i="20"/>
  <c r="A26904" i="20"/>
  <c r="A26903" i="20"/>
  <c r="A26902" i="20"/>
  <c r="A26901" i="20"/>
  <c r="A26900" i="20"/>
  <c r="A26899" i="20"/>
  <c r="A26898" i="20"/>
  <c r="A26897" i="20"/>
  <c r="A26896" i="20"/>
  <c r="A26895" i="20"/>
  <c r="A26894" i="20"/>
  <c r="A26893" i="20"/>
  <c r="A26892" i="20"/>
  <c r="A26891" i="20"/>
  <c r="A26890" i="20"/>
  <c r="A26889" i="20"/>
  <c r="A26888" i="20"/>
  <c r="A26887" i="20"/>
  <c r="A26886" i="20"/>
  <c r="A26885" i="20"/>
  <c r="A26884" i="20"/>
  <c r="A26883" i="20"/>
  <c r="A26882" i="20"/>
  <c r="A26881" i="20"/>
  <c r="A26880" i="20"/>
  <c r="A26879" i="20"/>
  <c r="A26878" i="20"/>
  <c r="A26877" i="20"/>
  <c r="A26876" i="20"/>
  <c r="A26875" i="20"/>
  <c r="A26874" i="20"/>
  <c r="A26873" i="20"/>
  <c r="A26872" i="20"/>
  <c r="A26871" i="20"/>
  <c r="A26870" i="20"/>
  <c r="A26869" i="20"/>
  <c r="A26868" i="20"/>
  <c r="A26867" i="20"/>
  <c r="A26866" i="20"/>
  <c r="A26865" i="20"/>
  <c r="A26864" i="20"/>
  <c r="A26863" i="20"/>
  <c r="A26862" i="20"/>
  <c r="A26861" i="20"/>
  <c r="A26860" i="20"/>
  <c r="A26859" i="20"/>
  <c r="A26858" i="20"/>
  <c r="A26857" i="20"/>
  <c r="A26856" i="20"/>
  <c r="A26855" i="20"/>
  <c r="A26854" i="20"/>
  <c r="A26853" i="20"/>
  <c r="A26852" i="20"/>
  <c r="A26851" i="20"/>
  <c r="A26850" i="20"/>
  <c r="A26849" i="20"/>
  <c r="A26848" i="20"/>
  <c r="A26847" i="20"/>
  <c r="A26846" i="20"/>
  <c r="A26845" i="20"/>
  <c r="A26844" i="20"/>
  <c r="A26843" i="20"/>
  <c r="A26842" i="20"/>
  <c r="A26841" i="20"/>
  <c r="A26840" i="20"/>
  <c r="A26839" i="20"/>
  <c r="A26838" i="20"/>
  <c r="A26837" i="20"/>
  <c r="A26836" i="20"/>
  <c r="A26835" i="20"/>
  <c r="A26834" i="20"/>
  <c r="A26833" i="20"/>
  <c r="A26832" i="20"/>
  <c r="A26831" i="20"/>
  <c r="A26830" i="20"/>
  <c r="A26829" i="20"/>
  <c r="A26828" i="20"/>
  <c r="A26827" i="20"/>
  <c r="A26826" i="20"/>
  <c r="A26825" i="20"/>
  <c r="A26824" i="20"/>
  <c r="A26823" i="20"/>
  <c r="A26822" i="20"/>
  <c r="A26821" i="20"/>
  <c r="A26820" i="20"/>
  <c r="A26819" i="20"/>
  <c r="A26818" i="20"/>
  <c r="A26817" i="20"/>
  <c r="A26816" i="20"/>
  <c r="A26815" i="20"/>
  <c r="A26814" i="20"/>
  <c r="A26813" i="20"/>
  <c r="A26812" i="20"/>
  <c r="A26811" i="20"/>
  <c r="A26810" i="20"/>
  <c r="A26809" i="20"/>
  <c r="A26808" i="20"/>
  <c r="A26807" i="20"/>
  <c r="A26806" i="20"/>
  <c r="A26805" i="20"/>
  <c r="A26804" i="20"/>
  <c r="A26803" i="20"/>
  <c r="A26802" i="20"/>
  <c r="A26801" i="20"/>
  <c r="A26800" i="20"/>
  <c r="A26799" i="20"/>
  <c r="A26798" i="20"/>
  <c r="A26797" i="20"/>
  <c r="A26796" i="20"/>
  <c r="A26795" i="20"/>
  <c r="A26794" i="20"/>
  <c r="A26793" i="20"/>
  <c r="A26792" i="20"/>
  <c r="A26791" i="20"/>
  <c r="A26790" i="20"/>
  <c r="A26789" i="20"/>
  <c r="A26788" i="20"/>
  <c r="A26787" i="20"/>
  <c r="A26786" i="20"/>
  <c r="A26785" i="20"/>
  <c r="A26784" i="20"/>
  <c r="A26783" i="20"/>
  <c r="A26782" i="20"/>
  <c r="A26781" i="20"/>
  <c r="A26780" i="20"/>
  <c r="A26779" i="20"/>
  <c r="A26778" i="20"/>
  <c r="A26777" i="20"/>
  <c r="A26776" i="20"/>
  <c r="A26775" i="20"/>
  <c r="A26774" i="20"/>
  <c r="A26773" i="20"/>
  <c r="A26772" i="20"/>
  <c r="A26771" i="20"/>
  <c r="A26770" i="20"/>
  <c r="A26769" i="20"/>
  <c r="A26768" i="20"/>
  <c r="A26767" i="20"/>
  <c r="A26766" i="20"/>
  <c r="A26765" i="20"/>
  <c r="A26764" i="20"/>
  <c r="A26763" i="20"/>
  <c r="A26762" i="20"/>
  <c r="A26761" i="20"/>
  <c r="A26760" i="20"/>
  <c r="A26759" i="20"/>
  <c r="A26758" i="20"/>
  <c r="A26757" i="20"/>
  <c r="A26756" i="20"/>
  <c r="A26755" i="20"/>
  <c r="A26754" i="20"/>
  <c r="A26753" i="20"/>
  <c r="A26752" i="20"/>
  <c r="A26751" i="20"/>
  <c r="A26750" i="20"/>
  <c r="A26749" i="20"/>
  <c r="A26748" i="20"/>
  <c r="A26747" i="20"/>
  <c r="A26746" i="20"/>
  <c r="A26745" i="20"/>
  <c r="A26744" i="20"/>
  <c r="A26743" i="20"/>
  <c r="A26742" i="20"/>
  <c r="A26741" i="20"/>
  <c r="A26740" i="20"/>
  <c r="A26739" i="20"/>
  <c r="A26738" i="20"/>
  <c r="A26737" i="20"/>
  <c r="A26736" i="20"/>
  <c r="A26735" i="20"/>
  <c r="A26734" i="20"/>
  <c r="A26733" i="20"/>
  <c r="A26732" i="20"/>
  <c r="A26731" i="20"/>
  <c r="A26730" i="20"/>
  <c r="A26729" i="20"/>
  <c r="A26728" i="20"/>
  <c r="A26727" i="20"/>
  <c r="A26726" i="20"/>
  <c r="A26725" i="20"/>
  <c r="A26724" i="20"/>
  <c r="A26723" i="20"/>
  <c r="A26722" i="20"/>
  <c r="A26721" i="20"/>
  <c r="A26720" i="20"/>
  <c r="A26719" i="20"/>
  <c r="A26718" i="20"/>
  <c r="A26717" i="20"/>
  <c r="A26716" i="20"/>
  <c r="A26715" i="20"/>
  <c r="A26714" i="20"/>
  <c r="A26713" i="20"/>
  <c r="A26712" i="20"/>
  <c r="A26711" i="20"/>
  <c r="A26710" i="20"/>
  <c r="A26709" i="20"/>
  <c r="A26708" i="20"/>
  <c r="A26707" i="20"/>
  <c r="A26706" i="20"/>
  <c r="A26705" i="20"/>
  <c r="A26704" i="20"/>
  <c r="A26703" i="20"/>
  <c r="A26702" i="20"/>
  <c r="A26701" i="20"/>
  <c r="A26700" i="20"/>
  <c r="A26699" i="20"/>
  <c r="A26698" i="20"/>
  <c r="A26697" i="20"/>
  <c r="A26696" i="20"/>
  <c r="A26695" i="20"/>
  <c r="A26694" i="20"/>
  <c r="A26693" i="20"/>
  <c r="A26692" i="20"/>
  <c r="A26691" i="20"/>
  <c r="A26690" i="20"/>
  <c r="A26689" i="20"/>
  <c r="A26688" i="20"/>
  <c r="A26687" i="20"/>
  <c r="A26686" i="20"/>
  <c r="A26685" i="20"/>
  <c r="A26684" i="20"/>
  <c r="A26683" i="20"/>
  <c r="A26682" i="20"/>
  <c r="A26681" i="20"/>
  <c r="A26680" i="20"/>
  <c r="A26679" i="20"/>
  <c r="A26678" i="20"/>
  <c r="A26677" i="20"/>
  <c r="A26676" i="20"/>
  <c r="A26675" i="20"/>
  <c r="A26674" i="20"/>
  <c r="A26673" i="20"/>
  <c r="A26672" i="20"/>
  <c r="A26671" i="20"/>
  <c r="A26670" i="20"/>
  <c r="A26669" i="20"/>
  <c r="A26668" i="20"/>
  <c r="A26667" i="20"/>
  <c r="A26666" i="20"/>
  <c r="A26665" i="20"/>
  <c r="A26664" i="20"/>
  <c r="A26663" i="20"/>
  <c r="A26662" i="20"/>
  <c r="A26661" i="20"/>
  <c r="A26660" i="20"/>
  <c r="A26659" i="20"/>
  <c r="A26658" i="20"/>
  <c r="A26657" i="20"/>
  <c r="A26656" i="20"/>
  <c r="A26655" i="20"/>
  <c r="A26654" i="20"/>
  <c r="A26653" i="20"/>
  <c r="A26652" i="20"/>
  <c r="A26651" i="20"/>
  <c r="A26650" i="20"/>
  <c r="A26649" i="20"/>
  <c r="A26648" i="20"/>
  <c r="A26647" i="20"/>
  <c r="A26646" i="20"/>
  <c r="A26645" i="20"/>
  <c r="A26644" i="20"/>
  <c r="A26643" i="20"/>
  <c r="A26642" i="20"/>
  <c r="A26641" i="20"/>
  <c r="A26640" i="20"/>
  <c r="A26639" i="20"/>
  <c r="A26638" i="20"/>
  <c r="A26637" i="20"/>
  <c r="A26636" i="20"/>
  <c r="A26635" i="20"/>
  <c r="A26634" i="20"/>
  <c r="A26633" i="20"/>
  <c r="A26632" i="20"/>
  <c r="A26631" i="20"/>
  <c r="A26630" i="20"/>
  <c r="A26629" i="20"/>
  <c r="A26628" i="20"/>
  <c r="A26627" i="20"/>
  <c r="A26626" i="20"/>
  <c r="A26625" i="20"/>
  <c r="A26624" i="20"/>
  <c r="A26623" i="20"/>
  <c r="A26622" i="20"/>
  <c r="A26621" i="20"/>
  <c r="A26620" i="20"/>
  <c r="A26619" i="20"/>
  <c r="A26618" i="20"/>
  <c r="A26617" i="20"/>
  <c r="A26616" i="20"/>
  <c r="A26615" i="20"/>
  <c r="A26614" i="20"/>
  <c r="A26613" i="20"/>
  <c r="A26612" i="20"/>
  <c r="A26611" i="20"/>
  <c r="A26610" i="20"/>
  <c r="A26609" i="20"/>
  <c r="A26608" i="20"/>
  <c r="A26607" i="20"/>
  <c r="A26606" i="20"/>
  <c r="A26605" i="20"/>
  <c r="A26604" i="20"/>
  <c r="A26603" i="20"/>
  <c r="A26602" i="20"/>
  <c r="A26601" i="20"/>
  <c r="A26600" i="20"/>
  <c r="A26599" i="20"/>
  <c r="A26598" i="20"/>
  <c r="A26597" i="20"/>
  <c r="A26596" i="20"/>
  <c r="A26595" i="20"/>
  <c r="A26594" i="20"/>
  <c r="A26593" i="20"/>
  <c r="A26592" i="20"/>
  <c r="A26591" i="20"/>
  <c r="A26590" i="20"/>
  <c r="A26589" i="20"/>
  <c r="A26588" i="20"/>
  <c r="A26587" i="20"/>
  <c r="A26586" i="20"/>
  <c r="A26585" i="20"/>
  <c r="A26584" i="20"/>
  <c r="A26583" i="20"/>
  <c r="A26582" i="20"/>
  <c r="A26581" i="20"/>
  <c r="A26580" i="20"/>
  <c r="A26579" i="20"/>
  <c r="A26578" i="20"/>
  <c r="A26577" i="20"/>
  <c r="A26576" i="20"/>
  <c r="A26575" i="20"/>
  <c r="A26574" i="20"/>
  <c r="A26573" i="20"/>
  <c r="A26572" i="20"/>
  <c r="A26571" i="20"/>
  <c r="A26570" i="20"/>
  <c r="A26569" i="20"/>
  <c r="A26568" i="20"/>
  <c r="A26567" i="20"/>
  <c r="A26566" i="20"/>
  <c r="A26565" i="20"/>
  <c r="A26564" i="20"/>
  <c r="A26563" i="20"/>
  <c r="A26562" i="20"/>
  <c r="A26561" i="20"/>
  <c r="A26560" i="20"/>
  <c r="A26559" i="20"/>
  <c r="A26558" i="20"/>
  <c r="A26557" i="20"/>
  <c r="A26556" i="20"/>
  <c r="A26555" i="20"/>
  <c r="A26554" i="20"/>
  <c r="A26553" i="20"/>
  <c r="A26552" i="20"/>
  <c r="A26551" i="20"/>
  <c r="A26550" i="20"/>
  <c r="A26549" i="20"/>
  <c r="A26548" i="20"/>
  <c r="A26547" i="20"/>
  <c r="A26546" i="20"/>
  <c r="A26545" i="20"/>
  <c r="A26544" i="20"/>
  <c r="A26543" i="20"/>
  <c r="A26542" i="20"/>
  <c r="A26541" i="20"/>
  <c r="A26540" i="20"/>
  <c r="A26539" i="20"/>
  <c r="A26538" i="20"/>
  <c r="A26537" i="20"/>
  <c r="A26536" i="20"/>
  <c r="A26535" i="20"/>
  <c r="A26534" i="20"/>
  <c r="A26533" i="20"/>
  <c r="A26532" i="20"/>
  <c r="A26531" i="20"/>
  <c r="A26530" i="20"/>
  <c r="A26529" i="20"/>
  <c r="A26528" i="20"/>
  <c r="A26527" i="20"/>
  <c r="A26526" i="20"/>
  <c r="A26525" i="20"/>
  <c r="A26524" i="20"/>
  <c r="A26523" i="20"/>
  <c r="A26522" i="20"/>
  <c r="A26521" i="20"/>
  <c r="A26520" i="20"/>
  <c r="A26519" i="20"/>
  <c r="A26518" i="20"/>
  <c r="A26517" i="20"/>
  <c r="A26516" i="20"/>
  <c r="A26515" i="20"/>
  <c r="A26514" i="20"/>
  <c r="A26513" i="20"/>
  <c r="A26512" i="20"/>
  <c r="A26511" i="20"/>
  <c r="A26510" i="20"/>
  <c r="A26509" i="20"/>
  <c r="A26508" i="20"/>
  <c r="A26507" i="20"/>
  <c r="A26506" i="20"/>
  <c r="A26505" i="20"/>
  <c r="A26504" i="20"/>
  <c r="A26503" i="20"/>
  <c r="A26502" i="20"/>
  <c r="A26501" i="20"/>
  <c r="A26500" i="20"/>
  <c r="A26499" i="20"/>
  <c r="A26498" i="20"/>
  <c r="A26497" i="20"/>
  <c r="A26496" i="20"/>
  <c r="A26495" i="20"/>
  <c r="A26494" i="20"/>
  <c r="A26493" i="20"/>
  <c r="A26492" i="20"/>
  <c r="A26491" i="20"/>
  <c r="A26490" i="20"/>
  <c r="A26489" i="20"/>
  <c r="A26488" i="20"/>
  <c r="A26487" i="20"/>
  <c r="A26486" i="20"/>
  <c r="A26485" i="20"/>
  <c r="A26484" i="20"/>
  <c r="A26483" i="20"/>
  <c r="A26482" i="20"/>
  <c r="A26481" i="20"/>
  <c r="A26480" i="20"/>
  <c r="A26479" i="20"/>
  <c r="A26478" i="20"/>
  <c r="A26477" i="20"/>
  <c r="A26476" i="20"/>
  <c r="A26475" i="20"/>
  <c r="A26474" i="20"/>
  <c r="A26473" i="20"/>
  <c r="A26472" i="20"/>
  <c r="A26471" i="20"/>
  <c r="A26470" i="20"/>
  <c r="A26469" i="20"/>
  <c r="A26468" i="20"/>
  <c r="A26467" i="20"/>
  <c r="A26466" i="20"/>
  <c r="A26465" i="20"/>
  <c r="A26464" i="20"/>
  <c r="A26463" i="20"/>
  <c r="A26462" i="20"/>
  <c r="A26461" i="20"/>
  <c r="A26460" i="20"/>
  <c r="A26459" i="20"/>
  <c r="A26458" i="20"/>
  <c r="A26457" i="20"/>
  <c r="A26456" i="20"/>
  <c r="A26455" i="20"/>
  <c r="A26454" i="20"/>
  <c r="A26453" i="20"/>
  <c r="A26452" i="20"/>
  <c r="A26451" i="20"/>
  <c r="A26450" i="20"/>
  <c r="A26449" i="20"/>
  <c r="A26448" i="20"/>
  <c r="A26447" i="20"/>
  <c r="A26446" i="20"/>
  <c r="A26445" i="20"/>
  <c r="A26444" i="20"/>
  <c r="A26443" i="20"/>
  <c r="A26442" i="20"/>
  <c r="A26441" i="20"/>
  <c r="A26440" i="20"/>
  <c r="A26439" i="20"/>
  <c r="A26438" i="20"/>
  <c r="A26437" i="20"/>
  <c r="A26436" i="20"/>
  <c r="A26435" i="20"/>
  <c r="A26434" i="20"/>
  <c r="A26433" i="20"/>
  <c r="A26432" i="20"/>
  <c r="A26431" i="20"/>
  <c r="A26430" i="20"/>
  <c r="A26429" i="20"/>
  <c r="A26428" i="20"/>
  <c r="A26427" i="20"/>
  <c r="A26426" i="20"/>
  <c r="A26425" i="20"/>
  <c r="A26424" i="20"/>
  <c r="A26423" i="20"/>
  <c r="A26422" i="20"/>
  <c r="A26421" i="20"/>
  <c r="A26420" i="20"/>
  <c r="A26419" i="20"/>
  <c r="A26418" i="20"/>
  <c r="A26417" i="20"/>
  <c r="A26416" i="20"/>
  <c r="A26415" i="20"/>
  <c r="A26414" i="20"/>
  <c r="A26413" i="20"/>
  <c r="A26412" i="20"/>
  <c r="A26411" i="20"/>
  <c r="A26410" i="20"/>
  <c r="A26409" i="20"/>
  <c r="A26408" i="20"/>
  <c r="A26407" i="20"/>
  <c r="A26406" i="20"/>
  <c r="A26405" i="20"/>
  <c r="A26404" i="20"/>
  <c r="A26403" i="20"/>
  <c r="A26402" i="20"/>
  <c r="A26401" i="20"/>
  <c r="A26400" i="20"/>
  <c r="A26399" i="20"/>
  <c r="A26398" i="20"/>
  <c r="A26397" i="20"/>
  <c r="A26396" i="20"/>
  <c r="A26395" i="20"/>
  <c r="A26394" i="20"/>
  <c r="A26393" i="20"/>
  <c r="A26392" i="20"/>
  <c r="A26391" i="20"/>
  <c r="A26390" i="20"/>
  <c r="A26389" i="20"/>
  <c r="A26388" i="20"/>
  <c r="A26387" i="20"/>
  <c r="A26386" i="20"/>
  <c r="A26385" i="20"/>
  <c r="A26384" i="20"/>
  <c r="A26383" i="20"/>
  <c r="A26382" i="20"/>
  <c r="A26381" i="20"/>
  <c r="A26380" i="20"/>
  <c r="A26379" i="20"/>
  <c r="A26378" i="20"/>
  <c r="A26377" i="20"/>
  <c r="A26376" i="20"/>
  <c r="A26375" i="20"/>
  <c r="A26374" i="20"/>
  <c r="A26373" i="20"/>
  <c r="A26372" i="20"/>
  <c r="A26371" i="20"/>
  <c r="A26370" i="20"/>
  <c r="A26369" i="20"/>
  <c r="A26368" i="20"/>
  <c r="A26367" i="20"/>
  <c r="A26366" i="20"/>
  <c r="A26365" i="20"/>
  <c r="A26364" i="20"/>
  <c r="A26363" i="20"/>
  <c r="A26362" i="20"/>
  <c r="A26361" i="20"/>
  <c r="A26360" i="20"/>
  <c r="A26359" i="20"/>
  <c r="A26358" i="20"/>
  <c r="A26357" i="20"/>
  <c r="A26356" i="20"/>
  <c r="A26355" i="20"/>
  <c r="A26354" i="20"/>
  <c r="A26353" i="20"/>
  <c r="A26352" i="20"/>
  <c r="A26351" i="20"/>
  <c r="A26350" i="20"/>
  <c r="A26349" i="20"/>
  <c r="A26348" i="20"/>
  <c r="A26347" i="20"/>
  <c r="A26346" i="20"/>
  <c r="A26345" i="20"/>
  <c r="A26344" i="20"/>
  <c r="A26343" i="20"/>
  <c r="A26342" i="20"/>
  <c r="A26341" i="20"/>
  <c r="A26340" i="20"/>
  <c r="A26339" i="20"/>
  <c r="A26338" i="20"/>
  <c r="A26337" i="20"/>
  <c r="A26336" i="20"/>
  <c r="A26335" i="20"/>
  <c r="A26334" i="20"/>
  <c r="A26333" i="20"/>
  <c r="A26332" i="20"/>
  <c r="A26331" i="20"/>
  <c r="A26330" i="20"/>
  <c r="A26329" i="20"/>
  <c r="A26328" i="20"/>
  <c r="A26327" i="20"/>
  <c r="A26326" i="20"/>
  <c r="A26325" i="20"/>
  <c r="A26324" i="20"/>
  <c r="A26323" i="20"/>
  <c r="A26322" i="20"/>
  <c r="A26321" i="20"/>
  <c r="A26320" i="20"/>
  <c r="A26319" i="20"/>
  <c r="A26318" i="20"/>
  <c r="A26317" i="20"/>
  <c r="A26316" i="20"/>
  <c r="A26315" i="20"/>
  <c r="A26314" i="20"/>
  <c r="A26313" i="20"/>
  <c r="A26312" i="20"/>
  <c r="A26311" i="20"/>
  <c r="A26310" i="20"/>
  <c r="A26309" i="20"/>
  <c r="A26308" i="20"/>
  <c r="A26307" i="20"/>
  <c r="A26306" i="20"/>
  <c r="A26305" i="20"/>
  <c r="A26304" i="20"/>
  <c r="A26303" i="20"/>
  <c r="A26302" i="20"/>
  <c r="A26301" i="20"/>
  <c r="A26300" i="20"/>
  <c r="A26299" i="20"/>
  <c r="A26298" i="20"/>
  <c r="A26297" i="20"/>
  <c r="A26296" i="20"/>
  <c r="A26295" i="20"/>
  <c r="A26294" i="20"/>
  <c r="A26293" i="20"/>
  <c r="A26292" i="20"/>
  <c r="A26291" i="20"/>
  <c r="A26290" i="20"/>
  <c r="A26289" i="20"/>
  <c r="A26288" i="20"/>
  <c r="A26287" i="20"/>
  <c r="A26286" i="20"/>
  <c r="A26285" i="20"/>
  <c r="A26284" i="20"/>
  <c r="A26283" i="20"/>
  <c r="A26282" i="20"/>
  <c r="A26281" i="20"/>
  <c r="A26280" i="20"/>
  <c r="A26279" i="20"/>
  <c r="A26278" i="20"/>
  <c r="A26277" i="20"/>
  <c r="A26276" i="20"/>
  <c r="A26275" i="20"/>
  <c r="A26274" i="20"/>
  <c r="A26273" i="20"/>
  <c r="A26272" i="20"/>
  <c r="A26271" i="20"/>
  <c r="A26270" i="20"/>
  <c r="A26269" i="20"/>
  <c r="A26268" i="20"/>
  <c r="A26267" i="20"/>
  <c r="A26266" i="20"/>
  <c r="A26265" i="20"/>
  <c r="A26264" i="20"/>
  <c r="A26263" i="20"/>
  <c r="A26262" i="20"/>
  <c r="A26261" i="20"/>
  <c r="A26260" i="20"/>
  <c r="A26259" i="20"/>
  <c r="A26258" i="20"/>
  <c r="A26257" i="20"/>
  <c r="A26256" i="20"/>
  <c r="A26255" i="20"/>
  <c r="A26254" i="20"/>
  <c r="A26253" i="20"/>
  <c r="A26252" i="20"/>
  <c r="A26251" i="20"/>
  <c r="A26250" i="20"/>
  <c r="A26249" i="20"/>
  <c r="A26248" i="20"/>
  <c r="A26247" i="20"/>
  <c r="A26246" i="20"/>
  <c r="A26245" i="20"/>
  <c r="A26244" i="20"/>
  <c r="A26243" i="20"/>
  <c r="A26242" i="20"/>
  <c r="A26241" i="20"/>
  <c r="A26240" i="20"/>
  <c r="A26239" i="20"/>
  <c r="A26238" i="20"/>
  <c r="A26237" i="20"/>
  <c r="A26236" i="20"/>
  <c r="A26235" i="20"/>
  <c r="A26234" i="20"/>
  <c r="A26233" i="20"/>
  <c r="A26232" i="20"/>
  <c r="A26231" i="20"/>
  <c r="A26230" i="20"/>
  <c r="A26229" i="20"/>
  <c r="A26228" i="20"/>
  <c r="A26227" i="20"/>
  <c r="A26226" i="20"/>
  <c r="A26225" i="20"/>
  <c r="A26224" i="20"/>
  <c r="A26223" i="20"/>
  <c r="A26222" i="20"/>
  <c r="A26221" i="20"/>
  <c r="A26220" i="20"/>
  <c r="A26219" i="20"/>
  <c r="A26218" i="20"/>
  <c r="A26217" i="20"/>
  <c r="A26216" i="20"/>
  <c r="A26215" i="20"/>
  <c r="A26214" i="20"/>
  <c r="A26213" i="20"/>
  <c r="A26212" i="20"/>
  <c r="A26211" i="20"/>
  <c r="A26210" i="20"/>
  <c r="A26209" i="20"/>
  <c r="A26208" i="20"/>
  <c r="A26207" i="20"/>
  <c r="A26206" i="20"/>
  <c r="A26205" i="20"/>
  <c r="A26204" i="20"/>
  <c r="A26203" i="20"/>
  <c r="A26202" i="20"/>
  <c r="A26201" i="20"/>
  <c r="A26200" i="20"/>
  <c r="A26199" i="20"/>
  <c r="A26198" i="20"/>
  <c r="A26197" i="20"/>
  <c r="A26196" i="20"/>
  <c r="A26195" i="20"/>
  <c r="A26194" i="20"/>
  <c r="A26193" i="20"/>
  <c r="A26192" i="20"/>
  <c r="A26191" i="20"/>
  <c r="A26190" i="20"/>
  <c r="A26189" i="20"/>
  <c r="A26188" i="20"/>
  <c r="A26187" i="20"/>
  <c r="A26186" i="20"/>
  <c r="A26185" i="20"/>
  <c r="A26184" i="20"/>
  <c r="A26183" i="20"/>
  <c r="A26182" i="20"/>
  <c r="A26181" i="20"/>
  <c r="A26180" i="20"/>
  <c r="A26179" i="20"/>
  <c r="A26178" i="20"/>
  <c r="A26177" i="20"/>
  <c r="A26176" i="20"/>
  <c r="A26175" i="20"/>
  <c r="A26174" i="20"/>
  <c r="A26173" i="20"/>
  <c r="A26172" i="20"/>
  <c r="A26171" i="20"/>
  <c r="A26170" i="20"/>
  <c r="A26169" i="20"/>
  <c r="A26168" i="20"/>
  <c r="A26167" i="20"/>
  <c r="A26166" i="20"/>
  <c r="A26165" i="20"/>
  <c r="A26164" i="20"/>
  <c r="A26163" i="20"/>
  <c r="A26162" i="20"/>
  <c r="A26161" i="20"/>
  <c r="A26160" i="20"/>
  <c r="A26159" i="20"/>
  <c r="A26158" i="20"/>
  <c r="A26157" i="20"/>
  <c r="A26156" i="20"/>
  <c r="A26155" i="20"/>
  <c r="A26154" i="20"/>
  <c r="A26153" i="20"/>
  <c r="A26152" i="20"/>
  <c r="A26151" i="20"/>
  <c r="A26150" i="20"/>
  <c r="A26149" i="20"/>
  <c r="A26148" i="20"/>
  <c r="A26147" i="20"/>
  <c r="A26146" i="20"/>
  <c r="A26145" i="20"/>
  <c r="A26144" i="20"/>
  <c r="A26143" i="20"/>
  <c r="A26142" i="20"/>
  <c r="A26141" i="20"/>
  <c r="A26140" i="20"/>
  <c r="A26139" i="20"/>
  <c r="A26138" i="20"/>
  <c r="A26137" i="20"/>
  <c r="A26136" i="20"/>
  <c r="A26135" i="20"/>
  <c r="A26134" i="20"/>
  <c r="A26133" i="20"/>
  <c r="A26132" i="20"/>
  <c r="A26131" i="20"/>
  <c r="A26130" i="20"/>
  <c r="A26129" i="20"/>
  <c r="A26128" i="20"/>
  <c r="A26127" i="20"/>
  <c r="A26126" i="20"/>
  <c r="A26125" i="20"/>
  <c r="A26124" i="20"/>
  <c r="A26123" i="20"/>
  <c r="A26122" i="20"/>
  <c r="A26121" i="20"/>
  <c r="A26120" i="20"/>
  <c r="A26119" i="20"/>
  <c r="A26118" i="20"/>
  <c r="A26117" i="20"/>
  <c r="A26116" i="20"/>
  <c r="A26115" i="20"/>
  <c r="A26114" i="20"/>
  <c r="A26113" i="20"/>
  <c r="A26112" i="20"/>
  <c r="A26111" i="20"/>
  <c r="A26110" i="20"/>
  <c r="A26109" i="20"/>
  <c r="A26108" i="20"/>
  <c r="A26107" i="20"/>
  <c r="A26106" i="20"/>
  <c r="A26105" i="20"/>
  <c r="A26104" i="20"/>
  <c r="A26103" i="20"/>
  <c r="A26102" i="20"/>
  <c r="A26101" i="20"/>
  <c r="A26100" i="20"/>
  <c r="A26099" i="20"/>
  <c r="A26098" i="20"/>
  <c r="A26097" i="20"/>
  <c r="A26096" i="20"/>
  <c r="A26095" i="20"/>
  <c r="A26094" i="20"/>
  <c r="A26093" i="20"/>
  <c r="A26092" i="20"/>
  <c r="A26091" i="20"/>
  <c r="A26090" i="20"/>
  <c r="A26089" i="20"/>
  <c r="A26088" i="20"/>
  <c r="A26087" i="20"/>
  <c r="A26086" i="20"/>
  <c r="A26085" i="20"/>
  <c r="A26084" i="20"/>
  <c r="A26083" i="20"/>
  <c r="A26082" i="20"/>
  <c r="A26081" i="20"/>
  <c r="A26080" i="20"/>
  <c r="A26079" i="20"/>
  <c r="A26078" i="20"/>
  <c r="A26077" i="20"/>
  <c r="A26076" i="20"/>
  <c r="A26075" i="20"/>
  <c r="A26074" i="20"/>
  <c r="A26073" i="20"/>
  <c r="A26072" i="20"/>
  <c r="A26071" i="20"/>
  <c r="A26070" i="20"/>
  <c r="A26069" i="20"/>
  <c r="A26068" i="20"/>
  <c r="A26067" i="20"/>
  <c r="A26066" i="20"/>
  <c r="A26065" i="20"/>
  <c r="A26064" i="20"/>
  <c r="A26063" i="20"/>
  <c r="A26062" i="20"/>
  <c r="A26061" i="20"/>
  <c r="A26060" i="20"/>
  <c r="A26059" i="20"/>
  <c r="A26058" i="20"/>
  <c r="A26057" i="20"/>
  <c r="A26056" i="20"/>
  <c r="A26055" i="20"/>
  <c r="A26054" i="20"/>
  <c r="A26053" i="20"/>
  <c r="A26052" i="20"/>
  <c r="A26051" i="20"/>
  <c r="A26050" i="20"/>
  <c r="A26049" i="20"/>
  <c r="A26048" i="20"/>
  <c r="A26047" i="20"/>
  <c r="A26046" i="20"/>
  <c r="A26045" i="20"/>
  <c r="A26044" i="20"/>
  <c r="A26043" i="20"/>
  <c r="A26042" i="20"/>
  <c r="A26041" i="20"/>
  <c r="A26040" i="20"/>
  <c r="A26039" i="20"/>
  <c r="A26038" i="20"/>
  <c r="A26037" i="20"/>
  <c r="A26036" i="20"/>
  <c r="A26035" i="20"/>
  <c r="A26034" i="20"/>
  <c r="A26033" i="20"/>
  <c r="A26032" i="20"/>
  <c r="A26031" i="20"/>
  <c r="A26030" i="20"/>
  <c r="A26029" i="20"/>
  <c r="A26028" i="20"/>
  <c r="A26027" i="20"/>
  <c r="A26026" i="20"/>
  <c r="A26025" i="20"/>
  <c r="A26024" i="20"/>
  <c r="A26023" i="20"/>
  <c r="A26022" i="20"/>
  <c r="A26021" i="20"/>
  <c r="A26020" i="20"/>
  <c r="A26019" i="20"/>
  <c r="A26018" i="20"/>
  <c r="A26017" i="20"/>
  <c r="A26016" i="20"/>
  <c r="A26015" i="20"/>
  <c r="A26014" i="20"/>
  <c r="A26013" i="20"/>
  <c r="A26012" i="20"/>
  <c r="A26011" i="20"/>
  <c r="A26010" i="20"/>
  <c r="A26009" i="20"/>
  <c r="A26008" i="20"/>
  <c r="A26007" i="20"/>
  <c r="A26006" i="20"/>
  <c r="A26005" i="20"/>
  <c r="A26004" i="20"/>
  <c r="A26003" i="20"/>
  <c r="A26002" i="20"/>
  <c r="A26001" i="20"/>
  <c r="A26000" i="20"/>
  <c r="A25999" i="20"/>
  <c r="A25998" i="20"/>
  <c r="A25997" i="20"/>
  <c r="A25996" i="20"/>
  <c r="A25995" i="20"/>
  <c r="A25994" i="20"/>
  <c r="A25993" i="20"/>
  <c r="A25992" i="20"/>
  <c r="A25991" i="20"/>
  <c r="A25990" i="20"/>
  <c r="A25989" i="20"/>
  <c r="A25988" i="20"/>
  <c r="A25987" i="20"/>
  <c r="A25986" i="20"/>
  <c r="A25985" i="20"/>
  <c r="A25984" i="20"/>
  <c r="A25983" i="20"/>
  <c r="A25982" i="20"/>
  <c r="A25981" i="20"/>
  <c r="A25980" i="20"/>
  <c r="A25979" i="20"/>
  <c r="A25978" i="20"/>
  <c r="A25977" i="20"/>
  <c r="A25976" i="20"/>
  <c r="A25975" i="20"/>
  <c r="A25974" i="20"/>
  <c r="A25973" i="20"/>
  <c r="A25972" i="20"/>
  <c r="A25971" i="20"/>
  <c r="A25970" i="20"/>
  <c r="A25969" i="20"/>
  <c r="A25968" i="20"/>
  <c r="A25967" i="20"/>
  <c r="A25966" i="20"/>
  <c r="A25965" i="20"/>
  <c r="A25964" i="20"/>
  <c r="A25963" i="20"/>
  <c r="A25962" i="20"/>
  <c r="A25961" i="20"/>
  <c r="A25960" i="20"/>
  <c r="A25959" i="20"/>
  <c r="A25958" i="20"/>
  <c r="A25957" i="20"/>
  <c r="A25956" i="20"/>
  <c r="A25955" i="20"/>
  <c r="A25954" i="20"/>
  <c r="A25953" i="20"/>
  <c r="A25952" i="20"/>
  <c r="A25951" i="20"/>
  <c r="A25950" i="20"/>
  <c r="A25949" i="20"/>
  <c r="A25948" i="20"/>
  <c r="A25947" i="20"/>
  <c r="A25946" i="20"/>
  <c r="A25945" i="20"/>
  <c r="A25944" i="20"/>
  <c r="A25943" i="20"/>
  <c r="A25942" i="20"/>
  <c r="A25941" i="20"/>
  <c r="A25940" i="20"/>
  <c r="A25939" i="20"/>
  <c r="A25938" i="20"/>
  <c r="A25937" i="20"/>
  <c r="A25936" i="20"/>
  <c r="A25935" i="20"/>
  <c r="A25934" i="20"/>
  <c r="A25933" i="20"/>
  <c r="A25932" i="20"/>
  <c r="A25931" i="20"/>
  <c r="A25930" i="20"/>
  <c r="A25929" i="20"/>
  <c r="A25928" i="20"/>
  <c r="A25927" i="20"/>
  <c r="A25926" i="20"/>
  <c r="A25925" i="20"/>
  <c r="A25924" i="20"/>
  <c r="A25923" i="20"/>
  <c r="A25922" i="20"/>
  <c r="A25921" i="20"/>
  <c r="A25920" i="20"/>
  <c r="A25919" i="20"/>
  <c r="A25918" i="20"/>
  <c r="A25917" i="20"/>
  <c r="A25916" i="20"/>
  <c r="A25915" i="20"/>
  <c r="A25914" i="20"/>
  <c r="A25913" i="20"/>
  <c r="A25912" i="20"/>
  <c r="A25911" i="20"/>
  <c r="A25910" i="20"/>
  <c r="A25909" i="20"/>
  <c r="A25908" i="20"/>
  <c r="A25907" i="20"/>
  <c r="A25906" i="20"/>
  <c r="A25905" i="20"/>
  <c r="A25904" i="20"/>
  <c r="A25903" i="20"/>
  <c r="A25902" i="20"/>
  <c r="A25901" i="20"/>
  <c r="A25900" i="20"/>
  <c r="A25899" i="20"/>
  <c r="A25898" i="20"/>
  <c r="A25897" i="20"/>
  <c r="A25896" i="20"/>
  <c r="A25895" i="20"/>
  <c r="A25894" i="20"/>
  <c r="A25893" i="20"/>
  <c r="A25892" i="20"/>
  <c r="A25891" i="20"/>
  <c r="A25890" i="20"/>
  <c r="A25889" i="20"/>
  <c r="A25888" i="20"/>
  <c r="A25887" i="20"/>
  <c r="A25886" i="20"/>
  <c r="A25885" i="20"/>
  <c r="A25884" i="20"/>
  <c r="A25883" i="20"/>
  <c r="A25882" i="20"/>
  <c r="A25881" i="20"/>
  <c r="A25880" i="20"/>
  <c r="A25879" i="20"/>
  <c r="A25878" i="20"/>
  <c r="A25877" i="20"/>
  <c r="A25876" i="20"/>
  <c r="A25875" i="20"/>
  <c r="A25874" i="20"/>
  <c r="A25873" i="20"/>
  <c r="A25872" i="20"/>
  <c r="A25871" i="20"/>
  <c r="A25870" i="20"/>
  <c r="A25869" i="20"/>
  <c r="A25868" i="20"/>
  <c r="A25867" i="20"/>
  <c r="A25866" i="20"/>
  <c r="A25865" i="20"/>
  <c r="A25864" i="20"/>
  <c r="A25863" i="20"/>
  <c r="A25862" i="20"/>
  <c r="A25861" i="20"/>
  <c r="A25860" i="20"/>
  <c r="A25859" i="20"/>
  <c r="A25858" i="20"/>
  <c r="A25857" i="20"/>
  <c r="A25856" i="20"/>
  <c r="A25855" i="20"/>
  <c r="A25854" i="20"/>
  <c r="A25853" i="20"/>
  <c r="A25852" i="20"/>
  <c r="A25851" i="20"/>
  <c r="A25850" i="20"/>
  <c r="A25849" i="20"/>
  <c r="A25848" i="20"/>
  <c r="A25847" i="20"/>
  <c r="A25846" i="20"/>
  <c r="A25845" i="20"/>
  <c r="A25844" i="20"/>
  <c r="A25843" i="20"/>
  <c r="A25842" i="20"/>
  <c r="A25841" i="20"/>
  <c r="A25840" i="20"/>
  <c r="A25839" i="20"/>
  <c r="A25838" i="20"/>
  <c r="A25837" i="20"/>
  <c r="A25836" i="20"/>
  <c r="A25835" i="20"/>
  <c r="A25834" i="20"/>
  <c r="A25833" i="20"/>
  <c r="A25832" i="20"/>
  <c r="A25831" i="20"/>
  <c r="A25830" i="20"/>
  <c r="A25829" i="20"/>
  <c r="A25828" i="20"/>
  <c r="A25827" i="20"/>
  <c r="A25826" i="20"/>
  <c r="A25825" i="20"/>
  <c r="A25824" i="20"/>
  <c r="A25823" i="20"/>
  <c r="A25822" i="20"/>
  <c r="A25821" i="20"/>
  <c r="A25820" i="20"/>
  <c r="A25819" i="20"/>
  <c r="A25818" i="20"/>
  <c r="A25817" i="20"/>
  <c r="A25816" i="20"/>
  <c r="A25815" i="20"/>
  <c r="A25814" i="20"/>
  <c r="A25813" i="20"/>
  <c r="A25812" i="20"/>
  <c r="A25811" i="20"/>
  <c r="A25810" i="20"/>
  <c r="A25809" i="20"/>
  <c r="A25808" i="20"/>
  <c r="A25807" i="20"/>
  <c r="A25806" i="20"/>
  <c r="A25805" i="20"/>
  <c r="A25804" i="20"/>
  <c r="A25803" i="20"/>
  <c r="A25802" i="20"/>
  <c r="A25801" i="20"/>
  <c r="A25800" i="20"/>
  <c r="A25799" i="20"/>
  <c r="A25798" i="20"/>
  <c r="A25797" i="20"/>
  <c r="A25796" i="20"/>
  <c r="A25795" i="20"/>
  <c r="A25794" i="20"/>
  <c r="A25793" i="20"/>
  <c r="A25792" i="20"/>
  <c r="A25791" i="20"/>
  <c r="A25790" i="20"/>
  <c r="A25789" i="20"/>
  <c r="A25788" i="20"/>
  <c r="A25787" i="20"/>
  <c r="A25786" i="20"/>
  <c r="A25785" i="20"/>
  <c r="A25784" i="20"/>
  <c r="A25783" i="20"/>
  <c r="A25782" i="20"/>
  <c r="A25781" i="20"/>
  <c r="A25780" i="20"/>
  <c r="A25779" i="20"/>
  <c r="A25778" i="20"/>
  <c r="A25777" i="20"/>
  <c r="A25776" i="20"/>
  <c r="A25775" i="20"/>
  <c r="A25774" i="20"/>
  <c r="A25773" i="20"/>
  <c r="A25772" i="20"/>
  <c r="A25771" i="20"/>
  <c r="A25770" i="20"/>
  <c r="A25769" i="20"/>
  <c r="A25768" i="20"/>
  <c r="A25767" i="20"/>
  <c r="A25766" i="20"/>
  <c r="A25765" i="20"/>
  <c r="A25764" i="20"/>
  <c r="A25763" i="20"/>
  <c r="A25762" i="20"/>
  <c r="A25761" i="20"/>
  <c r="A25760" i="20"/>
  <c r="A25759" i="20"/>
  <c r="A25758" i="20"/>
  <c r="A25757" i="20"/>
  <c r="A25756" i="20"/>
  <c r="A25755" i="20"/>
  <c r="A25754" i="20"/>
  <c r="A25753" i="20"/>
  <c r="A25752" i="20"/>
  <c r="A25751" i="20"/>
  <c r="A25750" i="20"/>
  <c r="A25749" i="20"/>
  <c r="A25748" i="20"/>
  <c r="A25747" i="20"/>
  <c r="A25746" i="20"/>
  <c r="A25745" i="20"/>
  <c r="A25744" i="20"/>
  <c r="A25743" i="20"/>
  <c r="A25742" i="20"/>
  <c r="A25741" i="20"/>
  <c r="A25740" i="20"/>
  <c r="A25739" i="20"/>
  <c r="A25738" i="20"/>
  <c r="A25737" i="20"/>
  <c r="A25736" i="20"/>
  <c r="A25735" i="20"/>
  <c r="A25734" i="20"/>
  <c r="A25733" i="20"/>
  <c r="A25732" i="20"/>
  <c r="A25731" i="20"/>
  <c r="A25730" i="20"/>
  <c r="A25729" i="20"/>
  <c r="A25728" i="20"/>
  <c r="A25727" i="20"/>
  <c r="A25726" i="20"/>
  <c r="A25725" i="20"/>
  <c r="A25724" i="20"/>
  <c r="A25723" i="20"/>
  <c r="A25722" i="20"/>
  <c r="A25721" i="20"/>
  <c r="A25720" i="20"/>
  <c r="A25719" i="20"/>
  <c r="A25718" i="20"/>
  <c r="A25717" i="20"/>
  <c r="A25716" i="20"/>
  <c r="A25715" i="20"/>
  <c r="A25714" i="20"/>
  <c r="A25713" i="20"/>
  <c r="A25712" i="20"/>
  <c r="A25711" i="20"/>
  <c r="A25710" i="20"/>
  <c r="A25709" i="20"/>
  <c r="A25708" i="20"/>
  <c r="A25707" i="20"/>
  <c r="A25706" i="20"/>
  <c r="A25705" i="20"/>
  <c r="A25704" i="20"/>
  <c r="A25703" i="20"/>
  <c r="A25702" i="20"/>
  <c r="A25701" i="20"/>
  <c r="A25700" i="20"/>
  <c r="A25699" i="20"/>
  <c r="A25698" i="20"/>
  <c r="A25697" i="20"/>
  <c r="A25696" i="20"/>
  <c r="A25695" i="20"/>
  <c r="A25694" i="20"/>
  <c r="A25693" i="20"/>
  <c r="A25692" i="20"/>
  <c r="A25691" i="20"/>
  <c r="A25690" i="20"/>
  <c r="A25689" i="20"/>
  <c r="A25688" i="20"/>
  <c r="A25687" i="20"/>
  <c r="A25686" i="20"/>
  <c r="A25685" i="20"/>
  <c r="A25684" i="20"/>
  <c r="A25683" i="20"/>
  <c r="A25682" i="20"/>
  <c r="A25681" i="20"/>
  <c r="A25680" i="20"/>
  <c r="A25679" i="20"/>
  <c r="A25678" i="20"/>
  <c r="A25677" i="20"/>
  <c r="A25676" i="20"/>
  <c r="A25675" i="20"/>
  <c r="A25674" i="20"/>
  <c r="A25673" i="20"/>
  <c r="A25672" i="20"/>
  <c r="A25671" i="20"/>
  <c r="A25670" i="20"/>
  <c r="A25669" i="20"/>
  <c r="A25668" i="20"/>
  <c r="A25667" i="20"/>
  <c r="A25666" i="20"/>
  <c r="A25665" i="20"/>
  <c r="A25664" i="20"/>
  <c r="A25663" i="20"/>
  <c r="A25662" i="20"/>
  <c r="A25661" i="20"/>
  <c r="A25660" i="20"/>
  <c r="A25659" i="20"/>
  <c r="A25658" i="20"/>
  <c r="A25657" i="20"/>
  <c r="A25656" i="20"/>
  <c r="A25655" i="20"/>
  <c r="A25654" i="20"/>
  <c r="A25653" i="20"/>
  <c r="A25652" i="20"/>
  <c r="A25651" i="20"/>
  <c r="A25650" i="20"/>
  <c r="A25649" i="20"/>
  <c r="A25648" i="20"/>
  <c r="A25647" i="20"/>
  <c r="A25646" i="20"/>
  <c r="A25645" i="20"/>
  <c r="A25644" i="20"/>
  <c r="A25643" i="20"/>
  <c r="A25642" i="20"/>
  <c r="A25641" i="20"/>
  <c r="A25640" i="20"/>
  <c r="A25639" i="20"/>
  <c r="A25638" i="20"/>
  <c r="A25637" i="20"/>
  <c r="A25636" i="20"/>
  <c r="A25635" i="20"/>
  <c r="A25634" i="20"/>
  <c r="A25633" i="20"/>
  <c r="A25632" i="20"/>
  <c r="A25631" i="20"/>
  <c r="A25630" i="20"/>
  <c r="A25629" i="20"/>
  <c r="A25628" i="20"/>
  <c r="A25627" i="20"/>
  <c r="A25626" i="20"/>
  <c r="A25625" i="20"/>
  <c r="A25624" i="20"/>
  <c r="A25623" i="20"/>
  <c r="A25622" i="20"/>
  <c r="A25621" i="20"/>
  <c r="A25620" i="20"/>
  <c r="A25619" i="20"/>
  <c r="A25618" i="20"/>
  <c r="A25617" i="20"/>
  <c r="A25616" i="20"/>
  <c r="A25615" i="20"/>
  <c r="A25614" i="20"/>
  <c r="A25613" i="20"/>
  <c r="A25612" i="20"/>
  <c r="A25611" i="20"/>
  <c r="A25610" i="20"/>
  <c r="A25609" i="20"/>
  <c r="A25608" i="20"/>
  <c r="A25607" i="20"/>
  <c r="A25606" i="20"/>
  <c r="A25605" i="20"/>
  <c r="A25604" i="20"/>
  <c r="A25603" i="20"/>
  <c r="A25602" i="20"/>
  <c r="A25601" i="20"/>
  <c r="A25600" i="20"/>
  <c r="A25599" i="20"/>
  <c r="A25598" i="20"/>
  <c r="A25597" i="20"/>
  <c r="A25596" i="20"/>
  <c r="A25595" i="20"/>
  <c r="A25594" i="20"/>
  <c r="A25593" i="20"/>
  <c r="A25592" i="20"/>
  <c r="A25591" i="20"/>
  <c r="A25590" i="20"/>
  <c r="A25589" i="20"/>
  <c r="A25588" i="20"/>
  <c r="A25587" i="20"/>
  <c r="A25586" i="20"/>
  <c r="A25585" i="20"/>
  <c r="A25584" i="20"/>
  <c r="A25583" i="20"/>
  <c r="A25582" i="20"/>
  <c r="A25581" i="20"/>
  <c r="A25580" i="20"/>
  <c r="A25579" i="20"/>
  <c r="A25578" i="20"/>
  <c r="A25577" i="20"/>
  <c r="A25576" i="20"/>
  <c r="A25575" i="20"/>
  <c r="A25574" i="20"/>
  <c r="A25573" i="20"/>
  <c r="A25572" i="20"/>
  <c r="A25571" i="20"/>
  <c r="A25570" i="20"/>
  <c r="A25569" i="20"/>
  <c r="A25568" i="20"/>
  <c r="A25567" i="20"/>
  <c r="A25566" i="20"/>
  <c r="A25565" i="20"/>
  <c r="A25564" i="20"/>
  <c r="A25563" i="20"/>
  <c r="A25562" i="20"/>
  <c r="A25561" i="20"/>
  <c r="A25560" i="20"/>
  <c r="A25559" i="20"/>
  <c r="A25558" i="20"/>
  <c r="A25557" i="20"/>
  <c r="A25556" i="20"/>
  <c r="A25555" i="20"/>
  <c r="A25554" i="20"/>
  <c r="A25553" i="20"/>
  <c r="A25552" i="20"/>
  <c r="A25551" i="20"/>
  <c r="A25550" i="20"/>
  <c r="A25549" i="20"/>
  <c r="A25548" i="20"/>
  <c r="A25547" i="20"/>
  <c r="A25546" i="20"/>
  <c r="A25545" i="20"/>
  <c r="A25544" i="20"/>
  <c r="A25543" i="20"/>
  <c r="A25542" i="20"/>
  <c r="A25541" i="20"/>
  <c r="A25540" i="20"/>
  <c r="A25539" i="20"/>
  <c r="A25538" i="20"/>
  <c r="A25537" i="20"/>
  <c r="A25536" i="20"/>
  <c r="A25535" i="20"/>
  <c r="A25534" i="20"/>
  <c r="A25533" i="20"/>
  <c r="A25532" i="20"/>
  <c r="A25531" i="20"/>
  <c r="A25530" i="20"/>
  <c r="A25529" i="20"/>
  <c r="A25528" i="20"/>
  <c r="A25527" i="20"/>
  <c r="A25526" i="20"/>
  <c r="A25525" i="20"/>
  <c r="A25524" i="20"/>
  <c r="A25523" i="20"/>
  <c r="A25522" i="20"/>
  <c r="A25521" i="20"/>
  <c r="A25520" i="20"/>
  <c r="A25519" i="20"/>
  <c r="A25518" i="20"/>
  <c r="A25517" i="20"/>
  <c r="A25516" i="20"/>
  <c r="A25515" i="20"/>
  <c r="A25514" i="20"/>
  <c r="A25513" i="20"/>
  <c r="A25512" i="20"/>
  <c r="A25511" i="20"/>
  <c r="A25510" i="20"/>
  <c r="A25509" i="20"/>
  <c r="A25508" i="20"/>
  <c r="A25507" i="20"/>
  <c r="A25506" i="20"/>
  <c r="A25505" i="20"/>
  <c r="A25504" i="20"/>
  <c r="A25503" i="20"/>
  <c r="A25502" i="20"/>
  <c r="A25501" i="20"/>
  <c r="A25500" i="20"/>
  <c r="A25499" i="20"/>
  <c r="A25498" i="20"/>
  <c r="A25497" i="20"/>
  <c r="A25496" i="20"/>
  <c r="A25495" i="20"/>
  <c r="A25494" i="20"/>
  <c r="A25493" i="20"/>
  <c r="A25492" i="20"/>
  <c r="A25491" i="20"/>
  <c r="A25490" i="20"/>
  <c r="A25489" i="20"/>
  <c r="A25488" i="20"/>
  <c r="A25487" i="20"/>
  <c r="A25486" i="20"/>
  <c r="A25485" i="20"/>
  <c r="A25484" i="20"/>
  <c r="A25483" i="20"/>
  <c r="A25482" i="20"/>
  <c r="A25481" i="20"/>
  <c r="A25480" i="20"/>
  <c r="A25479" i="20"/>
  <c r="A25478" i="20"/>
  <c r="A25477" i="20"/>
  <c r="A25476" i="20"/>
  <c r="A25475" i="20"/>
  <c r="A25474" i="20"/>
  <c r="A25473" i="20"/>
  <c r="A25472" i="20"/>
  <c r="A25471" i="20"/>
  <c r="A25470" i="20"/>
  <c r="A25469" i="20"/>
  <c r="A25468" i="20"/>
  <c r="A25467" i="20"/>
  <c r="A25466" i="20"/>
  <c r="A25465" i="20"/>
  <c r="A25464" i="20"/>
  <c r="A25463" i="20"/>
  <c r="A25462" i="20"/>
  <c r="A25461" i="20"/>
  <c r="A25460" i="20"/>
  <c r="A25459" i="20"/>
  <c r="A25458" i="20"/>
  <c r="A25457" i="20"/>
  <c r="A25456" i="20"/>
  <c r="A25455" i="20"/>
  <c r="A25454" i="20"/>
  <c r="A25453" i="20"/>
  <c r="A25452" i="20"/>
  <c r="A25451" i="20"/>
  <c r="A25450" i="20"/>
  <c r="A25449" i="20"/>
  <c r="A25448" i="20"/>
  <c r="A25447" i="20"/>
  <c r="A25446" i="20"/>
  <c r="A25445" i="20"/>
  <c r="A25444" i="20"/>
  <c r="A25443" i="20"/>
  <c r="A25442" i="20"/>
  <c r="A25441" i="20"/>
  <c r="A25440" i="20"/>
  <c r="A25439" i="20"/>
  <c r="A25438" i="20"/>
  <c r="A25437" i="20"/>
  <c r="A25436" i="20"/>
  <c r="A25435" i="20"/>
  <c r="A25434" i="20"/>
  <c r="A25433" i="20"/>
  <c r="A25432" i="20"/>
  <c r="A25431" i="20"/>
  <c r="A25430" i="20"/>
  <c r="A25429" i="20"/>
  <c r="A25428" i="20"/>
  <c r="A25427" i="20"/>
  <c r="A25426" i="20"/>
  <c r="A25425" i="20"/>
  <c r="A25424" i="20"/>
  <c r="A25423" i="20"/>
  <c r="A25422" i="20"/>
  <c r="A25421" i="20"/>
  <c r="A25420" i="20"/>
  <c r="A25419" i="20"/>
  <c r="A25418" i="20"/>
  <c r="A25417" i="20"/>
  <c r="A25416" i="20"/>
  <c r="A25415" i="20"/>
  <c r="A25414" i="20"/>
  <c r="A25413" i="20"/>
  <c r="A25412" i="20"/>
  <c r="A25411" i="20"/>
  <c r="A25410" i="20"/>
  <c r="A25409" i="20"/>
  <c r="A25408" i="20"/>
  <c r="A25407" i="20"/>
  <c r="A25406" i="20"/>
  <c r="A25405" i="20"/>
  <c r="A25404" i="20"/>
  <c r="A25403" i="20"/>
  <c r="A25402" i="20"/>
  <c r="A25401" i="20"/>
  <c r="A25400" i="20"/>
  <c r="A25399" i="20"/>
  <c r="A25398" i="20"/>
  <c r="A25397" i="20"/>
  <c r="A25396" i="20"/>
  <c r="A25395" i="20"/>
  <c r="A25394" i="20"/>
  <c r="A25393" i="20"/>
  <c r="A25392" i="20"/>
  <c r="A25391" i="20"/>
  <c r="A25390" i="20"/>
  <c r="A25389" i="20"/>
  <c r="A25388" i="20"/>
  <c r="A25387" i="20"/>
  <c r="A25386" i="20"/>
  <c r="A25385" i="20"/>
  <c r="A25384" i="20"/>
  <c r="A25383" i="20"/>
  <c r="A25382" i="20"/>
  <c r="A25381" i="20"/>
  <c r="A25380" i="20"/>
  <c r="A25379" i="20"/>
  <c r="A25378" i="20"/>
  <c r="A25377" i="20"/>
  <c r="A25376" i="20"/>
  <c r="A25375" i="20"/>
  <c r="A25374" i="20"/>
  <c r="A25373" i="20"/>
  <c r="A25372" i="20"/>
  <c r="A25371" i="20"/>
  <c r="A25370" i="20"/>
  <c r="A25369" i="20"/>
  <c r="A25368" i="20"/>
  <c r="A25367" i="20"/>
  <c r="A25366" i="20"/>
  <c r="A25365" i="20"/>
  <c r="A25364" i="20"/>
  <c r="A25363" i="20"/>
  <c r="A25362" i="20"/>
  <c r="A25361" i="20"/>
  <c r="A25360" i="20"/>
  <c r="A25359" i="20"/>
  <c r="A25358" i="20"/>
  <c r="A25357" i="20"/>
  <c r="A25356" i="20"/>
  <c r="A25355" i="20"/>
  <c r="A25354" i="20"/>
  <c r="A25353" i="20"/>
  <c r="A25352" i="20"/>
  <c r="A25351" i="20"/>
  <c r="A25350" i="20"/>
  <c r="A25349" i="20"/>
  <c r="A25348" i="20"/>
  <c r="A25347" i="20"/>
  <c r="A25346" i="20"/>
  <c r="A25345" i="20"/>
  <c r="A25344" i="20"/>
  <c r="A25343" i="20"/>
  <c r="A25342" i="20"/>
  <c r="A25341" i="20"/>
  <c r="A25340" i="20"/>
  <c r="A25339" i="20"/>
  <c r="A25338" i="20"/>
  <c r="A25337" i="20"/>
  <c r="A25336" i="20"/>
  <c r="A25335" i="20"/>
  <c r="A25334" i="20"/>
  <c r="A25333" i="20"/>
  <c r="A25332" i="20"/>
  <c r="A25331" i="20"/>
  <c r="A25330" i="20"/>
  <c r="A25329" i="20"/>
  <c r="A25328" i="20"/>
  <c r="A25327" i="20"/>
  <c r="A25326" i="20"/>
  <c r="A25325" i="20"/>
  <c r="A25324" i="20"/>
  <c r="A25323" i="20"/>
  <c r="A25322" i="20"/>
  <c r="A25321" i="20"/>
  <c r="A25320" i="20"/>
  <c r="A25319" i="20"/>
  <c r="A25318" i="20"/>
  <c r="A25317" i="20"/>
  <c r="A25316" i="20"/>
  <c r="A25315" i="20"/>
  <c r="A25314" i="20"/>
  <c r="A25313" i="20"/>
  <c r="A25312" i="20"/>
  <c r="A25311" i="20"/>
  <c r="A25310" i="20"/>
  <c r="A25309" i="20"/>
  <c r="A25308" i="20"/>
  <c r="A25307" i="20"/>
  <c r="A25306" i="20"/>
  <c r="A25305" i="20"/>
  <c r="A25304" i="20"/>
  <c r="A25303" i="20"/>
  <c r="A25302" i="20"/>
  <c r="A25301" i="20"/>
  <c r="A25300" i="20"/>
  <c r="A25299" i="20"/>
  <c r="A25298" i="20"/>
  <c r="A25297" i="20"/>
  <c r="A25296" i="20"/>
  <c r="A25295" i="20"/>
  <c r="A25294" i="20"/>
  <c r="A25293" i="20"/>
  <c r="A25292" i="20"/>
  <c r="A25291" i="20"/>
  <c r="A25290" i="20"/>
  <c r="A25289" i="20"/>
  <c r="A25288" i="20"/>
  <c r="A25287" i="20"/>
  <c r="A25286" i="20"/>
  <c r="A25285" i="20"/>
  <c r="A25284" i="20"/>
  <c r="A25283" i="20"/>
  <c r="A25282" i="20"/>
  <c r="A25281" i="20"/>
  <c r="A25280" i="20"/>
  <c r="A25279" i="20"/>
  <c r="A25278" i="20"/>
  <c r="A25277" i="20"/>
  <c r="A25276" i="20"/>
  <c r="A25275" i="20"/>
  <c r="A25274" i="20"/>
  <c r="A25273" i="20"/>
  <c r="A25272" i="20"/>
  <c r="A25271" i="20"/>
  <c r="A25270" i="20"/>
  <c r="A25269" i="20"/>
  <c r="A25268" i="20"/>
  <c r="A25267" i="20"/>
  <c r="A25266" i="20"/>
  <c r="A25265" i="20"/>
  <c r="A25264" i="20"/>
  <c r="A25263" i="20"/>
  <c r="A25262" i="20"/>
  <c r="A25261" i="20"/>
  <c r="A25260" i="20"/>
  <c r="A25259" i="20"/>
  <c r="A25258" i="20"/>
  <c r="A25257" i="20"/>
  <c r="A25256" i="20"/>
  <c r="A25255" i="20"/>
  <c r="A25254" i="20"/>
  <c r="A25253" i="20"/>
  <c r="A25252" i="20"/>
  <c r="A25251" i="20"/>
  <c r="A25250" i="20"/>
  <c r="A25249" i="20"/>
  <c r="A25248" i="20"/>
  <c r="A25247" i="20"/>
  <c r="A25246" i="20"/>
  <c r="A25245" i="20"/>
  <c r="A25244" i="20"/>
  <c r="A25243" i="20"/>
  <c r="A25242" i="20"/>
  <c r="A25241" i="20"/>
  <c r="A25240" i="20"/>
  <c r="A25239" i="20"/>
  <c r="A25238" i="20"/>
  <c r="A25237" i="20"/>
  <c r="A25236" i="20"/>
  <c r="A25235" i="20"/>
  <c r="A25234" i="20"/>
  <c r="A25233" i="20"/>
  <c r="A25232" i="20"/>
  <c r="A25231" i="20"/>
  <c r="A25230" i="20"/>
  <c r="A25229" i="20"/>
  <c r="A25228" i="20"/>
  <c r="A25227" i="20"/>
  <c r="A25226" i="20"/>
  <c r="A25225" i="20"/>
  <c r="A25224" i="20"/>
  <c r="A25223" i="20"/>
  <c r="A25222" i="20"/>
  <c r="A25221" i="20"/>
  <c r="A25220" i="20"/>
  <c r="A25219" i="20"/>
  <c r="A25218" i="20"/>
  <c r="A25217" i="20"/>
  <c r="A25216" i="20"/>
  <c r="A25215" i="20"/>
  <c r="A25214" i="20"/>
  <c r="A25213" i="20"/>
  <c r="A25212" i="20"/>
  <c r="A25211" i="20"/>
  <c r="A25210" i="20"/>
  <c r="A25209" i="20"/>
  <c r="A25208" i="20"/>
  <c r="A25207" i="20"/>
  <c r="A25206" i="20"/>
  <c r="A25205" i="20"/>
  <c r="A25204" i="20"/>
  <c r="A25203" i="20"/>
  <c r="A25202" i="20"/>
  <c r="A25201" i="20"/>
  <c r="A25200" i="20"/>
  <c r="A25199" i="20"/>
  <c r="A25198" i="20"/>
  <c r="A25197" i="20"/>
  <c r="A25196" i="20"/>
  <c r="A25195" i="20"/>
  <c r="A25194" i="20"/>
  <c r="A25193" i="20"/>
  <c r="A25192" i="20"/>
  <c r="A25191" i="20"/>
  <c r="A25190" i="20"/>
  <c r="A25189" i="20"/>
  <c r="A25188" i="20"/>
  <c r="A25187" i="20"/>
  <c r="A25186" i="20"/>
  <c r="A25185" i="20"/>
  <c r="A25184" i="20"/>
  <c r="A25183" i="20"/>
  <c r="A25182" i="20"/>
  <c r="A25181" i="20"/>
  <c r="A25180" i="20"/>
  <c r="A25179" i="20"/>
  <c r="A25178" i="20"/>
  <c r="A25177" i="20"/>
  <c r="A25176" i="20"/>
  <c r="A25175" i="20"/>
  <c r="A25174" i="20"/>
  <c r="A25173" i="20"/>
  <c r="A25172" i="20"/>
  <c r="A25171" i="20"/>
  <c r="A25170" i="20"/>
  <c r="A25169" i="20"/>
  <c r="A25168" i="20"/>
  <c r="A25167" i="20"/>
  <c r="A25166" i="20"/>
  <c r="A25165" i="20"/>
  <c r="A25164" i="20"/>
  <c r="A25163" i="20"/>
  <c r="A25162" i="20"/>
  <c r="A25161" i="20"/>
  <c r="A25160" i="20"/>
  <c r="A25159" i="20"/>
  <c r="A25158" i="20"/>
  <c r="A25157" i="20"/>
  <c r="A25156" i="20"/>
  <c r="A25155" i="20"/>
  <c r="A25154" i="20"/>
  <c r="A25153" i="20"/>
  <c r="A25152" i="20"/>
  <c r="A25151" i="20"/>
  <c r="A25150" i="20"/>
  <c r="A25149" i="20"/>
  <c r="A25148" i="20"/>
  <c r="A25147" i="20"/>
  <c r="A25146" i="20"/>
  <c r="A25145" i="20"/>
  <c r="A25144" i="20"/>
  <c r="A25143" i="20"/>
  <c r="A25142" i="20"/>
  <c r="A25141" i="20"/>
  <c r="A25140" i="20"/>
  <c r="A25139" i="20"/>
  <c r="A25138" i="20"/>
  <c r="A25137" i="20"/>
  <c r="A25136" i="20"/>
  <c r="A25135" i="20"/>
  <c r="A25134" i="20"/>
  <c r="A25133" i="20"/>
  <c r="A25132" i="20"/>
  <c r="A25131" i="20"/>
  <c r="A25130" i="20"/>
  <c r="A25129" i="20"/>
  <c r="A25128" i="20"/>
  <c r="A25127" i="20"/>
  <c r="A25126" i="20"/>
  <c r="A25125" i="20"/>
  <c r="A25124" i="20"/>
  <c r="A25123" i="20"/>
  <c r="A25122" i="20"/>
  <c r="A25121" i="20"/>
  <c r="A25120" i="20"/>
  <c r="A25119" i="20"/>
  <c r="A25118" i="20"/>
  <c r="A25117" i="20"/>
  <c r="A25116" i="20"/>
  <c r="A25115" i="20"/>
  <c r="A25114" i="20"/>
  <c r="A25113" i="20"/>
  <c r="A25112" i="20"/>
  <c r="A25111" i="20"/>
  <c r="A25110" i="20"/>
  <c r="A25109" i="20"/>
  <c r="A25108" i="20"/>
  <c r="A25107" i="20"/>
  <c r="A25106" i="20"/>
  <c r="A25105" i="20"/>
  <c r="A25104" i="20"/>
  <c r="A25103" i="20"/>
  <c r="A25102" i="20"/>
  <c r="A25101" i="20"/>
  <c r="A25100" i="20"/>
  <c r="A25099" i="20"/>
  <c r="A25098" i="20"/>
  <c r="A25097" i="20"/>
  <c r="A25096" i="20"/>
  <c r="A25095" i="20"/>
  <c r="A25094" i="20"/>
  <c r="A25093" i="20"/>
  <c r="A25092" i="20"/>
  <c r="A25091" i="20"/>
  <c r="A25090" i="20"/>
  <c r="A25089" i="20"/>
  <c r="A25088" i="20"/>
  <c r="A25087" i="20"/>
  <c r="A25086" i="20"/>
  <c r="A25085" i="20"/>
  <c r="A25084" i="20"/>
  <c r="A25083" i="20"/>
  <c r="A25082" i="20"/>
  <c r="A25081" i="20"/>
  <c r="A25080" i="20"/>
  <c r="A25079" i="20"/>
  <c r="A25078" i="20"/>
  <c r="A25077" i="20"/>
  <c r="A25076" i="20"/>
  <c r="A25075" i="20"/>
  <c r="A25074" i="20"/>
  <c r="A25073" i="20"/>
  <c r="A25072" i="20"/>
  <c r="A25071" i="20"/>
  <c r="A25070" i="20"/>
  <c r="A25069" i="20"/>
  <c r="A25068" i="20"/>
  <c r="A25067" i="20"/>
  <c r="A25066" i="20"/>
  <c r="A25065" i="20"/>
  <c r="A25064" i="20"/>
  <c r="A25063" i="20"/>
  <c r="A25062" i="20"/>
  <c r="A25061" i="20"/>
  <c r="A25060" i="20"/>
  <c r="A25059" i="20"/>
  <c r="A25058" i="20"/>
  <c r="A25057" i="20"/>
  <c r="A25056" i="20"/>
  <c r="A25055" i="20"/>
  <c r="A25054" i="20"/>
  <c r="A25053" i="20"/>
  <c r="A25052" i="20"/>
  <c r="A25051" i="20"/>
  <c r="A25050" i="20"/>
  <c r="A25049" i="20"/>
  <c r="A25048" i="20"/>
  <c r="A25047" i="20"/>
  <c r="A25046" i="20"/>
  <c r="A25045" i="20"/>
  <c r="A25044" i="20"/>
  <c r="A25043" i="20"/>
  <c r="A25042" i="20"/>
  <c r="A25041" i="20"/>
  <c r="A25040" i="20"/>
  <c r="A25039" i="20"/>
  <c r="A25038" i="20"/>
  <c r="A25037" i="20"/>
  <c r="A25036" i="20"/>
  <c r="A25035" i="20"/>
  <c r="A25034" i="20"/>
  <c r="A25033" i="20"/>
  <c r="A25032" i="20"/>
  <c r="A25031" i="20"/>
  <c r="A25030" i="20"/>
  <c r="A25029" i="20"/>
  <c r="A25028" i="20"/>
  <c r="A25027" i="20"/>
  <c r="A25026" i="20"/>
  <c r="A25025" i="20"/>
  <c r="A25024" i="20"/>
  <c r="A25023" i="20"/>
  <c r="A25022" i="20"/>
  <c r="A25021" i="20"/>
  <c r="A25020" i="20"/>
  <c r="A25019" i="20"/>
  <c r="A25018" i="20"/>
  <c r="A25017" i="20"/>
  <c r="A25016" i="20"/>
  <c r="A25015" i="20"/>
  <c r="A25014" i="20"/>
  <c r="A25013" i="20"/>
  <c r="A25012" i="20"/>
  <c r="A25011" i="20"/>
  <c r="A25010" i="20"/>
  <c r="A25009" i="20"/>
  <c r="A25008" i="20"/>
  <c r="A25007" i="20"/>
  <c r="A25006" i="20"/>
  <c r="A25005" i="20"/>
  <c r="A25004" i="20"/>
  <c r="A25003" i="20"/>
  <c r="A25002" i="20"/>
  <c r="A25001" i="20"/>
  <c r="A25000" i="20"/>
  <c r="A24999" i="20"/>
  <c r="A24998" i="20"/>
  <c r="A24997" i="20"/>
  <c r="A24996" i="20"/>
  <c r="A24995" i="20"/>
  <c r="A24994" i="20"/>
  <c r="A24993" i="20"/>
  <c r="A24992" i="20"/>
  <c r="A24991" i="20"/>
  <c r="A24990" i="20"/>
  <c r="A24989" i="20"/>
  <c r="A24988" i="20"/>
  <c r="A24987" i="20"/>
  <c r="A24986" i="20"/>
  <c r="A24985" i="20"/>
  <c r="A24984" i="20"/>
  <c r="A24983" i="20"/>
  <c r="A24982" i="20"/>
  <c r="A24981" i="20"/>
  <c r="A24980" i="20"/>
  <c r="A24979" i="20"/>
  <c r="A24978" i="20"/>
  <c r="A24977" i="20"/>
  <c r="A24976" i="20"/>
  <c r="A24975" i="20"/>
  <c r="A24974" i="20"/>
  <c r="A24973" i="20"/>
  <c r="A24972" i="20"/>
  <c r="A24971" i="20"/>
  <c r="A24970" i="20"/>
  <c r="A24969" i="20"/>
  <c r="A24968" i="20"/>
  <c r="A24967" i="20"/>
  <c r="A24966" i="20"/>
  <c r="A24965" i="20"/>
  <c r="A24964" i="20"/>
  <c r="A24963" i="20"/>
  <c r="A24962" i="20"/>
  <c r="A24961" i="20"/>
  <c r="A24960" i="20"/>
  <c r="A24959" i="20"/>
  <c r="A24958" i="20"/>
  <c r="A24957" i="20"/>
  <c r="A24956" i="20"/>
  <c r="A24955" i="20"/>
  <c r="A24954" i="20"/>
  <c r="A24953" i="20"/>
  <c r="A24952" i="20"/>
  <c r="A24951" i="20"/>
  <c r="A24950" i="20"/>
  <c r="A24949" i="20"/>
  <c r="A24948" i="20"/>
  <c r="A24947" i="20"/>
  <c r="A24946" i="20"/>
  <c r="A24945" i="20"/>
  <c r="A24944" i="20"/>
  <c r="A24943" i="20"/>
  <c r="A24942" i="20"/>
  <c r="A24941" i="20"/>
  <c r="A24940" i="20"/>
  <c r="A24939" i="20"/>
  <c r="A24938" i="20"/>
  <c r="A24937" i="20"/>
  <c r="A24936" i="20"/>
  <c r="A24935" i="20"/>
  <c r="A24934" i="20"/>
  <c r="A24933" i="20"/>
  <c r="A24932" i="20"/>
  <c r="A24931" i="20"/>
  <c r="A24930" i="20"/>
  <c r="A24929" i="20"/>
  <c r="A24928" i="20"/>
  <c r="A24927" i="20"/>
  <c r="A24926" i="20"/>
  <c r="A24925" i="20"/>
  <c r="A24924" i="20"/>
  <c r="A24923" i="20"/>
  <c r="A24922" i="20"/>
  <c r="A24921" i="20"/>
  <c r="A24920" i="20"/>
  <c r="A24919" i="20"/>
  <c r="A24918" i="20"/>
  <c r="A24917" i="20"/>
  <c r="A24916" i="20"/>
  <c r="A24915" i="20"/>
  <c r="A24914" i="20"/>
  <c r="A24913" i="20"/>
  <c r="A24912" i="20"/>
  <c r="A24911" i="20"/>
  <c r="A24910" i="20"/>
  <c r="A24909" i="20"/>
  <c r="A24908" i="20"/>
  <c r="A24907" i="20"/>
  <c r="A24906" i="20"/>
  <c r="A24905" i="20"/>
  <c r="A24904" i="20"/>
  <c r="A24903" i="20"/>
  <c r="A24902" i="20"/>
  <c r="A24901" i="20"/>
  <c r="A24900" i="20"/>
  <c r="A24899" i="20"/>
  <c r="A24898" i="20"/>
  <c r="A24897" i="20"/>
  <c r="A24896" i="20"/>
  <c r="A24895" i="20"/>
  <c r="A24894" i="20"/>
  <c r="A24893" i="20"/>
  <c r="A24892" i="20"/>
  <c r="A24891" i="20"/>
  <c r="A24890" i="20"/>
  <c r="A24889" i="20"/>
  <c r="A24888" i="20"/>
  <c r="A24887" i="20"/>
  <c r="A24886" i="20"/>
  <c r="A24885" i="20"/>
  <c r="A24884" i="20"/>
  <c r="A24883" i="20"/>
  <c r="A24882" i="20"/>
  <c r="A24881" i="20"/>
  <c r="A24880" i="20"/>
  <c r="A24879" i="20"/>
  <c r="A24878" i="20"/>
  <c r="A24877" i="20"/>
  <c r="A24876" i="20"/>
  <c r="A24875" i="20"/>
  <c r="A24874" i="20"/>
  <c r="A24873" i="20"/>
  <c r="A24872" i="20"/>
  <c r="A24871" i="20"/>
  <c r="A24870" i="20"/>
  <c r="A24869" i="20"/>
  <c r="A24868" i="20"/>
  <c r="A24867" i="20"/>
  <c r="A24866" i="20"/>
  <c r="A24865" i="20"/>
  <c r="A24864" i="20"/>
  <c r="A24863" i="20"/>
  <c r="A24862" i="20"/>
  <c r="A24861" i="20"/>
  <c r="A24860" i="20"/>
  <c r="A24859" i="20"/>
  <c r="A24858" i="20"/>
  <c r="A24857" i="20"/>
  <c r="A24856" i="20"/>
  <c r="A24855" i="20"/>
  <c r="A24854" i="20"/>
  <c r="A24853" i="20"/>
  <c r="A24852" i="20"/>
  <c r="A24851" i="20"/>
  <c r="A24850" i="20"/>
  <c r="A24849" i="20"/>
  <c r="A24848" i="20"/>
  <c r="A24847" i="20"/>
  <c r="A24846" i="20"/>
  <c r="A24845" i="20"/>
  <c r="A24844" i="20"/>
  <c r="A24843" i="20"/>
  <c r="A24842" i="20"/>
  <c r="A24841" i="20"/>
  <c r="A24840" i="20"/>
  <c r="A24839" i="20"/>
  <c r="A24838" i="20"/>
  <c r="A24837" i="20"/>
  <c r="A24836" i="20"/>
  <c r="A24835" i="20"/>
  <c r="A24834" i="20"/>
  <c r="A24833" i="20"/>
  <c r="A24832" i="20"/>
  <c r="A24831" i="20"/>
  <c r="A24830" i="20"/>
  <c r="A24829" i="20"/>
  <c r="A24828" i="20"/>
  <c r="A24827" i="20"/>
  <c r="A24826" i="20"/>
  <c r="A24825" i="20"/>
  <c r="A24824" i="20"/>
  <c r="A24823" i="20"/>
  <c r="A24822" i="20"/>
  <c r="A24821" i="20"/>
  <c r="A24820" i="20"/>
  <c r="A24819" i="20"/>
  <c r="A24818" i="20"/>
  <c r="A24817" i="20"/>
  <c r="A24816" i="20"/>
  <c r="A24815" i="20"/>
  <c r="A24814" i="20"/>
  <c r="A24813" i="20"/>
  <c r="A24812" i="20"/>
  <c r="A24811" i="20"/>
  <c r="A24810" i="20"/>
  <c r="A24809" i="20"/>
  <c r="A24808" i="20"/>
  <c r="A24807" i="20"/>
  <c r="A24806" i="20"/>
  <c r="A24805" i="20"/>
  <c r="A24804" i="20"/>
  <c r="A24803" i="20"/>
  <c r="A24802" i="20"/>
  <c r="A24801" i="20"/>
  <c r="A24800" i="20"/>
  <c r="A24799" i="20"/>
  <c r="A24798" i="20"/>
  <c r="A24797" i="20"/>
  <c r="A24796" i="20"/>
  <c r="A24795" i="20"/>
  <c r="A24794" i="20"/>
  <c r="A24793" i="20"/>
  <c r="A24792" i="20"/>
  <c r="A24791" i="20"/>
  <c r="A24790" i="20"/>
  <c r="A24789" i="20"/>
  <c r="A24788" i="20"/>
  <c r="A24787" i="20"/>
  <c r="A24786" i="20"/>
  <c r="A24785" i="20"/>
  <c r="A24784" i="20"/>
  <c r="A24783" i="20"/>
  <c r="A24782" i="20"/>
  <c r="A24781" i="20"/>
  <c r="A24780" i="20"/>
  <c r="A24779" i="20"/>
  <c r="A24778" i="20"/>
  <c r="A24777" i="20"/>
  <c r="A24776" i="20"/>
  <c r="A24775" i="20"/>
  <c r="A24774" i="20"/>
  <c r="A24773" i="20"/>
  <c r="A24772" i="20"/>
  <c r="A24771" i="20"/>
  <c r="A24770" i="20"/>
  <c r="A24769" i="20"/>
  <c r="A24768" i="20"/>
  <c r="A24767" i="20"/>
  <c r="A24766" i="20"/>
  <c r="A24765" i="20"/>
  <c r="A24764" i="20"/>
  <c r="A24763" i="20"/>
  <c r="A24762" i="20"/>
  <c r="A24761" i="20"/>
  <c r="A24760" i="20"/>
  <c r="A24759" i="20"/>
  <c r="A24758" i="20"/>
  <c r="A24757" i="20"/>
  <c r="A24756" i="20"/>
  <c r="A24755" i="20"/>
  <c r="A24754" i="20"/>
  <c r="A24753" i="20"/>
  <c r="A24752" i="20"/>
  <c r="A24751" i="20"/>
  <c r="A24750" i="20"/>
  <c r="A24749" i="20"/>
  <c r="A24748" i="20"/>
  <c r="A24747" i="20"/>
  <c r="A24746" i="20"/>
  <c r="A24745" i="20"/>
  <c r="A24744" i="20"/>
  <c r="A24743" i="20"/>
  <c r="A24742" i="20"/>
  <c r="A24741" i="20"/>
  <c r="A24740" i="20"/>
  <c r="A24739" i="20"/>
  <c r="A24738" i="20"/>
  <c r="A24737" i="20"/>
  <c r="A24736" i="20"/>
  <c r="A24735" i="20"/>
  <c r="A24734" i="20"/>
  <c r="A24733" i="20"/>
  <c r="A24732" i="20"/>
  <c r="A24731" i="20"/>
  <c r="A24730" i="20"/>
  <c r="A24729" i="20"/>
  <c r="A24728" i="20"/>
  <c r="A24727" i="20"/>
  <c r="A24726" i="20"/>
  <c r="A24725" i="20"/>
  <c r="A24724" i="20"/>
  <c r="A24723" i="20"/>
  <c r="A24722" i="20"/>
  <c r="A24721" i="20"/>
  <c r="A24720" i="20"/>
  <c r="A24719" i="20"/>
  <c r="A24718" i="20"/>
  <c r="A24717" i="20"/>
  <c r="A24716" i="20"/>
  <c r="A24715" i="20"/>
  <c r="A24714" i="20"/>
  <c r="A24713" i="20"/>
  <c r="A24712" i="20"/>
  <c r="A24711" i="20"/>
  <c r="A24710" i="20"/>
  <c r="A24709" i="20"/>
  <c r="A24708" i="20"/>
  <c r="A24707" i="20"/>
  <c r="A24706" i="20"/>
  <c r="A24705" i="20"/>
  <c r="A24704" i="20"/>
  <c r="A24703" i="20"/>
  <c r="A24702" i="20"/>
  <c r="A24701" i="20"/>
  <c r="A24700" i="20"/>
  <c r="A24699" i="20"/>
  <c r="A24698" i="20"/>
  <c r="A24697" i="20"/>
  <c r="A24696" i="20"/>
  <c r="A24695" i="20"/>
  <c r="A24694" i="20"/>
  <c r="A24693" i="20"/>
  <c r="A24692" i="20"/>
  <c r="A24691" i="20"/>
  <c r="A24690" i="20"/>
  <c r="A24689" i="20"/>
  <c r="A24688" i="20"/>
  <c r="A24687" i="20"/>
  <c r="A24686" i="20"/>
  <c r="A24685" i="20"/>
  <c r="A24684" i="20"/>
  <c r="A24683" i="20"/>
  <c r="A24682" i="20"/>
  <c r="A24681" i="20"/>
  <c r="A24680" i="20"/>
  <c r="A24679" i="20"/>
  <c r="A24678" i="20"/>
  <c r="A24677" i="20"/>
  <c r="A24676" i="20"/>
  <c r="A24675" i="20"/>
  <c r="A24674" i="20"/>
  <c r="A24673" i="20"/>
  <c r="A24672" i="20"/>
  <c r="A24671" i="20"/>
  <c r="A24670" i="20"/>
  <c r="A24669" i="20"/>
  <c r="A24668" i="20"/>
  <c r="A24667" i="20"/>
  <c r="A24666" i="20"/>
  <c r="A24665" i="20"/>
  <c r="A24664" i="20"/>
  <c r="A24663" i="20"/>
  <c r="A24662" i="20"/>
  <c r="A24661" i="20"/>
  <c r="A24660" i="20"/>
  <c r="A24659" i="20"/>
  <c r="A24658" i="20"/>
  <c r="A24657" i="20"/>
  <c r="A24656" i="20"/>
  <c r="A24655" i="20"/>
  <c r="A24654" i="20"/>
  <c r="A24653" i="20"/>
  <c r="A24652" i="20"/>
  <c r="A24651" i="20"/>
  <c r="A24650" i="20"/>
  <c r="A24649" i="20"/>
  <c r="A24648" i="20"/>
  <c r="A24647" i="20"/>
  <c r="A24646" i="20"/>
  <c r="A24645" i="20"/>
  <c r="A24644" i="20"/>
  <c r="A24643" i="20"/>
  <c r="A24642" i="20"/>
  <c r="A24641" i="20"/>
  <c r="A24640" i="20"/>
  <c r="A24639" i="20"/>
  <c r="A24638" i="20"/>
  <c r="A24637" i="20"/>
  <c r="A24636" i="20"/>
  <c r="A24635" i="20"/>
  <c r="A24634" i="20"/>
  <c r="A24633" i="20"/>
  <c r="A24632" i="20"/>
  <c r="A24631" i="20"/>
  <c r="A24630" i="20"/>
  <c r="A24629" i="20"/>
  <c r="A24628" i="20"/>
  <c r="A24627" i="20"/>
  <c r="A24626" i="20"/>
  <c r="A24625" i="20"/>
  <c r="A24624" i="20"/>
  <c r="A24623" i="20"/>
  <c r="A24622" i="20"/>
  <c r="A24621" i="20"/>
  <c r="A24620" i="20"/>
  <c r="A24619" i="20"/>
  <c r="A24618" i="20"/>
  <c r="A24617" i="20"/>
  <c r="A24616" i="20"/>
  <c r="A24615" i="20"/>
  <c r="A24614" i="20"/>
  <c r="A24613" i="20"/>
  <c r="A24612" i="20"/>
  <c r="A24611" i="20"/>
  <c r="A24610" i="20"/>
  <c r="A24609" i="20"/>
  <c r="A24608" i="20"/>
  <c r="A24607" i="20"/>
  <c r="A24606" i="20"/>
  <c r="A24605" i="20"/>
  <c r="A24604" i="20"/>
  <c r="A24603" i="20"/>
  <c r="A24602" i="20"/>
  <c r="A24601" i="20"/>
  <c r="A24600" i="20"/>
  <c r="A24599" i="20"/>
  <c r="A24598" i="20"/>
  <c r="A24597" i="20"/>
  <c r="A24596" i="20"/>
  <c r="A24595" i="20"/>
  <c r="A24594" i="20"/>
  <c r="A24593" i="20"/>
  <c r="A24592" i="20"/>
  <c r="A24591" i="20"/>
  <c r="A24590" i="20"/>
  <c r="A24589" i="20"/>
  <c r="A24588" i="20"/>
  <c r="A24587" i="20"/>
  <c r="A24586" i="20"/>
  <c r="A24585" i="20"/>
  <c r="A24584" i="20"/>
  <c r="A24583" i="20"/>
  <c r="A24582" i="20"/>
  <c r="A24581" i="20"/>
  <c r="A24580" i="20"/>
  <c r="A24579" i="20"/>
  <c r="A24578" i="20"/>
  <c r="A24577" i="20"/>
  <c r="A24576" i="20"/>
  <c r="A24575" i="20"/>
  <c r="A24574" i="20"/>
  <c r="A24573" i="20"/>
  <c r="A24572" i="20"/>
  <c r="A24571" i="20"/>
  <c r="A24570" i="20"/>
  <c r="A24569" i="20"/>
  <c r="A24568" i="20"/>
  <c r="A24567" i="20"/>
  <c r="A24566" i="20"/>
  <c r="A24565" i="20"/>
  <c r="A24564" i="20"/>
  <c r="A24563" i="20"/>
  <c r="A24562" i="20"/>
  <c r="A24561" i="20"/>
  <c r="A24560" i="20"/>
  <c r="A24559" i="20"/>
  <c r="A24558" i="20"/>
  <c r="A24557" i="20"/>
  <c r="A24556" i="20"/>
  <c r="A24555" i="20"/>
  <c r="A24554" i="20"/>
  <c r="A24553" i="20"/>
  <c r="A24552" i="20"/>
  <c r="A24551" i="20"/>
  <c r="A24550" i="20"/>
  <c r="A24549" i="20"/>
  <c r="A24548" i="20"/>
  <c r="A24547" i="20"/>
  <c r="A24546" i="20"/>
  <c r="A24545" i="20"/>
  <c r="A24544" i="20"/>
  <c r="A24543" i="20"/>
  <c r="A24542" i="20"/>
  <c r="A24541" i="20"/>
  <c r="A24540" i="20"/>
  <c r="A24539" i="20"/>
  <c r="A24538" i="20"/>
  <c r="A24537" i="20"/>
  <c r="A24536" i="20"/>
  <c r="A24535" i="20"/>
  <c r="A24534" i="20"/>
  <c r="A24533" i="20"/>
  <c r="A24532" i="20"/>
  <c r="A24531" i="20"/>
  <c r="A24530" i="20"/>
  <c r="A24529" i="20"/>
  <c r="A24528" i="20"/>
  <c r="A24527" i="20"/>
  <c r="A24526" i="20"/>
  <c r="A24525" i="20"/>
  <c r="A24524" i="20"/>
  <c r="A24523" i="20"/>
  <c r="A24522" i="20"/>
  <c r="A24521" i="20"/>
  <c r="A24520" i="20"/>
  <c r="A24519" i="20"/>
  <c r="A24518" i="20"/>
  <c r="A24517" i="20"/>
  <c r="A24516" i="20"/>
  <c r="A24515" i="20"/>
  <c r="A24514" i="20"/>
  <c r="A24513" i="20"/>
  <c r="A24512" i="20"/>
  <c r="A24511" i="20"/>
  <c r="A24510" i="20"/>
  <c r="A24509" i="20"/>
  <c r="A24508" i="20"/>
  <c r="A24507" i="20"/>
  <c r="A24506" i="20"/>
  <c r="A24505" i="20"/>
  <c r="A24504" i="20"/>
  <c r="A24503" i="20"/>
  <c r="A24502" i="20"/>
  <c r="A24501" i="20"/>
  <c r="A24500" i="20"/>
  <c r="A24499" i="20"/>
  <c r="A24498" i="20"/>
  <c r="A24497" i="20"/>
  <c r="A24496" i="20"/>
  <c r="A24495" i="20"/>
  <c r="A24494" i="20"/>
  <c r="A24493" i="20"/>
  <c r="A24492" i="20"/>
  <c r="A24491" i="20"/>
  <c r="A24490" i="20"/>
  <c r="A24489" i="20"/>
  <c r="A24488" i="20"/>
  <c r="A24487" i="20"/>
  <c r="A24486" i="20"/>
  <c r="A24485" i="20"/>
  <c r="A24484" i="20"/>
  <c r="A24483" i="20"/>
  <c r="A24482" i="20"/>
  <c r="A24481" i="20"/>
  <c r="A24480" i="20"/>
  <c r="A24479" i="20"/>
  <c r="A24478" i="20"/>
  <c r="A24477" i="20"/>
  <c r="A24476" i="20"/>
  <c r="A24475" i="20"/>
  <c r="A24474" i="20"/>
  <c r="A24473" i="20"/>
  <c r="A24472" i="20"/>
  <c r="A24471" i="20"/>
  <c r="A24470" i="20"/>
  <c r="A24469" i="20"/>
  <c r="A24468" i="20"/>
  <c r="A24467" i="20"/>
  <c r="A24466" i="20"/>
  <c r="A24465" i="20"/>
  <c r="A24464" i="20"/>
  <c r="A24463" i="20"/>
  <c r="A24462" i="20"/>
  <c r="A24461" i="20"/>
  <c r="A24460" i="20"/>
  <c r="A24459" i="20"/>
  <c r="A24458" i="20"/>
  <c r="A24457" i="20"/>
  <c r="A24456" i="20"/>
  <c r="A24455" i="20"/>
  <c r="A24454" i="20"/>
  <c r="A24453" i="20"/>
  <c r="A24452" i="20"/>
  <c r="A24451" i="20"/>
  <c r="A24450" i="20"/>
  <c r="A24449" i="20"/>
  <c r="A24448" i="20"/>
  <c r="A24447" i="20"/>
  <c r="A24446" i="20"/>
  <c r="A24445" i="20"/>
  <c r="A24444" i="20"/>
  <c r="A24443" i="20"/>
  <c r="A24442" i="20"/>
  <c r="A24441" i="20"/>
  <c r="A24440" i="20"/>
  <c r="A24439" i="20"/>
  <c r="A24438" i="20"/>
  <c r="A24437" i="20"/>
  <c r="A24436" i="20"/>
  <c r="A24435" i="20"/>
  <c r="A24434" i="20"/>
  <c r="A24433" i="20"/>
  <c r="A24432" i="20"/>
  <c r="A24431" i="20"/>
  <c r="A24430" i="20"/>
  <c r="A24429" i="20"/>
  <c r="A24428" i="20"/>
  <c r="A24427" i="20"/>
  <c r="A24426" i="20"/>
  <c r="A24425" i="20"/>
  <c r="A24424" i="20"/>
  <c r="A24423" i="20"/>
  <c r="A24422" i="20"/>
  <c r="A24421" i="20"/>
  <c r="A24420" i="20"/>
  <c r="A24419" i="20"/>
  <c r="A24418" i="20"/>
  <c r="A24417" i="20"/>
  <c r="A24416" i="20"/>
  <c r="A24415" i="20"/>
  <c r="A24414" i="20"/>
  <c r="A24413" i="20"/>
  <c r="A24412" i="20"/>
  <c r="A24411" i="20"/>
  <c r="A24410" i="20"/>
  <c r="A24409" i="20"/>
  <c r="A24408" i="20"/>
  <c r="A24407" i="20"/>
  <c r="A24406" i="20"/>
  <c r="A24405" i="20"/>
  <c r="A24404" i="20"/>
  <c r="A24403" i="20"/>
  <c r="A24402" i="20"/>
  <c r="A24401" i="20"/>
  <c r="A24400" i="20"/>
  <c r="A24399" i="20"/>
  <c r="A24398" i="20"/>
  <c r="A24397" i="20"/>
  <c r="A24396" i="20"/>
  <c r="A24395" i="20"/>
  <c r="A24394" i="20"/>
  <c r="A24393" i="20"/>
  <c r="A24392" i="20"/>
  <c r="A24391" i="20"/>
  <c r="A24390" i="20"/>
  <c r="A24389" i="20"/>
  <c r="A24388" i="20"/>
  <c r="A24387" i="20"/>
  <c r="A24386" i="20"/>
  <c r="A24385" i="20"/>
  <c r="A24384" i="20"/>
  <c r="A24383" i="20"/>
  <c r="A24382" i="20"/>
  <c r="A24381" i="20"/>
  <c r="A24380" i="20"/>
  <c r="A24379" i="20"/>
  <c r="A24378" i="20"/>
  <c r="A24377" i="20"/>
  <c r="A24376" i="20"/>
  <c r="A24375" i="20"/>
  <c r="A24374" i="20"/>
  <c r="A24373" i="20"/>
  <c r="A24372" i="20"/>
  <c r="A24371" i="20"/>
  <c r="A24370" i="20"/>
  <c r="A24369" i="20"/>
  <c r="A24368" i="20"/>
  <c r="A24367" i="20"/>
  <c r="A24366" i="20"/>
  <c r="A24365" i="20"/>
  <c r="A24364" i="20"/>
  <c r="A24363" i="20"/>
  <c r="A24362" i="20"/>
  <c r="A24361" i="20"/>
  <c r="A24360" i="20"/>
  <c r="A24359" i="20"/>
  <c r="A24358" i="20"/>
  <c r="A24357" i="20"/>
  <c r="A24356" i="20"/>
  <c r="A24355" i="20"/>
  <c r="A24354" i="20"/>
  <c r="A24353" i="20"/>
  <c r="A24352" i="20"/>
  <c r="A24351" i="20"/>
  <c r="A24350" i="20"/>
  <c r="A24349" i="20"/>
  <c r="A24348" i="20"/>
  <c r="A24347" i="20"/>
  <c r="A24346" i="20"/>
  <c r="A24345" i="20"/>
  <c r="A24344" i="20"/>
  <c r="A24343" i="20"/>
  <c r="A24342" i="20"/>
  <c r="A24341" i="20"/>
  <c r="A24340" i="20"/>
  <c r="A24339" i="20"/>
  <c r="A24338" i="20"/>
  <c r="A24337" i="20"/>
  <c r="A24336" i="20"/>
  <c r="A24335" i="20"/>
  <c r="A24334" i="20"/>
  <c r="A24333" i="20"/>
  <c r="A24332" i="20"/>
  <c r="A24331" i="20"/>
  <c r="A24330" i="20"/>
  <c r="A24329" i="20"/>
  <c r="A24328" i="20"/>
  <c r="A24327" i="20"/>
  <c r="A24326" i="20"/>
  <c r="A24325" i="20"/>
  <c r="A24324" i="20"/>
  <c r="A24323" i="20"/>
  <c r="A24322" i="20"/>
  <c r="A24321" i="20"/>
  <c r="A24320" i="20"/>
  <c r="A24319" i="20"/>
  <c r="A24318" i="20"/>
  <c r="A24317" i="20"/>
  <c r="A24316" i="20"/>
  <c r="A24315" i="20"/>
  <c r="A24314" i="20"/>
  <c r="A24313" i="20"/>
  <c r="A24312" i="20"/>
  <c r="A24311" i="20"/>
  <c r="A24310" i="20"/>
  <c r="A24309" i="20"/>
  <c r="A24308" i="20"/>
  <c r="A24307" i="20"/>
  <c r="A24306" i="20"/>
  <c r="A24305" i="20"/>
  <c r="A24304" i="20"/>
  <c r="A24303" i="20"/>
  <c r="A24302" i="20"/>
  <c r="A24301" i="20"/>
  <c r="A24300" i="20"/>
  <c r="A24299" i="20"/>
  <c r="A24298" i="20"/>
  <c r="A24297" i="20"/>
  <c r="A24296" i="20"/>
  <c r="A24295" i="20"/>
  <c r="A24294" i="20"/>
  <c r="A24293" i="20"/>
  <c r="A24292" i="20"/>
  <c r="A24291" i="20"/>
  <c r="A24290" i="20"/>
  <c r="A24289" i="20"/>
  <c r="A24288" i="20"/>
  <c r="A24287" i="20"/>
  <c r="A24286" i="20"/>
  <c r="A24285" i="20"/>
  <c r="A24284" i="20"/>
  <c r="A24283" i="20"/>
  <c r="A24282" i="20"/>
  <c r="A24281" i="20"/>
  <c r="A24280" i="20"/>
  <c r="A24279" i="20"/>
  <c r="A24278" i="20"/>
  <c r="A24277" i="20"/>
  <c r="A24276" i="20"/>
  <c r="A24275" i="20"/>
  <c r="A24274" i="20"/>
  <c r="A24273" i="20"/>
  <c r="A24272" i="20"/>
  <c r="A24271" i="20"/>
  <c r="A24270" i="20"/>
  <c r="A24269" i="20"/>
  <c r="A24268" i="20"/>
  <c r="A24267" i="20"/>
  <c r="A24266" i="20"/>
  <c r="A24265" i="20"/>
  <c r="A24264" i="20"/>
  <c r="A24263" i="20"/>
  <c r="A24262" i="20"/>
  <c r="A24261" i="20"/>
  <c r="A24260" i="20"/>
  <c r="A24259" i="20"/>
  <c r="A24258" i="20"/>
  <c r="A24257" i="20"/>
  <c r="A24256" i="20"/>
  <c r="A24255" i="20"/>
  <c r="A24254" i="20"/>
  <c r="A24253" i="20"/>
  <c r="A24252" i="20"/>
  <c r="A24251" i="20"/>
  <c r="A24250" i="20"/>
  <c r="A24249" i="20"/>
  <c r="A24248" i="20"/>
  <c r="A24247" i="20"/>
  <c r="A24246" i="20"/>
  <c r="A24245" i="20"/>
  <c r="A24244" i="20"/>
  <c r="A24243" i="20"/>
  <c r="A24242" i="20"/>
  <c r="A24241" i="20"/>
  <c r="A24240" i="20"/>
  <c r="A24239" i="20"/>
  <c r="A24238" i="20"/>
  <c r="A24237" i="20"/>
  <c r="A24236" i="20"/>
  <c r="A24235" i="20"/>
  <c r="A24234" i="20"/>
  <c r="A24233" i="20"/>
  <c r="A24232" i="20"/>
  <c r="A24231" i="20"/>
  <c r="A24230" i="20"/>
  <c r="A24229" i="20"/>
  <c r="A24228" i="20"/>
  <c r="A24227" i="20"/>
  <c r="A24226" i="20"/>
  <c r="A24225" i="20"/>
  <c r="A24224" i="20"/>
  <c r="A24223" i="20"/>
  <c r="A24222" i="20"/>
  <c r="A24221" i="20"/>
  <c r="A24220" i="20"/>
  <c r="A24219" i="20"/>
  <c r="A24218" i="20"/>
  <c r="A24217" i="20"/>
  <c r="A24216" i="20"/>
  <c r="A24215" i="20"/>
  <c r="A24214" i="20"/>
  <c r="A24213" i="20"/>
  <c r="A24212" i="20"/>
  <c r="A24211" i="20"/>
  <c r="A24210" i="20"/>
  <c r="A24209" i="20"/>
  <c r="A24208" i="20"/>
  <c r="A24207" i="20"/>
  <c r="A24206" i="20"/>
  <c r="A24205" i="20"/>
  <c r="A24204" i="20"/>
  <c r="A24203" i="20"/>
  <c r="A24202" i="20"/>
  <c r="A24201" i="20"/>
  <c r="A24200" i="20"/>
  <c r="A24199" i="20"/>
  <c r="A24198" i="20"/>
  <c r="A24197" i="20"/>
  <c r="A24196" i="20"/>
  <c r="A24195" i="20"/>
  <c r="A24194" i="20"/>
  <c r="A24193" i="20"/>
  <c r="A24192" i="20"/>
  <c r="A24191" i="20"/>
  <c r="A24190" i="20"/>
  <c r="A24189" i="20"/>
  <c r="A24188" i="20"/>
  <c r="A24187" i="20"/>
  <c r="A24186" i="20"/>
  <c r="A24185" i="20"/>
  <c r="A24184" i="20"/>
  <c r="A24183" i="20"/>
  <c r="A24182" i="20"/>
  <c r="A24181" i="20"/>
  <c r="A24180" i="20"/>
  <c r="A24179" i="20"/>
  <c r="A24178" i="20"/>
  <c r="A24177" i="20"/>
  <c r="A24176" i="20"/>
  <c r="A24175" i="20"/>
  <c r="A24174" i="20"/>
  <c r="A24173" i="20"/>
  <c r="A24172" i="20"/>
  <c r="A24171" i="20"/>
  <c r="A24170" i="20"/>
  <c r="A24169" i="20"/>
  <c r="A24168" i="20"/>
  <c r="A24167" i="20"/>
  <c r="A24166" i="20"/>
  <c r="A24165" i="20"/>
  <c r="A24164" i="20"/>
  <c r="A24163" i="20"/>
  <c r="A24162" i="20"/>
  <c r="A24161" i="20"/>
  <c r="A24160" i="20"/>
  <c r="A24159" i="20"/>
  <c r="A24158" i="20"/>
  <c r="A24157" i="20"/>
  <c r="A24156" i="20"/>
  <c r="A24155" i="20"/>
  <c r="A24154" i="20"/>
  <c r="A24153" i="20"/>
  <c r="A24152" i="20"/>
  <c r="A24151" i="20"/>
  <c r="A24150" i="20"/>
  <c r="A24149" i="20"/>
  <c r="A24148" i="20"/>
  <c r="A24147" i="20"/>
  <c r="A24146" i="20"/>
  <c r="A24145" i="20"/>
  <c r="A24144" i="20"/>
  <c r="A24143" i="20"/>
  <c r="A24142" i="20"/>
  <c r="A24141" i="20"/>
  <c r="A24140" i="20"/>
  <c r="A24139" i="20"/>
  <c r="A24138" i="20"/>
  <c r="A24137" i="20"/>
  <c r="A24136" i="20"/>
  <c r="A24135" i="20"/>
  <c r="A24134" i="20"/>
  <c r="A24133" i="20"/>
  <c r="A24132" i="20"/>
  <c r="A24131" i="20"/>
  <c r="A24130" i="20"/>
  <c r="A24129" i="20"/>
  <c r="A24128" i="20"/>
  <c r="A24127" i="20"/>
  <c r="A24126" i="20"/>
  <c r="A24125" i="20"/>
  <c r="A24124" i="20"/>
  <c r="A24123" i="20"/>
  <c r="A24122" i="20"/>
  <c r="A24121" i="20"/>
  <c r="A24120" i="20"/>
  <c r="A24119" i="20"/>
  <c r="A24118" i="20"/>
  <c r="A24117" i="20"/>
  <c r="A24116" i="20"/>
  <c r="A24115" i="20"/>
  <c r="A24114" i="20"/>
  <c r="A24113" i="20"/>
  <c r="A24112" i="20"/>
  <c r="A24111" i="20"/>
  <c r="A24110" i="20"/>
  <c r="A24109" i="20"/>
  <c r="A24108" i="20"/>
  <c r="A24107" i="20"/>
  <c r="A24106" i="20"/>
  <c r="A24105" i="20"/>
  <c r="A24104" i="20"/>
  <c r="A24103" i="20"/>
  <c r="A24102" i="20"/>
  <c r="A24101" i="20"/>
  <c r="A24100" i="20"/>
  <c r="A24099" i="20"/>
  <c r="A24098" i="20"/>
  <c r="A24097" i="20"/>
  <c r="A24096" i="20"/>
  <c r="A24095" i="20"/>
  <c r="A24094" i="20"/>
  <c r="A24093" i="20"/>
  <c r="A24092" i="20"/>
  <c r="A24091" i="20"/>
  <c r="A24090" i="20"/>
  <c r="A24089" i="20"/>
  <c r="A24088" i="20"/>
  <c r="A24087" i="20"/>
  <c r="A24086" i="20"/>
  <c r="A24085" i="20"/>
  <c r="A24084" i="20"/>
  <c r="A24083" i="20"/>
  <c r="A24082" i="20"/>
  <c r="A24081" i="20"/>
  <c r="A24080" i="20"/>
  <c r="A24079" i="20"/>
  <c r="A24078" i="20"/>
  <c r="A24077" i="20"/>
  <c r="A24076" i="20"/>
  <c r="A24075" i="20"/>
  <c r="A24074" i="20"/>
  <c r="A24073" i="20"/>
  <c r="A24072" i="20"/>
  <c r="A24071" i="20"/>
  <c r="A24070" i="20"/>
  <c r="A24069" i="20"/>
  <c r="A24068" i="20"/>
  <c r="A24067" i="20"/>
  <c r="A24066" i="20"/>
  <c r="A24065" i="20"/>
  <c r="A24064" i="20"/>
  <c r="A24063" i="20"/>
  <c r="A24062" i="20"/>
  <c r="A24061" i="20"/>
  <c r="A24060" i="20"/>
  <c r="A24059" i="20"/>
  <c r="A24058" i="20"/>
  <c r="A24057" i="20"/>
  <c r="A24056" i="20"/>
  <c r="A24055" i="20"/>
  <c r="A24054" i="20"/>
  <c r="A24053" i="20"/>
  <c r="A24052" i="20"/>
  <c r="A24051" i="20"/>
  <c r="A24050" i="20"/>
  <c r="A24049" i="20"/>
  <c r="A24048" i="20"/>
  <c r="A24047" i="20"/>
  <c r="A24046" i="20"/>
  <c r="A24045" i="20"/>
  <c r="A24044" i="20"/>
  <c r="A24043" i="20"/>
  <c r="A24042" i="20"/>
  <c r="A24041" i="20"/>
  <c r="A24040" i="20"/>
  <c r="A24039" i="20"/>
  <c r="A24038" i="20"/>
  <c r="A24037" i="20"/>
  <c r="A24036" i="20"/>
  <c r="A24035" i="20"/>
  <c r="A24034" i="20"/>
  <c r="A24033" i="20"/>
  <c r="A24032" i="20"/>
  <c r="A24031" i="20"/>
  <c r="A24030" i="20"/>
  <c r="A24029" i="20"/>
  <c r="A24028" i="20"/>
  <c r="A24027" i="20"/>
  <c r="A24026" i="20"/>
  <c r="A24025" i="20"/>
  <c r="A24024" i="20"/>
  <c r="A24023" i="20"/>
  <c r="A24022" i="20"/>
  <c r="A24021" i="20"/>
  <c r="A24020" i="20"/>
  <c r="A24019" i="20"/>
  <c r="A24018" i="20"/>
  <c r="A24017" i="20"/>
  <c r="A24016" i="20"/>
  <c r="A24015" i="20"/>
  <c r="A24014" i="20"/>
  <c r="A24013" i="20"/>
  <c r="A24012" i="20"/>
  <c r="A24011" i="20"/>
  <c r="A24010" i="20"/>
  <c r="A24009" i="20"/>
  <c r="A24008" i="20"/>
  <c r="A24007" i="20"/>
  <c r="A24006" i="20"/>
  <c r="A24005" i="20"/>
  <c r="A24004" i="20"/>
  <c r="A24003" i="20"/>
  <c r="A24002" i="20"/>
  <c r="A24001" i="20"/>
  <c r="A24000" i="20"/>
  <c r="A23999" i="20"/>
  <c r="A23998" i="20"/>
  <c r="A23997" i="20"/>
  <c r="A23996" i="20"/>
  <c r="A23995" i="20"/>
  <c r="A23994" i="20"/>
  <c r="A23993" i="20"/>
  <c r="A23992" i="20"/>
  <c r="A23991" i="20"/>
  <c r="A23990" i="20"/>
  <c r="A23989" i="20"/>
  <c r="A23988" i="20"/>
  <c r="A23987" i="20"/>
  <c r="A23986" i="20"/>
  <c r="A23985" i="20"/>
  <c r="A23984" i="20"/>
  <c r="A23983" i="20"/>
  <c r="A23982" i="20"/>
  <c r="A23981" i="20"/>
  <c r="A23980" i="20"/>
  <c r="A23979" i="20"/>
  <c r="A23978" i="20"/>
  <c r="A23977" i="20"/>
  <c r="A23976" i="20"/>
  <c r="A23975" i="20"/>
  <c r="A23974" i="20"/>
  <c r="A23973" i="20"/>
  <c r="A23972" i="20"/>
  <c r="A23971" i="20"/>
  <c r="A23970" i="20"/>
  <c r="A23969" i="20"/>
  <c r="A23968" i="20"/>
  <c r="A23967" i="20"/>
  <c r="A23966" i="20"/>
  <c r="A23965" i="20"/>
  <c r="A23964" i="20"/>
  <c r="A23963" i="20"/>
  <c r="A23962" i="20"/>
  <c r="A23961" i="20"/>
  <c r="A23960" i="20"/>
  <c r="A23959" i="20"/>
  <c r="A23958" i="20"/>
  <c r="A23957" i="20"/>
  <c r="A23956" i="20"/>
  <c r="A23955" i="20"/>
  <c r="A23954" i="20"/>
  <c r="A23953" i="20"/>
  <c r="A23952" i="20"/>
  <c r="A23951" i="20"/>
  <c r="A23950" i="20"/>
  <c r="A23949" i="20"/>
  <c r="A23948" i="20"/>
  <c r="A23947" i="20"/>
  <c r="A23946" i="20"/>
  <c r="A23945" i="20"/>
  <c r="A23944" i="20"/>
  <c r="A23943" i="20"/>
  <c r="A23942" i="20"/>
  <c r="A23941" i="20"/>
  <c r="A23940" i="20"/>
  <c r="A23939" i="20"/>
  <c r="A23938" i="20"/>
  <c r="A23937" i="20"/>
  <c r="A23936" i="20"/>
  <c r="A23935" i="20"/>
  <c r="A23934" i="20"/>
  <c r="A23933" i="20"/>
  <c r="A23932" i="20"/>
  <c r="A23931" i="20"/>
  <c r="A23930" i="20"/>
  <c r="A23929" i="20"/>
  <c r="A23928" i="20"/>
  <c r="A23927" i="20"/>
  <c r="A23926" i="20"/>
  <c r="A23925" i="20"/>
  <c r="A23924" i="20"/>
  <c r="A23923" i="20"/>
  <c r="A23922" i="20"/>
  <c r="A23921" i="20"/>
  <c r="A23920" i="20"/>
  <c r="A23919" i="20"/>
  <c r="A23918" i="20"/>
  <c r="A23917" i="20"/>
  <c r="A23916" i="20"/>
  <c r="A23915" i="20"/>
  <c r="A23914" i="20"/>
  <c r="A23913" i="20"/>
  <c r="A23912" i="20"/>
  <c r="A23911" i="20"/>
  <c r="A23910" i="20"/>
  <c r="A23909" i="20"/>
  <c r="A23908" i="20"/>
  <c r="A23907" i="20"/>
  <c r="A23906" i="20"/>
  <c r="A23905" i="20"/>
  <c r="A23904" i="20"/>
  <c r="A23903" i="20"/>
  <c r="A23902" i="20"/>
  <c r="A23901" i="20"/>
  <c r="A23900" i="20"/>
  <c r="A23899" i="20"/>
  <c r="A23898" i="20"/>
  <c r="A23897" i="20"/>
  <c r="A23896" i="20"/>
  <c r="A23895" i="20"/>
  <c r="A23894" i="20"/>
  <c r="A23893" i="20"/>
  <c r="A23892" i="20"/>
  <c r="A23891" i="20"/>
  <c r="A23890" i="20"/>
  <c r="A23889" i="20"/>
  <c r="A23888" i="20"/>
  <c r="A23887" i="20"/>
  <c r="A23886" i="20"/>
  <c r="A23885" i="20"/>
  <c r="A23884" i="20"/>
  <c r="A23883" i="20"/>
  <c r="A23882" i="20"/>
  <c r="A23881" i="20"/>
  <c r="A23880" i="20"/>
  <c r="A23879" i="20"/>
  <c r="A23878" i="20"/>
  <c r="A23877" i="20"/>
  <c r="A23876" i="20"/>
  <c r="A23875" i="20"/>
  <c r="A23874" i="20"/>
  <c r="A23873" i="20"/>
  <c r="A23872" i="20"/>
  <c r="A23871" i="20"/>
  <c r="A23870" i="20"/>
  <c r="A23869" i="20"/>
  <c r="A23868" i="20"/>
  <c r="A23867" i="20"/>
  <c r="A23866" i="20"/>
  <c r="A23865" i="20"/>
  <c r="A23864" i="20"/>
  <c r="A23863" i="20"/>
  <c r="A23862" i="20"/>
  <c r="A23861" i="20"/>
  <c r="A23860" i="20"/>
  <c r="A23859" i="20"/>
  <c r="A23858" i="20"/>
  <c r="A23857" i="20"/>
  <c r="A23856" i="20"/>
  <c r="A23855" i="20"/>
  <c r="A23854" i="20"/>
  <c r="A23853" i="20"/>
  <c r="A23852" i="20"/>
  <c r="A23851" i="20"/>
  <c r="A23850" i="20"/>
  <c r="A23849" i="20"/>
  <c r="A23848" i="20"/>
  <c r="A23847" i="20"/>
  <c r="A23846" i="20"/>
  <c r="A23845" i="20"/>
  <c r="A23844" i="20"/>
  <c r="A23843" i="20"/>
  <c r="A23842" i="20"/>
  <c r="A23841" i="20"/>
  <c r="A23840" i="20"/>
  <c r="A23839" i="20"/>
  <c r="A23838" i="20"/>
  <c r="A23837" i="20"/>
  <c r="A23836" i="20"/>
  <c r="A23835" i="20"/>
  <c r="A23834" i="20"/>
  <c r="A23833" i="20"/>
  <c r="A23832" i="20"/>
  <c r="A23831" i="20"/>
  <c r="A23830" i="20"/>
  <c r="A23829" i="20"/>
  <c r="A23828" i="20"/>
  <c r="A23827" i="20"/>
  <c r="A23826" i="20"/>
  <c r="A23825" i="20"/>
  <c r="A23824" i="20"/>
  <c r="A23823" i="20"/>
  <c r="A23822" i="20"/>
  <c r="A23821" i="20"/>
  <c r="A23820" i="20"/>
  <c r="A23819" i="20"/>
  <c r="A23818" i="20"/>
  <c r="A23817" i="20"/>
  <c r="A23816" i="20"/>
  <c r="A23815" i="20"/>
  <c r="A23814" i="20"/>
  <c r="A23813" i="20"/>
  <c r="A23812" i="20"/>
  <c r="A23811" i="20"/>
  <c r="A23810" i="20"/>
  <c r="A23809" i="20"/>
  <c r="A23808" i="20"/>
  <c r="A23807" i="20"/>
  <c r="A23806" i="20"/>
  <c r="A23805" i="20"/>
  <c r="A23804" i="20"/>
  <c r="A23803" i="20"/>
  <c r="A23802" i="20"/>
  <c r="A23801" i="20"/>
  <c r="A23800" i="20"/>
  <c r="A23799" i="20"/>
  <c r="A23798" i="20"/>
  <c r="A23797" i="20"/>
  <c r="A23796" i="20"/>
  <c r="A23795" i="20"/>
  <c r="A23794" i="20"/>
  <c r="A23793" i="20"/>
  <c r="A23792" i="20"/>
  <c r="A23791" i="20"/>
  <c r="A23790" i="20"/>
  <c r="A23789" i="20"/>
  <c r="A23788" i="20"/>
  <c r="A23787" i="20"/>
  <c r="A23786" i="20"/>
  <c r="A23785" i="20"/>
  <c r="A23784" i="20"/>
  <c r="A23783" i="20"/>
  <c r="A23782" i="20"/>
  <c r="A23781" i="20"/>
  <c r="A23780" i="20"/>
  <c r="A23779" i="20"/>
  <c r="A23778" i="20"/>
  <c r="A23777" i="20"/>
  <c r="A23776" i="20"/>
  <c r="A23775" i="20"/>
  <c r="A23774" i="20"/>
  <c r="A23773" i="20"/>
  <c r="A23772" i="20"/>
  <c r="A23771" i="20"/>
  <c r="A23770" i="20"/>
  <c r="A23769" i="20"/>
  <c r="A23768" i="20"/>
  <c r="A23767" i="20"/>
  <c r="A23766" i="20"/>
  <c r="A23765" i="20"/>
  <c r="A23764" i="20"/>
  <c r="A23763" i="20"/>
  <c r="A23762" i="20"/>
  <c r="A23761" i="20"/>
  <c r="A23760" i="20"/>
  <c r="A23759" i="20"/>
  <c r="A23758" i="20"/>
  <c r="A23757" i="20"/>
  <c r="A23756" i="20"/>
  <c r="A23755" i="20"/>
  <c r="A23754" i="20"/>
  <c r="A23753" i="20"/>
  <c r="A23752" i="20"/>
  <c r="A23751" i="20"/>
  <c r="A23750" i="20"/>
  <c r="A23749" i="20"/>
  <c r="A23748" i="20"/>
  <c r="A23747" i="20"/>
  <c r="A23746" i="20"/>
  <c r="A23745" i="20"/>
  <c r="A23744" i="20"/>
  <c r="A23743" i="20"/>
  <c r="A23742" i="20"/>
  <c r="A23741" i="20"/>
  <c r="A23740" i="20"/>
  <c r="A23739" i="20"/>
  <c r="A23738" i="20"/>
  <c r="A23737" i="20"/>
  <c r="A23736" i="20"/>
  <c r="A23735" i="20"/>
  <c r="A23734" i="20"/>
  <c r="A23733" i="20"/>
  <c r="A23732" i="20"/>
  <c r="A23731" i="20"/>
  <c r="A23730" i="20"/>
  <c r="A23729" i="20"/>
  <c r="A23728" i="20"/>
  <c r="A23727" i="20"/>
  <c r="A23726" i="20"/>
  <c r="A23725" i="20"/>
  <c r="A23724" i="20"/>
  <c r="A23723" i="20"/>
  <c r="A23722" i="20"/>
  <c r="A23721" i="20"/>
  <c r="A23720" i="20"/>
  <c r="A23719" i="20"/>
  <c r="A23718" i="20"/>
  <c r="A23717" i="20"/>
  <c r="A23716" i="20"/>
  <c r="A23715" i="20"/>
  <c r="A23714" i="20"/>
  <c r="A23713" i="20"/>
  <c r="A23712" i="20"/>
  <c r="A23711" i="20"/>
  <c r="A23710" i="20"/>
  <c r="A23709" i="20"/>
  <c r="A23708" i="20"/>
  <c r="A23707" i="20"/>
  <c r="A23706" i="20"/>
  <c r="A23705" i="20"/>
  <c r="A23704" i="20"/>
  <c r="A23703" i="20"/>
  <c r="A23702" i="20"/>
  <c r="A23701" i="20"/>
  <c r="A23700" i="20"/>
  <c r="A23699" i="20"/>
  <c r="A23698" i="20"/>
  <c r="A23697" i="20"/>
  <c r="A23696" i="20"/>
  <c r="A23695" i="20"/>
  <c r="A23694" i="20"/>
  <c r="A23693" i="20"/>
  <c r="A23692" i="20"/>
  <c r="A23691" i="20"/>
  <c r="A23690" i="20"/>
  <c r="A23689" i="20"/>
  <c r="A23688" i="20"/>
  <c r="A23687" i="20"/>
  <c r="A23686" i="20"/>
  <c r="A23685" i="20"/>
  <c r="A23684" i="20"/>
  <c r="A23683" i="20"/>
  <c r="A23682" i="20"/>
  <c r="A23681" i="20"/>
  <c r="A23680" i="20"/>
  <c r="A23679" i="20"/>
  <c r="A23678" i="20"/>
  <c r="A23677" i="20"/>
  <c r="A23676" i="20"/>
  <c r="A23675" i="20"/>
  <c r="A23674" i="20"/>
  <c r="A23673" i="20"/>
  <c r="A23672" i="20"/>
  <c r="A23671" i="20"/>
  <c r="A23670" i="20"/>
  <c r="A23669" i="20"/>
  <c r="A23668" i="20"/>
  <c r="A23667" i="20"/>
  <c r="A23666" i="20"/>
  <c r="A23665" i="20"/>
  <c r="A23664" i="20"/>
  <c r="A23663" i="20"/>
  <c r="A23662" i="20"/>
  <c r="A23661" i="20"/>
  <c r="A23660" i="20"/>
  <c r="A23659" i="20"/>
  <c r="A23658" i="20"/>
  <c r="A23657" i="20"/>
  <c r="A23656" i="20"/>
  <c r="A23655" i="20"/>
  <c r="A23654" i="20"/>
  <c r="A23653" i="20"/>
  <c r="A23652" i="20"/>
  <c r="A23651" i="20"/>
  <c r="A23650" i="20"/>
  <c r="A23649" i="20"/>
  <c r="A23648" i="20"/>
  <c r="A23647" i="20"/>
  <c r="A23646" i="20"/>
  <c r="A23645" i="20"/>
  <c r="A23644" i="20"/>
  <c r="A23643" i="20"/>
  <c r="A23642" i="20"/>
  <c r="A23641" i="20"/>
  <c r="A23640" i="20"/>
  <c r="A23639" i="20"/>
  <c r="A23638" i="20"/>
  <c r="A23637" i="20"/>
  <c r="A23636" i="20"/>
  <c r="A23635" i="20"/>
  <c r="A23634" i="20"/>
  <c r="A23633" i="20"/>
  <c r="A23632" i="20"/>
  <c r="A23631" i="20"/>
  <c r="A23630" i="20"/>
  <c r="A23629" i="20"/>
  <c r="A23628" i="20"/>
  <c r="A23627" i="20"/>
  <c r="A23626" i="20"/>
  <c r="A23625" i="20"/>
  <c r="A23624" i="20"/>
  <c r="A23623" i="20"/>
  <c r="A23622" i="20"/>
  <c r="A23621" i="20"/>
  <c r="A23620" i="20"/>
  <c r="A23619" i="20"/>
  <c r="A23618" i="20"/>
  <c r="A23617" i="20"/>
  <c r="A23616" i="20"/>
  <c r="A23615" i="20"/>
  <c r="A23614" i="20"/>
  <c r="A23613" i="20"/>
  <c r="A23612" i="20"/>
  <c r="A23611" i="20"/>
  <c r="A23610" i="20"/>
  <c r="A23609" i="20"/>
  <c r="A23608" i="20"/>
  <c r="A23607" i="20"/>
  <c r="A23606" i="20"/>
  <c r="A23605" i="20"/>
  <c r="A23604" i="20"/>
  <c r="A23603" i="20"/>
  <c r="A23602" i="20"/>
  <c r="A23601" i="20"/>
  <c r="A23600" i="20"/>
  <c r="A23599" i="20"/>
  <c r="A23598" i="20"/>
  <c r="A23597" i="20"/>
  <c r="A23596" i="20"/>
  <c r="A23595" i="20"/>
  <c r="A23594" i="20"/>
  <c r="A23593" i="20"/>
  <c r="A23592" i="20"/>
  <c r="A23591" i="20"/>
  <c r="A23590" i="20"/>
  <c r="A23589" i="20"/>
  <c r="A23588" i="20"/>
  <c r="A23587" i="20"/>
  <c r="A23586" i="20"/>
  <c r="A23585" i="20"/>
  <c r="A23584" i="20"/>
  <c r="A23583" i="20"/>
  <c r="A23582" i="20"/>
  <c r="A23581" i="20"/>
  <c r="A23580" i="20"/>
  <c r="A23579" i="20"/>
  <c r="A23578" i="20"/>
  <c r="A23577" i="20"/>
  <c r="A23576" i="20"/>
  <c r="A23575" i="20"/>
  <c r="A23574" i="20"/>
  <c r="A23573" i="20"/>
  <c r="A23572" i="20"/>
  <c r="A23571" i="20"/>
  <c r="A23570" i="20"/>
  <c r="A23569" i="20"/>
  <c r="A23568" i="20"/>
  <c r="A23567" i="20"/>
  <c r="A23566" i="20"/>
  <c r="A23565" i="20"/>
  <c r="A23564" i="20"/>
  <c r="A23563" i="20"/>
  <c r="A23562" i="20"/>
  <c r="A23561" i="20"/>
  <c r="A23560" i="20"/>
  <c r="A23559" i="20"/>
  <c r="A23558" i="20"/>
  <c r="A23557" i="20"/>
  <c r="A23556" i="20"/>
  <c r="A23555" i="20"/>
  <c r="A23554" i="20"/>
  <c r="A23553" i="20"/>
  <c r="A23552" i="20"/>
  <c r="A23551" i="20"/>
  <c r="A23550" i="20"/>
  <c r="A23549" i="20"/>
  <c r="A23548" i="20"/>
  <c r="A23547" i="20"/>
  <c r="A23546" i="20"/>
  <c r="A23545" i="20"/>
  <c r="A23544" i="20"/>
  <c r="A23543" i="20"/>
  <c r="A23542" i="20"/>
  <c r="A23541" i="20"/>
  <c r="A23540" i="20"/>
  <c r="A23539" i="20"/>
  <c r="A23538" i="20"/>
  <c r="A23537" i="20"/>
  <c r="A23536" i="20"/>
  <c r="A23535" i="20"/>
  <c r="A23534" i="20"/>
  <c r="A23533" i="20"/>
  <c r="A23532" i="20"/>
  <c r="A23531" i="20"/>
  <c r="A23530" i="20"/>
  <c r="A23529" i="20"/>
  <c r="A23528" i="20"/>
  <c r="A23527" i="20"/>
  <c r="A23526" i="20"/>
  <c r="A23525" i="20"/>
  <c r="A23524" i="20"/>
  <c r="A23523" i="20"/>
  <c r="A23522" i="20"/>
  <c r="A23521" i="20"/>
  <c r="A23520" i="20"/>
  <c r="A23519" i="20"/>
  <c r="A23518" i="20"/>
  <c r="A23517" i="20"/>
  <c r="A23516" i="20"/>
  <c r="A23515" i="20"/>
  <c r="A23514" i="20"/>
  <c r="A23513" i="20"/>
  <c r="A23512" i="20"/>
  <c r="A23511" i="20"/>
  <c r="A23510" i="20"/>
  <c r="A23509" i="20"/>
  <c r="A23508" i="20"/>
  <c r="A23507" i="20"/>
  <c r="A23506" i="20"/>
  <c r="A23505" i="20"/>
  <c r="A23504" i="20"/>
  <c r="A23503" i="20"/>
  <c r="A23502" i="20"/>
  <c r="A23501" i="20"/>
  <c r="A23500" i="20"/>
  <c r="A23499" i="20"/>
  <c r="A23498" i="20"/>
  <c r="A23497" i="20"/>
  <c r="A23496" i="20"/>
  <c r="A23495" i="20"/>
  <c r="A23494" i="20"/>
  <c r="A23493" i="20"/>
  <c r="A23492" i="20"/>
  <c r="A23491" i="20"/>
  <c r="A23490" i="20"/>
  <c r="A23489" i="20"/>
  <c r="A23488" i="20"/>
  <c r="A23487" i="20"/>
  <c r="A23486" i="20"/>
  <c r="A23485" i="20"/>
  <c r="A23484" i="20"/>
  <c r="A23483" i="20"/>
  <c r="A23482" i="20"/>
  <c r="A23481" i="20"/>
  <c r="A23480" i="20"/>
  <c r="A23479" i="20"/>
  <c r="A23478" i="20"/>
  <c r="A23477" i="20"/>
  <c r="A23476" i="20"/>
  <c r="A23475" i="20"/>
  <c r="A23474" i="20"/>
  <c r="A23473" i="20"/>
  <c r="A23472" i="20"/>
  <c r="A23471" i="20"/>
  <c r="A23470" i="20"/>
  <c r="A23469" i="20"/>
  <c r="A23468" i="20"/>
  <c r="A23467" i="20"/>
  <c r="A23466" i="20"/>
  <c r="A23465" i="20"/>
  <c r="A23464" i="20"/>
  <c r="A23463" i="20"/>
  <c r="A23462" i="20"/>
  <c r="A23461" i="20"/>
  <c r="A23460" i="20"/>
  <c r="A23459" i="20"/>
  <c r="A23458" i="20"/>
  <c r="A23457" i="20"/>
  <c r="A23456" i="20"/>
  <c r="A23455" i="20"/>
  <c r="A23454" i="20"/>
  <c r="A23453" i="20"/>
  <c r="A23452" i="20"/>
  <c r="A23451" i="20"/>
  <c r="A23450" i="20"/>
  <c r="A23449" i="20"/>
  <c r="A23448" i="20"/>
  <c r="A23447" i="20"/>
  <c r="A23446" i="20"/>
  <c r="A23445" i="20"/>
  <c r="A23444" i="20"/>
  <c r="A23443" i="20"/>
  <c r="A23442" i="20"/>
  <c r="A23441" i="20"/>
  <c r="A23440" i="20"/>
  <c r="A23439" i="20"/>
  <c r="A23438" i="20"/>
  <c r="A23437" i="20"/>
  <c r="A23436" i="20"/>
  <c r="A23435" i="20"/>
  <c r="A23434" i="20"/>
  <c r="A23433" i="20"/>
  <c r="A23432" i="20"/>
  <c r="A23431" i="20"/>
  <c r="A23430" i="20"/>
  <c r="A23429" i="20"/>
  <c r="A23428" i="20"/>
  <c r="A23427" i="20"/>
  <c r="A23426" i="20"/>
  <c r="A23425" i="20"/>
  <c r="A23424" i="20"/>
  <c r="A23423" i="20"/>
  <c r="A23422" i="20"/>
  <c r="A23421" i="20"/>
  <c r="A23420" i="20"/>
  <c r="A23419" i="20"/>
  <c r="A23418" i="20"/>
  <c r="A23417" i="20"/>
  <c r="A23416" i="20"/>
  <c r="A23415" i="20"/>
  <c r="A23414" i="20"/>
  <c r="A23413" i="20"/>
  <c r="A23412" i="20"/>
  <c r="A23411" i="20"/>
  <c r="A23410" i="20"/>
  <c r="A23409" i="20"/>
  <c r="A23408" i="20"/>
  <c r="A23407" i="20"/>
  <c r="A23406" i="20"/>
  <c r="A23405" i="20"/>
  <c r="A23404" i="20"/>
  <c r="A23403" i="20"/>
  <c r="A23402" i="20"/>
  <c r="A23401" i="20"/>
  <c r="A23400" i="20"/>
  <c r="A23399" i="20"/>
  <c r="A23398" i="20"/>
  <c r="A23397" i="20"/>
  <c r="A23396" i="20"/>
  <c r="A23395" i="20"/>
  <c r="A23394" i="20"/>
  <c r="A23393" i="20"/>
  <c r="A23392" i="20"/>
  <c r="A23391" i="20"/>
  <c r="A23390" i="20"/>
  <c r="A23389" i="20"/>
  <c r="A23388" i="20"/>
  <c r="A23387" i="20"/>
  <c r="A23386" i="20"/>
  <c r="A23385" i="20"/>
  <c r="A23384" i="20"/>
  <c r="A23383" i="20"/>
  <c r="A23382" i="20"/>
  <c r="A23381" i="20"/>
  <c r="A23380" i="20"/>
  <c r="A23379" i="20"/>
  <c r="A23378" i="20"/>
  <c r="A23377" i="20"/>
  <c r="A23376" i="20"/>
  <c r="A23375" i="20"/>
  <c r="A23374" i="20"/>
  <c r="A23373" i="20"/>
  <c r="A23372" i="20"/>
  <c r="A23371" i="20"/>
  <c r="A23370" i="20"/>
  <c r="A23369" i="20"/>
  <c r="A23368" i="20"/>
  <c r="A23367" i="20"/>
  <c r="A23366" i="20"/>
  <c r="A23365" i="20"/>
  <c r="A23364" i="20"/>
  <c r="A23363" i="20"/>
  <c r="A23362" i="20"/>
  <c r="A23361" i="20"/>
  <c r="A23360" i="20"/>
  <c r="A23359" i="20"/>
  <c r="A23358" i="20"/>
  <c r="A23357" i="20"/>
  <c r="A23356" i="20"/>
  <c r="A23355" i="20"/>
  <c r="A23354" i="20"/>
  <c r="A23353" i="20"/>
  <c r="A23352" i="20"/>
  <c r="A23351" i="20"/>
  <c r="A23350" i="20"/>
  <c r="A23349" i="20"/>
  <c r="A23348" i="20"/>
  <c r="A23347" i="20"/>
  <c r="A23346" i="20"/>
  <c r="A23345" i="20"/>
  <c r="A23344" i="20"/>
  <c r="A23343" i="20"/>
  <c r="A23342" i="20"/>
  <c r="A23341" i="20"/>
  <c r="A23340" i="20"/>
  <c r="A23339" i="20"/>
  <c r="A23338" i="20"/>
  <c r="A23337" i="20"/>
  <c r="A23336" i="20"/>
  <c r="A23335" i="20"/>
  <c r="A23334" i="20"/>
  <c r="A23333" i="20"/>
  <c r="A23332" i="20"/>
  <c r="A23331" i="20"/>
  <c r="A23330" i="20"/>
  <c r="A23329" i="20"/>
  <c r="A23328" i="20"/>
  <c r="A23327" i="20"/>
  <c r="A23326" i="20"/>
  <c r="A23325" i="20"/>
  <c r="A23324" i="20"/>
  <c r="A23323" i="20"/>
  <c r="A23322" i="20"/>
  <c r="A23321" i="20"/>
  <c r="A23320" i="20"/>
  <c r="A23319" i="20"/>
  <c r="A23318" i="20"/>
  <c r="A23317" i="20"/>
  <c r="A23316" i="20"/>
  <c r="A23315" i="20"/>
  <c r="A23314" i="20"/>
  <c r="A23313" i="20"/>
  <c r="A23312" i="20"/>
  <c r="A23311" i="20"/>
  <c r="A23310" i="20"/>
  <c r="A23309" i="20"/>
  <c r="A23308" i="20"/>
  <c r="A23307" i="20"/>
  <c r="A23306" i="20"/>
  <c r="A23305" i="20"/>
  <c r="A23304" i="20"/>
  <c r="A23303" i="20"/>
  <c r="A23302" i="20"/>
  <c r="A23301" i="20"/>
  <c r="A23300" i="20"/>
  <c r="A23299" i="20"/>
  <c r="A23298" i="20"/>
  <c r="A23297" i="20"/>
  <c r="A23296" i="20"/>
  <c r="A23295" i="20"/>
  <c r="A23294" i="20"/>
  <c r="A23293" i="20"/>
  <c r="A23292" i="20"/>
  <c r="A23291" i="20"/>
  <c r="A23290" i="20"/>
  <c r="A23289" i="20"/>
  <c r="A23288" i="20"/>
  <c r="A23287" i="20"/>
  <c r="A23286" i="20"/>
  <c r="A23285" i="20"/>
  <c r="A23284" i="20"/>
  <c r="A23283" i="20"/>
  <c r="A23282" i="20"/>
  <c r="A23281" i="20"/>
  <c r="A23280" i="20"/>
  <c r="A23279" i="20"/>
  <c r="A23278" i="20"/>
  <c r="A23277" i="20"/>
  <c r="A23276" i="20"/>
  <c r="A23275" i="20"/>
  <c r="A23274" i="20"/>
  <c r="A23273" i="20"/>
  <c r="A23272" i="20"/>
  <c r="A23271" i="20"/>
  <c r="A23270" i="20"/>
  <c r="A23269" i="20"/>
  <c r="A23268" i="20"/>
  <c r="A23267" i="20"/>
  <c r="A23266" i="20"/>
  <c r="A23265" i="20"/>
  <c r="A23264" i="20"/>
  <c r="A23263" i="20"/>
  <c r="A23262" i="20"/>
  <c r="A23261" i="20"/>
  <c r="A23260" i="20"/>
  <c r="A23259" i="20"/>
  <c r="A23258" i="20"/>
  <c r="A23257" i="20"/>
  <c r="A23256" i="20"/>
  <c r="A23255" i="20"/>
  <c r="A23254" i="20"/>
  <c r="A23253" i="20"/>
  <c r="A23252" i="20"/>
  <c r="A23251" i="20"/>
  <c r="A23250" i="20"/>
  <c r="A23249" i="20"/>
  <c r="A23248" i="20"/>
  <c r="A23247" i="20"/>
  <c r="A23246" i="20"/>
  <c r="A23245" i="20"/>
  <c r="A23244" i="20"/>
  <c r="A23243" i="20"/>
  <c r="A23242" i="20"/>
  <c r="A23241" i="20"/>
  <c r="A23240" i="20"/>
  <c r="A23239" i="20"/>
  <c r="A23238" i="20"/>
  <c r="A23237" i="20"/>
  <c r="A23236" i="20"/>
  <c r="A23235" i="20"/>
  <c r="A23234" i="20"/>
  <c r="A23233" i="20"/>
  <c r="A23232" i="20"/>
  <c r="A23231" i="20"/>
  <c r="A23230" i="20"/>
  <c r="A23229" i="20"/>
  <c r="A23228" i="20"/>
  <c r="A23227" i="20"/>
  <c r="A23226" i="20"/>
  <c r="A23225" i="20"/>
  <c r="A23224" i="20"/>
  <c r="A23223" i="20"/>
  <c r="A23222" i="20"/>
  <c r="A23221" i="20"/>
  <c r="A23220" i="20"/>
  <c r="A23219" i="20"/>
  <c r="A23218" i="20"/>
  <c r="A23217" i="20"/>
  <c r="A23216" i="20"/>
  <c r="A23215" i="20"/>
  <c r="A23214" i="20"/>
  <c r="A23213" i="20"/>
  <c r="A23212" i="20"/>
  <c r="A23211" i="20"/>
  <c r="A23210" i="20"/>
  <c r="A23209" i="20"/>
  <c r="A23208" i="20"/>
  <c r="A23207" i="20"/>
  <c r="A23206" i="20"/>
  <c r="A23205" i="20"/>
  <c r="A23204" i="20"/>
  <c r="A23203" i="20"/>
  <c r="A23202" i="20"/>
  <c r="A23201" i="20"/>
  <c r="A23200" i="20"/>
  <c r="A23199" i="20"/>
  <c r="A23198" i="20"/>
  <c r="A23197" i="20"/>
  <c r="A23196" i="20"/>
  <c r="A23195" i="20"/>
  <c r="A23194" i="20"/>
  <c r="A23193" i="20"/>
  <c r="A23192" i="20"/>
  <c r="A23191" i="20"/>
  <c r="A23190" i="20"/>
  <c r="A23189" i="20"/>
  <c r="A23188" i="20"/>
  <c r="A23187" i="20"/>
  <c r="A23186" i="20"/>
  <c r="A23185" i="20"/>
  <c r="A23184" i="20"/>
  <c r="A23183" i="20"/>
  <c r="A23182" i="20"/>
  <c r="A23181" i="20"/>
  <c r="A23180" i="20"/>
  <c r="A23179" i="20"/>
  <c r="A23178" i="20"/>
  <c r="A23177" i="20"/>
  <c r="A23176" i="20"/>
  <c r="A23175" i="20"/>
  <c r="A23174" i="20"/>
  <c r="A23173" i="20"/>
  <c r="A23172" i="20"/>
  <c r="A23171" i="20"/>
  <c r="A23170" i="20"/>
  <c r="A23169" i="20"/>
  <c r="A23168" i="20"/>
  <c r="A23167" i="20"/>
  <c r="A23166" i="20"/>
  <c r="A23165" i="20"/>
  <c r="A23164" i="20"/>
  <c r="A23163" i="20"/>
  <c r="A23162" i="20"/>
  <c r="A23161" i="20"/>
  <c r="A23160" i="20"/>
  <c r="A23159" i="20"/>
  <c r="A23158" i="20"/>
  <c r="A23157" i="20"/>
  <c r="A23156" i="20"/>
  <c r="A23155" i="20"/>
  <c r="A23154" i="20"/>
  <c r="A23153" i="20"/>
  <c r="A23152" i="20"/>
  <c r="A23151" i="20"/>
  <c r="A23150" i="20"/>
  <c r="A23149" i="20"/>
  <c r="A23148" i="20"/>
  <c r="A23147" i="20"/>
  <c r="A23146" i="20"/>
  <c r="A23145" i="20"/>
  <c r="A23144" i="20"/>
  <c r="A23143" i="20"/>
  <c r="A23142" i="20"/>
  <c r="A23141" i="20"/>
  <c r="A23140" i="20"/>
  <c r="A23139" i="20"/>
  <c r="A23138" i="20"/>
  <c r="A23137" i="20"/>
  <c r="A23136" i="20"/>
  <c r="A23135" i="20"/>
  <c r="A23134" i="20"/>
  <c r="A23133" i="20"/>
  <c r="A23132" i="20"/>
  <c r="A23131" i="20"/>
  <c r="A23130" i="20"/>
  <c r="A23129" i="20"/>
  <c r="A23128" i="20"/>
  <c r="A23127" i="20"/>
  <c r="A23126" i="20"/>
  <c r="A23125" i="20"/>
  <c r="A23124" i="20"/>
  <c r="A23123" i="20"/>
  <c r="A23122" i="20"/>
  <c r="A23121" i="20"/>
  <c r="A23120" i="20"/>
  <c r="A23119" i="20"/>
  <c r="A23118" i="20"/>
  <c r="A23117" i="20"/>
  <c r="A23116" i="20"/>
  <c r="A23115" i="20"/>
  <c r="A23114" i="20"/>
  <c r="A23113" i="20"/>
  <c r="A23112" i="20"/>
  <c r="A23111" i="20"/>
  <c r="A23110" i="20"/>
  <c r="A23109" i="20"/>
  <c r="A23108" i="20"/>
  <c r="A23107" i="20"/>
  <c r="A23106" i="20"/>
  <c r="A23105" i="20"/>
  <c r="A23104" i="20"/>
  <c r="A23103" i="20"/>
  <c r="A23102" i="20"/>
  <c r="A23101" i="20"/>
  <c r="A23100" i="20"/>
  <c r="A23099" i="20"/>
  <c r="A23098" i="20"/>
  <c r="A23097" i="20"/>
  <c r="A23096" i="20"/>
  <c r="A23095" i="20"/>
  <c r="A23094" i="20"/>
  <c r="A23093" i="20"/>
  <c r="A23092" i="20"/>
  <c r="A23091" i="20"/>
  <c r="A23090" i="20"/>
  <c r="A23089" i="20"/>
  <c r="A23088" i="20"/>
  <c r="A23087" i="20"/>
  <c r="A23086" i="20"/>
  <c r="A23085" i="20"/>
  <c r="A23084" i="20"/>
  <c r="A23083" i="20"/>
  <c r="A23082" i="20"/>
  <c r="A23081" i="20"/>
  <c r="A23080" i="20"/>
  <c r="A23079" i="20"/>
  <c r="A23078" i="20"/>
  <c r="A23077" i="20"/>
  <c r="A23076" i="20"/>
  <c r="A23075" i="20"/>
  <c r="A23074" i="20"/>
  <c r="A23073" i="20"/>
  <c r="A23072" i="20"/>
  <c r="A23071" i="20"/>
  <c r="A23070" i="20"/>
  <c r="A23069" i="20"/>
  <c r="A23068" i="20"/>
  <c r="A23067" i="20"/>
  <c r="A23066" i="20"/>
  <c r="A23065" i="20"/>
  <c r="A23064" i="20"/>
  <c r="A23063" i="20"/>
  <c r="A23062" i="20"/>
  <c r="A23061" i="20"/>
  <c r="A23060" i="20"/>
  <c r="A23059" i="20"/>
  <c r="A23058" i="20"/>
  <c r="A23057" i="20"/>
  <c r="A23056" i="20"/>
  <c r="A23055" i="20"/>
  <c r="A23054" i="20"/>
  <c r="A23053" i="20"/>
  <c r="A23052" i="20"/>
  <c r="A23051" i="20"/>
  <c r="A23050" i="20"/>
  <c r="A23049" i="20"/>
  <c r="A23048" i="20"/>
  <c r="A23047" i="20"/>
  <c r="A23046" i="20"/>
  <c r="A23045" i="20"/>
  <c r="A23044" i="20"/>
  <c r="A23043" i="20"/>
  <c r="A23042" i="20"/>
  <c r="A23041" i="20"/>
  <c r="A23040" i="20"/>
  <c r="A23039" i="20"/>
  <c r="A23038" i="20"/>
  <c r="A23037" i="20"/>
  <c r="A23036" i="20"/>
  <c r="A23035" i="20"/>
  <c r="A23034" i="20"/>
  <c r="A23033" i="20"/>
  <c r="A23032" i="20"/>
  <c r="A23031" i="20"/>
  <c r="A23030" i="20"/>
  <c r="A23029" i="20"/>
  <c r="A23028" i="20"/>
  <c r="A23027" i="20"/>
  <c r="A23026" i="20"/>
  <c r="A23025" i="20"/>
  <c r="A23024" i="20"/>
  <c r="A23023" i="20"/>
  <c r="A23022" i="20"/>
  <c r="A23021" i="20"/>
  <c r="A23020" i="20"/>
  <c r="A23019" i="20"/>
  <c r="A23018" i="20"/>
  <c r="A23017" i="20"/>
  <c r="A23016" i="20"/>
  <c r="A23015" i="20"/>
  <c r="A23014" i="20"/>
  <c r="A23013" i="20"/>
  <c r="A23012" i="20"/>
  <c r="A23011" i="20"/>
  <c r="A23010" i="20"/>
  <c r="A23009" i="20"/>
  <c r="A23008" i="20"/>
  <c r="A23007" i="20"/>
  <c r="A23006" i="20"/>
  <c r="A23005" i="20"/>
  <c r="A23004" i="20"/>
  <c r="A23003" i="20"/>
  <c r="A23002" i="20"/>
  <c r="A23001" i="20"/>
  <c r="A23000" i="20"/>
  <c r="A22999" i="20"/>
  <c r="A22998" i="20"/>
  <c r="A22997" i="20"/>
  <c r="A22996" i="20"/>
  <c r="A22995" i="20"/>
  <c r="A22994" i="20"/>
  <c r="A22993" i="20"/>
  <c r="A22992" i="20"/>
  <c r="A22991" i="20"/>
  <c r="A22990" i="20"/>
  <c r="A22989" i="20"/>
  <c r="A22988" i="20"/>
  <c r="A22987" i="20"/>
  <c r="A22986" i="20"/>
  <c r="A22985" i="20"/>
  <c r="A22984" i="20"/>
  <c r="A22983" i="20"/>
  <c r="A22982" i="20"/>
  <c r="A22981" i="20"/>
  <c r="A22980" i="20"/>
  <c r="A22979" i="20"/>
  <c r="A22978" i="20"/>
  <c r="A22977" i="20"/>
  <c r="A22976" i="20"/>
  <c r="A22975" i="20"/>
  <c r="A22974" i="20"/>
  <c r="A22973" i="20"/>
  <c r="A22972" i="20"/>
  <c r="A22971" i="20"/>
  <c r="A22970" i="20"/>
  <c r="A22969" i="20"/>
  <c r="A22968" i="20"/>
  <c r="A22967" i="20"/>
  <c r="A22966" i="20"/>
  <c r="A22965" i="20"/>
  <c r="A22964" i="20"/>
  <c r="A22963" i="20"/>
  <c r="A22962" i="20"/>
  <c r="A22961" i="20"/>
  <c r="A22960" i="20"/>
  <c r="A22959" i="20"/>
  <c r="A22958" i="20"/>
  <c r="A22957" i="20"/>
  <c r="A22956" i="20"/>
  <c r="A22955" i="20"/>
  <c r="A22954" i="20"/>
  <c r="A22953" i="20"/>
  <c r="A22952" i="20"/>
  <c r="A22951" i="20"/>
  <c r="A22950" i="20"/>
  <c r="A22949" i="20"/>
  <c r="A22948" i="20"/>
  <c r="A22947" i="20"/>
  <c r="A22946" i="20"/>
  <c r="A22945" i="20"/>
  <c r="A22944" i="20"/>
  <c r="A22943" i="20"/>
  <c r="A22942" i="20"/>
  <c r="A22941" i="20"/>
  <c r="A22940" i="20"/>
  <c r="A22939" i="20"/>
  <c r="A22938" i="20"/>
  <c r="A22937" i="20"/>
  <c r="A22936" i="20"/>
  <c r="A22935" i="20"/>
  <c r="A22934" i="20"/>
  <c r="A22933" i="20"/>
  <c r="A22932" i="20"/>
  <c r="A22931" i="20"/>
  <c r="A22930" i="20"/>
  <c r="A22929" i="20"/>
  <c r="A22928" i="20"/>
  <c r="A22927" i="20"/>
  <c r="A22926" i="20"/>
  <c r="A22925" i="20"/>
  <c r="A22924" i="20"/>
  <c r="A22923" i="20"/>
  <c r="A22922" i="20"/>
  <c r="A22921" i="20"/>
  <c r="A22920" i="20"/>
  <c r="A22919" i="20"/>
  <c r="A22918" i="20"/>
  <c r="A22917" i="20"/>
  <c r="A22916" i="20"/>
  <c r="A22915" i="20"/>
  <c r="A22914" i="20"/>
  <c r="A22913" i="20"/>
  <c r="A22912" i="20"/>
  <c r="A22911" i="20"/>
  <c r="A22910" i="20"/>
  <c r="A22909" i="20"/>
  <c r="A22908" i="20"/>
  <c r="A22907" i="20"/>
  <c r="A22906" i="20"/>
  <c r="A22905" i="20"/>
  <c r="A22904" i="20"/>
  <c r="A22903" i="20"/>
  <c r="A22902" i="20"/>
  <c r="A22901" i="20"/>
  <c r="A22900" i="20"/>
  <c r="A22899" i="20"/>
  <c r="A22898" i="20"/>
  <c r="A22897" i="20"/>
  <c r="A22896" i="20"/>
  <c r="A22895" i="20"/>
  <c r="A22894" i="20"/>
  <c r="A22893" i="20"/>
  <c r="A22892" i="20"/>
  <c r="A22891" i="20"/>
  <c r="A22890" i="20"/>
  <c r="A22889" i="20"/>
  <c r="A22888" i="20"/>
  <c r="A22887" i="20"/>
  <c r="A22886" i="20"/>
  <c r="A22885" i="20"/>
  <c r="A22884" i="20"/>
  <c r="A22883" i="20"/>
  <c r="A22882" i="20"/>
  <c r="A22881" i="20"/>
  <c r="A22880" i="20"/>
  <c r="A22879" i="20"/>
  <c r="A22878" i="20"/>
  <c r="A22877" i="20"/>
  <c r="A22876" i="20"/>
  <c r="A22875" i="20"/>
  <c r="A22874" i="20"/>
  <c r="A22873" i="20"/>
  <c r="A22872" i="20"/>
  <c r="A22871" i="20"/>
  <c r="A22870" i="20"/>
  <c r="A22869" i="20"/>
  <c r="A22868" i="20"/>
  <c r="A22867" i="20"/>
  <c r="A22866" i="20"/>
  <c r="A22865" i="20"/>
  <c r="A22864" i="20"/>
  <c r="A22863" i="20"/>
  <c r="A22862" i="20"/>
  <c r="A22861" i="20"/>
  <c r="A22860" i="20"/>
  <c r="A22859" i="20"/>
  <c r="A22858" i="20"/>
  <c r="A22857" i="20"/>
  <c r="A22856" i="20"/>
  <c r="A22855" i="20"/>
  <c r="A22854" i="20"/>
  <c r="A22853" i="20"/>
  <c r="A22852" i="20"/>
  <c r="A22851" i="20"/>
  <c r="A22850" i="20"/>
  <c r="A22849" i="20"/>
  <c r="A22848" i="20"/>
  <c r="A22847" i="20"/>
  <c r="A22846" i="20"/>
  <c r="A22845" i="20"/>
  <c r="A22844" i="20"/>
  <c r="A22843" i="20"/>
  <c r="A22842" i="20"/>
  <c r="A22841" i="20"/>
  <c r="A22840" i="20"/>
  <c r="A22839" i="20"/>
  <c r="A22838" i="20"/>
  <c r="A22837" i="20"/>
  <c r="A22836" i="20"/>
  <c r="A22835" i="20"/>
  <c r="A22834" i="20"/>
  <c r="A22833" i="20"/>
  <c r="A22832" i="20"/>
  <c r="A22831" i="20"/>
  <c r="A22830" i="20"/>
  <c r="A22829" i="20"/>
  <c r="A22828" i="20"/>
  <c r="A22827" i="20"/>
  <c r="A22826" i="20"/>
  <c r="A22825" i="20"/>
  <c r="A22824" i="20"/>
  <c r="A22823" i="20"/>
  <c r="A22822" i="20"/>
  <c r="A22821" i="20"/>
  <c r="A22820" i="20"/>
  <c r="A22819" i="20"/>
  <c r="A22818" i="20"/>
  <c r="A22817" i="20"/>
  <c r="A22816" i="20"/>
  <c r="A22815" i="20"/>
  <c r="A22814" i="20"/>
  <c r="A22813" i="20"/>
  <c r="A22812" i="20"/>
  <c r="A22811" i="20"/>
  <c r="A22810" i="20"/>
  <c r="A22809" i="20"/>
  <c r="A22808" i="20"/>
  <c r="A22807" i="20"/>
  <c r="A22806" i="20"/>
  <c r="A22805" i="20"/>
  <c r="A22804" i="20"/>
  <c r="A22803" i="20"/>
  <c r="A22802" i="20"/>
  <c r="A22801" i="20"/>
  <c r="A22800" i="20"/>
  <c r="A22799" i="20"/>
  <c r="A22798" i="20"/>
  <c r="A22797" i="20"/>
  <c r="A22796" i="20"/>
  <c r="A22795" i="20"/>
  <c r="A22794" i="20"/>
  <c r="A22793" i="20"/>
  <c r="A22792" i="20"/>
  <c r="A22791" i="20"/>
  <c r="A22790" i="20"/>
  <c r="A22789" i="20"/>
  <c r="A22788" i="20"/>
  <c r="A22787" i="20"/>
  <c r="A22786" i="20"/>
  <c r="A22785" i="20"/>
  <c r="A22784" i="20"/>
  <c r="A22783" i="20"/>
  <c r="A22782" i="20"/>
  <c r="A22781" i="20"/>
  <c r="A22780" i="20"/>
  <c r="A22779" i="20"/>
  <c r="A22778" i="20"/>
  <c r="A22777" i="20"/>
  <c r="A22776" i="20"/>
  <c r="A22775" i="20"/>
  <c r="A22774" i="20"/>
  <c r="A22773" i="20"/>
  <c r="A22772" i="20"/>
  <c r="A22771" i="20"/>
  <c r="A22770" i="20"/>
  <c r="A22769" i="20"/>
  <c r="A22768" i="20"/>
  <c r="A22767" i="20"/>
  <c r="A22766" i="20"/>
  <c r="A22765" i="20"/>
  <c r="A22764" i="20"/>
  <c r="A22763" i="20"/>
  <c r="A22762" i="20"/>
  <c r="A22761" i="20"/>
  <c r="A22760" i="20"/>
  <c r="A22759" i="20"/>
  <c r="A22758" i="20"/>
  <c r="A22757" i="20"/>
  <c r="A22756" i="20"/>
  <c r="A22755" i="20"/>
  <c r="A22754" i="20"/>
  <c r="A22753" i="20"/>
  <c r="A22752" i="20"/>
  <c r="A22751" i="20"/>
  <c r="A22750" i="20"/>
  <c r="A22749" i="20"/>
  <c r="A22748" i="20"/>
  <c r="A22747" i="20"/>
  <c r="A22746" i="20"/>
  <c r="A22745" i="20"/>
  <c r="A22744" i="20"/>
  <c r="A22743" i="20"/>
  <c r="A22742" i="20"/>
  <c r="A22741" i="20"/>
  <c r="A22740" i="20"/>
  <c r="A22739" i="20"/>
  <c r="A22738" i="20"/>
  <c r="A22737" i="20"/>
  <c r="A22736" i="20"/>
  <c r="A22735" i="20"/>
  <c r="A22734" i="20"/>
  <c r="A22733" i="20"/>
  <c r="A22732" i="20"/>
  <c r="A22731" i="20"/>
  <c r="A22730" i="20"/>
  <c r="A22729" i="20"/>
  <c r="A22728" i="20"/>
  <c r="A22727" i="20"/>
  <c r="A22726" i="20"/>
  <c r="A22725" i="20"/>
  <c r="A22724" i="20"/>
  <c r="A22723" i="20"/>
  <c r="A22722" i="20"/>
  <c r="A22721" i="20"/>
  <c r="A22720" i="20"/>
  <c r="A22719" i="20"/>
  <c r="A22718" i="20"/>
  <c r="A22717" i="20"/>
  <c r="A22716" i="20"/>
  <c r="A22715" i="20"/>
  <c r="A22714" i="20"/>
  <c r="A22713" i="20"/>
  <c r="A22712" i="20"/>
  <c r="A22711" i="20"/>
  <c r="A22710" i="20"/>
  <c r="A22709" i="20"/>
  <c r="A22708" i="20"/>
  <c r="A22707" i="20"/>
  <c r="A22706" i="20"/>
  <c r="A22705" i="20"/>
  <c r="A22704" i="20"/>
  <c r="A22703" i="20"/>
  <c r="A22702" i="20"/>
  <c r="A22701" i="20"/>
  <c r="A22700" i="20"/>
  <c r="A22699" i="20"/>
  <c r="A22698" i="20"/>
  <c r="A22697" i="20"/>
  <c r="A22696" i="20"/>
  <c r="A22695" i="20"/>
  <c r="A22694" i="20"/>
  <c r="A22693" i="20"/>
  <c r="A22692" i="20"/>
  <c r="A22691" i="20"/>
  <c r="A22690" i="20"/>
  <c r="A22689" i="20"/>
  <c r="A22688" i="20"/>
  <c r="A22687" i="20"/>
  <c r="A22686" i="20"/>
  <c r="A22685" i="20"/>
  <c r="A22684" i="20"/>
  <c r="A22683" i="20"/>
  <c r="A22682" i="20"/>
  <c r="A22681" i="20"/>
  <c r="A22680" i="20"/>
  <c r="A22679" i="20"/>
  <c r="A22678" i="20"/>
  <c r="A22677" i="20"/>
  <c r="A22676" i="20"/>
  <c r="A22675" i="20"/>
  <c r="A22674" i="20"/>
  <c r="A22673" i="20"/>
  <c r="A22672" i="20"/>
  <c r="A22671" i="20"/>
  <c r="A22670" i="20"/>
  <c r="A22669" i="20"/>
  <c r="A22668" i="20"/>
  <c r="A22667" i="20"/>
  <c r="A22666" i="20"/>
  <c r="A22665" i="20"/>
  <c r="A22664" i="20"/>
  <c r="A22663" i="20"/>
  <c r="A22662" i="20"/>
  <c r="A22661" i="20"/>
  <c r="A22660" i="20"/>
  <c r="A22659" i="20"/>
  <c r="A22658" i="20"/>
  <c r="A22657" i="20"/>
  <c r="A22656" i="20"/>
  <c r="A22655" i="20"/>
  <c r="A22654" i="20"/>
  <c r="A22653" i="20"/>
  <c r="A22652" i="20"/>
  <c r="A22651" i="20"/>
  <c r="A22650" i="20"/>
  <c r="A22649" i="20"/>
  <c r="A22648" i="20"/>
  <c r="A22647" i="20"/>
  <c r="A22646" i="20"/>
  <c r="A22645" i="20"/>
  <c r="A22644" i="20"/>
  <c r="A22643" i="20"/>
  <c r="A22642" i="20"/>
  <c r="A22641" i="20"/>
  <c r="A22640" i="20"/>
  <c r="A22639" i="20"/>
  <c r="A22638" i="20"/>
  <c r="A22637" i="20"/>
  <c r="A22636" i="20"/>
  <c r="A22635" i="20"/>
  <c r="A22634" i="20"/>
  <c r="A22633" i="20"/>
  <c r="A22632" i="20"/>
  <c r="A22631" i="20"/>
  <c r="A22630" i="20"/>
  <c r="A22629" i="20"/>
  <c r="A22628" i="20"/>
  <c r="A22627" i="20"/>
  <c r="A22626" i="20"/>
  <c r="A22625" i="20"/>
  <c r="A22624" i="20"/>
  <c r="A22623" i="20"/>
  <c r="A22622" i="20"/>
  <c r="A22621" i="20"/>
  <c r="A22620" i="20"/>
  <c r="A22619" i="20"/>
  <c r="A22618" i="20"/>
  <c r="A22617" i="20"/>
  <c r="A22616" i="20"/>
  <c r="A22615" i="20"/>
  <c r="A22614" i="20"/>
  <c r="A22613" i="20"/>
  <c r="A22612" i="20"/>
  <c r="A22611" i="20"/>
  <c r="A22610" i="20"/>
  <c r="A22609" i="20"/>
  <c r="A22608" i="20"/>
  <c r="A22607" i="20"/>
  <c r="A22606" i="20"/>
  <c r="A22605" i="20"/>
  <c r="A22604" i="20"/>
  <c r="A22603" i="20"/>
  <c r="A22602" i="20"/>
  <c r="A22601" i="20"/>
  <c r="A22600" i="20"/>
  <c r="A22599" i="20"/>
  <c r="A22598" i="20"/>
  <c r="A22597" i="20"/>
  <c r="A22596" i="20"/>
  <c r="A22595" i="20"/>
  <c r="A22594" i="20"/>
  <c r="A22593" i="20"/>
  <c r="A22592" i="20"/>
  <c r="A22591" i="20"/>
  <c r="A22590" i="20"/>
  <c r="A22589" i="20"/>
  <c r="A22588" i="20"/>
  <c r="A22587" i="20"/>
  <c r="A22586" i="20"/>
  <c r="A22585" i="20"/>
  <c r="A22584" i="20"/>
  <c r="A22583" i="20"/>
  <c r="A22582" i="20"/>
  <c r="A22581" i="20"/>
  <c r="A22580" i="20"/>
  <c r="A22579" i="20"/>
  <c r="A22578" i="20"/>
  <c r="A22577" i="20"/>
  <c r="A22576" i="20"/>
  <c r="A22575" i="20"/>
  <c r="A22574" i="20"/>
  <c r="A22573" i="20"/>
  <c r="A22572" i="20"/>
  <c r="A22571" i="20"/>
  <c r="A22570" i="20"/>
  <c r="A22569" i="20"/>
  <c r="A22568" i="20"/>
  <c r="A22567" i="20"/>
  <c r="A22566" i="20"/>
  <c r="A22565" i="20"/>
  <c r="A22564" i="20"/>
  <c r="A22563" i="20"/>
  <c r="A22562" i="20"/>
  <c r="A22561" i="20"/>
  <c r="A22560" i="20"/>
  <c r="A22559" i="20"/>
  <c r="A22558" i="20"/>
  <c r="A22557" i="20"/>
  <c r="A22556" i="20"/>
  <c r="A22555" i="20"/>
  <c r="A22554" i="20"/>
  <c r="A22553" i="20"/>
  <c r="A22552" i="20"/>
  <c r="A22551" i="20"/>
  <c r="A22550" i="20"/>
  <c r="A22549" i="20"/>
  <c r="A22548" i="20"/>
  <c r="A22547" i="20"/>
  <c r="A22546" i="20"/>
  <c r="A22545" i="20"/>
  <c r="A22544" i="20"/>
  <c r="A22543" i="20"/>
  <c r="A22542" i="20"/>
  <c r="A22541" i="20"/>
  <c r="A22540" i="20"/>
  <c r="A22539" i="20"/>
  <c r="A22538" i="20"/>
  <c r="A22537" i="20"/>
  <c r="A22536" i="20"/>
  <c r="A22535" i="20"/>
  <c r="A22534" i="20"/>
  <c r="A22533" i="20"/>
  <c r="A22532" i="20"/>
  <c r="A22531" i="20"/>
  <c r="A22530" i="20"/>
  <c r="A22529" i="20"/>
  <c r="A22528" i="20"/>
  <c r="A22527" i="20"/>
  <c r="A22526" i="20"/>
  <c r="A22525" i="20"/>
  <c r="A22524" i="20"/>
  <c r="A22523" i="20"/>
  <c r="A22522" i="20"/>
  <c r="A22521" i="20"/>
  <c r="A22520" i="20"/>
  <c r="A22519" i="20"/>
  <c r="A22518" i="20"/>
  <c r="A22517" i="20"/>
  <c r="A22516" i="20"/>
  <c r="A22515" i="20"/>
  <c r="A22514" i="20"/>
  <c r="A22513" i="20"/>
  <c r="A22512" i="20"/>
  <c r="A22511" i="20"/>
  <c r="A22510" i="20"/>
  <c r="A22509" i="20"/>
  <c r="A22508" i="20"/>
  <c r="A22507" i="20"/>
  <c r="A22506" i="20"/>
  <c r="A22505" i="20"/>
  <c r="A22504" i="20"/>
  <c r="A22503" i="20"/>
  <c r="A22502" i="20"/>
  <c r="A22501" i="20"/>
  <c r="A22500" i="20"/>
  <c r="A22499" i="20"/>
  <c r="A22498" i="20"/>
  <c r="A22497" i="20"/>
  <c r="A22496" i="20"/>
  <c r="A22495" i="20"/>
  <c r="A22494" i="20"/>
  <c r="A22493" i="20"/>
  <c r="A22492" i="20"/>
  <c r="A22491" i="20"/>
  <c r="A22490" i="20"/>
  <c r="A22489" i="20"/>
  <c r="A22488" i="20"/>
  <c r="A22487" i="20"/>
  <c r="A22486" i="20"/>
  <c r="A22485" i="20"/>
  <c r="A22484" i="20"/>
  <c r="A22483" i="20"/>
  <c r="A22482" i="20"/>
  <c r="A22481" i="20"/>
  <c r="A22480" i="20"/>
  <c r="A22479" i="20"/>
  <c r="A22478" i="20"/>
  <c r="A22477" i="20"/>
  <c r="A22476" i="20"/>
  <c r="A22475" i="20"/>
  <c r="A22474" i="20"/>
  <c r="A22473" i="20"/>
  <c r="A22472" i="20"/>
  <c r="A22471" i="20"/>
  <c r="A22470" i="20"/>
  <c r="A22469" i="20"/>
  <c r="A22468" i="20"/>
  <c r="A22467" i="20"/>
  <c r="A22466" i="20"/>
  <c r="A22465" i="20"/>
  <c r="A22464" i="20"/>
  <c r="A22463" i="20"/>
  <c r="A22462" i="20"/>
  <c r="A22461" i="20"/>
  <c r="A22460" i="20"/>
  <c r="A22459" i="20"/>
  <c r="A22458" i="20"/>
  <c r="A22457" i="20"/>
  <c r="A22456" i="20"/>
  <c r="A22455" i="20"/>
  <c r="A22454" i="20"/>
  <c r="A22453" i="20"/>
  <c r="A22452" i="20"/>
  <c r="A22451" i="20"/>
  <c r="A22450" i="20"/>
  <c r="A22449" i="20"/>
  <c r="A22448" i="20"/>
  <c r="A22447" i="20"/>
  <c r="A22446" i="20"/>
  <c r="A22445" i="20"/>
  <c r="A22444" i="20"/>
  <c r="A22443" i="20"/>
  <c r="A22442" i="20"/>
  <c r="A22441" i="20"/>
  <c r="A22440" i="20"/>
  <c r="A22439" i="20"/>
  <c r="A22438" i="20"/>
  <c r="A22437" i="20"/>
  <c r="A22436" i="20"/>
  <c r="A22435" i="20"/>
  <c r="A22434" i="20"/>
  <c r="A22433" i="20"/>
  <c r="A22432" i="20"/>
  <c r="A22431" i="20"/>
  <c r="A22430" i="20"/>
  <c r="A22429" i="20"/>
  <c r="A22428" i="20"/>
  <c r="A22427" i="20"/>
  <c r="A22426" i="20"/>
  <c r="A22425" i="20"/>
  <c r="A22424" i="20"/>
  <c r="A22423" i="20"/>
  <c r="A22422" i="20"/>
  <c r="A22421" i="20"/>
  <c r="A22420" i="20"/>
  <c r="A22419" i="20"/>
  <c r="A22418" i="20"/>
  <c r="A22417" i="20"/>
  <c r="A22416" i="20"/>
  <c r="A22415" i="20"/>
  <c r="A22414" i="20"/>
  <c r="A22413" i="20"/>
  <c r="A22412" i="20"/>
  <c r="A22411" i="20"/>
  <c r="A22410" i="20"/>
  <c r="A22409" i="20"/>
  <c r="A22408" i="20"/>
  <c r="A22407" i="20"/>
  <c r="A22406" i="20"/>
  <c r="A22405" i="20"/>
  <c r="A22404" i="20"/>
  <c r="A22403" i="20"/>
  <c r="A22402" i="20"/>
  <c r="A22401" i="20"/>
  <c r="A22400" i="20"/>
  <c r="A22399" i="20"/>
  <c r="A22398" i="20"/>
  <c r="A22397" i="20"/>
  <c r="A22396" i="20"/>
  <c r="A22395" i="20"/>
  <c r="A22394" i="20"/>
  <c r="A22393" i="20"/>
  <c r="A22392" i="20"/>
  <c r="A22391" i="20"/>
  <c r="A22390" i="20"/>
  <c r="A22389" i="20"/>
  <c r="A22388" i="20"/>
  <c r="A22387" i="20"/>
  <c r="A22386" i="20"/>
  <c r="A22385" i="20"/>
  <c r="A22384" i="20"/>
  <c r="A22383" i="20"/>
  <c r="A22382" i="20"/>
  <c r="A22381" i="20"/>
  <c r="A22380" i="20"/>
  <c r="A22379" i="20"/>
  <c r="A22378" i="20"/>
  <c r="A22377" i="20"/>
  <c r="A22376" i="20"/>
  <c r="A22375" i="20"/>
  <c r="A22374" i="20"/>
  <c r="A22373" i="20"/>
  <c r="A22372" i="20"/>
  <c r="A22371" i="20"/>
  <c r="A22370" i="20"/>
  <c r="A22369" i="20"/>
  <c r="A22368" i="20"/>
  <c r="A22367" i="20"/>
  <c r="A22366" i="20"/>
  <c r="A22365" i="20"/>
  <c r="A22364" i="20"/>
  <c r="A22363" i="20"/>
  <c r="A22362" i="20"/>
  <c r="A22361" i="20"/>
  <c r="A22360" i="20"/>
  <c r="A22359" i="20"/>
  <c r="A22358" i="20"/>
  <c r="A22357" i="20"/>
  <c r="A22356" i="20"/>
  <c r="A22355" i="20"/>
  <c r="A22354" i="20"/>
  <c r="A22353" i="20"/>
  <c r="A22352" i="20"/>
  <c r="A22351" i="20"/>
  <c r="A22350" i="20"/>
  <c r="A22349" i="20"/>
  <c r="A22348" i="20"/>
  <c r="A22347" i="20"/>
  <c r="A22346" i="20"/>
  <c r="A22345" i="20"/>
  <c r="A22344" i="20"/>
  <c r="A22343" i="20"/>
  <c r="A22342" i="20"/>
  <c r="A22341" i="20"/>
  <c r="A22340" i="20"/>
  <c r="A22339" i="20"/>
  <c r="A22338" i="20"/>
  <c r="A22337" i="20"/>
  <c r="A22336" i="20"/>
  <c r="A22335" i="20"/>
  <c r="A22334" i="20"/>
  <c r="A22333" i="20"/>
  <c r="A22332" i="20"/>
  <c r="A22331" i="20"/>
  <c r="A22330" i="20"/>
  <c r="A22329" i="20"/>
  <c r="A22328" i="20"/>
  <c r="A22327" i="20"/>
  <c r="A22326" i="20"/>
  <c r="A22325" i="20"/>
  <c r="A22324" i="20"/>
  <c r="A22323" i="20"/>
  <c r="A22322" i="20"/>
  <c r="A22321" i="20"/>
  <c r="A22320" i="20"/>
  <c r="A22319" i="20"/>
  <c r="A22318" i="20"/>
  <c r="A22317" i="20"/>
  <c r="A22316" i="20"/>
  <c r="A22315" i="20"/>
  <c r="A22314" i="20"/>
  <c r="A22313" i="20"/>
  <c r="A22312" i="20"/>
  <c r="A22311" i="20"/>
  <c r="A22310" i="20"/>
  <c r="A22309" i="20"/>
  <c r="A22308" i="20"/>
  <c r="A22307" i="20"/>
  <c r="A22306" i="20"/>
  <c r="A22305" i="20"/>
  <c r="A22304" i="20"/>
  <c r="A22303" i="20"/>
  <c r="A22302" i="20"/>
  <c r="A22301" i="20"/>
  <c r="A22300" i="20"/>
  <c r="A22299" i="20"/>
  <c r="A22298" i="20"/>
  <c r="A22297" i="20"/>
  <c r="A22296" i="20"/>
  <c r="A22295" i="20"/>
  <c r="A22294" i="20"/>
  <c r="A22293" i="20"/>
  <c r="A22292" i="20"/>
  <c r="A22291" i="20"/>
  <c r="A22290" i="20"/>
  <c r="A22289" i="20"/>
  <c r="A22288" i="20"/>
  <c r="A22287" i="20"/>
  <c r="A22286" i="20"/>
  <c r="A22285" i="20"/>
  <c r="A22284" i="20"/>
  <c r="A22283" i="20"/>
  <c r="A22282" i="20"/>
  <c r="A22281" i="20"/>
  <c r="A22280" i="20"/>
  <c r="A22279" i="20"/>
  <c r="A22278" i="20"/>
  <c r="A22277" i="20"/>
  <c r="A22276" i="20"/>
  <c r="A22275" i="20"/>
  <c r="A22274" i="20"/>
  <c r="A22273" i="20"/>
  <c r="A22272" i="20"/>
  <c r="A22271" i="20"/>
  <c r="A22270" i="20"/>
  <c r="A22269" i="20"/>
  <c r="A22268" i="20"/>
  <c r="A22267" i="20"/>
  <c r="A22266" i="20"/>
  <c r="A22265" i="20"/>
  <c r="A22264" i="20"/>
  <c r="A22263" i="20"/>
  <c r="A22262" i="20"/>
  <c r="A22261" i="20"/>
  <c r="A22260" i="20"/>
  <c r="A22259" i="20"/>
  <c r="A22258" i="20"/>
  <c r="A22257" i="20"/>
  <c r="A22256" i="20"/>
  <c r="A22255" i="20"/>
  <c r="A22254" i="20"/>
  <c r="A22253" i="20"/>
  <c r="A22252" i="20"/>
  <c r="A22251" i="20"/>
  <c r="A22250" i="20"/>
  <c r="A22249" i="20"/>
  <c r="A22248" i="20"/>
  <c r="A22247" i="20"/>
  <c r="A22246" i="20"/>
  <c r="A22245" i="20"/>
  <c r="A22244" i="20"/>
  <c r="A22243" i="20"/>
  <c r="A22242" i="20"/>
  <c r="A22241" i="20"/>
  <c r="A22240" i="20"/>
  <c r="A22239" i="20"/>
  <c r="A22238" i="20"/>
  <c r="A22237" i="20"/>
  <c r="A22236" i="20"/>
  <c r="A22235" i="20"/>
  <c r="A22234" i="20"/>
  <c r="A22233" i="20"/>
  <c r="A22232" i="20"/>
  <c r="A22231" i="20"/>
  <c r="A22230" i="20"/>
  <c r="A22229" i="20"/>
  <c r="A22228" i="20"/>
  <c r="A22227" i="20"/>
  <c r="A22226" i="20"/>
  <c r="A22225" i="20"/>
  <c r="A22224" i="20"/>
  <c r="A22223" i="20"/>
  <c r="A22222" i="20"/>
  <c r="A22221" i="20"/>
  <c r="A22220" i="20"/>
  <c r="A22219" i="20"/>
  <c r="A22218" i="20"/>
  <c r="A22217" i="20"/>
  <c r="A22216" i="20"/>
  <c r="A22215" i="20"/>
  <c r="A22214" i="20"/>
  <c r="A22213" i="20"/>
  <c r="A22212" i="20"/>
  <c r="A22211" i="20"/>
  <c r="A22210" i="20"/>
  <c r="A22209" i="20"/>
  <c r="A22208" i="20"/>
  <c r="A22207" i="20"/>
  <c r="A22206" i="20"/>
  <c r="A22205" i="20"/>
  <c r="A22204" i="20"/>
  <c r="A22203" i="20"/>
  <c r="A22202" i="20"/>
  <c r="A22201" i="20"/>
  <c r="A22200" i="20"/>
  <c r="A22199" i="20"/>
  <c r="A22198" i="20"/>
  <c r="A22197" i="20"/>
  <c r="A22196" i="20"/>
  <c r="A22195" i="20"/>
  <c r="A22194" i="20"/>
  <c r="A22193" i="20"/>
  <c r="A22192" i="20"/>
  <c r="A22191" i="20"/>
  <c r="A22190" i="20"/>
  <c r="A22189" i="20"/>
  <c r="A22188" i="20"/>
  <c r="A22187" i="20"/>
  <c r="A22186" i="20"/>
  <c r="A22185" i="20"/>
  <c r="A22184" i="20"/>
  <c r="A22183" i="20"/>
  <c r="A22182" i="20"/>
  <c r="A22181" i="20"/>
  <c r="A22180" i="20"/>
  <c r="A22179" i="20"/>
  <c r="A22178" i="20"/>
  <c r="A22177" i="20"/>
  <c r="A22176" i="20"/>
  <c r="A22175" i="20"/>
  <c r="A22174" i="20"/>
  <c r="A22173" i="20"/>
  <c r="A22172" i="20"/>
  <c r="A22171" i="20"/>
  <c r="A22170" i="20"/>
  <c r="A22169" i="20"/>
  <c r="A22168" i="20"/>
  <c r="A22167" i="20"/>
  <c r="A22166" i="20"/>
  <c r="A22165" i="20"/>
  <c r="A22164" i="20"/>
  <c r="A22163" i="20"/>
  <c r="A22162" i="20"/>
  <c r="A22161" i="20"/>
  <c r="A22160" i="20"/>
  <c r="A22159" i="20"/>
  <c r="A22158" i="20"/>
  <c r="A22157" i="20"/>
  <c r="A22156" i="20"/>
  <c r="A22155" i="20"/>
  <c r="A22154" i="20"/>
  <c r="A22153" i="20"/>
  <c r="A22152" i="20"/>
  <c r="A22151" i="20"/>
  <c r="A22150" i="20"/>
  <c r="A22149" i="20"/>
  <c r="A22148" i="20"/>
  <c r="A22147" i="20"/>
  <c r="A22146" i="20"/>
  <c r="A22145" i="20"/>
  <c r="A22144" i="20"/>
  <c r="A22143" i="20"/>
  <c r="A22142" i="20"/>
  <c r="A22141" i="20"/>
  <c r="A22140" i="20"/>
  <c r="A22139" i="20"/>
  <c r="A22138" i="20"/>
  <c r="A22137" i="20"/>
  <c r="A22136" i="20"/>
  <c r="A22135" i="20"/>
  <c r="A22134" i="20"/>
  <c r="A22133" i="20"/>
  <c r="A22132" i="20"/>
  <c r="A22131" i="20"/>
  <c r="A22130" i="20"/>
  <c r="A22129" i="20"/>
  <c r="A22128" i="20"/>
  <c r="A22127" i="20"/>
  <c r="A22126" i="20"/>
  <c r="A22125" i="20"/>
  <c r="A22124" i="20"/>
  <c r="A22123" i="20"/>
  <c r="A22122" i="20"/>
  <c r="A22121" i="20"/>
  <c r="A22120" i="20"/>
  <c r="A22119" i="20"/>
  <c r="A22118" i="20"/>
  <c r="A22117" i="20"/>
  <c r="A22116" i="20"/>
  <c r="A22115" i="20"/>
  <c r="A22114" i="20"/>
  <c r="A22113" i="20"/>
  <c r="A22112" i="20"/>
  <c r="A22111" i="20"/>
  <c r="A22110" i="20"/>
  <c r="A22109" i="20"/>
  <c r="A22108" i="20"/>
  <c r="A22107" i="20"/>
  <c r="A22106" i="20"/>
  <c r="A22105" i="20"/>
  <c r="A22104" i="20"/>
  <c r="A22103" i="20"/>
  <c r="A22102" i="20"/>
  <c r="A22101" i="20"/>
  <c r="A22100" i="20"/>
  <c r="A22099" i="20"/>
  <c r="A22098" i="20"/>
  <c r="A22097" i="20"/>
  <c r="A22096" i="20"/>
  <c r="A22095" i="20"/>
  <c r="A22094" i="20"/>
  <c r="A22093" i="20"/>
  <c r="A22092" i="20"/>
  <c r="A22091" i="20"/>
  <c r="A22090" i="20"/>
  <c r="A22089" i="20"/>
  <c r="A22088" i="20"/>
  <c r="A22087" i="20"/>
  <c r="A22086" i="20"/>
  <c r="A22085" i="20"/>
  <c r="A22084" i="20"/>
  <c r="A22083" i="20"/>
  <c r="A22082" i="20"/>
  <c r="A22081" i="20"/>
  <c r="A22080" i="20"/>
  <c r="A22079" i="20"/>
  <c r="A22078" i="20"/>
  <c r="A22077" i="20"/>
  <c r="A22076" i="20"/>
  <c r="A22075" i="20"/>
  <c r="A22074" i="20"/>
  <c r="A22073" i="20"/>
  <c r="A22072" i="20"/>
  <c r="A22071" i="20"/>
  <c r="A22070" i="20"/>
  <c r="A22069" i="20"/>
  <c r="A22068" i="20"/>
  <c r="A22067" i="20"/>
  <c r="A22066" i="20"/>
  <c r="A22065" i="20"/>
  <c r="A22064" i="20"/>
  <c r="A22063" i="20"/>
  <c r="A22062" i="20"/>
  <c r="A22061" i="20"/>
  <c r="A22060" i="20"/>
  <c r="A22059" i="20"/>
  <c r="A22058" i="20"/>
  <c r="A22057" i="20"/>
  <c r="A22056" i="20"/>
  <c r="A22055" i="20"/>
  <c r="A22054" i="20"/>
  <c r="A22053" i="20"/>
  <c r="A22052" i="20"/>
  <c r="A22051" i="20"/>
  <c r="A22050" i="20"/>
  <c r="A22049" i="20"/>
  <c r="A22048" i="20"/>
  <c r="A22047" i="20"/>
  <c r="A22046" i="20"/>
  <c r="A22045" i="20"/>
  <c r="A22044" i="20"/>
  <c r="A22043" i="20"/>
  <c r="A22042" i="20"/>
  <c r="A22041" i="20"/>
  <c r="A22040" i="20"/>
  <c r="A22039" i="20"/>
  <c r="A22038" i="20"/>
  <c r="A22037" i="20"/>
  <c r="A22036" i="20"/>
  <c r="A22035" i="20"/>
  <c r="A22034" i="20"/>
  <c r="A22033" i="20"/>
  <c r="A22032" i="20"/>
  <c r="A22031" i="20"/>
  <c r="A22030" i="20"/>
  <c r="A22029" i="20"/>
  <c r="A22028" i="20"/>
  <c r="A22027" i="20"/>
  <c r="A22026" i="20"/>
  <c r="A22025" i="20"/>
  <c r="A22024" i="20"/>
  <c r="A22023" i="20"/>
  <c r="A22022" i="20"/>
  <c r="A22021" i="20"/>
  <c r="A22020" i="20"/>
  <c r="A22019" i="20"/>
  <c r="A22018" i="20"/>
  <c r="A22017" i="20"/>
  <c r="A22016" i="20"/>
  <c r="A22015" i="20"/>
  <c r="A22014" i="20"/>
  <c r="A22013" i="20"/>
  <c r="A22012" i="20"/>
  <c r="A22011" i="20"/>
  <c r="A22010" i="20"/>
  <c r="A22009" i="20"/>
  <c r="A22008" i="20"/>
  <c r="A22007" i="20"/>
  <c r="A22006" i="20"/>
  <c r="A22005" i="20"/>
  <c r="A22004" i="20"/>
  <c r="A22003" i="20"/>
  <c r="A22002" i="20"/>
  <c r="A22001" i="20"/>
  <c r="A22000" i="20"/>
  <c r="A21999" i="20"/>
  <c r="A21998" i="20"/>
  <c r="A21997" i="20"/>
  <c r="A21996" i="20"/>
  <c r="A21995" i="20"/>
  <c r="A21994" i="20"/>
  <c r="A21993" i="20"/>
  <c r="A21992" i="20"/>
  <c r="A21991" i="20"/>
  <c r="A21990" i="20"/>
  <c r="A21989" i="20"/>
  <c r="A21988" i="20"/>
  <c r="A21987" i="20"/>
  <c r="A21986" i="20"/>
  <c r="A21985" i="20"/>
  <c r="A21984" i="20"/>
  <c r="A21983" i="20"/>
  <c r="A21982" i="20"/>
  <c r="A21981" i="20"/>
  <c r="A21980" i="20"/>
  <c r="A21979" i="20"/>
  <c r="A21978" i="20"/>
  <c r="A21977" i="20"/>
  <c r="A21976" i="20"/>
  <c r="A21975" i="20"/>
  <c r="A21974" i="20"/>
  <c r="A21973" i="20"/>
  <c r="A21972" i="20"/>
  <c r="A21971" i="20"/>
  <c r="A21970" i="20"/>
  <c r="A21969" i="20"/>
  <c r="A21968" i="20"/>
  <c r="A21967" i="20"/>
  <c r="A21966" i="20"/>
  <c r="A21965" i="20"/>
  <c r="A21964" i="20"/>
  <c r="A21963" i="20"/>
  <c r="A21962" i="20"/>
  <c r="A21961" i="20"/>
  <c r="A21960" i="20"/>
  <c r="A21959" i="20"/>
  <c r="A21958" i="20"/>
  <c r="A21957" i="20"/>
  <c r="A21956" i="20"/>
  <c r="A21955" i="20"/>
  <c r="A21954" i="20"/>
  <c r="A21953" i="20"/>
  <c r="A21952" i="20"/>
  <c r="A21951" i="20"/>
  <c r="A21950" i="20"/>
  <c r="A21949" i="20"/>
  <c r="A21948" i="20"/>
  <c r="A21947" i="20"/>
  <c r="A21946" i="20"/>
  <c r="A21945" i="20"/>
  <c r="A21944" i="20"/>
  <c r="A21943" i="20"/>
  <c r="A21942" i="20"/>
  <c r="A21941" i="20"/>
  <c r="A21940" i="20"/>
  <c r="A21939" i="20"/>
  <c r="A21938" i="20"/>
  <c r="A21937" i="20"/>
  <c r="A21936" i="20"/>
  <c r="A21935" i="20"/>
  <c r="A21934" i="20"/>
  <c r="A21933" i="20"/>
  <c r="A21932" i="20"/>
  <c r="A21931" i="20"/>
  <c r="A21930" i="20"/>
  <c r="A21929" i="20"/>
  <c r="A21928" i="20"/>
  <c r="A21927" i="20"/>
  <c r="A21926" i="20"/>
  <c r="A21925" i="20"/>
  <c r="A21924" i="20"/>
  <c r="A21923" i="20"/>
  <c r="A21922" i="20"/>
  <c r="A21921" i="20"/>
  <c r="A21920" i="20"/>
  <c r="A21919" i="20"/>
  <c r="A21918" i="20"/>
  <c r="A21917" i="20"/>
  <c r="A21916" i="20"/>
  <c r="A21915" i="20"/>
  <c r="A21914" i="20"/>
  <c r="A21913" i="20"/>
  <c r="A21912" i="20"/>
  <c r="A21911" i="20"/>
  <c r="A21910" i="20"/>
  <c r="A21909" i="20"/>
  <c r="A21908" i="20"/>
  <c r="A21907" i="20"/>
  <c r="A21906" i="20"/>
  <c r="A21905" i="20"/>
  <c r="A21904" i="20"/>
  <c r="A21903" i="20"/>
  <c r="A21902" i="20"/>
  <c r="A21901" i="20"/>
  <c r="A21900" i="20"/>
  <c r="A21899" i="20"/>
  <c r="A21898" i="20"/>
  <c r="A21897" i="20"/>
  <c r="A21896" i="20"/>
  <c r="A21895" i="20"/>
  <c r="A21894" i="20"/>
  <c r="A21893" i="20"/>
  <c r="A21892" i="20"/>
  <c r="A21891" i="20"/>
  <c r="A21890" i="20"/>
  <c r="A21889" i="20"/>
  <c r="A21888" i="20"/>
  <c r="A21887" i="20"/>
  <c r="A21886" i="20"/>
  <c r="A21885" i="20"/>
  <c r="A21884" i="20"/>
  <c r="A21883" i="20"/>
  <c r="A21882" i="20"/>
  <c r="A21881" i="20"/>
  <c r="A21880" i="20"/>
  <c r="A21879" i="20"/>
  <c r="A21878" i="20"/>
  <c r="A21877" i="20"/>
  <c r="A21876" i="20"/>
  <c r="A21875" i="20"/>
  <c r="A21874" i="20"/>
  <c r="A21873" i="20"/>
  <c r="A21872" i="20"/>
  <c r="A21871" i="20"/>
  <c r="A21870" i="20"/>
  <c r="A21869" i="20"/>
  <c r="A21868" i="20"/>
  <c r="A21867" i="20"/>
  <c r="A21866" i="20"/>
  <c r="A21865" i="20"/>
  <c r="A21864" i="20"/>
  <c r="A21863" i="20"/>
  <c r="A21862" i="20"/>
  <c r="A21861" i="20"/>
  <c r="A21860" i="20"/>
  <c r="A21859" i="20"/>
  <c r="A21858" i="20"/>
  <c r="A21857" i="20"/>
  <c r="A21856" i="20"/>
  <c r="A21855" i="20"/>
  <c r="A21854" i="20"/>
  <c r="A21853" i="20"/>
  <c r="A21852" i="20"/>
  <c r="A21851" i="20"/>
  <c r="A21850" i="20"/>
  <c r="A21849" i="20"/>
  <c r="A21848" i="20"/>
  <c r="A21847" i="20"/>
  <c r="A21846" i="20"/>
  <c r="A21845" i="20"/>
  <c r="A21844" i="20"/>
  <c r="A21843" i="20"/>
  <c r="A21842" i="20"/>
  <c r="A21841" i="20"/>
  <c r="A21840" i="20"/>
  <c r="A21839" i="20"/>
  <c r="A21838" i="20"/>
  <c r="A21837" i="20"/>
  <c r="A21836" i="20"/>
  <c r="A21835" i="20"/>
  <c r="A21834" i="20"/>
  <c r="A21833" i="20"/>
  <c r="A21832" i="20"/>
  <c r="A21831" i="20"/>
  <c r="A21830" i="20"/>
  <c r="A21829" i="20"/>
  <c r="A21828" i="20"/>
  <c r="A21827" i="20"/>
  <c r="A21826" i="20"/>
  <c r="A21825" i="20"/>
  <c r="A21824" i="20"/>
  <c r="A21823" i="20"/>
  <c r="A21822" i="20"/>
  <c r="A21821" i="20"/>
  <c r="A21820" i="20"/>
  <c r="A21819" i="20"/>
  <c r="A21818" i="20"/>
  <c r="A21817" i="20"/>
  <c r="A21816" i="20"/>
  <c r="A21815" i="20"/>
  <c r="A21814" i="20"/>
  <c r="A21813" i="20"/>
  <c r="A21812" i="20"/>
  <c r="A21811" i="20"/>
  <c r="A21810" i="20"/>
  <c r="A21809" i="20"/>
  <c r="A21808" i="20"/>
  <c r="A21807" i="20"/>
  <c r="A21806" i="20"/>
  <c r="A21805" i="20"/>
  <c r="A21804" i="20"/>
  <c r="A21803" i="20"/>
  <c r="A21802" i="20"/>
  <c r="A21801" i="20"/>
  <c r="A21800" i="20"/>
  <c r="A21799" i="20"/>
  <c r="A21798" i="20"/>
  <c r="A21797" i="20"/>
  <c r="A21796" i="20"/>
  <c r="A21795" i="20"/>
  <c r="A21794" i="20"/>
  <c r="A21793" i="20"/>
  <c r="A21792" i="20"/>
  <c r="A21791" i="20"/>
  <c r="A21790" i="20"/>
  <c r="A21789" i="20"/>
  <c r="A21788" i="20"/>
  <c r="A21787" i="20"/>
  <c r="A21786" i="20"/>
  <c r="A21785" i="20"/>
  <c r="A21784" i="20"/>
  <c r="A21783" i="20"/>
  <c r="A21782" i="20"/>
  <c r="A21781" i="20"/>
  <c r="A21780" i="20"/>
  <c r="A21779" i="20"/>
  <c r="A21778" i="20"/>
  <c r="A21777" i="20"/>
  <c r="A21776" i="20"/>
  <c r="A21775" i="20"/>
  <c r="A21774" i="20"/>
  <c r="A21773" i="20"/>
  <c r="A21772" i="20"/>
  <c r="A21771" i="20"/>
  <c r="A21770" i="20"/>
  <c r="A21769" i="20"/>
  <c r="A21768" i="20"/>
  <c r="A21767" i="20"/>
  <c r="A21766" i="20"/>
  <c r="A21765" i="20"/>
  <c r="A21764" i="20"/>
  <c r="A21763" i="20"/>
  <c r="A21762" i="20"/>
  <c r="A21761" i="20"/>
  <c r="A21760" i="20"/>
  <c r="A21759" i="20"/>
  <c r="A21758" i="20"/>
  <c r="A21757" i="20"/>
  <c r="A21756" i="20"/>
  <c r="A21755" i="20"/>
  <c r="A21754" i="20"/>
  <c r="A21753" i="20"/>
  <c r="A21752" i="20"/>
  <c r="A21751" i="20"/>
  <c r="A21750" i="20"/>
  <c r="A21749" i="20"/>
  <c r="A21748" i="20"/>
  <c r="A21747" i="20"/>
  <c r="A21746" i="20"/>
  <c r="A21745" i="20"/>
  <c r="A21744" i="20"/>
  <c r="A21743" i="20"/>
  <c r="A21742" i="20"/>
  <c r="A21741" i="20"/>
  <c r="A21740" i="20"/>
  <c r="A21739" i="20"/>
  <c r="A21738" i="20"/>
  <c r="A21737" i="20"/>
  <c r="A21736" i="20"/>
  <c r="A21735" i="20"/>
  <c r="A21734" i="20"/>
  <c r="A21733" i="20"/>
  <c r="A21732" i="20"/>
  <c r="A21731" i="20"/>
  <c r="A21730" i="20"/>
  <c r="A21729" i="20"/>
  <c r="A21728" i="20"/>
  <c r="A21727" i="20"/>
  <c r="A21726" i="20"/>
  <c r="A21725" i="20"/>
  <c r="A21724" i="20"/>
  <c r="A21723" i="20"/>
  <c r="A21722" i="20"/>
  <c r="A21721" i="20"/>
  <c r="A21720" i="20"/>
  <c r="A21719" i="20"/>
  <c r="A21718" i="20"/>
  <c r="A21717" i="20"/>
  <c r="A21716" i="20"/>
  <c r="A21715" i="20"/>
  <c r="A21714" i="20"/>
  <c r="A21713" i="20"/>
  <c r="A21712" i="20"/>
  <c r="A21711" i="20"/>
  <c r="A21710" i="20"/>
  <c r="A21709" i="20"/>
  <c r="A21708" i="20"/>
  <c r="A21707" i="20"/>
  <c r="A21706" i="20"/>
  <c r="A21705" i="20"/>
  <c r="A21704" i="20"/>
  <c r="A21703" i="20"/>
  <c r="A21702" i="20"/>
  <c r="A21701" i="20"/>
  <c r="A21700" i="20"/>
  <c r="A21699" i="20"/>
  <c r="A21698" i="20"/>
  <c r="A21697" i="20"/>
  <c r="A21696" i="20"/>
  <c r="A21695" i="20"/>
  <c r="A21694" i="20"/>
  <c r="A21693" i="20"/>
  <c r="A21692" i="20"/>
  <c r="A21691" i="20"/>
  <c r="A21690" i="20"/>
  <c r="A21689" i="20"/>
  <c r="A21688" i="20"/>
  <c r="A21687" i="20"/>
  <c r="A21686" i="20"/>
  <c r="A21685" i="20"/>
  <c r="A21684" i="20"/>
  <c r="A21683" i="20"/>
  <c r="A21682" i="20"/>
  <c r="A21681" i="20"/>
  <c r="A21680" i="20"/>
  <c r="A21679" i="20"/>
  <c r="A21678" i="20"/>
  <c r="A21677" i="20"/>
  <c r="A21676" i="20"/>
  <c r="A21675" i="20"/>
  <c r="A21674" i="20"/>
  <c r="A21673" i="20"/>
  <c r="A21672" i="20"/>
  <c r="A21671" i="20"/>
  <c r="A21670" i="20"/>
  <c r="A21669" i="20"/>
  <c r="A21668" i="20"/>
  <c r="A21667" i="20"/>
  <c r="A21666" i="20"/>
  <c r="A21665" i="20"/>
  <c r="A21664" i="20"/>
  <c r="A21663" i="20"/>
  <c r="A21662" i="20"/>
  <c r="A21661" i="20"/>
  <c r="A21660" i="20"/>
  <c r="A21659" i="20"/>
  <c r="A21658" i="20"/>
  <c r="A21657" i="20"/>
  <c r="A21656" i="20"/>
  <c r="A21655" i="20"/>
  <c r="A21654" i="20"/>
  <c r="A21653" i="20"/>
  <c r="A21652" i="20"/>
  <c r="A21651" i="20"/>
  <c r="A21650" i="20"/>
  <c r="A21649" i="20"/>
  <c r="A21648" i="20"/>
  <c r="A21647" i="20"/>
  <c r="A21646" i="20"/>
  <c r="A21645" i="20"/>
  <c r="A21644" i="20"/>
  <c r="A21643" i="20"/>
  <c r="A21642" i="20"/>
  <c r="A21641" i="20"/>
  <c r="A21640" i="20"/>
  <c r="A21639" i="20"/>
  <c r="A21638" i="20"/>
  <c r="A21637" i="20"/>
  <c r="A21636" i="20"/>
  <c r="A21635" i="20"/>
  <c r="A21634" i="20"/>
  <c r="A21633" i="20"/>
  <c r="A21632" i="20"/>
  <c r="A21631" i="20"/>
  <c r="A21630" i="20"/>
  <c r="A21629" i="20"/>
  <c r="A21628" i="20"/>
  <c r="A21627" i="20"/>
  <c r="A21626" i="20"/>
  <c r="A21625" i="20"/>
  <c r="A21624" i="20"/>
  <c r="A21623" i="20"/>
  <c r="A21622" i="20"/>
  <c r="A21621" i="20"/>
  <c r="A21620" i="20"/>
  <c r="A21619" i="20"/>
  <c r="A21618" i="20"/>
  <c r="A21617" i="20"/>
  <c r="A21616" i="20"/>
  <c r="A21615" i="20"/>
  <c r="A21614" i="20"/>
  <c r="A21613" i="20"/>
  <c r="A21612" i="20"/>
  <c r="A21611" i="20"/>
  <c r="A21610" i="20"/>
  <c r="A21609" i="20"/>
  <c r="A21608" i="20"/>
  <c r="A21607" i="20"/>
  <c r="A21606" i="20"/>
  <c r="A21605" i="20"/>
  <c r="A21604" i="20"/>
  <c r="A21603" i="20"/>
  <c r="A21602" i="20"/>
  <c r="A21601" i="20"/>
  <c r="A21600" i="20"/>
  <c r="A21599" i="20"/>
  <c r="A21598" i="20"/>
  <c r="A21597" i="20"/>
  <c r="A21596" i="20"/>
  <c r="A21595" i="20"/>
  <c r="A21594" i="20"/>
  <c r="A21593" i="20"/>
  <c r="A21592" i="20"/>
  <c r="A21591" i="20"/>
  <c r="A21590" i="20"/>
  <c r="A21589" i="20"/>
  <c r="A21588" i="20"/>
  <c r="A21587" i="20"/>
  <c r="A21586" i="20"/>
  <c r="A21585" i="20"/>
  <c r="A21584" i="20"/>
  <c r="A21583" i="20"/>
  <c r="A21582" i="20"/>
  <c r="A21581" i="20"/>
  <c r="A21580" i="20"/>
  <c r="A21579" i="20"/>
  <c r="A21578" i="20"/>
  <c r="A21577" i="20"/>
  <c r="A21576" i="20"/>
  <c r="A21575" i="20"/>
  <c r="A21574" i="20"/>
  <c r="A21573" i="20"/>
  <c r="A21572" i="20"/>
  <c r="A21571" i="20"/>
  <c r="A21570" i="20"/>
  <c r="A21569" i="20"/>
  <c r="A21568" i="20"/>
  <c r="A21567" i="20"/>
  <c r="A21566" i="20"/>
  <c r="A21565" i="20"/>
  <c r="A21564" i="20"/>
  <c r="A21563" i="20"/>
  <c r="A21562" i="20"/>
  <c r="A21561" i="20"/>
  <c r="A21560" i="20"/>
  <c r="A21559" i="20"/>
  <c r="A21558" i="20"/>
  <c r="A21557" i="20"/>
  <c r="A21556" i="20"/>
  <c r="A21555" i="20"/>
  <c r="A21554" i="20"/>
  <c r="A21553" i="20"/>
  <c r="A21552" i="20"/>
  <c r="A21551" i="20"/>
  <c r="A21550" i="20"/>
  <c r="A21549" i="20"/>
  <c r="A21548" i="20"/>
  <c r="A21547" i="20"/>
  <c r="A21546" i="20"/>
  <c r="A21545" i="20"/>
  <c r="A21544" i="20"/>
  <c r="A21543" i="20"/>
  <c r="A21542" i="20"/>
  <c r="A21541" i="20"/>
  <c r="A21540" i="20"/>
  <c r="A21539" i="20"/>
  <c r="A21538" i="20"/>
  <c r="A21537" i="20"/>
  <c r="A21536" i="20"/>
  <c r="A21535" i="20"/>
  <c r="A21534" i="20"/>
  <c r="A21533" i="20"/>
  <c r="A21532" i="20"/>
  <c r="A21531" i="20"/>
  <c r="A21530" i="20"/>
  <c r="A21529" i="20"/>
  <c r="A21528" i="20"/>
  <c r="A21527" i="20"/>
  <c r="A21526" i="20"/>
  <c r="A21525" i="20"/>
  <c r="A21524" i="20"/>
  <c r="A21523" i="20"/>
  <c r="A21522" i="20"/>
  <c r="A21521" i="20"/>
  <c r="A21520" i="20"/>
  <c r="A21519" i="20"/>
  <c r="A21518" i="20"/>
  <c r="A21517" i="20"/>
  <c r="A21516" i="20"/>
  <c r="A21515" i="20"/>
  <c r="A21514" i="20"/>
  <c r="A21513" i="20"/>
  <c r="A21512" i="20"/>
  <c r="A21511" i="20"/>
  <c r="A21510" i="20"/>
  <c r="A21509" i="20"/>
  <c r="A21508" i="20"/>
  <c r="A21507" i="20"/>
  <c r="A21506" i="20"/>
  <c r="A21505" i="20"/>
  <c r="A21504" i="20"/>
  <c r="A21503" i="20"/>
  <c r="A21502" i="20"/>
  <c r="A21501" i="20"/>
  <c r="A21500" i="20"/>
  <c r="A21499" i="20"/>
  <c r="A21498" i="20"/>
  <c r="A21497" i="20"/>
  <c r="A21496" i="20"/>
  <c r="A21495" i="20"/>
  <c r="A21494" i="20"/>
  <c r="A21493" i="20"/>
  <c r="A21492" i="20"/>
  <c r="A21491" i="20"/>
  <c r="A21490" i="20"/>
  <c r="A21489" i="20"/>
  <c r="A21488" i="20"/>
  <c r="A21487" i="20"/>
  <c r="A21486" i="20"/>
  <c r="A21485" i="20"/>
  <c r="A21484" i="20"/>
  <c r="A21483" i="20"/>
  <c r="A21482" i="20"/>
  <c r="A21481" i="20"/>
  <c r="A21480" i="20"/>
  <c r="A21479" i="20"/>
  <c r="A21478" i="20"/>
  <c r="A21477" i="20"/>
  <c r="A21476" i="20"/>
  <c r="A21475" i="20"/>
  <c r="A21474" i="20"/>
  <c r="A21473" i="20"/>
  <c r="A21472" i="20"/>
  <c r="A21471" i="20"/>
  <c r="A21470" i="20"/>
  <c r="A21469" i="20"/>
  <c r="A21468" i="20"/>
  <c r="A21467" i="20"/>
  <c r="A21466" i="20"/>
  <c r="A21465" i="20"/>
  <c r="A21464" i="20"/>
  <c r="A21463" i="20"/>
  <c r="A21462" i="20"/>
  <c r="A21461" i="20"/>
  <c r="A21460" i="20"/>
  <c r="A21459" i="20"/>
  <c r="A21458" i="20"/>
  <c r="A21457" i="20"/>
  <c r="A21456" i="20"/>
  <c r="A21455" i="20"/>
  <c r="A21454" i="20"/>
  <c r="A21453" i="20"/>
  <c r="A21452" i="20"/>
  <c r="A21451" i="20"/>
  <c r="A21450" i="20"/>
  <c r="A21449" i="20"/>
  <c r="A21448" i="20"/>
  <c r="A21447" i="20"/>
  <c r="A21446" i="20"/>
  <c r="A21445" i="20"/>
  <c r="A21444" i="20"/>
  <c r="A21443" i="20"/>
  <c r="A21442" i="20"/>
  <c r="A21441" i="20"/>
  <c r="A21440" i="20"/>
  <c r="A21439" i="20"/>
  <c r="A21438" i="20"/>
  <c r="A21437" i="20"/>
  <c r="A21436" i="20"/>
  <c r="A21435" i="20"/>
  <c r="A21434" i="20"/>
  <c r="A21433" i="20"/>
  <c r="A21432" i="20"/>
  <c r="A21431" i="20"/>
  <c r="A21430" i="20"/>
  <c r="A21429" i="20"/>
  <c r="A21428" i="20"/>
  <c r="A21427" i="20"/>
  <c r="A21426" i="20"/>
  <c r="A21425" i="20"/>
  <c r="A21424" i="20"/>
  <c r="A21423" i="20"/>
  <c r="A21422" i="20"/>
  <c r="A21421" i="20"/>
  <c r="A21420" i="20"/>
  <c r="A21419" i="20"/>
  <c r="A21418" i="20"/>
  <c r="A21417" i="20"/>
  <c r="A21416" i="20"/>
  <c r="A21415" i="20"/>
  <c r="A21414" i="20"/>
  <c r="A21413" i="20"/>
  <c r="A21412" i="20"/>
  <c r="A21411" i="20"/>
  <c r="A21410" i="20"/>
  <c r="A21409" i="20"/>
  <c r="A21408" i="20"/>
  <c r="A21407" i="20"/>
  <c r="A21406" i="20"/>
  <c r="A21405" i="20"/>
  <c r="A21404" i="20"/>
  <c r="A21403" i="20"/>
  <c r="A21402" i="20"/>
  <c r="A21401" i="20"/>
  <c r="A21400" i="20"/>
  <c r="A21399" i="20"/>
  <c r="A21398" i="20"/>
  <c r="A21397" i="20"/>
  <c r="A21396" i="20"/>
  <c r="A21395" i="20"/>
  <c r="A21394" i="20"/>
  <c r="A21393" i="20"/>
  <c r="A21392" i="20"/>
  <c r="A21391" i="20"/>
  <c r="A21390" i="20"/>
  <c r="A21389" i="20"/>
  <c r="A21388" i="20"/>
  <c r="A21387" i="20"/>
  <c r="A21386" i="20"/>
  <c r="A21385" i="20"/>
  <c r="A21384" i="20"/>
  <c r="A21383" i="20"/>
  <c r="A21382" i="20"/>
  <c r="A21381" i="20"/>
  <c r="A21380" i="20"/>
  <c r="A21379" i="20"/>
  <c r="A21378" i="20"/>
  <c r="A21377" i="20"/>
  <c r="A21376" i="20"/>
  <c r="A21375" i="20"/>
  <c r="A21374" i="20"/>
  <c r="A21373" i="20"/>
  <c r="A21372" i="20"/>
  <c r="A21371" i="20"/>
  <c r="A21370" i="20"/>
  <c r="A21369" i="20"/>
  <c r="A21368" i="20"/>
  <c r="A21367" i="20"/>
  <c r="A21366" i="20"/>
  <c r="A21365" i="20"/>
  <c r="A21364" i="20"/>
  <c r="A21363" i="20"/>
  <c r="A21362" i="20"/>
  <c r="A21361" i="20"/>
  <c r="A21360" i="20"/>
  <c r="A21359" i="20"/>
  <c r="A21358" i="20"/>
  <c r="A21357" i="20"/>
  <c r="A21356" i="20"/>
  <c r="A21355" i="20"/>
  <c r="A21354" i="20"/>
  <c r="A21353" i="20"/>
  <c r="A21352" i="20"/>
  <c r="A21351" i="20"/>
  <c r="A21350" i="20"/>
  <c r="A21349" i="20"/>
  <c r="A21348" i="20"/>
  <c r="A21347" i="20"/>
  <c r="A21346" i="20"/>
  <c r="A21345" i="20"/>
  <c r="A21344" i="20"/>
  <c r="A21343" i="20"/>
  <c r="A21342" i="20"/>
  <c r="A21341" i="20"/>
  <c r="A21340" i="20"/>
  <c r="A21339" i="20"/>
  <c r="A21338" i="20"/>
  <c r="A21337" i="20"/>
  <c r="A21336" i="20"/>
  <c r="A21335" i="20"/>
  <c r="A21334" i="20"/>
  <c r="A21333" i="20"/>
  <c r="A21332" i="20"/>
  <c r="A21331" i="20"/>
  <c r="A21330" i="20"/>
  <c r="A21329" i="20"/>
  <c r="A21328" i="20"/>
  <c r="A21327" i="20"/>
  <c r="A21326" i="20"/>
  <c r="A21325" i="20"/>
  <c r="A21324" i="20"/>
  <c r="A21323" i="20"/>
  <c r="A21322" i="20"/>
  <c r="A21321" i="20"/>
  <c r="A21320" i="20"/>
  <c r="A21319" i="20"/>
  <c r="A21318" i="20"/>
  <c r="A21317" i="20"/>
  <c r="A21316" i="20"/>
  <c r="A21315" i="20"/>
  <c r="A21314" i="20"/>
  <c r="A21313" i="20"/>
  <c r="A21312" i="20"/>
  <c r="A21311" i="20"/>
  <c r="A21310" i="20"/>
  <c r="A21309" i="20"/>
  <c r="A21308" i="20"/>
  <c r="A21307" i="20"/>
  <c r="A21306" i="20"/>
  <c r="A21305" i="20"/>
  <c r="A21304" i="20"/>
  <c r="A21303" i="20"/>
  <c r="A21302" i="20"/>
  <c r="A21301" i="20"/>
  <c r="A21300" i="20"/>
  <c r="A21299" i="20"/>
  <c r="A21298" i="20"/>
  <c r="A21297" i="20"/>
  <c r="A21296" i="20"/>
  <c r="A21295" i="20"/>
  <c r="A21294" i="20"/>
  <c r="A21293" i="20"/>
  <c r="A21292" i="20"/>
  <c r="A21291" i="20"/>
  <c r="A21290" i="20"/>
  <c r="A21289" i="20"/>
  <c r="A21288" i="20"/>
  <c r="A21287" i="20"/>
  <c r="A21286" i="20"/>
  <c r="A21285" i="20"/>
  <c r="A21284" i="20"/>
  <c r="A21283" i="20"/>
  <c r="A21282" i="20"/>
  <c r="A21281" i="20"/>
  <c r="A21280" i="20"/>
  <c r="A21279" i="20"/>
  <c r="A21278" i="20"/>
  <c r="A21277" i="20"/>
  <c r="A21276" i="20"/>
  <c r="A21275" i="20"/>
  <c r="A21274" i="20"/>
  <c r="A21273" i="20"/>
  <c r="A21272" i="20"/>
  <c r="A21271" i="20"/>
  <c r="A21270" i="20"/>
  <c r="A21269" i="20"/>
  <c r="A21268" i="20"/>
  <c r="A21267" i="20"/>
  <c r="A21266" i="20"/>
  <c r="A21265" i="20"/>
  <c r="A21264" i="20"/>
  <c r="A21263" i="20"/>
  <c r="A21262" i="20"/>
  <c r="A21261" i="20"/>
  <c r="A21260" i="20"/>
  <c r="A21259" i="20"/>
  <c r="A21258" i="20"/>
  <c r="A21257" i="20"/>
  <c r="A21256" i="20"/>
  <c r="A21255" i="20"/>
  <c r="A21254" i="20"/>
  <c r="A21253" i="20"/>
  <c r="A21252" i="20"/>
  <c r="A21251" i="20"/>
  <c r="A21250" i="20"/>
  <c r="A21249" i="20"/>
  <c r="A21248" i="20"/>
  <c r="A21247" i="20"/>
  <c r="A21246" i="20"/>
  <c r="A21245" i="20"/>
  <c r="A21244" i="20"/>
  <c r="A21243" i="20"/>
  <c r="A21242" i="20"/>
  <c r="A21241" i="20"/>
  <c r="A21240" i="20"/>
  <c r="A21239" i="20"/>
  <c r="A21238" i="20"/>
  <c r="A21237" i="20"/>
  <c r="A21236" i="20"/>
  <c r="A21235" i="20"/>
  <c r="A21234" i="20"/>
  <c r="A21233" i="20"/>
  <c r="A21232" i="20"/>
  <c r="A21231" i="20"/>
  <c r="A21230" i="20"/>
  <c r="A21229" i="20"/>
  <c r="A21228" i="20"/>
  <c r="A21227" i="20"/>
  <c r="A21226" i="20"/>
  <c r="A21225" i="20"/>
  <c r="A21224" i="20"/>
  <c r="A21223" i="20"/>
  <c r="A21222" i="20"/>
  <c r="A21221" i="20"/>
  <c r="A21220" i="20"/>
  <c r="A21219" i="20"/>
  <c r="A21218" i="20"/>
  <c r="A21217" i="20"/>
  <c r="A21216" i="20"/>
  <c r="A21215" i="20"/>
  <c r="A21214" i="20"/>
  <c r="A21213" i="20"/>
  <c r="A21212" i="20"/>
  <c r="A21211" i="20"/>
  <c r="A21210" i="20"/>
  <c r="A21209" i="20"/>
  <c r="A21208" i="20"/>
  <c r="A21207" i="20"/>
  <c r="A21206" i="20"/>
  <c r="A21205" i="20"/>
  <c r="A21204" i="20"/>
  <c r="A21203" i="20"/>
  <c r="A21202" i="20"/>
  <c r="A21201" i="20"/>
  <c r="A21200" i="20"/>
  <c r="A21199" i="20"/>
  <c r="A21198" i="20"/>
  <c r="A21197" i="20"/>
  <c r="A21196" i="20"/>
  <c r="A21195" i="20"/>
  <c r="A21194" i="20"/>
  <c r="A21193" i="20"/>
  <c r="A21192" i="20"/>
  <c r="A21191" i="20"/>
  <c r="A21190" i="20"/>
  <c r="A21189" i="20"/>
  <c r="A21188" i="20"/>
  <c r="A21187" i="20"/>
  <c r="A21186" i="20"/>
  <c r="A21185" i="20"/>
  <c r="A21184" i="20"/>
  <c r="A21183" i="20"/>
  <c r="A21182" i="20"/>
  <c r="A21181" i="20"/>
  <c r="A21180" i="20"/>
  <c r="A21179" i="20"/>
  <c r="A21178" i="20"/>
  <c r="A21177" i="20"/>
  <c r="A21176" i="20"/>
  <c r="A21175" i="20"/>
  <c r="A21174" i="20"/>
  <c r="A21173" i="20"/>
  <c r="A21172" i="20"/>
  <c r="A21171" i="20"/>
  <c r="A21170" i="20"/>
  <c r="A21169" i="20"/>
  <c r="A21168" i="20"/>
  <c r="A21167" i="20"/>
  <c r="A21166" i="20"/>
  <c r="A21165" i="20"/>
  <c r="A21164" i="20"/>
  <c r="A21163" i="20"/>
  <c r="A21162" i="20"/>
  <c r="A21161" i="20"/>
  <c r="A21160" i="20"/>
  <c r="A21159" i="20"/>
  <c r="A21158" i="20"/>
  <c r="A21157" i="20"/>
  <c r="A21156" i="20"/>
  <c r="A21155" i="20"/>
  <c r="A21154" i="20"/>
  <c r="A21153" i="20"/>
  <c r="A21152" i="20"/>
  <c r="A21151" i="20"/>
  <c r="A21150" i="20"/>
  <c r="A21149" i="20"/>
  <c r="A21148" i="20"/>
  <c r="A21147" i="20"/>
  <c r="A21146" i="20"/>
  <c r="A21145" i="20"/>
  <c r="A21144" i="20"/>
  <c r="A21143" i="20"/>
  <c r="A21142" i="20"/>
  <c r="A21141" i="20"/>
  <c r="A21140" i="20"/>
  <c r="A21139" i="20"/>
  <c r="A21138" i="20"/>
  <c r="A21137" i="20"/>
  <c r="A21136" i="20"/>
  <c r="A21135" i="20"/>
  <c r="A21134" i="20"/>
  <c r="A21133" i="20"/>
  <c r="A21132" i="20"/>
  <c r="A21131" i="20"/>
  <c r="A21130" i="20"/>
  <c r="A21129" i="20"/>
  <c r="A21128" i="20"/>
  <c r="A21127" i="20"/>
  <c r="A21126" i="20"/>
  <c r="A21125" i="20"/>
  <c r="A21124" i="20"/>
  <c r="A21123" i="20"/>
  <c r="A21122" i="20"/>
  <c r="A21121" i="20"/>
  <c r="A21120" i="20"/>
  <c r="A21119" i="20"/>
  <c r="A21118" i="20"/>
  <c r="A21117" i="20"/>
  <c r="A21116" i="20"/>
  <c r="A21115" i="20"/>
  <c r="A21114" i="20"/>
  <c r="A21113" i="20"/>
  <c r="A21112" i="20"/>
  <c r="A21111" i="20"/>
  <c r="A21110" i="20"/>
  <c r="A21109" i="20"/>
  <c r="A21108" i="20"/>
  <c r="A21107" i="20"/>
  <c r="A21106" i="20"/>
  <c r="A21105" i="20"/>
  <c r="A21104" i="20"/>
  <c r="A21103" i="20"/>
  <c r="A21102" i="20"/>
  <c r="A21101" i="20"/>
  <c r="A21100" i="20"/>
  <c r="A21099" i="20"/>
  <c r="A21098" i="20"/>
  <c r="A21097" i="20"/>
  <c r="A21096" i="20"/>
  <c r="A21095" i="20"/>
  <c r="A21094" i="20"/>
  <c r="A21093" i="20"/>
  <c r="A21092" i="20"/>
  <c r="A21091" i="20"/>
  <c r="A21090" i="20"/>
  <c r="A21089" i="20"/>
  <c r="A21088" i="20"/>
  <c r="A21087" i="20"/>
  <c r="A21086" i="20"/>
  <c r="A21085" i="20"/>
  <c r="A21084" i="20"/>
  <c r="A21083" i="20"/>
  <c r="A21082" i="20"/>
  <c r="A21081" i="20"/>
  <c r="A21080" i="20"/>
  <c r="A21079" i="20"/>
  <c r="A21078" i="20"/>
  <c r="A21077" i="20"/>
  <c r="A21076" i="20"/>
  <c r="A21075" i="20"/>
  <c r="A21074" i="20"/>
  <c r="A21073" i="20"/>
  <c r="A21072" i="20"/>
  <c r="A21071" i="20"/>
  <c r="A21070" i="20"/>
  <c r="A21069" i="20"/>
  <c r="A21068" i="20"/>
  <c r="A21067" i="20"/>
  <c r="A21066" i="20"/>
  <c r="A21065" i="20"/>
  <c r="A21064" i="20"/>
  <c r="A21063" i="20"/>
  <c r="A21062" i="20"/>
  <c r="A21061" i="20"/>
  <c r="A21060" i="20"/>
  <c r="A21059" i="20"/>
  <c r="A21058" i="20"/>
  <c r="A21057" i="20"/>
  <c r="A21056" i="20"/>
  <c r="A21055" i="20"/>
  <c r="A21054" i="20"/>
  <c r="A21053" i="20"/>
  <c r="A21052" i="20"/>
  <c r="A21051" i="20"/>
  <c r="A21050" i="20"/>
  <c r="A21049" i="20"/>
  <c r="A21048" i="20"/>
  <c r="A21047" i="20"/>
  <c r="A21046" i="20"/>
  <c r="A21045" i="20"/>
  <c r="A21044" i="20"/>
  <c r="A21043" i="20"/>
  <c r="A21042" i="20"/>
  <c r="A21041" i="20"/>
  <c r="A21040" i="20"/>
  <c r="A21039" i="20"/>
  <c r="A21038" i="20"/>
  <c r="A21037" i="20"/>
  <c r="A21036" i="20"/>
  <c r="A21035" i="20"/>
  <c r="A21034" i="20"/>
  <c r="A21033" i="20"/>
  <c r="A21032" i="20"/>
  <c r="A21031" i="20"/>
  <c r="A21030" i="20"/>
  <c r="A21029" i="20"/>
  <c r="A21028" i="20"/>
  <c r="A21027" i="20"/>
  <c r="A21026" i="20"/>
  <c r="A21025" i="20"/>
  <c r="A21024" i="20"/>
  <c r="A21023" i="20"/>
  <c r="A21022" i="20"/>
  <c r="A21021" i="20"/>
  <c r="A21020" i="20"/>
  <c r="A21019" i="20"/>
  <c r="A21018" i="20"/>
  <c r="A21017" i="20"/>
  <c r="A21016" i="20"/>
  <c r="A21015" i="20"/>
  <c r="A21014" i="20"/>
  <c r="A21013" i="20"/>
  <c r="A21012" i="20"/>
  <c r="A21011" i="20"/>
  <c r="A21010" i="20"/>
  <c r="A21009" i="20"/>
  <c r="A21008" i="20"/>
  <c r="A21007" i="20"/>
  <c r="A21006" i="20"/>
  <c r="A21005" i="20"/>
  <c r="A21004" i="20"/>
  <c r="A21003" i="20"/>
  <c r="A21002" i="20"/>
  <c r="A21001" i="20"/>
  <c r="A21000" i="20"/>
  <c r="A20999" i="20"/>
  <c r="A20998" i="20"/>
  <c r="A20997" i="20"/>
  <c r="A20996" i="20"/>
  <c r="A20995" i="20"/>
  <c r="A20994" i="20"/>
  <c r="A20993" i="20"/>
  <c r="A20992" i="20"/>
  <c r="A20991" i="20"/>
  <c r="A20990" i="20"/>
  <c r="A20989" i="20"/>
  <c r="A20988" i="20"/>
  <c r="A20987" i="20"/>
  <c r="A20986" i="20"/>
  <c r="A20985" i="20"/>
  <c r="A20984" i="20"/>
  <c r="A20983" i="20"/>
  <c r="A20982" i="20"/>
  <c r="A20981" i="20"/>
  <c r="A20980" i="20"/>
  <c r="A20979" i="20"/>
  <c r="A20978" i="20"/>
  <c r="A20977" i="20"/>
  <c r="A20976" i="20"/>
  <c r="A20975" i="20"/>
  <c r="A20974" i="20"/>
  <c r="A20973" i="20"/>
  <c r="A20972" i="20"/>
  <c r="A20971" i="20"/>
  <c r="A20970" i="20"/>
  <c r="A20969" i="20"/>
  <c r="A20968" i="20"/>
  <c r="A20967" i="20"/>
  <c r="A20966" i="20"/>
  <c r="A20965" i="20"/>
  <c r="A20964" i="20"/>
  <c r="A20963" i="20"/>
  <c r="A20962" i="20"/>
  <c r="A20961" i="20"/>
  <c r="A20960" i="20"/>
  <c r="A20959" i="20"/>
  <c r="A20958" i="20"/>
  <c r="A20957" i="20"/>
  <c r="A20956" i="20"/>
  <c r="A20955" i="20"/>
  <c r="A20954" i="20"/>
  <c r="A20953" i="20"/>
  <c r="A20952" i="20"/>
  <c r="A20951" i="20"/>
  <c r="A20950" i="20"/>
  <c r="A20949" i="20"/>
  <c r="A20948" i="20"/>
  <c r="A20947" i="20"/>
  <c r="A20946" i="20"/>
  <c r="A20945" i="20"/>
  <c r="A20944" i="20"/>
  <c r="A20943" i="20"/>
  <c r="A20942" i="20"/>
  <c r="A20941" i="20"/>
  <c r="A20940" i="20"/>
  <c r="A20939" i="20"/>
  <c r="A20938" i="20"/>
  <c r="A20937" i="20"/>
  <c r="A20936" i="20"/>
  <c r="A20935" i="20"/>
  <c r="A20934" i="20"/>
  <c r="A20933" i="20"/>
  <c r="A20932" i="20"/>
  <c r="A20931" i="20"/>
  <c r="A20930" i="20"/>
  <c r="A20929" i="20"/>
  <c r="A20928" i="20"/>
  <c r="A20927" i="20"/>
  <c r="A20926" i="20"/>
  <c r="A20925" i="20"/>
  <c r="A20924" i="20"/>
  <c r="A20923" i="20"/>
  <c r="A20922" i="20"/>
  <c r="A20921" i="20"/>
  <c r="A20920" i="20"/>
  <c r="A20919" i="20"/>
  <c r="A20918" i="20"/>
  <c r="A20917" i="20"/>
  <c r="A20916" i="20"/>
  <c r="A20915" i="20"/>
  <c r="A20914" i="20"/>
  <c r="A20913" i="20"/>
  <c r="A20912" i="20"/>
  <c r="A20911" i="20"/>
  <c r="A20910" i="20"/>
  <c r="A20909" i="20"/>
  <c r="A20908" i="20"/>
  <c r="A20907" i="20"/>
  <c r="A20906" i="20"/>
  <c r="A20905" i="20"/>
  <c r="A20904" i="20"/>
  <c r="A20903" i="20"/>
  <c r="A20902" i="20"/>
  <c r="A20901" i="20"/>
  <c r="A20900" i="20"/>
  <c r="A20899" i="20"/>
  <c r="A20898" i="20"/>
  <c r="A20897" i="20"/>
  <c r="A20896" i="20"/>
  <c r="A20895" i="20"/>
  <c r="A20894" i="20"/>
  <c r="A20893" i="20"/>
  <c r="A20892" i="20"/>
  <c r="A20891" i="20"/>
  <c r="A20890" i="20"/>
  <c r="A20889" i="20"/>
  <c r="A20888" i="20"/>
  <c r="A20887" i="20"/>
  <c r="A20886" i="20"/>
  <c r="A20885" i="20"/>
  <c r="A20884" i="20"/>
  <c r="A20883" i="20"/>
  <c r="A20882" i="20"/>
  <c r="A20881" i="20"/>
  <c r="A20880" i="20"/>
  <c r="A20879" i="20"/>
  <c r="A20878" i="20"/>
  <c r="A20877" i="20"/>
  <c r="A20876" i="20"/>
  <c r="A20875" i="20"/>
  <c r="A20874" i="20"/>
  <c r="A20873" i="20"/>
  <c r="A20872" i="20"/>
  <c r="A20871" i="20"/>
  <c r="A20870" i="20"/>
  <c r="A20869" i="20"/>
  <c r="A20868" i="20"/>
  <c r="A20867" i="20"/>
  <c r="A20866" i="20"/>
  <c r="A20865" i="20"/>
  <c r="A20864" i="20"/>
  <c r="A20863" i="20"/>
  <c r="A20862" i="20"/>
  <c r="A20861" i="20"/>
  <c r="A20860" i="20"/>
  <c r="A20859" i="20"/>
  <c r="A20858" i="20"/>
  <c r="A20857" i="20"/>
  <c r="A20856" i="20"/>
  <c r="A20855" i="20"/>
  <c r="A20854" i="20"/>
  <c r="A20853" i="20"/>
  <c r="A20852" i="20"/>
  <c r="A20851" i="20"/>
  <c r="A20850" i="20"/>
  <c r="A20849" i="20"/>
  <c r="A20848" i="20"/>
  <c r="A20847" i="20"/>
  <c r="A20846" i="20"/>
  <c r="A20845" i="20"/>
  <c r="A20844" i="20"/>
  <c r="A20843" i="20"/>
  <c r="A20842" i="20"/>
  <c r="A20841" i="20"/>
  <c r="A20840" i="20"/>
  <c r="A20839" i="20"/>
  <c r="A20838" i="20"/>
  <c r="A20837" i="20"/>
  <c r="A20836" i="20"/>
  <c r="A20835" i="20"/>
  <c r="A20834" i="20"/>
  <c r="A20833" i="20"/>
  <c r="A20832" i="20"/>
  <c r="A20831" i="20"/>
  <c r="A20830" i="20"/>
  <c r="A20829" i="20"/>
  <c r="A20828" i="20"/>
  <c r="A20827" i="20"/>
  <c r="A20826" i="20"/>
  <c r="A20825" i="20"/>
  <c r="A20824" i="20"/>
  <c r="A20823" i="20"/>
  <c r="A20822" i="20"/>
  <c r="A20821" i="20"/>
  <c r="A20820" i="20"/>
  <c r="A20819" i="20"/>
  <c r="A20818" i="20"/>
  <c r="A20817" i="20"/>
  <c r="A20816" i="20"/>
  <c r="A20815" i="20"/>
  <c r="A20814" i="20"/>
  <c r="A20813" i="20"/>
  <c r="A20812" i="20"/>
  <c r="A20811" i="20"/>
  <c r="A20810" i="20"/>
  <c r="A20809" i="20"/>
  <c r="A20808" i="20"/>
  <c r="A20807" i="20"/>
  <c r="A20806" i="20"/>
  <c r="A20805" i="20"/>
  <c r="A20804" i="20"/>
  <c r="A20803" i="20"/>
  <c r="A20802" i="20"/>
  <c r="A20801" i="20"/>
  <c r="A20800" i="20"/>
  <c r="A20799" i="20"/>
  <c r="A20798" i="20"/>
  <c r="A20797" i="20"/>
  <c r="A20796" i="20"/>
  <c r="A20795" i="20"/>
  <c r="A20794" i="20"/>
  <c r="A20793" i="20"/>
  <c r="A20792" i="20"/>
  <c r="A20791" i="20"/>
  <c r="A20790" i="20"/>
  <c r="A20789" i="20"/>
  <c r="A20788" i="20"/>
  <c r="A20787" i="20"/>
  <c r="A20786" i="20"/>
  <c r="A20785" i="20"/>
  <c r="A20784" i="20"/>
  <c r="A20783" i="20"/>
  <c r="A20782" i="20"/>
  <c r="A20781" i="20"/>
  <c r="A20780" i="20"/>
  <c r="A20779" i="20"/>
  <c r="A20778" i="20"/>
  <c r="A20777" i="20"/>
  <c r="A20776" i="20"/>
  <c r="A20775" i="20"/>
  <c r="A20774" i="20"/>
  <c r="A20773" i="20"/>
  <c r="A20772" i="20"/>
  <c r="A20771" i="20"/>
  <c r="A20770" i="20"/>
  <c r="A20769" i="20"/>
  <c r="A20768" i="20"/>
  <c r="A20767" i="20"/>
  <c r="A20766" i="20"/>
  <c r="A20765" i="20"/>
  <c r="A20764" i="20"/>
  <c r="A20763" i="20"/>
  <c r="A20762" i="20"/>
  <c r="A20761" i="20"/>
  <c r="A20760" i="20"/>
  <c r="A20759" i="20"/>
  <c r="A20758" i="20"/>
  <c r="A20757" i="20"/>
  <c r="A20756" i="20"/>
  <c r="A20755" i="20"/>
  <c r="A20754" i="20"/>
  <c r="A20753" i="20"/>
  <c r="A20752" i="20"/>
  <c r="A20751" i="20"/>
  <c r="A20750" i="20"/>
  <c r="A20749" i="20"/>
  <c r="A20748" i="20"/>
  <c r="A20747" i="20"/>
  <c r="A20746" i="20"/>
  <c r="A20745" i="20"/>
  <c r="A20744" i="20"/>
  <c r="A20743" i="20"/>
  <c r="A20742" i="20"/>
  <c r="A20741" i="20"/>
  <c r="A20740" i="20"/>
  <c r="A20739" i="20"/>
  <c r="A20738" i="20"/>
  <c r="A20737" i="20"/>
  <c r="A20736" i="20"/>
  <c r="A20735" i="20"/>
  <c r="A20734" i="20"/>
  <c r="A20733" i="20"/>
  <c r="A20732" i="20"/>
  <c r="A20731" i="20"/>
  <c r="A20730" i="20"/>
  <c r="A20729" i="20"/>
  <c r="A20728" i="20"/>
  <c r="A20727" i="20"/>
  <c r="A20726" i="20"/>
  <c r="A20725" i="20"/>
  <c r="A20724" i="20"/>
  <c r="A20723" i="20"/>
  <c r="A20722" i="20"/>
  <c r="A20721" i="20"/>
  <c r="A20720" i="20"/>
  <c r="A20719" i="20"/>
  <c r="A20718" i="20"/>
  <c r="A20717" i="20"/>
  <c r="A20716" i="20"/>
  <c r="A20715" i="20"/>
  <c r="A20714" i="20"/>
  <c r="A20713" i="20"/>
  <c r="A20712" i="20"/>
  <c r="A20711" i="20"/>
  <c r="A20710" i="20"/>
  <c r="A20709" i="20"/>
  <c r="A20708" i="20"/>
  <c r="A20707" i="20"/>
  <c r="A20706" i="20"/>
  <c r="A20705" i="20"/>
  <c r="A20704" i="20"/>
  <c r="A20703" i="20"/>
  <c r="A20702" i="20"/>
  <c r="A20701" i="20"/>
  <c r="A20700" i="20"/>
  <c r="A20699" i="20"/>
  <c r="A20698" i="20"/>
  <c r="A20697" i="20"/>
  <c r="A20696" i="20"/>
  <c r="A20695" i="20"/>
  <c r="A20694" i="20"/>
  <c r="A20693" i="20"/>
  <c r="A20692" i="20"/>
  <c r="A20691" i="20"/>
  <c r="A20690" i="20"/>
  <c r="A20689" i="20"/>
  <c r="A20688" i="20"/>
  <c r="A20687" i="20"/>
  <c r="A20686" i="20"/>
  <c r="A20685" i="20"/>
  <c r="A20684" i="20"/>
  <c r="A20683" i="20"/>
  <c r="A20682" i="20"/>
  <c r="A20681" i="20"/>
  <c r="A20680" i="20"/>
  <c r="A20679" i="20"/>
  <c r="A20678" i="20"/>
  <c r="A20677" i="20"/>
  <c r="A20676" i="20"/>
  <c r="A20675" i="20"/>
  <c r="A20674" i="20"/>
  <c r="A20673" i="20"/>
  <c r="A20672" i="20"/>
  <c r="A20671" i="20"/>
  <c r="A20670" i="20"/>
  <c r="A20669" i="20"/>
  <c r="A20668" i="20"/>
  <c r="A20667" i="20"/>
  <c r="A20666" i="20"/>
  <c r="A20665" i="20"/>
  <c r="A20664" i="20"/>
  <c r="A20663" i="20"/>
  <c r="A20662" i="20"/>
  <c r="A20661" i="20"/>
  <c r="A20660" i="20"/>
  <c r="A20659" i="20"/>
  <c r="A20658" i="20"/>
  <c r="A20657" i="20"/>
  <c r="A20656" i="20"/>
  <c r="A20655" i="20"/>
  <c r="A20654" i="20"/>
  <c r="A20653" i="20"/>
  <c r="A20652" i="20"/>
  <c r="A20651" i="20"/>
  <c r="A20650" i="20"/>
  <c r="A20649" i="20"/>
  <c r="A20648" i="20"/>
  <c r="A20647" i="20"/>
  <c r="A20646" i="20"/>
  <c r="A20645" i="20"/>
  <c r="A20644" i="20"/>
  <c r="A20643" i="20"/>
  <c r="A20642" i="20"/>
  <c r="A20641" i="20"/>
  <c r="A20640" i="20"/>
  <c r="A20639" i="20"/>
  <c r="A20638" i="20"/>
  <c r="A20637" i="20"/>
  <c r="A20636" i="20"/>
  <c r="A20635" i="20"/>
  <c r="A20634" i="20"/>
  <c r="A20633" i="20"/>
  <c r="A20632" i="20"/>
  <c r="A20631" i="20"/>
  <c r="A20630" i="20"/>
  <c r="A20629" i="20"/>
  <c r="A20628" i="20"/>
  <c r="A20627" i="20"/>
  <c r="A20626" i="20"/>
  <c r="A20625" i="20"/>
  <c r="A20624" i="20"/>
  <c r="A20623" i="20"/>
  <c r="A20622" i="20"/>
  <c r="A20621" i="20"/>
  <c r="A20620" i="20"/>
  <c r="A20619" i="20"/>
  <c r="A20618" i="20"/>
  <c r="A20617" i="20"/>
  <c r="A20616" i="20"/>
  <c r="A20615" i="20"/>
  <c r="A20614" i="20"/>
  <c r="A20613" i="20"/>
  <c r="A20612" i="20"/>
  <c r="A20611" i="20"/>
  <c r="A20610" i="20"/>
  <c r="A20609" i="20"/>
  <c r="A20608" i="20"/>
  <c r="A20607" i="20"/>
  <c r="A20606" i="20"/>
  <c r="A20605" i="20"/>
  <c r="A20604" i="20"/>
  <c r="A20603" i="20"/>
  <c r="A20602" i="20"/>
  <c r="A20601" i="20"/>
  <c r="A20600" i="20"/>
  <c r="A20599" i="20"/>
  <c r="A20598" i="20"/>
  <c r="A20597" i="20"/>
  <c r="A20596" i="20"/>
  <c r="A20595" i="20"/>
  <c r="A20594" i="20"/>
  <c r="A20593" i="20"/>
  <c r="A20592" i="20"/>
  <c r="A20591" i="20"/>
  <c r="A20590" i="20"/>
  <c r="A20589" i="20"/>
  <c r="A20588" i="20"/>
  <c r="A20587" i="20"/>
  <c r="A20586" i="20"/>
  <c r="A20585" i="20"/>
  <c r="A20584" i="20"/>
  <c r="A20583" i="20"/>
  <c r="A20582" i="20"/>
  <c r="A20581" i="20"/>
  <c r="A20580" i="20"/>
  <c r="A20579" i="20"/>
  <c r="A20578" i="20"/>
  <c r="A20577" i="20"/>
  <c r="A20576" i="20"/>
  <c r="A20575" i="20"/>
  <c r="A20574" i="20"/>
  <c r="A20573" i="20"/>
  <c r="A20572" i="20"/>
  <c r="A20571" i="20"/>
  <c r="A20570" i="20"/>
  <c r="A20569" i="20"/>
  <c r="A20568" i="20"/>
  <c r="A20567" i="20"/>
  <c r="A20566" i="20"/>
  <c r="A20565" i="20"/>
  <c r="A20564" i="20"/>
  <c r="A20563" i="20"/>
  <c r="A20562" i="20"/>
  <c r="A20561" i="20"/>
  <c r="A20560" i="20"/>
  <c r="A20559" i="20"/>
  <c r="A20558" i="20"/>
  <c r="A20557" i="20"/>
  <c r="A20556" i="20"/>
  <c r="A20555" i="20"/>
  <c r="A20554" i="20"/>
  <c r="A20553" i="20"/>
  <c r="A20552" i="20"/>
  <c r="A20551" i="20"/>
  <c r="A20550" i="20"/>
  <c r="A20549" i="20"/>
  <c r="A20548" i="20"/>
  <c r="A20547" i="20"/>
  <c r="A20546" i="20"/>
  <c r="A20545" i="20"/>
  <c r="A20544" i="20"/>
  <c r="A20543" i="20"/>
  <c r="A20542" i="20"/>
  <c r="A20541" i="20"/>
  <c r="A20540" i="20"/>
  <c r="A20539" i="20"/>
  <c r="A20538" i="20"/>
  <c r="A20537" i="20"/>
  <c r="A20536" i="20"/>
  <c r="A20535" i="20"/>
  <c r="A20534" i="20"/>
  <c r="A20533" i="20"/>
  <c r="A20532" i="20"/>
  <c r="A20531" i="20"/>
  <c r="A20530" i="20"/>
  <c r="A20529" i="20"/>
  <c r="A20528" i="20"/>
  <c r="A20527" i="20"/>
  <c r="A20526" i="20"/>
  <c r="A20525" i="20"/>
  <c r="A20524" i="20"/>
  <c r="A20523" i="20"/>
  <c r="A20522" i="20"/>
  <c r="A20521" i="20"/>
  <c r="A20520" i="20"/>
  <c r="A20519" i="20"/>
  <c r="A20518" i="20"/>
  <c r="A20517" i="20"/>
  <c r="A20516" i="20"/>
  <c r="A20515" i="20"/>
  <c r="A20514" i="20"/>
  <c r="A20513" i="20"/>
  <c r="A20512" i="20"/>
  <c r="A20511" i="20"/>
  <c r="A20510" i="20"/>
  <c r="A20509" i="20"/>
  <c r="A20508" i="20"/>
  <c r="A20507" i="20"/>
  <c r="A20506" i="20"/>
  <c r="A20505" i="20"/>
  <c r="A20504" i="20"/>
  <c r="A20503" i="20"/>
  <c r="A20502" i="20"/>
  <c r="A20501" i="20"/>
  <c r="A20500" i="20"/>
  <c r="A20499" i="20"/>
  <c r="A20498" i="20"/>
  <c r="A20497" i="20"/>
  <c r="A20496" i="20"/>
  <c r="A20495" i="20"/>
  <c r="A20494" i="20"/>
  <c r="A20493" i="20"/>
  <c r="A20492" i="20"/>
  <c r="A20491" i="20"/>
  <c r="A20490" i="20"/>
  <c r="A20489" i="20"/>
  <c r="A20488" i="20"/>
  <c r="A20487" i="20"/>
  <c r="A20486" i="20"/>
  <c r="A20485" i="20"/>
  <c r="A20484" i="20"/>
  <c r="A20483" i="20"/>
  <c r="A20482" i="20"/>
  <c r="A20481" i="20"/>
  <c r="A20480" i="20"/>
  <c r="A20479" i="20"/>
  <c r="A20478" i="20"/>
  <c r="A20477" i="20"/>
  <c r="A20476" i="20"/>
  <c r="A20475" i="20"/>
  <c r="A20474" i="20"/>
  <c r="A20473" i="20"/>
  <c r="A20472" i="20"/>
  <c r="A20471" i="20"/>
  <c r="A20470" i="20"/>
  <c r="A20469" i="20"/>
  <c r="A20468" i="20"/>
  <c r="A20467" i="20"/>
  <c r="A20466" i="20"/>
  <c r="A20465" i="20"/>
  <c r="A20464" i="20"/>
  <c r="A20463" i="20"/>
  <c r="A20462" i="20"/>
  <c r="A20461" i="20"/>
  <c r="A20460" i="20"/>
  <c r="A20459" i="20"/>
  <c r="A20458" i="20"/>
  <c r="A20457" i="20"/>
  <c r="A20456" i="20"/>
  <c r="A20455" i="20"/>
  <c r="A20454" i="20"/>
  <c r="A20453" i="20"/>
  <c r="A20452" i="20"/>
  <c r="A20451" i="20"/>
  <c r="A20450" i="20"/>
  <c r="A20449" i="20"/>
  <c r="A20448" i="20"/>
  <c r="A20447" i="20"/>
  <c r="A20446" i="20"/>
  <c r="A20445" i="20"/>
  <c r="A20444" i="20"/>
  <c r="A20443" i="20"/>
  <c r="A20442" i="20"/>
  <c r="A20441" i="20"/>
  <c r="A20440" i="20"/>
  <c r="A20439" i="20"/>
  <c r="A20438" i="20"/>
  <c r="A20437" i="20"/>
  <c r="A20436" i="20"/>
  <c r="A20435" i="20"/>
  <c r="A20434" i="20"/>
  <c r="A20433" i="20"/>
  <c r="A20432" i="20"/>
  <c r="A20431" i="20"/>
  <c r="A20430" i="20"/>
  <c r="A20429" i="20"/>
  <c r="A20428" i="20"/>
  <c r="A20427" i="20"/>
  <c r="A20426" i="20"/>
  <c r="A20425" i="20"/>
  <c r="A20424" i="20"/>
  <c r="A20423" i="20"/>
  <c r="A20422" i="20"/>
  <c r="A20421" i="20"/>
  <c r="A20420" i="20"/>
  <c r="A20419" i="20"/>
  <c r="A20418" i="20"/>
  <c r="A20417" i="20"/>
  <c r="A20416" i="20"/>
  <c r="A20415" i="20"/>
  <c r="A20414" i="20"/>
  <c r="A20413" i="20"/>
  <c r="A20412" i="20"/>
  <c r="A20411" i="20"/>
  <c r="A20410" i="20"/>
  <c r="A20409" i="20"/>
  <c r="A20408" i="20"/>
  <c r="A20407" i="20"/>
  <c r="A20406" i="20"/>
  <c r="A20405" i="20"/>
  <c r="A20404" i="20"/>
  <c r="A20403" i="20"/>
  <c r="A20402" i="20"/>
  <c r="A20401" i="20"/>
  <c r="A20400" i="20"/>
  <c r="A20399" i="20"/>
  <c r="A20398" i="20"/>
  <c r="A20397" i="20"/>
  <c r="A20396" i="20"/>
  <c r="A20395" i="20"/>
  <c r="A20394" i="20"/>
  <c r="A20393" i="20"/>
  <c r="A20392" i="20"/>
  <c r="A20391" i="20"/>
  <c r="A20390" i="20"/>
  <c r="A20389" i="20"/>
  <c r="A20388" i="20"/>
  <c r="A20387" i="20"/>
  <c r="A20386" i="20"/>
  <c r="A20385" i="20"/>
  <c r="A20384" i="20"/>
  <c r="A20383" i="20"/>
  <c r="A20382" i="20"/>
  <c r="A20381" i="20"/>
  <c r="A20380" i="20"/>
  <c r="A20379" i="20"/>
  <c r="A20378" i="20"/>
  <c r="A20377" i="20"/>
  <c r="A20376" i="20"/>
  <c r="A20375" i="20"/>
  <c r="A20374" i="20"/>
  <c r="A20373" i="20"/>
  <c r="A20372" i="20"/>
  <c r="A20371" i="20"/>
  <c r="A20370" i="20"/>
  <c r="A20369" i="20"/>
  <c r="A20368" i="20"/>
  <c r="A20367" i="20"/>
  <c r="A20366" i="20"/>
  <c r="A20365" i="20"/>
  <c r="A20364" i="20"/>
  <c r="A20363" i="20"/>
  <c r="A20362" i="20"/>
  <c r="A20361" i="20"/>
  <c r="A20360" i="20"/>
  <c r="A20359" i="20"/>
  <c r="A20358" i="20"/>
  <c r="A20357" i="20"/>
  <c r="A20356" i="20"/>
  <c r="A20355" i="20"/>
  <c r="A20354" i="20"/>
  <c r="A20353" i="20"/>
  <c r="A20352" i="20"/>
  <c r="A20351" i="20"/>
  <c r="A20350" i="20"/>
  <c r="A20349" i="20"/>
  <c r="A20348" i="20"/>
  <c r="A20347" i="20"/>
  <c r="A20346" i="20"/>
  <c r="A20345" i="20"/>
  <c r="A20344" i="20"/>
  <c r="A20343" i="20"/>
  <c r="A20342" i="20"/>
  <c r="A20341" i="20"/>
  <c r="A20340" i="20"/>
  <c r="A20339" i="20"/>
  <c r="A20338" i="20"/>
  <c r="A20337" i="20"/>
  <c r="A20336" i="20"/>
  <c r="A20335" i="20"/>
  <c r="A20334" i="20"/>
  <c r="A20333" i="20"/>
  <c r="A20332" i="20"/>
  <c r="A20331" i="20"/>
  <c r="A20330" i="20"/>
  <c r="A20329" i="20"/>
  <c r="A20328" i="20"/>
  <c r="A20327" i="20"/>
  <c r="A20326" i="20"/>
  <c r="A20325" i="20"/>
  <c r="A20324" i="20"/>
  <c r="A20323" i="20"/>
  <c r="A20322" i="20"/>
  <c r="A20321" i="20"/>
  <c r="A20320" i="20"/>
  <c r="A20319" i="20"/>
  <c r="A20318" i="20"/>
  <c r="A20317" i="20"/>
  <c r="A20316" i="20"/>
  <c r="A20315" i="20"/>
  <c r="A20314" i="20"/>
  <c r="A20313" i="20"/>
  <c r="A20312" i="20"/>
  <c r="A20311" i="20"/>
  <c r="A20310" i="20"/>
  <c r="A20309" i="20"/>
  <c r="A20308" i="20"/>
  <c r="A20307" i="20"/>
  <c r="A20306" i="20"/>
  <c r="A20305" i="20"/>
  <c r="A20304" i="20"/>
  <c r="A20303" i="20"/>
  <c r="A20302" i="20"/>
  <c r="A20301" i="20"/>
  <c r="A20300" i="20"/>
  <c r="A20299" i="20"/>
  <c r="A20298" i="20"/>
  <c r="A20297" i="20"/>
  <c r="A20296" i="20"/>
  <c r="A20295" i="20"/>
  <c r="A20294" i="20"/>
  <c r="A20293" i="20"/>
  <c r="A20292" i="20"/>
  <c r="A20291" i="20"/>
  <c r="A20290" i="20"/>
  <c r="A20289" i="20"/>
  <c r="A20288" i="20"/>
  <c r="A20287" i="20"/>
  <c r="A20286" i="20"/>
  <c r="A20285" i="20"/>
  <c r="A20284" i="20"/>
  <c r="A20283" i="20"/>
  <c r="A20282" i="20"/>
  <c r="A20281" i="20"/>
  <c r="A20280" i="20"/>
  <c r="A20279" i="20"/>
  <c r="A20278" i="20"/>
  <c r="A20277" i="20"/>
  <c r="A20276" i="20"/>
  <c r="A20275" i="20"/>
  <c r="A20274" i="20"/>
  <c r="A20273" i="20"/>
  <c r="A20272" i="20"/>
  <c r="A20271" i="20"/>
  <c r="A20270" i="20"/>
  <c r="A20269" i="20"/>
  <c r="A20268" i="20"/>
  <c r="A20267" i="20"/>
  <c r="A20266" i="20"/>
  <c r="A20265" i="20"/>
  <c r="A20264" i="20"/>
  <c r="A20263" i="20"/>
  <c r="A20262" i="20"/>
  <c r="A20261" i="20"/>
  <c r="A20260" i="20"/>
  <c r="A20259" i="20"/>
  <c r="A20258" i="20"/>
  <c r="A20257" i="20"/>
  <c r="A20256" i="20"/>
  <c r="A20255" i="20"/>
  <c r="A20254" i="20"/>
  <c r="A20253" i="20"/>
  <c r="A20252" i="20"/>
  <c r="A20251" i="20"/>
  <c r="A20250" i="20"/>
  <c r="A20249" i="20"/>
  <c r="A20248" i="20"/>
  <c r="A20247" i="20"/>
  <c r="A20246" i="20"/>
  <c r="A20245" i="20"/>
  <c r="A20244" i="20"/>
  <c r="A20243" i="20"/>
  <c r="A20242" i="20"/>
  <c r="A20241" i="20"/>
  <c r="A20240" i="20"/>
  <c r="A20239" i="20"/>
  <c r="A20238" i="20"/>
  <c r="A20237" i="20"/>
  <c r="A20236" i="20"/>
  <c r="A20235" i="20"/>
  <c r="A20234" i="20"/>
  <c r="A20233" i="20"/>
  <c r="A20232" i="20"/>
  <c r="A20231" i="20"/>
  <c r="A20230" i="20"/>
  <c r="A20229" i="20"/>
  <c r="A20228" i="20"/>
  <c r="A20227" i="20"/>
  <c r="A20226" i="20"/>
  <c r="A20225" i="20"/>
  <c r="A20224" i="20"/>
  <c r="A20223" i="20"/>
  <c r="A20222" i="20"/>
  <c r="A20221" i="20"/>
  <c r="A20220" i="20"/>
  <c r="A20219" i="20"/>
  <c r="A20218" i="20"/>
  <c r="A20217" i="20"/>
  <c r="A20216" i="20"/>
  <c r="A20215" i="20"/>
  <c r="A20214" i="20"/>
  <c r="A20213" i="20"/>
  <c r="A20212" i="20"/>
  <c r="A20211" i="20"/>
  <c r="A20210" i="20"/>
  <c r="A20209" i="20"/>
  <c r="A20208" i="20"/>
  <c r="A20207" i="20"/>
  <c r="A20206" i="20"/>
  <c r="A20205" i="20"/>
  <c r="A20204" i="20"/>
  <c r="A20203" i="20"/>
  <c r="A20202" i="20"/>
  <c r="A20201" i="20"/>
  <c r="A20200" i="20"/>
  <c r="A20199" i="20"/>
  <c r="A20198" i="20"/>
  <c r="A20197" i="20"/>
  <c r="A20196" i="20"/>
  <c r="A20195" i="20"/>
  <c r="A20194" i="20"/>
  <c r="A20193" i="20"/>
  <c r="A20192" i="20"/>
  <c r="A20191" i="20"/>
  <c r="A20190" i="20"/>
  <c r="A20189" i="20"/>
  <c r="A20188" i="20"/>
  <c r="A20187" i="20"/>
  <c r="A20186" i="20"/>
  <c r="A20185" i="20"/>
  <c r="A20184" i="20"/>
  <c r="A20183" i="20"/>
  <c r="A20182" i="20"/>
  <c r="A20181" i="20"/>
  <c r="A20180" i="20"/>
  <c r="A20179" i="20"/>
  <c r="A20178" i="20"/>
  <c r="A20177" i="20"/>
  <c r="A20176" i="20"/>
  <c r="A20175" i="20"/>
  <c r="A20174" i="20"/>
  <c r="A20173" i="20"/>
  <c r="A20172" i="20"/>
  <c r="A20171" i="20"/>
  <c r="A20170" i="20"/>
  <c r="A20169" i="20"/>
  <c r="A20168" i="20"/>
  <c r="A20167" i="20"/>
  <c r="A20166" i="20"/>
  <c r="A20165" i="20"/>
  <c r="A20164" i="20"/>
  <c r="A20163" i="20"/>
  <c r="A20162" i="20"/>
  <c r="A20161" i="20"/>
  <c r="A20160" i="20"/>
  <c r="A20159" i="20"/>
  <c r="A20158" i="20"/>
  <c r="A20157" i="20"/>
  <c r="A20156" i="20"/>
  <c r="A20155" i="20"/>
  <c r="A20154" i="20"/>
  <c r="A20153" i="20"/>
  <c r="A20152" i="20"/>
  <c r="A20151" i="20"/>
  <c r="A20150" i="20"/>
  <c r="A20149" i="20"/>
  <c r="A20148" i="20"/>
  <c r="A20147" i="20"/>
  <c r="A20146" i="20"/>
  <c r="A20145" i="20"/>
  <c r="A20144" i="20"/>
  <c r="A20143" i="20"/>
  <c r="A20142" i="20"/>
  <c r="A20141" i="20"/>
  <c r="A20140" i="20"/>
  <c r="A20139" i="20"/>
  <c r="A20138" i="20"/>
  <c r="A20137" i="20"/>
  <c r="A20136" i="20"/>
  <c r="A20135" i="20"/>
  <c r="A20134" i="20"/>
  <c r="A20133" i="20"/>
  <c r="A20132" i="20"/>
  <c r="A20131" i="20"/>
  <c r="A20130" i="20"/>
  <c r="A20129" i="20"/>
  <c r="A20128" i="20"/>
  <c r="A20127" i="20"/>
  <c r="A20126" i="20"/>
  <c r="A20125" i="20"/>
  <c r="A20124" i="20"/>
  <c r="A20123" i="20"/>
  <c r="A20122" i="20"/>
  <c r="A20121" i="20"/>
  <c r="A20120" i="20"/>
  <c r="A20119" i="20"/>
  <c r="A20118" i="20"/>
  <c r="A20117" i="20"/>
  <c r="A20116" i="20"/>
  <c r="A20115" i="20"/>
  <c r="A20114" i="20"/>
  <c r="A20113" i="20"/>
  <c r="A20112" i="20"/>
  <c r="A20111" i="20"/>
  <c r="A20110" i="20"/>
  <c r="A20109" i="20"/>
  <c r="A20108" i="20"/>
  <c r="A20107" i="20"/>
  <c r="A20106" i="20"/>
  <c r="A20105" i="20"/>
  <c r="A20104" i="20"/>
  <c r="A20103" i="20"/>
  <c r="A20102" i="20"/>
  <c r="A20101" i="20"/>
  <c r="A20100" i="20"/>
  <c r="A20099" i="20"/>
  <c r="A20098" i="20"/>
  <c r="A20097" i="20"/>
  <c r="A20096" i="20"/>
  <c r="A20095" i="20"/>
  <c r="A20094" i="20"/>
  <c r="A20093" i="20"/>
  <c r="A20092" i="20"/>
  <c r="A20091" i="20"/>
  <c r="A20090" i="20"/>
  <c r="A20089" i="20"/>
  <c r="A20088" i="20"/>
  <c r="A20087" i="20"/>
  <c r="A20086" i="20"/>
  <c r="A20085" i="20"/>
  <c r="A20084" i="20"/>
  <c r="A20083" i="20"/>
  <c r="A20082" i="20"/>
  <c r="A20081" i="20"/>
  <c r="A20080" i="20"/>
  <c r="A20079" i="20"/>
  <c r="A20078" i="20"/>
  <c r="A20077" i="20"/>
  <c r="A20076" i="20"/>
  <c r="A20075" i="20"/>
  <c r="A20074" i="20"/>
  <c r="A20073" i="20"/>
  <c r="A20072" i="20"/>
  <c r="A20071" i="20"/>
  <c r="A20070" i="20"/>
  <c r="A20069" i="20"/>
  <c r="A20068" i="20"/>
  <c r="A20067" i="20"/>
  <c r="A20066" i="20"/>
  <c r="A20065" i="20"/>
  <c r="A20064" i="20"/>
  <c r="A20063" i="20"/>
  <c r="A20062" i="20"/>
  <c r="A20061" i="20"/>
  <c r="A20060" i="20"/>
  <c r="A20059" i="20"/>
  <c r="A20058" i="20"/>
  <c r="A20057" i="20"/>
  <c r="A20056" i="20"/>
  <c r="A20055" i="20"/>
  <c r="A20054" i="20"/>
  <c r="A20053" i="20"/>
  <c r="A20052" i="20"/>
  <c r="A20051" i="20"/>
  <c r="A20050" i="20"/>
  <c r="A20049" i="20"/>
  <c r="A20048" i="20"/>
  <c r="A20047" i="20"/>
  <c r="A20046" i="20"/>
  <c r="A20045" i="20"/>
  <c r="A20044" i="20"/>
  <c r="A20043" i="20"/>
  <c r="A20042" i="20"/>
  <c r="A20041" i="20"/>
  <c r="A20040" i="20"/>
  <c r="A20039" i="20"/>
  <c r="A20038" i="20"/>
  <c r="A20037" i="20"/>
  <c r="A20036" i="20"/>
  <c r="A20035" i="20"/>
  <c r="A20034" i="20"/>
  <c r="A20033" i="20"/>
  <c r="A20032" i="20"/>
  <c r="A20031" i="20"/>
  <c r="A20030" i="20"/>
  <c r="A20029" i="20"/>
  <c r="A20028" i="20"/>
  <c r="A20027" i="20"/>
  <c r="A20026" i="20"/>
  <c r="A20025" i="20"/>
  <c r="A20024" i="20"/>
  <c r="A20023" i="20"/>
  <c r="A20022" i="20"/>
  <c r="A20021" i="20"/>
  <c r="A20020" i="20"/>
  <c r="A20019" i="20"/>
  <c r="A20018" i="20"/>
  <c r="A20017" i="20"/>
  <c r="A20016" i="20"/>
  <c r="A20015" i="20"/>
  <c r="A20014" i="20"/>
  <c r="A20013" i="20"/>
  <c r="A20012" i="20"/>
  <c r="A20011" i="20"/>
  <c r="A20010" i="20"/>
  <c r="A20009" i="20"/>
  <c r="A20008" i="20"/>
  <c r="A20007" i="20"/>
  <c r="A20006" i="20"/>
  <c r="A20005" i="20"/>
  <c r="A20004" i="20"/>
  <c r="A20003" i="20"/>
  <c r="A20002" i="20"/>
  <c r="A20001" i="20"/>
  <c r="A20000" i="20"/>
  <c r="A19999" i="20"/>
  <c r="A19998" i="20"/>
  <c r="A19997" i="20"/>
  <c r="A19996" i="20"/>
  <c r="A19995" i="20"/>
  <c r="A19994" i="20"/>
  <c r="A19993" i="20"/>
  <c r="A19992" i="20"/>
  <c r="A19991" i="20"/>
  <c r="A19990" i="20"/>
  <c r="A19989" i="20"/>
  <c r="A19988" i="20"/>
  <c r="A19987" i="20"/>
  <c r="A19986" i="20"/>
  <c r="A19985" i="20"/>
  <c r="A19984" i="20"/>
  <c r="A19983" i="20"/>
  <c r="A19982" i="20"/>
  <c r="A19981" i="20"/>
  <c r="A19980" i="20"/>
  <c r="A19979" i="20"/>
  <c r="A19978" i="20"/>
  <c r="A19977" i="20"/>
  <c r="A19976" i="20"/>
  <c r="A19975" i="20"/>
  <c r="A19974" i="20"/>
  <c r="A19973" i="20"/>
  <c r="A19972" i="20"/>
  <c r="A19971" i="20"/>
  <c r="A19970" i="20"/>
  <c r="A19969" i="20"/>
  <c r="A19968" i="20"/>
  <c r="A19967" i="20"/>
  <c r="A19966" i="20"/>
  <c r="A19965" i="20"/>
  <c r="A19964" i="20"/>
  <c r="A19963" i="20"/>
  <c r="A19962" i="20"/>
  <c r="A19961" i="20"/>
  <c r="A19960" i="20"/>
  <c r="A19959" i="20"/>
  <c r="A19958" i="20"/>
  <c r="A19957" i="20"/>
  <c r="A19956" i="20"/>
  <c r="A19955" i="20"/>
  <c r="A19954" i="20"/>
  <c r="A19953" i="20"/>
  <c r="A19952" i="20"/>
  <c r="A19951" i="20"/>
  <c r="A19950" i="20"/>
  <c r="A19949" i="20"/>
  <c r="A19948" i="20"/>
  <c r="A19947" i="20"/>
  <c r="A19946" i="20"/>
  <c r="A19945" i="20"/>
  <c r="A19944" i="20"/>
  <c r="A19943" i="20"/>
  <c r="A19942" i="20"/>
  <c r="A19941" i="20"/>
  <c r="A19940" i="20"/>
  <c r="A19939" i="20"/>
  <c r="A19938" i="20"/>
  <c r="A19937" i="20"/>
  <c r="A19936" i="20"/>
  <c r="A19935" i="20"/>
  <c r="A19934" i="20"/>
  <c r="A19933" i="20"/>
  <c r="A19932" i="20"/>
  <c r="A19931" i="20"/>
  <c r="A19930" i="20"/>
  <c r="A19929" i="20"/>
  <c r="A19928" i="20"/>
  <c r="A19927" i="20"/>
  <c r="A19926" i="20"/>
  <c r="A19925" i="20"/>
  <c r="A19924" i="20"/>
  <c r="A19923" i="20"/>
  <c r="A19922" i="20"/>
  <c r="A19921" i="20"/>
  <c r="A19920" i="20"/>
  <c r="A19919" i="20"/>
  <c r="A19918" i="20"/>
  <c r="A19917" i="20"/>
  <c r="A19916" i="20"/>
  <c r="A19915" i="20"/>
  <c r="A19914" i="20"/>
  <c r="A19913" i="20"/>
  <c r="A19912" i="20"/>
  <c r="A19911" i="20"/>
  <c r="A19910" i="20"/>
  <c r="A19909" i="20"/>
  <c r="A19908" i="20"/>
  <c r="A19907" i="20"/>
  <c r="A19906" i="20"/>
  <c r="A19905" i="20"/>
  <c r="A19904" i="20"/>
  <c r="A19903" i="20"/>
  <c r="A19902" i="20"/>
  <c r="A19901" i="20"/>
  <c r="A19900" i="20"/>
  <c r="A19899" i="20"/>
  <c r="A19898" i="20"/>
  <c r="A19897" i="20"/>
  <c r="A19896" i="20"/>
  <c r="A19895" i="20"/>
  <c r="A19894" i="20"/>
  <c r="A19893" i="20"/>
  <c r="A19892" i="20"/>
  <c r="A19891" i="20"/>
  <c r="A19890" i="20"/>
  <c r="A19889" i="20"/>
  <c r="A19888" i="20"/>
  <c r="A19887" i="20"/>
  <c r="A19886" i="20"/>
  <c r="A19885" i="20"/>
  <c r="A19884" i="20"/>
  <c r="A19883" i="20"/>
  <c r="A19882" i="20"/>
  <c r="A19881" i="20"/>
  <c r="A19880" i="20"/>
  <c r="A19879" i="20"/>
  <c r="A19878" i="20"/>
  <c r="A19877" i="20"/>
  <c r="A19876" i="20"/>
  <c r="A19875" i="20"/>
  <c r="A19874" i="20"/>
  <c r="A19873" i="20"/>
  <c r="A19872" i="20"/>
  <c r="A19871" i="20"/>
  <c r="A19870" i="20"/>
  <c r="A19869" i="20"/>
  <c r="A19868" i="20"/>
  <c r="A19867" i="20"/>
  <c r="A19866" i="20"/>
  <c r="A19865" i="20"/>
  <c r="A19864" i="20"/>
  <c r="A19863" i="20"/>
  <c r="A19862" i="20"/>
  <c r="A19861" i="20"/>
  <c r="A19860" i="20"/>
  <c r="A19859" i="20"/>
  <c r="A19858" i="20"/>
  <c r="A19857" i="20"/>
  <c r="A19856" i="20"/>
  <c r="A19855" i="20"/>
  <c r="A19854" i="20"/>
  <c r="A19853" i="20"/>
  <c r="A19852" i="20"/>
  <c r="A19851" i="20"/>
  <c r="A19850" i="20"/>
  <c r="A19849" i="20"/>
  <c r="A19848" i="20"/>
  <c r="A19847" i="20"/>
  <c r="A19846" i="20"/>
  <c r="A19845" i="20"/>
  <c r="A19844" i="20"/>
  <c r="A19843" i="20"/>
  <c r="A19842" i="20"/>
  <c r="A19841" i="20"/>
  <c r="A19840" i="20"/>
  <c r="A19839" i="20"/>
  <c r="A19838" i="20"/>
  <c r="A19837" i="20"/>
  <c r="A19836" i="20"/>
  <c r="A19835" i="20"/>
  <c r="A19834" i="20"/>
  <c r="A19833" i="20"/>
  <c r="A19832" i="20"/>
  <c r="A19831" i="20"/>
  <c r="A19830" i="20"/>
  <c r="A19829" i="20"/>
  <c r="A19828" i="20"/>
  <c r="A19827" i="20"/>
  <c r="A19826" i="20"/>
  <c r="A19825" i="20"/>
  <c r="A19824" i="20"/>
  <c r="A19823" i="20"/>
  <c r="A19822" i="20"/>
  <c r="A19821" i="20"/>
  <c r="A19820" i="20"/>
  <c r="A19819" i="20"/>
  <c r="A19818" i="20"/>
  <c r="A19817" i="20"/>
  <c r="A19816" i="20"/>
  <c r="A19815" i="20"/>
  <c r="A19814" i="20"/>
  <c r="A19813" i="20"/>
  <c r="A19812" i="20"/>
  <c r="A19811" i="20"/>
  <c r="A19810" i="20"/>
  <c r="A19809" i="20"/>
  <c r="A19808" i="20"/>
  <c r="A19807" i="20"/>
  <c r="A19806" i="20"/>
  <c r="A19805" i="20"/>
  <c r="A19804" i="20"/>
  <c r="A19803" i="20"/>
  <c r="A19802" i="20"/>
  <c r="A19801" i="20"/>
  <c r="A19800" i="20"/>
  <c r="A19799" i="20"/>
  <c r="A19798" i="20"/>
  <c r="A19797" i="20"/>
  <c r="A19796" i="20"/>
  <c r="A19795" i="20"/>
  <c r="A19794" i="20"/>
  <c r="A19793" i="20"/>
  <c r="A19792" i="20"/>
  <c r="A19791" i="20"/>
  <c r="A19790" i="20"/>
  <c r="A19789" i="20"/>
  <c r="A19788" i="20"/>
  <c r="A19787" i="20"/>
  <c r="A19786" i="20"/>
  <c r="A19785" i="20"/>
  <c r="A19784" i="20"/>
  <c r="A19783" i="20"/>
  <c r="A19782" i="20"/>
  <c r="A19781" i="20"/>
  <c r="A19780" i="20"/>
  <c r="A19779" i="20"/>
  <c r="A19778" i="20"/>
  <c r="A19777" i="20"/>
  <c r="A19776" i="20"/>
  <c r="A19775" i="20"/>
  <c r="A19774" i="20"/>
  <c r="A19773" i="20"/>
  <c r="A19772" i="20"/>
  <c r="A19771" i="20"/>
  <c r="A19770" i="20"/>
  <c r="A19769" i="20"/>
  <c r="A19768" i="20"/>
  <c r="A19767" i="20"/>
  <c r="A19766" i="20"/>
  <c r="A19765" i="20"/>
  <c r="A19764" i="20"/>
  <c r="A19763" i="20"/>
  <c r="A19762" i="20"/>
  <c r="A19761" i="20"/>
  <c r="A19760" i="20"/>
  <c r="A19759" i="20"/>
  <c r="A19758" i="20"/>
  <c r="A19757" i="20"/>
  <c r="A19756" i="20"/>
  <c r="A19755" i="20"/>
  <c r="A19754" i="20"/>
  <c r="A19753" i="20"/>
  <c r="A19752" i="20"/>
  <c r="A19751" i="20"/>
  <c r="A19750" i="20"/>
  <c r="A19749" i="20"/>
  <c r="A19748" i="20"/>
  <c r="A19747" i="20"/>
  <c r="A19746" i="20"/>
  <c r="A19745" i="20"/>
  <c r="A19744" i="20"/>
  <c r="A19743" i="20"/>
  <c r="A19742" i="20"/>
  <c r="A19741" i="20"/>
  <c r="A19740" i="20"/>
  <c r="A19739" i="20"/>
  <c r="A19738" i="20"/>
  <c r="A19737" i="20"/>
  <c r="A19736" i="20"/>
  <c r="A19735" i="20"/>
  <c r="A19734" i="20"/>
  <c r="A19733" i="20"/>
  <c r="A19732" i="20"/>
  <c r="A19731" i="20"/>
  <c r="A19730" i="20"/>
  <c r="A19729" i="20"/>
  <c r="A19728" i="20"/>
  <c r="A19727" i="20"/>
  <c r="A19726" i="20"/>
  <c r="A19725" i="20"/>
  <c r="A19724" i="20"/>
  <c r="A19723" i="20"/>
  <c r="A19722" i="20"/>
  <c r="A19721" i="20"/>
  <c r="A19720" i="20"/>
  <c r="A19719" i="20"/>
  <c r="A19718" i="20"/>
  <c r="A19717" i="20"/>
  <c r="A19716" i="20"/>
  <c r="A19715" i="20"/>
  <c r="A19714" i="20"/>
  <c r="A19713" i="20"/>
  <c r="A19712" i="20"/>
  <c r="A19711" i="20"/>
  <c r="A19710" i="20"/>
  <c r="A19709" i="20"/>
  <c r="A19708" i="20"/>
  <c r="A19707" i="20"/>
  <c r="A19706" i="20"/>
  <c r="A19705" i="20"/>
  <c r="A19704" i="20"/>
  <c r="A19703" i="20"/>
  <c r="A19702" i="20"/>
  <c r="A19701" i="20"/>
  <c r="A19700" i="20"/>
  <c r="A19699" i="20"/>
  <c r="A19698" i="20"/>
  <c r="A19697" i="20"/>
  <c r="A19696" i="20"/>
  <c r="A19695" i="20"/>
  <c r="A19694" i="20"/>
  <c r="A19693" i="20"/>
  <c r="A19692" i="20"/>
  <c r="A19691" i="20"/>
  <c r="A19690" i="20"/>
  <c r="A19689" i="20"/>
  <c r="A19688" i="20"/>
  <c r="A19687" i="20"/>
  <c r="A19686" i="20"/>
  <c r="A19685" i="20"/>
  <c r="A19684" i="20"/>
  <c r="A19683" i="20"/>
  <c r="A19682" i="20"/>
  <c r="A19681" i="20"/>
  <c r="A19680" i="20"/>
  <c r="A19679" i="20"/>
  <c r="A19678" i="20"/>
  <c r="A19677" i="20"/>
  <c r="A19676" i="20"/>
  <c r="A19675" i="20"/>
  <c r="A19674" i="20"/>
  <c r="A19673" i="20"/>
  <c r="A19672" i="20"/>
  <c r="A19671" i="20"/>
  <c r="A19670" i="20"/>
  <c r="A19669" i="20"/>
  <c r="A19668" i="20"/>
  <c r="A19667" i="20"/>
  <c r="A19666" i="20"/>
  <c r="A19665" i="20"/>
  <c r="A19664" i="20"/>
  <c r="A19663" i="20"/>
  <c r="A19662" i="20"/>
  <c r="A19661" i="20"/>
  <c r="A19660" i="20"/>
  <c r="A19659" i="20"/>
  <c r="A19658" i="20"/>
  <c r="A19657" i="20"/>
  <c r="A19656" i="20"/>
  <c r="A19655" i="20"/>
  <c r="A19654" i="20"/>
  <c r="A19653" i="20"/>
  <c r="A19652" i="20"/>
  <c r="A19651" i="20"/>
  <c r="A19650" i="20"/>
  <c r="A19649" i="20"/>
  <c r="A19648" i="20"/>
  <c r="A19647" i="20"/>
  <c r="A19646" i="20"/>
  <c r="A19645" i="20"/>
  <c r="A19644" i="20"/>
  <c r="A19643" i="20"/>
  <c r="A19642" i="20"/>
  <c r="A19641" i="20"/>
  <c r="A19640" i="20"/>
  <c r="A19639" i="20"/>
  <c r="A19638" i="20"/>
  <c r="A19637" i="20"/>
  <c r="A19636" i="20"/>
  <c r="A19635" i="20"/>
  <c r="A19634" i="20"/>
  <c r="A19633" i="20"/>
  <c r="A19632" i="20"/>
  <c r="A19631" i="20"/>
  <c r="A19630" i="20"/>
  <c r="A19629" i="20"/>
  <c r="A19628" i="20"/>
  <c r="A19627" i="20"/>
  <c r="A19626" i="20"/>
  <c r="A19625" i="20"/>
  <c r="A19624" i="20"/>
  <c r="A19623" i="20"/>
  <c r="A19622" i="20"/>
  <c r="A19621" i="20"/>
  <c r="A19620" i="20"/>
  <c r="A19619" i="20"/>
  <c r="A19618" i="20"/>
  <c r="A19617" i="20"/>
  <c r="A19616" i="20"/>
  <c r="A19615" i="20"/>
  <c r="A19614" i="20"/>
  <c r="A19613" i="20"/>
  <c r="A19612" i="20"/>
  <c r="A19611" i="20"/>
  <c r="A19610" i="20"/>
  <c r="A19609" i="20"/>
  <c r="A19608" i="20"/>
  <c r="A19607" i="20"/>
  <c r="A19606" i="20"/>
  <c r="A19605" i="20"/>
  <c r="A19604" i="20"/>
  <c r="A19603" i="20"/>
  <c r="A19602" i="20"/>
  <c r="A19601" i="20"/>
  <c r="A19600" i="20"/>
  <c r="A19599" i="20"/>
  <c r="A19598" i="20"/>
  <c r="A19597" i="20"/>
  <c r="A19596" i="20"/>
  <c r="A19595" i="20"/>
  <c r="A19594" i="20"/>
  <c r="A19593" i="20"/>
  <c r="A19592" i="20"/>
  <c r="A19591" i="20"/>
  <c r="A19590" i="20"/>
  <c r="A19589" i="20"/>
  <c r="A19588" i="20"/>
  <c r="A19587" i="20"/>
  <c r="A19586" i="20"/>
  <c r="A19585" i="20"/>
  <c r="A19584" i="20"/>
  <c r="A19583" i="20"/>
  <c r="A19582" i="20"/>
  <c r="A19581" i="20"/>
  <c r="A19580" i="20"/>
  <c r="A19579" i="20"/>
  <c r="A19578" i="20"/>
  <c r="A19577" i="20"/>
  <c r="A19576" i="20"/>
  <c r="A19575" i="20"/>
  <c r="A19574" i="20"/>
  <c r="A19573" i="20"/>
  <c r="A19572" i="20"/>
  <c r="A19571" i="20"/>
  <c r="A19570" i="20"/>
  <c r="A19569" i="20"/>
  <c r="A19568" i="20"/>
  <c r="A19567" i="20"/>
  <c r="A19566" i="20"/>
  <c r="A19565" i="20"/>
  <c r="A19564" i="20"/>
  <c r="A19563" i="20"/>
  <c r="A19562" i="20"/>
  <c r="A19561" i="20"/>
  <c r="A19560" i="20"/>
  <c r="A19559" i="20"/>
  <c r="A19558" i="20"/>
  <c r="A19557" i="20"/>
  <c r="A19556" i="20"/>
  <c r="A19555" i="20"/>
  <c r="A19554" i="20"/>
  <c r="A19553" i="20"/>
  <c r="A19552" i="20"/>
  <c r="A19551" i="20"/>
  <c r="A19550" i="20"/>
  <c r="A19549" i="20"/>
  <c r="A19548" i="20"/>
  <c r="A19547" i="20"/>
  <c r="A19546" i="20"/>
  <c r="A19545" i="20"/>
  <c r="A19544" i="20"/>
  <c r="A19543" i="20"/>
  <c r="A19542" i="20"/>
  <c r="A19541" i="20"/>
  <c r="A19540" i="20"/>
  <c r="A19539" i="20"/>
  <c r="A19538" i="20"/>
  <c r="A19537" i="20"/>
  <c r="A19536" i="20"/>
  <c r="A19535" i="20"/>
  <c r="A19534" i="20"/>
  <c r="A19533" i="20"/>
  <c r="A19532" i="20"/>
  <c r="A19531" i="20"/>
  <c r="A19530" i="20"/>
  <c r="A19529" i="20"/>
  <c r="A19528" i="20"/>
  <c r="A19527" i="20"/>
  <c r="A19526" i="20"/>
  <c r="A19525" i="20"/>
  <c r="A19524" i="20"/>
  <c r="A19523" i="20"/>
  <c r="A19522" i="20"/>
  <c r="A19521" i="20"/>
  <c r="A19520" i="20"/>
  <c r="A19519" i="20"/>
  <c r="A19518" i="20"/>
  <c r="A19517" i="20"/>
  <c r="A19516" i="20"/>
  <c r="A19515" i="20"/>
  <c r="A19514" i="20"/>
  <c r="A19513" i="20"/>
  <c r="A19512" i="20"/>
  <c r="A19511" i="20"/>
  <c r="A19510" i="20"/>
  <c r="A19509" i="20"/>
  <c r="A19508" i="20"/>
  <c r="A19507" i="20"/>
  <c r="A19506" i="20"/>
  <c r="A19505" i="20"/>
  <c r="A19504" i="20"/>
  <c r="A19503" i="20"/>
  <c r="A19502" i="20"/>
  <c r="A19501" i="20"/>
  <c r="A19500" i="20"/>
  <c r="A19499" i="20"/>
  <c r="A19498" i="20"/>
  <c r="A19497" i="20"/>
  <c r="A19496" i="20"/>
  <c r="A19495" i="20"/>
  <c r="A19494" i="20"/>
  <c r="A19493" i="20"/>
  <c r="A19492" i="20"/>
  <c r="A19491" i="20"/>
  <c r="A19490" i="20"/>
  <c r="A19489" i="20"/>
  <c r="A19488" i="20"/>
  <c r="A19487" i="20"/>
  <c r="A19486" i="20"/>
  <c r="A19485" i="20"/>
  <c r="A19484" i="20"/>
  <c r="A19483" i="20"/>
  <c r="A19482" i="20"/>
  <c r="A19481" i="20"/>
  <c r="A19480" i="20"/>
  <c r="A19479" i="20"/>
  <c r="A19478" i="20"/>
  <c r="A19477" i="20"/>
  <c r="A19476" i="20"/>
  <c r="A19475" i="20"/>
  <c r="A19474" i="20"/>
  <c r="A19473" i="20"/>
  <c r="A19472" i="20"/>
  <c r="A19471" i="20"/>
  <c r="A19470" i="20"/>
  <c r="A19469" i="20"/>
  <c r="A19468" i="20"/>
  <c r="A19467" i="20"/>
  <c r="A19466" i="20"/>
  <c r="A19465" i="20"/>
  <c r="A19464" i="20"/>
  <c r="A19463" i="20"/>
  <c r="A19462" i="20"/>
  <c r="A19461" i="20"/>
  <c r="A19460" i="20"/>
  <c r="A19459" i="20"/>
  <c r="A19458" i="20"/>
  <c r="A19457" i="20"/>
  <c r="A19456" i="20"/>
  <c r="A19455" i="20"/>
  <c r="A19454" i="20"/>
  <c r="A19453" i="20"/>
  <c r="A19452" i="20"/>
  <c r="A19451" i="20"/>
  <c r="A19450" i="20"/>
  <c r="A19449" i="20"/>
  <c r="A19448" i="20"/>
  <c r="A19447" i="20"/>
  <c r="A19446" i="20"/>
  <c r="A19445" i="20"/>
  <c r="A19444" i="20"/>
  <c r="A19443" i="20"/>
  <c r="A19442" i="20"/>
  <c r="A19441" i="20"/>
  <c r="A19440" i="20"/>
  <c r="A19439" i="20"/>
  <c r="A19438" i="20"/>
  <c r="A19437" i="20"/>
  <c r="A19436" i="20"/>
  <c r="A19435" i="20"/>
  <c r="A19434" i="20"/>
  <c r="A19433" i="20"/>
  <c r="A19432" i="20"/>
  <c r="A19431" i="20"/>
  <c r="A19430" i="20"/>
  <c r="A19429" i="20"/>
  <c r="A19428" i="20"/>
  <c r="A19427" i="20"/>
  <c r="A19426" i="20"/>
  <c r="A19425" i="20"/>
  <c r="A19424" i="20"/>
  <c r="A19423" i="20"/>
  <c r="A19422" i="20"/>
  <c r="A19421" i="20"/>
  <c r="A19420" i="20"/>
  <c r="A19419" i="20"/>
  <c r="A19418" i="20"/>
  <c r="A19417" i="20"/>
  <c r="A19416" i="20"/>
  <c r="A19415" i="20"/>
  <c r="A19414" i="20"/>
  <c r="A19413" i="20"/>
  <c r="A19412" i="20"/>
  <c r="A19411" i="20"/>
  <c r="A19410" i="20"/>
  <c r="A19409" i="20"/>
  <c r="A19408" i="20"/>
  <c r="A19407" i="20"/>
  <c r="A19406" i="20"/>
  <c r="A19405" i="20"/>
  <c r="A19404" i="20"/>
  <c r="A19403" i="20"/>
  <c r="A19402" i="20"/>
  <c r="A19401" i="20"/>
  <c r="A19400" i="20"/>
  <c r="A19399" i="20"/>
  <c r="A19398" i="20"/>
  <c r="A19397" i="20"/>
  <c r="A19396" i="20"/>
  <c r="A19395" i="20"/>
  <c r="A19394" i="20"/>
  <c r="A19393" i="20"/>
  <c r="A19392" i="20"/>
  <c r="A19391" i="20"/>
  <c r="A19390" i="20"/>
  <c r="A19389" i="20"/>
  <c r="A19388" i="20"/>
  <c r="A19387" i="20"/>
  <c r="A19386" i="20"/>
  <c r="A19385" i="20"/>
  <c r="A19384" i="20"/>
  <c r="A19383" i="20"/>
  <c r="A19382" i="20"/>
  <c r="A19381" i="20"/>
  <c r="A19380" i="20"/>
  <c r="A19379" i="20"/>
  <c r="A19378" i="20"/>
  <c r="A19377" i="20"/>
  <c r="A19376" i="20"/>
  <c r="A19375" i="20"/>
  <c r="A19374" i="20"/>
  <c r="A19373" i="20"/>
  <c r="A19372" i="20"/>
  <c r="A19371" i="20"/>
  <c r="A19370" i="20"/>
  <c r="A19369" i="20"/>
  <c r="A19368" i="20"/>
  <c r="A19367" i="20"/>
  <c r="A19366" i="20"/>
  <c r="A19365" i="20"/>
  <c r="A19364" i="20"/>
  <c r="A19363" i="20"/>
  <c r="A19362" i="20"/>
  <c r="A19361" i="20"/>
  <c r="A19360" i="20"/>
  <c r="A19359" i="20"/>
  <c r="A19358" i="20"/>
  <c r="A19357" i="20"/>
  <c r="A19356" i="20"/>
  <c r="A19355" i="20"/>
  <c r="A19354" i="20"/>
  <c r="A19353" i="20"/>
  <c r="A19352" i="20"/>
  <c r="A19351" i="20"/>
  <c r="A19350" i="20"/>
  <c r="A19349" i="20"/>
  <c r="A19348" i="20"/>
  <c r="A19347" i="20"/>
  <c r="A19346" i="20"/>
  <c r="A19345" i="20"/>
  <c r="A19344" i="20"/>
  <c r="A19343" i="20"/>
  <c r="A19342" i="20"/>
  <c r="A19341" i="20"/>
  <c r="A19340" i="20"/>
  <c r="A19339" i="20"/>
  <c r="A19338" i="20"/>
  <c r="A19337" i="20"/>
  <c r="A19336" i="20"/>
  <c r="A19335" i="20"/>
  <c r="A19334" i="20"/>
  <c r="A19333" i="20"/>
  <c r="A19332" i="20"/>
  <c r="A19331" i="20"/>
  <c r="A19330" i="20"/>
  <c r="A19329" i="20"/>
  <c r="A19328" i="20"/>
  <c r="A19327" i="20"/>
  <c r="A19326" i="20"/>
  <c r="A19325" i="20"/>
  <c r="A19324" i="20"/>
  <c r="A19323" i="20"/>
  <c r="A19322" i="20"/>
  <c r="A19321" i="20"/>
  <c r="A19320" i="20"/>
  <c r="A19319" i="20"/>
  <c r="A19318" i="20"/>
  <c r="A19317" i="20"/>
  <c r="A19316" i="20"/>
  <c r="A19315" i="20"/>
  <c r="A19314" i="20"/>
  <c r="A19313" i="20"/>
  <c r="A19312" i="20"/>
  <c r="A19311" i="20"/>
  <c r="A19310" i="20"/>
  <c r="A19309" i="20"/>
  <c r="A19308" i="20"/>
  <c r="A19307" i="20"/>
  <c r="A19306" i="20"/>
  <c r="A19305" i="20"/>
  <c r="A19304" i="20"/>
  <c r="A19303" i="20"/>
  <c r="A19302" i="20"/>
  <c r="A19301" i="20"/>
  <c r="A19300" i="20"/>
  <c r="A19299" i="20"/>
  <c r="A19298" i="20"/>
  <c r="A19297" i="20"/>
  <c r="A19296" i="20"/>
  <c r="A19295" i="20"/>
  <c r="A19294" i="20"/>
  <c r="A19293" i="20"/>
  <c r="A19292" i="20"/>
  <c r="A19291" i="20"/>
  <c r="A19290" i="20"/>
  <c r="A19289" i="20"/>
  <c r="A19288" i="20"/>
  <c r="A19287" i="20"/>
  <c r="A19286" i="20"/>
  <c r="A19285" i="20"/>
  <c r="A19284" i="20"/>
  <c r="A19283" i="20"/>
  <c r="A19282" i="20"/>
  <c r="A19281" i="20"/>
  <c r="A19280" i="20"/>
  <c r="A19279" i="20"/>
  <c r="A19278" i="20"/>
  <c r="A19277" i="20"/>
  <c r="A19276" i="20"/>
  <c r="A19275" i="20"/>
  <c r="A19274" i="20"/>
  <c r="A19273" i="20"/>
  <c r="A19272" i="20"/>
  <c r="A19271" i="20"/>
  <c r="A19270" i="20"/>
  <c r="A19269" i="20"/>
  <c r="A19268" i="20"/>
  <c r="A19267" i="20"/>
  <c r="A19266" i="20"/>
  <c r="A19265" i="20"/>
  <c r="A19264" i="20"/>
  <c r="A19263" i="20"/>
  <c r="A19262" i="20"/>
  <c r="A19261" i="20"/>
  <c r="A19260" i="20"/>
  <c r="A19259" i="20"/>
  <c r="A19258" i="20"/>
  <c r="A19257" i="20"/>
  <c r="A19256" i="20"/>
  <c r="A19255" i="20"/>
  <c r="A19254" i="20"/>
  <c r="A19253" i="20"/>
  <c r="A19252" i="20"/>
  <c r="A19251" i="20"/>
  <c r="A19250" i="20"/>
  <c r="A19249" i="20"/>
  <c r="A19248" i="20"/>
  <c r="A19247" i="20"/>
  <c r="A19246" i="20"/>
  <c r="A19245" i="20"/>
  <c r="A19244" i="20"/>
  <c r="A19243" i="20"/>
  <c r="A19242" i="20"/>
  <c r="A19241" i="20"/>
  <c r="A19240" i="20"/>
  <c r="A19239" i="20"/>
  <c r="A19238" i="20"/>
  <c r="A19237" i="20"/>
  <c r="A19236" i="20"/>
  <c r="A19235" i="20"/>
  <c r="A19234" i="20"/>
  <c r="A19233" i="20"/>
  <c r="A19232" i="20"/>
  <c r="A19231" i="20"/>
  <c r="A19230" i="20"/>
  <c r="A19229" i="20"/>
  <c r="A19228" i="20"/>
  <c r="A19227" i="20"/>
  <c r="A19226" i="20"/>
  <c r="A19225" i="20"/>
  <c r="A19224" i="20"/>
  <c r="A19223" i="20"/>
  <c r="A19222" i="20"/>
  <c r="A19221" i="20"/>
  <c r="A19220" i="20"/>
  <c r="A19219" i="20"/>
  <c r="A19218" i="20"/>
  <c r="A19217" i="20"/>
  <c r="A19216" i="20"/>
  <c r="A19215" i="20"/>
  <c r="A19214" i="20"/>
  <c r="A19213" i="20"/>
  <c r="A19212" i="20"/>
  <c r="A19211" i="20"/>
  <c r="A19210" i="20"/>
  <c r="A19209" i="20"/>
  <c r="A19208" i="20"/>
  <c r="A19207" i="20"/>
  <c r="A19206" i="20"/>
  <c r="A19205" i="20"/>
  <c r="A19204" i="20"/>
  <c r="A19203" i="20"/>
  <c r="A19202" i="20"/>
  <c r="A19201" i="20"/>
  <c r="A19200" i="20"/>
  <c r="A19199" i="20"/>
  <c r="A19198" i="20"/>
  <c r="A19197" i="20"/>
  <c r="A19196" i="20"/>
  <c r="A19195" i="20"/>
  <c r="A19194" i="20"/>
  <c r="A19193" i="20"/>
  <c r="A19192" i="20"/>
  <c r="A19191" i="20"/>
  <c r="A19190" i="20"/>
  <c r="A19189" i="20"/>
  <c r="A19188" i="20"/>
  <c r="A19187" i="20"/>
  <c r="A19186" i="20"/>
  <c r="A19185" i="20"/>
  <c r="A19184" i="20"/>
  <c r="A19183" i="20"/>
  <c r="A19182" i="20"/>
  <c r="A19181" i="20"/>
  <c r="A19180" i="20"/>
  <c r="A19179" i="20"/>
  <c r="A19178" i="20"/>
  <c r="A19177" i="20"/>
  <c r="A19176" i="20"/>
  <c r="A19175" i="20"/>
  <c r="A19174" i="20"/>
  <c r="A19173" i="20"/>
  <c r="A19172" i="20"/>
  <c r="A19171" i="20"/>
  <c r="A19170" i="20"/>
  <c r="A19169" i="20"/>
  <c r="A19168" i="20"/>
  <c r="A19167" i="20"/>
  <c r="A19166" i="20"/>
  <c r="A19165" i="20"/>
  <c r="A19164" i="20"/>
  <c r="A19163" i="20"/>
  <c r="A19162" i="20"/>
  <c r="A19161" i="20"/>
  <c r="A19160" i="20"/>
  <c r="A19159" i="20"/>
  <c r="A19158" i="20"/>
  <c r="A19157" i="20"/>
  <c r="A19156" i="20"/>
  <c r="A19155" i="20"/>
  <c r="A19154" i="20"/>
  <c r="A19153" i="20"/>
  <c r="A19152" i="20"/>
  <c r="A19151" i="20"/>
  <c r="A19150" i="20"/>
  <c r="A19149" i="20"/>
  <c r="A19148" i="20"/>
  <c r="A19147" i="20"/>
  <c r="A19146" i="20"/>
  <c r="A19145" i="20"/>
  <c r="A19144" i="20"/>
  <c r="A19143" i="20"/>
  <c r="A19142" i="20"/>
  <c r="A19141" i="20"/>
  <c r="A19140" i="20"/>
  <c r="A19139" i="20"/>
  <c r="A19138" i="20"/>
  <c r="A19137" i="20"/>
  <c r="A19136" i="20"/>
  <c r="A19135" i="20"/>
  <c r="A19134" i="20"/>
  <c r="A19133" i="20"/>
  <c r="A19132" i="20"/>
  <c r="A19131" i="20"/>
  <c r="A19130" i="20"/>
  <c r="A19129" i="20"/>
  <c r="A19128" i="20"/>
  <c r="A19127" i="20"/>
  <c r="A19126" i="20"/>
  <c r="A19125" i="20"/>
  <c r="A19124" i="20"/>
  <c r="A19123" i="20"/>
  <c r="A19122" i="20"/>
  <c r="A19121" i="20"/>
  <c r="A19120" i="20"/>
  <c r="A19119" i="20"/>
  <c r="A19118" i="20"/>
  <c r="A19117" i="20"/>
  <c r="A19116" i="20"/>
  <c r="A19115" i="20"/>
  <c r="A19114" i="20"/>
  <c r="A19113" i="20"/>
  <c r="A19112" i="20"/>
  <c r="A19111" i="20"/>
  <c r="A19110" i="20"/>
  <c r="A19109" i="20"/>
  <c r="A19108" i="20"/>
  <c r="A19107" i="20"/>
  <c r="A19106" i="20"/>
  <c r="A19105" i="20"/>
  <c r="A19104" i="20"/>
  <c r="A19103" i="20"/>
  <c r="A19102" i="20"/>
  <c r="A19101" i="20"/>
  <c r="A19100" i="20"/>
  <c r="A19099" i="20"/>
  <c r="A19098" i="20"/>
  <c r="A19097" i="20"/>
  <c r="A19096" i="20"/>
  <c r="A19095" i="20"/>
  <c r="A19094" i="20"/>
  <c r="A19093" i="20"/>
  <c r="A19092" i="20"/>
  <c r="A19091" i="20"/>
  <c r="A19090" i="20"/>
  <c r="A19089" i="20"/>
  <c r="A19088" i="20"/>
  <c r="A19087" i="20"/>
  <c r="A19086" i="20"/>
  <c r="A19085" i="20"/>
  <c r="A19084" i="20"/>
  <c r="A19083" i="20"/>
  <c r="A19082" i="20"/>
  <c r="A19081" i="20"/>
  <c r="A19080" i="20"/>
  <c r="A19079" i="20"/>
  <c r="A19078" i="20"/>
  <c r="A19077" i="20"/>
  <c r="A19076" i="20"/>
  <c r="A19075" i="20"/>
  <c r="A19074" i="20"/>
  <c r="A19073" i="20"/>
  <c r="A19072" i="20"/>
  <c r="A19071" i="20"/>
  <c r="A19070" i="20"/>
  <c r="A19069" i="20"/>
  <c r="A19068" i="20"/>
  <c r="A19067" i="20"/>
  <c r="A19066" i="20"/>
  <c r="A19065" i="20"/>
  <c r="A19064" i="20"/>
  <c r="A19063" i="20"/>
  <c r="A19062" i="20"/>
  <c r="A19061" i="20"/>
  <c r="A19060" i="20"/>
  <c r="A19059" i="20"/>
  <c r="A19058" i="20"/>
  <c r="A19057" i="20"/>
  <c r="A19056" i="20"/>
  <c r="A19055" i="20"/>
  <c r="A19054" i="20"/>
  <c r="A19053" i="20"/>
  <c r="A19052" i="20"/>
  <c r="A19051" i="20"/>
  <c r="A19050" i="20"/>
  <c r="A19049" i="20"/>
  <c r="A19048" i="20"/>
  <c r="A19047" i="20"/>
  <c r="A19046" i="20"/>
  <c r="A19045" i="20"/>
  <c r="A19044" i="20"/>
  <c r="A19043" i="20"/>
  <c r="A19042" i="20"/>
  <c r="A19041" i="20"/>
  <c r="A19040" i="20"/>
  <c r="A19039" i="20"/>
  <c r="A19038" i="20"/>
  <c r="A19037" i="20"/>
  <c r="A19036" i="20"/>
  <c r="A19035" i="20"/>
  <c r="A19034" i="20"/>
  <c r="A19033" i="20"/>
  <c r="A19032" i="20"/>
  <c r="A19031" i="20"/>
  <c r="A19030" i="20"/>
  <c r="A19029" i="20"/>
  <c r="A19028" i="20"/>
  <c r="A19027" i="20"/>
  <c r="A19026" i="20"/>
  <c r="A19025" i="20"/>
  <c r="A19024" i="20"/>
  <c r="A19023" i="20"/>
  <c r="A19022" i="20"/>
  <c r="A19021" i="20"/>
  <c r="A19020" i="20"/>
  <c r="A19019" i="20"/>
  <c r="A19018" i="20"/>
  <c r="A19017" i="20"/>
  <c r="A19016" i="20"/>
  <c r="A19015" i="20"/>
  <c r="A19014" i="20"/>
  <c r="A19013" i="20"/>
  <c r="A19012" i="20"/>
  <c r="A19011" i="20"/>
  <c r="A19010" i="20"/>
  <c r="A19009" i="20"/>
  <c r="A19008" i="20"/>
  <c r="A19007" i="20"/>
  <c r="A19006" i="20"/>
  <c r="A19005" i="20"/>
  <c r="A19004" i="20"/>
  <c r="A19003" i="20"/>
  <c r="A19002" i="20"/>
  <c r="A19001" i="20"/>
  <c r="A19000" i="20"/>
  <c r="A18999" i="20"/>
  <c r="A18998" i="20"/>
  <c r="A18997" i="20"/>
  <c r="A18996" i="20"/>
  <c r="A18995" i="20"/>
  <c r="A18994" i="20"/>
  <c r="A18993" i="20"/>
  <c r="A18992" i="20"/>
  <c r="A18991" i="20"/>
  <c r="A18990" i="20"/>
  <c r="A18989" i="20"/>
  <c r="A18988" i="20"/>
  <c r="A18987" i="20"/>
  <c r="A18986" i="20"/>
  <c r="A18985" i="20"/>
  <c r="A18984" i="20"/>
  <c r="A18983" i="20"/>
  <c r="A18982" i="20"/>
  <c r="A18981" i="20"/>
  <c r="A18980" i="20"/>
  <c r="A18979" i="20"/>
  <c r="A18978" i="20"/>
  <c r="A18977" i="20"/>
  <c r="A18976" i="20"/>
  <c r="A18975" i="20"/>
  <c r="A18974" i="20"/>
  <c r="A18973" i="20"/>
  <c r="A18972" i="20"/>
  <c r="A18971" i="20"/>
  <c r="A18970" i="20"/>
  <c r="A18969" i="20"/>
  <c r="A18968" i="20"/>
  <c r="A18967" i="20"/>
  <c r="A18966" i="20"/>
  <c r="A18965" i="20"/>
  <c r="A18964" i="20"/>
  <c r="A18963" i="20"/>
  <c r="A18962" i="20"/>
  <c r="A18961" i="20"/>
  <c r="A18960" i="20"/>
  <c r="A18959" i="20"/>
  <c r="A18958" i="20"/>
  <c r="A18957" i="20"/>
  <c r="A18956" i="20"/>
  <c r="A18955" i="20"/>
  <c r="A18954" i="20"/>
  <c r="A18953" i="20"/>
  <c r="A18952" i="20"/>
  <c r="A18951" i="20"/>
  <c r="A18950" i="20"/>
  <c r="A18949" i="20"/>
  <c r="A18948" i="20"/>
  <c r="A18947" i="20"/>
  <c r="A18946" i="20"/>
  <c r="A18945" i="20"/>
  <c r="A18944" i="20"/>
  <c r="A18943" i="20"/>
  <c r="A18942" i="20"/>
  <c r="A18941" i="20"/>
  <c r="A18940" i="20"/>
  <c r="A18939" i="20"/>
  <c r="A18938" i="20"/>
  <c r="A18937" i="20"/>
  <c r="A18936" i="20"/>
  <c r="A18935" i="20"/>
  <c r="A18934" i="20"/>
  <c r="A18933" i="20"/>
  <c r="A18932" i="20"/>
  <c r="A18931" i="20"/>
  <c r="A18930" i="20"/>
  <c r="A18929" i="20"/>
  <c r="A18928" i="20"/>
  <c r="A18927" i="20"/>
  <c r="A18926" i="20"/>
  <c r="A18925" i="20"/>
  <c r="A18924" i="20"/>
  <c r="A18923" i="20"/>
  <c r="A18922" i="20"/>
  <c r="A18921" i="20"/>
  <c r="A18920" i="20"/>
  <c r="A18919" i="20"/>
  <c r="A18918" i="20"/>
  <c r="A18917" i="20"/>
  <c r="A18916" i="20"/>
  <c r="A18915" i="20"/>
  <c r="A18914" i="20"/>
  <c r="A18913" i="20"/>
  <c r="A18912" i="20"/>
  <c r="A18911" i="20"/>
  <c r="A18910" i="20"/>
  <c r="A18909" i="20"/>
  <c r="A18908" i="20"/>
  <c r="A18907" i="20"/>
  <c r="A18906" i="20"/>
  <c r="A18905" i="20"/>
  <c r="A18904" i="20"/>
  <c r="A18903" i="20"/>
  <c r="A18902" i="20"/>
  <c r="A18901" i="20"/>
  <c r="A18900" i="20"/>
  <c r="A18899" i="20"/>
  <c r="A18898" i="20"/>
  <c r="A18897" i="20"/>
  <c r="A18896" i="20"/>
  <c r="A18895" i="20"/>
  <c r="A18894" i="20"/>
  <c r="A18893" i="20"/>
  <c r="A18892" i="20"/>
  <c r="A18891" i="20"/>
  <c r="A18890" i="20"/>
  <c r="A18889" i="20"/>
  <c r="A18888" i="20"/>
  <c r="A18887" i="20"/>
  <c r="A18886" i="20"/>
  <c r="A18885" i="20"/>
  <c r="A18884" i="20"/>
  <c r="A18883" i="20"/>
  <c r="A18882" i="20"/>
  <c r="A18881" i="20"/>
  <c r="A18880" i="20"/>
  <c r="A18879" i="20"/>
  <c r="A18878" i="20"/>
  <c r="A18877" i="20"/>
  <c r="A18876" i="20"/>
  <c r="A18875" i="20"/>
  <c r="A18874" i="20"/>
  <c r="A18873" i="20"/>
  <c r="A18872" i="20"/>
  <c r="A18871" i="20"/>
  <c r="A18870" i="20"/>
  <c r="A18869" i="20"/>
  <c r="A18868" i="20"/>
  <c r="A18867" i="20"/>
  <c r="A18866" i="20"/>
  <c r="A18865" i="20"/>
  <c r="A18864" i="20"/>
  <c r="A18863" i="20"/>
  <c r="A18862" i="20"/>
  <c r="A18861" i="20"/>
  <c r="A18860" i="20"/>
  <c r="A18859" i="20"/>
  <c r="A18858" i="20"/>
  <c r="A18857" i="20"/>
  <c r="A18856" i="20"/>
  <c r="A18855" i="20"/>
  <c r="A18854" i="20"/>
  <c r="A18853" i="20"/>
  <c r="A18852" i="20"/>
  <c r="A18851" i="20"/>
  <c r="A18850" i="20"/>
  <c r="A18849" i="20"/>
  <c r="A18848" i="20"/>
  <c r="A18847" i="20"/>
  <c r="A18846" i="20"/>
  <c r="A18845" i="20"/>
  <c r="A18844" i="20"/>
  <c r="A18843" i="20"/>
  <c r="A18842" i="20"/>
  <c r="A18841" i="20"/>
  <c r="A18840" i="20"/>
  <c r="A18839" i="20"/>
  <c r="A18838" i="20"/>
  <c r="A18837" i="20"/>
  <c r="A18836" i="20"/>
  <c r="A18835" i="20"/>
  <c r="A18834" i="20"/>
  <c r="A18833" i="20"/>
  <c r="A18832" i="20"/>
  <c r="A18831" i="20"/>
  <c r="A18830" i="20"/>
  <c r="A18829" i="20"/>
  <c r="A18828" i="20"/>
  <c r="A18827" i="20"/>
  <c r="A18826" i="20"/>
  <c r="A18825" i="20"/>
  <c r="A18824" i="20"/>
  <c r="A18823" i="20"/>
  <c r="A18822" i="20"/>
  <c r="A18821" i="20"/>
  <c r="A18820" i="20"/>
  <c r="A18819" i="20"/>
  <c r="A18818" i="20"/>
  <c r="A18817" i="20"/>
  <c r="A18816" i="20"/>
  <c r="A18815" i="20"/>
  <c r="A18814" i="20"/>
  <c r="A18813" i="20"/>
  <c r="A18812" i="20"/>
  <c r="A18811" i="20"/>
  <c r="A18810" i="20"/>
  <c r="A18809" i="20"/>
  <c r="A18808" i="20"/>
  <c r="A18807" i="20"/>
  <c r="A18806" i="20"/>
  <c r="A18805" i="20"/>
  <c r="A18804" i="20"/>
  <c r="A18803" i="20"/>
  <c r="A18802" i="20"/>
  <c r="A18801" i="20"/>
  <c r="A18800" i="20"/>
  <c r="A18799" i="20"/>
  <c r="A18798" i="20"/>
  <c r="A18797" i="20"/>
  <c r="A18796" i="20"/>
  <c r="A18795" i="20"/>
  <c r="A18794" i="20"/>
  <c r="A18793" i="20"/>
  <c r="A18792" i="20"/>
  <c r="A18791" i="20"/>
  <c r="A18790" i="20"/>
  <c r="A18789" i="20"/>
  <c r="A18788" i="20"/>
  <c r="A18787" i="20"/>
  <c r="A18786" i="20"/>
  <c r="A18785" i="20"/>
  <c r="A18784" i="20"/>
  <c r="A18783" i="20"/>
  <c r="A18782" i="20"/>
  <c r="A18781" i="20"/>
  <c r="A18780" i="20"/>
  <c r="A18779" i="20"/>
  <c r="A18778" i="20"/>
  <c r="A18777" i="20"/>
  <c r="A18776" i="20"/>
  <c r="A18775" i="20"/>
  <c r="A18774" i="20"/>
  <c r="A18773" i="20"/>
  <c r="A18772" i="20"/>
  <c r="A18771" i="20"/>
  <c r="A18770" i="20"/>
  <c r="A18769" i="20"/>
  <c r="A18768" i="20"/>
  <c r="A18767" i="20"/>
  <c r="A18766" i="20"/>
  <c r="A18765" i="20"/>
  <c r="A18764" i="20"/>
  <c r="A18763" i="20"/>
  <c r="A18762" i="20"/>
  <c r="A18761" i="20"/>
  <c r="A18760" i="20"/>
  <c r="A18759" i="20"/>
  <c r="A18758" i="20"/>
  <c r="A18757" i="20"/>
  <c r="A18756" i="20"/>
  <c r="A18755" i="20"/>
  <c r="A18754" i="20"/>
  <c r="A18753" i="20"/>
  <c r="A18752" i="20"/>
  <c r="A18751" i="20"/>
  <c r="A18750" i="20"/>
  <c r="A18749" i="20"/>
  <c r="A18748" i="20"/>
  <c r="A18747" i="20"/>
  <c r="A18746" i="20"/>
  <c r="A18745" i="20"/>
  <c r="A18744" i="20"/>
  <c r="A18743" i="20"/>
  <c r="A18742" i="20"/>
  <c r="A18741" i="20"/>
  <c r="A18740" i="20"/>
  <c r="A18739" i="20"/>
  <c r="A18738" i="20"/>
  <c r="A18737" i="20"/>
  <c r="A18736" i="20"/>
  <c r="A18735" i="20"/>
  <c r="A18734" i="20"/>
  <c r="A18733" i="20"/>
  <c r="A18732" i="20"/>
  <c r="A18731" i="20"/>
  <c r="A18730" i="20"/>
  <c r="A18729" i="20"/>
  <c r="A18728" i="20"/>
  <c r="A18727" i="20"/>
  <c r="A18726" i="20"/>
  <c r="A18725" i="20"/>
  <c r="A18724" i="20"/>
  <c r="A18723" i="20"/>
  <c r="A18722" i="20"/>
  <c r="A18721" i="20"/>
  <c r="A18720" i="20"/>
  <c r="A18719" i="20"/>
  <c r="A18718" i="20"/>
  <c r="A18717" i="20"/>
  <c r="A18716" i="20"/>
  <c r="A18715" i="20"/>
  <c r="A18714" i="20"/>
  <c r="A18713" i="20"/>
  <c r="A18712" i="20"/>
  <c r="A18711" i="20"/>
  <c r="A18710" i="20"/>
  <c r="A18709" i="20"/>
  <c r="A18708" i="20"/>
  <c r="A18707" i="20"/>
  <c r="A18706" i="20"/>
  <c r="A18705" i="20"/>
  <c r="A18704" i="20"/>
  <c r="A18703" i="20"/>
  <c r="A18702" i="20"/>
  <c r="A18701" i="20"/>
  <c r="A18700" i="20"/>
  <c r="A18699" i="20"/>
  <c r="A18698" i="20"/>
  <c r="A18697" i="20"/>
  <c r="A18696" i="20"/>
  <c r="A18695" i="20"/>
  <c r="A18694" i="20"/>
  <c r="A18693" i="20"/>
  <c r="A18692" i="20"/>
  <c r="A18691" i="20"/>
  <c r="A18690" i="20"/>
  <c r="A18689" i="20"/>
  <c r="A18688" i="20"/>
  <c r="A18687" i="20"/>
  <c r="A18686" i="20"/>
  <c r="A18685" i="20"/>
  <c r="A18684" i="20"/>
  <c r="A18683" i="20"/>
  <c r="A18682" i="20"/>
  <c r="A18681" i="20"/>
  <c r="A18680" i="20"/>
  <c r="A18679" i="20"/>
  <c r="A18678" i="20"/>
  <c r="A18677" i="20"/>
  <c r="A18676" i="20"/>
  <c r="A18675" i="20"/>
  <c r="A18674" i="20"/>
  <c r="A18673" i="20"/>
  <c r="A18672" i="20"/>
  <c r="A18671" i="20"/>
  <c r="A18670" i="20"/>
  <c r="A18669" i="20"/>
  <c r="A18668" i="20"/>
  <c r="A18667" i="20"/>
  <c r="A18666" i="20"/>
  <c r="A18665" i="20"/>
  <c r="A18664" i="20"/>
  <c r="A18663" i="20"/>
  <c r="A18662" i="20"/>
  <c r="A18661" i="20"/>
  <c r="A18660" i="20"/>
  <c r="A18659" i="20"/>
  <c r="A18658" i="20"/>
  <c r="A18657" i="20"/>
  <c r="A18656" i="20"/>
  <c r="A18655" i="20"/>
  <c r="A18654" i="20"/>
  <c r="A18653" i="20"/>
  <c r="A18652" i="20"/>
  <c r="A18651" i="20"/>
  <c r="A18650" i="20"/>
  <c r="A18649" i="20"/>
  <c r="A18648" i="20"/>
  <c r="A18647" i="20"/>
  <c r="A18646" i="20"/>
  <c r="A18645" i="20"/>
  <c r="A18644" i="20"/>
  <c r="A18643" i="20"/>
  <c r="A18642" i="20"/>
  <c r="A18641" i="20"/>
  <c r="A18640" i="20"/>
  <c r="A18639" i="20"/>
  <c r="A18638" i="20"/>
  <c r="A18637" i="20"/>
  <c r="A18636" i="20"/>
  <c r="A18635" i="20"/>
  <c r="A18634" i="20"/>
  <c r="A18633" i="20"/>
  <c r="A18632" i="20"/>
  <c r="A18631" i="20"/>
  <c r="A18630" i="20"/>
  <c r="A18629" i="20"/>
  <c r="A18628" i="20"/>
  <c r="A18627" i="20"/>
  <c r="A18626" i="20"/>
  <c r="A18625" i="20"/>
  <c r="A18624" i="20"/>
  <c r="A18623" i="20"/>
  <c r="A18622" i="20"/>
  <c r="A18621" i="20"/>
  <c r="A18620" i="20"/>
  <c r="A18619" i="20"/>
  <c r="A18618" i="20"/>
  <c r="A18617" i="20"/>
  <c r="A18616" i="20"/>
  <c r="A18615" i="20"/>
  <c r="A18614" i="20"/>
  <c r="A18613" i="20"/>
  <c r="A18612" i="20"/>
  <c r="A18611" i="20"/>
  <c r="A18610" i="20"/>
  <c r="A18609" i="20"/>
  <c r="A18608" i="20"/>
  <c r="A18607" i="20"/>
  <c r="A18606" i="20"/>
  <c r="A18605" i="20"/>
  <c r="A18604" i="20"/>
  <c r="A18603" i="20"/>
  <c r="A18602" i="20"/>
  <c r="A18601" i="20"/>
  <c r="A18600" i="20"/>
  <c r="A18599" i="20"/>
  <c r="A18598" i="20"/>
  <c r="A18597" i="20"/>
  <c r="A18596" i="20"/>
  <c r="A18595" i="20"/>
  <c r="A18594" i="20"/>
  <c r="A18593" i="20"/>
  <c r="A18592" i="20"/>
  <c r="A18591" i="20"/>
  <c r="A18590" i="20"/>
  <c r="A18589" i="20"/>
  <c r="A18588" i="20"/>
  <c r="A18587" i="20"/>
  <c r="A18586" i="20"/>
  <c r="A18585" i="20"/>
  <c r="A18584" i="20"/>
  <c r="A18583" i="20"/>
  <c r="A18582" i="20"/>
  <c r="A18581" i="20"/>
  <c r="A18580" i="20"/>
  <c r="A18579" i="20"/>
  <c r="A18578" i="20"/>
  <c r="A18577" i="20"/>
  <c r="A18576" i="20"/>
  <c r="A18575" i="20"/>
  <c r="A18574" i="20"/>
  <c r="A18573" i="20"/>
  <c r="A18572" i="20"/>
  <c r="A18571" i="20"/>
  <c r="A18570" i="20"/>
  <c r="A18569" i="20"/>
  <c r="A18568" i="20"/>
  <c r="A18567" i="20"/>
  <c r="A18566" i="20"/>
  <c r="A18565" i="20"/>
  <c r="A18564" i="20"/>
  <c r="A18563" i="20"/>
  <c r="A18562" i="20"/>
  <c r="A18561" i="20"/>
  <c r="A18560" i="20"/>
  <c r="A18559" i="20"/>
  <c r="A18558" i="20"/>
  <c r="A18557" i="20"/>
  <c r="A18556" i="20"/>
  <c r="A18555" i="20"/>
  <c r="A18554" i="20"/>
  <c r="A18553" i="20"/>
  <c r="A18552" i="20"/>
  <c r="A18551" i="20"/>
  <c r="A18550" i="20"/>
  <c r="A18549" i="20"/>
  <c r="A18548" i="20"/>
  <c r="A18547" i="20"/>
  <c r="A18546" i="20"/>
  <c r="A18545" i="20"/>
  <c r="A18544" i="20"/>
  <c r="A18543" i="20"/>
  <c r="A18542" i="20"/>
  <c r="A18541" i="20"/>
  <c r="A18540" i="20"/>
  <c r="A18539" i="20"/>
  <c r="A18538" i="20"/>
  <c r="A18537" i="20"/>
  <c r="A18536" i="20"/>
  <c r="A18535" i="20"/>
  <c r="A18534" i="20"/>
  <c r="A18533" i="20"/>
  <c r="A18532" i="20"/>
  <c r="A18531" i="20"/>
  <c r="A18530" i="20"/>
  <c r="A18529" i="20"/>
  <c r="A18528" i="20"/>
  <c r="A18527" i="20"/>
  <c r="A18526" i="20"/>
  <c r="A18525" i="20"/>
  <c r="A18524" i="20"/>
  <c r="A18523" i="20"/>
  <c r="A18522" i="20"/>
  <c r="A18521" i="20"/>
  <c r="A18520" i="20"/>
  <c r="A18519" i="20"/>
  <c r="A18518" i="20"/>
  <c r="A18517" i="20"/>
  <c r="A18516" i="20"/>
  <c r="A18515" i="20"/>
  <c r="A18514" i="20"/>
  <c r="A18513" i="20"/>
  <c r="A18512" i="20"/>
  <c r="A18511" i="20"/>
  <c r="A18510" i="20"/>
  <c r="A18509" i="20"/>
  <c r="A18508" i="20"/>
  <c r="A18507" i="20"/>
  <c r="A18506" i="20"/>
  <c r="A18505" i="20"/>
  <c r="A18504" i="20"/>
  <c r="A18503" i="20"/>
  <c r="A18502" i="20"/>
  <c r="A18501" i="20"/>
  <c r="A18500" i="20"/>
  <c r="A18499" i="20"/>
  <c r="A18498" i="20"/>
  <c r="A18497" i="20"/>
  <c r="A18496" i="20"/>
  <c r="A18495" i="20"/>
  <c r="A18494" i="20"/>
  <c r="A18493" i="20"/>
  <c r="A18492" i="20"/>
  <c r="A18491" i="20"/>
  <c r="A18490" i="20"/>
  <c r="A18489" i="20"/>
  <c r="A18488" i="20"/>
  <c r="A18487" i="20"/>
  <c r="A18486" i="20"/>
  <c r="A18485" i="20"/>
  <c r="A18484" i="20"/>
  <c r="A18483" i="20"/>
  <c r="A18482" i="20"/>
  <c r="A18481" i="20"/>
  <c r="A18480" i="20"/>
  <c r="A18479" i="20"/>
  <c r="A18478" i="20"/>
  <c r="A18477" i="20"/>
  <c r="A18476" i="20"/>
  <c r="A18475" i="20"/>
  <c r="A18474" i="20"/>
  <c r="A18473" i="20"/>
  <c r="A18472" i="20"/>
  <c r="A18471" i="20"/>
  <c r="A18470" i="20"/>
  <c r="A18469" i="20"/>
  <c r="A18468" i="20"/>
  <c r="A18467" i="20"/>
  <c r="A18466" i="20"/>
  <c r="A18465" i="20"/>
  <c r="A18464" i="20"/>
  <c r="A18463" i="20"/>
  <c r="A18462" i="20"/>
  <c r="A18461" i="20"/>
  <c r="A18460" i="20"/>
  <c r="A18459" i="20"/>
  <c r="A18458" i="20"/>
  <c r="A18457" i="20"/>
  <c r="A18456" i="20"/>
  <c r="A18455" i="20"/>
  <c r="A18454" i="20"/>
  <c r="A18453" i="20"/>
  <c r="A18452" i="20"/>
  <c r="A18451" i="20"/>
  <c r="A18450" i="20"/>
  <c r="A18449" i="20"/>
  <c r="A18448" i="20"/>
  <c r="A18447" i="20"/>
  <c r="A18446" i="20"/>
  <c r="A18445" i="20"/>
  <c r="A18444" i="20"/>
  <c r="A18443" i="20"/>
  <c r="A18442" i="20"/>
  <c r="A18441" i="20"/>
  <c r="A18440" i="20"/>
  <c r="A18439" i="20"/>
  <c r="A18438" i="20"/>
  <c r="A18437" i="20"/>
  <c r="A18436" i="20"/>
  <c r="A18435" i="20"/>
  <c r="A18434" i="20"/>
  <c r="A18433" i="20"/>
  <c r="A18432" i="20"/>
  <c r="A18431" i="20"/>
  <c r="A18430" i="20"/>
  <c r="A18429" i="20"/>
  <c r="A18428" i="20"/>
  <c r="A18427" i="20"/>
  <c r="A18426" i="20"/>
  <c r="A18425" i="20"/>
  <c r="A18424" i="20"/>
  <c r="A18423" i="20"/>
  <c r="A18422" i="20"/>
  <c r="A18421" i="20"/>
  <c r="A18420" i="20"/>
  <c r="A18419" i="20"/>
  <c r="A18418" i="20"/>
  <c r="A18417" i="20"/>
  <c r="A18416" i="20"/>
  <c r="A18415" i="20"/>
  <c r="A18414" i="20"/>
  <c r="A18413" i="20"/>
  <c r="A18412" i="20"/>
  <c r="A18411" i="20"/>
  <c r="A18410" i="20"/>
  <c r="A18409" i="20"/>
  <c r="A18408" i="20"/>
  <c r="A18407" i="20"/>
  <c r="A18406" i="20"/>
  <c r="A18405" i="20"/>
  <c r="A18404" i="20"/>
  <c r="A18403" i="20"/>
  <c r="A18402" i="20"/>
  <c r="A18401" i="20"/>
  <c r="A18400" i="20"/>
  <c r="A18399" i="20"/>
  <c r="A18398" i="20"/>
  <c r="A18397" i="20"/>
  <c r="A18396" i="20"/>
  <c r="A18395" i="20"/>
  <c r="A18394" i="20"/>
  <c r="A18393" i="20"/>
  <c r="A18392" i="20"/>
  <c r="A18391" i="20"/>
  <c r="A18390" i="20"/>
  <c r="A18389" i="20"/>
  <c r="A18388" i="20"/>
  <c r="A18387" i="20"/>
  <c r="A18386" i="20"/>
  <c r="A18385" i="20"/>
  <c r="A18384" i="20"/>
  <c r="A18383" i="20"/>
  <c r="A18382" i="20"/>
  <c r="A18381" i="20"/>
  <c r="A18380" i="20"/>
  <c r="A18379" i="20"/>
  <c r="A18378" i="20"/>
  <c r="A18377" i="20"/>
  <c r="A18376" i="20"/>
  <c r="A18375" i="20"/>
  <c r="A18374" i="20"/>
  <c r="A18373" i="20"/>
  <c r="A18372" i="20"/>
  <c r="A18371" i="20"/>
  <c r="A18370" i="20"/>
  <c r="A18369" i="20"/>
  <c r="A18368" i="20"/>
  <c r="A18367" i="20"/>
  <c r="A18366" i="20"/>
  <c r="A18365" i="20"/>
  <c r="A18364" i="20"/>
  <c r="A18363" i="20"/>
  <c r="A18362" i="20"/>
  <c r="A18361" i="20"/>
  <c r="A18360" i="20"/>
  <c r="A18359" i="20"/>
  <c r="A18358" i="20"/>
  <c r="A18357" i="20"/>
  <c r="A18356" i="20"/>
  <c r="A18355" i="20"/>
  <c r="A18354" i="20"/>
  <c r="A18353" i="20"/>
  <c r="A18352" i="20"/>
  <c r="A18351" i="20"/>
  <c r="A18350" i="20"/>
  <c r="A18349" i="20"/>
  <c r="A18348" i="20"/>
  <c r="A18347" i="20"/>
  <c r="A18346" i="20"/>
  <c r="A18345" i="20"/>
  <c r="A18344" i="20"/>
  <c r="A18343" i="20"/>
  <c r="A18342" i="20"/>
  <c r="A18341" i="20"/>
  <c r="A18340" i="20"/>
  <c r="A18339" i="20"/>
  <c r="A18338" i="20"/>
  <c r="A18337" i="20"/>
  <c r="A18336" i="20"/>
  <c r="A18335" i="20"/>
  <c r="A18334" i="20"/>
  <c r="A18333" i="20"/>
  <c r="A18332" i="20"/>
  <c r="A18331" i="20"/>
  <c r="A18330" i="20"/>
  <c r="A18329" i="20"/>
  <c r="A18328" i="20"/>
  <c r="A18327" i="20"/>
  <c r="A18326" i="20"/>
  <c r="A18325" i="20"/>
  <c r="A18324" i="20"/>
  <c r="A18323" i="20"/>
  <c r="A18322" i="20"/>
  <c r="A18321" i="20"/>
  <c r="A18320" i="20"/>
  <c r="A18319" i="20"/>
  <c r="A18318" i="20"/>
  <c r="A18317" i="20"/>
  <c r="A18316" i="20"/>
  <c r="A18315" i="20"/>
  <c r="A18314" i="20"/>
  <c r="A18313" i="20"/>
  <c r="A18312" i="20"/>
  <c r="A18311" i="20"/>
  <c r="A18310" i="20"/>
  <c r="A18309" i="20"/>
  <c r="A18308" i="20"/>
  <c r="A18307" i="20"/>
  <c r="A18306" i="20"/>
  <c r="A18305" i="20"/>
  <c r="A18304" i="20"/>
  <c r="A18303" i="20"/>
  <c r="A18302" i="20"/>
  <c r="A18301" i="20"/>
  <c r="A18300" i="20"/>
  <c r="A18299" i="20"/>
  <c r="A18298" i="20"/>
  <c r="A18297" i="20"/>
  <c r="A18296" i="20"/>
  <c r="A18295" i="20"/>
  <c r="A18294" i="20"/>
  <c r="A18293" i="20"/>
  <c r="A18292" i="20"/>
  <c r="A18291" i="20"/>
  <c r="A18290" i="20"/>
  <c r="A18289" i="20"/>
  <c r="A18288" i="20"/>
  <c r="A18287" i="20"/>
  <c r="A18286" i="20"/>
  <c r="A18285" i="20"/>
  <c r="A18284" i="20"/>
  <c r="A18283" i="20"/>
  <c r="A18282" i="20"/>
  <c r="A18281" i="20"/>
  <c r="A18280" i="20"/>
  <c r="A18279" i="20"/>
  <c r="A18278" i="20"/>
  <c r="A18277" i="20"/>
  <c r="A18276" i="20"/>
  <c r="A18275" i="20"/>
  <c r="A18274" i="20"/>
  <c r="A18273" i="20"/>
  <c r="A18272" i="20"/>
  <c r="A18271" i="20"/>
  <c r="A18270" i="20"/>
  <c r="A18269" i="20"/>
  <c r="A18268" i="20"/>
  <c r="A18267" i="20"/>
  <c r="A18266" i="20"/>
  <c r="A18265" i="20"/>
  <c r="A18264" i="20"/>
  <c r="A18263" i="20"/>
  <c r="A18262" i="20"/>
  <c r="A18261" i="20"/>
  <c r="A18260" i="20"/>
  <c r="A18259" i="20"/>
  <c r="A18258" i="20"/>
  <c r="A18257" i="20"/>
  <c r="A18256" i="20"/>
  <c r="A18255" i="20"/>
  <c r="A18254" i="20"/>
  <c r="A18253" i="20"/>
  <c r="A18252" i="20"/>
  <c r="A18251" i="20"/>
  <c r="A18250" i="20"/>
  <c r="A18249" i="20"/>
  <c r="A18248" i="20"/>
  <c r="A18247" i="20"/>
  <c r="A18246" i="20"/>
  <c r="A18245" i="20"/>
  <c r="A18244" i="20"/>
  <c r="A18243" i="20"/>
  <c r="A18242" i="20"/>
  <c r="A18241" i="20"/>
  <c r="A18240" i="20"/>
  <c r="A18239" i="20"/>
  <c r="A18238" i="20"/>
  <c r="A18237" i="20"/>
  <c r="A18236" i="20"/>
  <c r="A18235" i="20"/>
  <c r="A18234" i="20"/>
  <c r="A18233" i="20"/>
  <c r="A18232" i="20"/>
  <c r="A18231" i="20"/>
  <c r="A18230" i="20"/>
  <c r="A18229" i="20"/>
  <c r="A18228" i="20"/>
  <c r="A18227" i="20"/>
  <c r="A18226" i="20"/>
  <c r="A18225" i="20"/>
  <c r="A18224" i="20"/>
  <c r="A18223" i="20"/>
  <c r="A18222" i="20"/>
  <c r="A18221" i="20"/>
  <c r="A18220" i="20"/>
  <c r="A18219" i="20"/>
  <c r="A18218" i="20"/>
  <c r="A18217" i="20"/>
  <c r="A18216" i="20"/>
  <c r="A18215" i="20"/>
  <c r="A18214" i="20"/>
  <c r="A18213" i="20"/>
  <c r="A18212" i="20"/>
  <c r="A18211" i="20"/>
  <c r="A18210" i="20"/>
  <c r="A18209" i="20"/>
  <c r="A18208" i="20"/>
  <c r="A18207" i="20"/>
  <c r="A18206" i="20"/>
  <c r="A18205" i="20"/>
  <c r="A18204" i="20"/>
  <c r="A18203" i="20"/>
  <c r="A18202" i="20"/>
  <c r="A18201" i="20"/>
  <c r="A18200" i="20"/>
  <c r="A18199" i="20"/>
  <c r="A18198" i="20"/>
  <c r="A18197" i="20"/>
  <c r="A18196" i="20"/>
  <c r="A18195" i="20"/>
  <c r="A18194" i="20"/>
  <c r="A18193" i="20"/>
  <c r="A18192" i="20"/>
  <c r="A18191" i="20"/>
  <c r="A18190" i="20"/>
  <c r="A18189" i="20"/>
  <c r="A18188" i="20"/>
  <c r="A18187" i="20"/>
  <c r="A18186" i="20"/>
  <c r="A18185" i="20"/>
  <c r="A18184" i="20"/>
  <c r="A18183" i="20"/>
  <c r="A18182" i="20"/>
  <c r="A18181" i="20"/>
  <c r="A18180" i="20"/>
  <c r="A18179" i="20"/>
  <c r="A18178" i="20"/>
  <c r="A18177" i="20"/>
  <c r="A18176" i="20"/>
  <c r="A18175" i="20"/>
  <c r="A18174" i="20"/>
  <c r="A18173" i="20"/>
  <c r="A18172" i="20"/>
  <c r="A18171" i="20"/>
  <c r="A18170" i="20"/>
  <c r="A18169" i="20"/>
  <c r="A18168" i="20"/>
  <c r="A18167" i="20"/>
  <c r="A18166" i="20"/>
  <c r="A18165" i="20"/>
  <c r="A18164" i="20"/>
  <c r="A18163" i="20"/>
  <c r="A18162" i="20"/>
  <c r="A18161" i="20"/>
  <c r="A18160" i="20"/>
  <c r="A18159" i="20"/>
  <c r="A18158" i="20"/>
  <c r="A18157" i="20"/>
  <c r="A18156" i="20"/>
  <c r="A18155" i="20"/>
  <c r="A18154" i="20"/>
  <c r="A18153" i="20"/>
  <c r="A18152" i="20"/>
  <c r="A18151" i="20"/>
  <c r="A18150" i="20"/>
  <c r="A18149" i="20"/>
  <c r="A18148" i="20"/>
  <c r="A18147" i="20"/>
  <c r="A18146" i="20"/>
  <c r="A18145" i="20"/>
  <c r="A18144" i="20"/>
  <c r="A18143" i="20"/>
  <c r="A18142" i="20"/>
  <c r="A18141" i="20"/>
  <c r="A18140" i="20"/>
  <c r="A18139" i="20"/>
  <c r="A18138" i="20"/>
  <c r="A18137" i="20"/>
  <c r="A18136" i="20"/>
  <c r="A18135" i="20"/>
  <c r="A18134" i="20"/>
  <c r="A18133" i="20"/>
  <c r="A18132" i="20"/>
  <c r="A18131" i="20"/>
  <c r="A18130" i="20"/>
  <c r="A18129" i="20"/>
  <c r="A18128" i="20"/>
  <c r="A18127" i="20"/>
  <c r="A18126" i="20"/>
  <c r="A18125" i="20"/>
  <c r="A18124" i="20"/>
  <c r="A18123" i="20"/>
  <c r="A18122" i="20"/>
  <c r="A18121" i="20"/>
  <c r="A18120" i="20"/>
  <c r="A18119" i="20"/>
  <c r="A18118" i="20"/>
  <c r="A18117" i="20"/>
  <c r="A18116" i="20"/>
  <c r="A18115" i="20"/>
  <c r="A18114" i="20"/>
  <c r="A18113" i="20"/>
  <c r="A18112" i="20"/>
  <c r="A18111" i="20"/>
  <c r="A18110" i="20"/>
  <c r="A18109" i="20"/>
  <c r="A18108" i="20"/>
  <c r="A18107" i="20"/>
  <c r="A18106" i="20"/>
  <c r="A18105" i="20"/>
  <c r="A18104" i="20"/>
  <c r="A18103" i="20"/>
  <c r="A18102" i="20"/>
  <c r="A18101" i="20"/>
  <c r="A18100" i="20"/>
  <c r="A18099" i="20"/>
  <c r="A18098" i="20"/>
  <c r="A18097" i="20"/>
  <c r="A18096" i="20"/>
  <c r="A18095" i="20"/>
  <c r="A18094" i="20"/>
  <c r="A18093" i="20"/>
  <c r="A18092" i="20"/>
  <c r="A18091" i="20"/>
  <c r="A18090" i="20"/>
  <c r="A18089" i="20"/>
  <c r="A18088" i="20"/>
  <c r="A18087" i="20"/>
  <c r="A18086" i="20"/>
  <c r="A18085" i="20"/>
  <c r="A18084" i="20"/>
  <c r="A18083" i="20"/>
  <c r="A18082" i="20"/>
  <c r="A18081" i="20"/>
  <c r="A18080" i="20"/>
  <c r="A18079" i="20"/>
  <c r="A18078" i="20"/>
  <c r="A18077" i="20"/>
  <c r="A18076" i="20"/>
  <c r="A18075" i="20"/>
  <c r="A18074" i="20"/>
  <c r="A18073" i="20"/>
  <c r="A18072" i="20"/>
  <c r="A18071" i="20"/>
  <c r="A18070" i="20"/>
  <c r="A18069" i="20"/>
  <c r="A18068" i="20"/>
  <c r="A18067" i="20"/>
  <c r="A18066" i="20"/>
  <c r="A18065" i="20"/>
  <c r="A18064" i="20"/>
  <c r="A18063" i="20"/>
  <c r="A18062" i="20"/>
  <c r="A18061" i="20"/>
  <c r="A18060" i="20"/>
  <c r="A18059" i="20"/>
  <c r="A18058" i="20"/>
  <c r="A18057" i="20"/>
  <c r="A18056" i="20"/>
  <c r="A18055" i="20"/>
  <c r="A18054" i="20"/>
  <c r="A18053" i="20"/>
  <c r="A18052" i="20"/>
  <c r="A18051" i="20"/>
  <c r="A18050" i="20"/>
  <c r="A18049" i="20"/>
  <c r="A18048" i="20"/>
  <c r="A18047" i="20"/>
  <c r="A18046" i="20"/>
  <c r="A18045" i="20"/>
  <c r="A18044" i="20"/>
  <c r="A18043" i="20"/>
  <c r="A18042" i="20"/>
  <c r="A18041" i="20"/>
  <c r="A18040" i="20"/>
  <c r="A18039" i="20"/>
  <c r="A18038" i="20"/>
  <c r="A18037" i="20"/>
  <c r="A18036" i="20"/>
  <c r="A18035" i="20"/>
  <c r="A18034" i="20"/>
  <c r="A18033" i="20"/>
  <c r="A18032" i="20"/>
  <c r="A18031" i="20"/>
  <c r="A18030" i="20"/>
  <c r="A18029" i="20"/>
  <c r="A18028" i="20"/>
  <c r="A18027" i="20"/>
  <c r="A18026" i="20"/>
  <c r="A18025" i="20"/>
  <c r="A18024" i="20"/>
  <c r="A18023" i="20"/>
  <c r="A18022" i="20"/>
  <c r="A18021" i="20"/>
  <c r="A18020" i="20"/>
  <c r="A18019" i="20"/>
  <c r="A18018" i="20"/>
  <c r="A18017" i="20"/>
  <c r="A18016" i="20"/>
  <c r="A18015" i="20"/>
  <c r="A18014" i="20"/>
  <c r="A18013" i="20"/>
  <c r="A18012" i="20"/>
  <c r="A18011" i="20"/>
  <c r="A18010" i="20"/>
  <c r="A18009" i="20"/>
  <c r="A18008" i="20"/>
  <c r="A18007" i="20"/>
  <c r="A18006" i="20"/>
  <c r="A18005" i="20"/>
  <c r="A18004" i="20"/>
  <c r="A18003" i="20"/>
  <c r="A18002" i="20"/>
  <c r="A18001" i="20"/>
  <c r="A18000" i="20"/>
  <c r="A17999" i="20"/>
  <c r="A17998" i="20"/>
  <c r="A17997" i="20"/>
  <c r="A17996" i="20"/>
  <c r="A17995" i="20"/>
  <c r="A17994" i="20"/>
  <c r="A17993" i="20"/>
  <c r="A17992" i="20"/>
  <c r="A17991" i="20"/>
  <c r="A17990" i="20"/>
  <c r="A17989" i="20"/>
  <c r="A17988" i="20"/>
  <c r="A17987" i="20"/>
  <c r="A17986" i="20"/>
  <c r="A17985" i="20"/>
  <c r="A17984" i="20"/>
  <c r="A17983" i="20"/>
  <c r="A17982" i="20"/>
  <c r="A17981" i="20"/>
  <c r="A17980" i="20"/>
  <c r="A17979" i="20"/>
  <c r="A17978" i="20"/>
  <c r="A17977" i="20"/>
  <c r="A17976" i="20"/>
  <c r="A17975" i="20"/>
  <c r="A17974" i="20"/>
  <c r="A17973" i="20"/>
  <c r="A17972" i="20"/>
  <c r="A17971" i="20"/>
  <c r="A17970" i="20"/>
  <c r="A17969" i="20"/>
  <c r="A17968" i="20"/>
  <c r="A17967" i="20"/>
  <c r="A17966" i="20"/>
  <c r="A17965" i="20"/>
  <c r="A17964" i="20"/>
  <c r="A17963" i="20"/>
  <c r="A17962" i="20"/>
  <c r="A17961" i="20"/>
  <c r="A17960" i="20"/>
  <c r="A17959" i="20"/>
  <c r="A17958" i="20"/>
  <c r="A17957" i="20"/>
  <c r="A17956" i="20"/>
  <c r="A17955" i="20"/>
  <c r="A17954" i="20"/>
  <c r="A17953" i="20"/>
  <c r="A17952" i="20"/>
  <c r="A17951" i="20"/>
  <c r="A17950" i="20"/>
  <c r="A17949" i="20"/>
  <c r="A17948" i="20"/>
  <c r="A17947" i="20"/>
  <c r="A17946" i="20"/>
  <c r="A17945" i="20"/>
  <c r="A17944" i="20"/>
  <c r="A17943" i="20"/>
  <c r="A17942" i="20"/>
  <c r="A17941" i="20"/>
  <c r="A17940" i="20"/>
  <c r="A17939" i="20"/>
  <c r="A17938" i="20"/>
  <c r="A17937" i="20"/>
  <c r="A17936" i="20"/>
  <c r="A17935" i="20"/>
  <c r="A17934" i="20"/>
  <c r="A17933" i="20"/>
  <c r="A17932" i="20"/>
  <c r="A17931" i="20"/>
  <c r="A17930" i="20"/>
  <c r="A17929" i="20"/>
  <c r="A17928" i="20"/>
  <c r="A17927" i="20"/>
  <c r="A17926" i="20"/>
  <c r="A17925" i="20"/>
  <c r="A17924" i="20"/>
  <c r="A17923" i="20"/>
  <c r="A17922" i="20"/>
  <c r="A17921" i="20"/>
  <c r="A17920" i="20"/>
  <c r="A17919" i="20"/>
  <c r="A17918" i="20"/>
  <c r="A17917" i="20"/>
  <c r="A17916" i="20"/>
  <c r="A17915" i="20"/>
  <c r="A17914" i="20"/>
  <c r="A17913" i="20"/>
  <c r="A17912" i="20"/>
  <c r="A17911" i="20"/>
  <c r="A17910" i="20"/>
  <c r="A17909" i="20"/>
  <c r="A17908" i="20"/>
  <c r="A17907" i="20"/>
  <c r="A17906" i="20"/>
  <c r="A17905" i="20"/>
  <c r="A17904" i="20"/>
  <c r="A17903" i="20"/>
  <c r="A17902" i="20"/>
  <c r="A17901" i="20"/>
  <c r="A17900" i="20"/>
  <c r="A17899" i="20"/>
  <c r="A17898" i="20"/>
  <c r="A17897" i="20"/>
  <c r="A17896" i="20"/>
  <c r="A17895" i="20"/>
  <c r="A17894" i="20"/>
  <c r="A17893" i="20"/>
  <c r="A17892" i="20"/>
  <c r="A17891" i="20"/>
  <c r="A17890" i="20"/>
  <c r="A17889" i="20"/>
  <c r="A17888" i="20"/>
  <c r="A17887" i="20"/>
  <c r="A17886" i="20"/>
  <c r="A17885" i="20"/>
  <c r="A17884" i="20"/>
  <c r="A17883" i="20"/>
  <c r="A17882" i="20"/>
  <c r="A17881" i="20"/>
  <c r="A17880" i="20"/>
  <c r="A17879" i="20"/>
  <c r="A17878" i="20"/>
  <c r="A17877" i="20"/>
  <c r="A17876" i="20"/>
  <c r="A17875" i="20"/>
  <c r="A17874" i="20"/>
  <c r="A17873" i="20"/>
  <c r="A17872" i="20"/>
  <c r="A17871" i="20"/>
  <c r="A17870" i="20"/>
  <c r="A17869" i="20"/>
  <c r="A17868" i="20"/>
  <c r="A17867" i="20"/>
  <c r="A17866" i="20"/>
  <c r="A17865" i="20"/>
  <c r="A17864" i="20"/>
  <c r="A17863" i="20"/>
  <c r="A17862" i="20"/>
  <c r="A17861" i="20"/>
  <c r="A17860" i="20"/>
  <c r="A17859" i="20"/>
  <c r="A17858" i="20"/>
  <c r="A17857" i="20"/>
  <c r="A17856" i="20"/>
  <c r="A17855" i="20"/>
  <c r="A17854" i="20"/>
  <c r="A17853" i="20"/>
  <c r="A17852" i="20"/>
  <c r="A17851" i="20"/>
  <c r="A17850" i="20"/>
  <c r="A17849" i="20"/>
  <c r="A17848" i="20"/>
  <c r="A17847" i="20"/>
  <c r="A17846" i="20"/>
  <c r="A17845" i="20"/>
  <c r="A17844" i="20"/>
  <c r="A17843" i="20"/>
  <c r="A17842" i="20"/>
  <c r="A17841" i="20"/>
  <c r="A17840" i="20"/>
  <c r="A17839" i="20"/>
  <c r="A17838" i="20"/>
  <c r="A17837" i="20"/>
  <c r="A17836" i="20"/>
  <c r="A17835" i="20"/>
  <c r="A17834" i="20"/>
  <c r="A17833" i="20"/>
  <c r="A17832" i="20"/>
  <c r="A17831" i="20"/>
  <c r="A17830" i="20"/>
  <c r="A17829" i="20"/>
  <c r="A17828" i="20"/>
  <c r="A17827" i="20"/>
  <c r="A17826" i="20"/>
  <c r="A17825" i="20"/>
  <c r="A17824" i="20"/>
  <c r="A17823" i="20"/>
  <c r="A17822" i="20"/>
  <c r="A17821" i="20"/>
  <c r="A17820" i="20"/>
  <c r="A17819" i="20"/>
  <c r="A17818" i="20"/>
  <c r="A17817" i="20"/>
  <c r="A17816" i="20"/>
  <c r="A17815" i="20"/>
  <c r="A17814" i="20"/>
  <c r="A17813" i="20"/>
  <c r="A17812" i="20"/>
  <c r="A17811" i="20"/>
  <c r="A17810" i="20"/>
  <c r="A17809" i="20"/>
  <c r="A17808" i="20"/>
  <c r="A17807" i="20"/>
  <c r="A17806" i="20"/>
  <c r="A17805" i="20"/>
  <c r="A17804" i="20"/>
  <c r="A17803" i="20"/>
  <c r="A17802" i="20"/>
  <c r="A17801" i="20"/>
  <c r="A17800" i="20"/>
  <c r="A17799" i="20"/>
  <c r="A17798" i="20"/>
  <c r="A17797" i="20"/>
  <c r="A17796" i="20"/>
  <c r="A17795" i="20"/>
  <c r="A17794" i="20"/>
  <c r="A17793" i="20"/>
  <c r="A17792" i="20"/>
  <c r="A17791" i="20"/>
  <c r="A17790" i="20"/>
  <c r="A17789" i="20"/>
  <c r="A17788" i="20"/>
  <c r="A17787" i="20"/>
  <c r="A17786" i="20"/>
  <c r="A17785" i="20"/>
  <c r="A17784" i="20"/>
  <c r="A17783" i="20"/>
  <c r="A17782" i="20"/>
  <c r="A17781" i="20"/>
  <c r="A17780" i="20"/>
  <c r="A17779" i="20"/>
  <c r="A17778" i="20"/>
  <c r="A17777" i="20"/>
  <c r="A17776" i="20"/>
  <c r="A17775" i="20"/>
  <c r="A17774" i="20"/>
  <c r="A17773" i="20"/>
  <c r="A17772" i="20"/>
  <c r="A17771" i="20"/>
  <c r="A17770" i="20"/>
  <c r="A17769" i="20"/>
  <c r="A17768" i="20"/>
  <c r="A17767" i="20"/>
  <c r="A17766" i="20"/>
  <c r="A17765" i="20"/>
  <c r="A17764" i="20"/>
  <c r="A17763" i="20"/>
  <c r="A17762" i="20"/>
  <c r="A17761" i="20"/>
  <c r="A17760" i="20"/>
  <c r="A17759" i="20"/>
  <c r="A17758" i="20"/>
  <c r="A17757" i="20"/>
  <c r="A17756" i="20"/>
  <c r="A17755" i="20"/>
  <c r="A17754" i="20"/>
  <c r="A17753" i="20"/>
  <c r="A17752" i="20"/>
  <c r="A17751" i="20"/>
  <c r="A17750" i="20"/>
  <c r="A17749" i="20"/>
  <c r="A17748" i="20"/>
  <c r="A17747" i="20"/>
  <c r="A17746" i="20"/>
  <c r="A17745" i="20"/>
  <c r="A17744" i="20"/>
  <c r="A17743" i="20"/>
  <c r="A17742" i="20"/>
  <c r="A17741" i="20"/>
  <c r="A17740" i="20"/>
  <c r="A17739" i="20"/>
  <c r="A17738" i="20"/>
  <c r="A17737" i="20"/>
  <c r="A17736" i="20"/>
  <c r="A17735" i="20"/>
  <c r="A17734" i="20"/>
  <c r="A17733" i="20"/>
  <c r="A17732" i="20"/>
  <c r="A17731" i="20"/>
  <c r="A17730" i="20"/>
  <c r="A17729" i="20"/>
  <c r="A17728" i="20"/>
  <c r="A17727" i="20"/>
  <c r="A17726" i="20"/>
  <c r="A17725" i="20"/>
  <c r="A17724" i="20"/>
  <c r="A17723" i="20"/>
  <c r="A17722" i="20"/>
  <c r="A17721" i="20"/>
  <c r="A17720" i="20"/>
  <c r="A17719" i="20"/>
  <c r="A17718" i="20"/>
  <c r="A17717" i="20"/>
  <c r="A17716" i="20"/>
  <c r="A17715" i="20"/>
  <c r="A17714" i="20"/>
  <c r="A17713" i="20"/>
  <c r="A17712" i="20"/>
  <c r="A17711" i="20"/>
  <c r="A17710" i="20"/>
  <c r="A17709" i="20"/>
  <c r="A17708" i="20"/>
  <c r="A17707" i="20"/>
  <c r="A17706" i="20"/>
  <c r="A17705" i="20"/>
  <c r="A17704" i="20"/>
  <c r="A17703" i="20"/>
  <c r="A17702" i="20"/>
  <c r="A17701" i="20"/>
  <c r="A17700" i="20"/>
  <c r="A17699" i="20"/>
  <c r="A17698" i="20"/>
  <c r="A17697" i="20"/>
  <c r="A17696" i="20"/>
  <c r="A17695" i="20"/>
  <c r="A17694" i="20"/>
  <c r="A17693" i="20"/>
  <c r="A17692" i="20"/>
  <c r="A17691" i="20"/>
  <c r="A17690" i="20"/>
  <c r="A17689" i="20"/>
  <c r="A17688" i="20"/>
  <c r="A17687" i="20"/>
  <c r="A17686" i="20"/>
  <c r="A17685" i="20"/>
  <c r="A17684" i="20"/>
  <c r="A17683" i="20"/>
  <c r="A17682" i="20"/>
  <c r="A17681" i="20"/>
  <c r="A17680" i="20"/>
  <c r="A17679" i="20"/>
  <c r="A17678" i="20"/>
  <c r="A17677" i="20"/>
  <c r="A17676" i="20"/>
  <c r="A17675" i="20"/>
  <c r="A17674" i="20"/>
  <c r="A17673" i="20"/>
  <c r="A17672" i="20"/>
  <c r="A17671" i="20"/>
  <c r="A17670" i="20"/>
  <c r="A17669" i="20"/>
  <c r="A17668" i="20"/>
  <c r="A17667" i="20"/>
  <c r="A17666" i="20"/>
  <c r="A17665" i="20"/>
  <c r="A17664" i="20"/>
  <c r="A17663" i="20"/>
  <c r="A17662" i="20"/>
  <c r="A17661" i="20"/>
  <c r="A17660" i="20"/>
  <c r="A17659" i="20"/>
  <c r="A17658" i="20"/>
  <c r="A17657" i="20"/>
  <c r="A17656" i="20"/>
  <c r="A17655" i="20"/>
  <c r="A17654" i="20"/>
  <c r="A17653" i="20"/>
  <c r="A17652" i="20"/>
  <c r="A17651" i="20"/>
  <c r="A17650" i="20"/>
  <c r="A17649" i="20"/>
  <c r="A17648" i="20"/>
  <c r="A17647" i="20"/>
  <c r="A17646" i="20"/>
  <c r="A17645" i="20"/>
  <c r="A17644" i="20"/>
  <c r="A17643" i="20"/>
  <c r="A17642" i="20"/>
  <c r="A17641" i="20"/>
  <c r="A17640" i="20"/>
  <c r="A17639" i="20"/>
  <c r="A17638" i="20"/>
  <c r="A17637" i="20"/>
  <c r="A17636" i="20"/>
  <c r="A17635" i="20"/>
  <c r="A17634" i="20"/>
  <c r="A17633" i="20"/>
  <c r="A17632" i="20"/>
  <c r="A17631" i="20"/>
  <c r="A17630" i="20"/>
  <c r="A17629" i="20"/>
  <c r="A17628" i="20"/>
  <c r="A17627" i="20"/>
  <c r="A17626" i="20"/>
  <c r="A17625" i="20"/>
  <c r="A17624" i="20"/>
  <c r="A17623" i="20"/>
  <c r="A17622" i="20"/>
  <c r="A17621" i="20"/>
  <c r="A17620" i="20"/>
  <c r="A17619" i="20"/>
  <c r="A17618" i="20"/>
  <c r="A17617" i="20"/>
  <c r="A17616" i="20"/>
  <c r="A17615" i="20"/>
  <c r="A17614" i="20"/>
  <c r="A17613" i="20"/>
  <c r="A17612" i="20"/>
  <c r="A17611" i="20"/>
  <c r="A17610" i="20"/>
  <c r="A17609" i="20"/>
  <c r="A17608" i="20"/>
  <c r="A17607" i="20"/>
  <c r="A17606" i="20"/>
  <c r="A17605" i="20"/>
  <c r="A17604" i="20"/>
  <c r="A17603" i="20"/>
  <c r="A17602" i="20"/>
  <c r="A17601" i="20"/>
  <c r="A17600" i="20"/>
  <c r="A17599" i="20"/>
  <c r="A17598" i="20"/>
  <c r="A17597" i="20"/>
  <c r="A17596" i="20"/>
  <c r="A17595" i="20"/>
  <c r="A17594" i="20"/>
  <c r="A17593" i="20"/>
  <c r="A17592" i="20"/>
  <c r="A17591" i="20"/>
  <c r="A17590" i="20"/>
  <c r="A17589" i="20"/>
  <c r="A17588" i="20"/>
  <c r="A17587" i="20"/>
  <c r="A17586" i="20"/>
  <c r="A17585" i="20"/>
  <c r="A17584" i="20"/>
  <c r="A17583" i="20"/>
  <c r="A17582" i="20"/>
  <c r="A17581" i="20"/>
  <c r="A17580" i="20"/>
  <c r="A17579" i="20"/>
  <c r="A17578" i="20"/>
  <c r="A17577" i="20"/>
  <c r="A17576" i="20"/>
  <c r="A17575" i="20"/>
  <c r="A17574" i="20"/>
  <c r="A17573" i="20"/>
  <c r="A17572" i="20"/>
  <c r="A17571" i="20"/>
  <c r="A17570" i="20"/>
  <c r="A17569" i="20"/>
  <c r="A17568" i="20"/>
  <c r="A17567" i="20"/>
  <c r="A17566" i="20"/>
  <c r="A17565" i="20"/>
  <c r="A17564" i="20"/>
  <c r="A17563" i="20"/>
  <c r="A17562" i="20"/>
  <c r="A17561" i="20"/>
  <c r="A17560" i="20"/>
  <c r="A17559" i="20"/>
  <c r="A17558" i="20"/>
  <c r="A17557" i="20"/>
  <c r="A17556" i="20"/>
  <c r="A17555" i="20"/>
  <c r="A17554" i="20"/>
  <c r="A17553" i="20"/>
  <c r="A17552" i="20"/>
  <c r="A17551" i="20"/>
  <c r="A17550" i="20"/>
  <c r="A17549" i="20"/>
  <c r="A17548" i="20"/>
  <c r="A17547" i="20"/>
  <c r="A17546" i="20"/>
  <c r="A17545" i="20"/>
  <c r="A17544" i="20"/>
  <c r="A17543" i="20"/>
  <c r="A17542" i="20"/>
  <c r="A17541" i="20"/>
  <c r="A17540" i="20"/>
  <c r="A17539" i="20"/>
  <c r="A17538" i="20"/>
  <c r="A17537" i="20"/>
  <c r="A17536" i="20"/>
  <c r="A17535" i="20"/>
  <c r="A17534" i="20"/>
  <c r="A17533" i="20"/>
  <c r="A17532" i="20"/>
  <c r="A17531" i="20"/>
  <c r="A17530" i="20"/>
  <c r="A17529" i="20"/>
  <c r="A17528" i="20"/>
  <c r="A17527" i="20"/>
  <c r="A17526" i="20"/>
  <c r="A17525" i="20"/>
  <c r="A17524" i="20"/>
  <c r="A17523" i="20"/>
  <c r="A17522" i="20"/>
  <c r="A17521" i="20"/>
  <c r="A17520" i="20"/>
  <c r="A17519" i="20"/>
  <c r="A17518" i="20"/>
  <c r="A17517" i="20"/>
  <c r="A17516" i="20"/>
  <c r="A17515" i="20"/>
  <c r="A17514" i="20"/>
  <c r="A17513" i="20"/>
  <c r="A17512" i="20"/>
  <c r="A17511" i="20"/>
  <c r="A17510" i="20"/>
  <c r="A17509" i="20"/>
  <c r="A17508" i="20"/>
  <c r="A17507" i="20"/>
  <c r="A17506" i="20"/>
  <c r="A17505" i="20"/>
  <c r="A17504" i="20"/>
  <c r="A17503" i="20"/>
  <c r="A17502" i="20"/>
  <c r="A17501" i="20"/>
  <c r="A17500" i="20"/>
  <c r="A17499" i="20"/>
  <c r="A17498" i="20"/>
  <c r="A17497" i="20"/>
  <c r="A17496" i="20"/>
  <c r="A17495" i="20"/>
  <c r="A17494" i="20"/>
  <c r="A17493" i="20"/>
  <c r="A17492" i="20"/>
  <c r="A17491" i="20"/>
  <c r="A17490" i="20"/>
  <c r="A17489" i="20"/>
  <c r="A17488" i="20"/>
  <c r="A17487" i="20"/>
  <c r="A17486" i="20"/>
  <c r="A17485" i="20"/>
  <c r="A17484" i="20"/>
  <c r="A17483" i="20"/>
  <c r="A17482" i="20"/>
  <c r="A17481" i="20"/>
  <c r="A17480" i="20"/>
  <c r="A17479" i="20"/>
  <c r="A17478" i="20"/>
  <c r="A17477" i="20"/>
  <c r="A17476" i="20"/>
  <c r="A17475" i="20"/>
  <c r="A17474" i="20"/>
  <c r="A17473" i="20"/>
  <c r="A17472" i="20"/>
  <c r="A17471" i="20"/>
  <c r="A17470" i="20"/>
  <c r="A17469" i="20"/>
  <c r="A17468" i="20"/>
  <c r="A17467" i="20"/>
  <c r="A17466" i="20"/>
  <c r="A17465" i="20"/>
  <c r="A17464" i="20"/>
  <c r="A17463" i="20"/>
  <c r="A17462" i="20"/>
  <c r="A17461" i="20"/>
  <c r="A17460" i="20"/>
  <c r="A17459" i="20"/>
  <c r="A17458" i="20"/>
  <c r="A17457" i="20"/>
  <c r="A17456" i="20"/>
  <c r="A17455" i="20"/>
  <c r="A17454" i="20"/>
  <c r="A17453" i="20"/>
  <c r="A17452" i="20"/>
  <c r="A17451" i="20"/>
  <c r="A17450" i="20"/>
  <c r="A17449" i="20"/>
  <c r="A17448" i="20"/>
  <c r="A17447" i="20"/>
  <c r="A17446" i="20"/>
  <c r="A17445" i="20"/>
  <c r="A17444" i="20"/>
  <c r="A17443" i="20"/>
  <c r="A17442" i="20"/>
  <c r="A17441" i="20"/>
  <c r="A17440" i="20"/>
  <c r="A17439" i="20"/>
  <c r="A17438" i="20"/>
  <c r="A17437" i="20"/>
  <c r="A17436" i="20"/>
  <c r="A17435" i="20"/>
  <c r="A17434" i="20"/>
  <c r="A17433" i="20"/>
  <c r="A17432" i="20"/>
  <c r="A17431" i="20"/>
  <c r="A17430" i="20"/>
  <c r="A17429" i="20"/>
  <c r="A17428" i="20"/>
  <c r="A17427" i="20"/>
  <c r="A17426" i="20"/>
  <c r="A17425" i="20"/>
  <c r="A17424" i="20"/>
  <c r="A17423" i="20"/>
  <c r="A17422" i="20"/>
  <c r="A17421" i="20"/>
  <c r="A17420" i="20"/>
  <c r="A17419" i="20"/>
  <c r="A17418" i="20"/>
  <c r="A17417" i="20"/>
  <c r="A17416" i="20"/>
  <c r="A17415" i="20"/>
  <c r="A17414" i="20"/>
  <c r="A17413" i="20"/>
  <c r="A17412" i="20"/>
  <c r="A17411" i="20"/>
  <c r="A17410" i="20"/>
  <c r="A17409" i="20"/>
  <c r="A17408" i="20"/>
  <c r="A17407" i="20"/>
  <c r="A17406" i="20"/>
  <c r="A17405" i="20"/>
  <c r="A17404" i="20"/>
  <c r="A17403" i="20"/>
  <c r="A17402" i="20"/>
  <c r="A17401" i="20"/>
  <c r="A17400" i="20"/>
  <c r="A17399" i="20"/>
  <c r="A17398" i="20"/>
  <c r="A17397" i="20"/>
  <c r="A17396" i="20"/>
  <c r="A17395" i="20"/>
  <c r="A17394" i="20"/>
  <c r="A17393" i="20"/>
  <c r="A17392" i="20"/>
  <c r="A17391" i="20"/>
  <c r="A17390" i="20"/>
  <c r="A17389" i="20"/>
  <c r="A17388" i="20"/>
  <c r="A17387" i="20"/>
  <c r="A17386" i="20"/>
  <c r="A17385" i="20"/>
  <c r="A17384" i="20"/>
  <c r="A17383" i="20"/>
  <c r="A17382" i="20"/>
  <c r="A17381" i="20"/>
  <c r="A17380" i="20"/>
  <c r="A17379" i="20"/>
  <c r="A17378" i="20"/>
  <c r="A17377" i="20"/>
  <c r="A17376" i="20"/>
  <c r="A17375" i="20"/>
  <c r="A17374" i="20"/>
  <c r="A17373" i="20"/>
  <c r="A17372" i="20"/>
  <c r="A17371" i="20"/>
  <c r="A17370" i="20"/>
  <c r="A17369" i="20"/>
  <c r="A17368" i="20"/>
  <c r="A17367" i="20"/>
  <c r="A17366" i="20"/>
  <c r="A17365" i="20"/>
  <c r="A17364" i="20"/>
  <c r="A17363" i="20"/>
  <c r="A17362" i="20"/>
  <c r="A17361" i="20"/>
  <c r="A17360" i="20"/>
  <c r="A17359" i="20"/>
  <c r="A17358" i="20"/>
  <c r="A17357" i="20"/>
  <c r="A17356" i="20"/>
  <c r="A17355" i="20"/>
  <c r="A17354" i="20"/>
  <c r="A17353" i="20"/>
  <c r="A17352" i="20"/>
  <c r="A17351" i="20"/>
  <c r="A17350" i="20"/>
  <c r="A17349" i="20"/>
  <c r="A17348" i="20"/>
  <c r="A17347" i="20"/>
  <c r="A17346" i="20"/>
  <c r="A17345" i="20"/>
  <c r="A17344" i="20"/>
  <c r="A17343" i="20"/>
  <c r="A17342" i="20"/>
  <c r="A17341" i="20"/>
  <c r="A17340" i="20"/>
  <c r="A17339" i="20"/>
  <c r="A17338" i="20"/>
  <c r="A17337" i="20"/>
  <c r="A17336" i="20"/>
  <c r="A17335" i="20"/>
  <c r="A17334" i="20"/>
  <c r="A17333" i="20"/>
  <c r="A17332" i="20"/>
  <c r="A17331" i="20"/>
  <c r="A17330" i="20"/>
  <c r="A17329" i="20"/>
  <c r="A17328" i="20"/>
  <c r="A17327" i="20"/>
  <c r="A17326" i="20"/>
  <c r="A17325" i="20"/>
  <c r="A17324" i="20"/>
  <c r="A17323" i="20"/>
  <c r="A17322" i="20"/>
  <c r="A17321" i="20"/>
  <c r="A17320" i="20"/>
  <c r="A17319" i="20"/>
  <c r="A17318" i="20"/>
  <c r="A17317" i="20"/>
  <c r="A17316" i="20"/>
  <c r="A17315" i="20"/>
  <c r="A17314" i="20"/>
  <c r="A17313" i="20"/>
  <c r="A17312" i="20"/>
  <c r="A17311" i="20"/>
  <c r="A17310" i="20"/>
  <c r="A17309" i="20"/>
  <c r="A17308" i="20"/>
  <c r="A17307" i="20"/>
  <c r="A17306" i="20"/>
  <c r="A17305" i="20"/>
  <c r="A17304" i="20"/>
  <c r="A17303" i="20"/>
  <c r="A17302" i="20"/>
  <c r="A17301" i="20"/>
  <c r="A17300" i="20"/>
  <c r="A17299" i="20"/>
  <c r="A17298" i="20"/>
  <c r="A17297" i="20"/>
  <c r="A17296" i="20"/>
  <c r="A17295" i="20"/>
  <c r="A17294" i="20"/>
  <c r="A17293" i="20"/>
  <c r="A17292" i="20"/>
  <c r="A17291" i="20"/>
  <c r="A17290" i="20"/>
  <c r="A17289" i="20"/>
  <c r="A17288" i="20"/>
  <c r="A17287" i="20"/>
  <c r="A17286" i="20"/>
  <c r="A17285" i="20"/>
  <c r="A17284" i="20"/>
  <c r="A17283" i="20"/>
  <c r="A17282" i="20"/>
  <c r="A17281" i="20"/>
  <c r="A17280" i="20"/>
  <c r="A17279" i="20"/>
  <c r="A17278" i="20"/>
  <c r="A17277" i="20"/>
  <c r="A17276" i="20"/>
  <c r="A17275" i="20"/>
  <c r="A17274" i="20"/>
  <c r="A17273" i="20"/>
  <c r="A17272" i="20"/>
  <c r="A17271" i="20"/>
  <c r="A17270" i="20"/>
  <c r="A17269" i="20"/>
  <c r="A17268" i="20"/>
  <c r="A17267" i="20"/>
  <c r="A17266" i="20"/>
  <c r="A17265" i="20"/>
  <c r="A17264" i="20"/>
  <c r="A17263" i="20"/>
  <c r="A17262" i="20"/>
  <c r="A17261" i="20"/>
  <c r="A17260" i="20"/>
  <c r="A17259" i="20"/>
  <c r="A17258" i="20"/>
  <c r="A17257" i="20"/>
  <c r="A17256" i="20"/>
  <c r="A17255" i="20"/>
  <c r="A17254" i="20"/>
  <c r="A17253" i="20"/>
  <c r="A17252" i="20"/>
  <c r="A17251" i="20"/>
  <c r="A17250" i="20"/>
  <c r="A17249" i="20"/>
  <c r="A17248" i="20"/>
  <c r="A17247" i="20"/>
  <c r="A17246" i="20"/>
  <c r="A17245" i="20"/>
  <c r="A17244" i="20"/>
  <c r="A17243" i="20"/>
  <c r="A17242" i="20"/>
  <c r="A17241" i="20"/>
  <c r="A17240" i="20"/>
  <c r="A17239" i="20"/>
  <c r="A17238" i="20"/>
  <c r="A17237" i="20"/>
  <c r="A17236" i="20"/>
  <c r="A17235" i="20"/>
  <c r="A17234" i="20"/>
  <c r="A17233" i="20"/>
  <c r="A17232" i="20"/>
  <c r="A17231" i="20"/>
  <c r="A17230" i="20"/>
  <c r="A17229" i="20"/>
  <c r="A17228" i="20"/>
  <c r="A17227" i="20"/>
  <c r="A17226" i="20"/>
  <c r="A17225" i="20"/>
  <c r="A17224" i="20"/>
  <c r="A17223" i="20"/>
  <c r="A17222" i="20"/>
  <c r="A17221" i="20"/>
  <c r="A17220" i="20"/>
  <c r="A17219" i="20"/>
  <c r="A17218" i="20"/>
  <c r="A17217" i="20"/>
  <c r="A17216" i="20"/>
  <c r="A17215" i="20"/>
  <c r="A17214" i="20"/>
  <c r="A17213" i="20"/>
  <c r="A17212" i="20"/>
  <c r="A17211" i="20"/>
  <c r="A17210" i="20"/>
  <c r="A17209" i="20"/>
  <c r="A17208" i="20"/>
  <c r="A17207" i="20"/>
  <c r="A17206" i="20"/>
  <c r="A17205" i="20"/>
  <c r="A17204" i="20"/>
  <c r="A17203" i="20"/>
  <c r="A17202" i="20"/>
  <c r="A17201" i="20"/>
  <c r="A17200" i="20"/>
  <c r="A17199" i="20"/>
  <c r="A17198" i="20"/>
  <c r="A17197" i="20"/>
  <c r="A17196" i="20"/>
  <c r="A17195" i="20"/>
  <c r="A17194" i="20"/>
  <c r="A17193" i="20"/>
  <c r="A17192" i="20"/>
  <c r="A17191" i="20"/>
  <c r="A17190" i="20"/>
  <c r="A17189" i="20"/>
  <c r="A17188" i="20"/>
  <c r="A17187" i="20"/>
  <c r="A17186" i="20"/>
  <c r="A17185" i="20"/>
  <c r="A17184" i="20"/>
  <c r="A17183" i="20"/>
  <c r="A17182" i="20"/>
  <c r="A17181" i="20"/>
  <c r="A17180" i="20"/>
  <c r="A17179" i="20"/>
  <c r="A17178" i="20"/>
  <c r="A17177" i="20"/>
  <c r="A17176" i="20"/>
  <c r="A17175" i="20"/>
  <c r="A17174" i="20"/>
  <c r="A17173" i="20"/>
  <c r="A17172" i="20"/>
  <c r="A17171" i="20"/>
  <c r="A17170" i="20"/>
  <c r="A17169" i="20"/>
  <c r="A17168" i="20"/>
  <c r="A17167" i="20"/>
  <c r="A17166" i="20"/>
  <c r="A17165" i="20"/>
  <c r="A17164" i="20"/>
  <c r="A17163" i="20"/>
  <c r="A17162" i="20"/>
  <c r="A17161" i="20"/>
  <c r="A17160" i="20"/>
  <c r="A17159" i="20"/>
  <c r="A17158" i="20"/>
  <c r="A17157" i="20"/>
  <c r="A17156" i="20"/>
  <c r="A17155" i="20"/>
  <c r="A17154" i="20"/>
  <c r="A17153" i="20"/>
  <c r="A17152" i="20"/>
  <c r="A17151" i="20"/>
  <c r="A17150" i="20"/>
  <c r="A17149" i="20"/>
  <c r="A17148" i="20"/>
  <c r="A17147" i="20"/>
  <c r="A17146" i="20"/>
  <c r="A17145" i="20"/>
  <c r="A17144" i="20"/>
  <c r="A17143" i="20"/>
  <c r="A17142" i="20"/>
  <c r="A17141" i="20"/>
  <c r="A17140" i="20"/>
  <c r="A17139" i="20"/>
  <c r="A17138" i="20"/>
  <c r="A17137" i="20"/>
  <c r="A17136" i="20"/>
  <c r="A17135" i="20"/>
  <c r="A17134" i="20"/>
  <c r="A17133" i="20"/>
  <c r="A17132" i="20"/>
  <c r="A17131" i="20"/>
  <c r="A17130" i="20"/>
  <c r="A17129" i="20"/>
  <c r="A17128" i="20"/>
  <c r="A17127" i="20"/>
  <c r="A17126" i="20"/>
  <c r="A17125" i="20"/>
  <c r="A17124" i="20"/>
  <c r="A17123" i="20"/>
  <c r="A17122" i="20"/>
  <c r="A17121" i="20"/>
  <c r="A17120" i="20"/>
  <c r="A17119" i="20"/>
  <c r="A17118" i="20"/>
  <c r="A17117" i="20"/>
  <c r="A17116" i="20"/>
  <c r="A17115" i="20"/>
  <c r="A17114" i="20"/>
  <c r="A17113" i="20"/>
  <c r="A17112" i="20"/>
  <c r="A17111" i="20"/>
  <c r="A17110" i="20"/>
  <c r="A17109" i="20"/>
  <c r="A17108" i="20"/>
  <c r="A17107" i="20"/>
  <c r="A17106" i="20"/>
  <c r="A17105" i="20"/>
  <c r="A17104" i="20"/>
  <c r="A17103" i="20"/>
  <c r="A17102" i="20"/>
  <c r="A17101" i="20"/>
  <c r="A17100" i="20"/>
  <c r="A17099" i="20"/>
  <c r="A17098" i="20"/>
  <c r="A17097" i="20"/>
  <c r="A17096" i="20"/>
  <c r="A17095" i="20"/>
  <c r="A17094" i="20"/>
  <c r="A17093" i="20"/>
  <c r="A17092" i="20"/>
  <c r="A17091" i="20"/>
  <c r="A17090" i="20"/>
  <c r="A17089" i="20"/>
  <c r="A17088" i="20"/>
  <c r="A17087" i="20"/>
  <c r="A17086" i="20"/>
  <c r="A17085" i="20"/>
  <c r="A17084" i="20"/>
  <c r="A17083" i="20"/>
  <c r="A17082" i="20"/>
  <c r="A17081" i="20"/>
  <c r="A17080" i="20"/>
  <c r="A17079" i="20"/>
  <c r="A17078" i="20"/>
  <c r="A17077" i="20"/>
  <c r="A17076" i="20"/>
  <c r="A17075" i="20"/>
  <c r="A17074" i="20"/>
  <c r="A17073" i="20"/>
  <c r="A17072" i="20"/>
  <c r="A17071" i="20"/>
  <c r="A17070" i="20"/>
  <c r="A17069" i="20"/>
  <c r="A17068" i="20"/>
  <c r="A17067" i="20"/>
  <c r="A17066" i="20"/>
  <c r="A17065" i="20"/>
  <c r="A17064" i="20"/>
  <c r="A17063" i="20"/>
  <c r="A17062" i="20"/>
  <c r="A17061" i="20"/>
  <c r="A17060" i="20"/>
  <c r="A17059" i="20"/>
  <c r="A17058" i="20"/>
  <c r="A17057" i="20"/>
  <c r="A17056" i="20"/>
  <c r="A17055" i="20"/>
  <c r="A17054" i="20"/>
  <c r="A17053" i="20"/>
  <c r="A17052" i="20"/>
  <c r="A17051" i="20"/>
  <c r="A17050" i="20"/>
  <c r="A17049" i="20"/>
  <c r="A17048" i="20"/>
  <c r="A17047" i="20"/>
  <c r="A17046" i="20"/>
  <c r="A17045" i="20"/>
  <c r="A17044" i="20"/>
  <c r="A17043" i="20"/>
  <c r="A17042" i="20"/>
  <c r="A17041" i="20"/>
  <c r="A17040" i="20"/>
  <c r="A17039" i="20"/>
  <c r="A17038" i="20"/>
  <c r="A17037" i="20"/>
  <c r="A17036" i="20"/>
  <c r="A17035" i="20"/>
  <c r="A17034" i="20"/>
  <c r="A17033" i="20"/>
  <c r="A17032" i="20"/>
  <c r="A17031" i="20"/>
  <c r="A17030" i="20"/>
  <c r="A17029" i="20"/>
  <c r="A17028" i="20"/>
  <c r="A17027" i="20"/>
  <c r="A17026" i="20"/>
  <c r="A17025" i="20"/>
  <c r="A17024" i="20"/>
  <c r="A17023" i="20"/>
  <c r="A17022" i="20"/>
  <c r="A17021" i="20"/>
  <c r="A17020" i="20"/>
  <c r="A17019" i="20"/>
  <c r="A17018" i="20"/>
  <c r="A17017" i="20"/>
  <c r="A17016" i="20"/>
  <c r="A17015" i="20"/>
  <c r="A17014" i="20"/>
  <c r="A17013" i="20"/>
  <c r="A17012" i="20"/>
  <c r="A17011" i="20"/>
  <c r="A17010" i="20"/>
  <c r="A17009" i="20"/>
  <c r="A17008" i="20"/>
  <c r="A17007" i="20"/>
  <c r="A17006" i="20"/>
  <c r="A17005" i="20"/>
  <c r="A17004" i="20"/>
  <c r="A17003" i="20"/>
  <c r="A17002" i="20"/>
  <c r="A17001" i="20"/>
  <c r="A17000" i="20"/>
  <c r="A16999" i="20"/>
  <c r="A16998" i="20"/>
  <c r="A16997" i="20"/>
  <c r="A16996" i="20"/>
  <c r="A16995" i="20"/>
  <c r="A16994" i="20"/>
  <c r="A16993" i="20"/>
  <c r="A16992" i="20"/>
  <c r="A16991" i="20"/>
  <c r="A16990" i="20"/>
  <c r="A16989" i="20"/>
  <c r="A16988" i="20"/>
  <c r="A16987" i="20"/>
  <c r="A16986" i="20"/>
  <c r="A16985" i="20"/>
  <c r="A16984" i="20"/>
  <c r="A16983" i="20"/>
  <c r="A16982" i="20"/>
  <c r="A16981" i="20"/>
  <c r="A16980" i="20"/>
  <c r="A16979" i="20"/>
  <c r="A16978" i="20"/>
  <c r="A16977" i="20"/>
  <c r="A16976" i="20"/>
  <c r="A16975" i="20"/>
  <c r="A16974" i="20"/>
  <c r="A16973" i="20"/>
  <c r="A16972" i="20"/>
  <c r="A16971" i="20"/>
  <c r="A16970" i="20"/>
  <c r="A16969" i="20"/>
  <c r="A16968" i="20"/>
  <c r="A16967" i="20"/>
  <c r="A16966" i="20"/>
  <c r="A16965" i="20"/>
  <c r="A16964" i="20"/>
  <c r="A16963" i="20"/>
  <c r="A16962" i="20"/>
  <c r="A16961" i="20"/>
  <c r="A16960" i="20"/>
  <c r="A16959" i="20"/>
  <c r="A16958" i="20"/>
  <c r="A16957" i="20"/>
  <c r="A16956" i="20"/>
  <c r="A16955" i="20"/>
  <c r="A16954" i="20"/>
  <c r="A16953" i="20"/>
  <c r="A16952" i="20"/>
  <c r="A16951" i="20"/>
  <c r="A16950" i="20"/>
  <c r="A16949" i="20"/>
  <c r="A16948" i="20"/>
  <c r="A16947" i="20"/>
  <c r="A16946" i="20"/>
  <c r="A16945" i="20"/>
  <c r="A16944" i="20"/>
  <c r="A16943" i="20"/>
  <c r="A16942" i="20"/>
  <c r="A16941" i="20"/>
  <c r="A16940" i="20"/>
  <c r="A16939" i="20"/>
  <c r="A16938" i="20"/>
  <c r="A16937" i="20"/>
  <c r="A16936" i="20"/>
  <c r="A16935" i="20"/>
  <c r="A16934" i="20"/>
  <c r="A16933" i="20"/>
  <c r="A16932" i="20"/>
  <c r="A16931" i="20"/>
  <c r="A16930" i="20"/>
  <c r="A16929" i="20"/>
  <c r="A16928" i="20"/>
  <c r="A16927" i="20"/>
  <c r="A16926" i="20"/>
  <c r="A16925" i="20"/>
  <c r="A16924" i="20"/>
  <c r="A16923" i="20"/>
  <c r="A16922" i="20"/>
  <c r="A16921" i="20"/>
  <c r="A16920" i="20"/>
  <c r="A16919" i="20"/>
  <c r="A16918" i="20"/>
  <c r="A16917" i="20"/>
  <c r="A16916" i="20"/>
  <c r="A16915" i="20"/>
  <c r="A16914" i="20"/>
  <c r="A16913" i="20"/>
  <c r="A16912" i="20"/>
  <c r="A16911" i="20"/>
  <c r="A16910" i="20"/>
  <c r="A16909" i="20"/>
  <c r="A16908" i="20"/>
  <c r="A16907" i="20"/>
  <c r="A16906" i="20"/>
  <c r="A16905" i="20"/>
  <c r="A16904" i="20"/>
  <c r="A16903" i="20"/>
  <c r="A16902" i="20"/>
  <c r="A16901" i="20"/>
  <c r="A16900" i="20"/>
  <c r="A16899" i="20"/>
  <c r="A16898" i="20"/>
  <c r="A16897" i="20"/>
  <c r="A16896" i="20"/>
  <c r="A16895" i="20"/>
  <c r="A16894" i="20"/>
  <c r="A16893" i="20"/>
  <c r="A16892" i="20"/>
  <c r="A16891" i="20"/>
  <c r="A16890" i="20"/>
  <c r="A16889" i="20"/>
  <c r="A16888" i="20"/>
  <c r="A16887" i="20"/>
  <c r="A16886" i="20"/>
  <c r="A16885" i="20"/>
  <c r="A16884" i="20"/>
  <c r="A16883" i="20"/>
  <c r="A16882" i="20"/>
  <c r="A16881" i="20"/>
  <c r="A16880" i="20"/>
  <c r="A16879" i="20"/>
  <c r="A16878" i="20"/>
  <c r="A16877" i="20"/>
  <c r="A16876" i="20"/>
  <c r="A16875" i="20"/>
  <c r="A16874" i="20"/>
  <c r="A16873" i="20"/>
  <c r="A16872" i="20"/>
  <c r="A16871" i="20"/>
  <c r="A16870" i="20"/>
  <c r="A16869" i="20"/>
  <c r="A16868" i="20"/>
  <c r="A16867" i="20"/>
  <c r="A16866" i="20"/>
  <c r="A16865" i="20"/>
  <c r="A16864" i="20"/>
  <c r="A16863" i="20"/>
  <c r="A16862" i="20"/>
  <c r="A16861" i="20"/>
  <c r="A16860" i="20"/>
  <c r="A16859" i="20"/>
  <c r="A16858" i="20"/>
  <c r="A16857" i="20"/>
  <c r="A16856" i="20"/>
  <c r="A16855" i="20"/>
  <c r="A16854" i="20"/>
  <c r="A16853" i="20"/>
  <c r="A16852" i="20"/>
  <c r="A16851" i="20"/>
  <c r="A16850" i="20"/>
  <c r="A16849" i="20"/>
  <c r="A16848" i="20"/>
  <c r="A16847" i="20"/>
  <c r="A16846" i="20"/>
  <c r="A16845" i="20"/>
  <c r="A16844" i="20"/>
  <c r="A16843" i="20"/>
  <c r="A16842" i="20"/>
  <c r="A16841" i="20"/>
  <c r="A16840" i="20"/>
  <c r="A16839" i="20"/>
  <c r="A16838" i="20"/>
  <c r="A16837" i="20"/>
  <c r="A16836" i="20"/>
  <c r="A16835" i="20"/>
  <c r="A16834" i="20"/>
  <c r="A16833" i="20"/>
  <c r="A16832" i="20"/>
  <c r="A16831" i="20"/>
  <c r="A16830" i="20"/>
  <c r="A16829" i="20"/>
  <c r="A16828" i="20"/>
  <c r="A16827" i="20"/>
  <c r="A16826" i="20"/>
  <c r="A16825" i="20"/>
  <c r="A16824" i="20"/>
  <c r="A16823" i="20"/>
  <c r="A16822" i="20"/>
  <c r="A16821" i="20"/>
  <c r="A16820" i="20"/>
  <c r="A16819" i="20"/>
  <c r="A16818" i="20"/>
  <c r="A16817" i="20"/>
  <c r="A16816" i="20"/>
  <c r="A16815" i="20"/>
  <c r="A16814" i="20"/>
  <c r="A16813" i="20"/>
  <c r="A16812" i="20"/>
  <c r="A16811" i="20"/>
  <c r="A16810" i="20"/>
  <c r="A16809" i="20"/>
  <c r="A16808" i="20"/>
  <c r="A16807" i="20"/>
  <c r="A16806" i="20"/>
  <c r="A16805" i="20"/>
  <c r="A16804" i="20"/>
  <c r="A16803" i="20"/>
  <c r="A16802" i="20"/>
  <c r="A16801" i="20"/>
  <c r="A16800" i="20"/>
  <c r="A16799" i="20"/>
  <c r="A16798" i="20"/>
  <c r="A16797" i="20"/>
  <c r="A16796" i="20"/>
  <c r="A16795" i="20"/>
  <c r="A16794" i="20"/>
  <c r="A16793" i="20"/>
  <c r="A16792" i="20"/>
  <c r="A16791" i="20"/>
  <c r="A16790" i="20"/>
  <c r="A16789" i="20"/>
  <c r="A16788" i="20"/>
  <c r="A16787" i="20"/>
  <c r="A16786" i="20"/>
  <c r="A16785" i="20"/>
  <c r="A16784" i="20"/>
  <c r="A16783" i="20"/>
  <c r="A16782" i="20"/>
  <c r="A16781" i="20"/>
  <c r="A16780" i="20"/>
  <c r="A16779" i="20"/>
  <c r="A16778" i="20"/>
  <c r="A16777" i="20"/>
  <c r="A16776" i="20"/>
  <c r="A16775" i="20"/>
  <c r="A16774" i="20"/>
  <c r="A16773" i="20"/>
  <c r="A16772" i="20"/>
  <c r="A16771" i="20"/>
  <c r="A16770" i="20"/>
  <c r="A16769" i="20"/>
  <c r="A16768" i="20"/>
  <c r="A16767" i="20"/>
  <c r="A16766" i="20"/>
  <c r="A16765" i="20"/>
  <c r="A16764" i="20"/>
  <c r="A16763" i="20"/>
  <c r="A16762" i="20"/>
  <c r="A16761" i="20"/>
  <c r="A16760" i="20"/>
  <c r="A16759" i="20"/>
  <c r="A16758" i="20"/>
  <c r="A16757" i="20"/>
  <c r="A16756" i="20"/>
  <c r="A16755" i="20"/>
  <c r="A16754" i="20"/>
  <c r="A16753" i="20"/>
  <c r="A16752" i="20"/>
  <c r="A16751" i="20"/>
  <c r="A16750" i="20"/>
  <c r="A16749" i="20"/>
  <c r="A16748" i="20"/>
  <c r="A16747" i="20"/>
  <c r="A16746" i="20"/>
  <c r="A16745" i="20"/>
  <c r="A16744" i="20"/>
  <c r="A16743" i="20"/>
  <c r="A16742" i="20"/>
  <c r="A16741" i="20"/>
  <c r="A16740" i="20"/>
  <c r="A16739" i="20"/>
  <c r="A16738" i="20"/>
  <c r="A16737" i="20"/>
  <c r="A16736" i="20"/>
  <c r="A16735" i="20"/>
  <c r="A16734" i="20"/>
  <c r="A16733" i="20"/>
  <c r="A16732" i="20"/>
  <c r="A16731" i="20"/>
  <c r="A16730" i="20"/>
  <c r="A16729" i="20"/>
  <c r="A16728" i="20"/>
  <c r="A16727" i="20"/>
  <c r="A16726" i="20"/>
  <c r="A16725" i="20"/>
  <c r="A16724" i="20"/>
  <c r="A16723" i="20"/>
  <c r="A16722" i="20"/>
  <c r="A16721" i="20"/>
  <c r="A16720" i="20"/>
  <c r="A16719" i="20"/>
  <c r="A16718" i="20"/>
  <c r="A16717" i="20"/>
  <c r="A16716" i="20"/>
  <c r="A16715" i="20"/>
  <c r="A16714" i="20"/>
  <c r="A16713" i="20"/>
  <c r="A16712" i="20"/>
  <c r="A16711" i="20"/>
  <c r="A16710" i="20"/>
  <c r="A16709" i="20"/>
  <c r="A16708" i="20"/>
  <c r="A16707" i="20"/>
  <c r="A16706" i="20"/>
  <c r="A16705" i="20"/>
  <c r="A16704" i="20"/>
  <c r="A16703" i="20"/>
  <c r="A16702" i="20"/>
  <c r="A16701" i="20"/>
  <c r="A16700" i="20"/>
  <c r="A16699" i="20"/>
  <c r="A16698" i="20"/>
  <c r="A16697" i="20"/>
  <c r="A16696" i="20"/>
  <c r="A16695" i="20"/>
  <c r="A16694" i="20"/>
  <c r="A16693" i="20"/>
  <c r="A16692" i="20"/>
  <c r="A16691" i="20"/>
  <c r="A16690" i="20"/>
  <c r="A16689" i="20"/>
  <c r="A16688" i="20"/>
  <c r="A16687" i="20"/>
  <c r="A16686" i="20"/>
  <c r="A16685" i="20"/>
  <c r="A16684" i="20"/>
  <c r="A16683" i="20"/>
  <c r="A16682" i="20"/>
  <c r="A16681" i="20"/>
  <c r="A16680" i="20"/>
  <c r="A16679" i="20"/>
  <c r="A16678" i="20"/>
  <c r="A16677" i="20"/>
  <c r="A16676" i="20"/>
  <c r="A16675" i="20"/>
  <c r="A16674" i="20"/>
  <c r="A16673" i="20"/>
  <c r="A16672" i="20"/>
  <c r="A16671" i="20"/>
  <c r="A16670" i="20"/>
  <c r="A16669" i="20"/>
  <c r="A16668" i="20"/>
  <c r="A16667" i="20"/>
  <c r="A16666" i="20"/>
  <c r="A16665" i="20"/>
  <c r="A16664" i="20"/>
  <c r="A16663" i="20"/>
  <c r="A16662" i="20"/>
  <c r="A16661" i="20"/>
  <c r="A16660" i="20"/>
  <c r="A16659" i="20"/>
  <c r="A16658" i="20"/>
  <c r="A16657" i="20"/>
  <c r="A16656" i="20"/>
  <c r="A16655" i="20"/>
  <c r="A16654" i="20"/>
  <c r="A16653" i="20"/>
  <c r="A16652" i="20"/>
  <c r="A16651" i="20"/>
  <c r="A16650" i="20"/>
  <c r="A16649" i="20"/>
  <c r="A16648" i="20"/>
  <c r="A16647" i="20"/>
  <c r="A16646" i="20"/>
  <c r="A16645" i="20"/>
  <c r="A16644" i="20"/>
  <c r="A16643" i="20"/>
  <c r="A16642" i="20"/>
  <c r="A16641" i="20"/>
  <c r="A16640" i="20"/>
  <c r="A16639" i="20"/>
  <c r="A16638" i="20"/>
  <c r="A16637" i="20"/>
  <c r="A16636" i="20"/>
  <c r="A16635" i="20"/>
  <c r="A16634" i="20"/>
  <c r="A16633" i="20"/>
  <c r="A16632" i="20"/>
  <c r="A16631" i="20"/>
  <c r="A16630" i="20"/>
  <c r="A16629" i="20"/>
  <c r="A16628" i="20"/>
  <c r="A16627" i="20"/>
  <c r="A16626" i="20"/>
  <c r="A16625" i="20"/>
  <c r="A16624" i="20"/>
  <c r="A16623" i="20"/>
  <c r="A16622" i="20"/>
  <c r="A16621" i="20"/>
  <c r="A16620" i="20"/>
  <c r="A16619" i="20"/>
  <c r="A16618" i="20"/>
  <c r="A16617" i="20"/>
  <c r="A16616" i="20"/>
  <c r="A16615" i="20"/>
  <c r="A16614" i="20"/>
  <c r="A16613" i="20"/>
  <c r="A16612" i="20"/>
  <c r="A16611" i="20"/>
  <c r="A16610" i="20"/>
  <c r="A16609" i="20"/>
  <c r="A16608" i="20"/>
  <c r="A16607" i="20"/>
  <c r="A16606" i="20"/>
  <c r="A16605" i="20"/>
  <c r="A16604" i="20"/>
  <c r="A16603" i="20"/>
  <c r="A16602" i="20"/>
  <c r="A16601" i="20"/>
  <c r="A16600" i="20"/>
  <c r="A16599" i="20"/>
  <c r="A16598" i="20"/>
  <c r="A16597" i="20"/>
  <c r="A16596" i="20"/>
  <c r="A16595" i="20"/>
  <c r="A16594" i="20"/>
  <c r="A16593" i="20"/>
  <c r="A16592" i="20"/>
  <c r="A16591" i="20"/>
  <c r="A16590" i="20"/>
  <c r="A16589" i="20"/>
  <c r="A16588" i="20"/>
  <c r="A16587" i="20"/>
  <c r="A16586" i="20"/>
  <c r="A16585" i="20"/>
  <c r="A16584" i="20"/>
  <c r="A16583" i="20"/>
  <c r="A16582" i="20"/>
  <c r="A16581" i="20"/>
  <c r="A16580" i="20"/>
  <c r="A16579" i="20"/>
  <c r="A16578" i="20"/>
  <c r="A16577" i="20"/>
  <c r="A16576" i="20"/>
  <c r="A16575" i="20"/>
  <c r="A16574" i="20"/>
  <c r="A16573" i="20"/>
  <c r="A16572" i="20"/>
  <c r="A16571" i="20"/>
  <c r="A16570" i="20"/>
  <c r="A16569" i="20"/>
  <c r="A16568" i="20"/>
  <c r="A16567" i="20"/>
  <c r="A16566" i="20"/>
  <c r="A16565" i="20"/>
  <c r="A16564" i="20"/>
  <c r="A16563" i="20"/>
  <c r="A16562" i="20"/>
  <c r="A16561" i="20"/>
  <c r="A16560" i="20"/>
  <c r="A16559" i="20"/>
  <c r="A16558" i="20"/>
  <c r="A16557" i="20"/>
  <c r="A16556" i="20"/>
  <c r="A16555" i="20"/>
  <c r="A16554" i="20"/>
  <c r="A16553" i="20"/>
  <c r="A16552" i="20"/>
  <c r="A16551" i="20"/>
  <c r="A16550" i="20"/>
  <c r="A16549" i="20"/>
  <c r="A16548" i="20"/>
  <c r="A16547" i="20"/>
  <c r="A16546" i="20"/>
  <c r="A16545" i="20"/>
  <c r="A16544" i="20"/>
  <c r="A16543" i="20"/>
  <c r="A16542" i="20"/>
  <c r="A16541" i="20"/>
  <c r="A16540" i="20"/>
  <c r="A16539" i="20"/>
  <c r="A16538" i="20"/>
  <c r="A16537" i="20"/>
  <c r="A16536" i="20"/>
  <c r="A16535" i="20"/>
  <c r="A16534" i="20"/>
  <c r="A16533" i="20"/>
  <c r="A16532" i="20"/>
  <c r="A16531" i="20"/>
  <c r="A16530" i="20"/>
  <c r="A16529" i="20"/>
  <c r="A16528" i="20"/>
  <c r="A16527" i="20"/>
  <c r="A16526" i="20"/>
  <c r="A16525" i="20"/>
  <c r="A16524" i="20"/>
  <c r="A16523" i="20"/>
  <c r="A16522" i="20"/>
  <c r="A16521" i="20"/>
  <c r="A16520" i="20"/>
  <c r="A16519" i="20"/>
  <c r="A16518" i="20"/>
  <c r="A16517" i="20"/>
  <c r="A16516" i="20"/>
  <c r="A16515" i="20"/>
  <c r="A16514" i="20"/>
  <c r="A16513" i="20"/>
  <c r="A16512" i="20"/>
  <c r="A16511" i="20"/>
  <c r="A16510" i="20"/>
  <c r="A16509" i="20"/>
  <c r="A16508" i="20"/>
  <c r="A16507" i="20"/>
  <c r="A16506" i="20"/>
  <c r="A16505" i="20"/>
  <c r="A16504" i="20"/>
  <c r="A16503" i="20"/>
  <c r="A16502" i="20"/>
  <c r="A16501" i="20"/>
  <c r="A16500" i="20"/>
  <c r="A16499" i="20"/>
  <c r="A16498" i="20"/>
  <c r="A16497" i="20"/>
  <c r="A16496" i="20"/>
  <c r="A16495" i="20"/>
  <c r="A16494" i="20"/>
  <c r="A16493" i="20"/>
  <c r="A16492" i="20"/>
  <c r="A16491" i="20"/>
  <c r="A16490" i="20"/>
  <c r="A16489" i="20"/>
  <c r="A16488" i="20"/>
  <c r="A16487" i="20"/>
  <c r="A16486" i="20"/>
  <c r="A16485" i="20"/>
  <c r="A16484" i="20"/>
  <c r="A16483" i="20"/>
  <c r="A16482" i="20"/>
  <c r="A16481" i="20"/>
  <c r="A16480" i="20"/>
  <c r="A16479" i="20"/>
  <c r="A16478" i="20"/>
  <c r="A16477" i="20"/>
  <c r="A16476" i="20"/>
  <c r="A16475" i="20"/>
  <c r="A16474" i="20"/>
  <c r="A16473" i="20"/>
  <c r="A16472" i="20"/>
  <c r="A16471" i="20"/>
  <c r="A16470" i="20"/>
  <c r="A16469" i="20"/>
  <c r="A16468" i="20"/>
  <c r="A16467" i="20"/>
  <c r="A16466" i="20"/>
  <c r="A16465" i="20"/>
  <c r="A16464" i="20"/>
  <c r="A16463" i="20"/>
  <c r="A16462" i="20"/>
  <c r="A16461" i="20"/>
  <c r="A16460" i="20"/>
  <c r="A16459" i="20"/>
  <c r="A16458" i="20"/>
  <c r="A16457" i="20"/>
  <c r="A16456" i="20"/>
  <c r="A16455" i="20"/>
  <c r="A16454" i="20"/>
  <c r="A16453" i="20"/>
  <c r="A16452" i="20"/>
  <c r="A16451" i="20"/>
  <c r="A16450" i="20"/>
  <c r="A16449" i="20"/>
  <c r="A16448" i="20"/>
  <c r="A16447" i="20"/>
  <c r="A16446" i="20"/>
  <c r="A16445" i="20"/>
  <c r="A16444" i="20"/>
  <c r="A16443" i="20"/>
  <c r="A16442" i="20"/>
  <c r="A16441" i="20"/>
  <c r="A16440" i="20"/>
  <c r="A16439" i="20"/>
  <c r="A16438" i="20"/>
  <c r="A16437" i="20"/>
  <c r="A16436" i="20"/>
  <c r="A16435" i="20"/>
  <c r="A16434" i="20"/>
  <c r="A16433" i="20"/>
  <c r="A16432" i="20"/>
  <c r="A16431" i="20"/>
  <c r="A16430" i="20"/>
  <c r="A16429" i="20"/>
  <c r="A16428" i="20"/>
  <c r="A16427" i="20"/>
  <c r="A16426" i="20"/>
  <c r="A16425" i="20"/>
  <c r="A16424" i="20"/>
  <c r="A16423" i="20"/>
  <c r="A16422" i="20"/>
  <c r="A16421" i="20"/>
  <c r="A16420" i="20"/>
  <c r="A16419" i="20"/>
  <c r="A16418" i="20"/>
  <c r="A16417" i="20"/>
  <c r="A16416" i="20"/>
  <c r="A16415" i="20"/>
  <c r="A16414" i="20"/>
  <c r="A16413" i="20"/>
  <c r="A16412" i="20"/>
  <c r="A16411" i="20"/>
  <c r="A16410" i="20"/>
  <c r="A16409" i="20"/>
  <c r="A16408" i="20"/>
  <c r="A16407" i="20"/>
  <c r="A16406" i="20"/>
  <c r="A16405" i="20"/>
  <c r="A16404" i="20"/>
  <c r="A16403" i="20"/>
  <c r="A16402" i="20"/>
  <c r="A16401" i="20"/>
  <c r="A16400" i="20"/>
  <c r="A16399" i="20"/>
  <c r="A16398" i="20"/>
  <c r="A16397" i="20"/>
  <c r="A16396" i="20"/>
  <c r="A16395" i="20"/>
  <c r="A16394" i="20"/>
  <c r="A16393" i="20"/>
  <c r="A16392" i="20"/>
  <c r="A16391" i="20"/>
  <c r="A16390" i="20"/>
  <c r="A16389" i="20"/>
  <c r="A16388" i="20"/>
  <c r="A16387" i="20"/>
  <c r="A16386" i="20"/>
  <c r="A16385" i="20"/>
  <c r="A16384" i="20"/>
  <c r="A16383" i="20"/>
  <c r="A16382" i="20"/>
  <c r="A16381" i="20"/>
  <c r="A16380" i="20"/>
  <c r="A16379" i="20"/>
  <c r="A16378" i="20"/>
  <c r="A16377" i="20"/>
  <c r="A16376" i="20"/>
  <c r="A16375" i="20"/>
  <c r="A16374" i="20"/>
  <c r="A16373" i="20"/>
  <c r="A16372" i="20"/>
  <c r="A16371" i="20"/>
  <c r="A16370" i="20"/>
  <c r="A16369" i="20"/>
  <c r="A16368" i="20"/>
  <c r="A16367" i="20"/>
  <c r="A16366" i="20"/>
  <c r="A16365" i="20"/>
  <c r="A16364" i="20"/>
  <c r="A16363" i="20"/>
  <c r="A16362" i="20"/>
  <c r="A16361" i="20"/>
  <c r="A16360" i="20"/>
  <c r="A16359" i="20"/>
  <c r="A16358" i="20"/>
  <c r="A16357" i="20"/>
  <c r="A16356" i="20"/>
  <c r="A16355" i="20"/>
  <c r="A16354" i="20"/>
  <c r="A16353" i="20"/>
  <c r="A16352" i="20"/>
  <c r="A16351" i="20"/>
  <c r="A16350" i="20"/>
  <c r="A16349" i="20"/>
  <c r="A16348" i="20"/>
  <c r="A16347" i="20"/>
  <c r="A16346" i="20"/>
  <c r="A16345" i="20"/>
  <c r="A16344" i="20"/>
  <c r="A16343" i="20"/>
  <c r="A16342" i="20"/>
  <c r="A16341" i="20"/>
  <c r="A16340" i="20"/>
  <c r="A16339" i="20"/>
  <c r="A16338" i="20"/>
  <c r="A16337" i="20"/>
  <c r="A16336" i="20"/>
  <c r="A16335" i="20"/>
  <c r="A16334" i="20"/>
  <c r="A16333" i="20"/>
  <c r="A16332" i="20"/>
  <c r="A16331" i="20"/>
  <c r="A16330" i="20"/>
  <c r="A16329" i="20"/>
  <c r="A16328" i="20"/>
  <c r="A16327" i="20"/>
  <c r="A16326" i="20"/>
  <c r="A16325" i="20"/>
  <c r="A16324" i="20"/>
  <c r="A16323" i="20"/>
  <c r="A16322" i="20"/>
  <c r="A16321" i="20"/>
  <c r="A16320" i="20"/>
  <c r="A16319" i="20"/>
  <c r="A16318" i="20"/>
  <c r="A16317" i="20"/>
  <c r="A16316" i="20"/>
  <c r="A16315" i="20"/>
  <c r="A16314" i="20"/>
  <c r="A16313" i="20"/>
  <c r="A16312" i="20"/>
  <c r="A16311" i="20"/>
  <c r="A16310" i="20"/>
  <c r="A16309" i="20"/>
  <c r="A16308" i="20"/>
  <c r="A16307" i="20"/>
  <c r="A16306" i="20"/>
  <c r="A16305" i="20"/>
  <c r="A16304" i="20"/>
  <c r="A16303" i="20"/>
  <c r="A16302" i="20"/>
  <c r="A16301" i="20"/>
  <c r="A16300" i="20"/>
  <c r="A16299" i="20"/>
  <c r="A16298" i="20"/>
  <c r="A16297" i="20"/>
  <c r="A16296" i="20"/>
  <c r="A16295" i="20"/>
  <c r="A16294" i="20"/>
  <c r="A16293" i="20"/>
  <c r="A16292" i="20"/>
  <c r="A16291" i="20"/>
  <c r="A16290" i="20"/>
  <c r="A16289" i="20"/>
  <c r="A16288" i="20"/>
  <c r="A16287" i="20"/>
  <c r="A16286" i="20"/>
  <c r="A16285" i="20"/>
  <c r="A16284" i="20"/>
  <c r="A16283" i="20"/>
  <c r="A16282" i="20"/>
  <c r="A16281" i="20"/>
  <c r="A16280" i="20"/>
  <c r="A16279" i="20"/>
  <c r="A16278" i="20"/>
  <c r="A16277" i="20"/>
  <c r="A16276" i="20"/>
  <c r="A16275" i="20"/>
  <c r="A16274" i="20"/>
  <c r="A16273" i="20"/>
  <c r="A16272" i="20"/>
  <c r="A16271" i="20"/>
  <c r="A16270" i="20"/>
  <c r="A16269" i="20"/>
  <c r="A16268" i="20"/>
  <c r="A16267" i="20"/>
  <c r="A16266" i="20"/>
  <c r="A16265" i="20"/>
  <c r="A16264" i="20"/>
  <c r="A16263" i="20"/>
  <c r="A16262" i="20"/>
  <c r="A16261" i="20"/>
  <c r="A16260" i="20"/>
  <c r="A16259" i="20"/>
  <c r="A16258" i="20"/>
  <c r="A16257" i="20"/>
  <c r="A16256" i="20"/>
  <c r="A16255" i="20"/>
  <c r="A16254" i="20"/>
  <c r="A16253" i="20"/>
  <c r="A16252" i="20"/>
  <c r="A16251" i="20"/>
  <c r="A16250" i="20"/>
  <c r="A16249" i="20"/>
  <c r="A16248" i="20"/>
  <c r="A16247" i="20"/>
  <c r="A16246" i="20"/>
  <c r="A16245" i="20"/>
  <c r="A16244" i="20"/>
  <c r="A16243" i="20"/>
  <c r="A16242" i="20"/>
  <c r="A16241" i="20"/>
  <c r="A16240" i="20"/>
  <c r="A16239" i="20"/>
  <c r="A16238" i="20"/>
  <c r="A16237" i="20"/>
  <c r="A16236" i="20"/>
  <c r="A16235" i="20"/>
  <c r="A16234" i="20"/>
  <c r="A16233" i="20"/>
  <c r="A16232" i="20"/>
  <c r="A16231" i="20"/>
  <c r="A16230" i="20"/>
  <c r="A16229" i="20"/>
  <c r="A16228" i="20"/>
  <c r="A16227" i="20"/>
  <c r="A16226" i="20"/>
  <c r="A16225" i="20"/>
  <c r="A16224" i="20"/>
  <c r="A16223" i="20"/>
  <c r="A16222" i="20"/>
  <c r="A16221" i="20"/>
  <c r="A16220" i="20"/>
  <c r="A16219" i="20"/>
  <c r="A16218" i="20"/>
  <c r="A16217" i="20"/>
  <c r="A16216" i="20"/>
  <c r="A16215" i="20"/>
  <c r="A16214" i="20"/>
  <c r="A16213" i="20"/>
  <c r="A16212" i="20"/>
  <c r="A16211" i="20"/>
  <c r="A16210" i="20"/>
  <c r="A16209" i="20"/>
  <c r="A16208" i="20"/>
  <c r="A16207" i="20"/>
  <c r="A16206" i="20"/>
  <c r="A16205" i="20"/>
  <c r="A16204" i="20"/>
  <c r="A16203" i="20"/>
  <c r="A16202" i="20"/>
  <c r="A16201" i="20"/>
  <c r="A16200" i="20"/>
  <c r="A16199" i="20"/>
  <c r="A16198" i="20"/>
  <c r="A16197" i="20"/>
  <c r="A16196" i="20"/>
  <c r="A16195" i="20"/>
  <c r="A16194" i="20"/>
  <c r="A16193" i="20"/>
  <c r="A16192" i="20"/>
  <c r="A16191" i="20"/>
  <c r="A16190" i="20"/>
  <c r="A16189" i="20"/>
  <c r="A16188" i="20"/>
  <c r="A16187" i="20"/>
  <c r="A16186" i="20"/>
  <c r="A16185" i="20"/>
  <c r="A16184" i="20"/>
  <c r="A16183" i="20"/>
  <c r="A16182" i="20"/>
  <c r="A16181" i="20"/>
  <c r="A16180" i="20"/>
  <c r="A16179" i="20"/>
  <c r="A16178" i="20"/>
  <c r="A16177" i="20"/>
  <c r="A16176" i="20"/>
  <c r="A16175" i="20"/>
  <c r="A16174" i="20"/>
  <c r="A16173" i="20"/>
  <c r="A16172" i="20"/>
  <c r="A16171" i="20"/>
  <c r="A16170" i="20"/>
  <c r="A16169" i="20"/>
  <c r="A16168" i="20"/>
  <c r="A16167" i="20"/>
  <c r="A16166" i="20"/>
  <c r="A16165" i="20"/>
  <c r="A16164" i="20"/>
  <c r="A16163" i="20"/>
  <c r="A16162" i="20"/>
  <c r="A16161" i="20"/>
  <c r="A16160" i="20"/>
  <c r="A16159" i="20"/>
  <c r="A16158" i="20"/>
  <c r="A16157" i="20"/>
  <c r="A16156" i="20"/>
  <c r="A16155" i="20"/>
  <c r="A16154" i="20"/>
  <c r="A16153" i="20"/>
  <c r="A16152" i="20"/>
  <c r="A16151" i="20"/>
  <c r="A16150" i="20"/>
  <c r="A16149" i="20"/>
  <c r="A16148" i="20"/>
  <c r="A16147" i="20"/>
  <c r="A16146" i="20"/>
  <c r="A16145" i="20"/>
  <c r="A16144" i="20"/>
  <c r="A16143" i="20"/>
  <c r="A16142" i="20"/>
  <c r="A16141" i="20"/>
  <c r="A16140" i="20"/>
  <c r="A16139" i="20"/>
  <c r="A16138" i="20"/>
  <c r="A16137" i="20"/>
  <c r="A16136" i="20"/>
  <c r="A16135" i="20"/>
  <c r="A16134" i="20"/>
  <c r="A16133" i="20"/>
  <c r="A16132" i="20"/>
  <c r="A16131" i="20"/>
  <c r="A16130" i="20"/>
  <c r="A16129" i="20"/>
  <c r="A16128" i="20"/>
  <c r="A16127" i="20"/>
  <c r="A16126" i="20"/>
  <c r="A16125" i="20"/>
  <c r="A16124" i="20"/>
  <c r="A16123" i="20"/>
  <c r="A16122" i="20"/>
  <c r="A16121" i="20"/>
  <c r="A16120" i="20"/>
  <c r="A16119" i="20"/>
  <c r="A16118" i="20"/>
  <c r="A16117" i="20"/>
  <c r="A16116" i="20"/>
  <c r="A16115" i="20"/>
  <c r="A16114" i="20"/>
  <c r="A16113" i="20"/>
  <c r="A16112" i="20"/>
  <c r="A16111" i="20"/>
  <c r="A16110" i="20"/>
  <c r="A16109" i="20"/>
  <c r="A16108" i="20"/>
  <c r="A16107" i="20"/>
  <c r="A16106" i="20"/>
  <c r="A16105" i="20"/>
  <c r="A16104" i="20"/>
  <c r="A16103" i="20"/>
  <c r="A16102" i="20"/>
  <c r="A16101" i="20"/>
  <c r="A16100" i="20"/>
  <c r="A16099" i="20"/>
  <c r="A16098" i="20"/>
  <c r="A16097" i="20"/>
  <c r="A16096" i="20"/>
  <c r="A16095" i="20"/>
  <c r="A16094" i="20"/>
  <c r="A16093" i="20"/>
  <c r="A16092" i="20"/>
  <c r="A16091" i="20"/>
  <c r="A16090" i="20"/>
  <c r="A16089" i="20"/>
  <c r="A16088" i="20"/>
  <c r="A16087" i="20"/>
  <c r="A16086" i="20"/>
  <c r="A16085" i="20"/>
  <c r="A16084" i="20"/>
  <c r="A16083" i="20"/>
  <c r="A16082" i="20"/>
  <c r="A16081" i="20"/>
  <c r="A16080" i="20"/>
  <c r="A16079" i="20"/>
  <c r="A16078" i="20"/>
  <c r="A16077" i="20"/>
  <c r="A16076" i="20"/>
  <c r="A16075" i="20"/>
  <c r="A16074" i="20"/>
  <c r="A16073" i="20"/>
  <c r="A16072" i="20"/>
  <c r="A16071" i="20"/>
  <c r="A16070" i="20"/>
  <c r="A16069" i="20"/>
  <c r="A16068" i="20"/>
  <c r="A16067" i="20"/>
  <c r="A16066" i="20"/>
  <c r="A16065" i="20"/>
  <c r="A16064" i="20"/>
  <c r="A16063" i="20"/>
  <c r="A16062" i="20"/>
  <c r="A16061" i="20"/>
  <c r="A16060" i="20"/>
  <c r="A16059" i="20"/>
  <c r="A16058" i="20"/>
  <c r="A16057" i="20"/>
  <c r="A16056" i="20"/>
  <c r="A16055" i="20"/>
  <c r="A16054" i="20"/>
  <c r="A16053" i="20"/>
  <c r="A16052" i="20"/>
  <c r="A16051" i="20"/>
  <c r="A16050" i="20"/>
  <c r="A16049" i="20"/>
  <c r="A16048" i="20"/>
  <c r="A16047" i="20"/>
  <c r="A16046" i="20"/>
  <c r="A16045" i="20"/>
  <c r="A16044" i="20"/>
  <c r="A16043" i="20"/>
  <c r="A16042" i="20"/>
  <c r="A16041" i="20"/>
  <c r="A16040" i="20"/>
  <c r="A16039" i="20"/>
  <c r="A16038" i="20"/>
  <c r="A16037" i="20"/>
  <c r="A16036" i="20"/>
  <c r="A16035" i="20"/>
  <c r="A16034" i="20"/>
  <c r="A16033" i="20"/>
  <c r="A16032" i="20"/>
  <c r="A16031" i="20"/>
  <c r="A16030" i="20"/>
  <c r="A16029" i="20"/>
  <c r="A16028" i="20"/>
  <c r="A16027" i="20"/>
  <c r="A16026" i="20"/>
  <c r="A16025" i="20"/>
  <c r="A16024" i="20"/>
  <c r="A16023" i="20"/>
  <c r="A16022" i="20"/>
  <c r="A16021" i="20"/>
  <c r="A16020" i="20"/>
  <c r="A16019" i="20"/>
  <c r="A16018" i="20"/>
  <c r="A16017" i="20"/>
  <c r="A16016" i="20"/>
  <c r="A16015" i="20"/>
  <c r="A16014" i="20"/>
  <c r="A16013" i="20"/>
  <c r="A16012" i="20"/>
  <c r="A16011" i="20"/>
  <c r="A16010" i="20"/>
  <c r="A16009" i="20"/>
  <c r="A16008" i="20"/>
  <c r="A16007" i="20"/>
  <c r="A16006" i="20"/>
  <c r="A16005" i="20"/>
  <c r="A16004" i="20"/>
  <c r="A16003" i="20"/>
  <c r="A16002" i="20"/>
  <c r="A16001" i="20"/>
  <c r="A16000" i="20"/>
  <c r="A15999" i="20"/>
  <c r="A15998" i="20"/>
  <c r="A15997" i="20"/>
  <c r="A15996" i="20"/>
  <c r="A15995" i="20"/>
  <c r="A15994" i="20"/>
  <c r="A15993" i="20"/>
  <c r="A15992" i="20"/>
  <c r="A15991" i="20"/>
  <c r="A15990" i="20"/>
  <c r="A15989" i="20"/>
  <c r="A15988" i="20"/>
  <c r="A15987" i="20"/>
  <c r="A15986" i="20"/>
  <c r="A15985" i="20"/>
  <c r="A15984" i="20"/>
  <c r="A15983" i="20"/>
  <c r="A15982" i="20"/>
  <c r="A15981" i="20"/>
  <c r="A15980" i="20"/>
  <c r="A15979" i="20"/>
  <c r="A15978" i="20"/>
  <c r="A15977" i="20"/>
  <c r="A15976" i="20"/>
  <c r="A15975" i="20"/>
  <c r="A15974" i="20"/>
  <c r="A15973" i="20"/>
  <c r="A15972" i="20"/>
  <c r="A15971" i="20"/>
  <c r="A15970" i="20"/>
  <c r="A15969" i="20"/>
  <c r="A15968" i="20"/>
  <c r="A15967" i="20"/>
  <c r="A15966" i="20"/>
  <c r="A15965" i="20"/>
  <c r="A15964" i="20"/>
  <c r="A15963" i="20"/>
  <c r="A15962" i="20"/>
  <c r="A15961" i="20"/>
  <c r="A15960" i="20"/>
  <c r="A15959" i="20"/>
  <c r="A15958" i="20"/>
  <c r="A15957" i="20"/>
  <c r="A15956" i="20"/>
  <c r="A15955" i="20"/>
  <c r="A15954" i="20"/>
  <c r="A15953" i="20"/>
  <c r="A15952" i="20"/>
  <c r="A15951" i="20"/>
  <c r="A15950" i="20"/>
  <c r="A15949" i="20"/>
  <c r="A15948" i="20"/>
  <c r="A15947" i="20"/>
  <c r="A15946" i="20"/>
  <c r="A15945" i="20"/>
  <c r="A15944" i="20"/>
  <c r="A15943" i="20"/>
  <c r="A15942" i="20"/>
  <c r="A15941" i="20"/>
  <c r="A15940" i="20"/>
  <c r="A15939" i="20"/>
  <c r="A15938" i="20"/>
  <c r="A15937" i="20"/>
  <c r="A15936" i="20"/>
  <c r="A15935" i="20"/>
  <c r="A15934" i="20"/>
  <c r="A15933" i="20"/>
  <c r="A15932" i="20"/>
  <c r="A15931" i="20"/>
  <c r="A15930" i="20"/>
  <c r="A15929" i="20"/>
  <c r="A15928" i="20"/>
  <c r="A15927" i="20"/>
  <c r="A15926" i="20"/>
  <c r="A15925" i="20"/>
  <c r="A15924" i="20"/>
  <c r="A15923" i="20"/>
  <c r="A15922" i="20"/>
  <c r="A15921" i="20"/>
  <c r="A15920" i="20"/>
  <c r="A15919" i="20"/>
  <c r="A15918" i="20"/>
  <c r="A15917" i="20"/>
  <c r="A15916" i="20"/>
  <c r="A15915" i="20"/>
  <c r="A15914" i="20"/>
  <c r="A15913" i="20"/>
  <c r="A15912" i="20"/>
  <c r="A15911" i="20"/>
  <c r="A15910" i="20"/>
  <c r="A15909" i="20"/>
  <c r="A15908" i="20"/>
  <c r="A15907" i="20"/>
  <c r="A15906" i="20"/>
  <c r="A15905" i="20"/>
  <c r="A15904" i="20"/>
  <c r="A15903" i="20"/>
  <c r="A15902" i="20"/>
  <c r="A15901" i="20"/>
  <c r="A15900" i="20"/>
  <c r="A15899" i="20"/>
  <c r="A15898" i="20"/>
  <c r="A15897" i="20"/>
  <c r="A15896" i="20"/>
  <c r="A15895" i="20"/>
  <c r="A15894" i="20"/>
  <c r="A15893" i="20"/>
  <c r="A15892" i="20"/>
  <c r="A15891" i="20"/>
  <c r="A15890" i="20"/>
  <c r="A15889" i="20"/>
  <c r="A15888" i="20"/>
  <c r="A15887" i="20"/>
  <c r="A15886" i="20"/>
  <c r="A15885" i="20"/>
  <c r="A15884" i="20"/>
  <c r="A15883" i="20"/>
  <c r="A15882" i="20"/>
  <c r="A15881" i="20"/>
  <c r="A15880" i="20"/>
  <c r="A15879" i="20"/>
  <c r="A15878" i="20"/>
  <c r="A15877" i="20"/>
  <c r="A15876" i="20"/>
  <c r="A15875" i="20"/>
  <c r="A15874" i="20"/>
  <c r="A15873" i="20"/>
  <c r="A15872" i="20"/>
  <c r="A15871" i="20"/>
  <c r="A15870" i="20"/>
  <c r="A15869" i="20"/>
  <c r="A15868" i="20"/>
  <c r="A15867" i="20"/>
  <c r="A15866" i="20"/>
  <c r="A15865" i="20"/>
  <c r="A15864" i="20"/>
  <c r="A15863" i="20"/>
  <c r="A15862" i="20"/>
  <c r="A15861" i="20"/>
  <c r="A15860" i="20"/>
  <c r="A15859" i="20"/>
  <c r="A15858" i="20"/>
  <c r="A15857" i="20"/>
  <c r="A15856" i="20"/>
  <c r="A15855" i="20"/>
  <c r="A15854" i="20"/>
  <c r="A15853" i="20"/>
  <c r="A15852" i="20"/>
  <c r="A15851" i="20"/>
  <c r="A15850" i="20"/>
  <c r="A15849" i="20"/>
  <c r="A15848" i="20"/>
  <c r="A15847" i="20"/>
  <c r="A15846" i="20"/>
  <c r="A15845" i="20"/>
  <c r="A15844" i="20"/>
  <c r="A15843" i="20"/>
  <c r="A15842" i="20"/>
  <c r="A15841" i="20"/>
  <c r="A15840" i="20"/>
  <c r="A15839" i="20"/>
  <c r="A15838" i="20"/>
  <c r="A15837" i="20"/>
  <c r="A15836" i="20"/>
  <c r="A15835" i="20"/>
  <c r="A15834" i="20"/>
  <c r="A15833" i="20"/>
  <c r="A15832" i="20"/>
  <c r="A15831" i="20"/>
  <c r="A15830" i="20"/>
  <c r="A15829" i="20"/>
  <c r="A15828" i="20"/>
  <c r="A15827" i="20"/>
  <c r="A15826" i="20"/>
  <c r="A15825" i="20"/>
  <c r="A15824" i="20"/>
  <c r="A15823" i="20"/>
  <c r="A15822" i="20"/>
  <c r="A15821" i="20"/>
  <c r="A15820" i="20"/>
  <c r="A15819" i="20"/>
  <c r="A15818" i="20"/>
  <c r="A15817" i="20"/>
  <c r="A15816" i="20"/>
  <c r="A15815" i="20"/>
  <c r="A15814" i="20"/>
  <c r="A15813" i="20"/>
  <c r="A15812" i="20"/>
  <c r="A15811" i="20"/>
  <c r="A15810" i="20"/>
  <c r="A15809" i="20"/>
  <c r="A15808" i="20"/>
  <c r="A15807" i="20"/>
  <c r="A15806" i="20"/>
  <c r="A15805" i="20"/>
  <c r="A15804" i="20"/>
  <c r="A15803" i="20"/>
  <c r="A15802" i="20"/>
  <c r="A15801" i="20"/>
  <c r="A15800" i="20"/>
  <c r="A15799" i="20"/>
  <c r="A15798" i="20"/>
  <c r="A15797" i="20"/>
  <c r="A15796" i="20"/>
  <c r="A15795" i="20"/>
  <c r="A15794" i="20"/>
  <c r="A15793" i="20"/>
  <c r="A15792" i="20"/>
  <c r="A15791" i="20"/>
  <c r="A15790" i="20"/>
  <c r="A15789" i="20"/>
  <c r="A15788" i="20"/>
  <c r="A15787" i="20"/>
  <c r="A15786" i="20"/>
  <c r="A15785" i="20"/>
  <c r="A15784" i="20"/>
  <c r="A15783" i="20"/>
  <c r="A15782" i="20"/>
  <c r="A15781" i="20"/>
  <c r="A15780" i="20"/>
  <c r="A15779" i="20"/>
  <c r="A15778" i="20"/>
  <c r="A15777" i="20"/>
  <c r="A15776" i="20"/>
  <c r="A15775" i="20"/>
  <c r="A15774" i="20"/>
  <c r="A15773" i="20"/>
  <c r="A15772" i="20"/>
  <c r="A15771" i="20"/>
  <c r="A15770" i="20"/>
  <c r="A15769" i="20"/>
  <c r="A15768" i="20"/>
  <c r="A15767" i="20"/>
  <c r="A15766" i="20"/>
  <c r="A15765" i="20"/>
  <c r="A15764" i="20"/>
  <c r="A15763" i="20"/>
  <c r="A15762" i="20"/>
  <c r="A15761" i="20"/>
  <c r="A15760" i="20"/>
  <c r="A15759" i="20"/>
  <c r="A15758" i="20"/>
  <c r="A15757" i="20"/>
  <c r="A15756" i="20"/>
  <c r="A15755" i="20"/>
  <c r="A15754" i="20"/>
  <c r="A15753" i="20"/>
  <c r="A15752" i="20"/>
  <c r="A15751" i="20"/>
  <c r="A15750" i="20"/>
  <c r="A15749" i="20"/>
  <c r="A15748" i="20"/>
  <c r="A15747" i="20"/>
  <c r="A15746" i="20"/>
  <c r="A15745" i="20"/>
  <c r="A15744" i="20"/>
  <c r="A15743" i="20"/>
  <c r="A15742" i="20"/>
  <c r="A15741" i="20"/>
  <c r="A15740" i="20"/>
  <c r="A15739" i="20"/>
  <c r="A15738" i="20"/>
  <c r="A15737" i="20"/>
  <c r="A15736" i="20"/>
  <c r="A15735" i="20"/>
  <c r="A15734" i="20"/>
  <c r="A15733" i="20"/>
  <c r="A15732" i="20"/>
  <c r="A15731" i="20"/>
  <c r="A15730" i="20"/>
  <c r="A15729" i="20"/>
  <c r="A15728" i="20"/>
  <c r="A15727" i="20"/>
  <c r="A15726" i="20"/>
  <c r="A15725" i="20"/>
  <c r="A15724" i="20"/>
  <c r="A15723" i="20"/>
  <c r="A15722" i="20"/>
  <c r="A15721" i="20"/>
  <c r="A15720" i="20"/>
  <c r="A15719" i="20"/>
  <c r="A15718" i="20"/>
  <c r="A15717" i="20"/>
  <c r="A15716" i="20"/>
  <c r="A15715" i="20"/>
  <c r="A15714" i="20"/>
  <c r="A15713" i="20"/>
  <c r="A15712" i="20"/>
  <c r="A15711" i="20"/>
  <c r="A15710" i="20"/>
  <c r="A15709" i="20"/>
  <c r="A15708" i="20"/>
  <c r="A15707" i="20"/>
  <c r="A15706" i="20"/>
  <c r="A15705" i="20"/>
  <c r="A15704" i="20"/>
  <c r="A15703" i="20"/>
  <c r="A15702" i="20"/>
  <c r="A15701" i="20"/>
  <c r="A15700" i="20"/>
  <c r="A15699" i="20"/>
  <c r="A15698" i="20"/>
  <c r="A15697" i="20"/>
  <c r="A15696" i="20"/>
  <c r="A15695" i="20"/>
  <c r="A15694" i="20"/>
  <c r="A15693" i="20"/>
  <c r="A15692" i="20"/>
  <c r="A15691" i="20"/>
  <c r="A15690" i="20"/>
  <c r="A15689" i="20"/>
  <c r="A15688" i="20"/>
  <c r="A15687" i="20"/>
  <c r="A15686" i="20"/>
  <c r="A15685" i="20"/>
  <c r="A15684" i="20"/>
  <c r="A15683" i="20"/>
  <c r="A15682" i="20"/>
  <c r="A15681" i="20"/>
  <c r="A15680" i="20"/>
  <c r="A15679" i="20"/>
  <c r="A15678" i="20"/>
  <c r="A15677" i="20"/>
  <c r="A15676" i="20"/>
  <c r="A15675" i="20"/>
  <c r="A15674" i="20"/>
  <c r="A15673" i="20"/>
  <c r="A15672" i="20"/>
  <c r="A15671" i="20"/>
  <c r="A15670" i="20"/>
  <c r="A15669" i="20"/>
  <c r="A15668" i="20"/>
  <c r="A15667" i="20"/>
  <c r="A15666" i="20"/>
  <c r="A15665" i="20"/>
  <c r="A15664" i="20"/>
  <c r="A15663" i="20"/>
  <c r="A15662" i="20"/>
  <c r="A15661" i="20"/>
  <c r="A15660" i="20"/>
  <c r="A15659" i="20"/>
  <c r="A15658" i="20"/>
  <c r="A15657" i="20"/>
  <c r="A15656" i="20"/>
  <c r="A15655" i="20"/>
  <c r="A15654" i="20"/>
  <c r="A15653" i="20"/>
  <c r="A15652" i="20"/>
  <c r="A15651" i="20"/>
  <c r="A15650" i="20"/>
  <c r="A15649" i="20"/>
  <c r="A15648" i="20"/>
  <c r="A15647" i="20"/>
  <c r="A15646" i="20"/>
  <c r="A15645" i="20"/>
  <c r="A15644" i="20"/>
  <c r="A15643" i="20"/>
  <c r="A15642" i="20"/>
  <c r="A15641" i="20"/>
  <c r="A15640" i="20"/>
  <c r="A15639" i="20"/>
  <c r="A15638" i="20"/>
  <c r="A15637" i="20"/>
  <c r="A15636" i="20"/>
  <c r="A15635" i="20"/>
  <c r="A15634" i="20"/>
  <c r="A15633" i="20"/>
  <c r="A15632" i="20"/>
  <c r="A15631" i="20"/>
  <c r="A15630" i="20"/>
  <c r="A15629" i="20"/>
  <c r="A15628" i="20"/>
  <c r="A15627" i="20"/>
  <c r="A15626" i="20"/>
  <c r="A15625" i="20"/>
  <c r="A15624" i="20"/>
  <c r="A15623" i="20"/>
  <c r="A15622" i="20"/>
  <c r="A15621" i="20"/>
  <c r="A15620" i="20"/>
  <c r="A15619" i="20"/>
  <c r="A15618" i="20"/>
  <c r="A15617" i="20"/>
  <c r="A15616" i="20"/>
  <c r="A15615" i="20"/>
  <c r="A15614" i="20"/>
  <c r="A15613" i="20"/>
  <c r="A15612" i="20"/>
  <c r="A15611" i="20"/>
  <c r="A15610" i="20"/>
  <c r="A15609" i="20"/>
  <c r="A15608" i="20"/>
  <c r="A15607" i="20"/>
  <c r="A15606" i="20"/>
  <c r="A15605" i="20"/>
  <c r="A15604" i="20"/>
  <c r="A15603" i="20"/>
  <c r="A15602" i="20"/>
  <c r="A15601" i="20"/>
  <c r="A15600" i="20"/>
  <c r="A15599" i="20"/>
  <c r="A15598" i="20"/>
  <c r="A15597" i="20"/>
  <c r="A15596" i="20"/>
  <c r="A15595" i="20"/>
  <c r="A15594" i="20"/>
  <c r="A15593" i="20"/>
  <c r="A15592" i="20"/>
  <c r="A15591" i="20"/>
  <c r="A15590" i="20"/>
  <c r="A15589" i="20"/>
  <c r="A15588" i="20"/>
  <c r="A15587" i="20"/>
  <c r="A15586" i="20"/>
  <c r="A15585" i="20"/>
  <c r="A15584" i="20"/>
  <c r="A15583" i="20"/>
  <c r="A15582" i="20"/>
  <c r="A15581" i="20"/>
  <c r="A15580" i="20"/>
  <c r="A15579" i="20"/>
  <c r="A15578" i="20"/>
  <c r="A15577" i="20"/>
  <c r="A15576" i="20"/>
  <c r="A15575" i="20"/>
  <c r="A15574" i="20"/>
  <c r="A15573" i="20"/>
  <c r="A15572" i="20"/>
  <c r="A15571" i="20"/>
  <c r="A15570" i="20"/>
  <c r="A15569" i="20"/>
  <c r="A15568" i="20"/>
  <c r="A15567" i="20"/>
  <c r="A15566" i="20"/>
  <c r="A15565" i="20"/>
  <c r="A15564" i="20"/>
  <c r="A15563" i="20"/>
  <c r="A15562" i="20"/>
  <c r="A15561" i="20"/>
  <c r="A15560" i="20"/>
  <c r="A15559" i="20"/>
  <c r="A15558" i="20"/>
  <c r="A15557" i="20"/>
  <c r="A15556" i="20"/>
  <c r="A15555" i="20"/>
  <c r="A15554" i="20"/>
  <c r="A15553" i="20"/>
  <c r="A15552" i="20"/>
  <c r="A15551" i="20"/>
  <c r="A15550" i="20"/>
  <c r="A15549" i="20"/>
  <c r="A15548" i="20"/>
  <c r="A15547" i="20"/>
  <c r="A15546" i="20"/>
  <c r="A15545" i="20"/>
  <c r="A15544" i="20"/>
  <c r="A15543" i="20"/>
  <c r="A15542" i="20"/>
  <c r="A15541" i="20"/>
  <c r="A15540" i="20"/>
  <c r="A15539" i="20"/>
  <c r="A15538" i="20"/>
  <c r="A15537" i="20"/>
  <c r="A15536" i="20"/>
  <c r="A15535" i="20"/>
  <c r="A15534" i="20"/>
  <c r="A15533" i="20"/>
  <c r="A15532" i="20"/>
  <c r="A15531" i="20"/>
  <c r="A15530" i="20"/>
  <c r="A15529" i="20"/>
  <c r="A15528" i="20"/>
  <c r="A15527" i="20"/>
  <c r="A15526" i="20"/>
  <c r="A15525" i="20"/>
  <c r="A15524" i="20"/>
  <c r="A15523" i="20"/>
  <c r="A15522" i="20"/>
  <c r="A15521" i="20"/>
  <c r="A15520" i="20"/>
  <c r="A15519" i="20"/>
  <c r="A15518" i="20"/>
  <c r="A15517" i="20"/>
  <c r="A15516" i="20"/>
  <c r="A15515" i="20"/>
  <c r="A15514" i="20"/>
  <c r="A15513" i="20"/>
  <c r="A15512" i="20"/>
  <c r="A15511" i="20"/>
  <c r="A15510" i="20"/>
  <c r="A15509" i="20"/>
  <c r="A15508" i="20"/>
  <c r="A15507" i="20"/>
  <c r="A15506" i="20"/>
  <c r="A15505" i="20"/>
  <c r="A15504" i="20"/>
  <c r="A15503" i="20"/>
  <c r="A15502" i="20"/>
  <c r="A15501" i="20"/>
  <c r="A15500" i="20"/>
  <c r="A15499" i="20"/>
  <c r="A15498" i="20"/>
  <c r="A15497" i="20"/>
  <c r="A15496" i="20"/>
  <c r="A15495" i="20"/>
  <c r="A15494" i="20"/>
  <c r="A15493" i="20"/>
  <c r="A15492" i="20"/>
  <c r="A15491" i="20"/>
  <c r="A15490" i="20"/>
  <c r="A15489" i="20"/>
  <c r="A15488" i="20"/>
  <c r="A15487" i="20"/>
  <c r="A15486" i="20"/>
  <c r="A15485" i="20"/>
  <c r="A15484" i="20"/>
  <c r="A15483" i="20"/>
  <c r="A15482" i="20"/>
  <c r="A15481" i="20"/>
  <c r="A15480" i="20"/>
  <c r="A15479" i="20"/>
  <c r="A15478" i="20"/>
  <c r="A15477" i="20"/>
  <c r="A15476" i="20"/>
  <c r="A15475" i="20"/>
  <c r="A15474" i="20"/>
  <c r="A15473" i="20"/>
  <c r="A15472" i="20"/>
  <c r="A15471" i="20"/>
  <c r="A15470" i="20"/>
  <c r="A15469" i="20"/>
  <c r="A15468" i="20"/>
  <c r="A15467" i="20"/>
  <c r="A15466" i="20"/>
  <c r="A15465" i="20"/>
  <c r="A15464" i="20"/>
  <c r="A15463" i="20"/>
  <c r="A15462" i="20"/>
  <c r="A15461" i="20"/>
  <c r="A15460" i="20"/>
  <c r="A15459" i="20"/>
  <c r="A15458" i="20"/>
  <c r="A15457" i="20"/>
  <c r="A15456" i="20"/>
  <c r="A15455" i="20"/>
  <c r="A15454" i="20"/>
  <c r="A15453" i="20"/>
  <c r="A15452" i="20"/>
  <c r="A15451" i="20"/>
  <c r="A15450" i="20"/>
  <c r="A15449" i="20"/>
  <c r="A15448" i="20"/>
  <c r="A15447" i="20"/>
  <c r="A15446" i="20"/>
  <c r="A15445" i="20"/>
  <c r="A15444" i="20"/>
  <c r="A15443" i="20"/>
  <c r="A15442" i="20"/>
  <c r="A15441" i="20"/>
  <c r="A15440" i="20"/>
  <c r="A15439" i="20"/>
  <c r="A15438" i="20"/>
  <c r="A15437" i="20"/>
  <c r="A15436" i="20"/>
  <c r="A15435" i="20"/>
  <c r="A15434" i="20"/>
  <c r="A15433" i="20"/>
  <c r="A15432" i="20"/>
  <c r="A15431" i="20"/>
  <c r="A15430" i="20"/>
  <c r="A15429" i="20"/>
  <c r="A15428" i="20"/>
  <c r="A15427" i="20"/>
  <c r="A15426" i="20"/>
  <c r="A15425" i="20"/>
  <c r="A15424" i="20"/>
  <c r="A15423" i="20"/>
  <c r="A15422" i="20"/>
  <c r="A15421" i="20"/>
  <c r="A15420" i="20"/>
  <c r="A15419" i="20"/>
  <c r="A15418" i="20"/>
  <c r="A15417" i="20"/>
  <c r="A15416" i="20"/>
  <c r="A15415" i="20"/>
  <c r="A15414" i="20"/>
  <c r="A15413" i="20"/>
  <c r="A15412" i="20"/>
  <c r="A15411" i="20"/>
  <c r="A15410" i="20"/>
  <c r="A15409" i="20"/>
  <c r="A15408" i="20"/>
  <c r="A15407" i="20"/>
  <c r="A15406" i="20"/>
  <c r="A15405" i="20"/>
  <c r="A15404" i="20"/>
  <c r="A15403" i="20"/>
  <c r="A15402" i="20"/>
  <c r="A15401" i="20"/>
  <c r="A15400" i="20"/>
  <c r="A15399" i="20"/>
  <c r="A15398" i="20"/>
  <c r="A15397" i="20"/>
  <c r="A15396" i="20"/>
  <c r="A15395" i="20"/>
  <c r="A15394" i="20"/>
  <c r="A15393" i="20"/>
  <c r="A15392" i="20"/>
  <c r="A15391" i="20"/>
  <c r="A15390" i="20"/>
  <c r="A15389" i="20"/>
  <c r="A15388" i="20"/>
  <c r="A15387" i="20"/>
  <c r="A15386" i="20"/>
  <c r="A15385" i="20"/>
  <c r="A15384" i="20"/>
  <c r="A15383" i="20"/>
  <c r="A15382" i="20"/>
  <c r="A15381" i="20"/>
  <c r="A15380" i="20"/>
  <c r="A15379" i="20"/>
  <c r="A15378" i="20"/>
  <c r="A15377" i="20"/>
  <c r="A15376" i="20"/>
  <c r="A15375" i="20"/>
  <c r="A15374" i="20"/>
  <c r="A15373" i="20"/>
  <c r="A15372" i="20"/>
  <c r="A15371" i="20"/>
  <c r="A15370" i="20"/>
  <c r="A15369" i="20"/>
  <c r="A15368" i="20"/>
  <c r="A15367" i="20"/>
  <c r="A15366" i="20"/>
  <c r="A15365" i="20"/>
  <c r="A15364" i="20"/>
  <c r="A15363" i="20"/>
  <c r="A15362" i="20"/>
  <c r="A15361" i="20"/>
  <c r="A15360" i="20"/>
  <c r="A15359" i="20"/>
  <c r="A15358" i="20"/>
  <c r="A15357" i="20"/>
  <c r="A15356" i="20"/>
  <c r="A15355" i="20"/>
  <c r="A15354" i="20"/>
  <c r="A15353" i="20"/>
  <c r="A15352" i="20"/>
  <c r="A15351" i="20"/>
  <c r="A15350" i="20"/>
  <c r="A15349" i="20"/>
  <c r="A15348" i="20"/>
  <c r="A15347" i="20"/>
  <c r="A15346" i="20"/>
  <c r="A15345" i="20"/>
  <c r="A15344" i="20"/>
  <c r="A15343" i="20"/>
  <c r="A15342" i="20"/>
  <c r="A15341" i="20"/>
  <c r="A15340" i="20"/>
  <c r="A15339" i="20"/>
  <c r="A15338" i="20"/>
  <c r="A15337" i="20"/>
  <c r="A15336" i="20"/>
  <c r="A15335" i="20"/>
  <c r="A15334" i="20"/>
  <c r="A15333" i="20"/>
  <c r="A15332" i="20"/>
  <c r="A15331" i="20"/>
  <c r="A15330" i="20"/>
  <c r="A15329" i="20"/>
  <c r="A15328" i="20"/>
  <c r="A15327" i="20"/>
  <c r="A15326" i="20"/>
  <c r="A15325" i="20"/>
  <c r="A15324" i="20"/>
  <c r="A15323" i="20"/>
  <c r="A15322" i="20"/>
  <c r="A15321" i="20"/>
  <c r="A15320" i="20"/>
  <c r="A15319" i="20"/>
  <c r="A15318" i="20"/>
  <c r="A15317" i="20"/>
  <c r="A15316" i="20"/>
  <c r="A15315" i="20"/>
  <c r="A15314" i="20"/>
  <c r="A15313" i="20"/>
  <c r="A15312" i="20"/>
  <c r="A15311" i="20"/>
  <c r="A15310" i="20"/>
  <c r="A15309" i="20"/>
  <c r="A15308" i="20"/>
  <c r="A15307" i="20"/>
  <c r="A15306" i="20"/>
  <c r="A15305" i="20"/>
  <c r="A15304" i="20"/>
  <c r="A15303" i="20"/>
  <c r="A15302" i="20"/>
  <c r="A15301" i="20"/>
  <c r="A15300" i="20"/>
  <c r="A15299" i="20"/>
  <c r="A15298" i="20"/>
  <c r="A15297" i="20"/>
  <c r="A15296" i="20"/>
  <c r="A15295" i="20"/>
  <c r="A15294" i="20"/>
  <c r="A15293" i="20"/>
  <c r="A15292" i="20"/>
  <c r="A15291" i="20"/>
  <c r="A15290" i="20"/>
  <c r="A15289" i="20"/>
  <c r="A15288" i="20"/>
  <c r="A15287" i="20"/>
  <c r="A15286" i="20"/>
  <c r="A15285" i="20"/>
  <c r="A15284" i="20"/>
  <c r="A15283" i="20"/>
  <c r="A15282" i="20"/>
  <c r="A15281" i="20"/>
  <c r="A15280" i="20"/>
  <c r="A15279" i="20"/>
  <c r="A15278" i="20"/>
  <c r="A15277" i="20"/>
  <c r="A15276" i="20"/>
  <c r="A15275" i="20"/>
  <c r="A15274" i="20"/>
  <c r="A15273" i="20"/>
  <c r="A15272" i="20"/>
  <c r="A15271" i="20"/>
  <c r="A15270" i="20"/>
  <c r="A15269" i="20"/>
  <c r="A15268" i="20"/>
  <c r="A15267" i="20"/>
  <c r="A15266" i="20"/>
  <c r="A15265" i="20"/>
  <c r="A15264" i="20"/>
  <c r="A15263" i="20"/>
  <c r="A15262" i="20"/>
  <c r="A15261" i="20"/>
  <c r="A15260" i="20"/>
  <c r="A15259" i="20"/>
  <c r="A15258" i="20"/>
  <c r="A15257" i="20"/>
  <c r="A15256" i="20"/>
  <c r="A15255" i="20"/>
  <c r="A15254" i="20"/>
  <c r="A15253" i="20"/>
  <c r="A15252" i="20"/>
  <c r="A15251" i="20"/>
  <c r="A15250" i="20"/>
  <c r="A15249" i="20"/>
  <c r="A15248" i="20"/>
  <c r="A15247" i="20"/>
  <c r="A15246" i="20"/>
  <c r="A15245" i="20"/>
  <c r="A15244" i="20"/>
  <c r="A15243" i="20"/>
  <c r="A15242" i="20"/>
  <c r="A15241" i="20"/>
  <c r="A15240" i="20"/>
  <c r="A15239" i="20"/>
  <c r="A15238" i="20"/>
  <c r="A15237" i="20"/>
  <c r="A15236" i="20"/>
  <c r="A15235" i="20"/>
  <c r="A15234" i="20"/>
  <c r="A15233" i="20"/>
  <c r="A15232" i="20"/>
  <c r="A15231" i="20"/>
  <c r="A15230" i="20"/>
  <c r="A15229" i="20"/>
  <c r="A15228" i="20"/>
  <c r="A15227" i="20"/>
  <c r="A15226" i="20"/>
  <c r="A15225" i="20"/>
  <c r="A15224" i="20"/>
  <c r="A15223" i="20"/>
  <c r="A15222" i="20"/>
  <c r="A15221" i="20"/>
  <c r="A15220" i="20"/>
  <c r="A15219" i="20"/>
  <c r="A15218" i="20"/>
  <c r="A15217" i="20"/>
  <c r="A15216" i="20"/>
  <c r="A15215" i="20"/>
  <c r="A15214" i="20"/>
  <c r="A15213" i="20"/>
  <c r="A15212" i="20"/>
  <c r="A15211" i="20"/>
  <c r="A15210" i="20"/>
  <c r="A15209" i="20"/>
  <c r="A15208" i="20"/>
  <c r="A15207" i="20"/>
  <c r="A15206" i="20"/>
  <c r="A15205" i="20"/>
  <c r="A15204" i="20"/>
  <c r="A15203" i="20"/>
  <c r="A15202" i="20"/>
  <c r="A15201" i="20"/>
  <c r="A15200" i="20"/>
  <c r="A15199" i="20"/>
  <c r="A15198" i="20"/>
  <c r="A15197" i="20"/>
  <c r="A15196" i="20"/>
  <c r="A15195" i="20"/>
  <c r="A15194" i="20"/>
  <c r="A15193" i="20"/>
  <c r="A15192" i="20"/>
  <c r="A15191" i="20"/>
  <c r="A15190" i="20"/>
  <c r="A15189" i="20"/>
  <c r="A15188" i="20"/>
  <c r="A15187" i="20"/>
  <c r="A15186" i="20"/>
  <c r="A15185" i="20"/>
  <c r="A15184" i="20"/>
  <c r="A15183" i="20"/>
  <c r="A15182" i="20"/>
  <c r="A15181" i="20"/>
  <c r="A15180" i="20"/>
  <c r="A15179" i="20"/>
  <c r="A15178" i="20"/>
  <c r="A15177" i="20"/>
  <c r="A15176" i="20"/>
  <c r="A15175" i="20"/>
  <c r="A15174" i="20"/>
  <c r="A15173" i="20"/>
  <c r="A15172" i="20"/>
  <c r="A15171" i="20"/>
  <c r="A15170" i="20"/>
  <c r="A15169" i="20"/>
  <c r="A15168" i="20"/>
  <c r="A15167" i="20"/>
  <c r="A15166" i="20"/>
  <c r="A15165" i="20"/>
  <c r="A15164" i="20"/>
  <c r="A15163" i="20"/>
  <c r="A15162" i="20"/>
  <c r="A15161" i="20"/>
  <c r="A15160" i="20"/>
  <c r="A15159" i="20"/>
  <c r="A15158" i="20"/>
  <c r="A15157" i="20"/>
  <c r="A15156" i="20"/>
  <c r="A15155" i="20"/>
  <c r="A15154" i="20"/>
  <c r="A15153" i="20"/>
  <c r="A15152" i="20"/>
  <c r="A15151" i="20"/>
  <c r="A15150" i="20"/>
  <c r="A15149" i="20"/>
  <c r="A15148" i="20"/>
  <c r="A15147" i="20"/>
  <c r="A15146" i="20"/>
  <c r="A15145" i="20"/>
  <c r="A15144" i="20"/>
  <c r="A15143" i="20"/>
  <c r="A15142" i="20"/>
  <c r="A15141" i="20"/>
  <c r="A15140" i="20"/>
  <c r="A15139" i="20"/>
  <c r="A15138" i="20"/>
  <c r="A15137" i="20"/>
  <c r="A15136" i="20"/>
  <c r="A15135" i="20"/>
  <c r="A15134" i="20"/>
  <c r="A15133" i="20"/>
  <c r="A15132" i="20"/>
  <c r="A15131" i="20"/>
  <c r="A15130" i="20"/>
  <c r="A15129" i="20"/>
  <c r="A15128" i="20"/>
  <c r="A15127" i="20"/>
  <c r="A15126" i="20"/>
  <c r="A15125" i="20"/>
  <c r="A15124" i="20"/>
  <c r="A15123" i="20"/>
  <c r="A15122" i="20"/>
  <c r="A15121" i="20"/>
  <c r="A15120" i="20"/>
  <c r="A15119" i="20"/>
  <c r="A15118" i="20"/>
  <c r="A15117" i="20"/>
  <c r="A15116" i="20"/>
  <c r="A15115" i="20"/>
  <c r="A15114" i="20"/>
  <c r="A15113" i="20"/>
  <c r="A15112" i="20"/>
  <c r="A15111" i="20"/>
  <c r="A15110" i="20"/>
  <c r="A15109" i="20"/>
  <c r="A15108" i="20"/>
  <c r="A15107" i="20"/>
  <c r="A15106" i="20"/>
  <c r="A15105" i="20"/>
  <c r="A15104" i="20"/>
  <c r="A15103" i="20"/>
  <c r="A15102" i="20"/>
  <c r="A15101" i="20"/>
  <c r="A15100" i="20"/>
  <c r="A15099" i="20"/>
  <c r="A15098" i="20"/>
  <c r="A15097" i="20"/>
  <c r="A15096" i="20"/>
  <c r="A15095" i="20"/>
  <c r="A15094" i="20"/>
  <c r="A15093" i="20"/>
  <c r="A15092" i="20"/>
  <c r="A15091" i="20"/>
  <c r="A15090" i="20"/>
  <c r="A15089" i="20"/>
  <c r="A15088" i="20"/>
  <c r="A15087" i="20"/>
  <c r="A15086" i="20"/>
  <c r="A15085" i="20"/>
  <c r="A15084" i="20"/>
  <c r="A15083" i="20"/>
  <c r="A15082" i="20"/>
  <c r="A15081" i="20"/>
  <c r="A15080" i="20"/>
  <c r="A15079" i="20"/>
  <c r="A15078" i="20"/>
  <c r="A15077" i="20"/>
  <c r="A15076" i="20"/>
  <c r="A15075" i="20"/>
  <c r="A15074" i="20"/>
  <c r="A15073" i="20"/>
  <c r="A15072" i="20"/>
  <c r="A15071" i="20"/>
  <c r="A15070" i="20"/>
  <c r="A15069" i="20"/>
  <c r="A15068" i="20"/>
  <c r="A15067" i="20"/>
  <c r="A15066" i="20"/>
  <c r="A15065" i="20"/>
  <c r="A15064" i="20"/>
  <c r="A15063" i="20"/>
  <c r="A15062" i="20"/>
  <c r="A15061" i="20"/>
  <c r="A15060" i="20"/>
  <c r="A15059" i="20"/>
  <c r="A15058" i="20"/>
  <c r="A15057" i="20"/>
  <c r="A15056" i="20"/>
  <c r="A15055" i="20"/>
  <c r="A15054" i="20"/>
  <c r="A15053" i="20"/>
  <c r="A15052" i="20"/>
  <c r="A15051" i="20"/>
  <c r="A15050" i="20"/>
  <c r="A15049" i="20"/>
  <c r="A15048" i="20"/>
  <c r="A15047" i="20"/>
  <c r="A15046" i="20"/>
  <c r="A15045" i="20"/>
  <c r="A15044" i="20"/>
  <c r="A15043" i="20"/>
  <c r="A15042" i="20"/>
  <c r="A15041" i="20"/>
  <c r="A15040" i="20"/>
  <c r="A15039" i="20"/>
  <c r="A15038" i="20"/>
  <c r="A15037" i="20"/>
  <c r="A15036" i="20"/>
  <c r="A15035" i="20"/>
  <c r="A15034" i="20"/>
  <c r="A15033" i="20"/>
  <c r="A15032" i="20"/>
  <c r="A15031" i="20"/>
  <c r="A15030" i="20"/>
  <c r="A15029" i="20"/>
  <c r="A15028" i="20"/>
  <c r="A15027" i="20"/>
  <c r="A15026" i="20"/>
  <c r="A15025" i="20"/>
  <c r="A15024" i="20"/>
  <c r="A15023" i="20"/>
  <c r="A15022" i="20"/>
  <c r="A15021" i="20"/>
  <c r="A15020" i="20"/>
  <c r="A15019" i="20"/>
  <c r="A15018" i="20"/>
  <c r="A15017" i="20"/>
  <c r="A15016" i="20"/>
  <c r="A15015" i="20"/>
  <c r="A15014" i="20"/>
  <c r="A15013" i="20"/>
  <c r="A15012" i="20"/>
  <c r="A15011" i="20"/>
  <c r="A15010" i="20"/>
  <c r="A15009" i="20"/>
  <c r="A15008" i="20"/>
  <c r="A15007" i="20"/>
  <c r="A15006" i="20"/>
  <c r="A15005" i="20"/>
  <c r="A15004" i="20"/>
  <c r="A15003" i="20"/>
  <c r="A15002" i="20"/>
  <c r="A15001" i="20"/>
  <c r="A15000" i="20"/>
  <c r="A14999" i="20"/>
  <c r="A14998" i="20"/>
  <c r="A14997" i="20"/>
  <c r="A14996" i="20"/>
  <c r="A14995" i="20"/>
  <c r="A14994" i="20"/>
  <c r="A14993" i="20"/>
  <c r="A14992" i="20"/>
  <c r="A14991" i="20"/>
  <c r="A14990" i="20"/>
  <c r="A14989" i="20"/>
  <c r="A14988" i="20"/>
  <c r="A14987" i="20"/>
  <c r="A14986" i="20"/>
  <c r="A14985" i="20"/>
  <c r="A14984" i="20"/>
  <c r="A14983" i="20"/>
  <c r="A14982" i="20"/>
  <c r="A14981" i="20"/>
  <c r="A14980" i="20"/>
  <c r="A14979" i="20"/>
  <c r="A14978" i="20"/>
  <c r="A14977" i="20"/>
  <c r="A14976" i="20"/>
  <c r="A14975" i="20"/>
  <c r="A14974" i="20"/>
  <c r="A14973" i="20"/>
  <c r="A14972" i="20"/>
  <c r="A14971" i="20"/>
  <c r="A14970" i="20"/>
  <c r="A14969" i="20"/>
  <c r="A14968" i="20"/>
  <c r="A14967" i="20"/>
  <c r="A14966" i="20"/>
  <c r="A14965" i="20"/>
  <c r="A14964" i="20"/>
  <c r="A14963" i="20"/>
  <c r="A14962" i="20"/>
  <c r="A14961" i="20"/>
  <c r="A14960" i="20"/>
  <c r="A14959" i="20"/>
  <c r="A14958" i="20"/>
  <c r="A14957" i="20"/>
  <c r="A14956" i="20"/>
  <c r="A14955" i="20"/>
  <c r="A14954" i="20"/>
  <c r="A14953" i="20"/>
  <c r="A14952" i="20"/>
  <c r="A14951" i="20"/>
  <c r="A14950" i="20"/>
  <c r="A14949" i="20"/>
  <c r="A14948" i="20"/>
  <c r="A14947" i="20"/>
  <c r="A14946" i="20"/>
  <c r="A14945" i="20"/>
  <c r="A14944" i="20"/>
  <c r="A14943" i="20"/>
  <c r="A14942" i="20"/>
  <c r="A14941" i="20"/>
  <c r="A14940" i="20"/>
  <c r="A14939" i="20"/>
  <c r="A14938" i="20"/>
  <c r="A14937" i="20"/>
  <c r="A14936" i="20"/>
  <c r="A14935" i="20"/>
  <c r="A14934" i="20"/>
  <c r="A14933" i="20"/>
  <c r="A14932" i="20"/>
  <c r="A14931" i="20"/>
  <c r="A14930" i="20"/>
  <c r="A14929" i="20"/>
  <c r="A14928" i="20"/>
  <c r="A14927" i="20"/>
  <c r="A14926" i="20"/>
  <c r="A14925" i="20"/>
  <c r="A14924" i="20"/>
  <c r="A14923" i="20"/>
  <c r="A14922" i="20"/>
  <c r="A14921" i="20"/>
  <c r="A14920" i="20"/>
  <c r="A14919" i="20"/>
  <c r="A14918" i="20"/>
  <c r="A14917" i="20"/>
  <c r="A14916" i="20"/>
  <c r="A14915" i="20"/>
  <c r="A14914" i="20"/>
  <c r="A14913" i="20"/>
  <c r="A14912" i="20"/>
  <c r="A14911" i="20"/>
  <c r="A14910" i="20"/>
  <c r="A14909" i="20"/>
  <c r="A14908" i="20"/>
  <c r="A14907" i="20"/>
  <c r="A14906" i="20"/>
  <c r="A14905" i="20"/>
  <c r="A14904" i="20"/>
  <c r="A14903" i="20"/>
  <c r="A14902" i="20"/>
  <c r="A14901" i="20"/>
  <c r="A14900" i="20"/>
  <c r="A14899" i="20"/>
  <c r="A14898" i="20"/>
  <c r="A14897" i="20"/>
  <c r="A14896" i="20"/>
  <c r="A14895" i="20"/>
  <c r="A14894" i="20"/>
  <c r="A14893" i="20"/>
  <c r="A14892" i="20"/>
  <c r="A14891" i="20"/>
  <c r="A14890" i="20"/>
  <c r="A14889" i="20"/>
  <c r="A14888" i="20"/>
  <c r="A14887" i="20"/>
  <c r="A14886" i="20"/>
  <c r="A14885" i="20"/>
  <c r="A14884" i="20"/>
  <c r="A14883" i="20"/>
  <c r="A14882" i="20"/>
  <c r="A14881" i="20"/>
  <c r="A14880" i="20"/>
  <c r="A14879" i="20"/>
  <c r="A14878" i="20"/>
  <c r="A14877" i="20"/>
  <c r="A14876" i="20"/>
  <c r="A14875" i="20"/>
  <c r="A14874" i="20"/>
  <c r="A14873" i="20"/>
  <c r="A14872" i="20"/>
  <c r="A14871" i="20"/>
  <c r="A14870" i="20"/>
  <c r="A14869" i="20"/>
  <c r="A14868" i="20"/>
  <c r="A14867" i="20"/>
  <c r="A14866" i="20"/>
  <c r="A14865" i="20"/>
  <c r="A14864" i="20"/>
  <c r="A14863" i="20"/>
  <c r="A14862" i="20"/>
  <c r="A14861" i="20"/>
  <c r="A14860" i="20"/>
  <c r="A14859" i="20"/>
  <c r="A14858" i="20"/>
  <c r="A14857" i="20"/>
  <c r="A14856" i="20"/>
  <c r="A14855" i="20"/>
  <c r="A14854" i="20"/>
  <c r="A14853" i="20"/>
  <c r="A14852" i="20"/>
  <c r="A14851" i="20"/>
  <c r="A14850" i="20"/>
  <c r="A14849" i="20"/>
  <c r="A14848" i="20"/>
  <c r="A14847" i="20"/>
  <c r="A14846" i="20"/>
  <c r="A14845" i="20"/>
  <c r="A14844" i="20"/>
  <c r="A14843" i="20"/>
  <c r="A14842" i="20"/>
  <c r="A14841" i="20"/>
  <c r="A14840" i="20"/>
  <c r="A14839" i="20"/>
  <c r="A14838" i="20"/>
  <c r="A14837" i="20"/>
  <c r="A14836" i="20"/>
  <c r="A14835" i="20"/>
  <c r="A14834" i="20"/>
  <c r="A14833" i="20"/>
  <c r="A14832" i="20"/>
  <c r="A14831" i="20"/>
  <c r="A14830" i="20"/>
  <c r="A14829" i="20"/>
  <c r="A14828" i="20"/>
  <c r="A14827" i="20"/>
  <c r="A14826" i="20"/>
  <c r="A14825" i="20"/>
  <c r="A14824" i="20"/>
  <c r="A14823" i="20"/>
  <c r="A14822" i="20"/>
  <c r="A14821" i="20"/>
  <c r="A14820" i="20"/>
  <c r="A14819" i="20"/>
  <c r="A14818" i="20"/>
  <c r="A14817" i="20"/>
  <c r="A14816" i="20"/>
  <c r="A14815" i="20"/>
  <c r="A14814" i="20"/>
  <c r="A14813" i="20"/>
  <c r="A14812" i="20"/>
  <c r="A14811" i="20"/>
  <c r="A14810" i="20"/>
  <c r="A14809" i="20"/>
  <c r="A14808" i="20"/>
  <c r="A14807" i="20"/>
  <c r="A14806" i="20"/>
  <c r="A14805" i="20"/>
  <c r="A14804" i="20"/>
  <c r="A14803" i="20"/>
  <c r="A14802" i="20"/>
  <c r="A14801" i="20"/>
  <c r="A14800" i="20"/>
  <c r="A14799" i="20"/>
  <c r="A14798" i="20"/>
  <c r="A14797" i="20"/>
  <c r="A14796" i="20"/>
  <c r="A14795" i="20"/>
  <c r="A14794" i="20"/>
  <c r="A14793" i="20"/>
  <c r="A14792" i="20"/>
  <c r="A14791" i="20"/>
  <c r="A14790" i="20"/>
  <c r="A14789" i="20"/>
  <c r="A14788" i="20"/>
  <c r="A14787" i="20"/>
  <c r="A14786" i="20"/>
  <c r="A14785" i="20"/>
  <c r="A14784" i="20"/>
  <c r="A14783" i="20"/>
  <c r="A14782" i="20"/>
  <c r="A14781" i="20"/>
  <c r="A14780" i="20"/>
  <c r="A14779" i="20"/>
  <c r="A14778" i="20"/>
  <c r="A14777" i="20"/>
  <c r="A14776" i="20"/>
  <c r="A14775" i="20"/>
  <c r="A14774" i="20"/>
  <c r="A14773" i="20"/>
  <c r="A14772" i="20"/>
  <c r="A14771" i="20"/>
  <c r="A14770" i="20"/>
  <c r="A14769" i="20"/>
  <c r="A14768" i="20"/>
  <c r="A14767" i="20"/>
  <c r="A14766" i="20"/>
  <c r="A14765" i="20"/>
  <c r="A14764" i="20"/>
  <c r="A14763" i="20"/>
  <c r="A14762" i="20"/>
  <c r="A14761" i="20"/>
  <c r="A14760" i="20"/>
  <c r="A14759" i="20"/>
  <c r="A14758" i="20"/>
  <c r="A14757" i="20"/>
  <c r="A14756" i="20"/>
  <c r="A14755" i="20"/>
  <c r="A14754" i="20"/>
  <c r="A14753" i="20"/>
  <c r="A14752" i="20"/>
  <c r="A14751" i="20"/>
  <c r="A14750" i="20"/>
  <c r="A14749" i="20"/>
  <c r="A14748" i="20"/>
  <c r="A14747" i="20"/>
  <c r="A14746" i="20"/>
  <c r="A14745" i="20"/>
  <c r="A14744" i="20"/>
  <c r="A14743" i="20"/>
  <c r="A14742" i="20"/>
  <c r="A14741" i="20"/>
  <c r="A14740" i="20"/>
  <c r="A14739" i="20"/>
  <c r="A14738" i="20"/>
  <c r="A14737" i="20"/>
  <c r="A14736" i="20"/>
  <c r="A14735" i="20"/>
  <c r="A14734" i="20"/>
  <c r="A14733" i="20"/>
  <c r="A14732" i="20"/>
  <c r="A14731" i="20"/>
  <c r="A14730" i="20"/>
  <c r="A14729" i="20"/>
  <c r="A14728" i="20"/>
  <c r="A14727" i="20"/>
  <c r="A14726" i="20"/>
  <c r="A14725" i="20"/>
  <c r="A14724" i="20"/>
  <c r="A14723" i="20"/>
  <c r="A14722" i="20"/>
  <c r="A14721" i="20"/>
  <c r="A14720" i="20"/>
  <c r="A14719" i="20"/>
  <c r="A14718" i="20"/>
  <c r="A14717" i="20"/>
  <c r="A14716" i="20"/>
  <c r="A14715" i="20"/>
  <c r="A14714" i="20"/>
  <c r="A14713" i="20"/>
  <c r="A14712" i="20"/>
  <c r="A14711" i="20"/>
  <c r="A14710" i="20"/>
  <c r="A14709" i="20"/>
  <c r="A14708" i="20"/>
  <c r="A14707" i="20"/>
  <c r="A14706" i="20"/>
  <c r="A14705" i="20"/>
  <c r="A14704" i="20"/>
  <c r="A14703" i="20"/>
  <c r="A14702" i="20"/>
  <c r="A14701" i="20"/>
  <c r="A14700" i="20"/>
  <c r="A14699" i="20"/>
  <c r="A14698" i="20"/>
  <c r="A14697" i="20"/>
  <c r="A14696" i="20"/>
  <c r="A14695" i="20"/>
  <c r="A14694" i="20"/>
  <c r="A14693" i="20"/>
  <c r="A14692" i="20"/>
  <c r="A14691" i="20"/>
  <c r="A14690" i="20"/>
  <c r="A14689" i="20"/>
  <c r="A14688" i="20"/>
  <c r="A14687" i="20"/>
  <c r="A14686" i="20"/>
  <c r="A14685" i="20"/>
  <c r="A14684" i="20"/>
  <c r="A14683" i="20"/>
  <c r="A14682" i="20"/>
  <c r="A14681" i="20"/>
  <c r="A14680" i="20"/>
  <c r="A14679" i="20"/>
  <c r="A14678" i="20"/>
  <c r="A14677" i="20"/>
  <c r="A14676" i="20"/>
  <c r="A14675" i="20"/>
  <c r="A14674" i="20"/>
  <c r="A14673" i="20"/>
  <c r="A14672" i="20"/>
  <c r="A14671" i="20"/>
  <c r="A14670" i="20"/>
  <c r="A14669" i="20"/>
  <c r="A14668" i="20"/>
  <c r="A14667" i="20"/>
  <c r="A14666" i="20"/>
  <c r="A14665" i="20"/>
  <c r="A14664" i="20"/>
  <c r="A14663" i="20"/>
  <c r="A14662" i="20"/>
  <c r="A14661" i="20"/>
  <c r="A14660" i="20"/>
  <c r="A14659" i="20"/>
  <c r="A14658" i="20"/>
  <c r="A14657" i="20"/>
  <c r="A14656" i="20"/>
  <c r="A14655" i="20"/>
  <c r="A14654" i="20"/>
  <c r="A14653" i="20"/>
  <c r="A14652" i="20"/>
  <c r="A14651" i="20"/>
  <c r="A14650" i="20"/>
  <c r="A14649" i="20"/>
  <c r="A14648" i="20"/>
  <c r="A14647" i="20"/>
  <c r="A14646" i="20"/>
  <c r="A14645" i="20"/>
  <c r="A14644" i="20"/>
  <c r="A14643" i="20"/>
  <c r="A14642" i="20"/>
  <c r="A14641" i="20"/>
  <c r="A14640" i="20"/>
  <c r="A14639" i="20"/>
  <c r="A14638" i="20"/>
  <c r="A14637" i="20"/>
  <c r="A14636" i="20"/>
  <c r="A14635" i="20"/>
  <c r="A14634" i="20"/>
  <c r="A14633" i="20"/>
  <c r="A14632" i="20"/>
  <c r="A14631" i="20"/>
  <c r="A14630" i="20"/>
  <c r="A14629" i="20"/>
  <c r="A14628" i="20"/>
  <c r="A14627" i="20"/>
  <c r="A14626" i="20"/>
  <c r="A14625" i="20"/>
  <c r="A14624" i="20"/>
  <c r="A14623" i="20"/>
  <c r="A14622" i="20"/>
  <c r="A14621" i="20"/>
  <c r="A14620" i="20"/>
  <c r="A14619" i="20"/>
  <c r="A14618" i="20"/>
  <c r="A14617" i="20"/>
  <c r="A14616" i="20"/>
  <c r="A14615" i="20"/>
  <c r="A14614" i="20"/>
  <c r="A14613" i="20"/>
  <c r="A14612" i="20"/>
  <c r="A14611" i="20"/>
  <c r="A14610" i="20"/>
  <c r="A14609" i="20"/>
  <c r="A14608" i="20"/>
  <c r="A14607" i="20"/>
  <c r="A14606" i="20"/>
  <c r="A14605" i="20"/>
  <c r="A14604" i="20"/>
  <c r="A14603" i="20"/>
  <c r="A14602" i="20"/>
  <c r="A14601" i="20"/>
  <c r="A14600" i="20"/>
  <c r="A14599" i="20"/>
  <c r="A14598" i="20"/>
  <c r="A14597" i="20"/>
  <c r="A14596" i="20"/>
  <c r="A14595" i="20"/>
  <c r="A14594" i="20"/>
  <c r="A14593" i="20"/>
  <c r="A14592" i="20"/>
  <c r="A14591" i="20"/>
  <c r="A14590" i="20"/>
  <c r="A14589" i="20"/>
  <c r="A14588" i="20"/>
  <c r="A14587" i="20"/>
  <c r="A14586" i="20"/>
  <c r="A14585" i="20"/>
  <c r="A14584" i="20"/>
  <c r="A14583" i="20"/>
  <c r="A14582" i="20"/>
  <c r="A14581" i="20"/>
  <c r="A14580" i="20"/>
  <c r="A14579" i="20"/>
  <c r="A14578" i="20"/>
  <c r="A14577" i="20"/>
  <c r="A14576" i="20"/>
  <c r="A14575" i="20"/>
  <c r="A14574" i="20"/>
  <c r="A14573" i="20"/>
  <c r="A14572" i="20"/>
  <c r="A14571" i="20"/>
  <c r="A14570" i="20"/>
  <c r="A14569" i="20"/>
  <c r="A14568" i="20"/>
  <c r="A14567" i="20"/>
  <c r="A14566" i="20"/>
  <c r="A14565" i="20"/>
  <c r="A14564" i="20"/>
  <c r="A14563" i="20"/>
  <c r="A14562" i="20"/>
  <c r="A14561" i="20"/>
  <c r="A14560" i="20"/>
  <c r="A14559" i="20"/>
  <c r="A14558" i="20"/>
  <c r="A14557" i="20"/>
  <c r="A14556" i="20"/>
  <c r="A14555" i="20"/>
  <c r="A14554" i="20"/>
  <c r="A14553" i="20"/>
  <c r="A14552" i="20"/>
  <c r="A14551" i="20"/>
  <c r="A14550" i="20"/>
  <c r="A14549" i="20"/>
  <c r="A14548" i="20"/>
  <c r="A14547" i="20"/>
  <c r="A14546" i="20"/>
  <c r="A14545" i="20"/>
  <c r="A14544" i="20"/>
  <c r="A14543" i="20"/>
  <c r="A14542" i="20"/>
  <c r="A14541" i="20"/>
  <c r="A14540" i="20"/>
  <c r="A14539" i="20"/>
  <c r="A14538" i="20"/>
  <c r="A14537" i="20"/>
  <c r="A14536" i="20"/>
  <c r="A14535" i="20"/>
  <c r="A14534" i="20"/>
  <c r="A14533" i="20"/>
  <c r="A14532" i="20"/>
  <c r="A14531" i="20"/>
  <c r="A14530" i="20"/>
  <c r="A14529" i="20"/>
  <c r="A14528" i="20"/>
  <c r="A14527" i="20"/>
  <c r="A14526" i="20"/>
  <c r="A14525" i="20"/>
  <c r="A14524" i="20"/>
  <c r="A14523" i="20"/>
  <c r="A14522" i="20"/>
  <c r="A14521" i="20"/>
  <c r="A14520" i="20"/>
  <c r="A14519" i="20"/>
  <c r="A14518" i="20"/>
  <c r="A14517" i="20"/>
  <c r="A14516" i="20"/>
  <c r="A14515" i="20"/>
  <c r="A14514" i="20"/>
  <c r="A14513" i="20"/>
  <c r="A14512" i="20"/>
  <c r="A14511" i="20"/>
  <c r="A14510" i="20"/>
  <c r="A14509" i="20"/>
  <c r="A14508" i="20"/>
  <c r="A14507" i="20"/>
  <c r="A14506" i="20"/>
  <c r="A14505" i="20"/>
  <c r="A14504" i="20"/>
  <c r="A14503" i="20"/>
  <c r="A14502" i="20"/>
  <c r="A14501" i="20"/>
  <c r="A14500" i="20"/>
  <c r="A14499" i="20"/>
  <c r="A14498" i="20"/>
  <c r="A14497" i="20"/>
  <c r="A14496" i="20"/>
  <c r="A14495" i="20"/>
  <c r="A14494" i="20"/>
  <c r="A14493" i="20"/>
  <c r="A14492" i="20"/>
  <c r="A14491" i="20"/>
  <c r="A14490" i="20"/>
  <c r="A14489" i="20"/>
  <c r="A14488" i="20"/>
  <c r="A14487" i="20"/>
  <c r="A14486" i="20"/>
  <c r="A14485" i="20"/>
  <c r="A14484" i="20"/>
  <c r="A14483" i="20"/>
  <c r="A14482" i="20"/>
  <c r="A14481" i="20"/>
  <c r="A14480" i="20"/>
  <c r="A14479" i="20"/>
  <c r="A14478" i="20"/>
  <c r="A14477" i="20"/>
  <c r="A14476" i="20"/>
  <c r="A14475" i="20"/>
  <c r="A14474" i="20"/>
  <c r="A14473" i="20"/>
  <c r="A14472" i="20"/>
  <c r="A14471" i="20"/>
  <c r="A14470" i="20"/>
  <c r="A14469" i="20"/>
  <c r="A14468" i="20"/>
  <c r="A14467" i="20"/>
  <c r="A14466" i="20"/>
  <c r="A14465" i="20"/>
  <c r="A14464" i="20"/>
  <c r="A14463" i="20"/>
  <c r="A14462" i="20"/>
  <c r="A14461" i="20"/>
  <c r="A14460" i="20"/>
  <c r="A14459" i="20"/>
  <c r="A14458" i="20"/>
  <c r="A14457" i="20"/>
  <c r="A14456" i="20"/>
  <c r="A14455" i="20"/>
  <c r="A14454" i="20"/>
  <c r="A14453" i="20"/>
  <c r="A14452" i="20"/>
  <c r="A14451" i="20"/>
  <c r="A14450" i="20"/>
  <c r="A14449" i="20"/>
  <c r="A14448" i="20"/>
  <c r="A14447" i="20"/>
  <c r="A14446" i="20"/>
  <c r="A14445" i="20"/>
  <c r="A14444" i="20"/>
  <c r="A14443" i="20"/>
  <c r="A14442" i="20"/>
  <c r="A14441" i="20"/>
  <c r="A14440" i="20"/>
  <c r="A14439" i="20"/>
  <c r="A14438" i="20"/>
  <c r="A14437" i="20"/>
  <c r="A14436" i="20"/>
  <c r="A14435" i="20"/>
  <c r="A14434" i="20"/>
  <c r="A14433" i="20"/>
  <c r="A14432" i="20"/>
  <c r="A14431" i="20"/>
  <c r="A14430" i="20"/>
  <c r="A14429" i="20"/>
  <c r="A14428" i="20"/>
  <c r="A14427" i="20"/>
  <c r="A14426" i="20"/>
  <c r="A14425" i="20"/>
  <c r="A14424" i="20"/>
  <c r="A14423" i="20"/>
  <c r="A14422" i="20"/>
  <c r="A14421" i="20"/>
  <c r="A14420" i="20"/>
  <c r="A14419" i="20"/>
  <c r="A14418" i="20"/>
  <c r="A14417" i="20"/>
  <c r="A14416" i="20"/>
  <c r="A14415" i="20"/>
  <c r="A14414" i="20"/>
  <c r="A14413" i="20"/>
  <c r="A14412" i="20"/>
  <c r="A14411" i="20"/>
  <c r="A14410" i="20"/>
  <c r="A14409" i="20"/>
  <c r="A14408" i="20"/>
  <c r="A14407" i="20"/>
  <c r="A14406" i="20"/>
  <c r="A14405" i="20"/>
  <c r="A14404" i="20"/>
  <c r="A14403" i="20"/>
  <c r="A14402" i="20"/>
  <c r="A14401" i="20"/>
  <c r="A14400" i="20"/>
  <c r="A14399" i="20"/>
  <c r="A14398" i="20"/>
  <c r="A14397" i="20"/>
  <c r="A14396" i="20"/>
  <c r="A14395" i="20"/>
  <c r="A14394" i="20"/>
  <c r="A14393" i="20"/>
  <c r="A14392" i="20"/>
  <c r="A14391" i="20"/>
  <c r="A14390" i="20"/>
  <c r="A14389" i="20"/>
  <c r="A14388" i="20"/>
  <c r="A14387" i="20"/>
  <c r="A14386" i="20"/>
  <c r="A14385" i="20"/>
  <c r="A14384" i="20"/>
  <c r="A14383" i="20"/>
  <c r="A14382" i="20"/>
  <c r="A14381" i="20"/>
  <c r="A14380" i="20"/>
  <c r="A14379" i="20"/>
  <c r="A14378" i="20"/>
  <c r="A14377" i="20"/>
  <c r="A14376" i="20"/>
  <c r="A14375" i="20"/>
  <c r="A14374" i="20"/>
  <c r="A14373" i="20"/>
  <c r="A14372" i="20"/>
  <c r="A14371" i="20"/>
  <c r="A14370" i="20"/>
  <c r="A14369" i="20"/>
  <c r="A14368" i="20"/>
  <c r="A14367" i="20"/>
  <c r="A14366" i="20"/>
  <c r="A14365" i="20"/>
  <c r="A14364" i="20"/>
  <c r="A14363" i="20"/>
  <c r="A14362" i="20"/>
  <c r="A14361" i="20"/>
  <c r="A14360" i="20"/>
  <c r="A14359" i="20"/>
  <c r="A14358" i="20"/>
  <c r="A14357" i="20"/>
  <c r="A14356" i="20"/>
  <c r="A14355" i="20"/>
  <c r="A14354" i="20"/>
  <c r="A14353" i="20"/>
  <c r="A14352" i="20"/>
  <c r="A14351" i="20"/>
  <c r="A14350" i="20"/>
  <c r="A14349" i="20"/>
  <c r="A14348" i="20"/>
  <c r="A14347" i="20"/>
  <c r="A14346" i="20"/>
  <c r="A14345" i="20"/>
  <c r="A14344" i="20"/>
  <c r="A14343" i="20"/>
  <c r="A14342" i="20"/>
  <c r="A14341" i="20"/>
  <c r="A14340" i="20"/>
  <c r="A14339" i="20"/>
  <c r="A14338" i="20"/>
  <c r="A14337" i="20"/>
  <c r="A14336" i="20"/>
  <c r="A14335" i="20"/>
  <c r="A14334" i="20"/>
  <c r="A14333" i="20"/>
  <c r="A14332" i="20"/>
  <c r="A14331" i="20"/>
  <c r="A14330" i="20"/>
  <c r="A14329" i="20"/>
  <c r="A14328" i="20"/>
  <c r="A14327" i="20"/>
  <c r="A14326" i="20"/>
  <c r="A14325" i="20"/>
  <c r="A14324" i="20"/>
  <c r="A14323" i="20"/>
  <c r="A14322" i="20"/>
  <c r="A14321" i="20"/>
  <c r="A14320" i="20"/>
  <c r="A14319" i="20"/>
  <c r="A14318" i="20"/>
  <c r="A14317" i="20"/>
  <c r="A14316" i="20"/>
  <c r="A14315" i="20"/>
  <c r="A14314" i="20"/>
  <c r="A14313" i="20"/>
  <c r="A14312" i="20"/>
  <c r="A14311" i="20"/>
  <c r="A14310" i="20"/>
  <c r="A14309" i="20"/>
  <c r="A14308" i="20"/>
  <c r="A14307" i="20"/>
  <c r="A14306" i="20"/>
  <c r="A14305" i="20"/>
  <c r="A14304" i="20"/>
  <c r="A14303" i="20"/>
  <c r="A14302" i="20"/>
  <c r="A14301" i="20"/>
  <c r="A14300" i="20"/>
  <c r="A14299" i="20"/>
  <c r="A14298" i="20"/>
  <c r="A14297" i="20"/>
  <c r="A14296" i="20"/>
  <c r="A14295" i="20"/>
  <c r="A14294" i="20"/>
  <c r="A14293" i="20"/>
  <c r="A14292" i="20"/>
  <c r="A14291" i="20"/>
  <c r="A14290" i="20"/>
  <c r="A14289" i="20"/>
  <c r="A14288" i="20"/>
  <c r="A14287" i="20"/>
  <c r="A14286" i="20"/>
  <c r="A14285" i="20"/>
  <c r="A14284" i="20"/>
  <c r="A14283" i="20"/>
  <c r="A14282" i="20"/>
  <c r="A14281" i="20"/>
  <c r="A14280" i="20"/>
  <c r="A14279" i="20"/>
  <c r="A14278" i="20"/>
  <c r="A14277" i="20"/>
  <c r="A14276" i="20"/>
  <c r="A14275" i="20"/>
  <c r="A14274" i="20"/>
  <c r="A14273" i="20"/>
  <c r="A14272" i="20"/>
  <c r="A14271" i="20"/>
  <c r="A14270" i="20"/>
  <c r="A14269" i="20"/>
  <c r="A14268" i="20"/>
  <c r="A14267" i="20"/>
  <c r="A14266" i="20"/>
  <c r="A14265" i="20"/>
  <c r="A14264" i="20"/>
  <c r="A14263" i="20"/>
  <c r="A14262" i="20"/>
  <c r="A14261" i="20"/>
  <c r="A14260" i="20"/>
  <c r="A14259" i="20"/>
  <c r="A14258" i="20"/>
  <c r="A14257" i="20"/>
  <c r="A14256" i="20"/>
  <c r="A14255" i="20"/>
  <c r="A14254" i="20"/>
  <c r="A14253" i="20"/>
  <c r="A14252" i="20"/>
  <c r="A14251" i="20"/>
  <c r="A14250" i="20"/>
  <c r="A14249" i="20"/>
  <c r="A14248" i="20"/>
  <c r="A14247" i="20"/>
  <c r="A14246" i="20"/>
  <c r="A14245" i="20"/>
  <c r="A14244" i="20"/>
  <c r="A14243" i="20"/>
  <c r="A14242" i="20"/>
  <c r="A14241" i="20"/>
  <c r="A14240" i="20"/>
  <c r="A14239" i="20"/>
  <c r="A14238" i="20"/>
  <c r="A14237" i="20"/>
  <c r="A14236" i="20"/>
  <c r="A14235" i="20"/>
  <c r="A14234" i="20"/>
  <c r="A14233" i="20"/>
  <c r="A14232" i="20"/>
  <c r="A14231" i="20"/>
  <c r="A14230" i="20"/>
  <c r="A14229" i="20"/>
  <c r="A14228" i="20"/>
  <c r="A14227" i="20"/>
  <c r="A14226" i="20"/>
  <c r="A14225" i="20"/>
  <c r="A14224" i="20"/>
  <c r="A14223" i="20"/>
  <c r="A14222" i="20"/>
  <c r="A14221" i="20"/>
  <c r="A14220" i="20"/>
  <c r="A14219" i="20"/>
  <c r="A14218" i="20"/>
  <c r="A14217" i="20"/>
  <c r="A14216" i="20"/>
  <c r="A14215" i="20"/>
  <c r="A14214" i="20"/>
  <c r="A14213" i="20"/>
  <c r="A14212" i="20"/>
  <c r="A14211" i="20"/>
  <c r="A14210" i="20"/>
  <c r="A14209" i="20"/>
  <c r="A14208" i="20"/>
  <c r="A14207" i="20"/>
  <c r="A14206" i="20"/>
  <c r="A14205" i="20"/>
  <c r="A14204" i="20"/>
  <c r="A14203" i="20"/>
  <c r="A14202" i="20"/>
  <c r="A14201" i="20"/>
  <c r="A14200" i="20"/>
  <c r="A14199" i="20"/>
  <c r="A14198" i="20"/>
  <c r="A14197" i="20"/>
  <c r="A14196" i="20"/>
  <c r="A14195" i="20"/>
  <c r="A14194" i="20"/>
  <c r="A14193" i="20"/>
  <c r="A14192" i="20"/>
  <c r="A14191" i="20"/>
  <c r="A14190" i="20"/>
  <c r="A14189" i="20"/>
  <c r="A14188" i="20"/>
  <c r="A14187" i="20"/>
  <c r="A14186" i="20"/>
  <c r="A14185" i="20"/>
  <c r="A14184" i="20"/>
  <c r="A14183" i="20"/>
  <c r="A14182" i="20"/>
  <c r="A14181" i="20"/>
  <c r="A14180" i="20"/>
  <c r="A14179" i="20"/>
  <c r="A14178" i="20"/>
  <c r="A14177" i="20"/>
  <c r="A14176" i="20"/>
  <c r="A14175" i="20"/>
  <c r="A14174" i="20"/>
  <c r="A14173" i="20"/>
  <c r="A14172" i="20"/>
  <c r="A14171" i="20"/>
  <c r="A14170" i="20"/>
  <c r="A14169" i="20"/>
  <c r="A14168" i="20"/>
  <c r="A14167" i="20"/>
  <c r="A14166" i="20"/>
  <c r="A14165" i="20"/>
  <c r="A14164" i="20"/>
  <c r="A14163" i="20"/>
  <c r="A14162" i="20"/>
  <c r="A14161" i="20"/>
  <c r="A14160" i="20"/>
  <c r="A14159" i="20"/>
  <c r="A14158" i="20"/>
  <c r="A14157" i="20"/>
  <c r="A14156" i="20"/>
  <c r="A14155" i="20"/>
  <c r="A14154" i="20"/>
  <c r="A14153" i="20"/>
  <c r="A14152" i="20"/>
  <c r="A14151" i="20"/>
  <c r="A14150" i="20"/>
  <c r="A14149" i="20"/>
  <c r="A14148" i="20"/>
  <c r="A14147" i="20"/>
  <c r="A14146" i="20"/>
  <c r="A14145" i="20"/>
  <c r="A14144" i="20"/>
  <c r="A14143" i="20"/>
  <c r="A14142" i="20"/>
  <c r="A14141" i="20"/>
  <c r="A14140" i="20"/>
  <c r="A14139" i="20"/>
  <c r="A14138" i="20"/>
  <c r="A14137" i="20"/>
  <c r="A14136" i="20"/>
  <c r="A14135" i="20"/>
  <c r="A14134" i="20"/>
  <c r="A14133" i="20"/>
  <c r="A14132" i="20"/>
  <c r="A14131" i="20"/>
  <c r="A14130" i="20"/>
  <c r="A14129" i="20"/>
  <c r="A14128" i="20"/>
  <c r="A14127" i="20"/>
  <c r="A14126" i="20"/>
  <c r="A14125" i="20"/>
  <c r="A14124" i="20"/>
  <c r="A14123" i="20"/>
  <c r="A14122" i="20"/>
  <c r="A14121" i="20"/>
  <c r="A14120" i="20"/>
  <c r="A14119" i="20"/>
  <c r="A14118" i="20"/>
  <c r="A14117" i="20"/>
  <c r="A14116" i="20"/>
  <c r="A14115" i="20"/>
  <c r="A14114" i="20"/>
  <c r="A14113" i="20"/>
  <c r="A14112" i="20"/>
  <c r="A14111" i="20"/>
  <c r="A14110" i="20"/>
  <c r="A14109" i="20"/>
  <c r="A14108" i="20"/>
  <c r="A14107" i="20"/>
  <c r="A14106" i="20"/>
  <c r="A14105" i="20"/>
  <c r="A14104" i="20"/>
  <c r="A14103" i="20"/>
  <c r="A14102" i="20"/>
  <c r="A14101" i="20"/>
  <c r="A14100" i="20"/>
  <c r="A14099" i="20"/>
  <c r="A14098" i="20"/>
  <c r="A14097" i="20"/>
  <c r="A14096" i="20"/>
  <c r="A14095" i="20"/>
  <c r="A14094" i="20"/>
  <c r="A14093" i="20"/>
  <c r="A14092" i="20"/>
  <c r="A14091" i="20"/>
  <c r="A14090" i="20"/>
  <c r="A14089" i="20"/>
  <c r="A14088" i="20"/>
  <c r="A14087" i="20"/>
  <c r="A14086" i="20"/>
  <c r="A14085" i="20"/>
  <c r="A14084" i="20"/>
  <c r="A14083" i="20"/>
  <c r="A14082" i="20"/>
  <c r="A14081" i="20"/>
  <c r="A14080" i="20"/>
  <c r="A14079" i="20"/>
  <c r="A14078" i="20"/>
  <c r="A14077" i="20"/>
  <c r="A14076" i="20"/>
  <c r="A14075" i="20"/>
  <c r="A14074" i="20"/>
  <c r="A14073" i="20"/>
  <c r="A14072" i="20"/>
  <c r="A14071" i="20"/>
  <c r="A14070" i="20"/>
  <c r="A14069" i="20"/>
  <c r="A14068" i="20"/>
  <c r="A14067" i="20"/>
  <c r="A14066" i="20"/>
  <c r="A14065" i="20"/>
  <c r="A14064" i="20"/>
  <c r="A14063" i="20"/>
  <c r="A14062" i="20"/>
  <c r="A14061" i="20"/>
  <c r="A14060" i="20"/>
  <c r="A14059" i="20"/>
  <c r="A14058" i="20"/>
  <c r="A14057" i="20"/>
  <c r="A14056" i="20"/>
  <c r="A14055" i="20"/>
  <c r="A14054" i="20"/>
  <c r="A14053" i="20"/>
  <c r="A14052" i="20"/>
  <c r="A14051" i="20"/>
  <c r="A14050" i="20"/>
  <c r="A14049" i="20"/>
  <c r="A14048" i="20"/>
  <c r="A14047" i="20"/>
  <c r="A14046" i="20"/>
  <c r="A14045" i="20"/>
  <c r="A14044" i="20"/>
  <c r="A14043" i="20"/>
  <c r="A14042" i="20"/>
  <c r="A14041" i="20"/>
  <c r="A14040" i="20"/>
  <c r="A14039" i="20"/>
  <c r="A14038" i="20"/>
  <c r="A14037" i="20"/>
  <c r="A14036" i="20"/>
  <c r="A14035" i="20"/>
  <c r="A14034" i="20"/>
  <c r="A14033" i="20"/>
  <c r="A14032" i="20"/>
  <c r="A14031" i="20"/>
  <c r="A14030" i="20"/>
  <c r="A14029" i="20"/>
  <c r="A14028" i="20"/>
  <c r="A14027" i="20"/>
  <c r="A14026" i="20"/>
  <c r="A14025" i="20"/>
  <c r="A14024" i="20"/>
  <c r="A14023" i="20"/>
  <c r="A14022" i="20"/>
  <c r="A14021" i="20"/>
  <c r="A14020" i="20"/>
  <c r="A14019" i="20"/>
  <c r="A14018" i="20"/>
  <c r="A14017" i="20"/>
  <c r="A14016" i="20"/>
  <c r="A14015" i="20"/>
  <c r="A14014" i="20"/>
  <c r="A14013" i="20"/>
  <c r="A14012" i="20"/>
  <c r="A14011" i="20"/>
  <c r="A14010" i="20"/>
  <c r="A14009" i="20"/>
  <c r="A14008" i="20"/>
  <c r="A14007" i="20"/>
  <c r="A14006" i="20"/>
  <c r="A14005" i="20"/>
  <c r="A14004" i="20"/>
  <c r="A14003" i="20"/>
  <c r="A14002" i="20"/>
  <c r="A14001" i="20"/>
  <c r="A14000" i="20"/>
  <c r="A13999" i="20"/>
  <c r="A13998" i="20"/>
  <c r="A13997" i="20"/>
  <c r="A13996" i="20"/>
  <c r="A13995" i="20"/>
  <c r="A13994" i="20"/>
  <c r="A13993" i="20"/>
  <c r="A13992" i="20"/>
  <c r="A13991" i="20"/>
  <c r="A13990" i="20"/>
  <c r="A13989" i="20"/>
  <c r="A13988" i="20"/>
  <c r="A13987" i="20"/>
  <c r="A13986" i="20"/>
  <c r="A13985" i="20"/>
  <c r="A13984" i="20"/>
  <c r="A13983" i="20"/>
  <c r="A13982" i="20"/>
  <c r="A13981" i="20"/>
  <c r="A13980" i="20"/>
  <c r="A13979" i="20"/>
  <c r="A13978" i="20"/>
  <c r="A13977" i="20"/>
  <c r="A13976" i="20"/>
  <c r="A13975" i="20"/>
  <c r="A13974" i="20"/>
  <c r="A13973" i="20"/>
  <c r="A13972" i="20"/>
  <c r="A13971" i="20"/>
  <c r="A13970" i="20"/>
  <c r="A13969" i="20"/>
  <c r="A13968" i="20"/>
  <c r="A13967" i="20"/>
  <c r="A13966" i="20"/>
  <c r="A13965" i="20"/>
  <c r="A13964" i="20"/>
  <c r="A13963" i="20"/>
  <c r="A13962" i="20"/>
  <c r="A13961" i="20"/>
  <c r="A13960" i="20"/>
  <c r="A13959" i="20"/>
  <c r="A13958" i="20"/>
  <c r="A13957" i="20"/>
  <c r="A13956" i="20"/>
  <c r="A13955" i="20"/>
  <c r="A13954" i="20"/>
  <c r="A13953" i="20"/>
  <c r="A13952" i="20"/>
  <c r="A13951" i="20"/>
  <c r="A13950" i="20"/>
  <c r="A13949" i="20"/>
  <c r="A13948" i="20"/>
  <c r="A13947" i="20"/>
  <c r="A13946" i="20"/>
  <c r="A13945" i="20"/>
  <c r="A13944" i="20"/>
  <c r="A13943" i="20"/>
  <c r="A13942" i="20"/>
  <c r="A13941" i="20"/>
  <c r="A13940" i="20"/>
  <c r="A13939" i="20"/>
  <c r="A13938" i="20"/>
  <c r="A13937" i="20"/>
  <c r="A13936" i="20"/>
  <c r="A13935" i="20"/>
  <c r="A13934" i="20"/>
  <c r="A13933" i="20"/>
  <c r="A13932" i="20"/>
  <c r="A13931" i="20"/>
  <c r="A13930" i="20"/>
  <c r="A13929" i="20"/>
  <c r="A13928" i="20"/>
  <c r="A13927" i="20"/>
  <c r="A13926" i="20"/>
  <c r="A13925" i="20"/>
  <c r="A13924" i="20"/>
  <c r="A13923" i="20"/>
  <c r="A13922" i="20"/>
  <c r="A13921" i="20"/>
  <c r="A13920" i="20"/>
  <c r="A13919" i="20"/>
  <c r="A13918" i="20"/>
  <c r="A13917" i="20"/>
  <c r="A13916" i="20"/>
  <c r="A13915" i="20"/>
  <c r="A13914" i="20"/>
  <c r="A13913" i="20"/>
  <c r="A13912" i="20"/>
  <c r="A13911" i="20"/>
  <c r="A13910" i="20"/>
  <c r="A13909" i="20"/>
  <c r="A13908" i="20"/>
  <c r="A13907" i="20"/>
  <c r="A13906" i="20"/>
  <c r="A13905" i="20"/>
  <c r="A13904" i="20"/>
  <c r="A13903" i="20"/>
  <c r="A13902" i="20"/>
  <c r="A13901" i="20"/>
  <c r="A13900" i="20"/>
  <c r="A13899" i="20"/>
  <c r="A13898" i="20"/>
  <c r="A13897" i="20"/>
  <c r="A13896" i="20"/>
  <c r="A13895" i="20"/>
  <c r="A13894" i="20"/>
  <c r="A13893" i="20"/>
  <c r="A13892" i="20"/>
  <c r="A13891" i="20"/>
  <c r="A13890" i="20"/>
  <c r="A13889" i="20"/>
  <c r="A13888" i="20"/>
  <c r="A13887" i="20"/>
  <c r="A13886" i="20"/>
  <c r="A13885" i="20"/>
  <c r="A13884" i="20"/>
  <c r="A13883" i="20"/>
  <c r="A13882" i="20"/>
  <c r="A13881" i="20"/>
  <c r="A13880" i="20"/>
  <c r="A13879" i="20"/>
  <c r="A13878" i="20"/>
  <c r="A13877" i="20"/>
  <c r="A13876" i="20"/>
  <c r="A13875" i="20"/>
  <c r="A13874" i="20"/>
  <c r="A13873" i="20"/>
  <c r="A13872" i="20"/>
  <c r="A13871" i="20"/>
  <c r="A13870" i="20"/>
  <c r="A13869" i="20"/>
  <c r="A13868" i="20"/>
  <c r="A13867" i="20"/>
  <c r="A13866" i="20"/>
  <c r="A13865" i="20"/>
  <c r="A13864" i="20"/>
  <c r="A13863" i="20"/>
  <c r="A13862" i="20"/>
  <c r="A13861" i="20"/>
  <c r="A13860" i="20"/>
  <c r="A13859" i="20"/>
  <c r="A13858" i="20"/>
  <c r="A13857" i="20"/>
  <c r="A13856" i="20"/>
  <c r="A13855" i="20"/>
  <c r="A13854" i="20"/>
  <c r="A13853" i="20"/>
  <c r="A13852" i="20"/>
  <c r="A13851" i="20"/>
  <c r="A13850" i="20"/>
  <c r="A13849" i="20"/>
  <c r="A13848" i="20"/>
  <c r="A13847" i="20"/>
  <c r="A13846" i="20"/>
  <c r="A13845" i="20"/>
  <c r="A13844" i="20"/>
  <c r="A13843" i="20"/>
  <c r="A13842" i="20"/>
  <c r="A13841" i="20"/>
  <c r="A13840" i="20"/>
  <c r="A13839" i="20"/>
  <c r="A13838" i="20"/>
  <c r="A13837" i="20"/>
  <c r="A13836" i="20"/>
  <c r="A13835" i="20"/>
  <c r="A13834" i="20"/>
  <c r="A13833" i="20"/>
  <c r="A13832" i="20"/>
  <c r="A13831" i="20"/>
  <c r="A13830" i="20"/>
  <c r="A13829" i="20"/>
  <c r="A13828" i="20"/>
  <c r="A13827" i="20"/>
  <c r="A13826" i="20"/>
  <c r="A13825" i="20"/>
  <c r="A13824" i="20"/>
  <c r="A13823" i="20"/>
  <c r="A13822" i="20"/>
  <c r="A13821" i="20"/>
  <c r="A13820" i="20"/>
  <c r="A13819" i="20"/>
  <c r="A13818" i="20"/>
  <c r="A13817" i="20"/>
  <c r="A13816" i="20"/>
  <c r="A13815" i="20"/>
  <c r="A13814" i="20"/>
  <c r="A13813" i="20"/>
  <c r="A13812" i="20"/>
  <c r="A13811" i="20"/>
  <c r="A13810" i="20"/>
  <c r="A13809" i="20"/>
  <c r="A13808" i="20"/>
  <c r="A13807" i="20"/>
  <c r="A13806" i="20"/>
  <c r="A13805" i="20"/>
  <c r="A13804" i="20"/>
  <c r="A13803" i="20"/>
  <c r="A13802" i="20"/>
  <c r="A13801" i="20"/>
  <c r="A13800" i="20"/>
  <c r="A13799" i="20"/>
  <c r="A13798" i="20"/>
  <c r="A13797" i="20"/>
  <c r="A13796" i="20"/>
  <c r="A13795" i="20"/>
  <c r="A13794" i="20"/>
  <c r="A13793" i="20"/>
  <c r="A13792" i="20"/>
  <c r="A13791" i="20"/>
  <c r="A13790" i="20"/>
  <c r="A13789" i="20"/>
  <c r="A13788" i="20"/>
  <c r="A13787" i="20"/>
  <c r="A13786" i="20"/>
  <c r="A13785" i="20"/>
  <c r="A13784" i="20"/>
  <c r="A13783" i="20"/>
  <c r="A13782" i="20"/>
  <c r="A13781" i="20"/>
  <c r="A13780" i="20"/>
  <c r="A13779" i="20"/>
  <c r="A13778" i="20"/>
  <c r="A13777" i="20"/>
  <c r="A13776" i="20"/>
  <c r="A13775" i="20"/>
  <c r="A13774" i="20"/>
  <c r="A13773" i="20"/>
  <c r="A13772" i="20"/>
  <c r="A13771" i="20"/>
  <c r="A13770" i="20"/>
  <c r="A13769" i="20"/>
  <c r="A13768" i="20"/>
  <c r="A13767" i="20"/>
  <c r="A13766" i="20"/>
  <c r="A13765" i="20"/>
  <c r="A13764" i="20"/>
  <c r="A13763" i="20"/>
  <c r="A13762" i="20"/>
  <c r="A13761" i="20"/>
  <c r="A13760" i="20"/>
  <c r="A13759" i="20"/>
  <c r="A13758" i="20"/>
  <c r="A13757" i="20"/>
  <c r="A13756" i="20"/>
  <c r="A13755" i="20"/>
  <c r="A13754" i="20"/>
  <c r="A13753" i="20"/>
  <c r="A13752" i="20"/>
  <c r="A13751" i="20"/>
  <c r="A13750" i="20"/>
  <c r="A13749" i="20"/>
  <c r="A13748" i="20"/>
  <c r="A13747" i="20"/>
  <c r="A13746" i="20"/>
  <c r="A13745" i="20"/>
  <c r="A13744" i="20"/>
  <c r="A13743" i="20"/>
  <c r="A13742" i="20"/>
  <c r="A13741" i="20"/>
  <c r="A13740" i="20"/>
  <c r="A13739" i="20"/>
  <c r="A13738" i="20"/>
  <c r="A13737" i="20"/>
  <c r="A13736" i="20"/>
  <c r="A13735" i="20"/>
  <c r="A13734" i="20"/>
  <c r="A13733" i="20"/>
  <c r="A13732" i="20"/>
  <c r="A13731" i="20"/>
  <c r="A13730" i="20"/>
  <c r="A13729" i="20"/>
  <c r="A13728" i="20"/>
  <c r="A13727" i="20"/>
  <c r="A13726" i="20"/>
  <c r="A13725" i="20"/>
  <c r="A13724" i="20"/>
  <c r="A13723" i="20"/>
  <c r="A13722" i="20"/>
  <c r="A13721" i="20"/>
  <c r="A13720" i="20"/>
  <c r="A13719" i="20"/>
  <c r="A13718" i="20"/>
  <c r="A13717" i="20"/>
  <c r="A13716" i="20"/>
  <c r="A13715" i="20"/>
  <c r="A13714" i="20"/>
  <c r="A13713" i="20"/>
  <c r="A13712" i="20"/>
  <c r="A13711" i="20"/>
  <c r="A13710" i="20"/>
  <c r="A13709" i="20"/>
  <c r="A13708" i="20"/>
  <c r="A13707" i="20"/>
  <c r="A13706" i="20"/>
  <c r="A13705" i="20"/>
  <c r="A13704" i="20"/>
  <c r="A13703" i="20"/>
  <c r="A13702" i="20"/>
  <c r="A13701" i="20"/>
  <c r="A13700" i="20"/>
  <c r="A13699" i="20"/>
  <c r="A13698" i="20"/>
  <c r="A13697" i="20"/>
  <c r="A13696" i="20"/>
  <c r="A13695" i="20"/>
  <c r="A13694" i="20"/>
  <c r="A13693" i="20"/>
  <c r="A13692" i="20"/>
  <c r="A13691" i="20"/>
  <c r="A13690" i="20"/>
  <c r="A13689" i="20"/>
  <c r="A13688" i="20"/>
  <c r="A13687" i="20"/>
  <c r="A13686" i="20"/>
  <c r="A13685" i="20"/>
  <c r="A13684" i="20"/>
  <c r="A13683" i="20"/>
  <c r="A13682" i="20"/>
  <c r="A13681" i="20"/>
  <c r="A13680" i="20"/>
  <c r="A13679" i="20"/>
  <c r="A13678" i="20"/>
  <c r="A13677" i="20"/>
  <c r="A13676" i="20"/>
  <c r="A13675" i="20"/>
  <c r="A13674" i="20"/>
  <c r="A13673" i="20"/>
  <c r="A13672" i="20"/>
  <c r="A13671" i="20"/>
  <c r="A13670" i="20"/>
  <c r="A13669" i="20"/>
  <c r="A13668" i="20"/>
  <c r="A13667" i="20"/>
  <c r="A13666" i="20"/>
  <c r="A13665" i="20"/>
  <c r="A13664" i="20"/>
  <c r="A13663" i="20"/>
  <c r="A13662" i="20"/>
  <c r="A13661" i="20"/>
  <c r="A13660" i="20"/>
  <c r="A13659" i="20"/>
  <c r="A13658" i="20"/>
  <c r="A13657" i="20"/>
  <c r="A13656" i="20"/>
  <c r="A13655" i="20"/>
  <c r="A13654" i="20"/>
  <c r="A13653" i="20"/>
  <c r="A13652" i="20"/>
  <c r="A13651" i="20"/>
  <c r="A13650" i="20"/>
  <c r="A13649" i="20"/>
  <c r="A13648" i="20"/>
  <c r="A13647" i="20"/>
  <c r="A13646" i="20"/>
  <c r="A13645" i="20"/>
  <c r="A13644" i="20"/>
  <c r="A13643" i="20"/>
  <c r="A13642" i="20"/>
  <c r="A13641" i="20"/>
  <c r="A13640" i="20"/>
  <c r="A13639" i="20"/>
  <c r="A13638" i="20"/>
  <c r="A13637" i="20"/>
  <c r="A13636" i="20"/>
  <c r="A13635" i="20"/>
  <c r="A13634" i="20"/>
  <c r="A13633" i="20"/>
  <c r="A13632" i="20"/>
  <c r="A13631" i="20"/>
  <c r="A13630" i="20"/>
  <c r="A13629" i="20"/>
  <c r="A13628" i="20"/>
  <c r="A13627" i="20"/>
  <c r="A13626" i="20"/>
  <c r="A13625" i="20"/>
  <c r="A13624" i="20"/>
  <c r="A13623" i="20"/>
  <c r="A13622" i="20"/>
  <c r="A13621" i="20"/>
  <c r="A13620" i="20"/>
  <c r="A13619" i="20"/>
  <c r="A13618" i="20"/>
  <c r="A13617" i="20"/>
  <c r="A13616" i="20"/>
  <c r="A13615" i="20"/>
  <c r="A13614" i="20"/>
  <c r="A13613" i="20"/>
  <c r="A13612" i="20"/>
  <c r="A13611" i="20"/>
  <c r="A13610" i="20"/>
  <c r="A13609" i="20"/>
  <c r="A13608" i="20"/>
  <c r="A13607" i="20"/>
  <c r="A13606" i="20"/>
  <c r="A13605" i="20"/>
  <c r="A13604" i="20"/>
  <c r="A13603" i="20"/>
  <c r="A13602" i="20"/>
  <c r="A13601" i="20"/>
  <c r="A13600" i="20"/>
  <c r="A13599" i="20"/>
  <c r="A13598" i="20"/>
  <c r="A13597" i="20"/>
  <c r="A13596" i="20"/>
  <c r="A13595" i="20"/>
  <c r="A13594" i="20"/>
  <c r="A13593" i="20"/>
  <c r="A13592" i="20"/>
  <c r="A13591" i="20"/>
  <c r="A13590" i="20"/>
  <c r="A13589" i="20"/>
  <c r="A13588" i="20"/>
  <c r="A13587" i="20"/>
  <c r="A13586" i="20"/>
  <c r="A13585" i="20"/>
  <c r="A13584" i="20"/>
  <c r="A13583" i="20"/>
  <c r="A13582" i="20"/>
  <c r="A13581" i="20"/>
  <c r="A13580" i="20"/>
  <c r="A13579" i="20"/>
  <c r="A13578" i="20"/>
  <c r="A13577" i="20"/>
  <c r="A13576" i="20"/>
  <c r="A13575" i="20"/>
  <c r="A13574" i="20"/>
  <c r="A13573" i="20"/>
  <c r="A13572" i="20"/>
  <c r="A13571" i="20"/>
  <c r="A13570" i="20"/>
  <c r="A13569" i="20"/>
  <c r="A13568" i="20"/>
  <c r="A13567" i="20"/>
  <c r="A13566" i="20"/>
  <c r="A13565" i="20"/>
  <c r="A13564" i="20"/>
  <c r="A13563" i="20"/>
  <c r="A13562" i="20"/>
  <c r="A13561" i="20"/>
  <c r="A13560" i="20"/>
  <c r="A13559" i="20"/>
  <c r="A13558" i="20"/>
  <c r="A13557" i="20"/>
  <c r="A13556" i="20"/>
  <c r="A13555" i="20"/>
  <c r="A13554" i="20"/>
  <c r="A13553" i="20"/>
  <c r="A13552" i="20"/>
  <c r="A13551" i="20"/>
  <c r="A13550" i="20"/>
  <c r="A13549" i="20"/>
  <c r="A13548" i="20"/>
  <c r="A13547" i="20"/>
  <c r="A13546" i="20"/>
  <c r="A13545" i="20"/>
  <c r="A13544" i="20"/>
  <c r="A13543" i="20"/>
  <c r="A13542" i="20"/>
  <c r="A13541" i="20"/>
  <c r="A13540" i="20"/>
  <c r="A13539" i="20"/>
  <c r="A13538" i="20"/>
  <c r="A13537" i="20"/>
  <c r="A13536" i="20"/>
  <c r="A13535" i="20"/>
  <c r="A13534" i="20"/>
  <c r="A13533" i="20"/>
  <c r="A13532" i="20"/>
  <c r="A13531" i="20"/>
  <c r="A13530" i="20"/>
  <c r="A13529" i="20"/>
  <c r="A13528" i="20"/>
  <c r="A13527" i="20"/>
  <c r="A13526" i="20"/>
  <c r="A13525" i="20"/>
  <c r="A13524" i="20"/>
  <c r="A13523" i="20"/>
  <c r="A13522" i="20"/>
  <c r="A13521" i="20"/>
  <c r="A13520" i="20"/>
  <c r="A13519" i="20"/>
  <c r="A13518" i="20"/>
  <c r="A13517" i="20"/>
  <c r="A13516" i="20"/>
  <c r="A13515" i="20"/>
  <c r="A13514" i="20"/>
  <c r="A13513" i="20"/>
  <c r="A13512" i="20"/>
  <c r="A13511" i="20"/>
  <c r="A13510" i="20"/>
  <c r="A13509" i="20"/>
  <c r="A13508" i="20"/>
  <c r="A13507" i="20"/>
  <c r="A13506" i="20"/>
  <c r="A13505" i="20"/>
  <c r="A13504" i="20"/>
  <c r="A13503" i="20"/>
  <c r="A13502" i="20"/>
  <c r="A13501" i="20"/>
  <c r="A13500" i="20"/>
  <c r="A13499" i="20"/>
  <c r="A13498" i="20"/>
  <c r="A13497" i="20"/>
  <c r="A13496" i="20"/>
  <c r="A13495" i="20"/>
  <c r="A13494" i="20"/>
  <c r="A13493" i="20"/>
  <c r="A13492" i="20"/>
  <c r="A13491" i="20"/>
  <c r="A13490" i="20"/>
  <c r="A13489" i="20"/>
  <c r="A13488" i="20"/>
  <c r="A13487" i="20"/>
  <c r="A13486" i="20"/>
  <c r="A13485" i="20"/>
  <c r="A13484" i="20"/>
  <c r="A13483" i="20"/>
  <c r="A13482" i="20"/>
  <c r="A13481" i="20"/>
  <c r="A13480" i="20"/>
  <c r="A13479" i="20"/>
  <c r="A13478" i="20"/>
  <c r="A13477" i="20"/>
  <c r="A13476" i="20"/>
  <c r="A13475" i="20"/>
  <c r="A13474" i="20"/>
  <c r="A13473" i="20"/>
  <c r="A13472" i="20"/>
  <c r="A13471" i="20"/>
  <c r="A13470" i="20"/>
  <c r="A13469" i="20"/>
  <c r="A13468" i="20"/>
  <c r="A13467" i="20"/>
  <c r="A13466" i="20"/>
  <c r="A13465" i="20"/>
  <c r="A13464" i="20"/>
  <c r="A13463" i="20"/>
  <c r="A13462" i="20"/>
  <c r="A13461" i="20"/>
  <c r="A13460" i="20"/>
  <c r="A13459" i="20"/>
  <c r="A13458" i="20"/>
  <c r="A13457" i="20"/>
  <c r="A13456" i="20"/>
  <c r="A13455" i="20"/>
  <c r="A13454" i="20"/>
  <c r="A13453" i="20"/>
  <c r="A13452" i="20"/>
  <c r="A13451" i="20"/>
  <c r="A13450" i="20"/>
  <c r="A13449" i="20"/>
  <c r="A13448" i="20"/>
  <c r="A13447" i="20"/>
  <c r="A13446" i="20"/>
  <c r="A13445" i="20"/>
  <c r="A13444" i="20"/>
  <c r="A13443" i="20"/>
  <c r="A13442" i="20"/>
  <c r="A13441" i="20"/>
  <c r="A13440" i="20"/>
  <c r="A13439" i="20"/>
  <c r="A13438" i="20"/>
  <c r="A13437" i="20"/>
  <c r="A13436" i="20"/>
  <c r="A13435" i="20"/>
  <c r="A13434" i="20"/>
  <c r="A13433" i="20"/>
  <c r="A13432" i="20"/>
  <c r="A13431" i="20"/>
  <c r="A13430" i="20"/>
  <c r="A13429" i="20"/>
  <c r="A13428" i="20"/>
  <c r="A13427" i="20"/>
  <c r="A13426" i="20"/>
  <c r="A13425" i="20"/>
  <c r="A13424" i="20"/>
  <c r="A13423" i="20"/>
  <c r="A13422" i="20"/>
  <c r="A13421" i="20"/>
  <c r="A13420" i="20"/>
  <c r="A13419" i="20"/>
  <c r="A13418" i="20"/>
  <c r="A13417" i="20"/>
  <c r="A13416" i="20"/>
  <c r="A13415" i="20"/>
  <c r="A13414" i="20"/>
  <c r="A13413" i="20"/>
  <c r="A13412" i="20"/>
  <c r="A13411" i="20"/>
  <c r="A13410" i="20"/>
  <c r="A13409" i="20"/>
  <c r="A13408" i="20"/>
  <c r="A13407" i="20"/>
  <c r="A13406" i="20"/>
  <c r="A13405" i="20"/>
  <c r="A13404" i="20"/>
  <c r="A13403" i="20"/>
  <c r="A13402" i="20"/>
  <c r="A13401" i="20"/>
  <c r="A13400" i="20"/>
  <c r="A13399" i="20"/>
  <c r="A13398" i="20"/>
  <c r="A13397" i="20"/>
  <c r="A13396" i="20"/>
  <c r="A13395" i="20"/>
  <c r="A13394" i="20"/>
  <c r="A13393" i="20"/>
  <c r="A13392" i="20"/>
  <c r="A13391" i="20"/>
  <c r="A13390" i="20"/>
  <c r="A13389" i="20"/>
  <c r="A13388" i="20"/>
  <c r="A13387" i="20"/>
  <c r="A13386" i="20"/>
  <c r="A13385" i="20"/>
  <c r="A13384" i="20"/>
  <c r="A13383" i="20"/>
  <c r="A13382" i="20"/>
  <c r="A13381" i="20"/>
  <c r="A13380" i="20"/>
  <c r="A13379" i="20"/>
  <c r="A13378" i="20"/>
  <c r="A13377" i="20"/>
  <c r="A13376" i="20"/>
  <c r="A13375" i="20"/>
  <c r="A13374" i="20"/>
  <c r="A13373" i="20"/>
  <c r="A13372" i="20"/>
  <c r="A13371" i="20"/>
  <c r="A13370" i="20"/>
  <c r="A13369" i="20"/>
  <c r="A13368" i="20"/>
  <c r="A13367" i="20"/>
  <c r="A13366" i="20"/>
  <c r="A13365" i="20"/>
  <c r="A13364" i="20"/>
  <c r="A13363" i="20"/>
  <c r="A13362" i="20"/>
  <c r="A13361" i="20"/>
  <c r="A13360" i="20"/>
  <c r="A13359" i="20"/>
  <c r="A13358" i="20"/>
  <c r="A13357" i="20"/>
  <c r="A13356" i="20"/>
  <c r="A13355" i="20"/>
  <c r="A13354" i="20"/>
  <c r="A13353" i="20"/>
  <c r="A13352" i="20"/>
  <c r="A13351" i="20"/>
  <c r="A13350" i="20"/>
  <c r="A13349" i="20"/>
  <c r="A13348" i="20"/>
  <c r="A13347" i="20"/>
  <c r="A13346" i="20"/>
  <c r="A13345" i="20"/>
  <c r="A13344" i="20"/>
  <c r="A13343" i="20"/>
  <c r="A13342" i="20"/>
  <c r="A13341" i="20"/>
  <c r="A13340" i="20"/>
  <c r="A13339" i="20"/>
  <c r="A13338" i="20"/>
  <c r="A13337" i="20"/>
  <c r="A13336" i="20"/>
  <c r="A13335" i="20"/>
  <c r="A13334" i="20"/>
  <c r="A13333" i="20"/>
  <c r="A13332" i="20"/>
  <c r="A13331" i="20"/>
  <c r="A13330" i="20"/>
  <c r="A13329" i="20"/>
  <c r="A13328" i="20"/>
  <c r="A13327" i="20"/>
  <c r="A13326" i="20"/>
  <c r="A13325" i="20"/>
  <c r="A13324" i="20"/>
  <c r="A13323" i="20"/>
  <c r="A13322" i="20"/>
  <c r="A13321" i="20"/>
  <c r="A13320" i="20"/>
  <c r="A13319" i="20"/>
  <c r="A13318" i="20"/>
  <c r="A13317" i="20"/>
  <c r="A13316" i="20"/>
  <c r="A13315" i="20"/>
  <c r="A13314" i="20"/>
  <c r="A13313" i="20"/>
  <c r="A13312" i="20"/>
  <c r="A13311" i="20"/>
  <c r="A13310" i="20"/>
  <c r="A13309" i="20"/>
  <c r="A13308" i="20"/>
  <c r="A13307" i="20"/>
  <c r="A13306" i="20"/>
  <c r="A13305" i="20"/>
  <c r="A13304" i="20"/>
  <c r="A13303" i="20"/>
  <c r="A13302" i="20"/>
  <c r="A13301" i="20"/>
  <c r="A13300" i="20"/>
  <c r="A13299" i="20"/>
  <c r="A13298" i="20"/>
  <c r="A13297" i="20"/>
  <c r="A13296" i="20"/>
  <c r="A13295" i="20"/>
  <c r="A13294" i="20"/>
  <c r="A13293" i="20"/>
  <c r="A13292" i="20"/>
  <c r="A13291" i="20"/>
  <c r="A13290" i="20"/>
  <c r="A13289" i="20"/>
  <c r="A13288" i="20"/>
  <c r="A13287" i="20"/>
  <c r="A13286" i="20"/>
  <c r="A13285" i="20"/>
  <c r="A13284" i="20"/>
  <c r="A13283" i="20"/>
  <c r="A13282" i="20"/>
  <c r="A13281" i="20"/>
  <c r="A13280" i="20"/>
  <c r="A13279" i="20"/>
  <c r="A13278" i="20"/>
  <c r="A13277" i="20"/>
  <c r="A13276" i="20"/>
  <c r="A13275" i="20"/>
  <c r="A13274" i="20"/>
  <c r="A13273" i="20"/>
  <c r="A13272" i="20"/>
  <c r="A13271" i="20"/>
  <c r="A13270" i="20"/>
  <c r="A13269" i="20"/>
  <c r="A13268" i="20"/>
  <c r="A13267" i="20"/>
  <c r="A13266" i="20"/>
  <c r="A13265" i="20"/>
  <c r="A13264" i="20"/>
  <c r="A13263" i="20"/>
  <c r="A13262" i="20"/>
  <c r="A13261" i="20"/>
  <c r="A13260" i="20"/>
  <c r="A13259" i="20"/>
  <c r="A13258" i="20"/>
  <c r="A13257" i="20"/>
  <c r="A13256" i="20"/>
  <c r="A13255" i="20"/>
  <c r="A13254" i="20"/>
  <c r="A13253" i="20"/>
  <c r="A13252" i="20"/>
  <c r="A13251" i="20"/>
  <c r="A13250" i="20"/>
  <c r="A13249" i="20"/>
  <c r="A13248" i="20"/>
  <c r="A13247" i="20"/>
  <c r="A13246" i="20"/>
  <c r="A13245" i="20"/>
  <c r="A13244" i="20"/>
  <c r="A13243" i="20"/>
  <c r="A13242" i="20"/>
  <c r="A13241" i="20"/>
  <c r="A13240" i="20"/>
  <c r="A13239" i="20"/>
  <c r="A13238" i="20"/>
  <c r="A13237" i="20"/>
  <c r="A13236" i="20"/>
  <c r="A13235" i="20"/>
  <c r="A13234" i="20"/>
  <c r="A13233" i="20"/>
  <c r="A13232" i="20"/>
  <c r="A13231" i="20"/>
  <c r="A13230" i="20"/>
  <c r="A13229" i="20"/>
  <c r="A13228" i="20"/>
  <c r="A13227" i="20"/>
  <c r="A13226" i="20"/>
  <c r="A13225" i="20"/>
  <c r="A13224" i="20"/>
  <c r="A13223" i="20"/>
  <c r="A13222" i="20"/>
  <c r="A13221" i="20"/>
  <c r="A13220" i="20"/>
  <c r="A13219" i="20"/>
  <c r="A13218" i="20"/>
  <c r="A13217" i="20"/>
  <c r="A13216" i="20"/>
  <c r="A13215" i="20"/>
  <c r="A13214" i="20"/>
  <c r="A13213" i="20"/>
  <c r="A13212" i="20"/>
  <c r="A13211" i="20"/>
  <c r="A13210" i="20"/>
  <c r="A13209" i="20"/>
  <c r="A13208" i="20"/>
  <c r="A13207" i="20"/>
  <c r="A13206" i="20"/>
  <c r="A13205" i="20"/>
  <c r="A13204" i="20"/>
  <c r="A13203" i="20"/>
  <c r="A13202" i="20"/>
  <c r="A13201" i="20"/>
  <c r="A13200" i="20"/>
  <c r="A13199" i="20"/>
  <c r="A13198" i="20"/>
  <c r="A13197" i="20"/>
  <c r="A13196" i="20"/>
  <c r="A13195" i="20"/>
  <c r="A13194" i="20"/>
  <c r="A13193" i="20"/>
  <c r="A13192" i="20"/>
  <c r="A13191" i="20"/>
  <c r="A13190" i="20"/>
  <c r="A13189" i="20"/>
  <c r="A13188" i="20"/>
  <c r="A13187" i="20"/>
  <c r="A13186" i="20"/>
  <c r="A13185" i="20"/>
  <c r="A13184" i="20"/>
  <c r="A13183" i="20"/>
  <c r="A13182" i="20"/>
  <c r="A13181" i="20"/>
  <c r="A13180" i="20"/>
  <c r="A13179" i="20"/>
  <c r="A13178" i="20"/>
  <c r="A13177" i="20"/>
  <c r="A13176" i="20"/>
  <c r="A13175" i="20"/>
  <c r="A13174" i="20"/>
  <c r="A13173" i="20"/>
  <c r="A13172" i="20"/>
  <c r="A13171" i="20"/>
  <c r="A13170" i="20"/>
  <c r="A13169" i="20"/>
  <c r="A13168" i="20"/>
  <c r="A13167" i="20"/>
  <c r="A13166" i="20"/>
  <c r="A13165" i="20"/>
  <c r="A13164" i="20"/>
  <c r="A13163" i="20"/>
  <c r="A13162" i="20"/>
  <c r="A13161" i="20"/>
  <c r="A13160" i="20"/>
  <c r="A13159" i="20"/>
  <c r="A13158" i="20"/>
  <c r="A13157" i="20"/>
  <c r="A13156" i="20"/>
  <c r="A13155" i="20"/>
  <c r="A13154" i="20"/>
  <c r="A13153" i="20"/>
  <c r="A13152" i="20"/>
  <c r="A13151" i="20"/>
  <c r="A13150" i="20"/>
  <c r="A13149" i="20"/>
  <c r="A13148" i="20"/>
  <c r="A13147" i="20"/>
  <c r="A13146" i="20"/>
  <c r="A13145" i="20"/>
  <c r="A13144" i="20"/>
  <c r="A13143" i="20"/>
  <c r="A13142" i="20"/>
  <c r="A13141" i="20"/>
  <c r="A13140" i="20"/>
  <c r="A13139" i="20"/>
  <c r="A13138" i="20"/>
  <c r="A13137" i="20"/>
  <c r="A13136" i="20"/>
  <c r="A13135" i="20"/>
  <c r="A13134" i="20"/>
  <c r="A13133" i="20"/>
  <c r="A13132" i="20"/>
  <c r="A13131" i="20"/>
  <c r="A13130" i="20"/>
  <c r="A13129" i="20"/>
  <c r="A13128" i="20"/>
  <c r="A13127" i="20"/>
  <c r="A13126" i="20"/>
  <c r="A13125" i="20"/>
  <c r="A13124" i="20"/>
  <c r="A13123" i="20"/>
  <c r="A13122" i="20"/>
  <c r="A13121" i="20"/>
  <c r="A13120" i="20"/>
  <c r="A13119" i="20"/>
  <c r="A13118" i="20"/>
  <c r="A13117" i="20"/>
  <c r="A13116" i="20"/>
  <c r="A13115" i="20"/>
  <c r="A13114" i="20"/>
  <c r="A13113" i="20"/>
  <c r="A13112" i="20"/>
  <c r="A13111" i="20"/>
  <c r="A13110" i="20"/>
  <c r="A13109" i="20"/>
  <c r="A13108" i="20"/>
  <c r="A13107" i="20"/>
  <c r="A13106" i="20"/>
  <c r="A13105" i="20"/>
  <c r="A13104" i="20"/>
  <c r="A13103" i="20"/>
  <c r="A13102" i="20"/>
  <c r="A13101" i="20"/>
  <c r="A13100" i="20"/>
  <c r="A13099" i="20"/>
  <c r="A13098" i="20"/>
  <c r="A13097" i="20"/>
  <c r="A13096" i="20"/>
  <c r="A13095" i="20"/>
  <c r="A13094" i="20"/>
  <c r="A13093" i="20"/>
  <c r="A13092" i="20"/>
  <c r="A13091" i="20"/>
  <c r="A13090" i="20"/>
  <c r="A13089" i="20"/>
  <c r="A13088" i="20"/>
  <c r="A13087" i="20"/>
  <c r="A13086" i="20"/>
  <c r="A13085" i="20"/>
  <c r="A13084" i="20"/>
  <c r="A13083" i="20"/>
  <c r="A13082" i="20"/>
  <c r="A13081" i="20"/>
  <c r="A13080" i="20"/>
  <c r="A13079" i="20"/>
  <c r="A13078" i="20"/>
  <c r="A13077" i="20"/>
  <c r="A13076" i="20"/>
  <c r="A13075" i="20"/>
  <c r="A13074" i="20"/>
  <c r="A13073" i="20"/>
  <c r="A13072" i="20"/>
  <c r="A13071" i="20"/>
  <c r="A13070" i="20"/>
  <c r="A13069" i="20"/>
  <c r="A13068" i="20"/>
  <c r="A13067" i="20"/>
  <c r="A13066" i="20"/>
  <c r="A13065" i="20"/>
  <c r="A13064" i="20"/>
  <c r="A13063" i="20"/>
  <c r="A13062" i="20"/>
  <c r="A13061" i="20"/>
  <c r="A13060" i="20"/>
  <c r="A13059" i="20"/>
  <c r="A13058" i="20"/>
  <c r="A13057" i="20"/>
  <c r="A13056" i="20"/>
  <c r="A13055" i="20"/>
  <c r="A13054" i="20"/>
  <c r="A13053" i="20"/>
  <c r="A13052" i="20"/>
  <c r="A13051" i="20"/>
  <c r="A13050" i="20"/>
  <c r="A13049" i="20"/>
  <c r="A13048" i="20"/>
  <c r="A13047" i="20"/>
  <c r="A13046" i="20"/>
  <c r="A13045" i="20"/>
  <c r="A13044" i="20"/>
  <c r="A13043" i="20"/>
  <c r="A13042" i="20"/>
  <c r="A13041" i="20"/>
  <c r="A13040" i="20"/>
  <c r="A13039" i="20"/>
  <c r="A13038" i="20"/>
  <c r="A13037" i="20"/>
  <c r="A13036" i="20"/>
  <c r="A13035" i="20"/>
  <c r="A13034" i="20"/>
  <c r="A13033" i="20"/>
  <c r="A13032" i="20"/>
  <c r="A13031" i="20"/>
  <c r="A13030" i="20"/>
  <c r="A13029" i="20"/>
  <c r="A13028" i="20"/>
  <c r="A13027" i="20"/>
  <c r="A13026" i="20"/>
  <c r="A13025" i="20"/>
  <c r="A13024" i="20"/>
  <c r="A13023" i="20"/>
  <c r="A13022" i="20"/>
  <c r="A13021" i="20"/>
  <c r="A13020" i="20"/>
  <c r="A13019" i="20"/>
  <c r="A13018" i="20"/>
  <c r="A13017" i="20"/>
  <c r="A13016" i="20"/>
  <c r="A13015" i="20"/>
  <c r="A13014" i="20"/>
  <c r="A13013" i="20"/>
  <c r="A13012" i="20"/>
  <c r="A13011" i="20"/>
  <c r="A13010" i="20"/>
  <c r="A13009" i="20"/>
  <c r="A13008" i="20"/>
  <c r="A13007" i="20"/>
  <c r="A13006" i="20"/>
  <c r="A13005" i="20"/>
  <c r="A13004" i="20"/>
  <c r="A13003" i="20"/>
  <c r="A13002" i="20"/>
  <c r="A13001" i="20"/>
  <c r="A13000" i="20"/>
  <c r="A12999" i="20"/>
  <c r="A12998" i="20"/>
  <c r="A12997" i="20"/>
  <c r="A12996" i="20"/>
  <c r="A12995" i="20"/>
  <c r="A12994" i="20"/>
  <c r="A12993" i="20"/>
  <c r="A12992" i="20"/>
  <c r="A12991" i="20"/>
  <c r="A12990" i="20"/>
  <c r="A12989" i="20"/>
  <c r="A12988" i="20"/>
  <c r="A12987" i="20"/>
  <c r="A12986" i="20"/>
  <c r="A12985" i="20"/>
  <c r="A12984" i="20"/>
  <c r="A12983" i="20"/>
  <c r="A12982" i="20"/>
  <c r="A12981" i="20"/>
  <c r="A12980" i="20"/>
  <c r="A12979" i="20"/>
  <c r="A12978" i="20"/>
  <c r="A12977" i="20"/>
  <c r="A12976" i="20"/>
  <c r="A12975" i="20"/>
  <c r="A12974" i="20"/>
  <c r="A12973" i="20"/>
  <c r="A12972" i="20"/>
  <c r="A12971" i="20"/>
  <c r="A12970" i="20"/>
  <c r="A12969" i="20"/>
  <c r="A12968" i="20"/>
  <c r="A12967" i="20"/>
  <c r="A12966" i="20"/>
  <c r="A12965" i="20"/>
  <c r="A12964" i="20"/>
  <c r="A12963" i="20"/>
  <c r="A12962" i="20"/>
  <c r="A12961" i="20"/>
  <c r="A12960" i="20"/>
  <c r="A12959" i="20"/>
  <c r="A12958" i="20"/>
  <c r="A12957" i="20"/>
  <c r="A12956" i="20"/>
  <c r="A12955" i="20"/>
  <c r="A12954" i="20"/>
  <c r="A12953" i="20"/>
  <c r="A12952" i="20"/>
  <c r="A12951" i="20"/>
  <c r="A12950" i="20"/>
  <c r="A12949" i="20"/>
  <c r="A12948" i="20"/>
  <c r="A12947" i="20"/>
  <c r="A12946" i="20"/>
  <c r="A12945" i="20"/>
  <c r="A12944" i="20"/>
  <c r="A12943" i="20"/>
  <c r="A12942" i="20"/>
  <c r="A12941" i="20"/>
  <c r="A12940" i="20"/>
  <c r="A12939" i="20"/>
  <c r="A12938" i="20"/>
  <c r="A12937" i="20"/>
  <c r="A12936" i="20"/>
  <c r="A12935" i="20"/>
  <c r="A12934" i="20"/>
  <c r="A12933" i="20"/>
  <c r="A12932" i="20"/>
  <c r="A12931" i="20"/>
  <c r="A12930" i="20"/>
  <c r="A12929" i="20"/>
  <c r="A12928" i="20"/>
  <c r="A12927" i="20"/>
  <c r="A12926" i="20"/>
  <c r="A12925" i="20"/>
  <c r="A12924" i="20"/>
  <c r="A12923" i="20"/>
  <c r="A12922" i="20"/>
  <c r="A12921" i="20"/>
  <c r="A12920" i="20"/>
  <c r="A12919" i="20"/>
  <c r="A12918" i="20"/>
  <c r="A12917" i="20"/>
  <c r="A12916" i="20"/>
  <c r="A12915" i="20"/>
  <c r="A12914" i="20"/>
  <c r="A12913" i="20"/>
  <c r="A12912" i="20"/>
  <c r="A12911" i="20"/>
  <c r="A12910" i="20"/>
  <c r="A12909" i="20"/>
  <c r="A12908" i="20"/>
  <c r="A12907" i="20"/>
  <c r="A12906" i="20"/>
  <c r="A12905" i="20"/>
  <c r="A12904" i="20"/>
  <c r="A12903" i="20"/>
  <c r="A12902" i="20"/>
  <c r="A12901" i="20"/>
  <c r="A12900" i="20"/>
  <c r="A12899" i="20"/>
  <c r="A12898" i="20"/>
  <c r="A12897" i="20"/>
  <c r="A12896" i="20"/>
  <c r="A12895" i="20"/>
  <c r="A12894" i="20"/>
  <c r="A12893" i="20"/>
  <c r="A12892" i="20"/>
  <c r="A12891" i="20"/>
  <c r="A12890" i="20"/>
  <c r="A12889" i="20"/>
  <c r="A12888" i="20"/>
  <c r="A12887" i="20"/>
  <c r="A12886" i="20"/>
  <c r="A12885" i="20"/>
  <c r="A12884" i="20"/>
  <c r="A12883" i="20"/>
  <c r="A12882" i="20"/>
  <c r="A12881" i="20"/>
  <c r="A12880" i="20"/>
  <c r="A12879" i="20"/>
  <c r="A12878" i="20"/>
  <c r="A12877" i="20"/>
  <c r="A12876" i="20"/>
  <c r="A12875" i="20"/>
  <c r="A12874" i="20"/>
  <c r="A12873" i="20"/>
  <c r="A12872" i="20"/>
  <c r="A12871" i="20"/>
  <c r="A12870" i="20"/>
  <c r="A12869" i="20"/>
  <c r="A12868" i="20"/>
  <c r="A12867" i="20"/>
  <c r="A12866" i="20"/>
  <c r="A12865" i="20"/>
  <c r="A12864" i="20"/>
  <c r="A12863" i="20"/>
  <c r="A12862" i="20"/>
  <c r="A12861" i="20"/>
  <c r="A12860" i="20"/>
  <c r="A12859" i="20"/>
  <c r="A12858" i="20"/>
  <c r="A12857" i="20"/>
  <c r="A12856" i="20"/>
  <c r="A12855" i="20"/>
  <c r="A12854" i="20"/>
  <c r="A12853" i="20"/>
  <c r="A12852" i="20"/>
  <c r="A12851" i="20"/>
  <c r="A12850" i="20"/>
  <c r="A12849" i="20"/>
  <c r="A12848" i="20"/>
  <c r="A12847" i="20"/>
  <c r="A12846" i="20"/>
  <c r="A12845" i="20"/>
  <c r="A12844" i="20"/>
  <c r="A12843" i="20"/>
  <c r="A12842" i="20"/>
  <c r="A12841" i="20"/>
  <c r="A12840" i="20"/>
  <c r="A12839" i="20"/>
  <c r="A12838" i="20"/>
  <c r="A12837" i="20"/>
  <c r="A12836" i="20"/>
  <c r="A12835" i="20"/>
  <c r="A12834" i="20"/>
  <c r="A12833" i="20"/>
  <c r="A12832" i="20"/>
  <c r="A12831" i="20"/>
  <c r="A12830" i="20"/>
  <c r="A12829" i="20"/>
  <c r="A12828" i="20"/>
  <c r="A12827" i="20"/>
  <c r="A12826" i="20"/>
  <c r="A12825" i="20"/>
  <c r="A12824" i="20"/>
  <c r="A12823" i="20"/>
  <c r="A12822" i="20"/>
  <c r="A12821" i="20"/>
  <c r="A12820" i="20"/>
  <c r="A12819" i="20"/>
  <c r="A12818" i="20"/>
  <c r="A12817" i="20"/>
  <c r="A12816" i="20"/>
  <c r="A12815" i="20"/>
  <c r="A12814" i="20"/>
  <c r="A12813" i="20"/>
  <c r="A12812" i="20"/>
  <c r="A12811" i="20"/>
  <c r="A12810" i="20"/>
  <c r="A12809" i="20"/>
  <c r="A12808" i="20"/>
  <c r="A12807" i="20"/>
  <c r="A12806" i="20"/>
  <c r="A12805" i="20"/>
  <c r="A12804" i="20"/>
  <c r="A12803" i="20"/>
  <c r="A12802" i="20"/>
  <c r="A12801" i="20"/>
  <c r="A12800" i="20"/>
  <c r="A12799" i="20"/>
  <c r="A12798" i="20"/>
  <c r="A12797" i="20"/>
  <c r="A12796" i="20"/>
  <c r="A12795" i="20"/>
  <c r="A12794" i="20"/>
  <c r="A12793" i="20"/>
  <c r="A12792" i="20"/>
  <c r="A12791" i="20"/>
  <c r="A12790" i="20"/>
  <c r="A12789" i="20"/>
  <c r="A12788" i="20"/>
  <c r="A12787" i="20"/>
  <c r="A12786" i="20"/>
  <c r="A12785" i="20"/>
  <c r="A12784" i="20"/>
  <c r="A12783" i="20"/>
  <c r="A12782" i="20"/>
  <c r="A12781" i="20"/>
  <c r="A12780" i="20"/>
  <c r="A12779" i="20"/>
  <c r="A12778" i="20"/>
  <c r="A12777" i="20"/>
  <c r="A12776" i="20"/>
  <c r="A12775" i="20"/>
  <c r="A12774" i="20"/>
  <c r="A12773" i="20"/>
  <c r="A12772" i="20"/>
  <c r="A12771" i="20"/>
  <c r="A12770" i="20"/>
  <c r="A12769" i="20"/>
  <c r="A12768" i="20"/>
  <c r="A12767" i="20"/>
  <c r="A12766" i="20"/>
  <c r="A12765" i="20"/>
  <c r="A12764" i="20"/>
  <c r="A12763" i="20"/>
  <c r="A12762" i="20"/>
  <c r="A12761" i="20"/>
  <c r="A12760" i="20"/>
  <c r="A12759" i="20"/>
  <c r="A12758" i="20"/>
  <c r="A12757" i="20"/>
  <c r="A12756" i="20"/>
  <c r="A12755" i="20"/>
  <c r="A12754" i="20"/>
  <c r="A12753" i="20"/>
  <c r="A12752" i="20"/>
  <c r="A12751" i="20"/>
  <c r="A12750" i="20"/>
  <c r="A12749" i="20"/>
  <c r="A12748" i="20"/>
  <c r="A12747" i="20"/>
  <c r="A12746" i="20"/>
  <c r="A12745" i="20"/>
  <c r="A12744" i="20"/>
  <c r="A12743" i="20"/>
  <c r="A12742" i="20"/>
  <c r="A12741" i="20"/>
  <c r="A12740" i="20"/>
  <c r="A12739" i="20"/>
  <c r="A12738" i="20"/>
  <c r="A12737" i="20"/>
  <c r="A12736" i="20"/>
  <c r="A12735" i="20"/>
  <c r="A12734" i="20"/>
  <c r="A12733" i="20"/>
  <c r="A12732" i="20"/>
  <c r="A12731" i="20"/>
  <c r="A12730" i="20"/>
  <c r="A12729" i="20"/>
  <c r="A12728" i="20"/>
  <c r="A12727" i="20"/>
  <c r="A12726" i="20"/>
  <c r="A12725" i="20"/>
  <c r="A12724" i="20"/>
  <c r="A12723" i="20"/>
  <c r="A12722" i="20"/>
  <c r="A12721" i="20"/>
  <c r="A12720" i="20"/>
  <c r="A12719" i="20"/>
  <c r="A12718" i="20"/>
  <c r="A12717" i="20"/>
  <c r="A12716" i="20"/>
  <c r="A12715" i="20"/>
  <c r="A12714" i="20"/>
  <c r="A12713" i="20"/>
  <c r="A12712" i="20"/>
  <c r="A12711" i="20"/>
  <c r="A12710" i="20"/>
  <c r="A12709" i="20"/>
  <c r="A12708" i="20"/>
  <c r="A12707" i="20"/>
  <c r="A12706" i="20"/>
  <c r="A12705" i="20"/>
  <c r="A12704" i="20"/>
  <c r="A12703" i="20"/>
  <c r="A12702" i="20"/>
  <c r="A12701" i="20"/>
  <c r="A12700" i="20"/>
  <c r="A12699" i="20"/>
  <c r="A12698" i="20"/>
  <c r="A12697" i="20"/>
  <c r="A12696" i="20"/>
  <c r="A12695" i="20"/>
  <c r="A12694" i="20"/>
  <c r="A12693" i="20"/>
  <c r="A12692" i="20"/>
  <c r="A12691" i="20"/>
  <c r="A12690" i="20"/>
  <c r="A12689" i="20"/>
  <c r="A12688" i="20"/>
  <c r="A12687" i="20"/>
  <c r="A12686" i="20"/>
  <c r="A12685" i="20"/>
  <c r="A12684" i="20"/>
  <c r="A12683" i="20"/>
  <c r="A12682" i="20"/>
  <c r="A12681" i="20"/>
  <c r="A12680" i="20"/>
  <c r="A12679" i="20"/>
  <c r="A12678" i="20"/>
  <c r="A12677" i="20"/>
  <c r="A12676" i="20"/>
  <c r="A12675" i="20"/>
  <c r="A12674" i="20"/>
  <c r="A12673" i="20"/>
  <c r="A12672" i="20"/>
  <c r="A12671" i="20"/>
  <c r="A12670" i="20"/>
  <c r="A12669" i="20"/>
  <c r="A12668" i="20"/>
  <c r="A12667" i="20"/>
  <c r="A12666" i="20"/>
  <c r="A12665" i="20"/>
  <c r="A12664" i="20"/>
  <c r="A12663" i="20"/>
  <c r="A12662" i="20"/>
  <c r="A12661" i="20"/>
  <c r="A12660" i="20"/>
  <c r="A12659" i="20"/>
  <c r="A12658" i="20"/>
  <c r="A12657" i="20"/>
  <c r="A12656" i="20"/>
  <c r="A12655" i="20"/>
  <c r="A12654" i="20"/>
  <c r="A12653" i="20"/>
  <c r="A12652" i="20"/>
  <c r="A12651" i="20"/>
  <c r="A12650" i="20"/>
  <c r="A12649" i="20"/>
  <c r="A12648" i="20"/>
  <c r="A12647" i="20"/>
  <c r="A12646" i="20"/>
  <c r="A12645" i="20"/>
  <c r="A12644" i="20"/>
  <c r="A12643" i="20"/>
  <c r="A12642" i="20"/>
  <c r="A12641" i="20"/>
  <c r="A12640" i="20"/>
  <c r="A12639" i="20"/>
  <c r="A12638" i="20"/>
  <c r="A12637" i="20"/>
  <c r="A12636" i="20"/>
  <c r="A12635" i="20"/>
  <c r="A12634" i="20"/>
  <c r="A12633" i="20"/>
  <c r="A12632" i="20"/>
  <c r="A12631" i="20"/>
  <c r="A12630" i="20"/>
  <c r="A12629" i="20"/>
  <c r="A12628" i="20"/>
  <c r="A12627" i="20"/>
  <c r="A12626" i="20"/>
  <c r="A12625" i="20"/>
  <c r="A12624" i="20"/>
  <c r="A12623" i="20"/>
  <c r="A12622" i="20"/>
  <c r="A12621" i="20"/>
  <c r="A12620" i="20"/>
  <c r="A12619" i="20"/>
  <c r="A12618" i="20"/>
  <c r="A12617" i="20"/>
  <c r="A12616" i="20"/>
  <c r="A12615" i="20"/>
  <c r="A12614" i="20"/>
  <c r="A12613" i="20"/>
  <c r="A12612" i="20"/>
  <c r="A12611" i="20"/>
  <c r="A12610" i="20"/>
  <c r="A12609" i="20"/>
  <c r="A12608" i="20"/>
  <c r="A12607" i="20"/>
  <c r="A12606" i="20"/>
  <c r="A12605" i="20"/>
  <c r="A12604" i="20"/>
  <c r="A12603" i="20"/>
  <c r="A12602" i="20"/>
  <c r="A12601" i="20"/>
  <c r="A12600" i="20"/>
  <c r="A12599" i="20"/>
  <c r="A12598" i="20"/>
  <c r="A12597" i="20"/>
  <c r="A12596" i="20"/>
  <c r="A12595" i="20"/>
  <c r="A12594" i="20"/>
  <c r="A12593" i="20"/>
  <c r="A12592" i="20"/>
  <c r="A12591" i="20"/>
  <c r="A12590" i="20"/>
  <c r="A12589" i="20"/>
  <c r="A12588" i="20"/>
  <c r="A12587" i="20"/>
  <c r="A12586" i="20"/>
  <c r="A12585" i="20"/>
  <c r="A12584" i="20"/>
  <c r="A12583" i="20"/>
  <c r="A12582" i="20"/>
  <c r="A12581" i="20"/>
  <c r="A12580" i="20"/>
  <c r="A12579" i="20"/>
  <c r="A12578" i="20"/>
  <c r="A12577" i="20"/>
  <c r="A12576" i="20"/>
  <c r="A12575" i="20"/>
  <c r="A12574" i="20"/>
  <c r="A12573" i="20"/>
  <c r="A12572" i="20"/>
  <c r="A12571" i="20"/>
  <c r="A12570" i="20"/>
  <c r="A12569" i="20"/>
  <c r="A12568" i="20"/>
  <c r="A12567" i="20"/>
  <c r="A12566" i="20"/>
  <c r="A12565" i="20"/>
  <c r="A12564" i="20"/>
  <c r="A12563" i="20"/>
  <c r="A12562" i="20"/>
  <c r="A12561" i="20"/>
  <c r="A12560" i="20"/>
  <c r="A12559" i="20"/>
  <c r="A12558" i="20"/>
  <c r="A12557" i="20"/>
  <c r="A12556" i="20"/>
  <c r="A12555" i="20"/>
  <c r="A12554" i="20"/>
  <c r="A12553" i="20"/>
  <c r="A12552" i="20"/>
  <c r="A12551" i="20"/>
  <c r="A12550" i="20"/>
  <c r="A12549" i="20"/>
  <c r="A12548" i="20"/>
  <c r="A12547" i="20"/>
  <c r="A12546" i="20"/>
  <c r="A12545" i="20"/>
  <c r="A12544" i="20"/>
  <c r="A12543" i="20"/>
  <c r="A12542" i="20"/>
  <c r="A12541" i="20"/>
  <c r="A12540" i="20"/>
  <c r="A12539" i="20"/>
  <c r="A12538" i="20"/>
  <c r="A12537" i="20"/>
  <c r="A12536" i="20"/>
  <c r="A12535" i="20"/>
  <c r="A12534" i="20"/>
  <c r="A12533" i="20"/>
  <c r="A12532" i="20"/>
  <c r="A12531" i="20"/>
  <c r="A12530" i="20"/>
  <c r="A12529" i="20"/>
  <c r="A12528" i="20"/>
  <c r="A12527" i="20"/>
  <c r="A12526" i="20"/>
  <c r="A12525" i="20"/>
  <c r="A12524" i="20"/>
  <c r="A12523" i="20"/>
  <c r="A12522" i="20"/>
  <c r="A12521" i="20"/>
  <c r="A12520" i="20"/>
  <c r="A12519" i="20"/>
  <c r="A12518" i="20"/>
  <c r="A12517" i="20"/>
  <c r="A12516" i="20"/>
  <c r="A12515" i="20"/>
  <c r="A12514" i="20"/>
  <c r="A12513" i="20"/>
  <c r="A12512" i="20"/>
  <c r="A12511" i="20"/>
  <c r="A12510" i="20"/>
  <c r="A12509" i="20"/>
  <c r="A12508" i="20"/>
  <c r="A12507" i="20"/>
  <c r="A12506" i="20"/>
  <c r="A12505" i="20"/>
  <c r="A12504" i="20"/>
  <c r="A12503" i="20"/>
  <c r="A12502" i="20"/>
  <c r="A12501" i="20"/>
  <c r="A12500" i="20"/>
  <c r="A12499" i="20"/>
  <c r="A12498" i="20"/>
  <c r="A12497" i="20"/>
  <c r="A12496" i="20"/>
  <c r="A12495" i="20"/>
  <c r="A12494" i="20"/>
  <c r="A12493" i="20"/>
  <c r="A12492" i="20"/>
  <c r="A12491" i="20"/>
  <c r="A12490" i="20"/>
  <c r="A12489" i="20"/>
  <c r="A12488" i="20"/>
  <c r="A12487" i="20"/>
  <c r="A12486" i="20"/>
  <c r="A12485" i="20"/>
  <c r="A12484" i="20"/>
  <c r="A12483" i="20"/>
  <c r="A12482" i="20"/>
  <c r="A12481" i="20"/>
  <c r="A12480" i="20"/>
  <c r="A12479" i="20"/>
  <c r="A12478" i="20"/>
  <c r="A12477" i="20"/>
  <c r="A12476" i="20"/>
  <c r="A12475" i="20"/>
  <c r="A12474" i="20"/>
  <c r="A12473" i="20"/>
  <c r="A12472" i="20"/>
  <c r="A12471" i="20"/>
  <c r="A12470" i="20"/>
  <c r="A12469" i="20"/>
  <c r="A12468" i="20"/>
  <c r="A12467" i="20"/>
  <c r="A12466" i="20"/>
  <c r="A12465" i="20"/>
  <c r="A12464" i="20"/>
  <c r="A12463" i="20"/>
  <c r="A12462" i="20"/>
  <c r="A12461" i="20"/>
  <c r="A12460" i="20"/>
  <c r="A12459" i="20"/>
  <c r="A12458" i="20"/>
  <c r="A12457" i="20"/>
  <c r="A12456" i="20"/>
  <c r="A12455" i="20"/>
  <c r="A12454" i="20"/>
  <c r="A12453" i="20"/>
  <c r="A12452" i="20"/>
  <c r="A12451" i="20"/>
  <c r="A12450" i="20"/>
  <c r="A12449" i="20"/>
  <c r="A12448" i="20"/>
  <c r="A12447" i="20"/>
  <c r="A12446" i="20"/>
  <c r="A12445" i="20"/>
  <c r="A12444" i="20"/>
  <c r="A12443" i="20"/>
  <c r="A12442" i="20"/>
  <c r="A12441" i="20"/>
  <c r="A12440" i="20"/>
  <c r="A12439" i="20"/>
  <c r="A12438" i="20"/>
  <c r="A12437" i="20"/>
  <c r="A12436" i="20"/>
  <c r="A12435" i="20"/>
  <c r="A12434" i="20"/>
  <c r="A12433" i="20"/>
  <c r="A12432" i="20"/>
  <c r="A12431" i="20"/>
  <c r="A12430" i="20"/>
  <c r="A12429" i="20"/>
  <c r="A12428" i="20"/>
  <c r="A12427" i="20"/>
  <c r="A12426" i="20"/>
  <c r="A12425" i="20"/>
  <c r="A12424" i="20"/>
  <c r="A12423" i="20"/>
  <c r="A12422" i="20"/>
  <c r="A12421" i="20"/>
  <c r="A12420" i="20"/>
  <c r="A12419" i="20"/>
  <c r="A12418" i="20"/>
  <c r="A12417" i="20"/>
  <c r="A12416" i="20"/>
  <c r="A12415" i="20"/>
  <c r="A12414" i="20"/>
  <c r="A12413" i="20"/>
  <c r="A12412" i="20"/>
  <c r="A12411" i="20"/>
  <c r="A12410" i="20"/>
  <c r="A12409" i="20"/>
  <c r="A12408" i="20"/>
  <c r="A12407" i="20"/>
  <c r="A12406" i="20"/>
  <c r="A12405" i="20"/>
  <c r="A12404" i="20"/>
  <c r="A12403" i="20"/>
  <c r="A12402" i="20"/>
  <c r="A12401" i="20"/>
  <c r="A12400" i="20"/>
  <c r="A12399" i="20"/>
  <c r="A12398" i="20"/>
  <c r="A12397" i="20"/>
  <c r="A12396" i="20"/>
  <c r="A12395" i="20"/>
  <c r="A12394" i="20"/>
  <c r="A12393" i="20"/>
  <c r="A12392" i="20"/>
  <c r="A12391" i="20"/>
  <c r="A12390" i="20"/>
  <c r="A12389" i="20"/>
  <c r="A12388" i="20"/>
  <c r="A12387" i="20"/>
  <c r="A12386" i="20"/>
  <c r="A12385" i="20"/>
  <c r="A12384" i="20"/>
  <c r="A12383" i="20"/>
  <c r="A12382" i="20"/>
  <c r="A12381" i="20"/>
  <c r="A12380" i="20"/>
  <c r="A12379" i="20"/>
  <c r="A12378" i="20"/>
  <c r="A12377" i="20"/>
  <c r="A12376" i="20"/>
  <c r="A12375" i="20"/>
  <c r="A12374" i="20"/>
  <c r="A12373" i="20"/>
  <c r="A12372" i="20"/>
  <c r="A12371" i="20"/>
  <c r="A12370" i="20"/>
  <c r="A12369" i="20"/>
  <c r="A12368" i="20"/>
  <c r="A12367" i="20"/>
  <c r="A12366" i="20"/>
  <c r="A12365" i="20"/>
  <c r="A12364" i="20"/>
  <c r="A12363" i="20"/>
  <c r="A12362" i="20"/>
  <c r="A12361" i="20"/>
  <c r="A12360" i="20"/>
  <c r="A12359" i="20"/>
  <c r="A12358" i="20"/>
  <c r="A12357" i="20"/>
  <c r="A12356" i="20"/>
  <c r="A12355" i="20"/>
  <c r="A12354" i="20"/>
  <c r="A12353" i="20"/>
  <c r="A12352" i="20"/>
  <c r="A12351" i="20"/>
  <c r="A12350" i="20"/>
  <c r="A12349" i="20"/>
  <c r="A12348" i="20"/>
  <c r="A12347" i="20"/>
  <c r="A12346" i="20"/>
  <c r="A12345" i="20"/>
  <c r="A12344" i="20"/>
  <c r="A12343" i="20"/>
  <c r="A12342" i="20"/>
  <c r="A12341" i="20"/>
  <c r="A12340" i="20"/>
  <c r="A12339" i="20"/>
  <c r="A12338" i="20"/>
  <c r="A12337" i="20"/>
  <c r="A12336" i="20"/>
  <c r="A12335" i="20"/>
  <c r="A12334" i="20"/>
  <c r="A12333" i="20"/>
  <c r="A12332" i="20"/>
  <c r="A12331" i="20"/>
  <c r="A12330" i="20"/>
  <c r="A12329" i="20"/>
  <c r="A12328" i="20"/>
  <c r="A12327" i="20"/>
  <c r="A12326" i="20"/>
  <c r="A12325" i="20"/>
  <c r="A12324" i="20"/>
  <c r="A12323" i="20"/>
  <c r="A12322" i="20"/>
  <c r="A12321" i="20"/>
  <c r="A12320" i="20"/>
  <c r="A12319" i="20"/>
  <c r="A12318" i="20"/>
  <c r="A12317" i="20"/>
  <c r="A12316" i="20"/>
  <c r="A12315" i="20"/>
  <c r="A12314" i="20"/>
  <c r="A12313" i="20"/>
  <c r="A12312" i="20"/>
  <c r="A12311" i="20"/>
  <c r="A12310" i="20"/>
  <c r="A12309" i="20"/>
  <c r="A12308" i="20"/>
  <c r="A12307" i="20"/>
  <c r="A12306" i="20"/>
  <c r="A12305" i="20"/>
  <c r="A12304" i="20"/>
  <c r="A12303" i="20"/>
  <c r="A12302" i="20"/>
  <c r="A12301" i="20"/>
  <c r="A12300" i="20"/>
  <c r="A12299" i="20"/>
  <c r="A12298" i="20"/>
  <c r="A12297" i="20"/>
  <c r="A12296" i="20"/>
  <c r="A12295" i="20"/>
  <c r="A12294" i="20"/>
  <c r="A12293" i="20"/>
  <c r="A12292" i="20"/>
  <c r="A12291" i="20"/>
  <c r="A12290" i="20"/>
  <c r="A12289" i="20"/>
  <c r="A12288" i="20"/>
  <c r="A12287" i="20"/>
  <c r="A12286" i="20"/>
  <c r="A12285" i="20"/>
  <c r="A12284" i="20"/>
  <c r="A12283" i="20"/>
  <c r="A12282" i="20"/>
  <c r="A12281" i="20"/>
  <c r="A12280" i="20"/>
  <c r="A12279" i="20"/>
  <c r="A12278" i="20"/>
  <c r="A12277" i="20"/>
  <c r="A12276" i="20"/>
  <c r="A12275" i="20"/>
  <c r="A12274" i="20"/>
  <c r="A12273" i="20"/>
  <c r="A12272" i="20"/>
  <c r="A12271" i="20"/>
  <c r="A12270" i="20"/>
  <c r="A12269" i="20"/>
  <c r="A12268" i="20"/>
  <c r="A12267" i="20"/>
  <c r="A12266" i="20"/>
  <c r="A12265" i="20"/>
  <c r="A12264" i="20"/>
  <c r="A12263" i="20"/>
  <c r="A12262" i="20"/>
  <c r="A12261" i="20"/>
  <c r="A12260" i="20"/>
  <c r="A12259" i="20"/>
  <c r="A12258" i="20"/>
  <c r="A12257" i="20"/>
  <c r="A12256" i="20"/>
  <c r="A12255" i="20"/>
  <c r="A12254" i="20"/>
  <c r="A12253" i="20"/>
  <c r="A12252" i="20"/>
  <c r="A12251" i="20"/>
  <c r="A12250" i="20"/>
  <c r="A12249" i="20"/>
  <c r="A12248" i="20"/>
  <c r="A12247" i="20"/>
  <c r="A12246" i="20"/>
  <c r="A12245" i="20"/>
  <c r="A12244" i="20"/>
  <c r="A12243" i="20"/>
  <c r="A12242" i="20"/>
  <c r="A12241" i="20"/>
  <c r="A12240" i="20"/>
  <c r="A12239" i="20"/>
  <c r="A12238" i="20"/>
  <c r="A12237" i="20"/>
  <c r="A12236" i="20"/>
  <c r="A12235" i="20"/>
  <c r="A12234" i="20"/>
  <c r="A12233" i="20"/>
  <c r="A12232" i="20"/>
  <c r="A12231" i="20"/>
  <c r="A12230" i="20"/>
  <c r="A12229" i="20"/>
  <c r="A12228" i="20"/>
  <c r="A12227" i="20"/>
  <c r="A12226" i="20"/>
  <c r="A12225" i="20"/>
  <c r="A12224" i="20"/>
  <c r="A12223" i="20"/>
  <c r="A12222" i="20"/>
  <c r="A12221" i="20"/>
  <c r="A12220" i="20"/>
  <c r="A12219" i="20"/>
  <c r="A12218" i="20"/>
  <c r="A12217" i="20"/>
  <c r="A12216" i="20"/>
  <c r="A12215" i="20"/>
  <c r="A12214" i="20"/>
  <c r="A12213" i="20"/>
  <c r="A12212" i="20"/>
  <c r="A12211" i="20"/>
  <c r="A12210" i="20"/>
  <c r="A12209" i="20"/>
  <c r="A12208" i="20"/>
  <c r="A12207" i="20"/>
  <c r="A12206" i="20"/>
  <c r="A12205" i="20"/>
  <c r="A12204" i="20"/>
  <c r="A12203" i="20"/>
  <c r="A12202" i="20"/>
  <c r="A12201" i="20"/>
  <c r="A12200" i="20"/>
  <c r="A12199" i="20"/>
  <c r="A12198" i="20"/>
  <c r="A12197" i="20"/>
  <c r="A12196" i="20"/>
  <c r="A12195" i="20"/>
  <c r="A12194" i="20"/>
  <c r="A12193" i="20"/>
  <c r="A12192" i="20"/>
  <c r="A12191" i="20"/>
  <c r="A12190" i="20"/>
  <c r="A12189" i="20"/>
  <c r="A12188" i="20"/>
  <c r="A12187" i="20"/>
  <c r="A12186" i="20"/>
  <c r="A12185" i="20"/>
  <c r="A12184" i="20"/>
  <c r="A12183" i="20"/>
  <c r="A12182" i="20"/>
  <c r="A12181" i="20"/>
  <c r="A12180" i="20"/>
  <c r="A12179" i="20"/>
  <c r="A12178" i="20"/>
  <c r="A12177" i="20"/>
  <c r="A12176" i="20"/>
  <c r="A12175" i="20"/>
  <c r="A12174" i="20"/>
  <c r="A12173" i="20"/>
  <c r="A12172" i="20"/>
  <c r="A12171" i="20"/>
  <c r="A12170" i="20"/>
  <c r="A12169" i="20"/>
  <c r="A12168" i="20"/>
  <c r="A12167" i="20"/>
  <c r="A12166" i="20"/>
  <c r="A12165" i="20"/>
  <c r="A12164" i="20"/>
  <c r="A12163" i="20"/>
  <c r="A12162" i="20"/>
  <c r="A12161" i="20"/>
  <c r="A12160" i="20"/>
  <c r="A12159" i="20"/>
  <c r="A12158" i="20"/>
  <c r="A12157" i="20"/>
  <c r="A12156" i="20"/>
  <c r="A12155" i="20"/>
  <c r="A12154" i="20"/>
  <c r="A12153" i="20"/>
  <c r="A12152" i="20"/>
  <c r="A12151" i="20"/>
  <c r="A12150" i="20"/>
  <c r="A12149" i="20"/>
  <c r="A12148" i="20"/>
  <c r="A12147" i="20"/>
  <c r="A12146" i="20"/>
  <c r="A12145" i="20"/>
  <c r="A12144" i="20"/>
  <c r="A12143" i="20"/>
  <c r="A12142" i="20"/>
  <c r="A12141" i="20"/>
  <c r="A12140" i="20"/>
  <c r="A12139" i="20"/>
  <c r="A12138" i="20"/>
  <c r="A12137" i="20"/>
  <c r="A12136" i="20"/>
  <c r="A12135" i="20"/>
  <c r="A12134" i="20"/>
  <c r="A12133" i="20"/>
  <c r="A12132" i="20"/>
  <c r="A12131" i="20"/>
  <c r="A12130" i="20"/>
  <c r="A12129" i="20"/>
  <c r="A12128" i="20"/>
  <c r="A12127" i="20"/>
  <c r="A12126" i="20"/>
  <c r="A12125" i="20"/>
  <c r="A12124" i="20"/>
  <c r="A12123" i="20"/>
  <c r="A12122" i="20"/>
  <c r="A12121" i="20"/>
  <c r="A12120" i="20"/>
  <c r="A12119" i="20"/>
  <c r="A12118" i="20"/>
  <c r="A12117" i="20"/>
  <c r="A12116" i="20"/>
  <c r="A12115" i="20"/>
  <c r="A12114" i="20"/>
  <c r="A12113" i="20"/>
  <c r="A12112" i="20"/>
  <c r="A12111" i="20"/>
  <c r="A12110" i="20"/>
  <c r="A12109" i="20"/>
  <c r="A12108" i="20"/>
  <c r="A12107" i="20"/>
  <c r="A12106" i="20"/>
  <c r="A12105" i="20"/>
  <c r="A12104" i="20"/>
  <c r="A12103" i="20"/>
  <c r="A12102" i="20"/>
  <c r="A12101" i="20"/>
  <c r="A12100" i="20"/>
  <c r="A12099" i="20"/>
  <c r="A12098" i="20"/>
  <c r="A12097" i="20"/>
  <c r="A12096" i="20"/>
  <c r="A12095" i="20"/>
  <c r="A12094" i="20"/>
  <c r="A12093" i="20"/>
  <c r="A12092" i="20"/>
  <c r="A12091" i="20"/>
  <c r="A12090" i="20"/>
  <c r="A12089" i="20"/>
  <c r="A12088" i="20"/>
  <c r="A12087" i="20"/>
  <c r="A12086" i="20"/>
  <c r="A12085" i="20"/>
  <c r="A12084" i="20"/>
  <c r="A12083" i="20"/>
  <c r="A12082" i="20"/>
  <c r="A12081" i="20"/>
  <c r="A12080" i="20"/>
  <c r="A12079" i="20"/>
  <c r="A12078" i="20"/>
  <c r="A12077" i="20"/>
  <c r="A12076" i="20"/>
  <c r="A12075" i="20"/>
  <c r="A12074" i="20"/>
  <c r="A12073" i="20"/>
  <c r="A12072" i="20"/>
  <c r="A12071" i="20"/>
  <c r="A12070" i="20"/>
  <c r="A12069" i="20"/>
  <c r="A12068" i="20"/>
  <c r="A12067" i="20"/>
  <c r="A12066" i="20"/>
  <c r="A12065" i="20"/>
  <c r="A12064" i="20"/>
  <c r="A12063" i="20"/>
  <c r="A12062" i="20"/>
  <c r="A12061" i="20"/>
  <c r="A12060" i="20"/>
  <c r="A12059" i="20"/>
  <c r="A12058" i="20"/>
  <c r="A12057" i="20"/>
  <c r="A12056" i="20"/>
  <c r="A12055" i="20"/>
  <c r="A12054" i="20"/>
  <c r="A12053" i="20"/>
  <c r="A12052" i="20"/>
  <c r="A12051" i="20"/>
  <c r="A12050" i="20"/>
  <c r="A12049" i="20"/>
  <c r="A12048" i="20"/>
  <c r="A12047" i="20"/>
  <c r="A12046" i="20"/>
  <c r="A12045" i="20"/>
  <c r="A12044" i="20"/>
  <c r="A12043" i="20"/>
  <c r="A12042" i="20"/>
  <c r="A12041" i="20"/>
  <c r="A12040" i="20"/>
  <c r="A12039" i="20"/>
  <c r="A12038" i="20"/>
  <c r="A12037" i="20"/>
  <c r="A12036" i="20"/>
  <c r="A12035" i="20"/>
  <c r="A12034" i="20"/>
  <c r="A12033" i="20"/>
  <c r="A12032" i="20"/>
  <c r="A12031" i="20"/>
  <c r="A12030" i="20"/>
  <c r="A12029" i="20"/>
  <c r="A12028" i="20"/>
  <c r="A12027" i="20"/>
  <c r="A12026" i="20"/>
  <c r="A12025" i="20"/>
  <c r="A12024" i="20"/>
  <c r="A12023" i="20"/>
  <c r="A12022" i="20"/>
  <c r="A12021" i="20"/>
  <c r="A12020" i="20"/>
  <c r="A12019" i="20"/>
  <c r="A12018" i="20"/>
  <c r="A12017" i="20"/>
  <c r="A12016" i="20"/>
  <c r="A12015" i="20"/>
  <c r="A12014" i="20"/>
  <c r="A12013" i="20"/>
  <c r="A12012" i="20"/>
  <c r="A12011" i="20"/>
  <c r="A12010" i="20"/>
  <c r="A12009" i="20"/>
  <c r="A12008" i="20"/>
  <c r="A12007" i="20"/>
  <c r="A12006" i="20"/>
  <c r="A12005" i="20"/>
  <c r="A12004" i="20"/>
  <c r="A12003" i="20"/>
  <c r="A12002" i="20"/>
  <c r="A12001" i="20"/>
  <c r="A12000" i="20"/>
  <c r="A11999" i="20"/>
  <c r="A11998" i="20"/>
  <c r="A11997" i="20"/>
  <c r="A11996" i="20"/>
  <c r="A11995" i="20"/>
  <c r="A11994" i="20"/>
  <c r="A11993" i="20"/>
  <c r="A11992" i="20"/>
  <c r="A11991" i="20"/>
  <c r="A11990" i="20"/>
  <c r="A11989" i="20"/>
  <c r="A11988" i="20"/>
  <c r="A11987" i="20"/>
  <c r="A11986" i="20"/>
  <c r="A11985" i="20"/>
  <c r="A11984" i="20"/>
  <c r="A11983" i="20"/>
  <c r="A11982" i="20"/>
  <c r="A11981" i="20"/>
  <c r="A11980" i="20"/>
  <c r="A11979" i="20"/>
  <c r="A11978" i="20"/>
  <c r="A11977" i="20"/>
  <c r="A11976" i="20"/>
  <c r="A11975" i="20"/>
  <c r="A11974" i="20"/>
  <c r="A11973" i="20"/>
  <c r="A11972" i="20"/>
  <c r="A11971" i="20"/>
  <c r="A11970" i="20"/>
  <c r="A11969" i="20"/>
  <c r="A11968" i="20"/>
  <c r="A11967" i="20"/>
  <c r="A11966" i="20"/>
  <c r="A11965" i="20"/>
  <c r="A11964" i="20"/>
  <c r="A11963" i="20"/>
  <c r="A11962" i="20"/>
  <c r="A11961" i="20"/>
  <c r="A11960" i="20"/>
  <c r="A11959" i="20"/>
  <c r="A11958" i="20"/>
  <c r="A11957" i="20"/>
  <c r="A11956" i="20"/>
  <c r="A11955" i="20"/>
  <c r="A11954" i="20"/>
  <c r="A11953" i="20"/>
  <c r="A11952" i="20"/>
  <c r="A11951" i="20"/>
  <c r="A11950" i="20"/>
  <c r="A11949" i="20"/>
  <c r="A11948" i="20"/>
  <c r="A11947" i="20"/>
  <c r="A11946" i="20"/>
  <c r="A11945" i="20"/>
  <c r="A11944" i="20"/>
  <c r="A11943" i="20"/>
  <c r="A11942" i="20"/>
  <c r="A11941" i="20"/>
  <c r="A11940" i="20"/>
  <c r="A11939" i="20"/>
  <c r="A11938" i="20"/>
  <c r="A11937" i="20"/>
  <c r="A11936" i="20"/>
  <c r="A11935" i="20"/>
  <c r="A11934" i="20"/>
  <c r="A11933" i="20"/>
  <c r="A11932" i="20"/>
  <c r="A11931" i="20"/>
  <c r="A11930" i="20"/>
  <c r="A11929" i="20"/>
  <c r="A11928" i="20"/>
  <c r="A11927" i="20"/>
  <c r="A11926" i="20"/>
  <c r="A11925" i="20"/>
  <c r="A11924" i="20"/>
  <c r="A11923" i="20"/>
  <c r="A11922" i="20"/>
  <c r="A11921" i="20"/>
  <c r="A11920" i="20"/>
  <c r="A11919" i="20"/>
  <c r="A11918" i="20"/>
  <c r="A11917" i="20"/>
  <c r="A11916" i="20"/>
  <c r="A11915" i="20"/>
  <c r="A11914" i="20"/>
  <c r="A11913" i="20"/>
  <c r="A11912" i="20"/>
  <c r="A11911" i="20"/>
  <c r="A11910" i="20"/>
  <c r="A11909" i="20"/>
  <c r="A11908" i="20"/>
  <c r="A11907" i="20"/>
  <c r="A11906" i="20"/>
  <c r="A11905" i="20"/>
  <c r="A11904" i="20"/>
  <c r="A11903" i="20"/>
  <c r="A11902" i="20"/>
  <c r="A11901" i="20"/>
  <c r="A11900" i="20"/>
  <c r="A11899" i="20"/>
  <c r="A11898" i="20"/>
  <c r="A11897" i="20"/>
  <c r="A11896" i="20"/>
  <c r="A11895" i="20"/>
  <c r="A11894" i="20"/>
  <c r="A11893" i="20"/>
  <c r="A11892" i="20"/>
  <c r="A11891" i="20"/>
  <c r="A11890" i="20"/>
  <c r="A11889" i="20"/>
  <c r="A11888" i="20"/>
  <c r="A11887" i="20"/>
  <c r="A11886" i="20"/>
  <c r="A11885" i="20"/>
  <c r="A11884" i="20"/>
  <c r="A11883" i="20"/>
  <c r="A11882" i="20"/>
  <c r="A11881" i="20"/>
  <c r="A11880" i="20"/>
  <c r="A11879" i="20"/>
  <c r="A11878" i="20"/>
  <c r="A11877" i="20"/>
  <c r="A11876" i="20"/>
  <c r="A11875" i="20"/>
  <c r="A11874" i="20"/>
  <c r="A11873" i="20"/>
  <c r="A11872" i="20"/>
  <c r="A11871" i="20"/>
  <c r="A11870" i="20"/>
  <c r="A11869" i="20"/>
  <c r="A11868" i="20"/>
  <c r="A11867" i="20"/>
  <c r="A11866" i="20"/>
  <c r="A11865" i="20"/>
  <c r="A11864" i="20"/>
  <c r="A11863" i="20"/>
  <c r="A11862" i="20"/>
  <c r="A11861" i="20"/>
  <c r="A11860" i="20"/>
  <c r="A11859" i="20"/>
  <c r="A11858" i="20"/>
  <c r="A11857" i="20"/>
  <c r="A11856" i="20"/>
  <c r="A11855" i="20"/>
  <c r="A11854" i="20"/>
  <c r="A11853" i="20"/>
  <c r="A11852" i="20"/>
  <c r="A11851" i="20"/>
  <c r="A11850" i="20"/>
  <c r="A11849" i="20"/>
  <c r="A11848" i="20"/>
  <c r="A11847" i="20"/>
  <c r="A11846" i="20"/>
  <c r="A11845" i="20"/>
  <c r="A11844" i="20"/>
  <c r="A11843" i="20"/>
  <c r="A11842" i="20"/>
  <c r="A11841" i="20"/>
  <c r="A11840" i="20"/>
  <c r="A11839" i="20"/>
  <c r="A11838" i="20"/>
  <c r="A11837" i="20"/>
  <c r="A11836" i="20"/>
  <c r="A11835" i="20"/>
  <c r="A11834" i="20"/>
  <c r="A11833" i="20"/>
  <c r="A11832" i="20"/>
  <c r="A11831" i="20"/>
  <c r="A11830" i="20"/>
  <c r="A11829" i="20"/>
  <c r="A11828" i="20"/>
  <c r="A11827" i="20"/>
  <c r="A11826" i="20"/>
  <c r="A11825" i="20"/>
  <c r="A11824" i="20"/>
  <c r="A11823" i="20"/>
  <c r="A11822" i="20"/>
  <c r="A11821" i="20"/>
  <c r="A11820" i="20"/>
  <c r="A11819" i="20"/>
  <c r="A11818" i="20"/>
  <c r="A11817" i="20"/>
  <c r="A11816" i="20"/>
  <c r="A11815" i="20"/>
  <c r="A11814" i="20"/>
  <c r="A11813" i="20"/>
  <c r="A11812" i="20"/>
  <c r="A11811" i="20"/>
  <c r="A11810" i="20"/>
  <c r="A11809" i="20"/>
  <c r="A11808" i="20"/>
  <c r="A11807" i="20"/>
  <c r="A11806" i="20"/>
  <c r="A11805" i="20"/>
  <c r="A11804" i="20"/>
  <c r="A11803" i="20"/>
  <c r="A11802" i="20"/>
  <c r="A11801" i="20"/>
  <c r="A11800" i="20"/>
  <c r="A11799" i="20"/>
  <c r="A11798" i="20"/>
  <c r="A11797" i="20"/>
  <c r="A11796" i="20"/>
  <c r="A11795" i="20"/>
  <c r="A11794" i="20"/>
  <c r="A11793" i="20"/>
  <c r="A11792" i="20"/>
  <c r="A11791" i="20"/>
  <c r="A11790" i="20"/>
  <c r="A11789" i="20"/>
  <c r="A11788" i="20"/>
  <c r="A11787" i="20"/>
  <c r="A11786" i="20"/>
  <c r="A11785" i="20"/>
  <c r="A11784" i="20"/>
  <c r="A11783" i="20"/>
  <c r="A11782" i="20"/>
  <c r="A11781" i="20"/>
  <c r="A11780" i="20"/>
  <c r="A11779" i="20"/>
  <c r="A11778" i="20"/>
  <c r="A11777" i="20"/>
  <c r="A11776" i="20"/>
  <c r="A11775" i="20"/>
  <c r="A11774" i="20"/>
  <c r="A11773" i="20"/>
  <c r="A11772" i="20"/>
  <c r="A11771" i="20"/>
  <c r="A11770" i="20"/>
  <c r="A11769" i="20"/>
  <c r="A11768" i="20"/>
  <c r="A11767" i="20"/>
  <c r="A11766" i="20"/>
  <c r="A11765" i="20"/>
  <c r="A11764" i="20"/>
  <c r="A11763" i="20"/>
  <c r="A11762" i="20"/>
  <c r="A11761" i="20"/>
  <c r="A11760" i="20"/>
  <c r="A11759" i="20"/>
  <c r="A11758" i="20"/>
  <c r="A11757" i="20"/>
  <c r="A11756" i="20"/>
  <c r="A11755" i="20"/>
  <c r="A11754" i="20"/>
  <c r="A11753" i="20"/>
  <c r="A11752" i="20"/>
  <c r="A11751" i="20"/>
  <c r="A11750" i="20"/>
  <c r="A11749" i="20"/>
  <c r="A11748" i="20"/>
  <c r="A11747" i="20"/>
  <c r="A11746" i="20"/>
  <c r="A11745" i="20"/>
  <c r="A11744" i="20"/>
  <c r="A11743" i="20"/>
  <c r="A11742" i="20"/>
  <c r="A11741" i="20"/>
  <c r="A11740" i="20"/>
  <c r="A11739" i="20"/>
  <c r="A11738" i="20"/>
  <c r="A11737" i="20"/>
  <c r="A11736" i="20"/>
  <c r="A11735" i="20"/>
  <c r="A11734" i="20"/>
  <c r="A11733" i="20"/>
  <c r="A11732" i="20"/>
  <c r="A11731" i="20"/>
  <c r="A11730" i="20"/>
  <c r="A11729" i="20"/>
  <c r="A11728" i="20"/>
  <c r="A11727" i="20"/>
  <c r="A11726" i="20"/>
  <c r="A11725" i="20"/>
  <c r="A11724" i="20"/>
  <c r="A11723" i="20"/>
  <c r="A11722" i="20"/>
  <c r="A11721" i="20"/>
  <c r="A11720" i="20"/>
  <c r="A11719" i="20"/>
  <c r="A11718" i="20"/>
  <c r="A11717" i="20"/>
  <c r="A11716" i="20"/>
  <c r="A11715" i="20"/>
  <c r="A11714" i="20"/>
  <c r="A11713" i="20"/>
  <c r="A11712" i="20"/>
  <c r="A11711" i="20"/>
  <c r="A11710" i="20"/>
  <c r="A11709" i="20"/>
  <c r="A11708" i="20"/>
  <c r="A11707" i="20"/>
  <c r="A11706" i="20"/>
  <c r="A11705" i="20"/>
  <c r="A11704" i="20"/>
  <c r="A11703" i="20"/>
  <c r="A11702" i="20"/>
  <c r="A11701" i="20"/>
  <c r="A11700" i="20"/>
  <c r="A11699" i="20"/>
  <c r="A11698" i="20"/>
  <c r="A11697" i="20"/>
  <c r="A11696" i="20"/>
  <c r="A11695" i="20"/>
  <c r="A11694" i="20"/>
  <c r="A11693" i="20"/>
  <c r="A11692" i="20"/>
  <c r="A11691" i="20"/>
  <c r="A11690" i="20"/>
  <c r="A11689" i="20"/>
  <c r="A11688" i="20"/>
  <c r="A11687" i="20"/>
  <c r="A11686" i="20"/>
  <c r="A11685" i="20"/>
  <c r="A11684" i="20"/>
  <c r="A11683" i="20"/>
  <c r="A11682" i="20"/>
  <c r="A11681" i="20"/>
  <c r="A11680" i="20"/>
  <c r="A11679" i="20"/>
  <c r="A11678" i="20"/>
  <c r="A11677" i="20"/>
  <c r="A11676" i="20"/>
  <c r="A11675" i="20"/>
  <c r="A11674" i="20"/>
  <c r="A11673" i="20"/>
  <c r="A11672" i="20"/>
  <c r="A11671" i="20"/>
  <c r="A11670" i="20"/>
  <c r="A11669" i="20"/>
  <c r="A11668" i="20"/>
  <c r="A11667" i="20"/>
  <c r="A11666" i="20"/>
  <c r="A11665" i="20"/>
  <c r="A11664" i="20"/>
  <c r="A11663" i="20"/>
  <c r="A11662" i="20"/>
  <c r="A11661" i="20"/>
  <c r="A11660" i="20"/>
  <c r="A11659" i="20"/>
  <c r="A11658" i="20"/>
  <c r="A11657" i="20"/>
  <c r="A11656" i="20"/>
  <c r="A11655" i="20"/>
  <c r="A11654" i="20"/>
  <c r="A11653" i="20"/>
  <c r="A11652" i="20"/>
  <c r="A11651" i="20"/>
  <c r="A11650" i="20"/>
  <c r="A11649" i="20"/>
  <c r="A11648" i="20"/>
  <c r="A11647" i="20"/>
  <c r="A11646" i="20"/>
  <c r="A11645" i="20"/>
  <c r="A11644" i="20"/>
  <c r="A11643" i="20"/>
  <c r="A11642" i="20"/>
  <c r="A11641" i="20"/>
  <c r="A11640" i="20"/>
  <c r="A11639" i="20"/>
  <c r="A11638" i="20"/>
  <c r="A11637" i="20"/>
  <c r="A11636" i="20"/>
  <c r="A11635" i="20"/>
  <c r="A11634" i="20"/>
  <c r="A11633" i="20"/>
  <c r="A11632" i="20"/>
  <c r="A11631" i="20"/>
  <c r="A11630" i="20"/>
  <c r="A11629" i="20"/>
  <c r="A11628" i="20"/>
  <c r="A11627" i="20"/>
  <c r="A11626" i="20"/>
  <c r="A11625" i="20"/>
  <c r="A11624" i="20"/>
  <c r="A11623" i="20"/>
  <c r="A11622" i="20"/>
  <c r="A11621" i="20"/>
  <c r="A11620" i="20"/>
  <c r="A11619" i="20"/>
  <c r="A11618" i="20"/>
  <c r="A11617" i="20"/>
  <c r="A11616" i="20"/>
  <c r="A11615" i="20"/>
  <c r="A11614" i="20"/>
  <c r="A11613" i="20"/>
  <c r="A11612" i="20"/>
  <c r="A11611" i="20"/>
  <c r="A11610" i="20"/>
  <c r="A11609" i="20"/>
  <c r="A11608" i="20"/>
  <c r="A11607" i="20"/>
  <c r="A11606" i="20"/>
  <c r="A11605" i="20"/>
  <c r="A11604" i="20"/>
  <c r="A11603" i="20"/>
  <c r="A11602" i="20"/>
  <c r="A11601" i="20"/>
  <c r="A11600" i="20"/>
  <c r="A11599" i="20"/>
  <c r="A11598" i="20"/>
  <c r="A11597" i="20"/>
  <c r="A11596" i="20"/>
  <c r="A11595" i="20"/>
  <c r="A11594" i="20"/>
  <c r="A11593" i="20"/>
  <c r="A11592" i="20"/>
  <c r="A11591" i="20"/>
  <c r="A11590" i="20"/>
  <c r="A11589" i="20"/>
  <c r="A11588" i="20"/>
  <c r="A11587" i="20"/>
  <c r="A11586" i="20"/>
  <c r="A11585" i="20"/>
  <c r="A11584" i="20"/>
  <c r="A11583" i="20"/>
  <c r="A11582" i="20"/>
  <c r="A11581" i="20"/>
  <c r="A11580" i="20"/>
  <c r="A11579" i="20"/>
  <c r="A11578" i="20"/>
  <c r="A11577" i="20"/>
  <c r="A11576" i="20"/>
  <c r="A11575" i="20"/>
  <c r="A11574" i="20"/>
  <c r="A11573" i="20"/>
  <c r="A11572" i="20"/>
  <c r="A11571" i="20"/>
  <c r="A11570" i="20"/>
  <c r="A11569" i="20"/>
  <c r="A11568" i="20"/>
  <c r="A11567" i="20"/>
  <c r="A11566" i="20"/>
  <c r="A11565" i="20"/>
  <c r="A11564" i="20"/>
  <c r="A11563" i="20"/>
  <c r="A11562" i="20"/>
  <c r="A11561" i="20"/>
  <c r="A11560" i="20"/>
  <c r="A11559" i="20"/>
  <c r="A11558" i="20"/>
  <c r="A11557" i="20"/>
  <c r="A11556" i="20"/>
  <c r="A11555" i="20"/>
  <c r="A11554" i="20"/>
  <c r="A11553" i="20"/>
  <c r="A11552" i="20"/>
  <c r="A11551" i="20"/>
  <c r="A11550" i="20"/>
  <c r="A11549" i="20"/>
  <c r="A11548" i="20"/>
  <c r="A11547" i="20"/>
  <c r="A11546" i="20"/>
  <c r="A11545" i="20"/>
  <c r="A11544" i="20"/>
  <c r="A11543" i="20"/>
  <c r="A11542" i="20"/>
  <c r="A11541" i="20"/>
  <c r="A11540" i="20"/>
  <c r="A11539" i="20"/>
  <c r="A11538" i="20"/>
  <c r="A11537" i="20"/>
  <c r="A11536" i="20"/>
  <c r="A11535" i="20"/>
  <c r="A11534" i="20"/>
  <c r="A11533" i="20"/>
  <c r="A11532" i="20"/>
  <c r="A11531" i="20"/>
  <c r="A11530" i="20"/>
  <c r="A11529" i="20"/>
  <c r="A11528" i="20"/>
  <c r="A11527" i="20"/>
  <c r="A11526" i="20"/>
  <c r="A11525" i="20"/>
  <c r="A11524" i="20"/>
  <c r="A11523" i="20"/>
  <c r="A11522" i="20"/>
  <c r="A11521" i="20"/>
  <c r="A11520" i="20"/>
  <c r="A11519" i="20"/>
  <c r="A11518" i="20"/>
  <c r="A11517" i="20"/>
  <c r="A11516" i="20"/>
  <c r="A11515" i="20"/>
  <c r="A11514" i="20"/>
  <c r="A11513" i="20"/>
  <c r="A11512" i="20"/>
  <c r="A11511" i="20"/>
  <c r="A11510" i="20"/>
  <c r="A11509" i="20"/>
  <c r="A11508" i="20"/>
  <c r="A11507" i="20"/>
  <c r="A11506" i="20"/>
  <c r="A11505" i="20"/>
  <c r="A11504" i="20"/>
  <c r="A11503" i="20"/>
  <c r="A11502" i="20"/>
  <c r="A11501" i="20"/>
  <c r="A11500" i="20"/>
  <c r="A11499" i="20"/>
  <c r="A11498" i="20"/>
  <c r="A11497" i="20"/>
  <c r="A11496" i="20"/>
  <c r="A11495" i="20"/>
  <c r="A11494" i="20"/>
  <c r="A11493" i="20"/>
  <c r="A11492" i="20"/>
  <c r="A11491" i="20"/>
  <c r="A11490" i="20"/>
  <c r="A11489" i="20"/>
  <c r="A11488" i="20"/>
  <c r="A11487" i="20"/>
  <c r="A11486" i="20"/>
  <c r="A11485" i="20"/>
  <c r="A11484" i="20"/>
  <c r="A11483" i="20"/>
  <c r="A11482" i="20"/>
  <c r="A11481" i="20"/>
  <c r="A11480" i="20"/>
  <c r="A11479" i="20"/>
  <c r="A11478" i="20"/>
  <c r="A11477" i="20"/>
  <c r="A11476" i="20"/>
  <c r="A11475" i="20"/>
  <c r="A11474" i="20"/>
  <c r="A11473" i="20"/>
  <c r="A11472" i="20"/>
  <c r="A11471" i="20"/>
  <c r="A11470" i="20"/>
  <c r="A11469" i="20"/>
  <c r="A11468" i="20"/>
  <c r="A11467" i="20"/>
  <c r="A11466" i="20"/>
  <c r="A11465" i="20"/>
  <c r="A11464" i="20"/>
  <c r="A11463" i="20"/>
  <c r="A11462" i="20"/>
  <c r="A11461" i="20"/>
  <c r="A11460" i="20"/>
  <c r="A11459" i="20"/>
  <c r="A11458" i="20"/>
  <c r="A11457" i="20"/>
  <c r="A11456" i="20"/>
  <c r="A11455" i="20"/>
  <c r="A11454" i="20"/>
  <c r="A11453" i="20"/>
  <c r="A11452" i="20"/>
  <c r="A11451" i="20"/>
  <c r="A11450" i="20"/>
  <c r="A11449" i="20"/>
  <c r="A11448" i="20"/>
  <c r="A11447" i="20"/>
  <c r="A11446" i="20"/>
  <c r="A11445" i="20"/>
  <c r="A11444" i="20"/>
  <c r="A11443" i="20"/>
  <c r="A11442" i="20"/>
  <c r="A11441" i="20"/>
  <c r="A11440" i="20"/>
  <c r="A11439" i="20"/>
  <c r="A11438" i="20"/>
  <c r="A11437" i="20"/>
  <c r="A11436" i="20"/>
  <c r="A11435" i="20"/>
  <c r="A11434" i="20"/>
  <c r="A11433" i="20"/>
  <c r="A11432" i="20"/>
  <c r="A11431" i="20"/>
  <c r="A11430" i="20"/>
  <c r="A11429" i="20"/>
  <c r="A11428" i="20"/>
  <c r="A11427" i="20"/>
  <c r="A11426" i="20"/>
  <c r="A11425" i="20"/>
  <c r="A11424" i="20"/>
  <c r="A11423" i="20"/>
  <c r="A11422" i="20"/>
  <c r="A11421" i="20"/>
  <c r="A11420" i="20"/>
  <c r="A11419" i="20"/>
  <c r="A11418" i="20"/>
  <c r="A11417" i="20"/>
  <c r="A11416" i="20"/>
  <c r="A11415" i="20"/>
  <c r="A11414" i="20"/>
  <c r="A11413" i="20"/>
  <c r="A11412" i="20"/>
  <c r="A11411" i="20"/>
  <c r="A11410" i="20"/>
  <c r="A11409" i="20"/>
  <c r="A11408" i="20"/>
  <c r="A11407" i="20"/>
  <c r="A11406" i="20"/>
  <c r="A11405" i="20"/>
  <c r="A11404" i="20"/>
  <c r="A11403" i="20"/>
  <c r="A11402" i="20"/>
  <c r="A11401" i="20"/>
  <c r="A11400" i="20"/>
  <c r="A11399" i="20"/>
  <c r="A11398" i="20"/>
  <c r="A11397" i="20"/>
  <c r="A11396" i="20"/>
  <c r="A11395" i="20"/>
  <c r="A11394" i="20"/>
  <c r="A11393" i="20"/>
  <c r="A11392" i="20"/>
  <c r="A11391" i="20"/>
  <c r="A11390" i="20"/>
  <c r="A11389" i="20"/>
  <c r="A11388" i="20"/>
  <c r="A11387" i="20"/>
  <c r="A11386" i="20"/>
  <c r="A11385" i="20"/>
  <c r="A11384" i="20"/>
  <c r="A11383" i="20"/>
  <c r="A11382" i="20"/>
  <c r="A11381" i="20"/>
  <c r="A11380" i="20"/>
  <c r="A11379" i="20"/>
  <c r="A11378" i="20"/>
  <c r="A11377" i="20"/>
  <c r="A11376" i="20"/>
  <c r="A11375" i="20"/>
  <c r="A11374" i="20"/>
  <c r="A11373" i="20"/>
  <c r="A11372" i="20"/>
  <c r="A11371" i="20"/>
  <c r="A11370" i="20"/>
  <c r="A11369" i="20"/>
  <c r="A11368" i="20"/>
  <c r="A11367" i="20"/>
  <c r="A11366" i="20"/>
  <c r="A11365" i="20"/>
  <c r="A11364" i="20"/>
  <c r="A11363" i="20"/>
  <c r="A11362" i="20"/>
  <c r="A11361" i="20"/>
  <c r="A11360" i="20"/>
  <c r="A11359" i="20"/>
  <c r="A11358" i="20"/>
  <c r="A11357" i="20"/>
  <c r="A11356" i="20"/>
  <c r="A11355" i="20"/>
  <c r="A11354" i="20"/>
  <c r="A11353" i="20"/>
  <c r="A11352" i="20"/>
  <c r="A11351" i="20"/>
  <c r="A11350" i="20"/>
  <c r="A11349" i="20"/>
  <c r="A11348" i="20"/>
  <c r="A11347" i="20"/>
  <c r="A11346" i="20"/>
  <c r="A11345" i="20"/>
  <c r="A11344" i="20"/>
  <c r="A11343" i="20"/>
  <c r="A11342" i="20"/>
  <c r="A11341" i="20"/>
  <c r="A11340" i="20"/>
  <c r="A11339" i="20"/>
  <c r="A11338" i="20"/>
  <c r="A11337" i="20"/>
  <c r="A11336" i="20"/>
  <c r="A11335" i="20"/>
  <c r="A11334" i="20"/>
  <c r="A11333" i="20"/>
  <c r="A11332" i="20"/>
  <c r="A11331" i="20"/>
  <c r="A11330" i="20"/>
  <c r="A11329" i="20"/>
  <c r="A11328" i="20"/>
  <c r="A11327" i="20"/>
  <c r="A11326" i="20"/>
  <c r="A11325" i="20"/>
  <c r="A11324" i="20"/>
  <c r="A11323" i="20"/>
  <c r="A11322" i="20"/>
  <c r="A11321" i="20"/>
  <c r="A11320" i="20"/>
  <c r="A11319" i="20"/>
  <c r="A11318" i="20"/>
  <c r="A11317" i="20"/>
  <c r="A11316" i="20"/>
  <c r="A11315" i="20"/>
  <c r="A11314" i="20"/>
  <c r="A11313" i="20"/>
  <c r="A11312" i="20"/>
  <c r="A11311" i="20"/>
  <c r="A11310" i="20"/>
  <c r="A11309" i="20"/>
  <c r="A11308" i="20"/>
  <c r="A11307" i="20"/>
  <c r="A11306" i="20"/>
  <c r="A11305" i="20"/>
  <c r="A11304" i="20"/>
  <c r="A11303" i="20"/>
  <c r="A11302" i="20"/>
  <c r="A11301" i="20"/>
  <c r="A11300" i="20"/>
  <c r="A11299" i="20"/>
  <c r="A11298" i="20"/>
  <c r="A11297" i="20"/>
  <c r="A11296" i="20"/>
  <c r="A11295" i="20"/>
  <c r="A11294" i="20"/>
  <c r="A11293" i="20"/>
  <c r="A11292" i="20"/>
  <c r="A11291" i="20"/>
  <c r="A11290" i="20"/>
  <c r="A11289" i="20"/>
  <c r="A11288" i="20"/>
  <c r="A11287" i="20"/>
  <c r="A11286" i="20"/>
  <c r="A11285" i="20"/>
  <c r="A11284" i="20"/>
  <c r="A11283" i="20"/>
  <c r="A11282" i="20"/>
  <c r="A11281" i="20"/>
  <c r="A11280" i="20"/>
  <c r="A11279" i="20"/>
  <c r="A11278" i="20"/>
  <c r="A11277" i="20"/>
  <c r="A11276" i="20"/>
  <c r="A11275" i="20"/>
  <c r="A11274" i="20"/>
  <c r="A11273" i="20"/>
  <c r="A11272" i="20"/>
  <c r="A11271" i="20"/>
  <c r="A11270" i="20"/>
  <c r="A11269" i="20"/>
  <c r="A11268" i="20"/>
  <c r="A11267" i="20"/>
  <c r="A11266" i="20"/>
  <c r="A11265" i="20"/>
  <c r="A11264" i="20"/>
  <c r="A11263" i="20"/>
  <c r="A11262" i="20"/>
  <c r="A11261" i="20"/>
  <c r="A11260" i="20"/>
  <c r="A11259" i="20"/>
  <c r="A11258" i="20"/>
  <c r="A11257" i="20"/>
  <c r="A11256" i="20"/>
  <c r="A11255" i="20"/>
  <c r="A11254" i="20"/>
  <c r="A11253" i="20"/>
  <c r="A11252" i="20"/>
  <c r="A11251" i="20"/>
  <c r="A11250" i="20"/>
  <c r="A11249" i="20"/>
  <c r="A11248" i="20"/>
  <c r="A11247" i="20"/>
  <c r="A11246" i="20"/>
  <c r="A11245" i="20"/>
  <c r="A11244" i="20"/>
  <c r="A11243" i="20"/>
  <c r="A11242" i="20"/>
  <c r="A11241" i="20"/>
  <c r="A11240" i="20"/>
  <c r="A11239" i="20"/>
  <c r="A11238" i="20"/>
  <c r="A11237" i="20"/>
  <c r="A11236" i="20"/>
  <c r="A11235" i="20"/>
  <c r="A11234" i="20"/>
  <c r="A11233" i="20"/>
  <c r="A11232" i="20"/>
  <c r="A11231" i="20"/>
  <c r="A11230" i="20"/>
  <c r="A11229" i="20"/>
  <c r="A11228" i="20"/>
  <c r="A11227" i="20"/>
  <c r="A11226" i="20"/>
  <c r="A11225" i="20"/>
  <c r="A11224" i="20"/>
  <c r="A11223" i="20"/>
  <c r="A11222" i="20"/>
  <c r="A11221" i="20"/>
  <c r="A11220" i="20"/>
  <c r="A11219" i="20"/>
  <c r="A11218" i="20"/>
  <c r="A11217" i="20"/>
  <c r="A11216" i="20"/>
  <c r="A11215" i="20"/>
  <c r="A11214" i="20"/>
  <c r="A11213" i="20"/>
  <c r="A11212" i="20"/>
  <c r="A11211" i="20"/>
  <c r="A11210" i="20"/>
  <c r="A11209" i="20"/>
  <c r="A11208" i="20"/>
  <c r="A11207" i="20"/>
  <c r="A11206" i="20"/>
  <c r="A11205" i="20"/>
  <c r="A11204" i="20"/>
  <c r="A11203" i="20"/>
  <c r="A11202" i="20"/>
  <c r="A11201" i="20"/>
  <c r="A11200" i="20"/>
  <c r="A11199" i="20"/>
  <c r="A11198" i="20"/>
  <c r="A11197" i="20"/>
  <c r="A11196" i="20"/>
  <c r="A11195" i="20"/>
  <c r="A11194" i="20"/>
  <c r="A11193" i="20"/>
  <c r="A11192" i="20"/>
  <c r="A11191" i="20"/>
  <c r="A11190" i="20"/>
  <c r="A11189" i="20"/>
  <c r="A11188" i="20"/>
  <c r="A11187" i="20"/>
  <c r="A11186" i="20"/>
  <c r="A11185" i="20"/>
  <c r="A11184" i="20"/>
  <c r="A11183" i="20"/>
  <c r="A11182" i="20"/>
  <c r="A11181" i="20"/>
  <c r="A11180" i="20"/>
  <c r="A11179" i="20"/>
  <c r="A11178" i="20"/>
  <c r="A11177" i="20"/>
  <c r="A11176" i="20"/>
  <c r="A11175" i="20"/>
  <c r="A11174" i="20"/>
  <c r="A11173" i="20"/>
  <c r="A11172" i="20"/>
  <c r="A11171" i="20"/>
  <c r="A11170" i="20"/>
  <c r="A11169" i="20"/>
  <c r="A11168" i="20"/>
  <c r="A11167" i="20"/>
  <c r="A11166" i="20"/>
  <c r="A11165" i="20"/>
  <c r="A11164" i="20"/>
  <c r="A11163" i="20"/>
  <c r="A11162" i="20"/>
  <c r="A11161" i="20"/>
  <c r="A11160" i="20"/>
  <c r="A11159" i="20"/>
  <c r="A11158" i="20"/>
  <c r="A11157" i="20"/>
  <c r="A11156" i="20"/>
  <c r="A11155" i="20"/>
  <c r="A11154" i="20"/>
  <c r="A11153" i="20"/>
  <c r="A11152" i="20"/>
  <c r="A11151" i="20"/>
  <c r="A11150" i="20"/>
  <c r="A11149" i="20"/>
  <c r="A11148" i="20"/>
  <c r="A11147" i="20"/>
  <c r="A11146" i="20"/>
  <c r="A11145" i="20"/>
  <c r="A11144" i="20"/>
  <c r="A11143" i="20"/>
  <c r="A11142" i="20"/>
  <c r="A11141" i="20"/>
  <c r="A11140" i="20"/>
  <c r="A11139" i="20"/>
  <c r="A11138" i="20"/>
  <c r="A11137" i="20"/>
  <c r="A11136" i="20"/>
  <c r="A11135" i="20"/>
  <c r="A11134" i="20"/>
  <c r="A11133" i="20"/>
  <c r="A11132" i="20"/>
  <c r="A11131" i="20"/>
  <c r="A11130" i="20"/>
  <c r="A11129" i="20"/>
  <c r="A11128" i="20"/>
  <c r="A11127" i="20"/>
  <c r="A11126" i="20"/>
  <c r="A11125" i="20"/>
  <c r="A11124" i="20"/>
  <c r="A11123" i="20"/>
  <c r="A11122" i="20"/>
  <c r="A11121" i="20"/>
  <c r="A11120" i="20"/>
  <c r="A11119" i="20"/>
  <c r="A11118" i="20"/>
  <c r="A11117" i="20"/>
  <c r="A11116" i="20"/>
  <c r="A11115" i="20"/>
  <c r="A11114" i="20"/>
  <c r="A11113" i="20"/>
  <c r="A11112" i="20"/>
  <c r="A11111" i="20"/>
  <c r="A11110" i="20"/>
  <c r="A11109" i="20"/>
  <c r="A11108" i="20"/>
  <c r="A11107" i="20"/>
  <c r="A11106" i="20"/>
  <c r="A11105" i="20"/>
  <c r="A11104" i="20"/>
  <c r="A11103" i="20"/>
  <c r="A11102" i="20"/>
  <c r="A11101" i="20"/>
  <c r="A11100" i="20"/>
  <c r="A11099" i="20"/>
  <c r="A11098" i="20"/>
  <c r="A11097" i="20"/>
  <c r="A11096" i="20"/>
  <c r="A11095" i="20"/>
  <c r="A11094" i="20"/>
  <c r="A11093" i="20"/>
  <c r="A11092" i="20"/>
  <c r="A11091" i="20"/>
  <c r="A11090" i="20"/>
  <c r="A11089" i="20"/>
  <c r="A11088" i="20"/>
  <c r="A11087" i="20"/>
  <c r="A11086" i="20"/>
  <c r="A11085" i="20"/>
  <c r="A11084" i="20"/>
  <c r="A11083" i="20"/>
  <c r="A11082" i="20"/>
  <c r="A11081" i="20"/>
  <c r="A11080" i="20"/>
  <c r="A11079" i="20"/>
  <c r="A11078" i="20"/>
  <c r="A11077" i="20"/>
  <c r="A11076" i="20"/>
  <c r="A11075" i="20"/>
  <c r="A11074" i="20"/>
  <c r="A11073" i="20"/>
  <c r="A11072" i="20"/>
  <c r="A11071" i="20"/>
  <c r="A11070" i="20"/>
  <c r="A11069" i="20"/>
  <c r="A11068" i="20"/>
  <c r="A11067" i="20"/>
  <c r="A11066" i="20"/>
  <c r="A11065" i="20"/>
  <c r="A11064" i="20"/>
  <c r="A11063" i="20"/>
  <c r="A11062" i="20"/>
  <c r="A11061" i="20"/>
  <c r="A11060" i="20"/>
  <c r="A11059" i="20"/>
  <c r="A11058" i="20"/>
  <c r="A11057" i="20"/>
  <c r="A11056" i="20"/>
  <c r="A11055" i="20"/>
  <c r="A11054" i="20"/>
  <c r="A11053" i="20"/>
  <c r="A11052" i="20"/>
  <c r="A11051" i="20"/>
  <c r="A11050" i="20"/>
  <c r="A11049" i="20"/>
  <c r="A11048" i="20"/>
  <c r="A11047" i="20"/>
  <c r="A11046" i="20"/>
  <c r="A11045" i="20"/>
  <c r="A11044" i="20"/>
  <c r="A11043" i="20"/>
  <c r="A11042" i="20"/>
  <c r="A11041" i="20"/>
  <c r="A11040" i="20"/>
  <c r="A11039" i="20"/>
  <c r="A11038" i="20"/>
  <c r="A11037" i="20"/>
  <c r="A11036" i="20"/>
  <c r="A11035" i="20"/>
  <c r="A11034" i="20"/>
  <c r="A11033" i="20"/>
  <c r="A11032" i="20"/>
  <c r="A11031" i="20"/>
  <c r="A11030" i="20"/>
  <c r="A11029" i="20"/>
  <c r="A11028" i="20"/>
  <c r="A11027" i="20"/>
  <c r="A11026" i="20"/>
  <c r="A11025" i="20"/>
  <c r="A11024" i="20"/>
  <c r="A11023" i="20"/>
  <c r="A11022" i="20"/>
  <c r="A11021" i="20"/>
  <c r="A11020" i="20"/>
  <c r="A11019" i="20"/>
  <c r="A11018" i="20"/>
  <c r="A11017" i="20"/>
  <c r="A11016" i="20"/>
  <c r="A11015" i="20"/>
  <c r="A11014" i="20"/>
  <c r="A11013" i="20"/>
  <c r="A11012" i="20"/>
  <c r="A11011" i="20"/>
  <c r="A11010" i="20"/>
  <c r="A11009" i="20"/>
  <c r="A11008" i="20"/>
  <c r="A11007" i="20"/>
  <c r="A11006" i="20"/>
  <c r="A11005" i="20"/>
  <c r="A11004" i="20"/>
  <c r="A11003" i="20"/>
  <c r="A11002" i="20"/>
  <c r="A11001" i="20"/>
  <c r="A11000" i="20"/>
  <c r="A10999" i="20"/>
  <c r="A10998" i="20"/>
  <c r="A10997" i="20"/>
  <c r="A10996" i="20"/>
  <c r="A10995" i="20"/>
  <c r="A10994" i="20"/>
  <c r="A10993" i="20"/>
  <c r="A10992" i="20"/>
  <c r="A10991" i="20"/>
  <c r="A10990" i="20"/>
  <c r="A10989" i="20"/>
  <c r="A10988" i="20"/>
  <c r="A10987" i="20"/>
  <c r="A10986" i="20"/>
  <c r="A10985" i="20"/>
  <c r="A10984" i="20"/>
  <c r="A10983" i="20"/>
  <c r="A10982" i="20"/>
  <c r="A10981" i="20"/>
  <c r="A10980" i="20"/>
  <c r="A10979" i="20"/>
  <c r="A10978" i="20"/>
  <c r="A10977" i="20"/>
  <c r="A10976" i="20"/>
  <c r="A10975" i="20"/>
  <c r="A10974" i="20"/>
  <c r="A10973" i="20"/>
  <c r="A10972" i="20"/>
  <c r="A10971" i="20"/>
  <c r="A10970" i="20"/>
  <c r="A10969" i="20"/>
  <c r="A10968" i="20"/>
  <c r="A10967" i="20"/>
  <c r="A10966" i="20"/>
  <c r="A10965" i="20"/>
  <c r="A10964" i="20"/>
  <c r="A10963" i="20"/>
  <c r="A10962" i="20"/>
  <c r="A10961" i="20"/>
  <c r="A10960" i="20"/>
  <c r="A10959" i="20"/>
  <c r="A10958" i="20"/>
  <c r="A10957" i="20"/>
  <c r="A10956" i="20"/>
  <c r="A10955" i="20"/>
  <c r="A10954" i="20"/>
  <c r="A10953" i="20"/>
  <c r="A10952" i="20"/>
  <c r="A10951" i="20"/>
  <c r="A10950" i="20"/>
  <c r="A10949" i="20"/>
  <c r="A10948" i="20"/>
  <c r="A10947" i="20"/>
  <c r="A10946" i="20"/>
  <c r="A10945" i="20"/>
  <c r="A10944" i="20"/>
  <c r="A10943" i="20"/>
  <c r="A10942" i="20"/>
  <c r="A10941" i="20"/>
  <c r="A10940" i="20"/>
  <c r="A10939" i="20"/>
  <c r="A10938" i="20"/>
  <c r="A10937" i="20"/>
  <c r="A10936" i="20"/>
  <c r="A10935" i="20"/>
  <c r="A10934" i="20"/>
  <c r="A10933" i="20"/>
  <c r="A10932" i="20"/>
  <c r="A10931" i="20"/>
  <c r="A10930" i="20"/>
  <c r="A10929" i="20"/>
  <c r="A10928" i="20"/>
  <c r="A10927" i="20"/>
  <c r="A10926" i="20"/>
  <c r="A10925" i="20"/>
  <c r="A10924" i="20"/>
  <c r="A10923" i="20"/>
  <c r="A10922" i="20"/>
  <c r="A10921" i="20"/>
  <c r="A10920" i="20"/>
  <c r="A10919" i="20"/>
  <c r="A10918" i="20"/>
  <c r="A10917" i="20"/>
  <c r="A10916" i="20"/>
  <c r="A10915" i="20"/>
  <c r="A10914" i="20"/>
  <c r="A10913" i="20"/>
  <c r="A10912" i="20"/>
  <c r="A10911" i="20"/>
  <c r="A10910" i="20"/>
  <c r="A10909" i="20"/>
  <c r="A10908" i="20"/>
  <c r="A10907" i="20"/>
  <c r="A10906" i="20"/>
  <c r="A10905" i="20"/>
  <c r="A10904" i="20"/>
  <c r="A10903" i="20"/>
  <c r="A10902" i="20"/>
  <c r="A10901" i="20"/>
  <c r="A10900" i="20"/>
  <c r="A10899" i="20"/>
  <c r="A10898" i="20"/>
  <c r="A10897" i="20"/>
  <c r="A10896" i="20"/>
  <c r="A10895" i="20"/>
  <c r="A10894" i="20"/>
  <c r="A10893" i="20"/>
  <c r="A10892" i="20"/>
  <c r="A10891" i="20"/>
  <c r="A10890" i="20"/>
  <c r="A10889" i="20"/>
  <c r="A10888" i="20"/>
  <c r="A10887" i="20"/>
  <c r="A10886" i="20"/>
  <c r="A10885" i="20"/>
  <c r="A10884" i="20"/>
  <c r="A10883" i="20"/>
  <c r="A10882" i="20"/>
  <c r="A10881" i="20"/>
  <c r="A10880" i="20"/>
  <c r="A10879" i="20"/>
  <c r="A10878" i="20"/>
  <c r="A10877" i="20"/>
  <c r="A10876" i="20"/>
  <c r="A10875" i="20"/>
  <c r="A10874" i="20"/>
  <c r="A10873" i="20"/>
  <c r="A10872" i="20"/>
  <c r="A10871" i="20"/>
  <c r="A10870" i="20"/>
  <c r="A10869" i="20"/>
  <c r="A10868" i="20"/>
  <c r="A10867" i="20"/>
  <c r="A10866" i="20"/>
  <c r="A10865" i="20"/>
  <c r="A10864" i="20"/>
  <c r="A10863" i="20"/>
  <c r="A10862" i="20"/>
  <c r="A10861" i="20"/>
  <c r="A10860" i="20"/>
  <c r="A10859" i="20"/>
  <c r="A10858" i="20"/>
  <c r="A10857" i="20"/>
  <c r="A10856" i="20"/>
  <c r="A10855" i="20"/>
  <c r="A10854" i="20"/>
  <c r="A10853" i="20"/>
  <c r="A10852" i="20"/>
  <c r="A10851" i="20"/>
  <c r="A10850" i="20"/>
  <c r="A10849" i="20"/>
  <c r="A10848" i="20"/>
  <c r="A10847" i="20"/>
  <c r="A10846" i="20"/>
  <c r="A10845" i="20"/>
  <c r="A10844" i="20"/>
  <c r="A10843" i="20"/>
  <c r="A10842" i="20"/>
  <c r="A10841" i="20"/>
  <c r="A10840" i="20"/>
  <c r="A10839" i="20"/>
  <c r="A10838" i="20"/>
  <c r="A10837" i="20"/>
  <c r="A10836" i="20"/>
  <c r="A10835" i="20"/>
  <c r="A10834" i="20"/>
  <c r="A10833" i="20"/>
  <c r="A10832" i="20"/>
  <c r="A10831" i="20"/>
  <c r="A10830" i="20"/>
  <c r="A10829" i="20"/>
  <c r="A10828" i="20"/>
  <c r="A10827" i="20"/>
  <c r="A10826" i="20"/>
  <c r="A10825" i="20"/>
  <c r="A10824" i="20"/>
  <c r="A10823" i="20"/>
  <c r="A10822" i="20"/>
  <c r="A10821" i="20"/>
  <c r="A10820" i="20"/>
  <c r="A10819" i="20"/>
  <c r="A10818" i="20"/>
  <c r="A10817" i="20"/>
  <c r="A10816" i="20"/>
  <c r="A10815" i="20"/>
  <c r="A10814" i="20"/>
  <c r="A10813" i="20"/>
  <c r="A10812" i="20"/>
  <c r="A10811" i="20"/>
  <c r="A10810" i="20"/>
  <c r="A10809" i="20"/>
  <c r="A10808" i="20"/>
  <c r="A10807" i="20"/>
  <c r="A10806" i="20"/>
  <c r="A10805" i="20"/>
  <c r="A10804" i="20"/>
  <c r="A10803" i="20"/>
  <c r="A10802" i="20"/>
  <c r="A10801" i="20"/>
  <c r="A10800" i="20"/>
  <c r="A10799" i="20"/>
  <c r="A10798" i="20"/>
  <c r="A10797" i="20"/>
  <c r="A10796" i="20"/>
  <c r="A10795" i="20"/>
  <c r="A10794" i="20"/>
  <c r="A10793" i="20"/>
  <c r="A10792" i="20"/>
  <c r="A10791" i="20"/>
  <c r="A10790" i="20"/>
  <c r="A10789" i="20"/>
  <c r="A10788" i="20"/>
  <c r="A10787" i="20"/>
  <c r="A10786" i="20"/>
  <c r="A10785" i="20"/>
  <c r="A10784" i="20"/>
  <c r="A10783" i="20"/>
  <c r="A10782" i="20"/>
  <c r="A10781" i="20"/>
  <c r="A10780" i="20"/>
  <c r="A10779" i="20"/>
  <c r="A10778" i="20"/>
  <c r="A10777" i="20"/>
  <c r="A10776" i="20"/>
  <c r="A10775" i="20"/>
  <c r="A10774" i="20"/>
  <c r="A10773" i="20"/>
  <c r="A10772" i="20"/>
  <c r="A10771" i="20"/>
  <c r="A10770" i="20"/>
  <c r="A10769" i="20"/>
  <c r="A10768" i="20"/>
  <c r="A10767" i="20"/>
  <c r="A10766" i="20"/>
  <c r="A10765" i="20"/>
  <c r="A10764" i="20"/>
  <c r="A10763" i="20"/>
  <c r="A10762" i="20"/>
  <c r="A10761" i="20"/>
  <c r="A10760" i="20"/>
  <c r="A10759" i="20"/>
  <c r="A10758" i="20"/>
  <c r="A10757" i="20"/>
  <c r="A10756" i="20"/>
  <c r="A10755" i="20"/>
  <c r="A10754" i="20"/>
  <c r="A10753" i="20"/>
  <c r="A10752" i="20"/>
  <c r="A10751" i="20"/>
  <c r="A10750" i="20"/>
  <c r="A10749" i="20"/>
  <c r="A10748" i="20"/>
  <c r="A10747" i="20"/>
  <c r="A10746" i="20"/>
  <c r="A10745" i="20"/>
  <c r="A10744" i="20"/>
  <c r="A10743" i="20"/>
  <c r="A10742" i="20"/>
  <c r="A10741" i="20"/>
  <c r="A10740" i="20"/>
  <c r="A10739" i="20"/>
  <c r="A10738" i="20"/>
  <c r="A10737" i="20"/>
  <c r="A10736" i="20"/>
  <c r="A10735" i="20"/>
  <c r="A10734" i="20"/>
  <c r="A10733" i="20"/>
  <c r="A10732" i="20"/>
  <c r="A10731" i="20"/>
  <c r="A10730" i="20"/>
  <c r="A10729" i="20"/>
  <c r="A10728" i="20"/>
  <c r="A10727" i="20"/>
  <c r="A10726" i="20"/>
  <c r="A10725" i="20"/>
  <c r="A10724" i="20"/>
  <c r="A10723" i="20"/>
  <c r="A10722" i="20"/>
  <c r="A10721" i="20"/>
  <c r="A10720" i="20"/>
  <c r="A10719" i="20"/>
  <c r="A10718" i="20"/>
  <c r="A10717" i="20"/>
  <c r="A10716" i="20"/>
  <c r="A10715" i="20"/>
  <c r="A10714" i="20"/>
  <c r="A10713" i="20"/>
  <c r="A10712" i="20"/>
  <c r="A10711" i="20"/>
  <c r="A10710" i="20"/>
  <c r="A10709" i="20"/>
  <c r="A10708" i="20"/>
  <c r="A10707" i="20"/>
  <c r="A10706" i="20"/>
  <c r="A10705" i="20"/>
  <c r="A10704" i="20"/>
  <c r="A10703" i="20"/>
  <c r="A10702" i="20"/>
  <c r="A10701" i="20"/>
  <c r="A10700" i="20"/>
  <c r="A10699" i="20"/>
  <c r="A10698" i="20"/>
  <c r="A10697" i="20"/>
  <c r="A10696" i="20"/>
  <c r="A10695" i="20"/>
  <c r="A10694" i="20"/>
  <c r="A10693" i="20"/>
  <c r="A10692" i="20"/>
  <c r="A10691" i="20"/>
  <c r="A10690" i="20"/>
  <c r="A10689" i="20"/>
  <c r="A10688" i="20"/>
  <c r="A10687" i="20"/>
  <c r="A10686" i="20"/>
  <c r="A10685" i="20"/>
  <c r="A10684" i="20"/>
  <c r="A10683" i="20"/>
  <c r="A10682" i="20"/>
  <c r="A10681" i="20"/>
  <c r="A10680" i="20"/>
  <c r="A10679" i="20"/>
  <c r="A10678" i="20"/>
  <c r="A10677" i="20"/>
  <c r="A10676" i="20"/>
  <c r="A10675" i="20"/>
  <c r="A10674" i="20"/>
  <c r="A10673" i="20"/>
  <c r="A10672" i="20"/>
  <c r="A10671" i="20"/>
  <c r="A10670" i="20"/>
  <c r="A10669" i="20"/>
  <c r="A10668" i="20"/>
  <c r="A10667" i="20"/>
  <c r="A10666" i="20"/>
  <c r="A10665" i="20"/>
  <c r="A10664" i="20"/>
  <c r="A10663" i="20"/>
  <c r="A10662" i="20"/>
  <c r="A10661" i="20"/>
  <c r="A10660" i="20"/>
  <c r="A10659" i="20"/>
  <c r="A10658" i="20"/>
  <c r="A10657" i="20"/>
  <c r="A10656" i="20"/>
  <c r="A10655" i="20"/>
  <c r="A10654" i="20"/>
  <c r="A10653" i="20"/>
  <c r="A10652" i="20"/>
  <c r="A10651" i="20"/>
  <c r="A10650" i="20"/>
  <c r="A10649" i="20"/>
  <c r="A10648" i="20"/>
  <c r="A10647" i="20"/>
  <c r="A10646" i="20"/>
  <c r="A10645" i="20"/>
  <c r="A10644" i="20"/>
  <c r="A10643" i="20"/>
  <c r="A10642" i="20"/>
  <c r="A10641" i="20"/>
  <c r="A10640" i="20"/>
  <c r="A10639" i="20"/>
  <c r="A10638" i="20"/>
  <c r="A10637" i="20"/>
  <c r="A10636" i="20"/>
  <c r="A10635" i="20"/>
  <c r="A10634" i="20"/>
  <c r="A10633" i="20"/>
  <c r="A10632" i="20"/>
  <c r="A10631" i="20"/>
  <c r="A10630" i="20"/>
  <c r="A10629" i="20"/>
  <c r="A10628" i="20"/>
  <c r="A10627" i="20"/>
  <c r="A10626" i="20"/>
  <c r="A10625" i="20"/>
  <c r="A10624" i="20"/>
  <c r="A10623" i="20"/>
  <c r="A10622" i="20"/>
  <c r="A10621" i="20"/>
  <c r="A10620" i="20"/>
  <c r="A10619" i="20"/>
  <c r="A10618" i="20"/>
  <c r="A10617" i="20"/>
  <c r="A10616" i="20"/>
  <c r="A10615" i="20"/>
  <c r="A10614" i="20"/>
  <c r="A10613" i="20"/>
  <c r="A10612" i="20"/>
  <c r="A10611" i="20"/>
  <c r="A10610" i="20"/>
  <c r="A10609" i="20"/>
  <c r="A10608" i="20"/>
  <c r="A10607" i="20"/>
  <c r="A10606" i="20"/>
  <c r="A10605" i="20"/>
  <c r="A10604" i="20"/>
  <c r="A10603" i="20"/>
  <c r="A10602" i="20"/>
  <c r="A10601" i="20"/>
  <c r="A10600" i="20"/>
  <c r="A10599" i="20"/>
  <c r="A10598" i="20"/>
  <c r="A10597" i="20"/>
  <c r="A10596" i="20"/>
  <c r="A10595" i="20"/>
  <c r="A10594" i="20"/>
  <c r="A10593" i="20"/>
  <c r="A10592" i="20"/>
  <c r="A10591" i="20"/>
  <c r="A10590" i="20"/>
  <c r="A10589" i="20"/>
  <c r="A10588" i="20"/>
  <c r="A10587" i="20"/>
  <c r="A10586" i="20"/>
  <c r="A10585" i="20"/>
  <c r="A10584" i="20"/>
  <c r="A10583" i="20"/>
  <c r="A10582" i="20"/>
  <c r="A10581" i="20"/>
  <c r="A10580" i="20"/>
  <c r="A10579" i="20"/>
  <c r="A10578" i="20"/>
  <c r="A10577" i="20"/>
  <c r="A10576" i="20"/>
  <c r="A10575" i="20"/>
  <c r="A10574" i="20"/>
  <c r="A10573" i="20"/>
  <c r="A10572" i="20"/>
  <c r="A10571" i="20"/>
  <c r="A10570" i="20"/>
  <c r="A10569" i="20"/>
  <c r="A10568" i="20"/>
  <c r="A10567" i="20"/>
  <c r="A10566" i="20"/>
  <c r="A10565" i="20"/>
  <c r="A10564" i="20"/>
  <c r="A10563" i="20"/>
  <c r="A10562" i="20"/>
  <c r="A10561" i="20"/>
  <c r="A10560" i="20"/>
  <c r="A10559" i="20"/>
  <c r="A10558" i="20"/>
  <c r="A10557" i="20"/>
  <c r="A10556" i="20"/>
  <c r="A10555" i="20"/>
  <c r="A10554" i="20"/>
  <c r="A10553" i="20"/>
  <c r="A10552" i="20"/>
  <c r="A10551" i="20"/>
  <c r="A10550" i="20"/>
  <c r="A10549" i="20"/>
  <c r="A10548" i="20"/>
  <c r="A10547" i="20"/>
  <c r="A10546" i="20"/>
  <c r="A10545" i="20"/>
  <c r="A10544" i="20"/>
  <c r="A10543" i="20"/>
  <c r="A10542" i="20"/>
  <c r="A10541" i="20"/>
  <c r="A10540" i="20"/>
  <c r="A10539" i="20"/>
  <c r="A10538" i="20"/>
  <c r="A10537" i="20"/>
  <c r="A10536" i="20"/>
  <c r="A10535" i="20"/>
  <c r="A10534" i="20"/>
  <c r="A10533" i="20"/>
  <c r="A10532" i="20"/>
  <c r="A10531" i="20"/>
  <c r="A10530" i="20"/>
  <c r="A10529" i="20"/>
  <c r="A10528" i="20"/>
  <c r="A10527" i="20"/>
  <c r="A10526" i="20"/>
  <c r="A10525" i="20"/>
  <c r="A10524" i="20"/>
  <c r="A10523" i="20"/>
  <c r="A10522" i="20"/>
  <c r="A10521" i="20"/>
  <c r="A10520" i="20"/>
  <c r="A10519" i="20"/>
  <c r="A10518" i="20"/>
  <c r="A10517" i="20"/>
  <c r="A10516" i="20"/>
  <c r="A10515" i="20"/>
  <c r="A10514" i="20"/>
  <c r="A10513" i="20"/>
  <c r="A10512" i="20"/>
  <c r="A10511" i="20"/>
  <c r="A10510" i="20"/>
  <c r="A10509" i="20"/>
  <c r="A10508" i="20"/>
  <c r="A10507" i="20"/>
  <c r="A10506" i="20"/>
  <c r="A10505" i="20"/>
  <c r="A10504" i="20"/>
  <c r="A10503" i="20"/>
  <c r="A10502" i="20"/>
  <c r="A10501" i="20"/>
  <c r="A10500" i="20"/>
  <c r="A10499" i="20"/>
  <c r="A10498" i="20"/>
  <c r="A10497" i="20"/>
  <c r="A10496" i="20"/>
  <c r="A10495" i="20"/>
  <c r="A10494" i="20"/>
  <c r="A10493" i="20"/>
  <c r="A10492" i="20"/>
  <c r="A10491" i="20"/>
  <c r="A10490" i="20"/>
  <c r="A10489" i="20"/>
  <c r="A10488" i="20"/>
  <c r="A10487" i="20"/>
  <c r="A10486" i="20"/>
  <c r="A10485" i="20"/>
  <c r="A10484" i="20"/>
  <c r="A10483" i="20"/>
  <c r="A10482" i="20"/>
  <c r="A10481" i="20"/>
  <c r="A10480" i="20"/>
  <c r="A10479" i="20"/>
  <c r="A10478" i="20"/>
  <c r="A10477" i="20"/>
  <c r="A10476" i="20"/>
  <c r="A10475" i="20"/>
  <c r="A10474" i="20"/>
  <c r="A10473" i="20"/>
  <c r="A10472" i="20"/>
  <c r="A10471" i="20"/>
  <c r="A10470" i="20"/>
  <c r="A10469" i="20"/>
  <c r="A10468" i="20"/>
  <c r="A10467" i="20"/>
  <c r="A10466" i="20"/>
  <c r="A10465" i="20"/>
  <c r="A10464" i="20"/>
  <c r="A10463" i="20"/>
  <c r="A10462" i="20"/>
  <c r="A10461" i="20"/>
  <c r="A10460" i="20"/>
  <c r="A10459" i="20"/>
  <c r="A10458" i="20"/>
  <c r="A10457" i="20"/>
  <c r="A10456" i="20"/>
  <c r="A10455" i="20"/>
  <c r="A10454" i="20"/>
  <c r="A10453" i="20"/>
  <c r="A10452" i="20"/>
  <c r="A10451" i="20"/>
  <c r="A10450" i="20"/>
  <c r="A10449" i="20"/>
  <c r="A10448" i="20"/>
  <c r="A10447" i="20"/>
  <c r="A10446" i="20"/>
  <c r="A10445" i="20"/>
  <c r="A10444" i="20"/>
  <c r="A10443" i="20"/>
  <c r="A10442" i="20"/>
  <c r="A10441" i="20"/>
  <c r="A10440" i="20"/>
  <c r="A10439" i="20"/>
  <c r="A10438" i="20"/>
  <c r="A10437" i="20"/>
  <c r="A10436" i="20"/>
  <c r="A10435" i="20"/>
  <c r="A10434" i="20"/>
  <c r="A10433" i="20"/>
  <c r="A10432" i="20"/>
  <c r="A10431" i="20"/>
  <c r="A10430" i="20"/>
  <c r="A10429" i="20"/>
  <c r="A10428" i="20"/>
  <c r="A10427" i="20"/>
  <c r="A10426" i="20"/>
  <c r="A10425" i="20"/>
  <c r="A10424" i="20"/>
  <c r="A10423" i="20"/>
  <c r="A10422" i="20"/>
  <c r="A10421" i="20"/>
  <c r="A10420" i="20"/>
  <c r="A10419" i="20"/>
  <c r="A10418" i="20"/>
  <c r="A10417" i="20"/>
  <c r="A10416" i="20"/>
  <c r="A10415" i="20"/>
  <c r="A10414" i="20"/>
  <c r="A10413" i="20"/>
  <c r="A10412" i="20"/>
  <c r="A10411" i="20"/>
  <c r="A10410" i="20"/>
  <c r="A10409" i="20"/>
  <c r="A10408" i="20"/>
  <c r="A10407" i="20"/>
  <c r="A10406" i="20"/>
  <c r="A10405" i="20"/>
  <c r="A10404" i="20"/>
  <c r="A10403" i="20"/>
  <c r="A10402" i="20"/>
  <c r="A10401" i="20"/>
  <c r="A10400" i="20"/>
  <c r="A10399" i="20"/>
  <c r="A10398" i="20"/>
  <c r="A10397" i="20"/>
  <c r="A10396" i="20"/>
  <c r="A10395" i="20"/>
  <c r="A10394" i="20"/>
  <c r="A10393" i="20"/>
  <c r="A10392" i="20"/>
  <c r="A10391" i="20"/>
  <c r="A10390" i="20"/>
  <c r="A10389" i="20"/>
  <c r="A10388" i="20"/>
  <c r="A10387" i="20"/>
  <c r="A10386" i="20"/>
  <c r="A10385" i="20"/>
  <c r="A10384" i="20"/>
  <c r="A10383" i="20"/>
  <c r="A10382" i="20"/>
  <c r="A10381" i="20"/>
  <c r="A10380" i="20"/>
  <c r="A10379" i="20"/>
  <c r="A10378" i="20"/>
  <c r="A10377" i="20"/>
  <c r="A10376" i="20"/>
  <c r="A10375" i="20"/>
  <c r="A10374" i="20"/>
  <c r="A10373" i="20"/>
  <c r="A10372" i="20"/>
  <c r="A10371" i="20"/>
  <c r="A10370" i="20"/>
  <c r="A10369" i="20"/>
  <c r="A10368" i="20"/>
  <c r="A10367" i="20"/>
  <c r="A10366" i="20"/>
  <c r="A10365" i="20"/>
  <c r="A10364" i="20"/>
  <c r="A10363" i="20"/>
  <c r="A10362" i="20"/>
  <c r="A10361" i="20"/>
  <c r="A10360" i="20"/>
  <c r="A10359" i="20"/>
  <c r="A10358" i="20"/>
  <c r="A10357" i="20"/>
  <c r="A10356" i="20"/>
  <c r="A10355" i="20"/>
  <c r="A10354" i="20"/>
  <c r="A10353" i="20"/>
  <c r="A10352" i="20"/>
  <c r="A10351" i="20"/>
  <c r="A10350" i="20"/>
  <c r="A10349" i="20"/>
  <c r="A10348" i="20"/>
  <c r="A10347" i="20"/>
  <c r="A10346" i="20"/>
  <c r="A10345" i="20"/>
  <c r="A10344" i="20"/>
  <c r="A10343" i="20"/>
  <c r="A10342" i="20"/>
  <c r="A10341" i="20"/>
  <c r="A10340" i="20"/>
  <c r="A10339" i="20"/>
  <c r="A10338" i="20"/>
  <c r="A10337" i="20"/>
  <c r="A10336" i="20"/>
  <c r="A10335" i="20"/>
  <c r="A10334" i="20"/>
  <c r="A10333" i="20"/>
  <c r="A10332" i="20"/>
  <c r="A10331" i="20"/>
  <c r="A10330" i="20"/>
  <c r="A10329" i="20"/>
  <c r="A10328" i="20"/>
  <c r="A10327" i="20"/>
  <c r="A10326" i="20"/>
  <c r="A10325" i="20"/>
  <c r="A10324" i="20"/>
  <c r="A10323" i="20"/>
  <c r="A10322" i="20"/>
  <c r="A10321" i="20"/>
  <c r="A10320" i="20"/>
  <c r="A10319" i="20"/>
  <c r="A10318" i="20"/>
  <c r="A10317" i="20"/>
  <c r="A10316" i="20"/>
  <c r="A10315" i="20"/>
  <c r="A10314" i="20"/>
  <c r="A10313" i="20"/>
  <c r="A10312" i="20"/>
  <c r="A10311" i="20"/>
  <c r="A10310" i="20"/>
  <c r="A10309" i="20"/>
  <c r="A10308" i="20"/>
  <c r="A10307" i="20"/>
  <c r="A10306" i="20"/>
  <c r="A10305" i="20"/>
  <c r="A10304" i="20"/>
  <c r="A10303" i="20"/>
  <c r="A10302" i="20"/>
  <c r="A10301" i="20"/>
  <c r="A10300" i="20"/>
  <c r="A10299" i="20"/>
  <c r="A10298" i="20"/>
  <c r="A10297" i="20"/>
  <c r="A10296" i="20"/>
  <c r="A10295" i="20"/>
  <c r="A10294" i="20"/>
  <c r="A10293" i="20"/>
  <c r="A10292" i="20"/>
  <c r="A10291" i="20"/>
  <c r="A10290" i="20"/>
  <c r="A10289" i="20"/>
  <c r="A10288" i="20"/>
  <c r="A10287" i="20"/>
  <c r="A10286" i="20"/>
  <c r="A10285" i="20"/>
  <c r="A10284" i="20"/>
  <c r="A10283" i="20"/>
  <c r="A10282" i="20"/>
  <c r="A10281" i="20"/>
  <c r="A10280" i="20"/>
  <c r="A10279" i="20"/>
  <c r="A10278" i="20"/>
  <c r="A10277" i="20"/>
  <c r="A10276" i="20"/>
  <c r="A10275" i="20"/>
  <c r="A10274" i="20"/>
  <c r="A10273" i="20"/>
  <c r="A10272" i="20"/>
  <c r="A10271" i="20"/>
  <c r="A10270" i="20"/>
  <c r="A10269" i="20"/>
  <c r="A10268" i="20"/>
  <c r="A10267" i="20"/>
  <c r="A10266" i="20"/>
  <c r="A10265" i="20"/>
  <c r="A10264" i="20"/>
  <c r="A10263" i="20"/>
  <c r="A10262" i="20"/>
  <c r="A10261" i="20"/>
  <c r="A10260" i="20"/>
  <c r="A10259" i="20"/>
  <c r="A10258" i="20"/>
  <c r="A10257" i="20"/>
  <c r="A10256" i="20"/>
  <c r="A10255" i="20"/>
  <c r="A10254" i="20"/>
  <c r="A10253" i="20"/>
  <c r="A10252" i="20"/>
  <c r="A10251" i="20"/>
  <c r="A10250" i="20"/>
  <c r="A10249" i="20"/>
  <c r="A10248" i="20"/>
  <c r="A10247" i="20"/>
  <c r="A10246" i="20"/>
  <c r="A10245" i="20"/>
  <c r="A10244" i="20"/>
  <c r="A10243" i="20"/>
  <c r="A10242" i="20"/>
  <c r="A10241" i="20"/>
  <c r="A10240" i="20"/>
  <c r="A10239" i="20"/>
  <c r="A10238" i="20"/>
  <c r="A10237" i="20"/>
  <c r="A10236" i="20"/>
  <c r="A10235" i="20"/>
  <c r="A10234" i="20"/>
  <c r="A10233" i="20"/>
  <c r="A10232" i="20"/>
  <c r="A10231" i="20"/>
  <c r="A10230" i="20"/>
  <c r="A10229" i="20"/>
  <c r="A10228" i="20"/>
  <c r="A10227" i="20"/>
  <c r="A10226" i="20"/>
  <c r="A10225" i="20"/>
  <c r="A10224" i="20"/>
  <c r="A10223" i="20"/>
  <c r="A10222" i="20"/>
  <c r="A10221" i="20"/>
  <c r="A10220" i="20"/>
  <c r="A10219" i="20"/>
  <c r="A10218" i="20"/>
  <c r="A10217" i="20"/>
  <c r="A10216" i="20"/>
  <c r="A10215" i="20"/>
  <c r="A10214" i="20"/>
  <c r="A10213" i="20"/>
  <c r="A10212" i="20"/>
  <c r="A10211" i="20"/>
  <c r="A10210" i="20"/>
  <c r="A10209" i="20"/>
  <c r="A10208" i="20"/>
  <c r="A10207" i="20"/>
  <c r="A10206" i="20"/>
  <c r="A10205" i="20"/>
  <c r="A10204" i="20"/>
  <c r="A10203" i="20"/>
  <c r="A10202" i="20"/>
  <c r="A10201" i="20"/>
  <c r="A10200" i="20"/>
  <c r="A10199" i="20"/>
  <c r="A10198" i="20"/>
  <c r="A10197" i="20"/>
  <c r="A10196" i="20"/>
  <c r="A10195" i="20"/>
  <c r="A10194" i="20"/>
  <c r="A10193" i="20"/>
  <c r="A10192" i="20"/>
  <c r="A10191" i="20"/>
  <c r="A10190" i="20"/>
  <c r="A10189" i="20"/>
  <c r="A10188" i="20"/>
  <c r="A10187" i="20"/>
  <c r="A10186" i="20"/>
  <c r="A10185" i="20"/>
  <c r="A10184" i="20"/>
  <c r="A10183" i="20"/>
  <c r="A10182" i="20"/>
  <c r="A10181" i="20"/>
  <c r="A10180" i="20"/>
  <c r="A10179" i="20"/>
  <c r="A10178" i="20"/>
  <c r="A10177" i="20"/>
  <c r="A10176" i="20"/>
  <c r="A10175" i="20"/>
  <c r="A10174" i="20"/>
  <c r="A10173" i="20"/>
  <c r="A10172" i="20"/>
  <c r="A10171" i="20"/>
  <c r="A10170" i="20"/>
  <c r="A10169" i="20"/>
  <c r="A10168" i="20"/>
  <c r="A10167" i="20"/>
  <c r="A10166" i="20"/>
  <c r="A10165" i="20"/>
  <c r="A10164" i="20"/>
  <c r="A10163" i="20"/>
  <c r="A10162" i="20"/>
  <c r="A10161" i="20"/>
  <c r="A10160" i="20"/>
  <c r="A10159" i="20"/>
  <c r="A10158" i="20"/>
  <c r="A10157" i="20"/>
  <c r="A10156" i="20"/>
  <c r="A10155" i="20"/>
  <c r="A10154" i="20"/>
  <c r="A10153" i="20"/>
  <c r="A10152" i="20"/>
  <c r="A10151" i="20"/>
  <c r="A10150" i="20"/>
  <c r="A10149" i="20"/>
  <c r="A10148" i="20"/>
  <c r="A10147" i="20"/>
  <c r="A10146" i="20"/>
  <c r="A10145" i="20"/>
  <c r="A10144" i="20"/>
  <c r="A10143" i="20"/>
  <c r="A10142" i="20"/>
  <c r="A10141" i="20"/>
  <c r="A10140" i="20"/>
  <c r="A10139" i="20"/>
  <c r="A10138" i="20"/>
  <c r="A10137" i="20"/>
  <c r="A10136" i="20"/>
  <c r="A10135" i="20"/>
  <c r="A10134" i="20"/>
  <c r="A10133" i="20"/>
  <c r="A10132" i="20"/>
  <c r="A10131" i="20"/>
  <c r="A10130" i="20"/>
  <c r="A10129" i="20"/>
  <c r="A10128" i="20"/>
  <c r="A10127" i="20"/>
  <c r="A10126" i="20"/>
  <c r="A10125" i="20"/>
  <c r="A10124" i="20"/>
  <c r="A10123" i="20"/>
  <c r="A10122" i="20"/>
  <c r="A10121" i="20"/>
  <c r="A10120" i="20"/>
  <c r="A10119" i="20"/>
  <c r="A10118" i="20"/>
  <c r="A10117" i="20"/>
  <c r="A10116" i="20"/>
  <c r="A10115" i="20"/>
  <c r="A10114" i="20"/>
  <c r="A10113" i="20"/>
  <c r="A10112" i="20"/>
  <c r="A10111" i="20"/>
  <c r="A10110" i="20"/>
  <c r="A10109" i="20"/>
  <c r="A10108" i="20"/>
  <c r="A10107" i="20"/>
  <c r="A10106" i="20"/>
  <c r="A10105" i="20"/>
  <c r="A10104" i="20"/>
  <c r="A10103" i="20"/>
  <c r="A10102" i="20"/>
  <c r="A10101" i="20"/>
  <c r="A10100" i="20"/>
  <c r="A10099" i="20"/>
  <c r="A10098" i="20"/>
  <c r="A10097" i="20"/>
  <c r="A10096" i="20"/>
  <c r="A10095" i="20"/>
  <c r="A10094" i="20"/>
  <c r="A10093" i="20"/>
  <c r="A10092" i="20"/>
  <c r="A10091" i="20"/>
  <c r="A10090" i="20"/>
  <c r="A10089" i="20"/>
  <c r="A10088" i="20"/>
  <c r="A10087" i="20"/>
  <c r="A10086" i="20"/>
  <c r="A10085" i="20"/>
  <c r="A10084" i="20"/>
  <c r="A10083" i="20"/>
  <c r="A10082" i="20"/>
  <c r="A10081" i="20"/>
  <c r="A10080" i="20"/>
  <c r="A10079" i="20"/>
  <c r="A10078" i="20"/>
  <c r="A10077" i="20"/>
  <c r="A10076" i="20"/>
  <c r="A10075" i="20"/>
  <c r="A10074" i="20"/>
  <c r="A10073" i="20"/>
  <c r="A10072" i="20"/>
  <c r="A10071" i="20"/>
  <c r="A10070" i="20"/>
  <c r="A10069" i="20"/>
  <c r="A10068" i="20"/>
  <c r="A10067" i="20"/>
  <c r="A10066" i="20"/>
  <c r="A10065" i="20"/>
  <c r="A10064" i="20"/>
  <c r="A10063" i="20"/>
  <c r="A10062" i="20"/>
  <c r="A10061" i="20"/>
  <c r="A10060" i="20"/>
  <c r="A10059" i="20"/>
  <c r="A10058" i="20"/>
  <c r="A10057" i="20"/>
  <c r="A10056" i="20"/>
  <c r="A10055" i="20"/>
  <c r="A10054" i="20"/>
  <c r="A10053" i="20"/>
  <c r="A10052" i="20"/>
  <c r="A10051" i="20"/>
  <c r="A10050" i="20"/>
  <c r="A10049" i="20"/>
  <c r="A10048" i="20"/>
  <c r="A10047" i="20"/>
  <c r="A10046" i="20"/>
  <c r="A10045" i="20"/>
  <c r="A10044" i="20"/>
  <c r="A10043" i="20"/>
  <c r="A10042" i="20"/>
  <c r="A10041" i="20"/>
  <c r="A10040" i="20"/>
  <c r="A10039" i="20"/>
  <c r="A10038" i="20"/>
  <c r="A10037" i="20"/>
  <c r="A10036" i="20"/>
  <c r="A10035" i="20"/>
  <c r="A10034" i="20"/>
  <c r="A10033" i="20"/>
  <c r="A10032" i="20"/>
  <c r="A10031" i="20"/>
  <c r="A10030" i="20"/>
  <c r="A10029" i="20"/>
  <c r="A10028" i="20"/>
  <c r="A10027" i="20"/>
  <c r="A10026" i="20"/>
  <c r="A10025" i="20"/>
  <c r="A10024" i="20"/>
  <c r="A10023" i="20"/>
  <c r="A10022" i="20"/>
  <c r="A10021" i="20"/>
  <c r="A10020" i="20"/>
  <c r="A10019" i="20"/>
  <c r="A10018" i="20"/>
  <c r="A10017" i="20"/>
  <c r="A10016" i="20"/>
  <c r="A10015" i="20"/>
  <c r="A10014" i="20"/>
  <c r="A10013" i="20"/>
  <c r="A10012" i="20"/>
  <c r="A10011" i="20"/>
  <c r="A10010" i="20"/>
  <c r="A10009" i="20"/>
  <c r="A10008" i="20"/>
  <c r="A10007" i="20"/>
  <c r="A10006" i="20"/>
  <c r="A10005" i="20"/>
  <c r="A10004" i="20"/>
  <c r="A10003" i="20"/>
  <c r="A10002" i="20"/>
  <c r="A10001" i="20"/>
  <c r="A10000" i="20"/>
  <c r="A9999" i="20"/>
  <c r="A9998" i="20"/>
  <c r="A9997" i="20"/>
  <c r="A9996" i="20"/>
  <c r="A9995" i="20"/>
  <c r="A9994" i="20"/>
  <c r="A9993" i="20"/>
  <c r="A9992" i="20"/>
  <c r="A9991" i="20"/>
  <c r="A9990" i="20"/>
  <c r="A9989" i="20"/>
  <c r="A9988" i="20"/>
  <c r="A9987" i="20"/>
  <c r="A9986" i="20"/>
  <c r="A9985" i="20"/>
  <c r="A9984" i="20"/>
  <c r="A9983" i="20"/>
  <c r="A9982" i="20"/>
  <c r="A9981" i="20"/>
  <c r="A9980" i="20"/>
  <c r="A9979" i="20"/>
  <c r="A9978" i="20"/>
  <c r="A9977" i="20"/>
  <c r="A9976" i="20"/>
  <c r="A9975" i="20"/>
  <c r="A9974" i="20"/>
  <c r="A9973" i="20"/>
  <c r="A9972" i="20"/>
  <c r="A9971" i="20"/>
  <c r="A9970" i="20"/>
  <c r="A9969" i="20"/>
  <c r="A9968" i="20"/>
  <c r="A9967" i="20"/>
  <c r="A9966" i="20"/>
  <c r="A9965" i="20"/>
  <c r="A9964" i="20"/>
  <c r="A9963" i="20"/>
  <c r="A9962" i="20"/>
  <c r="A9961" i="20"/>
  <c r="A9960" i="20"/>
  <c r="A9959" i="20"/>
  <c r="A9958" i="20"/>
  <c r="A9957" i="20"/>
  <c r="A9956" i="20"/>
  <c r="A9955" i="20"/>
  <c r="A9954" i="20"/>
  <c r="A9953" i="20"/>
  <c r="A9952" i="20"/>
  <c r="A9951" i="20"/>
  <c r="A9950" i="20"/>
  <c r="A9949" i="20"/>
  <c r="A9948" i="20"/>
  <c r="A9947" i="20"/>
  <c r="A9946" i="20"/>
  <c r="A9945" i="20"/>
  <c r="A9944" i="20"/>
  <c r="A9943" i="20"/>
  <c r="A9942" i="20"/>
  <c r="A9941" i="20"/>
  <c r="A9940" i="20"/>
  <c r="A9939" i="20"/>
  <c r="A9938" i="20"/>
  <c r="A9937" i="20"/>
  <c r="A9936" i="20"/>
  <c r="A9935" i="20"/>
  <c r="A9934" i="20"/>
  <c r="A9933" i="20"/>
  <c r="A9932" i="20"/>
  <c r="A9931" i="20"/>
  <c r="A9930" i="20"/>
  <c r="A9929" i="20"/>
  <c r="A9928" i="20"/>
  <c r="A9927" i="20"/>
  <c r="A9926" i="20"/>
  <c r="A9925" i="20"/>
  <c r="A9924" i="20"/>
  <c r="A9923" i="20"/>
  <c r="A9922" i="20"/>
  <c r="A9921" i="20"/>
  <c r="A9920" i="20"/>
  <c r="A9919" i="20"/>
  <c r="A9918" i="20"/>
  <c r="A9917" i="20"/>
  <c r="A9916" i="20"/>
  <c r="A9915" i="20"/>
  <c r="A9914" i="20"/>
  <c r="A9913" i="20"/>
  <c r="A9912" i="20"/>
  <c r="A9911" i="20"/>
  <c r="A9910" i="20"/>
  <c r="A9909" i="20"/>
  <c r="A9908" i="20"/>
  <c r="A9907" i="20"/>
  <c r="A9906" i="20"/>
  <c r="A9905" i="20"/>
  <c r="A9904" i="20"/>
  <c r="A9903" i="20"/>
  <c r="A9902" i="20"/>
  <c r="A9901" i="20"/>
  <c r="A9900" i="20"/>
  <c r="A9899" i="20"/>
  <c r="A9898" i="20"/>
  <c r="A9897" i="20"/>
  <c r="A9896" i="20"/>
  <c r="A9895" i="20"/>
  <c r="A9894" i="20"/>
  <c r="A9893" i="20"/>
  <c r="A9892" i="20"/>
  <c r="A9891" i="20"/>
  <c r="A9890" i="20"/>
  <c r="A9889" i="20"/>
  <c r="A9888" i="20"/>
  <c r="A9887" i="20"/>
  <c r="A9886" i="20"/>
  <c r="A9885" i="20"/>
  <c r="A9884" i="20"/>
  <c r="A9883" i="20"/>
  <c r="A9882" i="20"/>
  <c r="A9881" i="20"/>
  <c r="A9880" i="20"/>
  <c r="A9879" i="20"/>
  <c r="A9878" i="20"/>
  <c r="A9877" i="20"/>
  <c r="A9876" i="20"/>
  <c r="A9875" i="20"/>
  <c r="A9874" i="20"/>
  <c r="A9873" i="20"/>
  <c r="A9872" i="20"/>
  <c r="A9871" i="20"/>
  <c r="A9870" i="20"/>
  <c r="A9869" i="20"/>
  <c r="A9868" i="20"/>
  <c r="A9867" i="20"/>
  <c r="A9866" i="20"/>
  <c r="A9865" i="20"/>
  <c r="A9864" i="20"/>
  <c r="A9863" i="20"/>
  <c r="A9862" i="20"/>
  <c r="A9861" i="20"/>
  <c r="A9860" i="20"/>
  <c r="A9859" i="20"/>
  <c r="A9858" i="20"/>
  <c r="A9857" i="20"/>
  <c r="A9856" i="20"/>
  <c r="A9855" i="20"/>
  <c r="A9854" i="20"/>
  <c r="A9853" i="20"/>
  <c r="A9852" i="20"/>
  <c r="A9851" i="20"/>
  <c r="A9850" i="20"/>
  <c r="A9849" i="20"/>
  <c r="A9848" i="20"/>
  <c r="A9847" i="20"/>
  <c r="A9846" i="20"/>
  <c r="A9845" i="20"/>
  <c r="A9844" i="20"/>
  <c r="A9843" i="20"/>
  <c r="A9842" i="20"/>
  <c r="A9841" i="20"/>
  <c r="A9840" i="20"/>
  <c r="A9839" i="20"/>
  <c r="A9838" i="20"/>
  <c r="A9837" i="20"/>
  <c r="A9836" i="20"/>
  <c r="A9835" i="20"/>
  <c r="A9834" i="20"/>
  <c r="A9833" i="20"/>
  <c r="A9832" i="20"/>
  <c r="A9831" i="20"/>
  <c r="A9830" i="20"/>
  <c r="A9829" i="20"/>
  <c r="A9828" i="20"/>
  <c r="A9827" i="20"/>
  <c r="A9826" i="20"/>
  <c r="A9825" i="20"/>
  <c r="A9824" i="20"/>
  <c r="A9823" i="20"/>
  <c r="A9822" i="20"/>
  <c r="A9821" i="20"/>
  <c r="A9820" i="20"/>
  <c r="A9819" i="20"/>
  <c r="A9818" i="20"/>
  <c r="A9817" i="20"/>
  <c r="A9816" i="20"/>
  <c r="A9815" i="20"/>
  <c r="A9814" i="20"/>
  <c r="A9813" i="20"/>
  <c r="A9812" i="20"/>
  <c r="A9811" i="20"/>
  <c r="A9810" i="20"/>
  <c r="A9809" i="20"/>
  <c r="A9808" i="20"/>
  <c r="A9807" i="20"/>
  <c r="A9806" i="20"/>
  <c r="A9805" i="20"/>
  <c r="A9804" i="20"/>
  <c r="A9803" i="20"/>
  <c r="A9802" i="20"/>
  <c r="A9801" i="20"/>
  <c r="A9800" i="20"/>
  <c r="A9799" i="20"/>
  <c r="A9798" i="20"/>
  <c r="A9797" i="20"/>
  <c r="A9796" i="20"/>
  <c r="A9795" i="20"/>
  <c r="A9794" i="20"/>
  <c r="A9793" i="20"/>
  <c r="A9792" i="20"/>
  <c r="A9791" i="20"/>
  <c r="A9790" i="20"/>
  <c r="A9789" i="20"/>
  <c r="A9788" i="20"/>
  <c r="A9787" i="20"/>
  <c r="A9786" i="20"/>
  <c r="A9785" i="20"/>
  <c r="A9784" i="20"/>
  <c r="A9783" i="20"/>
  <c r="A9782" i="20"/>
  <c r="A9781" i="20"/>
  <c r="A9780" i="20"/>
  <c r="A9779" i="20"/>
  <c r="A9778" i="20"/>
  <c r="A9777" i="20"/>
  <c r="A9776" i="20"/>
  <c r="A9775" i="20"/>
  <c r="A9774" i="20"/>
  <c r="A9773" i="20"/>
  <c r="A9772" i="20"/>
  <c r="A9771" i="20"/>
  <c r="A9770" i="20"/>
  <c r="A9769" i="20"/>
  <c r="A9768" i="20"/>
  <c r="A9767" i="20"/>
  <c r="A9766" i="20"/>
  <c r="A9765" i="20"/>
  <c r="A9764" i="20"/>
  <c r="A9763" i="20"/>
  <c r="A9762" i="20"/>
  <c r="A9761" i="20"/>
  <c r="A9760" i="20"/>
  <c r="A9759" i="20"/>
  <c r="A9758" i="20"/>
  <c r="A9757" i="20"/>
  <c r="A9756" i="20"/>
  <c r="A9755" i="20"/>
  <c r="A9754" i="20"/>
  <c r="A9753" i="20"/>
  <c r="A9752" i="20"/>
  <c r="A9751" i="20"/>
  <c r="A9750" i="20"/>
  <c r="A9749" i="20"/>
  <c r="A9748" i="20"/>
  <c r="A9747" i="20"/>
  <c r="A9746" i="20"/>
  <c r="A9745" i="20"/>
  <c r="A9744" i="20"/>
  <c r="A9743" i="20"/>
  <c r="A9742" i="20"/>
  <c r="A9741" i="20"/>
  <c r="A9740" i="20"/>
  <c r="A9739" i="20"/>
  <c r="A9738" i="20"/>
  <c r="A9737" i="20"/>
  <c r="A9736" i="20"/>
  <c r="A9735" i="20"/>
  <c r="A9734" i="20"/>
  <c r="A9733" i="20"/>
  <c r="A9732" i="20"/>
  <c r="A9731" i="20"/>
  <c r="A9730" i="20"/>
  <c r="A9729" i="20"/>
  <c r="A9728" i="20"/>
  <c r="A9727" i="20"/>
  <c r="A9726" i="20"/>
  <c r="A9725" i="20"/>
  <c r="A9724" i="20"/>
  <c r="A9723" i="20"/>
  <c r="A9722" i="20"/>
  <c r="A9721" i="20"/>
  <c r="A9720" i="20"/>
  <c r="A9719" i="20"/>
  <c r="A9718" i="20"/>
  <c r="A9717" i="20"/>
  <c r="A9716" i="20"/>
  <c r="A9715" i="20"/>
  <c r="A9714" i="20"/>
  <c r="A9713" i="20"/>
  <c r="A9712" i="20"/>
  <c r="A9711" i="20"/>
  <c r="A9710" i="20"/>
  <c r="A9709" i="20"/>
  <c r="A9708" i="20"/>
  <c r="A9707" i="20"/>
  <c r="A9706" i="20"/>
  <c r="A9705" i="20"/>
  <c r="A9704" i="20"/>
  <c r="A9703" i="20"/>
  <c r="A9702" i="20"/>
  <c r="A9701" i="20"/>
  <c r="A9700" i="20"/>
  <c r="A9699" i="20"/>
  <c r="A9698" i="20"/>
  <c r="A9697" i="20"/>
  <c r="A9696" i="20"/>
  <c r="A9695" i="20"/>
  <c r="A9694" i="20"/>
  <c r="A9693" i="20"/>
  <c r="A9692" i="20"/>
  <c r="A9691" i="20"/>
  <c r="A9690" i="20"/>
  <c r="A9689" i="20"/>
  <c r="A9688" i="20"/>
  <c r="A9687" i="20"/>
  <c r="A9686" i="20"/>
  <c r="A9685" i="20"/>
  <c r="A9684" i="20"/>
  <c r="A9683" i="20"/>
  <c r="A9682" i="20"/>
  <c r="A9681" i="20"/>
  <c r="A9680" i="20"/>
  <c r="A9679" i="20"/>
  <c r="A9678" i="20"/>
  <c r="A9677" i="20"/>
  <c r="A9676" i="20"/>
  <c r="A9675" i="20"/>
  <c r="A9674" i="20"/>
  <c r="A9673" i="20"/>
  <c r="A9672" i="20"/>
  <c r="A9671" i="20"/>
  <c r="A9670" i="20"/>
  <c r="A9669" i="20"/>
  <c r="A9668" i="20"/>
  <c r="A9667" i="20"/>
  <c r="A9666" i="20"/>
  <c r="A9665" i="20"/>
  <c r="A9664" i="20"/>
  <c r="A9663" i="20"/>
  <c r="A9662" i="20"/>
  <c r="A9661" i="20"/>
  <c r="A9660" i="20"/>
  <c r="A9659" i="20"/>
  <c r="A9658" i="20"/>
  <c r="A9657" i="20"/>
  <c r="A9656" i="20"/>
  <c r="A9655" i="20"/>
  <c r="A9654" i="20"/>
  <c r="A9653" i="20"/>
  <c r="A9652" i="20"/>
  <c r="A9651" i="20"/>
  <c r="A9650" i="20"/>
  <c r="A9649" i="20"/>
  <c r="A9648" i="20"/>
  <c r="A9647" i="20"/>
  <c r="A9646" i="20"/>
  <c r="A9645" i="20"/>
  <c r="A9644" i="20"/>
  <c r="A9643" i="20"/>
  <c r="A9642" i="20"/>
  <c r="A9641" i="20"/>
  <c r="A9640" i="20"/>
  <c r="A9639" i="20"/>
  <c r="A9638" i="20"/>
  <c r="A9637" i="20"/>
  <c r="A9636" i="20"/>
  <c r="A9635" i="20"/>
  <c r="A9634" i="20"/>
  <c r="A9633" i="20"/>
  <c r="A9632" i="20"/>
  <c r="A9631" i="20"/>
  <c r="A9630" i="20"/>
  <c r="A9629" i="20"/>
  <c r="A9628" i="20"/>
  <c r="A9627" i="20"/>
  <c r="A9626" i="20"/>
  <c r="A9625" i="20"/>
  <c r="A9624" i="20"/>
  <c r="A9623" i="20"/>
  <c r="A9622" i="20"/>
  <c r="A9621" i="20"/>
  <c r="A9620" i="20"/>
  <c r="A9619" i="20"/>
  <c r="A9618" i="20"/>
  <c r="A9617" i="20"/>
  <c r="A9616" i="20"/>
  <c r="A9615" i="20"/>
  <c r="A9614" i="20"/>
  <c r="A9613" i="20"/>
  <c r="A9612" i="20"/>
  <c r="A9611" i="20"/>
  <c r="A9610" i="20"/>
  <c r="A9609" i="20"/>
  <c r="A9608" i="20"/>
  <c r="A9607" i="20"/>
  <c r="A9606" i="20"/>
  <c r="A9605" i="20"/>
  <c r="A9604" i="20"/>
  <c r="A9603" i="20"/>
  <c r="A9602" i="20"/>
  <c r="A9601" i="20"/>
  <c r="A9600" i="20"/>
  <c r="A9599" i="20"/>
  <c r="A9598" i="20"/>
  <c r="A9597" i="20"/>
  <c r="A9596" i="20"/>
  <c r="A9595" i="20"/>
  <c r="A9594" i="20"/>
  <c r="A9593" i="20"/>
  <c r="A9592" i="20"/>
  <c r="A9591" i="20"/>
  <c r="A9590" i="20"/>
  <c r="A9589" i="20"/>
  <c r="A9588" i="20"/>
  <c r="A9587" i="20"/>
  <c r="A9586" i="20"/>
  <c r="A9585" i="20"/>
  <c r="A9584" i="20"/>
  <c r="A9583" i="20"/>
  <c r="A9582" i="20"/>
  <c r="A9581" i="20"/>
  <c r="A9580" i="20"/>
  <c r="A9579" i="20"/>
  <c r="A9578" i="20"/>
  <c r="A9577" i="20"/>
  <c r="A9576" i="20"/>
  <c r="A9575" i="20"/>
  <c r="A9574" i="20"/>
  <c r="A9573" i="20"/>
  <c r="A9572" i="20"/>
  <c r="A9571" i="20"/>
  <c r="A9570" i="20"/>
  <c r="A9569" i="20"/>
  <c r="A9568" i="20"/>
  <c r="A9567" i="20"/>
  <c r="A9566" i="20"/>
  <c r="A9565" i="20"/>
  <c r="A9564" i="20"/>
  <c r="A9563" i="20"/>
  <c r="A9562" i="20"/>
  <c r="A9561" i="20"/>
  <c r="A9560" i="20"/>
  <c r="A9559" i="20"/>
  <c r="A9558" i="20"/>
  <c r="A9557" i="20"/>
  <c r="A9556" i="20"/>
  <c r="A9555" i="20"/>
  <c r="A9554" i="20"/>
  <c r="A9553" i="20"/>
  <c r="A9552" i="20"/>
  <c r="A9551" i="20"/>
  <c r="A9550" i="20"/>
  <c r="A9549" i="20"/>
  <c r="A9548" i="20"/>
  <c r="A9547" i="20"/>
  <c r="A9546" i="20"/>
  <c r="A9545" i="20"/>
  <c r="A9544" i="20"/>
  <c r="A9543" i="20"/>
  <c r="A9542" i="20"/>
  <c r="A9541" i="20"/>
  <c r="A9540" i="20"/>
  <c r="A9539" i="20"/>
  <c r="A9538" i="20"/>
  <c r="A9537" i="20"/>
  <c r="A9536" i="20"/>
  <c r="A9535" i="20"/>
  <c r="A9534" i="20"/>
  <c r="A9533" i="20"/>
  <c r="A9532" i="20"/>
  <c r="A9531" i="20"/>
  <c r="A9530" i="20"/>
  <c r="A9529" i="20"/>
  <c r="A9528" i="20"/>
  <c r="A9527" i="20"/>
  <c r="A9526" i="20"/>
  <c r="A9525" i="20"/>
  <c r="A9524" i="20"/>
  <c r="A9523" i="20"/>
  <c r="A9522" i="20"/>
  <c r="A9521" i="20"/>
  <c r="A9520" i="20"/>
  <c r="A9519" i="20"/>
  <c r="A9518" i="20"/>
  <c r="A9517" i="20"/>
  <c r="A9516" i="20"/>
  <c r="A9515" i="20"/>
  <c r="A9514" i="20"/>
  <c r="A9513" i="20"/>
  <c r="A9512" i="20"/>
  <c r="A9511" i="20"/>
  <c r="A9510" i="20"/>
  <c r="A9509" i="20"/>
  <c r="A9508" i="20"/>
  <c r="A9507" i="20"/>
  <c r="A9506" i="20"/>
  <c r="A9505" i="20"/>
  <c r="A9504" i="20"/>
  <c r="A9503" i="20"/>
  <c r="A9502" i="20"/>
  <c r="A9501" i="20"/>
  <c r="A9500" i="20"/>
  <c r="A9499" i="20"/>
  <c r="A9498" i="20"/>
  <c r="A9497" i="20"/>
  <c r="A9496" i="20"/>
  <c r="A9495" i="20"/>
  <c r="A9494" i="20"/>
  <c r="A9493" i="20"/>
  <c r="A9492" i="20"/>
  <c r="A9491" i="20"/>
  <c r="A9490" i="20"/>
  <c r="A9489" i="20"/>
  <c r="A9488" i="20"/>
  <c r="A9487" i="20"/>
  <c r="A9486" i="20"/>
  <c r="A9485" i="20"/>
  <c r="A9484" i="20"/>
  <c r="A9483" i="20"/>
  <c r="A9482" i="20"/>
  <c r="A9481" i="20"/>
  <c r="A9480" i="20"/>
  <c r="A9479" i="20"/>
  <c r="A9478" i="20"/>
  <c r="A9477" i="20"/>
  <c r="A9476" i="20"/>
  <c r="A9475" i="20"/>
  <c r="A9474" i="20"/>
  <c r="A9473" i="20"/>
  <c r="A9472" i="20"/>
  <c r="A9471" i="20"/>
  <c r="A9470" i="20"/>
  <c r="A9469" i="20"/>
  <c r="A9468" i="20"/>
  <c r="A9467" i="20"/>
  <c r="A9466" i="20"/>
  <c r="A9465" i="20"/>
  <c r="A9464" i="20"/>
  <c r="A9463" i="20"/>
  <c r="A9462" i="20"/>
  <c r="A9461" i="20"/>
  <c r="A9460" i="20"/>
  <c r="A9459" i="20"/>
  <c r="A9458" i="20"/>
  <c r="A9457" i="20"/>
  <c r="A9456" i="20"/>
  <c r="A9455" i="20"/>
  <c r="A9454" i="20"/>
  <c r="A9453" i="20"/>
  <c r="A9452" i="20"/>
  <c r="A9451" i="20"/>
  <c r="A9450" i="20"/>
  <c r="A9449" i="20"/>
  <c r="A9448" i="20"/>
  <c r="A9447" i="20"/>
  <c r="A9446" i="20"/>
  <c r="A9445" i="20"/>
  <c r="A9444" i="20"/>
  <c r="A9443" i="20"/>
  <c r="A9442" i="20"/>
  <c r="A9441" i="20"/>
  <c r="A9440" i="20"/>
  <c r="A9439" i="20"/>
  <c r="A9438" i="20"/>
  <c r="A9437" i="20"/>
  <c r="A9436" i="20"/>
  <c r="A9435" i="20"/>
  <c r="A9434" i="20"/>
  <c r="A9433" i="20"/>
  <c r="A9432" i="20"/>
  <c r="A9431" i="20"/>
  <c r="A9430" i="20"/>
  <c r="A9429" i="20"/>
  <c r="A9428" i="20"/>
  <c r="A9427" i="20"/>
  <c r="A9426" i="20"/>
  <c r="A9425" i="20"/>
  <c r="A9424" i="20"/>
  <c r="A9423" i="20"/>
  <c r="A9422" i="20"/>
  <c r="A9421" i="20"/>
  <c r="A9420" i="20"/>
  <c r="A9419" i="20"/>
  <c r="A9418" i="20"/>
  <c r="A9417" i="20"/>
  <c r="A9416" i="20"/>
  <c r="A9415" i="20"/>
  <c r="A9414" i="20"/>
  <c r="A9413" i="20"/>
  <c r="A9412" i="20"/>
  <c r="A9411" i="20"/>
  <c r="A9410" i="20"/>
  <c r="A9409" i="20"/>
  <c r="A9408" i="20"/>
  <c r="A9407" i="20"/>
  <c r="A9406" i="20"/>
  <c r="A9405" i="20"/>
  <c r="A9404" i="20"/>
  <c r="A9403" i="20"/>
  <c r="A9402" i="20"/>
  <c r="A9401" i="20"/>
  <c r="A9400" i="20"/>
  <c r="A9399" i="20"/>
  <c r="A9398" i="20"/>
  <c r="A9397" i="20"/>
  <c r="A9396" i="20"/>
  <c r="A9395" i="20"/>
  <c r="A9394" i="20"/>
  <c r="A9393" i="20"/>
  <c r="A9392" i="20"/>
  <c r="A9391" i="20"/>
  <c r="A9390" i="20"/>
  <c r="A9389" i="20"/>
  <c r="A9388" i="20"/>
  <c r="A9387" i="20"/>
  <c r="A9386" i="20"/>
  <c r="A9385" i="20"/>
  <c r="A9384" i="20"/>
  <c r="A9383" i="20"/>
  <c r="A9382" i="20"/>
  <c r="A9381" i="20"/>
  <c r="A9380" i="20"/>
  <c r="A9379" i="20"/>
  <c r="A9378" i="20"/>
  <c r="A9377" i="20"/>
  <c r="A9376" i="20"/>
  <c r="A9375" i="20"/>
  <c r="A9374" i="20"/>
  <c r="A9373" i="20"/>
  <c r="A9372" i="20"/>
  <c r="A9371" i="20"/>
  <c r="A9370" i="20"/>
  <c r="A9369" i="20"/>
  <c r="A9368" i="20"/>
  <c r="A9367" i="20"/>
  <c r="A9366" i="20"/>
  <c r="A9365" i="20"/>
  <c r="A9364" i="20"/>
  <c r="A9363" i="20"/>
  <c r="A9362" i="20"/>
  <c r="A9361" i="20"/>
  <c r="A9360" i="20"/>
  <c r="A9359" i="20"/>
  <c r="A9358" i="20"/>
  <c r="A9357" i="20"/>
  <c r="A9356" i="20"/>
  <c r="A9355" i="20"/>
  <c r="A9354" i="20"/>
  <c r="A9353" i="20"/>
  <c r="A9352" i="20"/>
  <c r="A9351" i="20"/>
  <c r="A9350" i="20"/>
  <c r="A9349" i="20"/>
  <c r="A9348" i="20"/>
  <c r="A9347" i="20"/>
  <c r="A9346" i="20"/>
  <c r="A9345" i="20"/>
  <c r="A9344" i="20"/>
  <c r="A9343" i="20"/>
  <c r="A9342" i="20"/>
  <c r="A9341" i="20"/>
  <c r="A9340" i="20"/>
  <c r="A9339" i="20"/>
  <c r="A9338" i="20"/>
  <c r="A9337" i="20"/>
  <c r="A9336" i="20"/>
  <c r="A9335" i="20"/>
  <c r="A9334" i="20"/>
  <c r="A9333" i="20"/>
  <c r="A9332" i="20"/>
  <c r="A9331" i="20"/>
  <c r="A9330" i="20"/>
  <c r="A9329" i="20"/>
  <c r="A9328" i="20"/>
  <c r="A9327" i="20"/>
  <c r="A9326" i="20"/>
  <c r="A9325" i="20"/>
  <c r="A9324" i="20"/>
  <c r="A9323" i="20"/>
  <c r="A9322" i="20"/>
  <c r="A9321" i="20"/>
  <c r="A9320" i="20"/>
  <c r="A9319" i="20"/>
  <c r="A9318" i="20"/>
  <c r="A9317" i="20"/>
  <c r="A9316" i="20"/>
  <c r="A9315" i="20"/>
  <c r="A9314" i="20"/>
  <c r="A9313" i="20"/>
  <c r="A9312" i="20"/>
  <c r="A9311" i="20"/>
  <c r="A9310" i="20"/>
  <c r="A9309" i="20"/>
  <c r="A9308" i="20"/>
  <c r="A9307" i="20"/>
  <c r="A9306" i="20"/>
  <c r="A9305" i="20"/>
  <c r="A9304" i="20"/>
  <c r="A9303" i="20"/>
  <c r="A9302" i="20"/>
  <c r="A9301" i="20"/>
  <c r="A9300" i="20"/>
  <c r="A9299" i="20"/>
  <c r="A9298" i="20"/>
  <c r="A9297" i="20"/>
  <c r="A9296" i="20"/>
  <c r="A9295" i="20"/>
  <c r="A9294" i="20"/>
  <c r="A9293" i="20"/>
  <c r="A9292" i="20"/>
  <c r="A9291" i="20"/>
  <c r="A9290" i="20"/>
  <c r="A9289" i="20"/>
  <c r="A9288" i="20"/>
  <c r="A9287" i="20"/>
  <c r="A9286" i="20"/>
  <c r="A9285" i="20"/>
  <c r="A9284" i="20"/>
  <c r="A9283" i="20"/>
  <c r="A9282" i="20"/>
  <c r="A9281" i="20"/>
  <c r="A9280" i="20"/>
  <c r="A9279" i="20"/>
  <c r="A9278" i="20"/>
  <c r="A9277" i="20"/>
  <c r="A9276" i="20"/>
  <c r="A9275" i="20"/>
  <c r="A9274" i="20"/>
  <c r="A9273" i="20"/>
  <c r="A9272" i="20"/>
  <c r="A9271" i="20"/>
  <c r="A9270" i="20"/>
  <c r="A9269" i="20"/>
  <c r="A9268" i="20"/>
  <c r="A9267" i="20"/>
  <c r="A9266" i="20"/>
  <c r="A9265" i="20"/>
  <c r="A9264" i="20"/>
  <c r="A9263" i="20"/>
  <c r="A9262" i="20"/>
  <c r="A9261" i="20"/>
  <c r="A9260" i="20"/>
  <c r="A9259" i="20"/>
  <c r="A9258" i="20"/>
  <c r="A9257" i="20"/>
  <c r="A9256" i="20"/>
  <c r="A9255" i="20"/>
  <c r="A9254" i="20"/>
  <c r="A9253" i="20"/>
  <c r="A9252" i="20"/>
  <c r="A9251" i="20"/>
  <c r="A9250" i="20"/>
  <c r="A9249" i="20"/>
  <c r="A9248" i="20"/>
  <c r="A9247" i="20"/>
  <c r="A9246" i="20"/>
  <c r="A9245" i="20"/>
  <c r="A9244" i="20"/>
  <c r="A9243" i="20"/>
  <c r="A9242" i="20"/>
  <c r="A9241" i="20"/>
  <c r="A9240" i="20"/>
  <c r="A9239" i="20"/>
  <c r="A9238" i="20"/>
  <c r="A9237" i="20"/>
  <c r="A9236" i="20"/>
  <c r="A9235" i="20"/>
  <c r="A9234" i="20"/>
  <c r="A9233" i="20"/>
  <c r="A9232" i="20"/>
  <c r="A9231" i="20"/>
  <c r="A9230" i="20"/>
  <c r="A9229" i="20"/>
  <c r="A9228" i="20"/>
  <c r="A9227" i="20"/>
  <c r="A9226" i="20"/>
  <c r="A9225" i="20"/>
  <c r="A9224" i="20"/>
  <c r="A9223" i="20"/>
  <c r="A9222" i="20"/>
  <c r="A9221" i="20"/>
  <c r="A9220" i="20"/>
  <c r="A9219" i="20"/>
  <c r="A9218" i="20"/>
  <c r="A9217" i="20"/>
  <c r="A9216" i="20"/>
  <c r="A9215" i="20"/>
  <c r="A9214" i="20"/>
  <c r="A9213" i="20"/>
  <c r="A9212" i="20"/>
  <c r="A9211" i="20"/>
  <c r="A9210" i="20"/>
  <c r="A9209" i="20"/>
  <c r="A9208" i="20"/>
  <c r="A9207" i="20"/>
  <c r="A9206" i="20"/>
  <c r="A9205" i="20"/>
  <c r="A9204" i="20"/>
  <c r="A9203" i="20"/>
  <c r="A9202" i="20"/>
  <c r="A9201" i="20"/>
  <c r="A9200" i="20"/>
  <c r="A9199" i="20"/>
  <c r="A9198" i="20"/>
  <c r="A9197" i="20"/>
  <c r="A9196" i="20"/>
  <c r="A9195" i="20"/>
  <c r="A9194" i="20"/>
  <c r="A9193" i="20"/>
  <c r="A9192" i="20"/>
  <c r="A9191" i="20"/>
  <c r="A9190" i="20"/>
  <c r="A9189" i="20"/>
  <c r="A9188" i="20"/>
  <c r="A9187" i="20"/>
  <c r="A9186" i="20"/>
  <c r="A9185" i="20"/>
  <c r="A9184" i="20"/>
  <c r="A9183" i="20"/>
  <c r="A9182" i="20"/>
  <c r="A9181" i="20"/>
  <c r="A9180" i="20"/>
  <c r="A9179" i="20"/>
  <c r="A9178" i="20"/>
  <c r="A9177" i="20"/>
  <c r="A9176" i="20"/>
  <c r="A9175" i="20"/>
  <c r="A9174" i="20"/>
  <c r="A9173" i="20"/>
  <c r="A9172" i="20"/>
  <c r="A9171" i="20"/>
  <c r="A9170" i="20"/>
  <c r="A9169" i="20"/>
  <c r="A9168" i="20"/>
  <c r="A9167" i="20"/>
  <c r="A9166" i="20"/>
  <c r="A9165" i="20"/>
  <c r="A9164" i="20"/>
  <c r="A9163" i="20"/>
  <c r="A9162" i="20"/>
  <c r="A9161" i="20"/>
  <c r="A9160" i="20"/>
  <c r="A9159" i="20"/>
  <c r="A9158" i="20"/>
  <c r="A9157" i="20"/>
  <c r="A9156" i="20"/>
  <c r="A9155" i="20"/>
  <c r="A9154" i="20"/>
  <c r="A9153" i="20"/>
  <c r="A9152" i="20"/>
  <c r="A9151" i="20"/>
  <c r="A9150" i="20"/>
  <c r="A9149" i="20"/>
  <c r="A9148" i="20"/>
  <c r="A9147" i="20"/>
  <c r="A9146" i="20"/>
  <c r="A9145" i="20"/>
  <c r="A9144" i="20"/>
  <c r="A9143" i="20"/>
  <c r="A9142" i="20"/>
  <c r="A9141" i="20"/>
  <c r="A9140" i="20"/>
  <c r="A9139" i="20"/>
  <c r="A9138" i="20"/>
  <c r="A9137" i="20"/>
  <c r="A9136" i="20"/>
  <c r="A9135" i="20"/>
  <c r="A9134" i="20"/>
  <c r="A9133" i="20"/>
  <c r="A9132" i="20"/>
  <c r="A9131" i="20"/>
  <c r="A9130" i="20"/>
  <c r="A9129" i="20"/>
  <c r="A9128" i="20"/>
  <c r="A9127" i="20"/>
  <c r="A9126" i="20"/>
  <c r="A9125" i="20"/>
  <c r="A9124" i="20"/>
  <c r="A9123" i="20"/>
  <c r="A9122" i="20"/>
  <c r="A9121" i="20"/>
  <c r="A9120" i="20"/>
  <c r="A9119" i="20"/>
  <c r="A9118" i="20"/>
  <c r="A9117" i="20"/>
  <c r="A9116" i="20"/>
  <c r="A9115" i="20"/>
  <c r="A9114" i="20"/>
  <c r="A9113" i="20"/>
  <c r="A9112" i="20"/>
  <c r="A9111" i="20"/>
  <c r="A9110" i="20"/>
  <c r="A9109" i="20"/>
  <c r="A9108" i="20"/>
  <c r="A9107" i="20"/>
  <c r="A9106" i="20"/>
  <c r="A9105" i="20"/>
  <c r="A9104" i="20"/>
  <c r="A9103" i="20"/>
  <c r="A9102" i="20"/>
  <c r="A9101" i="20"/>
  <c r="A9100" i="20"/>
  <c r="A9099" i="20"/>
  <c r="A9098" i="20"/>
  <c r="A9097" i="20"/>
  <c r="A9096" i="20"/>
  <c r="A9095" i="20"/>
  <c r="A9094" i="20"/>
  <c r="A9093" i="20"/>
  <c r="A9092" i="20"/>
  <c r="A9091" i="20"/>
  <c r="A9090" i="20"/>
  <c r="A9089" i="20"/>
  <c r="A9088" i="20"/>
  <c r="A9087" i="20"/>
  <c r="A9086" i="20"/>
  <c r="A9085" i="20"/>
  <c r="A9084" i="20"/>
  <c r="A9083" i="20"/>
  <c r="A9082" i="20"/>
  <c r="A9081" i="20"/>
  <c r="A9080" i="20"/>
  <c r="A9079" i="20"/>
  <c r="A9078" i="20"/>
  <c r="A9077" i="20"/>
  <c r="A9076" i="20"/>
  <c r="A9075" i="20"/>
  <c r="A9074" i="20"/>
  <c r="A9073" i="20"/>
  <c r="A9072" i="20"/>
  <c r="A9071" i="20"/>
  <c r="A9070" i="20"/>
  <c r="A9069" i="20"/>
  <c r="A9068" i="20"/>
  <c r="A9067" i="20"/>
  <c r="A9066" i="20"/>
  <c r="A9065" i="20"/>
  <c r="A9064" i="20"/>
  <c r="A9063" i="20"/>
  <c r="A9062" i="20"/>
  <c r="A9061" i="20"/>
  <c r="A9060" i="20"/>
  <c r="A9059" i="20"/>
  <c r="A9058" i="20"/>
  <c r="A9057" i="20"/>
  <c r="A9056" i="20"/>
  <c r="A9055" i="20"/>
  <c r="A9054" i="20"/>
  <c r="A9053" i="20"/>
  <c r="A9052" i="20"/>
  <c r="A9051" i="20"/>
  <c r="A9050" i="20"/>
  <c r="A9049" i="20"/>
  <c r="A9048" i="20"/>
  <c r="A9047" i="20"/>
  <c r="A9046" i="20"/>
  <c r="A9045" i="20"/>
  <c r="A9044" i="20"/>
  <c r="A9043" i="20"/>
  <c r="A9042" i="20"/>
  <c r="A9041" i="20"/>
  <c r="A9040" i="20"/>
  <c r="A9039" i="20"/>
  <c r="A9038" i="20"/>
  <c r="A9037" i="20"/>
  <c r="A9036" i="20"/>
  <c r="A9035" i="20"/>
  <c r="A9034" i="20"/>
  <c r="A9033" i="20"/>
  <c r="A9032" i="20"/>
  <c r="A9031" i="20"/>
  <c r="A9030" i="20"/>
  <c r="A9029" i="20"/>
  <c r="A9028" i="20"/>
  <c r="A9027" i="20"/>
  <c r="A9026" i="20"/>
  <c r="A9025" i="20"/>
  <c r="A9024" i="20"/>
  <c r="A9023" i="20"/>
  <c r="A9022" i="20"/>
  <c r="A9021" i="20"/>
  <c r="A9020" i="20"/>
  <c r="A9019" i="20"/>
  <c r="A9018" i="20"/>
  <c r="A9017" i="20"/>
  <c r="A9016" i="20"/>
  <c r="A9015" i="20"/>
  <c r="A9014" i="20"/>
  <c r="A9013" i="20"/>
  <c r="A9012" i="20"/>
  <c r="A9011" i="20"/>
  <c r="A9010" i="20"/>
  <c r="A9009" i="20"/>
  <c r="A9008" i="20"/>
  <c r="A9007" i="20"/>
  <c r="A9006" i="20"/>
  <c r="A9005" i="20"/>
  <c r="A9004" i="20"/>
  <c r="A9003" i="20"/>
  <c r="A9002" i="20"/>
  <c r="A9001" i="20"/>
  <c r="A9000" i="20"/>
  <c r="A8999" i="20"/>
  <c r="A8998" i="20"/>
  <c r="A8997" i="20"/>
  <c r="A8996" i="20"/>
  <c r="A8995" i="20"/>
  <c r="A8994" i="20"/>
  <c r="A8993" i="20"/>
  <c r="A8992" i="20"/>
  <c r="A8991" i="20"/>
  <c r="A8990" i="20"/>
  <c r="A8989" i="20"/>
  <c r="A8988" i="20"/>
  <c r="A8987" i="20"/>
  <c r="A8986" i="20"/>
  <c r="A8985" i="20"/>
  <c r="A8984" i="20"/>
  <c r="A8983" i="20"/>
  <c r="A8982" i="20"/>
  <c r="A8981" i="20"/>
  <c r="A8980" i="20"/>
  <c r="A8979" i="20"/>
  <c r="A8978" i="20"/>
  <c r="A8977" i="20"/>
  <c r="A8976" i="20"/>
  <c r="A8975" i="20"/>
  <c r="A8974" i="20"/>
  <c r="A8973" i="20"/>
  <c r="A8972" i="20"/>
  <c r="A8971" i="20"/>
  <c r="A8970" i="20"/>
  <c r="A8969" i="20"/>
  <c r="A8968" i="20"/>
  <c r="A8967" i="20"/>
  <c r="A8966" i="20"/>
  <c r="A8965" i="20"/>
  <c r="A8964" i="20"/>
  <c r="A8963" i="20"/>
  <c r="A8962" i="20"/>
  <c r="A8961" i="20"/>
  <c r="A8960" i="20"/>
  <c r="A8959" i="20"/>
  <c r="A8958" i="20"/>
  <c r="A8957" i="20"/>
  <c r="A8956" i="20"/>
  <c r="A8955" i="20"/>
  <c r="A8954" i="20"/>
  <c r="A8953" i="20"/>
  <c r="A8952" i="20"/>
  <c r="A8951" i="20"/>
  <c r="A8950" i="20"/>
  <c r="A8949" i="20"/>
  <c r="A8948" i="20"/>
  <c r="A8947" i="20"/>
  <c r="A8946" i="20"/>
  <c r="A8945" i="20"/>
  <c r="A8944" i="20"/>
  <c r="A8943" i="20"/>
  <c r="A8942" i="20"/>
  <c r="A8941" i="20"/>
  <c r="A8940" i="20"/>
  <c r="A8939" i="20"/>
  <c r="A8938" i="20"/>
  <c r="A8937" i="20"/>
  <c r="A8936" i="20"/>
  <c r="A8935" i="20"/>
  <c r="A8934" i="20"/>
  <c r="A8933" i="20"/>
  <c r="A8932" i="20"/>
  <c r="A8931" i="20"/>
  <c r="A8930" i="20"/>
  <c r="A8929" i="20"/>
  <c r="A8928" i="20"/>
  <c r="A8927" i="20"/>
  <c r="A8926" i="20"/>
  <c r="A8925" i="20"/>
  <c r="A8924" i="20"/>
  <c r="A8923" i="20"/>
  <c r="A8922" i="20"/>
  <c r="A8921" i="20"/>
  <c r="A8920" i="20"/>
  <c r="A8919" i="20"/>
  <c r="A8918" i="20"/>
  <c r="A8917" i="20"/>
  <c r="A8916" i="20"/>
  <c r="A8915" i="20"/>
  <c r="A8914" i="20"/>
  <c r="A8913" i="20"/>
  <c r="A8912" i="20"/>
  <c r="A8911" i="20"/>
  <c r="A8910" i="20"/>
  <c r="A8909" i="20"/>
  <c r="A8908" i="20"/>
  <c r="A8907" i="20"/>
  <c r="A8906" i="20"/>
  <c r="A8905" i="20"/>
  <c r="A8904" i="20"/>
  <c r="A8903" i="20"/>
  <c r="A8902" i="20"/>
  <c r="A8901" i="20"/>
  <c r="A8900" i="20"/>
  <c r="A8899" i="20"/>
  <c r="A8898" i="20"/>
  <c r="A8897" i="20"/>
  <c r="A8896" i="20"/>
  <c r="A8895" i="20"/>
  <c r="A8894" i="20"/>
  <c r="A8893" i="20"/>
  <c r="A8892" i="20"/>
  <c r="A8891" i="20"/>
  <c r="A8890" i="20"/>
  <c r="A8889" i="20"/>
  <c r="A8888" i="20"/>
  <c r="A8887" i="20"/>
  <c r="A8886" i="20"/>
  <c r="A8885" i="20"/>
  <c r="A8884" i="20"/>
  <c r="A8883" i="20"/>
  <c r="A8882" i="20"/>
  <c r="A8881" i="20"/>
  <c r="A8880" i="20"/>
  <c r="A8879" i="20"/>
  <c r="A8878" i="20"/>
  <c r="A8877" i="20"/>
  <c r="A8876" i="20"/>
  <c r="A8875" i="20"/>
  <c r="A8874" i="20"/>
  <c r="A8873" i="20"/>
  <c r="A8872" i="20"/>
  <c r="A8871" i="20"/>
  <c r="A8870" i="20"/>
  <c r="A8869" i="20"/>
  <c r="A8868" i="20"/>
  <c r="A8867" i="20"/>
  <c r="A8866" i="20"/>
  <c r="A8865" i="20"/>
  <c r="A8864" i="20"/>
  <c r="A8863" i="20"/>
  <c r="A8862" i="20"/>
  <c r="A8861" i="20"/>
  <c r="A8860" i="20"/>
  <c r="A8859" i="20"/>
  <c r="A8858" i="20"/>
  <c r="A8857" i="20"/>
  <c r="A8856" i="20"/>
  <c r="A8855" i="20"/>
  <c r="A8854" i="20"/>
  <c r="A8853" i="20"/>
  <c r="A8852" i="20"/>
  <c r="A8851" i="20"/>
  <c r="A8850" i="20"/>
  <c r="A8849" i="20"/>
  <c r="A8848" i="20"/>
  <c r="A8847" i="20"/>
  <c r="A8846" i="20"/>
  <c r="A8845" i="20"/>
  <c r="A8844" i="20"/>
  <c r="A8843" i="20"/>
  <c r="A8842" i="20"/>
  <c r="A8841" i="20"/>
  <c r="A8840" i="20"/>
  <c r="A8839" i="20"/>
  <c r="A8838" i="20"/>
  <c r="A8837" i="20"/>
  <c r="A8836" i="20"/>
  <c r="A8835" i="20"/>
  <c r="A8834" i="20"/>
  <c r="A8833" i="20"/>
  <c r="A8832" i="20"/>
  <c r="A8831" i="20"/>
  <c r="A8830" i="20"/>
  <c r="A8829" i="20"/>
  <c r="A8828" i="20"/>
  <c r="A8827" i="20"/>
  <c r="A8826" i="20"/>
  <c r="A8825" i="20"/>
  <c r="A8824" i="20"/>
  <c r="A8823" i="20"/>
  <c r="A8822" i="20"/>
  <c r="A8821" i="20"/>
  <c r="A8820" i="20"/>
  <c r="A8819" i="20"/>
  <c r="A8818" i="20"/>
  <c r="A8817" i="20"/>
  <c r="A8816" i="20"/>
  <c r="A8815" i="20"/>
  <c r="A8814" i="20"/>
  <c r="A8813" i="20"/>
  <c r="A8812" i="20"/>
  <c r="A8811" i="20"/>
  <c r="A8810" i="20"/>
  <c r="A8809" i="20"/>
  <c r="A8808" i="20"/>
  <c r="A8807" i="20"/>
  <c r="A8806" i="20"/>
  <c r="A8805" i="20"/>
  <c r="A8804" i="20"/>
  <c r="A8803" i="20"/>
  <c r="A8802" i="20"/>
  <c r="A8801" i="20"/>
  <c r="A8800" i="20"/>
  <c r="A8799" i="20"/>
  <c r="A8798" i="20"/>
  <c r="A8797" i="20"/>
  <c r="A8796" i="20"/>
  <c r="A8795" i="20"/>
  <c r="A8794" i="20"/>
  <c r="A8793" i="20"/>
  <c r="A8792" i="20"/>
  <c r="A8791" i="20"/>
  <c r="A8790" i="20"/>
  <c r="A8789" i="20"/>
  <c r="A8788" i="20"/>
  <c r="A8787" i="20"/>
  <c r="A8786" i="20"/>
  <c r="A8785" i="20"/>
  <c r="A8784" i="20"/>
  <c r="A8783" i="20"/>
  <c r="A8782" i="20"/>
  <c r="A8781" i="20"/>
  <c r="A8780" i="20"/>
  <c r="A8779" i="20"/>
  <c r="A8778" i="20"/>
  <c r="A8777" i="20"/>
  <c r="A8776" i="20"/>
  <c r="A8775" i="20"/>
  <c r="A8774" i="20"/>
  <c r="A8773" i="20"/>
  <c r="A8772" i="20"/>
  <c r="A8771" i="20"/>
  <c r="A8770" i="20"/>
  <c r="A8769" i="20"/>
  <c r="A8768" i="20"/>
  <c r="A8767" i="20"/>
  <c r="A8766" i="20"/>
  <c r="A8765" i="20"/>
  <c r="A8764" i="20"/>
  <c r="A8763" i="20"/>
  <c r="A8762" i="20"/>
  <c r="A8761" i="20"/>
  <c r="A8760" i="20"/>
  <c r="A8759" i="20"/>
  <c r="A8758" i="20"/>
  <c r="A8757" i="20"/>
  <c r="A8756" i="20"/>
  <c r="A8755" i="20"/>
  <c r="A8754" i="20"/>
  <c r="A8753" i="20"/>
  <c r="A8752" i="20"/>
  <c r="A8751" i="20"/>
  <c r="A8750" i="20"/>
  <c r="A8749" i="20"/>
  <c r="A8748" i="20"/>
  <c r="A8747" i="20"/>
  <c r="A8746" i="20"/>
  <c r="A8745" i="20"/>
  <c r="A8744" i="20"/>
  <c r="A8743" i="20"/>
  <c r="A8742" i="20"/>
  <c r="A8741" i="20"/>
  <c r="A8740" i="20"/>
  <c r="A8739" i="20"/>
  <c r="A8738" i="20"/>
  <c r="A8737" i="20"/>
  <c r="A8736" i="20"/>
  <c r="A8735" i="20"/>
  <c r="A8734" i="20"/>
  <c r="A8733" i="20"/>
  <c r="A8732" i="20"/>
  <c r="A8731" i="20"/>
  <c r="A8730" i="20"/>
  <c r="A8729" i="20"/>
  <c r="A8728" i="20"/>
  <c r="A8727" i="20"/>
  <c r="A8726" i="20"/>
  <c r="A8725" i="20"/>
  <c r="A8724" i="20"/>
  <c r="A8723" i="20"/>
  <c r="A8722" i="20"/>
  <c r="A8721" i="20"/>
  <c r="A8720" i="20"/>
  <c r="A8719" i="20"/>
  <c r="A8718" i="20"/>
  <c r="A8717" i="20"/>
  <c r="A8716" i="20"/>
  <c r="A8715" i="20"/>
  <c r="A8714" i="20"/>
  <c r="A8713" i="20"/>
  <c r="A8712" i="20"/>
  <c r="A8711" i="20"/>
  <c r="A8710" i="20"/>
  <c r="A8709" i="20"/>
  <c r="A8708" i="20"/>
  <c r="A8707" i="20"/>
  <c r="A8706" i="20"/>
  <c r="A8705" i="20"/>
  <c r="A8704" i="20"/>
  <c r="A8703" i="20"/>
  <c r="A8702" i="20"/>
  <c r="A8701" i="20"/>
  <c r="A8700" i="20"/>
  <c r="A8699" i="20"/>
  <c r="A8698" i="20"/>
  <c r="A8697" i="20"/>
  <c r="A8696" i="20"/>
  <c r="A8695" i="20"/>
  <c r="A8694" i="20"/>
  <c r="A8693" i="20"/>
  <c r="A8692" i="20"/>
  <c r="A8691" i="20"/>
  <c r="A8690" i="20"/>
  <c r="A8689" i="20"/>
  <c r="A8688" i="20"/>
  <c r="A8687" i="20"/>
  <c r="A8686" i="20"/>
  <c r="A8685" i="20"/>
  <c r="A8684" i="20"/>
  <c r="A8683" i="20"/>
  <c r="A8682" i="20"/>
  <c r="A8681" i="20"/>
  <c r="A8680" i="20"/>
  <c r="A8679" i="20"/>
  <c r="A8678" i="20"/>
  <c r="A8677" i="20"/>
  <c r="A8676" i="20"/>
  <c r="A8675" i="20"/>
  <c r="A8674" i="20"/>
  <c r="A8673" i="20"/>
  <c r="A8672" i="20"/>
  <c r="A8671" i="20"/>
  <c r="A8670" i="20"/>
  <c r="A8669" i="20"/>
  <c r="A8668" i="20"/>
  <c r="A8667" i="20"/>
  <c r="A8666" i="20"/>
  <c r="A8665" i="20"/>
  <c r="A8664" i="20"/>
  <c r="A8663" i="20"/>
  <c r="A8662" i="20"/>
  <c r="A8661" i="20"/>
  <c r="A8660" i="20"/>
  <c r="A8659" i="20"/>
  <c r="A8658" i="20"/>
  <c r="A8657" i="20"/>
  <c r="A8656" i="20"/>
  <c r="A8655" i="20"/>
  <c r="A8654" i="20"/>
  <c r="A8653" i="20"/>
  <c r="A8652" i="20"/>
  <c r="A8651" i="20"/>
  <c r="A8650" i="20"/>
  <c r="A8649" i="20"/>
  <c r="A8648" i="20"/>
  <c r="A8647" i="20"/>
  <c r="A8646" i="20"/>
  <c r="A8645" i="20"/>
  <c r="A8644" i="20"/>
  <c r="A8643" i="20"/>
  <c r="A8642" i="20"/>
  <c r="A8641" i="20"/>
  <c r="A8640" i="20"/>
  <c r="A8639" i="20"/>
  <c r="A8638" i="20"/>
  <c r="A8637" i="20"/>
  <c r="A8636" i="20"/>
  <c r="A8635" i="20"/>
  <c r="A8634" i="20"/>
  <c r="A8633" i="20"/>
  <c r="A8632" i="20"/>
  <c r="A8631" i="20"/>
  <c r="A8630" i="20"/>
  <c r="A8629" i="20"/>
  <c r="A8628" i="20"/>
  <c r="A8627" i="20"/>
  <c r="A8626" i="20"/>
  <c r="A8625" i="20"/>
  <c r="A8624" i="20"/>
  <c r="A8623" i="20"/>
  <c r="A8622" i="20"/>
  <c r="A8621" i="20"/>
  <c r="A8620" i="20"/>
  <c r="A8619" i="20"/>
  <c r="A8618" i="20"/>
  <c r="A8617" i="20"/>
  <c r="A8616" i="20"/>
  <c r="A8615" i="20"/>
  <c r="A8614" i="20"/>
  <c r="A8613" i="20"/>
  <c r="A8612" i="20"/>
  <c r="A8611" i="20"/>
  <c r="A8610" i="20"/>
  <c r="A8609" i="20"/>
  <c r="A8608" i="20"/>
  <c r="A8607" i="20"/>
  <c r="A8606" i="20"/>
  <c r="A8605" i="20"/>
  <c r="A8604" i="20"/>
  <c r="A8603" i="20"/>
  <c r="A8602" i="20"/>
  <c r="A8601" i="20"/>
  <c r="A8600" i="20"/>
  <c r="A8599" i="20"/>
  <c r="A8598" i="20"/>
  <c r="A8597" i="20"/>
  <c r="A8596" i="20"/>
  <c r="A8595" i="20"/>
  <c r="A8594" i="20"/>
  <c r="A8593" i="20"/>
  <c r="A8592" i="20"/>
  <c r="A8591" i="20"/>
  <c r="A8590" i="20"/>
  <c r="A8589" i="20"/>
  <c r="A8588" i="20"/>
  <c r="A8587" i="20"/>
  <c r="A8586" i="20"/>
  <c r="A8585" i="20"/>
  <c r="A8584" i="20"/>
  <c r="A8583" i="20"/>
  <c r="A8582" i="20"/>
  <c r="A8581" i="20"/>
  <c r="A8580" i="20"/>
  <c r="A8579" i="20"/>
  <c r="A8578" i="20"/>
  <c r="A8577" i="20"/>
  <c r="A8576" i="20"/>
  <c r="A8575" i="20"/>
  <c r="A8574" i="20"/>
  <c r="A8573" i="20"/>
  <c r="A8572" i="20"/>
  <c r="A8571" i="20"/>
  <c r="A8570" i="20"/>
  <c r="A8569" i="20"/>
  <c r="A8568" i="20"/>
  <c r="A8567" i="20"/>
  <c r="A8566" i="20"/>
  <c r="A8565" i="20"/>
  <c r="A8564" i="20"/>
  <c r="A8563" i="20"/>
  <c r="A8562" i="20"/>
  <c r="A8561" i="20"/>
  <c r="A8560" i="20"/>
  <c r="A8559" i="20"/>
  <c r="A8558" i="20"/>
  <c r="A8557" i="20"/>
  <c r="A8556" i="20"/>
  <c r="A8555" i="20"/>
  <c r="A8554" i="20"/>
  <c r="A8553" i="20"/>
  <c r="A8552" i="20"/>
  <c r="A8551" i="20"/>
  <c r="A8550" i="20"/>
  <c r="A8549" i="20"/>
  <c r="A8548" i="20"/>
  <c r="A8547" i="20"/>
  <c r="A8546" i="20"/>
  <c r="A8545" i="20"/>
  <c r="A8544" i="20"/>
  <c r="A8543" i="20"/>
  <c r="A8542" i="20"/>
  <c r="A8541" i="20"/>
  <c r="A8540" i="20"/>
  <c r="A8539" i="20"/>
  <c r="A8538" i="20"/>
  <c r="A8537" i="20"/>
  <c r="A8536" i="20"/>
  <c r="A8535" i="20"/>
  <c r="A8534" i="20"/>
  <c r="A8533" i="20"/>
  <c r="A8532" i="20"/>
  <c r="A8531" i="20"/>
  <c r="A8530" i="20"/>
  <c r="A8529" i="20"/>
  <c r="A8528" i="20"/>
  <c r="A8527" i="20"/>
  <c r="A8526" i="20"/>
  <c r="A8525" i="20"/>
  <c r="A8524" i="20"/>
  <c r="A8523" i="20"/>
  <c r="A8522" i="20"/>
  <c r="A8521" i="20"/>
  <c r="A8520" i="20"/>
  <c r="A8519" i="20"/>
  <c r="A8518" i="20"/>
  <c r="A8517" i="20"/>
  <c r="A8516" i="20"/>
  <c r="A8515" i="20"/>
  <c r="A8514" i="20"/>
  <c r="A8513" i="20"/>
  <c r="A8512" i="20"/>
  <c r="A8511" i="20"/>
  <c r="A8510" i="20"/>
  <c r="A8509" i="20"/>
  <c r="A8508" i="20"/>
  <c r="A8507" i="20"/>
  <c r="A8506" i="20"/>
  <c r="A8505" i="20"/>
  <c r="A8504" i="20"/>
  <c r="A8503" i="20"/>
  <c r="A8502" i="20"/>
  <c r="A8501" i="20"/>
  <c r="A8500" i="20"/>
  <c r="A8499" i="20"/>
  <c r="A8498" i="20"/>
  <c r="A8497" i="20"/>
  <c r="A8496" i="20"/>
  <c r="A8495" i="20"/>
  <c r="A8494" i="20"/>
  <c r="A8493" i="20"/>
  <c r="A8492" i="20"/>
  <c r="A8491" i="20"/>
  <c r="A8490" i="20"/>
  <c r="A8489" i="20"/>
  <c r="A8488" i="20"/>
  <c r="A8487" i="20"/>
  <c r="A8486" i="20"/>
  <c r="A8485" i="20"/>
  <c r="A8484" i="20"/>
  <c r="A8483" i="20"/>
  <c r="A8482" i="20"/>
  <c r="A8481" i="20"/>
  <c r="A8480" i="20"/>
  <c r="A8479" i="20"/>
  <c r="A8478" i="20"/>
  <c r="A8477" i="20"/>
  <c r="A8476" i="20"/>
  <c r="A8475" i="20"/>
  <c r="A8474" i="20"/>
  <c r="A8473" i="20"/>
  <c r="A8472" i="20"/>
  <c r="A8471" i="20"/>
  <c r="A8470" i="20"/>
  <c r="A8469" i="20"/>
  <c r="A8468" i="20"/>
  <c r="A8467" i="20"/>
  <c r="A8466" i="20"/>
  <c r="A8465" i="20"/>
  <c r="A8464" i="20"/>
  <c r="A8463" i="20"/>
  <c r="A8462" i="20"/>
  <c r="A8461" i="20"/>
  <c r="A8460" i="20"/>
  <c r="A8459" i="20"/>
  <c r="A8458" i="20"/>
  <c r="A8457" i="20"/>
  <c r="A8456" i="20"/>
  <c r="A8455" i="20"/>
  <c r="A8454" i="20"/>
  <c r="A8453" i="20"/>
  <c r="A8452" i="20"/>
  <c r="A8451" i="20"/>
  <c r="A8450" i="20"/>
  <c r="A8449" i="20"/>
  <c r="A8448" i="20"/>
  <c r="A8447" i="20"/>
  <c r="A8446" i="20"/>
  <c r="A8445" i="20"/>
  <c r="A8444" i="20"/>
  <c r="A8443" i="20"/>
  <c r="A8442" i="20"/>
  <c r="A8441" i="20"/>
  <c r="A8440" i="20"/>
  <c r="A8439" i="20"/>
  <c r="A8438" i="20"/>
  <c r="A8437" i="20"/>
  <c r="A8436" i="20"/>
  <c r="A8435" i="20"/>
  <c r="A8434" i="20"/>
  <c r="A8433" i="20"/>
  <c r="A8432" i="20"/>
  <c r="A8431" i="20"/>
  <c r="A8430" i="20"/>
  <c r="A8429" i="20"/>
  <c r="A8428" i="20"/>
  <c r="A8427" i="20"/>
  <c r="A8426" i="20"/>
  <c r="A8425" i="20"/>
  <c r="A8424" i="20"/>
  <c r="A8423" i="20"/>
  <c r="A8422" i="20"/>
  <c r="A8421" i="20"/>
  <c r="A8420" i="20"/>
  <c r="A8419" i="20"/>
  <c r="A8418" i="20"/>
  <c r="A8417" i="20"/>
  <c r="A8416" i="20"/>
  <c r="A8415" i="20"/>
  <c r="A8414" i="20"/>
  <c r="A8413" i="20"/>
  <c r="A8412" i="20"/>
  <c r="A8411" i="20"/>
  <c r="A8410" i="20"/>
  <c r="A8409" i="20"/>
  <c r="A8408" i="20"/>
  <c r="A8407" i="20"/>
  <c r="A8406" i="20"/>
  <c r="A8405" i="20"/>
  <c r="A8404" i="20"/>
  <c r="A8403" i="20"/>
  <c r="A8402" i="20"/>
  <c r="A8401" i="20"/>
  <c r="A8400" i="20"/>
  <c r="A8399" i="20"/>
  <c r="A8398" i="20"/>
  <c r="A8397" i="20"/>
  <c r="A8396" i="20"/>
  <c r="A8395" i="20"/>
  <c r="A8394" i="20"/>
  <c r="A8393" i="20"/>
  <c r="A8392" i="20"/>
  <c r="A8391" i="20"/>
  <c r="A8390" i="20"/>
  <c r="A8389" i="20"/>
  <c r="A8388" i="20"/>
  <c r="A8387" i="20"/>
  <c r="A8386" i="20"/>
  <c r="A8385" i="20"/>
  <c r="A8384" i="20"/>
  <c r="A8383" i="20"/>
  <c r="A8382" i="20"/>
  <c r="A8381" i="20"/>
  <c r="A8380" i="20"/>
  <c r="A8379" i="20"/>
  <c r="A8378" i="20"/>
  <c r="A8377" i="20"/>
  <c r="A8376" i="20"/>
  <c r="A8375" i="20"/>
  <c r="A8374" i="20"/>
  <c r="A8373" i="20"/>
  <c r="A8372" i="20"/>
  <c r="A8371" i="20"/>
  <c r="A8370" i="20"/>
  <c r="A8369" i="20"/>
  <c r="A8368" i="20"/>
  <c r="A8367" i="20"/>
  <c r="A8366" i="20"/>
  <c r="A8365" i="20"/>
  <c r="A8364" i="20"/>
  <c r="A8363" i="20"/>
  <c r="A8362" i="20"/>
  <c r="A8361" i="20"/>
  <c r="A8360" i="20"/>
  <c r="A8359" i="20"/>
  <c r="A8358" i="20"/>
  <c r="A8357" i="20"/>
  <c r="A8356" i="20"/>
  <c r="A8355" i="20"/>
  <c r="A8354" i="20"/>
  <c r="A8353" i="20"/>
  <c r="A8352" i="20"/>
  <c r="A8351" i="20"/>
  <c r="A8350" i="20"/>
  <c r="A8349" i="20"/>
  <c r="A8348" i="20"/>
  <c r="A8347" i="20"/>
  <c r="A8346" i="20"/>
  <c r="A8345" i="20"/>
  <c r="A8344" i="20"/>
  <c r="A8343" i="20"/>
  <c r="A8342" i="20"/>
  <c r="A8341" i="20"/>
  <c r="A8340" i="20"/>
  <c r="A8339" i="20"/>
  <c r="A8338" i="20"/>
  <c r="A8337" i="20"/>
  <c r="A8336" i="20"/>
  <c r="A8335" i="20"/>
  <c r="A8334" i="20"/>
  <c r="A8333" i="20"/>
  <c r="A8332" i="20"/>
  <c r="A8331" i="20"/>
  <c r="A8330" i="20"/>
  <c r="A8329" i="20"/>
  <c r="A8328" i="20"/>
  <c r="A8327" i="20"/>
  <c r="A8326" i="20"/>
  <c r="A8325" i="20"/>
  <c r="A8324" i="20"/>
  <c r="A8323" i="20"/>
  <c r="A8322" i="20"/>
  <c r="A8321" i="20"/>
  <c r="A8320" i="20"/>
  <c r="A8319" i="20"/>
  <c r="A8318" i="20"/>
  <c r="A8317" i="20"/>
  <c r="A8316" i="20"/>
  <c r="A8315" i="20"/>
  <c r="A8314" i="20"/>
  <c r="A8313" i="20"/>
  <c r="A8312" i="20"/>
  <c r="A8311" i="20"/>
  <c r="A8310" i="20"/>
  <c r="A8309" i="20"/>
  <c r="A8308" i="20"/>
  <c r="A8307" i="20"/>
  <c r="A8306" i="20"/>
  <c r="A8305" i="20"/>
  <c r="A8304" i="20"/>
  <c r="A8303" i="20"/>
  <c r="A8302" i="20"/>
  <c r="A8301" i="20"/>
  <c r="A8300" i="20"/>
  <c r="A8299" i="20"/>
  <c r="A8298" i="20"/>
  <c r="A8297" i="20"/>
  <c r="A8296" i="20"/>
  <c r="A8295" i="20"/>
  <c r="A8294" i="20"/>
  <c r="A8293" i="20"/>
  <c r="A8292" i="20"/>
  <c r="A8291" i="20"/>
  <c r="A8290" i="20"/>
  <c r="A8289" i="20"/>
  <c r="A8288" i="20"/>
  <c r="A8287" i="20"/>
  <c r="A8286" i="20"/>
  <c r="A8285" i="20"/>
  <c r="A8284" i="20"/>
  <c r="A8283" i="20"/>
  <c r="A8282" i="20"/>
  <c r="A8281" i="20"/>
  <c r="A8280" i="20"/>
  <c r="A8279" i="20"/>
  <c r="A8278" i="20"/>
  <c r="A8277" i="20"/>
  <c r="A8276" i="20"/>
  <c r="A8275" i="20"/>
  <c r="A8274" i="20"/>
  <c r="A8273" i="20"/>
  <c r="A8272" i="20"/>
  <c r="A8271" i="20"/>
  <c r="A8270" i="20"/>
  <c r="A8269" i="20"/>
  <c r="A8268" i="20"/>
  <c r="A8267" i="20"/>
  <c r="A8266" i="20"/>
  <c r="A8265" i="20"/>
  <c r="A8264" i="20"/>
  <c r="A8263" i="20"/>
  <c r="A8262" i="20"/>
  <c r="A8261" i="20"/>
  <c r="A8260" i="20"/>
  <c r="A8259" i="20"/>
  <c r="A8258" i="20"/>
  <c r="A8257" i="20"/>
  <c r="A8256" i="20"/>
  <c r="A8255" i="20"/>
  <c r="A8254" i="20"/>
  <c r="A8253" i="20"/>
  <c r="A8252" i="20"/>
  <c r="A8251" i="20"/>
  <c r="A8250" i="20"/>
  <c r="A8249" i="20"/>
  <c r="A8248" i="20"/>
  <c r="A8247" i="20"/>
  <c r="A8246" i="20"/>
  <c r="A8245" i="20"/>
  <c r="A8244" i="20"/>
  <c r="A8243" i="20"/>
  <c r="A8242" i="20"/>
  <c r="A8241" i="20"/>
  <c r="A8240" i="20"/>
  <c r="A8239" i="20"/>
  <c r="A8238" i="20"/>
  <c r="A8237" i="20"/>
  <c r="A8236" i="20"/>
  <c r="A8235" i="20"/>
  <c r="A8234" i="20"/>
  <c r="A8233" i="20"/>
  <c r="A8232" i="20"/>
  <c r="A8231" i="20"/>
  <c r="A8230" i="20"/>
  <c r="A8229" i="20"/>
  <c r="A8228" i="20"/>
  <c r="A8227" i="20"/>
  <c r="A8226" i="20"/>
  <c r="A8225" i="20"/>
  <c r="A8224" i="20"/>
  <c r="A8223" i="20"/>
  <c r="A8222" i="20"/>
  <c r="A8221" i="20"/>
  <c r="A8220" i="20"/>
  <c r="A8219" i="20"/>
  <c r="A8218" i="20"/>
  <c r="A8217" i="20"/>
  <c r="A8216" i="20"/>
  <c r="A8215" i="20"/>
  <c r="A8214" i="20"/>
  <c r="A8213" i="20"/>
  <c r="A8212" i="20"/>
  <c r="A8211" i="20"/>
  <c r="A8210" i="20"/>
  <c r="A8209" i="20"/>
  <c r="A8208" i="20"/>
  <c r="A8207" i="20"/>
  <c r="A8206" i="20"/>
  <c r="A8205" i="20"/>
  <c r="A8204" i="20"/>
  <c r="A8203" i="20"/>
  <c r="A8202" i="20"/>
  <c r="A8201" i="20"/>
  <c r="A8200" i="20"/>
  <c r="A8199" i="20"/>
  <c r="A8198" i="20"/>
  <c r="A8197" i="20"/>
  <c r="A8196" i="20"/>
  <c r="A8195" i="20"/>
  <c r="A8194" i="20"/>
  <c r="A8193" i="20"/>
  <c r="A8192" i="20"/>
  <c r="A8191" i="20"/>
  <c r="A8190" i="20"/>
  <c r="A8189" i="20"/>
  <c r="A8188" i="20"/>
  <c r="A8187" i="20"/>
  <c r="A8186" i="20"/>
  <c r="A8185" i="20"/>
  <c r="A8184" i="20"/>
  <c r="A8183" i="20"/>
  <c r="A8182" i="20"/>
  <c r="A8181" i="20"/>
  <c r="A8180" i="20"/>
  <c r="A8179" i="20"/>
  <c r="A8178" i="20"/>
  <c r="A8177" i="20"/>
  <c r="A8176" i="20"/>
  <c r="A8175" i="20"/>
  <c r="A8174" i="20"/>
  <c r="A8173" i="20"/>
  <c r="A8172" i="20"/>
  <c r="A8171" i="20"/>
  <c r="A8170" i="20"/>
  <c r="A8169" i="20"/>
  <c r="A8168" i="20"/>
  <c r="A8167" i="20"/>
  <c r="A8166" i="20"/>
  <c r="A8165" i="20"/>
  <c r="A8164" i="20"/>
  <c r="A8163" i="20"/>
  <c r="A8162" i="20"/>
  <c r="A8161" i="20"/>
  <c r="A8160" i="20"/>
  <c r="A8159" i="20"/>
  <c r="A8158" i="20"/>
  <c r="A8157" i="20"/>
  <c r="A8156" i="20"/>
  <c r="A8155" i="20"/>
  <c r="A8154" i="20"/>
  <c r="A8153" i="20"/>
  <c r="A8152" i="20"/>
  <c r="A8151" i="20"/>
  <c r="A8150" i="20"/>
  <c r="A8149" i="20"/>
  <c r="A8148" i="20"/>
  <c r="A8147" i="20"/>
  <c r="A8146" i="20"/>
  <c r="A8145" i="20"/>
  <c r="A8144" i="20"/>
  <c r="A8143" i="20"/>
  <c r="A8142" i="20"/>
  <c r="A8141" i="20"/>
  <c r="A8140" i="20"/>
  <c r="A8139" i="20"/>
  <c r="A8138" i="20"/>
  <c r="A8137" i="20"/>
  <c r="A8136" i="20"/>
  <c r="A8135" i="20"/>
  <c r="A8134" i="20"/>
  <c r="A8133" i="20"/>
  <c r="A8132" i="20"/>
  <c r="A8131" i="20"/>
  <c r="A8130" i="20"/>
  <c r="A8129" i="20"/>
  <c r="A8128" i="20"/>
  <c r="A8127" i="20"/>
  <c r="A8126" i="20"/>
  <c r="A8125" i="20"/>
  <c r="A8124" i="20"/>
  <c r="A8123" i="20"/>
  <c r="A8122" i="20"/>
  <c r="A8121" i="20"/>
  <c r="A8120" i="20"/>
  <c r="A8119" i="20"/>
  <c r="A8118" i="20"/>
  <c r="A8117" i="20"/>
  <c r="A8116" i="20"/>
  <c r="A8115" i="20"/>
  <c r="A8114" i="20"/>
  <c r="A8113" i="20"/>
  <c r="A8112" i="20"/>
  <c r="A8111" i="20"/>
  <c r="A8110" i="20"/>
  <c r="A8109" i="20"/>
  <c r="A8108" i="20"/>
  <c r="A8107" i="20"/>
  <c r="A8106" i="20"/>
  <c r="A8105" i="20"/>
  <c r="A8104" i="20"/>
  <c r="A8103" i="20"/>
  <c r="A8102" i="20"/>
  <c r="A8101" i="20"/>
  <c r="A8100" i="20"/>
  <c r="A8099" i="20"/>
  <c r="A8098" i="20"/>
  <c r="A8097" i="20"/>
  <c r="A8096" i="20"/>
  <c r="A8095" i="20"/>
  <c r="A8094" i="20"/>
  <c r="A8093" i="20"/>
  <c r="A8092" i="20"/>
  <c r="A8091" i="20"/>
  <c r="A8090" i="20"/>
  <c r="A8089" i="20"/>
  <c r="A8088" i="20"/>
  <c r="A8087" i="20"/>
  <c r="A8086" i="20"/>
  <c r="A8085" i="20"/>
  <c r="A8084" i="20"/>
  <c r="A8083" i="20"/>
  <c r="A8082" i="20"/>
  <c r="A8081" i="20"/>
  <c r="A8080" i="20"/>
  <c r="A8079" i="20"/>
  <c r="A8078" i="20"/>
  <c r="A8077" i="20"/>
  <c r="A8076" i="20"/>
  <c r="A8075" i="20"/>
  <c r="A8074" i="20"/>
  <c r="A8073" i="20"/>
  <c r="A8072" i="20"/>
  <c r="A8071" i="20"/>
  <c r="A8070" i="20"/>
  <c r="A8069" i="20"/>
  <c r="A8068" i="20"/>
  <c r="A8067" i="20"/>
  <c r="A8066" i="20"/>
  <c r="A8065" i="20"/>
  <c r="A8064" i="20"/>
  <c r="A8063" i="20"/>
  <c r="A8062" i="20"/>
  <c r="A8061" i="20"/>
  <c r="A8060" i="20"/>
  <c r="A8059" i="20"/>
  <c r="A8058" i="20"/>
  <c r="A8057" i="20"/>
  <c r="A8056" i="20"/>
  <c r="A8055" i="20"/>
  <c r="A8054" i="20"/>
  <c r="A8053" i="20"/>
  <c r="A8052" i="20"/>
  <c r="A8051" i="20"/>
  <c r="A8050" i="20"/>
  <c r="A8049" i="20"/>
  <c r="A8048" i="20"/>
  <c r="A8047" i="20"/>
  <c r="A8046" i="20"/>
  <c r="A8045" i="20"/>
  <c r="A8044" i="20"/>
  <c r="A8043" i="20"/>
  <c r="A8042" i="20"/>
  <c r="A8041" i="20"/>
  <c r="A8040" i="20"/>
  <c r="A8039" i="20"/>
  <c r="A8038" i="20"/>
  <c r="A8037" i="20"/>
  <c r="A8036" i="20"/>
  <c r="A8035" i="20"/>
  <c r="A8034" i="20"/>
  <c r="A8033" i="20"/>
  <c r="A8032" i="20"/>
  <c r="A8031" i="20"/>
  <c r="A8030" i="20"/>
  <c r="A8029" i="20"/>
  <c r="A8028" i="20"/>
  <c r="A8027" i="20"/>
  <c r="A8026" i="20"/>
  <c r="A8025" i="20"/>
  <c r="A8024" i="20"/>
  <c r="A8023" i="20"/>
  <c r="A8022" i="20"/>
  <c r="A8021" i="20"/>
  <c r="A8020" i="20"/>
  <c r="A8019" i="20"/>
  <c r="A8018" i="20"/>
  <c r="A8017" i="20"/>
  <c r="A8016" i="20"/>
  <c r="A8015" i="20"/>
  <c r="A8014" i="20"/>
  <c r="A8013" i="20"/>
  <c r="A8012" i="20"/>
  <c r="A8011" i="20"/>
  <c r="A8010" i="20"/>
  <c r="A8009" i="20"/>
  <c r="A8008" i="20"/>
  <c r="A8007" i="20"/>
  <c r="A8006" i="20"/>
  <c r="A8005" i="20"/>
  <c r="A8004" i="20"/>
  <c r="A8003" i="20"/>
  <c r="A8002" i="20"/>
  <c r="A8001" i="20"/>
  <c r="A8000" i="20"/>
  <c r="A7999" i="20"/>
  <c r="A7998" i="20"/>
  <c r="A7997" i="20"/>
  <c r="A7996" i="20"/>
  <c r="A7995" i="20"/>
  <c r="A7994" i="20"/>
  <c r="A7993" i="20"/>
  <c r="A7992" i="20"/>
  <c r="A7991" i="20"/>
  <c r="A7990" i="20"/>
  <c r="A7989" i="20"/>
  <c r="A7988" i="20"/>
  <c r="A7987" i="20"/>
  <c r="A7986" i="20"/>
  <c r="A7985" i="20"/>
  <c r="A7984" i="20"/>
  <c r="A7983" i="20"/>
  <c r="A7982" i="20"/>
  <c r="A7981" i="20"/>
  <c r="A7980" i="20"/>
  <c r="A7979" i="20"/>
  <c r="A7978" i="20"/>
  <c r="A7977" i="20"/>
  <c r="A7976" i="20"/>
  <c r="A7975" i="20"/>
  <c r="A7974" i="20"/>
  <c r="A7973" i="20"/>
  <c r="A7972" i="20"/>
  <c r="A7971" i="20"/>
  <c r="A7970" i="20"/>
  <c r="A7969" i="20"/>
  <c r="A7968" i="20"/>
  <c r="A7967" i="20"/>
  <c r="A7966" i="20"/>
  <c r="A7965" i="20"/>
  <c r="A7964" i="20"/>
  <c r="A7963" i="20"/>
  <c r="A7962" i="20"/>
  <c r="A7961" i="20"/>
  <c r="A7960" i="20"/>
  <c r="A7959" i="20"/>
  <c r="A7958" i="20"/>
  <c r="A7957" i="20"/>
  <c r="A7956" i="20"/>
  <c r="A7955" i="20"/>
  <c r="A7954" i="20"/>
  <c r="A7953" i="20"/>
  <c r="A7952" i="20"/>
  <c r="A7951" i="20"/>
  <c r="A7950" i="20"/>
  <c r="A7949" i="20"/>
  <c r="A7948" i="20"/>
  <c r="A7947" i="20"/>
  <c r="A7946" i="20"/>
  <c r="A7945" i="20"/>
  <c r="A7944" i="20"/>
  <c r="A7943" i="20"/>
  <c r="A7942" i="20"/>
  <c r="A7941" i="20"/>
  <c r="A7940" i="20"/>
  <c r="A7939" i="20"/>
  <c r="A7938" i="20"/>
  <c r="A7937" i="20"/>
  <c r="A7936" i="20"/>
  <c r="A7935" i="20"/>
  <c r="A7934" i="20"/>
  <c r="A7933" i="20"/>
  <c r="A7932" i="20"/>
  <c r="A7931" i="20"/>
  <c r="A7930" i="20"/>
  <c r="A7929" i="20"/>
  <c r="A7928" i="20"/>
  <c r="A7927" i="20"/>
  <c r="A7926" i="20"/>
  <c r="A7925" i="20"/>
  <c r="A7924" i="20"/>
  <c r="A7923" i="20"/>
  <c r="A7922" i="20"/>
  <c r="A7921" i="20"/>
  <c r="A7920" i="20"/>
  <c r="A7919" i="20"/>
  <c r="A7918" i="20"/>
  <c r="A7917" i="20"/>
  <c r="A7916" i="20"/>
  <c r="A7915" i="20"/>
  <c r="A7914" i="20"/>
  <c r="A7913" i="20"/>
  <c r="A7912" i="20"/>
  <c r="A7911" i="20"/>
  <c r="A7910" i="20"/>
  <c r="A7909" i="20"/>
  <c r="A7908" i="20"/>
  <c r="A7907" i="20"/>
  <c r="A7906" i="20"/>
  <c r="A7905" i="20"/>
  <c r="A7904" i="20"/>
  <c r="A7903" i="20"/>
  <c r="A7902" i="20"/>
  <c r="A7901" i="20"/>
  <c r="A7900" i="20"/>
  <c r="A7899" i="20"/>
  <c r="A7898" i="20"/>
  <c r="A7897" i="20"/>
  <c r="A7896" i="20"/>
  <c r="A7895" i="20"/>
  <c r="A7894" i="20"/>
  <c r="A7893" i="20"/>
  <c r="A7892" i="20"/>
  <c r="A7891" i="20"/>
  <c r="A7890" i="20"/>
  <c r="A7889" i="20"/>
  <c r="A7888" i="20"/>
  <c r="A7887" i="20"/>
  <c r="A7886" i="20"/>
  <c r="A7885" i="20"/>
  <c r="A7884" i="20"/>
  <c r="A7883" i="20"/>
  <c r="A7882" i="20"/>
  <c r="A7881" i="20"/>
  <c r="A7880" i="20"/>
  <c r="A7879" i="20"/>
  <c r="A7878" i="20"/>
  <c r="A7877" i="20"/>
  <c r="A7876" i="20"/>
  <c r="A7875" i="20"/>
  <c r="A7874" i="20"/>
  <c r="A7873" i="20"/>
  <c r="A7872" i="20"/>
  <c r="A7871" i="20"/>
  <c r="A7870" i="20"/>
  <c r="A7869" i="20"/>
  <c r="A7868" i="20"/>
  <c r="A7867" i="20"/>
  <c r="A7866" i="20"/>
  <c r="A7865" i="20"/>
  <c r="A7864" i="20"/>
  <c r="A7863" i="20"/>
  <c r="A7862" i="20"/>
  <c r="A7861" i="20"/>
  <c r="A7860" i="20"/>
  <c r="A7859" i="20"/>
  <c r="A7858" i="20"/>
  <c r="A7857" i="20"/>
  <c r="A7856" i="20"/>
  <c r="A7855" i="20"/>
  <c r="A7854" i="20"/>
  <c r="A7853" i="20"/>
  <c r="A7852" i="20"/>
  <c r="A7851" i="20"/>
  <c r="A7850" i="20"/>
  <c r="A7849" i="20"/>
  <c r="A7848" i="20"/>
  <c r="A7847" i="20"/>
  <c r="A7846" i="20"/>
  <c r="A7845" i="20"/>
  <c r="A7844" i="20"/>
  <c r="A7843" i="20"/>
  <c r="A7842" i="20"/>
  <c r="A7841" i="20"/>
  <c r="A7840" i="20"/>
  <c r="A7839" i="20"/>
  <c r="A7838" i="20"/>
  <c r="A7837" i="20"/>
  <c r="A7836" i="20"/>
  <c r="A7835" i="20"/>
  <c r="A7834" i="20"/>
  <c r="A7833" i="20"/>
  <c r="A7832" i="20"/>
  <c r="A7831" i="20"/>
  <c r="A7830" i="20"/>
  <c r="A7829" i="20"/>
  <c r="A7828" i="20"/>
  <c r="A7827" i="20"/>
  <c r="A7826" i="20"/>
  <c r="A7825" i="20"/>
  <c r="A7824" i="20"/>
  <c r="A7823" i="20"/>
  <c r="A7822" i="20"/>
  <c r="A7821" i="20"/>
  <c r="A7820" i="20"/>
  <c r="A7819" i="20"/>
  <c r="A7818" i="20"/>
  <c r="A7817" i="20"/>
  <c r="A7816" i="20"/>
  <c r="A7815" i="20"/>
  <c r="A7814" i="20"/>
  <c r="A7813" i="20"/>
  <c r="A7812" i="20"/>
  <c r="A7811" i="20"/>
  <c r="A7810" i="20"/>
  <c r="A7809" i="20"/>
  <c r="A7808" i="20"/>
  <c r="A7807" i="20"/>
  <c r="A7806" i="20"/>
  <c r="A7805" i="20"/>
  <c r="A7804" i="20"/>
  <c r="A7803" i="20"/>
  <c r="A7802" i="20"/>
  <c r="A7801" i="20"/>
  <c r="A7800" i="20"/>
  <c r="A7799" i="20"/>
  <c r="A7798" i="20"/>
  <c r="A7797" i="20"/>
  <c r="A7796" i="20"/>
  <c r="A7795" i="20"/>
  <c r="A7794" i="20"/>
  <c r="A7793" i="20"/>
  <c r="A7792" i="20"/>
  <c r="A7791" i="20"/>
  <c r="A7790" i="20"/>
  <c r="A7789" i="20"/>
  <c r="A7788" i="20"/>
  <c r="A7787" i="20"/>
  <c r="A7786" i="20"/>
  <c r="A7785" i="20"/>
  <c r="A7784" i="20"/>
  <c r="A7783" i="20"/>
  <c r="A7782" i="20"/>
  <c r="A7781" i="20"/>
  <c r="A7780" i="20"/>
  <c r="A7779" i="20"/>
  <c r="A7778" i="20"/>
  <c r="A7777" i="20"/>
  <c r="A7776" i="20"/>
  <c r="A7775" i="20"/>
  <c r="A7774" i="20"/>
  <c r="A7773" i="20"/>
  <c r="A7772" i="20"/>
  <c r="A7771" i="20"/>
  <c r="A7770" i="20"/>
  <c r="A7769" i="20"/>
  <c r="A7768" i="20"/>
  <c r="A7767" i="20"/>
  <c r="A7766" i="20"/>
  <c r="A7765" i="20"/>
  <c r="A7764" i="20"/>
  <c r="A7763" i="20"/>
  <c r="A7762" i="20"/>
  <c r="A7761" i="20"/>
  <c r="A7760" i="20"/>
  <c r="A7759" i="20"/>
  <c r="A7758" i="20"/>
  <c r="A7757" i="20"/>
  <c r="A7756" i="20"/>
  <c r="A7755" i="20"/>
  <c r="A7754" i="20"/>
  <c r="A7753" i="20"/>
  <c r="A7752" i="20"/>
  <c r="A7751" i="20"/>
  <c r="A7750" i="20"/>
  <c r="A7749" i="20"/>
  <c r="A7748" i="20"/>
  <c r="A7747" i="20"/>
  <c r="A7746" i="20"/>
  <c r="A7745" i="20"/>
  <c r="A7744" i="20"/>
  <c r="A7743" i="20"/>
  <c r="A7742" i="20"/>
  <c r="A7741" i="20"/>
  <c r="A7740" i="20"/>
  <c r="A7739" i="20"/>
  <c r="A7738" i="20"/>
  <c r="A7737" i="20"/>
  <c r="A7736" i="20"/>
  <c r="A7735" i="20"/>
  <c r="A7734" i="20"/>
  <c r="A7733" i="20"/>
  <c r="A7732" i="20"/>
  <c r="A7731" i="20"/>
  <c r="A7730" i="20"/>
  <c r="A7729" i="20"/>
  <c r="A7728" i="20"/>
  <c r="A7727" i="20"/>
  <c r="A7726" i="20"/>
  <c r="A7725" i="20"/>
  <c r="A7724" i="20"/>
  <c r="A7723" i="20"/>
  <c r="A7722" i="20"/>
  <c r="A7721" i="20"/>
  <c r="A7720" i="20"/>
  <c r="A7719" i="20"/>
  <c r="A7718" i="20"/>
  <c r="A7717" i="20"/>
  <c r="A7716" i="20"/>
  <c r="A7715" i="20"/>
  <c r="A7714" i="20"/>
  <c r="A7713" i="20"/>
  <c r="A7712" i="20"/>
  <c r="A7711" i="20"/>
  <c r="A7710" i="20"/>
  <c r="A7709" i="20"/>
  <c r="A7708" i="20"/>
  <c r="A7707" i="20"/>
  <c r="A7706" i="20"/>
  <c r="A7705" i="20"/>
  <c r="A7704" i="20"/>
  <c r="A7703" i="20"/>
  <c r="A7702" i="20"/>
  <c r="A7701" i="20"/>
  <c r="A7700" i="20"/>
  <c r="A7699" i="20"/>
  <c r="A7698" i="20"/>
  <c r="A7697" i="20"/>
  <c r="A7696" i="20"/>
  <c r="A7695" i="20"/>
  <c r="A7694" i="20"/>
  <c r="A7693" i="20"/>
  <c r="A7692" i="20"/>
  <c r="A7691" i="20"/>
  <c r="A7690" i="20"/>
  <c r="A7689" i="20"/>
  <c r="A7688" i="20"/>
  <c r="A7687" i="20"/>
  <c r="A7686" i="20"/>
  <c r="A7685" i="20"/>
  <c r="A7684" i="20"/>
  <c r="A7683" i="20"/>
  <c r="A7682" i="20"/>
  <c r="A7681" i="20"/>
  <c r="A7680" i="20"/>
  <c r="A7679" i="20"/>
  <c r="A7678" i="20"/>
  <c r="A7677" i="20"/>
  <c r="A7676" i="20"/>
  <c r="A7675" i="20"/>
  <c r="A7674" i="20"/>
  <c r="A7673" i="20"/>
  <c r="A7672" i="20"/>
  <c r="A7671" i="20"/>
  <c r="A7670" i="20"/>
  <c r="A7669" i="20"/>
  <c r="A7668" i="20"/>
  <c r="A7667" i="20"/>
  <c r="A7666" i="20"/>
  <c r="A7665" i="20"/>
  <c r="A7664" i="20"/>
  <c r="A7663" i="20"/>
  <c r="A7662" i="20"/>
  <c r="A7661" i="20"/>
  <c r="A7660" i="20"/>
  <c r="A7659" i="20"/>
  <c r="A7658" i="20"/>
  <c r="A7657" i="20"/>
  <c r="A7656" i="20"/>
  <c r="A7655" i="20"/>
  <c r="A7654" i="20"/>
  <c r="A7653" i="20"/>
  <c r="A7652" i="20"/>
  <c r="A7651" i="20"/>
  <c r="A7650" i="20"/>
  <c r="A7649" i="20"/>
  <c r="A7648" i="20"/>
  <c r="A7647" i="20"/>
  <c r="A7646" i="20"/>
  <c r="A7645" i="20"/>
  <c r="A7644" i="20"/>
  <c r="A7643" i="20"/>
  <c r="A7642" i="20"/>
  <c r="A7641" i="20"/>
  <c r="A7640" i="20"/>
  <c r="A7639" i="20"/>
  <c r="A7638" i="20"/>
  <c r="A7637" i="20"/>
  <c r="A7636" i="20"/>
  <c r="A7635" i="20"/>
  <c r="A7634" i="20"/>
  <c r="A7633" i="20"/>
  <c r="A7632" i="20"/>
  <c r="A7631" i="20"/>
  <c r="A7630" i="20"/>
  <c r="A7629" i="20"/>
  <c r="A7628" i="20"/>
  <c r="A7627" i="20"/>
  <c r="A7626" i="20"/>
  <c r="A7625" i="20"/>
  <c r="A7624" i="20"/>
  <c r="A7623" i="20"/>
  <c r="A7622" i="20"/>
  <c r="A7621" i="20"/>
  <c r="A7620" i="20"/>
  <c r="A7619" i="20"/>
  <c r="A7618" i="20"/>
  <c r="A7617" i="20"/>
  <c r="A7616" i="20"/>
  <c r="A7615" i="20"/>
  <c r="A7614" i="20"/>
  <c r="A7613" i="20"/>
  <c r="A7612" i="20"/>
  <c r="A7611" i="20"/>
  <c r="A7610" i="20"/>
  <c r="A7609" i="20"/>
  <c r="A7608" i="20"/>
  <c r="A7607" i="20"/>
  <c r="A7606" i="20"/>
  <c r="A7605" i="20"/>
  <c r="A7604" i="20"/>
  <c r="A7603" i="20"/>
  <c r="A7602" i="20"/>
  <c r="A7601" i="20"/>
  <c r="A7600" i="20"/>
  <c r="A7599" i="20"/>
  <c r="A7598" i="20"/>
  <c r="A7597" i="20"/>
  <c r="A7596" i="20"/>
  <c r="A7595" i="20"/>
  <c r="A7594" i="20"/>
  <c r="A7593" i="20"/>
  <c r="A7592" i="20"/>
  <c r="A7591" i="20"/>
  <c r="A7590" i="20"/>
  <c r="A7589" i="20"/>
  <c r="A7588" i="20"/>
  <c r="A7587" i="20"/>
  <c r="A7586" i="20"/>
  <c r="A7585" i="20"/>
  <c r="A7584" i="20"/>
  <c r="A7583" i="20"/>
  <c r="A7582" i="20"/>
  <c r="A7581" i="20"/>
  <c r="A7580" i="20"/>
  <c r="A7579" i="20"/>
  <c r="A7578" i="20"/>
  <c r="A7577" i="20"/>
  <c r="A7576" i="20"/>
  <c r="A7575" i="20"/>
  <c r="A7574" i="20"/>
  <c r="A7573" i="20"/>
  <c r="A7572" i="20"/>
  <c r="A7571" i="20"/>
  <c r="A7570" i="20"/>
  <c r="A7569" i="20"/>
  <c r="A7568" i="20"/>
  <c r="A7567" i="20"/>
  <c r="A7566" i="20"/>
  <c r="A7565" i="20"/>
  <c r="A7564" i="20"/>
  <c r="A7563" i="20"/>
  <c r="A7562" i="20"/>
  <c r="A7561" i="20"/>
  <c r="A7560" i="20"/>
  <c r="A7559" i="20"/>
  <c r="A7558" i="20"/>
  <c r="A7557" i="20"/>
  <c r="A7556" i="20"/>
  <c r="A7555" i="20"/>
  <c r="A7554" i="20"/>
  <c r="A7553" i="20"/>
  <c r="A7552" i="20"/>
  <c r="A7551" i="20"/>
  <c r="A7550" i="20"/>
  <c r="A7549" i="20"/>
  <c r="A7548" i="20"/>
  <c r="A7547" i="20"/>
  <c r="A7546" i="20"/>
  <c r="A7545" i="20"/>
  <c r="A7544" i="20"/>
  <c r="A7543" i="20"/>
  <c r="A7542" i="20"/>
  <c r="A7541" i="20"/>
  <c r="A7540" i="20"/>
  <c r="A7539" i="20"/>
  <c r="A7538" i="20"/>
  <c r="A7537" i="20"/>
  <c r="A7536" i="20"/>
  <c r="A7535" i="20"/>
  <c r="A7534" i="20"/>
  <c r="A7533" i="20"/>
  <c r="A7532" i="20"/>
  <c r="A7531" i="20"/>
  <c r="A7530" i="20"/>
  <c r="A7529" i="20"/>
  <c r="A7528" i="20"/>
  <c r="A7527" i="20"/>
  <c r="A7526" i="20"/>
  <c r="A7525" i="20"/>
  <c r="A7524" i="20"/>
  <c r="A7523" i="20"/>
  <c r="A7522" i="20"/>
  <c r="A7521" i="20"/>
  <c r="A7520" i="20"/>
  <c r="A7519" i="20"/>
  <c r="A7518" i="20"/>
  <c r="A7517" i="20"/>
  <c r="A7516" i="20"/>
  <c r="A7515" i="20"/>
  <c r="A7514" i="20"/>
  <c r="A7513" i="20"/>
  <c r="A7512" i="20"/>
  <c r="A7511" i="20"/>
  <c r="A7510" i="20"/>
  <c r="A7509" i="20"/>
  <c r="A7508" i="20"/>
  <c r="A7507" i="20"/>
  <c r="A7506" i="20"/>
  <c r="A7505" i="20"/>
  <c r="A7504" i="20"/>
  <c r="A7503" i="20"/>
  <c r="A7502" i="20"/>
  <c r="A7501" i="20"/>
  <c r="A7500" i="20"/>
  <c r="A7499" i="20"/>
  <c r="A7498" i="20"/>
  <c r="A7497" i="20"/>
  <c r="A7496" i="20"/>
  <c r="A7495" i="20"/>
  <c r="A7494" i="20"/>
  <c r="A7493" i="20"/>
  <c r="A7492" i="20"/>
  <c r="A7491" i="20"/>
  <c r="A7490" i="20"/>
  <c r="A7489" i="20"/>
  <c r="A7488" i="20"/>
  <c r="A7487" i="20"/>
  <c r="A7486" i="20"/>
  <c r="A7485" i="20"/>
  <c r="A7484" i="20"/>
  <c r="A7483" i="20"/>
  <c r="A7482" i="20"/>
  <c r="A7481" i="20"/>
  <c r="A7480" i="20"/>
  <c r="A7479" i="20"/>
  <c r="A7478" i="20"/>
  <c r="A7477" i="20"/>
  <c r="A7476" i="20"/>
  <c r="A7475" i="20"/>
  <c r="A7474" i="20"/>
  <c r="A7473" i="20"/>
  <c r="A7472" i="20"/>
  <c r="A7471" i="20"/>
  <c r="A7470" i="20"/>
  <c r="A7469" i="20"/>
  <c r="A7468" i="20"/>
  <c r="A7467" i="20"/>
  <c r="A7466" i="20"/>
  <c r="A7465" i="20"/>
  <c r="A7464" i="20"/>
  <c r="A7463" i="20"/>
  <c r="A7462" i="20"/>
  <c r="A7461" i="20"/>
  <c r="A7460" i="20"/>
  <c r="A7459" i="20"/>
  <c r="A7458" i="20"/>
  <c r="A7457" i="20"/>
  <c r="A7456" i="20"/>
  <c r="A7455" i="20"/>
  <c r="A7454" i="20"/>
  <c r="A7453" i="20"/>
  <c r="A7452" i="20"/>
  <c r="A7451" i="20"/>
  <c r="A7450" i="20"/>
  <c r="A7449" i="20"/>
  <c r="A7448" i="20"/>
  <c r="A7447" i="20"/>
  <c r="A7446" i="20"/>
  <c r="A7445" i="20"/>
  <c r="A7444" i="20"/>
  <c r="A7443" i="20"/>
  <c r="A7442" i="20"/>
  <c r="A7441" i="20"/>
  <c r="A7440" i="20"/>
  <c r="A7439" i="20"/>
  <c r="A7438" i="20"/>
  <c r="A7437" i="20"/>
  <c r="A7436" i="20"/>
  <c r="A7435" i="20"/>
  <c r="A7434" i="20"/>
  <c r="A7433" i="20"/>
  <c r="A7432" i="20"/>
  <c r="A7431" i="20"/>
  <c r="A7430" i="20"/>
  <c r="A7429" i="20"/>
  <c r="A7428" i="20"/>
  <c r="A7427" i="20"/>
  <c r="A7426" i="20"/>
  <c r="A7425" i="20"/>
  <c r="A7424" i="20"/>
  <c r="A7423" i="20"/>
  <c r="A7422" i="20"/>
  <c r="A7421" i="20"/>
  <c r="A7420" i="20"/>
  <c r="A7419" i="20"/>
  <c r="A7418" i="20"/>
  <c r="A7417" i="20"/>
  <c r="A7416" i="20"/>
  <c r="A7415" i="20"/>
  <c r="A7414" i="20"/>
  <c r="A7413" i="20"/>
  <c r="A7412" i="20"/>
  <c r="A7411" i="20"/>
  <c r="A7410" i="20"/>
  <c r="A7409" i="20"/>
  <c r="A7408" i="20"/>
  <c r="A7407" i="20"/>
  <c r="A7406" i="20"/>
  <c r="A7405" i="20"/>
  <c r="A7404" i="20"/>
  <c r="A7403" i="20"/>
  <c r="A7402" i="20"/>
  <c r="A7401" i="20"/>
  <c r="A7400" i="20"/>
  <c r="A7399" i="20"/>
  <c r="A7398" i="20"/>
  <c r="A7397" i="20"/>
  <c r="A7396" i="20"/>
  <c r="A7395" i="20"/>
  <c r="A7394" i="20"/>
  <c r="A7393" i="20"/>
  <c r="A7392" i="20"/>
  <c r="A7391" i="20"/>
  <c r="A7390" i="20"/>
  <c r="A7389" i="20"/>
  <c r="A7388" i="20"/>
  <c r="A7387" i="20"/>
  <c r="A7386" i="20"/>
  <c r="A7385" i="20"/>
  <c r="A7384" i="20"/>
  <c r="A7383" i="20"/>
  <c r="A7382" i="20"/>
  <c r="A7381" i="20"/>
  <c r="A7380" i="20"/>
  <c r="A7379" i="20"/>
  <c r="A7378" i="20"/>
  <c r="A7377" i="20"/>
  <c r="A7376" i="20"/>
  <c r="A7375" i="20"/>
  <c r="A7374" i="20"/>
  <c r="A7373" i="20"/>
  <c r="A7372" i="20"/>
  <c r="A7371" i="20"/>
  <c r="A7370" i="20"/>
  <c r="A7369" i="20"/>
  <c r="A7368" i="20"/>
  <c r="A7367" i="20"/>
  <c r="A7366" i="20"/>
  <c r="A7365" i="20"/>
  <c r="A7364" i="20"/>
  <c r="A7363" i="20"/>
  <c r="A7362" i="20"/>
  <c r="A7361" i="20"/>
  <c r="A7360" i="20"/>
  <c r="A7359" i="20"/>
  <c r="A7358" i="20"/>
  <c r="A7357" i="20"/>
  <c r="A7356" i="20"/>
  <c r="A7355" i="20"/>
  <c r="A7354" i="20"/>
  <c r="A7353" i="20"/>
  <c r="A7352" i="20"/>
  <c r="A7351" i="20"/>
  <c r="A7350" i="20"/>
  <c r="A7349" i="20"/>
  <c r="A7348" i="20"/>
  <c r="A7347" i="20"/>
  <c r="A7346" i="20"/>
  <c r="A7345" i="20"/>
  <c r="A7344" i="20"/>
  <c r="A7343" i="20"/>
  <c r="A7342" i="20"/>
  <c r="A7341" i="20"/>
  <c r="A7340" i="20"/>
  <c r="A7339" i="20"/>
  <c r="A7338" i="20"/>
  <c r="A7337" i="20"/>
  <c r="A7336" i="20"/>
  <c r="A7335" i="20"/>
  <c r="A7334" i="20"/>
  <c r="A7333" i="20"/>
  <c r="A7332" i="20"/>
  <c r="A7331" i="20"/>
  <c r="A7330" i="20"/>
  <c r="A7329" i="20"/>
  <c r="A7328" i="20"/>
  <c r="A7327" i="20"/>
  <c r="A7326" i="20"/>
  <c r="A7325" i="20"/>
  <c r="A7324" i="20"/>
  <c r="A7323" i="20"/>
  <c r="A7322" i="20"/>
  <c r="A7321" i="20"/>
  <c r="A7320" i="20"/>
  <c r="A7319" i="20"/>
  <c r="A7318" i="20"/>
  <c r="A7317" i="20"/>
  <c r="A7316" i="20"/>
  <c r="A7315" i="20"/>
  <c r="A7314" i="20"/>
  <c r="A7313" i="20"/>
  <c r="A7312" i="20"/>
  <c r="A7311" i="20"/>
  <c r="A7310" i="20"/>
  <c r="A7309" i="20"/>
  <c r="A7308" i="20"/>
  <c r="A7307" i="20"/>
  <c r="A7306" i="20"/>
  <c r="A7305" i="20"/>
  <c r="A7304" i="20"/>
  <c r="A7303" i="20"/>
  <c r="A7302" i="20"/>
  <c r="A7301" i="20"/>
  <c r="A7300" i="20"/>
  <c r="A7299" i="20"/>
  <c r="A7298" i="20"/>
  <c r="A7297" i="20"/>
  <c r="A7296" i="20"/>
  <c r="A7295" i="20"/>
  <c r="A7294" i="20"/>
  <c r="A7293" i="20"/>
  <c r="A7292" i="20"/>
  <c r="A7291" i="20"/>
  <c r="A7290" i="20"/>
  <c r="A7289" i="20"/>
  <c r="A7288" i="20"/>
  <c r="A7287" i="20"/>
  <c r="A7286" i="20"/>
  <c r="A7285" i="20"/>
  <c r="A7284" i="20"/>
  <c r="A7283" i="20"/>
  <c r="A7282" i="20"/>
  <c r="A7281" i="20"/>
  <c r="A7280" i="20"/>
  <c r="A7279" i="20"/>
  <c r="A7278" i="20"/>
  <c r="A7277" i="20"/>
  <c r="A7276" i="20"/>
  <c r="A7275" i="20"/>
  <c r="A7274" i="20"/>
  <c r="A7273" i="20"/>
  <c r="A7272" i="20"/>
  <c r="A7271" i="20"/>
  <c r="A7270" i="20"/>
  <c r="A7269" i="20"/>
  <c r="A7268" i="20"/>
  <c r="A7267" i="20"/>
  <c r="A7266" i="20"/>
  <c r="A7265" i="20"/>
  <c r="A7264" i="20"/>
  <c r="A7263" i="20"/>
  <c r="A7262" i="20"/>
  <c r="A7261" i="20"/>
  <c r="A7260" i="20"/>
  <c r="A7259" i="20"/>
  <c r="A7258" i="20"/>
  <c r="A7257" i="20"/>
  <c r="A7256" i="20"/>
  <c r="A7255" i="20"/>
  <c r="A7254" i="20"/>
  <c r="A7253" i="20"/>
  <c r="A7252" i="20"/>
  <c r="A7251" i="20"/>
  <c r="A7250" i="20"/>
  <c r="A7249" i="20"/>
  <c r="A7248" i="20"/>
  <c r="A7247" i="20"/>
  <c r="A7246" i="20"/>
  <c r="A7245" i="20"/>
  <c r="A7244" i="20"/>
  <c r="A7243" i="20"/>
  <c r="A7242" i="20"/>
  <c r="A7241" i="20"/>
  <c r="A7240" i="20"/>
  <c r="A7239" i="20"/>
  <c r="A7238" i="20"/>
  <c r="A7237" i="20"/>
  <c r="A7236" i="20"/>
  <c r="A7235" i="20"/>
  <c r="A7234" i="20"/>
  <c r="A7233" i="20"/>
  <c r="A7232" i="20"/>
  <c r="A7231" i="20"/>
  <c r="A7230" i="20"/>
  <c r="A7229" i="20"/>
  <c r="A7228" i="20"/>
  <c r="A7227" i="20"/>
  <c r="A7226" i="20"/>
  <c r="A7225" i="20"/>
  <c r="A7224" i="20"/>
  <c r="A7223" i="20"/>
  <c r="A7222" i="20"/>
  <c r="A7221" i="20"/>
  <c r="A7220" i="20"/>
  <c r="A7219" i="20"/>
  <c r="A7218" i="20"/>
  <c r="A7217" i="20"/>
  <c r="A7216" i="20"/>
  <c r="A7215" i="20"/>
  <c r="A7214" i="20"/>
  <c r="A7213" i="20"/>
  <c r="A7212" i="20"/>
  <c r="A7211" i="20"/>
  <c r="A7210" i="20"/>
  <c r="A7209" i="20"/>
  <c r="A7208" i="20"/>
  <c r="A7207" i="20"/>
  <c r="A7206" i="20"/>
  <c r="A7205" i="20"/>
  <c r="A7204" i="20"/>
  <c r="A7203" i="20"/>
  <c r="A7202" i="20"/>
  <c r="A7201" i="20"/>
  <c r="A7200" i="20"/>
  <c r="A7199" i="20"/>
  <c r="A7198" i="20"/>
  <c r="A7197" i="20"/>
  <c r="A7196" i="20"/>
  <c r="A7195" i="20"/>
  <c r="A7194" i="20"/>
  <c r="A7193" i="20"/>
  <c r="A7192" i="20"/>
  <c r="A7191" i="20"/>
  <c r="A7190" i="20"/>
  <c r="A7189" i="20"/>
  <c r="A7188" i="20"/>
  <c r="A7187" i="20"/>
  <c r="A7186" i="20"/>
  <c r="A7185" i="20"/>
  <c r="A7184" i="20"/>
  <c r="A7183" i="20"/>
  <c r="A7182" i="20"/>
  <c r="A7181" i="20"/>
  <c r="A7180" i="20"/>
  <c r="A7179" i="20"/>
  <c r="A7178" i="20"/>
  <c r="A7177" i="20"/>
  <c r="A7176" i="20"/>
  <c r="A7175" i="20"/>
  <c r="A7174" i="20"/>
  <c r="A7173" i="20"/>
  <c r="A7172" i="20"/>
  <c r="A7171" i="20"/>
  <c r="A7170" i="20"/>
  <c r="A7169" i="20"/>
  <c r="A7168" i="20"/>
  <c r="A7167" i="20"/>
  <c r="A7166" i="20"/>
  <c r="A7165" i="20"/>
  <c r="A7164" i="20"/>
  <c r="A7163" i="20"/>
  <c r="A7162" i="20"/>
  <c r="A7161" i="20"/>
  <c r="A7160" i="20"/>
  <c r="A7159" i="20"/>
  <c r="A7158" i="20"/>
  <c r="A7157" i="20"/>
  <c r="A7156" i="20"/>
  <c r="A7155" i="20"/>
  <c r="A7154" i="20"/>
  <c r="A7153" i="20"/>
  <c r="A7152" i="20"/>
  <c r="A7151" i="20"/>
  <c r="A7150" i="20"/>
  <c r="A7149" i="20"/>
  <c r="A7148" i="20"/>
  <c r="A7147" i="20"/>
  <c r="A7146" i="20"/>
  <c r="A7145" i="20"/>
  <c r="A7144" i="20"/>
  <c r="A7143" i="20"/>
  <c r="A7142" i="20"/>
  <c r="A7141" i="20"/>
  <c r="A7140" i="20"/>
  <c r="A7139" i="20"/>
  <c r="A7138" i="20"/>
  <c r="A7137" i="20"/>
  <c r="A7136" i="20"/>
  <c r="A7135" i="20"/>
  <c r="A7134" i="20"/>
  <c r="A7133" i="20"/>
  <c r="A7132" i="20"/>
  <c r="A7131" i="20"/>
  <c r="A7130" i="20"/>
  <c r="A7129" i="20"/>
  <c r="A7128" i="20"/>
  <c r="A7127" i="20"/>
  <c r="A7126" i="20"/>
  <c r="A7125" i="20"/>
  <c r="A7124" i="20"/>
  <c r="A7123" i="20"/>
  <c r="A7122" i="20"/>
  <c r="A7121" i="20"/>
  <c r="A7120" i="20"/>
  <c r="A7119" i="20"/>
  <c r="A7118" i="20"/>
  <c r="A7117" i="20"/>
  <c r="A7116" i="20"/>
  <c r="A7115" i="20"/>
  <c r="A7114" i="20"/>
  <c r="A7113" i="20"/>
  <c r="A7112" i="20"/>
  <c r="A7111" i="20"/>
  <c r="A7110" i="20"/>
  <c r="A7109" i="20"/>
  <c r="A7108" i="20"/>
  <c r="A7107" i="20"/>
  <c r="A7106" i="20"/>
  <c r="A7105" i="20"/>
  <c r="A7104" i="20"/>
  <c r="A7103" i="20"/>
  <c r="A7102" i="20"/>
  <c r="A7101" i="20"/>
  <c r="A7100" i="20"/>
  <c r="A7099" i="20"/>
  <c r="A7098" i="20"/>
  <c r="A7097" i="20"/>
  <c r="A7096" i="20"/>
  <c r="A7095" i="20"/>
  <c r="A7094" i="20"/>
  <c r="A7093" i="20"/>
  <c r="A7092" i="20"/>
  <c r="A7091" i="20"/>
  <c r="A7090" i="20"/>
  <c r="A7089" i="20"/>
  <c r="A7088" i="20"/>
  <c r="A7087" i="20"/>
  <c r="A7086" i="20"/>
  <c r="A7085" i="20"/>
  <c r="A7084" i="20"/>
  <c r="A7083" i="20"/>
  <c r="A7082" i="20"/>
  <c r="A7081" i="20"/>
  <c r="A7080" i="20"/>
  <c r="A7079" i="20"/>
  <c r="A7078" i="20"/>
  <c r="A7077" i="20"/>
  <c r="A7076" i="20"/>
  <c r="A7075" i="20"/>
  <c r="A7074" i="20"/>
  <c r="A7073" i="20"/>
  <c r="A7072" i="20"/>
  <c r="A7071" i="20"/>
  <c r="A7070" i="20"/>
  <c r="A7069" i="20"/>
  <c r="A7068" i="20"/>
  <c r="A7067" i="20"/>
  <c r="A7066" i="20"/>
  <c r="A7065" i="20"/>
  <c r="A7064" i="20"/>
  <c r="A7063" i="20"/>
  <c r="A7062" i="20"/>
  <c r="A7061" i="20"/>
  <c r="A7060" i="20"/>
  <c r="A7059" i="20"/>
  <c r="A7058" i="20"/>
  <c r="A7057" i="20"/>
  <c r="A7056" i="20"/>
  <c r="A7055" i="20"/>
  <c r="A7054" i="20"/>
  <c r="A7053" i="20"/>
  <c r="A7052" i="20"/>
  <c r="A7051" i="20"/>
  <c r="A7050" i="20"/>
  <c r="A7049" i="20"/>
  <c r="A7048" i="20"/>
  <c r="A7047" i="20"/>
  <c r="A7046" i="20"/>
  <c r="A7045" i="20"/>
  <c r="A7044" i="20"/>
  <c r="A7043" i="20"/>
  <c r="A7042" i="20"/>
  <c r="A7041" i="20"/>
  <c r="A7040" i="20"/>
  <c r="A7039" i="20"/>
  <c r="A7038" i="20"/>
  <c r="A7037" i="20"/>
  <c r="A7036" i="20"/>
  <c r="A7035" i="20"/>
  <c r="A7034" i="20"/>
  <c r="A7033" i="20"/>
  <c r="A7032" i="20"/>
  <c r="A7031" i="20"/>
  <c r="A7030" i="20"/>
  <c r="A7029" i="20"/>
  <c r="A7028" i="20"/>
  <c r="A7027" i="20"/>
  <c r="A7026" i="20"/>
  <c r="A7025" i="20"/>
  <c r="A7024" i="20"/>
  <c r="A7023" i="20"/>
  <c r="A7022" i="20"/>
  <c r="A7021" i="20"/>
  <c r="A7020" i="20"/>
  <c r="A7019" i="20"/>
  <c r="A7018" i="20"/>
  <c r="A7017" i="20"/>
  <c r="A7016" i="20"/>
  <c r="A7015" i="20"/>
  <c r="A7014" i="20"/>
  <c r="A7013" i="20"/>
  <c r="A7012" i="20"/>
  <c r="A7011" i="20"/>
  <c r="A7010" i="20"/>
  <c r="A7009" i="20"/>
  <c r="A7008" i="20"/>
  <c r="A7007" i="20"/>
  <c r="A7006" i="20"/>
  <c r="A7005" i="20"/>
  <c r="A7004" i="20"/>
  <c r="A7003" i="20"/>
  <c r="A7002" i="20"/>
  <c r="A7001" i="20"/>
  <c r="A7000" i="20"/>
  <c r="A6999" i="20"/>
  <c r="A6998" i="20"/>
  <c r="A6997" i="20"/>
  <c r="A6996" i="20"/>
  <c r="A6995" i="20"/>
  <c r="A6994" i="20"/>
  <c r="A6993" i="20"/>
  <c r="A6992" i="20"/>
  <c r="A6991" i="20"/>
  <c r="A6990" i="20"/>
  <c r="A6989" i="20"/>
  <c r="A6988" i="20"/>
  <c r="A6987" i="20"/>
  <c r="A6986" i="20"/>
  <c r="A6985" i="20"/>
  <c r="A6984" i="20"/>
  <c r="A6983" i="20"/>
  <c r="A6982" i="20"/>
  <c r="A6981" i="20"/>
  <c r="A6980" i="20"/>
  <c r="A6979" i="20"/>
  <c r="A6978" i="20"/>
  <c r="A6977" i="20"/>
  <c r="A6976" i="20"/>
  <c r="A6975" i="20"/>
  <c r="A6974" i="20"/>
  <c r="A6973" i="20"/>
  <c r="A6972" i="20"/>
  <c r="A6971" i="20"/>
  <c r="A6970" i="20"/>
  <c r="A6969" i="20"/>
  <c r="A6968" i="20"/>
  <c r="A6967" i="20"/>
  <c r="A6966" i="20"/>
  <c r="A6965" i="20"/>
  <c r="A6964" i="20"/>
  <c r="A6963" i="20"/>
  <c r="A6962" i="20"/>
  <c r="A6961" i="20"/>
  <c r="A6960" i="20"/>
  <c r="A6959" i="20"/>
  <c r="A6958" i="20"/>
  <c r="A6957" i="20"/>
  <c r="A6956" i="20"/>
  <c r="A6955" i="20"/>
  <c r="A6954" i="20"/>
  <c r="A6953" i="20"/>
  <c r="A6952" i="20"/>
  <c r="A6951" i="20"/>
  <c r="A6950" i="20"/>
  <c r="A6949" i="20"/>
  <c r="A6948" i="20"/>
  <c r="A6947" i="20"/>
  <c r="A6946" i="20"/>
  <c r="A6945" i="20"/>
  <c r="A6944" i="20"/>
  <c r="A6943" i="20"/>
  <c r="A6942" i="20"/>
  <c r="A6941" i="20"/>
  <c r="A6940" i="20"/>
  <c r="A6939" i="20"/>
  <c r="A6938" i="20"/>
  <c r="A6937" i="20"/>
  <c r="A6936" i="20"/>
  <c r="A6935" i="20"/>
  <c r="A6934" i="20"/>
  <c r="A6933" i="20"/>
  <c r="A6932" i="20"/>
  <c r="A6931" i="20"/>
  <c r="A6930" i="20"/>
  <c r="A6929" i="20"/>
  <c r="A6928" i="20"/>
  <c r="A6927" i="20"/>
  <c r="A6926" i="20"/>
  <c r="A6925" i="20"/>
  <c r="A6924" i="20"/>
  <c r="A6923" i="20"/>
  <c r="A6922" i="20"/>
  <c r="A6921" i="20"/>
  <c r="A6920" i="20"/>
  <c r="A6919" i="20"/>
  <c r="A6918" i="20"/>
  <c r="A6917" i="20"/>
  <c r="A6916" i="20"/>
  <c r="A6915" i="20"/>
  <c r="A6914" i="20"/>
  <c r="A6913" i="20"/>
  <c r="A6912" i="20"/>
  <c r="A6911" i="20"/>
  <c r="A6910" i="20"/>
  <c r="A6909" i="20"/>
  <c r="A6908" i="20"/>
  <c r="A6907" i="20"/>
  <c r="A6906" i="20"/>
  <c r="A6905" i="20"/>
  <c r="A6904" i="20"/>
  <c r="A6903" i="20"/>
  <c r="A6902" i="20"/>
  <c r="A6901" i="20"/>
  <c r="A6900" i="20"/>
  <c r="A6899" i="20"/>
  <c r="A6898" i="20"/>
  <c r="A6897" i="20"/>
  <c r="A6896" i="20"/>
  <c r="A6895" i="20"/>
  <c r="A6894" i="20"/>
  <c r="A6893" i="20"/>
  <c r="A6892" i="20"/>
  <c r="A6891" i="20"/>
  <c r="A6890" i="20"/>
  <c r="A6889" i="20"/>
  <c r="A6888" i="20"/>
  <c r="A6887" i="20"/>
  <c r="A6886" i="20"/>
  <c r="A6885" i="20"/>
  <c r="A6884" i="20"/>
  <c r="A6883" i="20"/>
  <c r="A6882" i="20"/>
  <c r="A6881" i="20"/>
  <c r="A6880" i="20"/>
  <c r="A6879" i="20"/>
  <c r="A6878" i="20"/>
  <c r="A6877" i="20"/>
  <c r="A6876" i="20"/>
  <c r="A6875" i="20"/>
  <c r="A6874" i="20"/>
  <c r="A6873" i="20"/>
  <c r="A6872" i="20"/>
  <c r="A6871" i="20"/>
  <c r="A6870" i="20"/>
  <c r="A6869" i="20"/>
  <c r="A6868" i="20"/>
  <c r="A6867" i="20"/>
  <c r="A6866" i="20"/>
  <c r="A6865" i="20"/>
  <c r="A6864" i="20"/>
  <c r="A6863" i="20"/>
  <c r="A6862" i="20"/>
  <c r="A6861" i="20"/>
  <c r="A6860" i="20"/>
  <c r="A6859" i="20"/>
  <c r="A6858" i="20"/>
  <c r="A6857" i="20"/>
  <c r="A6856" i="20"/>
  <c r="A6855" i="20"/>
  <c r="A6854" i="20"/>
  <c r="A6853" i="20"/>
  <c r="A6852" i="20"/>
  <c r="A6851" i="20"/>
  <c r="A6850" i="20"/>
  <c r="A6849" i="20"/>
  <c r="A6848" i="20"/>
  <c r="A6847" i="20"/>
  <c r="A6846" i="20"/>
  <c r="A6845" i="20"/>
  <c r="A6844" i="20"/>
  <c r="A6843" i="20"/>
  <c r="A6842" i="20"/>
  <c r="A6841" i="20"/>
  <c r="A6840" i="20"/>
  <c r="A6839" i="20"/>
  <c r="A6838" i="20"/>
  <c r="A6837" i="20"/>
  <c r="A6836" i="20"/>
  <c r="A6835" i="20"/>
  <c r="A6834" i="20"/>
  <c r="A6833" i="20"/>
  <c r="A6832" i="20"/>
  <c r="A6831" i="20"/>
  <c r="A6830" i="20"/>
  <c r="A6829" i="20"/>
  <c r="A6828" i="20"/>
  <c r="A6827" i="20"/>
  <c r="A6826" i="20"/>
  <c r="A6825" i="20"/>
  <c r="A6824" i="20"/>
  <c r="A6823" i="20"/>
  <c r="A6822" i="20"/>
  <c r="A6821" i="20"/>
  <c r="A6820" i="20"/>
  <c r="A6819" i="20"/>
  <c r="A6818" i="20"/>
  <c r="A6817" i="20"/>
  <c r="A6816" i="20"/>
  <c r="A6815" i="20"/>
  <c r="A6814" i="20"/>
  <c r="A6813" i="20"/>
  <c r="A6812" i="20"/>
  <c r="A6811" i="20"/>
  <c r="A6810" i="20"/>
  <c r="A6809" i="20"/>
  <c r="A6808" i="20"/>
  <c r="A6807" i="20"/>
  <c r="A6806" i="20"/>
  <c r="A6805" i="20"/>
  <c r="A6804" i="20"/>
  <c r="A6803" i="20"/>
  <c r="A6802" i="20"/>
  <c r="A6801" i="20"/>
  <c r="A6800" i="20"/>
  <c r="A6799" i="20"/>
  <c r="A6798" i="20"/>
  <c r="A6797" i="20"/>
  <c r="A6796" i="20"/>
  <c r="A6795" i="20"/>
  <c r="A6794" i="20"/>
  <c r="A6793" i="20"/>
  <c r="A6792" i="20"/>
  <c r="A6791" i="20"/>
  <c r="A6790" i="20"/>
  <c r="A6789" i="20"/>
  <c r="A6788" i="20"/>
  <c r="A6787" i="20"/>
  <c r="A6786" i="20"/>
  <c r="A6785" i="20"/>
  <c r="A6784" i="20"/>
  <c r="A6783" i="20"/>
  <c r="A6782" i="20"/>
  <c r="A6781" i="20"/>
  <c r="A6780" i="20"/>
  <c r="A6779" i="20"/>
  <c r="A6778" i="20"/>
  <c r="A6777" i="20"/>
  <c r="A6776" i="20"/>
  <c r="A6775" i="20"/>
  <c r="A6774" i="20"/>
  <c r="A6773" i="20"/>
  <c r="A6772" i="20"/>
  <c r="A6771" i="20"/>
  <c r="A6770" i="20"/>
  <c r="A6769" i="20"/>
  <c r="A6768" i="20"/>
  <c r="A6767" i="20"/>
  <c r="A6766" i="20"/>
  <c r="A6765" i="20"/>
  <c r="A6764" i="20"/>
  <c r="A6763" i="20"/>
  <c r="A6762" i="20"/>
  <c r="A6761" i="20"/>
  <c r="A6760" i="20"/>
  <c r="A6759" i="20"/>
  <c r="A6758" i="20"/>
  <c r="A6757" i="20"/>
  <c r="A6756" i="20"/>
  <c r="A6755" i="20"/>
  <c r="A6754" i="20"/>
  <c r="A6753" i="20"/>
  <c r="A6752" i="20"/>
  <c r="A6751" i="20"/>
  <c r="A6750" i="20"/>
  <c r="A6749" i="20"/>
  <c r="A6748" i="20"/>
  <c r="A6747" i="20"/>
  <c r="A6746" i="20"/>
  <c r="A6745" i="20"/>
  <c r="A6744" i="20"/>
  <c r="A6743" i="20"/>
  <c r="A6742" i="20"/>
  <c r="A6741" i="20"/>
  <c r="A6740" i="20"/>
  <c r="A6739" i="20"/>
  <c r="A6738" i="20"/>
  <c r="A6737" i="20"/>
  <c r="A6736" i="20"/>
  <c r="A6735" i="20"/>
  <c r="A6734" i="20"/>
  <c r="A6733" i="20"/>
  <c r="A6732" i="20"/>
  <c r="A6731" i="20"/>
  <c r="A6730" i="20"/>
  <c r="A6729" i="20"/>
  <c r="A6728" i="20"/>
  <c r="A6727" i="20"/>
  <c r="A6726" i="20"/>
  <c r="A6725" i="20"/>
  <c r="A6724" i="20"/>
  <c r="A6723" i="20"/>
  <c r="A6722" i="20"/>
  <c r="A6721" i="20"/>
  <c r="A6720" i="20"/>
  <c r="A6719" i="20"/>
  <c r="A6718" i="20"/>
  <c r="A6717" i="20"/>
  <c r="A6716" i="20"/>
  <c r="A6715" i="20"/>
  <c r="A6714" i="20"/>
  <c r="A6713" i="20"/>
  <c r="A6712" i="20"/>
  <c r="A6711" i="20"/>
  <c r="A6710" i="20"/>
  <c r="A6709" i="20"/>
  <c r="A6708" i="20"/>
  <c r="A6707" i="20"/>
  <c r="A6706" i="20"/>
  <c r="A6705" i="20"/>
  <c r="A6704" i="20"/>
  <c r="A6703" i="20"/>
  <c r="A6702" i="20"/>
  <c r="A6701" i="20"/>
  <c r="A6700" i="20"/>
  <c r="A6699" i="20"/>
  <c r="A6698" i="20"/>
  <c r="A6697" i="20"/>
  <c r="A6696" i="20"/>
  <c r="A6695" i="20"/>
  <c r="A6694" i="20"/>
  <c r="A6693" i="20"/>
  <c r="A6692" i="20"/>
  <c r="A6691" i="20"/>
  <c r="A6690" i="20"/>
  <c r="A6689" i="20"/>
  <c r="A6688" i="20"/>
  <c r="A6687" i="20"/>
  <c r="A6686" i="20"/>
  <c r="A6685" i="20"/>
  <c r="A6684" i="20"/>
  <c r="A6683" i="20"/>
  <c r="A6682" i="20"/>
  <c r="A6681" i="20"/>
  <c r="A6680" i="20"/>
  <c r="A6679" i="20"/>
  <c r="A6678" i="20"/>
  <c r="A6677" i="20"/>
  <c r="A6676" i="20"/>
  <c r="A6675" i="20"/>
  <c r="A6674" i="20"/>
  <c r="A6673" i="20"/>
  <c r="A6672" i="20"/>
  <c r="A6671" i="20"/>
  <c r="A6670" i="20"/>
  <c r="A6669" i="20"/>
  <c r="A6668" i="20"/>
  <c r="A6667" i="20"/>
  <c r="A6666" i="20"/>
  <c r="A6665" i="20"/>
  <c r="A6664" i="20"/>
  <c r="A6663" i="20"/>
  <c r="A6662" i="20"/>
  <c r="A6661" i="20"/>
  <c r="A6660" i="20"/>
  <c r="A6659" i="20"/>
  <c r="A6658" i="20"/>
  <c r="A6657" i="20"/>
  <c r="A6656" i="20"/>
  <c r="A6655" i="20"/>
  <c r="A6654" i="20"/>
  <c r="A6653" i="20"/>
  <c r="A6652" i="20"/>
  <c r="A6651" i="20"/>
  <c r="A6650" i="20"/>
  <c r="A6649" i="20"/>
  <c r="A6648" i="20"/>
  <c r="A6647" i="20"/>
  <c r="A6646" i="20"/>
  <c r="A6645" i="20"/>
  <c r="A6644" i="20"/>
  <c r="A6643" i="20"/>
  <c r="A6642" i="20"/>
  <c r="A6641" i="20"/>
  <c r="A6640" i="20"/>
  <c r="A6639" i="20"/>
  <c r="A6638" i="20"/>
  <c r="A6637" i="20"/>
  <c r="A6636" i="20"/>
  <c r="A6635" i="20"/>
  <c r="A6634" i="20"/>
  <c r="A6633" i="20"/>
  <c r="A6632" i="20"/>
  <c r="A6631" i="20"/>
  <c r="A6630" i="20"/>
  <c r="A6629" i="20"/>
  <c r="A6628" i="20"/>
  <c r="A6627" i="20"/>
  <c r="A6626" i="20"/>
  <c r="A6625" i="20"/>
  <c r="A6624" i="20"/>
  <c r="A6623" i="20"/>
  <c r="A6622" i="20"/>
  <c r="A6621" i="20"/>
  <c r="A6620" i="20"/>
  <c r="A6619" i="20"/>
  <c r="A6618" i="20"/>
  <c r="A6617" i="20"/>
  <c r="A6616" i="20"/>
  <c r="A6615" i="20"/>
  <c r="A6614" i="20"/>
  <c r="A6613" i="20"/>
  <c r="A6612" i="20"/>
  <c r="A6611" i="20"/>
  <c r="A6610" i="20"/>
  <c r="A6609" i="20"/>
  <c r="A6608" i="20"/>
  <c r="A6607" i="20"/>
  <c r="A6606" i="20"/>
  <c r="A6605" i="20"/>
  <c r="A6604" i="20"/>
  <c r="A6603" i="20"/>
  <c r="A6602" i="20"/>
  <c r="A6601" i="20"/>
  <c r="A6600" i="20"/>
  <c r="A6599" i="20"/>
  <c r="A6598" i="20"/>
  <c r="A6597" i="20"/>
  <c r="A6596" i="20"/>
  <c r="A6595" i="20"/>
  <c r="A6594" i="20"/>
  <c r="A6593" i="20"/>
  <c r="A6592" i="20"/>
  <c r="A6591" i="20"/>
  <c r="A6590" i="20"/>
  <c r="A6589" i="20"/>
  <c r="A6588" i="20"/>
  <c r="A6587" i="20"/>
  <c r="A6586" i="20"/>
  <c r="A6585" i="20"/>
  <c r="A6584" i="20"/>
  <c r="A6583" i="20"/>
  <c r="A6582" i="20"/>
  <c r="A6581" i="20"/>
  <c r="A6580" i="20"/>
  <c r="A6579" i="20"/>
  <c r="A6578" i="20"/>
  <c r="A6577" i="20"/>
  <c r="A6576" i="20"/>
  <c r="A6575" i="20"/>
  <c r="A6574" i="20"/>
  <c r="A6573" i="20"/>
  <c r="A6572" i="20"/>
  <c r="A6571" i="20"/>
  <c r="A6570" i="20"/>
  <c r="A6569" i="20"/>
  <c r="A6568" i="20"/>
  <c r="A6567" i="20"/>
  <c r="A6566" i="20"/>
  <c r="A6565" i="20"/>
  <c r="A6564" i="20"/>
  <c r="A6563" i="20"/>
  <c r="A6562" i="20"/>
  <c r="A6561" i="20"/>
  <c r="A6560" i="20"/>
  <c r="A6559" i="20"/>
  <c r="A6558" i="20"/>
  <c r="A6557" i="20"/>
  <c r="A6556" i="20"/>
  <c r="A6555" i="20"/>
  <c r="A6554" i="20"/>
  <c r="A6553" i="20"/>
  <c r="A6552" i="20"/>
  <c r="A6551" i="20"/>
  <c r="A6550" i="20"/>
  <c r="A6549" i="20"/>
  <c r="A6548" i="20"/>
  <c r="A6547" i="20"/>
  <c r="A6546" i="20"/>
  <c r="A6545" i="20"/>
  <c r="A6544" i="20"/>
  <c r="A6543" i="20"/>
  <c r="A6542" i="20"/>
  <c r="A6541" i="20"/>
  <c r="A6540" i="20"/>
  <c r="A6539" i="20"/>
  <c r="A6538" i="20"/>
  <c r="A6537" i="20"/>
  <c r="A6536" i="20"/>
  <c r="A6535" i="20"/>
  <c r="A6534" i="20"/>
  <c r="A6533" i="20"/>
  <c r="A6532" i="20"/>
  <c r="A6531" i="20"/>
  <c r="A6530" i="20"/>
  <c r="A6529" i="20"/>
  <c r="A6528" i="20"/>
  <c r="A6527" i="20"/>
  <c r="A6526" i="20"/>
  <c r="A6525" i="20"/>
  <c r="A6524" i="20"/>
  <c r="A6523" i="20"/>
  <c r="A6522" i="20"/>
  <c r="A6521" i="20"/>
  <c r="A6520" i="20"/>
  <c r="A6519" i="20"/>
  <c r="A6518" i="20"/>
  <c r="A6517" i="20"/>
  <c r="A6516" i="20"/>
  <c r="A6515" i="20"/>
  <c r="A6514" i="20"/>
  <c r="A6513" i="20"/>
  <c r="A6512" i="20"/>
  <c r="A6511" i="20"/>
  <c r="A6510" i="20"/>
  <c r="A6509" i="20"/>
  <c r="A6508" i="20"/>
  <c r="A6507" i="20"/>
  <c r="A6506" i="20"/>
  <c r="A6505" i="20"/>
  <c r="A6504" i="20"/>
  <c r="A6503" i="20"/>
  <c r="A6502" i="20"/>
  <c r="A6501" i="20"/>
  <c r="A6500" i="20"/>
  <c r="A6499" i="20"/>
  <c r="A6498" i="20"/>
  <c r="A6497" i="20"/>
  <c r="A6496" i="20"/>
  <c r="A6495" i="20"/>
  <c r="A6494" i="20"/>
  <c r="A6493" i="20"/>
  <c r="A6492" i="20"/>
  <c r="A6491" i="20"/>
  <c r="A6490" i="20"/>
  <c r="A6489" i="20"/>
  <c r="A6488" i="20"/>
  <c r="A6487" i="20"/>
  <c r="A6486" i="20"/>
  <c r="A6485" i="20"/>
  <c r="A6484" i="20"/>
  <c r="A6483" i="20"/>
  <c r="A6482" i="20"/>
  <c r="A6481" i="20"/>
  <c r="A6480" i="20"/>
  <c r="A6479" i="20"/>
  <c r="A6478" i="20"/>
  <c r="A6477" i="20"/>
  <c r="A6476" i="20"/>
  <c r="A6475" i="20"/>
  <c r="A6474" i="20"/>
  <c r="A6473" i="20"/>
  <c r="A6472" i="20"/>
  <c r="A6471" i="20"/>
  <c r="A6470" i="20"/>
  <c r="A6469" i="20"/>
  <c r="A6468" i="20"/>
  <c r="A6467" i="20"/>
  <c r="A6466" i="20"/>
  <c r="A6465" i="20"/>
  <c r="A6464" i="20"/>
  <c r="A6463" i="20"/>
  <c r="A6462" i="20"/>
  <c r="A6461" i="20"/>
  <c r="A6460" i="20"/>
  <c r="A6459" i="20"/>
  <c r="A6458" i="20"/>
  <c r="A6457" i="20"/>
  <c r="A6456" i="20"/>
  <c r="A6455" i="20"/>
  <c r="A6454" i="20"/>
  <c r="A6453" i="20"/>
  <c r="A6452" i="20"/>
  <c r="A6451" i="20"/>
  <c r="A6450" i="20"/>
  <c r="A6449" i="20"/>
  <c r="A6448" i="20"/>
  <c r="A6447" i="20"/>
  <c r="A6446" i="20"/>
  <c r="A6445" i="20"/>
  <c r="A6444" i="20"/>
  <c r="A6443" i="20"/>
  <c r="A6442" i="20"/>
  <c r="A6441" i="20"/>
  <c r="A6440" i="20"/>
  <c r="A6439" i="20"/>
  <c r="A6438" i="20"/>
  <c r="A6437" i="20"/>
  <c r="A6436" i="20"/>
  <c r="A6435" i="20"/>
  <c r="A6434" i="20"/>
  <c r="A6433" i="20"/>
  <c r="A6432" i="20"/>
  <c r="A6431" i="20"/>
  <c r="A6430" i="20"/>
  <c r="A6429" i="20"/>
  <c r="A6428" i="20"/>
  <c r="A6427" i="20"/>
  <c r="A6426" i="20"/>
  <c r="A6425" i="20"/>
  <c r="A6424" i="20"/>
  <c r="A6423" i="20"/>
  <c r="A6422" i="20"/>
  <c r="A6421" i="20"/>
  <c r="A6420" i="20"/>
  <c r="A6419" i="20"/>
  <c r="A6418" i="20"/>
  <c r="A6417" i="20"/>
  <c r="A6416" i="20"/>
  <c r="A6415" i="20"/>
  <c r="A6414" i="20"/>
  <c r="A6413" i="20"/>
  <c r="A6412" i="20"/>
  <c r="A6411" i="20"/>
  <c r="A6410" i="20"/>
  <c r="A6409" i="20"/>
  <c r="A6408" i="20"/>
  <c r="A6407" i="20"/>
  <c r="A6406" i="20"/>
  <c r="A6405" i="20"/>
  <c r="A6404" i="20"/>
  <c r="A6403" i="20"/>
  <c r="A6402" i="20"/>
  <c r="A6401" i="20"/>
  <c r="A6400" i="20"/>
  <c r="A6399" i="20"/>
  <c r="A6398" i="20"/>
  <c r="A6397" i="20"/>
  <c r="A6396" i="20"/>
  <c r="A6395" i="20"/>
  <c r="A6394" i="20"/>
  <c r="A6393" i="20"/>
  <c r="A6392" i="20"/>
  <c r="A6391" i="20"/>
  <c r="A6390" i="20"/>
  <c r="A6389" i="20"/>
  <c r="A6388" i="20"/>
  <c r="A6387" i="20"/>
  <c r="A6386" i="20"/>
  <c r="A6385" i="20"/>
  <c r="A6384" i="20"/>
  <c r="A6383" i="20"/>
  <c r="A6382" i="20"/>
  <c r="A6381" i="20"/>
  <c r="A6380" i="20"/>
  <c r="A6379" i="20"/>
  <c r="A6378" i="20"/>
  <c r="A6377" i="20"/>
  <c r="A6376" i="20"/>
  <c r="A6375" i="20"/>
  <c r="A6374" i="20"/>
  <c r="A6373" i="20"/>
  <c r="A6372" i="20"/>
  <c r="A6371" i="20"/>
  <c r="A6370" i="20"/>
  <c r="A6369" i="20"/>
  <c r="A6368" i="20"/>
  <c r="A6367" i="20"/>
  <c r="A6366" i="20"/>
  <c r="A6365" i="20"/>
  <c r="A6364" i="20"/>
  <c r="A6363" i="20"/>
  <c r="A6362" i="20"/>
  <c r="A6361" i="20"/>
  <c r="A6360" i="20"/>
  <c r="A6359" i="20"/>
  <c r="A6358" i="20"/>
  <c r="A6357" i="20"/>
  <c r="A6356" i="20"/>
  <c r="A6355" i="20"/>
  <c r="A6354" i="20"/>
  <c r="A6353" i="20"/>
  <c r="A6352" i="20"/>
  <c r="A6351" i="20"/>
  <c r="A6350" i="20"/>
  <c r="A6349" i="20"/>
  <c r="A6348" i="20"/>
  <c r="A6347" i="20"/>
  <c r="A6346" i="20"/>
  <c r="A6345" i="20"/>
  <c r="A6344" i="20"/>
  <c r="A6343" i="20"/>
  <c r="A6342" i="20"/>
  <c r="A6341" i="20"/>
  <c r="A6340" i="20"/>
  <c r="A6339" i="20"/>
  <c r="A6338" i="20"/>
  <c r="A6337" i="20"/>
  <c r="A6336" i="20"/>
  <c r="A6335" i="20"/>
  <c r="A6334" i="20"/>
  <c r="A6333" i="20"/>
  <c r="A6332" i="20"/>
  <c r="A6331" i="20"/>
  <c r="A6330" i="20"/>
  <c r="A6329" i="20"/>
  <c r="A6328" i="20"/>
  <c r="A6327" i="20"/>
  <c r="A6326" i="20"/>
  <c r="A6325" i="20"/>
  <c r="A6324" i="20"/>
  <c r="A6323" i="20"/>
  <c r="A6322" i="20"/>
  <c r="A6321" i="20"/>
  <c r="A6320" i="20"/>
  <c r="A6319" i="20"/>
  <c r="A6318" i="20"/>
  <c r="A6317" i="20"/>
  <c r="A6316" i="20"/>
  <c r="A6315" i="20"/>
  <c r="A6314" i="20"/>
  <c r="A6313" i="20"/>
  <c r="A6312" i="20"/>
  <c r="A6311" i="20"/>
  <c r="A6310" i="20"/>
  <c r="A6309" i="20"/>
  <c r="A6308" i="20"/>
  <c r="A6307" i="20"/>
  <c r="A6306" i="20"/>
  <c r="A6305" i="20"/>
  <c r="A6304" i="20"/>
  <c r="A6303" i="20"/>
  <c r="A6302" i="20"/>
  <c r="A6301" i="20"/>
  <c r="A6300" i="20"/>
  <c r="A6299" i="20"/>
  <c r="A6298" i="20"/>
  <c r="A6297" i="20"/>
  <c r="A6296" i="20"/>
  <c r="A6295" i="20"/>
  <c r="A6294" i="20"/>
  <c r="A6293" i="20"/>
  <c r="A6292" i="20"/>
  <c r="A6291" i="20"/>
  <c r="A6290" i="20"/>
  <c r="A6289" i="20"/>
  <c r="A6288" i="20"/>
  <c r="A6287" i="20"/>
  <c r="A6286" i="20"/>
  <c r="A6285" i="20"/>
  <c r="A6284" i="20"/>
  <c r="A6283" i="20"/>
  <c r="A6282" i="20"/>
  <c r="A6281" i="20"/>
  <c r="A6280" i="20"/>
  <c r="A6279" i="20"/>
  <c r="A6278" i="20"/>
  <c r="A6277" i="20"/>
  <c r="A6276" i="20"/>
  <c r="A6275" i="20"/>
  <c r="A6274" i="20"/>
  <c r="A6273" i="20"/>
  <c r="A6272" i="20"/>
  <c r="A6271" i="20"/>
  <c r="A6270" i="20"/>
  <c r="A6269" i="20"/>
  <c r="A6268" i="20"/>
  <c r="A6267" i="20"/>
  <c r="A6266" i="20"/>
  <c r="A6265" i="20"/>
  <c r="A6264" i="20"/>
  <c r="A6263" i="20"/>
  <c r="A6262" i="20"/>
  <c r="A6261" i="20"/>
  <c r="A6260" i="20"/>
  <c r="A6259" i="20"/>
  <c r="A6258" i="20"/>
  <c r="A6257" i="20"/>
  <c r="A6256" i="20"/>
  <c r="A6255" i="20"/>
  <c r="A6254" i="20"/>
  <c r="A6253" i="20"/>
  <c r="A6252" i="20"/>
  <c r="A6251" i="20"/>
  <c r="A6250" i="20"/>
  <c r="A6249" i="20"/>
  <c r="A6248" i="20"/>
  <c r="A6247" i="20"/>
  <c r="A6246" i="20"/>
  <c r="A6245" i="20"/>
  <c r="A6244" i="20"/>
  <c r="A6243" i="20"/>
  <c r="A6242" i="20"/>
  <c r="A6241" i="20"/>
  <c r="A6240" i="20"/>
  <c r="A6239" i="20"/>
  <c r="A6238" i="20"/>
  <c r="A6237" i="20"/>
  <c r="A6236" i="20"/>
  <c r="A6235" i="20"/>
  <c r="A6234" i="20"/>
  <c r="A6233" i="20"/>
  <c r="A6232" i="20"/>
  <c r="A6231" i="20"/>
  <c r="A6230" i="20"/>
  <c r="A6229" i="20"/>
  <c r="A6228" i="20"/>
  <c r="A6227" i="20"/>
  <c r="A6226" i="20"/>
  <c r="A6225" i="20"/>
  <c r="A6224" i="20"/>
  <c r="A6223" i="20"/>
  <c r="A6222" i="20"/>
  <c r="A6221" i="20"/>
  <c r="A6220" i="20"/>
  <c r="A6219" i="20"/>
  <c r="A6218" i="20"/>
  <c r="A6217" i="20"/>
  <c r="A6216" i="20"/>
  <c r="A6215" i="20"/>
  <c r="A6214" i="20"/>
  <c r="A6213" i="20"/>
  <c r="A6212" i="20"/>
  <c r="A6211" i="20"/>
  <c r="A6210" i="20"/>
  <c r="A6209" i="20"/>
  <c r="A6208" i="20"/>
  <c r="A6207" i="20"/>
  <c r="A6206" i="20"/>
  <c r="A6205" i="20"/>
  <c r="A6204" i="20"/>
  <c r="A6203" i="20"/>
  <c r="A6202" i="20"/>
  <c r="A6201" i="20"/>
  <c r="A6200" i="20"/>
  <c r="A6199" i="20"/>
  <c r="A6198" i="20"/>
  <c r="A6197" i="20"/>
  <c r="A6196" i="20"/>
  <c r="A6195" i="20"/>
  <c r="A6194" i="20"/>
  <c r="A6193" i="20"/>
  <c r="A6192" i="20"/>
  <c r="A6191" i="20"/>
  <c r="A6190" i="20"/>
  <c r="A6189" i="20"/>
  <c r="A6188" i="20"/>
  <c r="A6187" i="20"/>
  <c r="A6186" i="20"/>
  <c r="A6185" i="20"/>
  <c r="A6184" i="20"/>
  <c r="A6183" i="20"/>
  <c r="A6182" i="20"/>
  <c r="A6181" i="20"/>
  <c r="A6180" i="20"/>
  <c r="A6179" i="20"/>
  <c r="A6178" i="20"/>
  <c r="A6177" i="20"/>
  <c r="A6176" i="20"/>
  <c r="A6175" i="20"/>
  <c r="A6174" i="20"/>
  <c r="A6173" i="20"/>
  <c r="A6172" i="20"/>
  <c r="A6171" i="20"/>
  <c r="A6170" i="20"/>
  <c r="A6169" i="20"/>
  <c r="A6168" i="20"/>
  <c r="A6167" i="20"/>
  <c r="A6166" i="20"/>
  <c r="A6165" i="20"/>
  <c r="A6164" i="20"/>
  <c r="A6163" i="20"/>
  <c r="A6162" i="20"/>
  <c r="A6161" i="20"/>
  <c r="A6160" i="20"/>
  <c r="A6159" i="20"/>
  <c r="A6158" i="20"/>
  <c r="A6157" i="20"/>
  <c r="A6156" i="20"/>
  <c r="A6155" i="20"/>
  <c r="A6154" i="20"/>
  <c r="A6153" i="20"/>
  <c r="A6152" i="20"/>
  <c r="A6151" i="20"/>
  <c r="A6150" i="20"/>
  <c r="A6149" i="20"/>
  <c r="A6148" i="20"/>
  <c r="A6147" i="20"/>
  <c r="A6146" i="20"/>
  <c r="A6145" i="20"/>
  <c r="A6144" i="20"/>
  <c r="A6143" i="20"/>
  <c r="A6142" i="20"/>
  <c r="A6141" i="20"/>
  <c r="A6140" i="20"/>
  <c r="A6139" i="20"/>
  <c r="A6138" i="20"/>
  <c r="A6137" i="20"/>
  <c r="A6136" i="20"/>
  <c r="A6135" i="20"/>
  <c r="A6134" i="20"/>
  <c r="A6133" i="20"/>
  <c r="A6132" i="20"/>
  <c r="A6131" i="20"/>
  <c r="A6130" i="20"/>
  <c r="A6129" i="20"/>
  <c r="A6128" i="20"/>
  <c r="A6127" i="20"/>
  <c r="A6126" i="20"/>
  <c r="A6125" i="20"/>
  <c r="A6124" i="20"/>
  <c r="A6123" i="20"/>
  <c r="A6122" i="20"/>
  <c r="A6121" i="20"/>
  <c r="A6120" i="20"/>
  <c r="A6119" i="20"/>
  <c r="A6118" i="20"/>
  <c r="A6117" i="20"/>
  <c r="A6116" i="20"/>
  <c r="A6115" i="20"/>
  <c r="A6114" i="20"/>
  <c r="A6113" i="20"/>
  <c r="A6112" i="20"/>
  <c r="A6111" i="20"/>
  <c r="A6110" i="20"/>
  <c r="A6109" i="20"/>
  <c r="A6108" i="20"/>
  <c r="A6107" i="20"/>
  <c r="A6106" i="20"/>
  <c r="A6105" i="20"/>
  <c r="A6104" i="20"/>
  <c r="A6103" i="20"/>
  <c r="A6102" i="20"/>
  <c r="A6101" i="20"/>
  <c r="A6100" i="20"/>
  <c r="A6099" i="20"/>
  <c r="A6098" i="20"/>
  <c r="A6097" i="20"/>
  <c r="A6096" i="20"/>
  <c r="A6095" i="20"/>
  <c r="A6094" i="20"/>
  <c r="A6093" i="20"/>
  <c r="A6092" i="20"/>
  <c r="A6091" i="20"/>
  <c r="A6090" i="20"/>
  <c r="A6089" i="20"/>
  <c r="A6088" i="20"/>
  <c r="A6087" i="20"/>
  <c r="A6086" i="20"/>
  <c r="A6085" i="20"/>
  <c r="A6084" i="20"/>
  <c r="A6083" i="20"/>
  <c r="A6082" i="20"/>
  <c r="A6081" i="20"/>
  <c r="A6080" i="20"/>
  <c r="A6079" i="20"/>
  <c r="A6078" i="20"/>
  <c r="A6077" i="20"/>
  <c r="A6076" i="20"/>
  <c r="A6075" i="20"/>
  <c r="A6074" i="20"/>
  <c r="A6073" i="20"/>
  <c r="A6072" i="20"/>
  <c r="A6071" i="20"/>
  <c r="A6070" i="20"/>
  <c r="A6069" i="20"/>
  <c r="A6068" i="20"/>
  <c r="A6067" i="20"/>
  <c r="A6066" i="20"/>
  <c r="A6065" i="20"/>
  <c r="A6064" i="20"/>
  <c r="A6063" i="20"/>
  <c r="A6062" i="20"/>
  <c r="A6061" i="20"/>
  <c r="A6060" i="20"/>
  <c r="A6059" i="20"/>
  <c r="A6058" i="20"/>
  <c r="A6057" i="20"/>
  <c r="A6056" i="20"/>
  <c r="A6055" i="20"/>
  <c r="A6054" i="20"/>
  <c r="A6053" i="20"/>
  <c r="A6052" i="20"/>
  <c r="A6051" i="20"/>
  <c r="A6050" i="20"/>
  <c r="A6049" i="20"/>
  <c r="A6048" i="20"/>
  <c r="A6047" i="20"/>
  <c r="A6046" i="20"/>
  <c r="A6045" i="20"/>
  <c r="A6044" i="20"/>
  <c r="A6043" i="20"/>
  <c r="A6042" i="20"/>
  <c r="A6041" i="20"/>
  <c r="A6040" i="20"/>
  <c r="A6039" i="20"/>
  <c r="A6038" i="20"/>
  <c r="A6037" i="20"/>
  <c r="A6036" i="20"/>
  <c r="A6035" i="20"/>
  <c r="A6034" i="20"/>
  <c r="A6033" i="20"/>
  <c r="A6032" i="20"/>
  <c r="A6031" i="20"/>
  <c r="A6030" i="20"/>
  <c r="A6029" i="20"/>
  <c r="A6028" i="20"/>
  <c r="A6027" i="20"/>
  <c r="A6026" i="20"/>
  <c r="A6025" i="20"/>
  <c r="A6024" i="20"/>
  <c r="A6023" i="20"/>
  <c r="A6022" i="20"/>
  <c r="A6021" i="20"/>
  <c r="A6020" i="20"/>
  <c r="A6019" i="20"/>
  <c r="A6018" i="20"/>
  <c r="A6017" i="20"/>
  <c r="A6016" i="20"/>
  <c r="A6015" i="20"/>
  <c r="A6014" i="20"/>
  <c r="A6013" i="20"/>
  <c r="A6012" i="20"/>
  <c r="A6011" i="20"/>
  <c r="A6010" i="20"/>
  <c r="A6009" i="20"/>
  <c r="A6008" i="20"/>
  <c r="A6007" i="20"/>
  <c r="A6006" i="20"/>
  <c r="A6005" i="20"/>
  <c r="A6004" i="20"/>
  <c r="A6003" i="20"/>
  <c r="A6002" i="20"/>
  <c r="A6001" i="20"/>
  <c r="A6000" i="20"/>
  <c r="A5999" i="20"/>
  <c r="A5998" i="20"/>
  <c r="A5997" i="20"/>
  <c r="A5996" i="20"/>
  <c r="A5995" i="20"/>
  <c r="A5994" i="20"/>
  <c r="A5993" i="20"/>
  <c r="A5992" i="20"/>
  <c r="A5991" i="20"/>
  <c r="A5990" i="20"/>
  <c r="A5989" i="20"/>
  <c r="A5988" i="20"/>
  <c r="A5987" i="20"/>
  <c r="A5986" i="20"/>
  <c r="A5985" i="20"/>
  <c r="A5984" i="20"/>
  <c r="A5983" i="20"/>
  <c r="A5982" i="20"/>
  <c r="A5981" i="20"/>
  <c r="A5980" i="20"/>
  <c r="A5979" i="20"/>
  <c r="A5978" i="20"/>
  <c r="A5977" i="20"/>
  <c r="A5976" i="20"/>
  <c r="A5975" i="20"/>
  <c r="A5974" i="20"/>
  <c r="A5973" i="20"/>
  <c r="A5972" i="20"/>
  <c r="A5971" i="20"/>
  <c r="A5970" i="20"/>
  <c r="A5969" i="20"/>
  <c r="A5968" i="20"/>
  <c r="A5967" i="20"/>
  <c r="A5966" i="20"/>
  <c r="A5965" i="20"/>
  <c r="A5964" i="20"/>
  <c r="A5963" i="20"/>
  <c r="A5962" i="20"/>
  <c r="A5961" i="20"/>
  <c r="A5960" i="20"/>
  <c r="A5959" i="20"/>
  <c r="A5958" i="20"/>
  <c r="A5957" i="20"/>
  <c r="A5956" i="20"/>
  <c r="A5955" i="20"/>
  <c r="A5954" i="20"/>
  <c r="A5953" i="20"/>
  <c r="A5952" i="20"/>
  <c r="A5951" i="20"/>
  <c r="A5950" i="20"/>
  <c r="A5949" i="20"/>
  <c r="A5948" i="20"/>
  <c r="A5947" i="20"/>
  <c r="A5946" i="20"/>
  <c r="A5945" i="20"/>
  <c r="A5944" i="20"/>
  <c r="A5943" i="20"/>
  <c r="A5942" i="20"/>
  <c r="A5941" i="20"/>
  <c r="A5940" i="20"/>
  <c r="A5939" i="20"/>
  <c r="A5938" i="20"/>
  <c r="A5937" i="20"/>
  <c r="A5936" i="20"/>
  <c r="A5935" i="20"/>
  <c r="A5934" i="20"/>
  <c r="A5933" i="20"/>
  <c r="A5932" i="20"/>
  <c r="A5931" i="20"/>
  <c r="A5930" i="20"/>
  <c r="A5929" i="20"/>
  <c r="A5928" i="20"/>
  <c r="A5927" i="20"/>
  <c r="A5926" i="20"/>
  <c r="A5925" i="20"/>
  <c r="A5924" i="20"/>
  <c r="A5923" i="20"/>
  <c r="A5922" i="20"/>
  <c r="A5921" i="20"/>
  <c r="A5920" i="20"/>
  <c r="A5919" i="20"/>
  <c r="A5918" i="20"/>
  <c r="A5917" i="20"/>
  <c r="A5916" i="20"/>
  <c r="A5915" i="20"/>
  <c r="A5914" i="20"/>
  <c r="A5913" i="20"/>
  <c r="A5912" i="20"/>
  <c r="A5911" i="20"/>
  <c r="A5910" i="20"/>
  <c r="A5909" i="20"/>
  <c r="A5908" i="20"/>
  <c r="A5907" i="20"/>
  <c r="A5906" i="20"/>
  <c r="A5905" i="20"/>
  <c r="A5904" i="20"/>
  <c r="A5903" i="20"/>
  <c r="A5902" i="20"/>
  <c r="A5901" i="20"/>
  <c r="A5900" i="20"/>
  <c r="A5899" i="20"/>
  <c r="A5898" i="20"/>
  <c r="A5897" i="20"/>
  <c r="A5896" i="20"/>
  <c r="A5895" i="20"/>
  <c r="A5894" i="20"/>
  <c r="A5893" i="20"/>
  <c r="A5892" i="20"/>
  <c r="A5891" i="20"/>
  <c r="A5890" i="20"/>
  <c r="A5889" i="20"/>
  <c r="A5888" i="20"/>
  <c r="A5887" i="20"/>
  <c r="A5886" i="20"/>
  <c r="A5885" i="20"/>
  <c r="A5884" i="20"/>
  <c r="A5883" i="20"/>
  <c r="A5882" i="20"/>
  <c r="A5881" i="20"/>
  <c r="A5880" i="20"/>
  <c r="A5879" i="20"/>
  <c r="A5878" i="20"/>
  <c r="A5877" i="20"/>
  <c r="A5876" i="20"/>
  <c r="A5875" i="20"/>
  <c r="A5874" i="20"/>
  <c r="A5873" i="20"/>
  <c r="A5872" i="20"/>
  <c r="A5871" i="20"/>
  <c r="A5870" i="20"/>
  <c r="A5869" i="20"/>
  <c r="A5868" i="20"/>
  <c r="A5867" i="20"/>
  <c r="A5866" i="20"/>
  <c r="A5865" i="20"/>
  <c r="A5864" i="20"/>
  <c r="A5863" i="20"/>
  <c r="A5862" i="20"/>
  <c r="A5861" i="20"/>
  <c r="A5860" i="20"/>
  <c r="A5859" i="20"/>
  <c r="A5858" i="20"/>
  <c r="A5857" i="20"/>
  <c r="A5856" i="20"/>
  <c r="A5855" i="20"/>
  <c r="A5854" i="20"/>
  <c r="A5853" i="20"/>
  <c r="A5852" i="20"/>
  <c r="A5851" i="20"/>
  <c r="A5850" i="20"/>
  <c r="A5849" i="20"/>
  <c r="A5848" i="20"/>
  <c r="A5847" i="20"/>
  <c r="A5846" i="20"/>
  <c r="A5845" i="20"/>
  <c r="A5844" i="20"/>
  <c r="A5843" i="20"/>
  <c r="A5842" i="20"/>
  <c r="A5841" i="20"/>
  <c r="A5840" i="20"/>
  <c r="A5839" i="20"/>
  <c r="A5838" i="20"/>
  <c r="A5837" i="20"/>
  <c r="A5836" i="20"/>
  <c r="A5835" i="20"/>
  <c r="A5834" i="20"/>
  <c r="A5833" i="20"/>
  <c r="A5832" i="20"/>
  <c r="A5831" i="20"/>
  <c r="A5830" i="20"/>
  <c r="A5829" i="20"/>
  <c r="A5828" i="20"/>
  <c r="A5827" i="20"/>
  <c r="A5826" i="20"/>
  <c r="A5825" i="20"/>
  <c r="A5824" i="20"/>
  <c r="A5823" i="20"/>
  <c r="A5822" i="20"/>
  <c r="A5821" i="20"/>
  <c r="A5820" i="20"/>
  <c r="A5819" i="20"/>
  <c r="A5818" i="20"/>
  <c r="A5817" i="20"/>
  <c r="A5816" i="20"/>
  <c r="A5815" i="20"/>
  <c r="A5814" i="20"/>
  <c r="A5813" i="20"/>
  <c r="A5812" i="20"/>
  <c r="A5811" i="20"/>
  <c r="A5810" i="20"/>
  <c r="A5809" i="20"/>
  <c r="A5808" i="20"/>
  <c r="A5807" i="20"/>
  <c r="A5806" i="20"/>
  <c r="A5805" i="20"/>
  <c r="A5804" i="20"/>
  <c r="A5803" i="20"/>
  <c r="A5802" i="20"/>
  <c r="A5801" i="20"/>
  <c r="A5800" i="20"/>
  <c r="A5799" i="20"/>
  <c r="A5798" i="20"/>
  <c r="A5797" i="20"/>
  <c r="A5796" i="20"/>
  <c r="A5795" i="20"/>
  <c r="A5794" i="20"/>
  <c r="A5793" i="20"/>
  <c r="A5792" i="20"/>
  <c r="A5791" i="20"/>
  <c r="A5790" i="20"/>
  <c r="A5789" i="20"/>
  <c r="A5788" i="20"/>
  <c r="A5787" i="20"/>
  <c r="A5786" i="20"/>
  <c r="A5785" i="20"/>
  <c r="A5784" i="20"/>
  <c r="A5783" i="20"/>
  <c r="A5782" i="20"/>
  <c r="A5781" i="20"/>
  <c r="A5780" i="20"/>
  <c r="A5779" i="20"/>
  <c r="A5778" i="20"/>
  <c r="A5777" i="20"/>
  <c r="A5776" i="20"/>
  <c r="A5775" i="20"/>
  <c r="A5774" i="20"/>
  <c r="A5773" i="20"/>
  <c r="A5772" i="20"/>
  <c r="A5771" i="20"/>
  <c r="A5770" i="20"/>
  <c r="A5769" i="20"/>
  <c r="A5768" i="20"/>
  <c r="A5767" i="20"/>
  <c r="A5766" i="20"/>
  <c r="A5765" i="20"/>
  <c r="A5764" i="20"/>
  <c r="A5763" i="20"/>
  <c r="A5762" i="20"/>
  <c r="A5761" i="20"/>
  <c r="A5760" i="20"/>
  <c r="A5759" i="20"/>
  <c r="A5758" i="20"/>
  <c r="A5757" i="20"/>
  <c r="A5756" i="20"/>
  <c r="A5755" i="20"/>
  <c r="A5754" i="20"/>
  <c r="A5753" i="20"/>
  <c r="A5752" i="20"/>
  <c r="A5751" i="20"/>
  <c r="A5750" i="20"/>
  <c r="A5749" i="20"/>
  <c r="A5748" i="20"/>
  <c r="A5747" i="20"/>
  <c r="A5746" i="20"/>
  <c r="A5745" i="20"/>
  <c r="A5744" i="20"/>
  <c r="A5743" i="20"/>
  <c r="A5742" i="20"/>
  <c r="A5741" i="20"/>
  <c r="A5740" i="20"/>
  <c r="A5739" i="20"/>
  <c r="A5738" i="20"/>
  <c r="A5737" i="20"/>
  <c r="A5736" i="20"/>
  <c r="A5735" i="20"/>
  <c r="A5734" i="20"/>
  <c r="A5733" i="20"/>
  <c r="A5732" i="20"/>
  <c r="A5731" i="20"/>
  <c r="A5730" i="20"/>
  <c r="A5729" i="20"/>
  <c r="A5728" i="20"/>
  <c r="A5727" i="20"/>
  <c r="A5726" i="20"/>
  <c r="A5725" i="20"/>
  <c r="A5724" i="20"/>
  <c r="A5723" i="20"/>
  <c r="A5722" i="20"/>
  <c r="A5721" i="20"/>
  <c r="A5720" i="20"/>
  <c r="A5719" i="20"/>
  <c r="A5718" i="20"/>
  <c r="A5717" i="20"/>
  <c r="A5716" i="20"/>
  <c r="A5715" i="20"/>
  <c r="A5714" i="20"/>
  <c r="A5713" i="20"/>
  <c r="A5712" i="20"/>
  <c r="A5711" i="20"/>
  <c r="A5710" i="20"/>
  <c r="A5709" i="20"/>
  <c r="A5708" i="20"/>
  <c r="A5707" i="20"/>
  <c r="A5706" i="20"/>
  <c r="A5705" i="20"/>
  <c r="A5704" i="20"/>
  <c r="A5703" i="20"/>
  <c r="A5702" i="20"/>
  <c r="A5701" i="20"/>
  <c r="A5700" i="20"/>
  <c r="A5699" i="20"/>
  <c r="A5698" i="20"/>
  <c r="A5697" i="20"/>
  <c r="A5696" i="20"/>
  <c r="A5695" i="20"/>
  <c r="A5694" i="20"/>
  <c r="A5693" i="20"/>
  <c r="A5692" i="20"/>
  <c r="A5691" i="20"/>
  <c r="A5690" i="20"/>
  <c r="A5689" i="20"/>
  <c r="A5688" i="20"/>
  <c r="A5687" i="20"/>
  <c r="A5686" i="20"/>
  <c r="A5685" i="20"/>
  <c r="A5684" i="20"/>
  <c r="A5683" i="20"/>
  <c r="A5682" i="20"/>
  <c r="A5681" i="20"/>
  <c r="A5680" i="20"/>
  <c r="A5679" i="20"/>
  <c r="A5678" i="20"/>
  <c r="A5677" i="20"/>
  <c r="A5676" i="20"/>
  <c r="A5675" i="20"/>
  <c r="A5674" i="20"/>
  <c r="A5673" i="20"/>
  <c r="A5672" i="20"/>
  <c r="A5671" i="20"/>
  <c r="A5670" i="20"/>
  <c r="A5669" i="20"/>
  <c r="A5668" i="20"/>
  <c r="A5667" i="20"/>
  <c r="A5666" i="20"/>
  <c r="A5665" i="20"/>
  <c r="A5664" i="20"/>
  <c r="A5663" i="20"/>
  <c r="A5662" i="20"/>
  <c r="A5661" i="20"/>
  <c r="A5660" i="20"/>
  <c r="A5659" i="20"/>
  <c r="A5658" i="20"/>
  <c r="A5657" i="20"/>
  <c r="A5656" i="20"/>
  <c r="A5655" i="20"/>
  <c r="A5654" i="20"/>
  <c r="A5653" i="20"/>
  <c r="A5652" i="20"/>
  <c r="A5651" i="20"/>
  <c r="A5650" i="20"/>
  <c r="A5649" i="20"/>
  <c r="A5648" i="20"/>
  <c r="A5647" i="20"/>
  <c r="A5646" i="20"/>
  <c r="A5645" i="20"/>
  <c r="A5644" i="20"/>
  <c r="A5643" i="20"/>
  <c r="A5642" i="20"/>
  <c r="A5641" i="20"/>
  <c r="A5640" i="20"/>
  <c r="A5639" i="20"/>
  <c r="A5638" i="20"/>
  <c r="A5637" i="20"/>
  <c r="A5636" i="20"/>
  <c r="A5635" i="20"/>
  <c r="A5634" i="20"/>
  <c r="A5633" i="20"/>
  <c r="A5632" i="20"/>
  <c r="A5631" i="20"/>
  <c r="A5630" i="20"/>
  <c r="A5629" i="20"/>
  <c r="A5628" i="20"/>
  <c r="A5627" i="20"/>
  <c r="A5626" i="20"/>
  <c r="A5625" i="20"/>
  <c r="A5624" i="20"/>
  <c r="A5623" i="20"/>
  <c r="A5622" i="20"/>
  <c r="A5621" i="20"/>
  <c r="A5620" i="20"/>
  <c r="A5619" i="20"/>
  <c r="A5618" i="20"/>
  <c r="A5617" i="20"/>
  <c r="A5616" i="20"/>
  <c r="A5615" i="20"/>
  <c r="A5614" i="20"/>
  <c r="A5613" i="20"/>
  <c r="A5612" i="20"/>
  <c r="A5611" i="20"/>
  <c r="A5610" i="20"/>
  <c r="A5609" i="20"/>
  <c r="A5608" i="20"/>
  <c r="A5607" i="20"/>
  <c r="A5606" i="20"/>
  <c r="A5605" i="20"/>
  <c r="A5604" i="20"/>
  <c r="A5603" i="20"/>
  <c r="A5602" i="20"/>
  <c r="A5601" i="20"/>
  <c r="A5600" i="20"/>
  <c r="A5599" i="20"/>
  <c r="A5598" i="20"/>
  <c r="A5597" i="20"/>
  <c r="A5596" i="20"/>
  <c r="A5595" i="20"/>
  <c r="A5594" i="20"/>
  <c r="A5593" i="20"/>
  <c r="A5592" i="20"/>
  <c r="A5591" i="20"/>
  <c r="A5590" i="20"/>
  <c r="A5589" i="20"/>
  <c r="A5588" i="20"/>
  <c r="A5587" i="20"/>
  <c r="A5586" i="20"/>
  <c r="A5585" i="20"/>
  <c r="A5584" i="20"/>
  <c r="A5583" i="20"/>
  <c r="A5582" i="20"/>
  <c r="A5581" i="20"/>
  <c r="A5580" i="20"/>
  <c r="A5579" i="20"/>
  <c r="A5578" i="20"/>
  <c r="A5577" i="20"/>
  <c r="A5576" i="20"/>
  <c r="A5575" i="20"/>
  <c r="A5574" i="20"/>
  <c r="A5573" i="20"/>
  <c r="A5572" i="20"/>
  <c r="A5571" i="20"/>
  <c r="A5570" i="20"/>
  <c r="A5569" i="20"/>
  <c r="A5568" i="20"/>
  <c r="A5567" i="20"/>
  <c r="A5566" i="20"/>
  <c r="A5565" i="20"/>
  <c r="A5564" i="20"/>
  <c r="A5563" i="20"/>
  <c r="A5562" i="20"/>
  <c r="A5561" i="20"/>
  <c r="A5560" i="20"/>
  <c r="A5559" i="20"/>
  <c r="A5558" i="20"/>
  <c r="A5557" i="20"/>
  <c r="A5556" i="20"/>
  <c r="A5555" i="20"/>
  <c r="A5554" i="20"/>
  <c r="A5553" i="20"/>
  <c r="A5552" i="20"/>
  <c r="A5551" i="20"/>
  <c r="A5550" i="20"/>
  <c r="A5549" i="20"/>
  <c r="A5548" i="20"/>
  <c r="A5547" i="20"/>
  <c r="A5546" i="20"/>
  <c r="A5545" i="20"/>
  <c r="A5544" i="20"/>
  <c r="A5543" i="20"/>
  <c r="A5542" i="20"/>
  <c r="A5541" i="20"/>
  <c r="A5540" i="20"/>
  <c r="A5539" i="20"/>
  <c r="A5538" i="20"/>
  <c r="A5537" i="20"/>
  <c r="A5536" i="20"/>
  <c r="A5535" i="20"/>
  <c r="A5534" i="20"/>
  <c r="A5533" i="20"/>
  <c r="A5532" i="20"/>
  <c r="A5531" i="20"/>
  <c r="A5530" i="20"/>
  <c r="A5529" i="20"/>
  <c r="A5528" i="20"/>
  <c r="A5527" i="20"/>
  <c r="A5526" i="20"/>
  <c r="A5525" i="20"/>
  <c r="A5524" i="20"/>
  <c r="A5523" i="20"/>
  <c r="A5522" i="20"/>
  <c r="A5521" i="20"/>
  <c r="A5520" i="20"/>
  <c r="A5519" i="20"/>
  <c r="A5518" i="20"/>
  <c r="A5517" i="20"/>
  <c r="A5516" i="20"/>
  <c r="A5515" i="20"/>
  <c r="A5514" i="20"/>
  <c r="A5513" i="20"/>
  <c r="A5512" i="20"/>
  <c r="A5511" i="20"/>
  <c r="A5510" i="20"/>
  <c r="A5509" i="20"/>
  <c r="A5508" i="20"/>
  <c r="A5507" i="20"/>
  <c r="A5506" i="20"/>
  <c r="A5505" i="20"/>
  <c r="A5504" i="20"/>
  <c r="A5503" i="20"/>
  <c r="A5502" i="20"/>
  <c r="A5501" i="20"/>
  <c r="A5500" i="20"/>
  <c r="A5499" i="20"/>
  <c r="A5498" i="20"/>
  <c r="A5497" i="20"/>
  <c r="A5496" i="20"/>
  <c r="A5495" i="20"/>
  <c r="A5494" i="20"/>
  <c r="A5493" i="20"/>
  <c r="A5492" i="20"/>
  <c r="A5491" i="20"/>
  <c r="A5490" i="20"/>
  <c r="A5489" i="20"/>
  <c r="A5488" i="20"/>
  <c r="A5487" i="20"/>
  <c r="A5486" i="20"/>
  <c r="A5485" i="20"/>
  <c r="A5484" i="20"/>
  <c r="A5483" i="20"/>
  <c r="A5482" i="20"/>
  <c r="A5481" i="20"/>
  <c r="A5480" i="20"/>
  <c r="A5479" i="20"/>
  <c r="A5478" i="20"/>
  <c r="A5477" i="20"/>
  <c r="A5476" i="20"/>
  <c r="A5475" i="20"/>
  <c r="A5474" i="20"/>
  <c r="A5473" i="20"/>
  <c r="A5472" i="20"/>
  <c r="A5471" i="20"/>
  <c r="A5470" i="20"/>
  <c r="A5469" i="20"/>
  <c r="A5468" i="20"/>
  <c r="A5467" i="20"/>
  <c r="A5466" i="20"/>
  <c r="A5465" i="20"/>
  <c r="A5464" i="20"/>
  <c r="A5463" i="20"/>
  <c r="A5462" i="20"/>
  <c r="A5461" i="20"/>
  <c r="A5460" i="20"/>
  <c r="A5459" i="20"/>
  <c r="A5458" i="20"/>
  <c r="A5457" i="20"/>
  <c r="A5456" i="20"/>
  <c r="A5455" i="20"/>
  <c r="A5454" i="20"/>
  <c r="A5453" i="20"/>
  <c r="A5452" i="20"/>
  <c r="A5451" i="20"/>
  <c r="A5450" i="20"/>
  <c r="A5449" i="20"/>
  <c r="A5448" i="20"/>
  <c r="A5447" i="20"/>
  <c r="A5446" i="20"/>
  <c r="A5445" i="20"/>
  <c r="A5444" i="20"/>
  <c r="A5443" i="20"/>
  <c r="A5442" i="20"/>
  <c r="A5441" i="20"/>
  <c r="A5440" i="20"/>
  <c r="A5439" i="20"/>
  <c r="A5438" i="20"/>
  <c r="A5437" i="20"/>
  <c r="A5436" i="20"/>
  <c r="A5435" i="20"/>
  <c r="A5434" i="20"/>
  <c r="A5433" i="20"/>
  <c r="A5432" i="20"/>
  <c r="A5431" i="20"/>
  <c r="A5430" i="20"/>
  <c r="A5429" i="20"/>
  <c r="A5428" i="20"/>
  <c r="A5427" i="20"/>
  <c r="A5426" i="20"/>
  <c r="A5425" i="20"/>
  <c r="A5424" i="20"/>
  <c r="A5423" i="20"/>
  <c r="A5422" i="20"/>
  <c r="A5421" i="20"/>
  <c r="A5420" i="20"/>
  <c r="A5419" i="20"/>
  <c r="A5418" i="20"/>
  <c r="A5417" i="20"/>
  <c r="A5416" i="20"/>
  <c r="A5415" i="20"/>
  <c r="A5414" i="20"/>
  <c r="A5413" i="20"/>
  <c r="A5412" i="20"/>
  <c r="A5411" i="20"/>
  <c r="A5410" i="20"/>
  <c r="A5409" i="20"/>
  <c r="A5408" i="20"/>
  <c r="A5407" i="20"/>
  <c r="A5406" i="20"/>
  <c r="A5405" i="20"/>
  <c r="A5404" i="20"/>
  <c r="A5403" i="20"/>
  <c r="A5402" i="20"/>
  <c r="A5401" i="20"/>
  <c r="A5400" i="20"/>
  <c r="A5399" i="20"/>
  <c r="A5398" i="20"/>
  <c r="A5397" i="20"/>
  <c r="A5396" i="20"/>
  <c r="A5395" i="20"/>
  <c r="A5394" i="20"/>
  <c r="A5393" i="20"/>
  <c r="A5392" i="20"/>
  <c r="A5391" i="20"/>
  <c r="A5390" i="20"/>
  <c r="A5389" i="20"/>
  <c r="A5388" i="20"/>
  <c r="A5387" i="20"/>
  <c r="A5386" i="20"/>
  <c r="A5385" i="20"/>
  <c r="A5384" i="20"/>
  <c r="A5383" i="20"/>
  <c r="A5382" i="20"/>
  <c r="A5381" i="20"/>
  <c r="A5380" i="20"/>
  <c r="A5379" i="20"/>
  <c r="A5378" i="20"/>
  <c r="A5377" i="20"/>
  <c r="A5376" i="20"/>
  <c r="A5375" i="20"/>
  <c r="A5374" i="20"/>
  <c r="A5373" i="20"/>
  <c r="A5372" i="20"/>
  <c r="A5371" i="20"/>
  <c r="A5370" i="20"/>
  <c r="A5369" i="20"/>
  <c r="A5368" i="20"/>
  <c r="A5367" i="20"/>
  <c r="A5366" i="20"/>
  <c r="A5365" i="20"/>
  <c r="A5364" i="20"/>
  <c r="A5363" i="20"/>
  <c r="A5362" i="20"/>
  <c r="A5361" i="20"/>
  <c r="A5360" i="20"/>
  <c r="A5359" i="20"/>
  <c r="A5358" i="20"/>
  <c r="A5357" i="20"/>
  <c r="A5356" i="20"/>
  <c r="A5355" i="20"/>
  <c r="A5354" i="20"/>
  <c r="A5353" i="20"/>
  <c r="A5352" i="20"/>
  <c r="A5351" i="20"/>
  <c r="A5350" i="20"/>
  <c r="A5349" i="20"/>
  <c r="A5348" i="20"/>
  <c r="A5347" i="20"/>
  <c r="A5346" i="20"/>
  <c r="A5345" i="20"/>
  <c r="A5344" i="20"/>
  <c r="A5343" i="20"/>
  <c r="A5342" i="20"/>
  <c r="A5341" i="20"/>
  <c r="A5340" i="20"/>
  <c r="A5339" i="20"/>
  <c r="A5338" i="20"/>
  <c r="A5337" i="20"/>
  <c r="A5336" i="20"/>
  <c r="A5335" i="20"/>
  <c r="A5334" i="20"/>
  <c r="A5333" i="20"/>
  <c r="A5332" i="20"/>
  <c r="A5331" i="20"/>
  <c r="A5330" i="20"/>
  <c r="A5329" i="20"/>
  <c r="A5328" i="20"/>
  <c r="A5327" i="20"/>
  <c r="A5326" i="20"/>
  <c r="A5325" i="20"/>
  <c r="A5324" i="20"/>
  <c r="A5323" i="20"/>
  <c r="A5322" i="20"/>
  <c r="A5321" i="20"/>
  <c r="A5320" i="20"/>
  <c r="A5319" i="20"/>
  <c r="A5318" i="20"/>
  <c r="A5317" i="20"/>
  <c r="A5316" i="20"/>
  <c r="A5315" i="20"/>
  <c r="A5314" i="20"/>
  <c r="A5313" i="20"/>
  <c r="A5312" i="20"/>
  <c r="A5311" i="20"/>
  <c r="A5310" i="20"/>
  <c r="A5309" i="20"/>
  <c r="A5308" i="20"/>
  <c r="A5307" i="20"/>
  <c r="A5306" i="20"/>
  <c r="A5305" i="20"/>
  <c r="A5304" i="20"/>
  <c r="A5303" i="20"/>
  <c r="A5302" i="20"/>
  <c r="A5301" i="20"/>
  <c r="A5300" i="20"/>
  <c r="A5299" i="20"/>
  <c r="A5298" i="20"/>
  <c r="A5297" i="20"/>
  <c r="A5296" i="20"/>
  <c r="A5295" i="20"/>
  <c r="A5294" i="20"/>
  <c r="A5293" i="20"/>
  <c r="A5292" i="20"/>
  <c r="A5291" i="20"/>
  <c r="A5290" i="20"/>
  <c r="A5289" i="20"/>
  <c r="A5288" i="20"/>
  <c r="A5287" i="20"/>
  <c r="A5286" i="20"/>
  <c r="A5285" i="20"/>
  <c r="A5284" i="20"/>
  <c r="A5283" i="20"/>
  <c r="A5282" i="20"/>
  <c r="A5281" i="20"/>
  <c r="A5280" i="20"/>
  <c r="A5279" i="20"/>
  <c r="A5278" i="20"/>
  <c r="A5277" i="20"/>
  <c r="A5276" i="20"/>
  <c r="A5275" i="20"/>
  <c r="A5274" i="20"/>
  <c r="A5273" i="20"/>
  <c r="A5272" i="20"/>
  <c r="A5271" i="20"/>
  <c r="A5270" i="20"/>
  <c r="A5269" i="20"/>
  <c r="A5268" i="20"/>
  <c r="A5267" i="20"/>
  <c r="A5266" i="20"/>
  <c r="A5265" i="20"/>
  <c r="A5264" i="20"/>
  <c r="A5263" i="20"/>
  <c r="A5262" i="20"/>
  <c r="A5261" i="20"/>
  <c r="A5260" i="20"/>
  <c r="A5259" i="20"/>
  <c r="A5258" i="20"/>
  <c r="A5257" i="20"/>
  <c r="A5256" i="20"/>
  <c r="A5255" i="20"/>
  <c r="A5254" i="20"/>
  <c r="A5253" i="20"/>
  <c r="A5252" i="20"/>
  <c r="A5251" i="20"/>
  <c r="A5250" i="20"/>
  <c r="A5249" i="20"/>
  <c r="A5248" i="20"/>
  <c r="A5247" i="20"/>
  <c r="A5246" i="20"/>
  <c r="A5245" i="20"/>
  <c r="A5244" i="20"/>
  <c r="A5243" i="20"/>
  <c r="A5242" i="20"/>
  <c r="A5241" i="20"/>
  <c r="A5240" i="20"/>
  <c r="A5239" i="20"/>
  <c r="A5238" i="20"/>
  <c r="A5237" i="20"/>
  <c r="A5236" i="20"/>
  <c r="A5235" i="20"/>
  <c r="A5234" i="20"/>
  <c r="A5233" i="20"/>
  <c r="A5232" i="20"/>
  <c r="A5231" i="20"/>
  <c r="A5230" i="20"/>
  <c r="A5229" i="20"/>
  <c r="A5228" i="20"/>
  <c r="A5227" i="20"/>
  <c r="A5226" i="20"/>
  <c r="A5225" i="20"/>
  <c r="A5224" i="20"/>
  <c r="A5223" i="20"/>
  <c r="A5222" i="20"/>
  <c r="A5221" i="20"/>
  <c r="A5220" i="20"/>
  <c r="A5219" i="20"/>
  <c r="A5218" i="20"/>
  <c r="A5217" i="20"/>
  <c r="A5216" i="20"/>
  <c r="A5215" i="20"/>
  <c r="A5214" i="20"/>
  <c r="A5213" i="20"/>
  <c r="A5212" i="20"/>
  <c r="A5211" i="20"/>
  <c r="A5210" i="20"/>
  <c r="A5209" i="20"/>
  <c r="A5208" i="20"/>
  <c r="A5207" i="20"/>
  <c r="A5206" i="20"/>
  <c r="A5205" i="20"/>
  <c r="A5204" i="20"/>
  <c r="A5203" i="20"/>
  <c r="A5202" i="20"/>
  <c r="A5201" i="20"/>
  <c r="A5200" i="20"/>
  <c r="A5199" i="20"/>
  <c r="A5198" i="20"/>
  <c r="A5197" i="20"/>
  <c r="A5196" i="20"/>
  <c r="A5195" i="20"/>
  <c r="A5194" i="20"/>
  <c r="A5193" i="20"/>
  <c r="A5192" i="20"/>
  <c r="A5191" i="20"/>
  <c r="A5190" i="20"/>
  <c r="A5189" i="20"/>
  <c r="A5188" i="20"/>
  <c r="A5187" i="20"/>
  <c r="A5186" i="20"/>
  <c r="A5185" i="20"/>
  <c r="A5184" i="20"/>
  <c r="A5183" i="20"/>
  <c r="A5182" i="20"/>
  <c r="A5181" i="20"/>
  <c r="A5180" i="20"/>
  <c r="A5179" i="20"/>
  <c r="A5178" i="20"/>
  <c r="A5177" i="20"/>
  <c r="A5176" i="20"/>
  <c r="A5175" i="20"/>
  <c r="A5174" i="20"/>
  <c r="A5173" i="20"/>
  <c r="A5172" i="20"/>
  <c r="A5171" i="20"/>
  <c r="A5170" i="20"/>
  <c r="A5169" i="20"/>
  <c r="A5168" i="20"/>
  <c r="A5167" i="20"/>
  <c r="A5166" i="20"/>
  <c r="A5165" i="20"/>
  <c r="A5164" i="20"/>
  <c r="A5163" i="20"/>
  <c r="A5162" i="20"/>
  <c r="A5161" i="20"/>
  <c r="A5160" i="20"/>
  <c r="A5159" i="20"/>
  <c r="A5158" i="20"/>
  <c r="A5157" i="20"/>
  <c r="A5156" i="20"/>
  <c r="A5155" i="20"/>
  <c r="A5154" i="20"/>
  <c r="A5153" i="20"/>
  <c r="A5152" i="20"/>
  <c r="A5151" i="20"/>
  <c r="A5150" i="20"/>
  <c r="A5149" i="20"/>
  <c r="A5148" i="20"/>
  <c r="A5147" i="20"/>
  <c r="A5146" i="20"/>
  <c r="A5145" i="20"/>
  <c r="A5144" i="20"/>
  <c r="A5143" i="20"/>
  <c r="A5142" i="20"/>
  <c r="A5141" i="20"/>
  <c r="A5140" i="20"/>
  <c r="A5139" i="20"/>
  <c r="A5138" i="20"/>
  <c r="A5137" i="20"/>
  <c r="A5136" i="20"/>
  <c r="A5135" i="20"/>
  <c r="A5134" i="20"/>
  <c r="A5133" i="20"/>
  <c r="A5132" i="20"/>
  <c r="A5131" i="20"/>
  <c r="A5130" i="20"/>
  <c r="A5129" i="20"/>
  <c r="A5128" i="20"/>
  <c r="A5127" i="20"/>
  <c r="A5126" i="20"/>
  <c r="A5125" i="20"/>
  <c r="A5124" i="20"/>
  <c r="A5123" i="20"/>
  <c r="A5122" i="20"/>
  <c r="A5121" i="20"/>
  <c r="A5120" i="20"/>
  <c r="A5119" i="20"/>
  <c r="A5118" i="20"/>
  <c r="A5117" i="20"/>
  <c r="A5116" i="20"/>
  <c r="A5115" i="20"/>
  <c r="A5114" i="20"/>
  <c r="A5113" i="20"/>
  <c r="A5112" i="20"/>
  <c r="A5111" i="20"/>
  <c r="A5110" i="20"/>
  <c r="A5109" i="20"/>
  <c r="A5108" i="20"/>
  <c r="A5107" i="20"/>
  <c r="A5106" i="20"/>
  <c r="A5105" i="20"/>
  <c r="A5104" i="20"/>
  <c r="A5103" i="20"/>
  <c r="A5102" i="20"/>
  <c r="A5101" i="20"/>
  <c r="A5100" i="20"/>
  <c r="A5099" i="20"/>
  <c r="A5098" i="20"/>
  <c r="A5097" i="20"/>
  <c r="A5096" i="20"/>
  <c r="A5095" i="20"/>
  <c r="A5094" i="20"/>
  <c r="A5093" i="20"/>
  <c r="A5092" i="20"/>
  <c r="A5091" i="20"/>
  <c r="A5090" i="20"/>
  <c r="A5089" i="20"/>
  <c r="A5088" i="20"/>
  <c r="A5087" i="20"/>
  <c r="A5086" i="20"/>
  <c r="A5085" i="20"/>
  <c r="A5084" i="20"/>
  <c r="A5083" i="20"/>
  <c r="A5082" i="20"/>
  <c r="A5081" i="20"/>
  <c r="A5080" i="20"/>
  <c r="A5079" i="20"/>
  <c r="A5078" i="20"/>
  <c r="A5077" i="20"/>
  <c r="A5076" i="20"/>
  <c r="A5075" i="20"/>
  <c r="A5074" i="20"/>
  <c r="A5073" i="20"/>
  <c r="A5072" i="20"/>
  <c r="A5071" i="20"/>
  <c r="A5070" i="20"/>
  <c r="A5069" i="20"/>
  <c r="A5068" i="20"/>
  <c r="A5067" i="20"/>
  <c r="A5066" i="20"/>
  <c r="A5065" i="20"/>
  <c r="A5064" i="20"/>
  <c r="A5063" i="20"/>
  <c r="A5062" i="20"/>
  <c r="A5061" i="20"/>
  <c r="A5060" i="20"/>
  <c r="A5059" i="20"/>
  <c r="A5058" i="20"/>
  <c r="A5057" i="20"/>
  <c r="A5056" i="20"/>
  <c r="A5055" i="20"/>
  <c r="A5054" i="20"/>
  <c r="A5053" i="20"/>
  <c r="A5052" i="20"/>
  <c r="A5051" i="20"/>
  <c r="A5050" i="20"/>
  <c r="A5049" i="20"/>
  <c r="A5048" i="20"/>
  <c r="A5047" i="20"/>
  <c r="A5046" i="20"/>
  <c r="A5045" i="20"/>
  <c r="A5044" i="20"/>
  <c r="A5043" i="20"/>
  <c r="A5042" i="20"/>
  <c r="A5041" i="20"/>
  <c r="A5040" i="20"/>
  <c r="A5039" i="20"/>
  <c r="A5038" i="20"/>
  <c r="A5037" i="20"/>
  <c r="A5036" i="20"/>
  <c r="A5035" i="20"/>
  <c r="A5034" i="20"/>
  <c r="A5033" i="20"/>
  <c r="A5032" i="20"/>
  <c r="A5031" i="20"/>
  <c r="A5030" i="20"/>
  <c r="A5029" i="20"/>
  <c r="A5028" i="20"/>
  <c r="A5027" i="20"/>
  <c r="A5026" i="20"/>
  <c r="A5025" i="20"/>
  <c r="A5024" i="20"/>
  <c r="A5023" i="20"/>
  <c r="A5022" i="20"/>
  <c r="A5021" i="20"/>
  <c r="A5020" i="20"/>
  <c r="A5019" i="20"/>
  <c r="A5018" i="20"/>
  <c r="A5017" i="20"/>
  <c r="A5016" i="20"/>
  <c r="A5015" i="20"/>
  <c r="A5014" i="20"/>
  <c r="A5013" i="20"/>
  <c r="A5012" i="20"/>
  <c r="A5011" i="20"/>
  <c r="A5010" i="20"/>
  <c r="A5009" i="20"/>
  <c r="A5008" i="20"/>
  <c r="A5007" i="20"/>
  <c r="A5006" i="20"/>
  <c r="A5005" i="20"/>
  <c r="A5004" i="20"/>
  <c r="A5003" i="20"/>
  <c r="A5002" i="20"/>
  <c r="A5001" i="20"/>
  <c r="A5000" i="20"/>
  <c r="A4999" i="20"/>
  <c r="A4998" i="20"/>
  <c r="A4997" i="20"/>
  <c r="A4996" i="20"/>
  <c r="A4995" i="20"/>
  <c r="A4994" i="20"/>
  <c r="A4993" i="20"/>
  <c r="A4992" i="20"/>
  <c r="A4991" i="20"/>
  <c r="A4990" i="20"/>
  <c r="A4989" i="20"/>
  <c r="A4988" i="20"/>
  <c r="A4987" i="20"/>
  <c r="A4986" i="20"/>
  <c r="A4985" i="20"/>
  <c r="A4984" i="20"/>
  <c r="A4983" i="20"/>
  <c r="A4982" i="20"/>
  <c r="A4981" i="20"/>
  <c r="A4980" i="20"/>
  <c r="A4979" i="20"/>
  <c r="A4978" i="20"/>
  <c r="A4977" i="20"/>
  <c r="A4976" i="20"/>
  <c r="A4975" i="20"/>
  <c r="A4974" i="20"/>
  <c r="A4973" i="20"/>
  <c r="A4972" i="20"/>
  <c r="A4971" i="20"/>
  <c r="A4970" i="20"/>
  <c r="A4969" i="20"/>
  <c r="A4968" i="20"/>
  <c r="A4967" i="20"/>
  <c r="A4966" i="20"/>
  <c r="A4965" i="20"/>
  <c r="A4964" i="20"/>
  <c r="A4963" i="20"/>
  <c r="A4962" i="20"/>
  <c r="A4961" i="20"/>
  <c r="A4960" i="20"/>
  <c r="A4959" i="20"/>
  <c r="A4958" i="20"/>
  <c r="A4957" i="20"/>
  <c r="A4956" i="20"/>
  <c r="A4955" i="20"/>
  <c r="A4954" i="20"/>
  <c r="A4953" i="20"/>
  <c r="A4952" i="20"/>
  <c r="A4951" i="20"/>
  <c r="A4950" i="20"/>
  <c r="A4949" i="20"/>
  <c r="A4948" i="20"/>
  <c r="A4947" i="20"/>
  <c r="A4946" i="20"/>
  <c r="A4945" i="20"/>
  <c r="A4944" i="20"/>
  <c r="A4943" i="20"/>
  <c r="A4942" i="20"/>
  <c r="A4941" i="20"/>
  <c r="A4940" i="20"/>
  <c r="A4939" i="20"/>
  <c r="A4938" i="20"/>
  <c r="A4937" i="20"/>
  <c r="A4936" i="20"/>
  <c r="A4935" i="20"/>
  <c r="A4934" i="20"/>
  <c r="A4933" i="20"/>
  <c r="A4932" i="20"/>
  <c r="A4931" i="20"/>
  <c r="A4930" i="20"/>
  <c r="A4929" i="20"/>
  <c r="A4928" i="20"/>
  <c r="A4927" i="20"/>
  <c r="A4926" i="20"/>
  <c r="A4925" i="20"/>
  <c r="A4924" i="20"/>
  <c r="A4923" i="20"/>
  <c r="A4922" i="20"/>
  <c r="A4921" i="20"/>
  <c r="A4920" i="20"/>
  <c r="A4919" i="20"/>
  <c r="A4918" i="20"/>
  <c r="A4917" i="20"/>
  <c r="A4916" i="20"/>
  <c r="A4915" i="20"/>
  <c r="A4914" i="20"/>
  <c r="A4913" i="20"/>
  <c r="A4912" i="20"/>
  <c r="A4911" i="20"/>
  <c r="A4910" i="20"/>
  <c r="A4909" i="20"/>
  <c r="A4908" i="20"/>
  <c r="A4907" i="20"/>
  <c r="A4906" i="20"/>
  <c r="A4905" i="20"/>
  <c r="A4904" i="20"/>
  <c r="A4903" i="20"/>
  <c r="A4902" i="20"/>
  <c r="A4901" i="20"/>
  <c r="A4900" i="20"/>
  <c r="A4899" i="20"/>
  <c r="A4898" i="20"/>
  <c r="A4897" i="20"/>
  <c r="A4896" i="20"/>
  <c r="A4895" i="20"/>
  <c r="A4894" i="20"/>
  <c r="A4893" i="20"/>
  <c r="A4892" i="20"/>
  <c r="A4891" i="20"/>
  <c r="A4890" i="20"/>
  <c r="A4889" i="20"/>
  <c r="A4888" i="20"/>
  <c r="A4887" i="20"/>
  <c r="A4886" i="20"/>
  <c r="A4885" i="20"/>
  <c r="A4884" i="20"/>
  <c r="A4883" i="20"/>
  <c r="A4882" i="20"/>
  <c r="A4881" i="20"/>
  <c r="A4880" i="20"/>
  <c r="A4879" i="20"/>
  <c r="A4878" i="20"/>
  <c r="A4877" i="20"/>
  <c r="A4876" i="20"/>
  <c r="A4875" i="20"/>
  <c r="A4874" i="20"/>
  <c r="A4873" i="20"/>
  <c r="A4872" i="20"/>
  <c r="A4871" i="20"/>
  <c r="A4870" i="20"/>
  <c r="A4869" i="20"/>
  <c r="A4868" i="20"/>
  <c r="A4867" i="20"/>
  <c r="A4866" i="20"/>
  <c r="A4865" i="20"/>
  <c r="A4864" i="20"/>
  <c r="A4863" i="20"/>
  <c r="A4862" i="20"/>
  <c r="A4861" i="20"/>
  <c r="A4860" i="20"/>
  <c r="A4859" i="20"/>
  <c r="A4858" i="20"/>
  <c r="A4857" i="20"/>
  <c r="A4856" i="20"/>
  <c r="A4855" i="20"/>
  <c r="A4854" i="20"/>
  <c r="A4853" i="20"/>
  <c r="A4852" i="20"/>
  <c r="A4851" i="20"/>
  <c r="A4850" i="20"/>
  <c r="A4849" i="20"/>
  <c r="A4848" i="20"/>
  <c r="A4847" i="20"/>
  <c r="A4846" i="20"/>
  <c r="A4845" i="20"/>
  <c r="A4844" i="20"/>
  <c r="A4843" i="20"/>
  <c r="A4842" i="20"/>
  <c r="A4841" i="20"/>
  <c r="A4840" i="20"/>
  <c r="A4839" i="20"/>
  <c r="A4838" i="20"/>
  <c r="A4837" i="20"/>
  <c r="A4836" i="20"/>
  <c r="A4835" i="20"/>
  <c r="A4834" i="20"/>
  <c r="A4833" i="20"/>
  <c r="A4832" i="20"/>
  <c r="A4831" i="20"/>
  <c r="A4830" i="20"/>
  <c r="A4829" i="20"/>
  <c r="A4828" i="20"/>
  <c r="A4827" i="20"/>
  <c r="A4826" i="20"/>
  <c r="A4825" i="20"/>
  <c r="A4824" i="20"/>
  <c r="A4823" i="20"/>
  <c r="A4822" i="20"/>
  <c r="A4821" i="20"/>
  <c r="A4820" i="20"/>
  <c r="A4819" i="20"/>
  <c r="A4818" i="20"/>
  <c r="A4817" i="20"/>
  <c r="A4816" i="20"/>
  <c r="A4815" i="20"/>
  <c r="A4814" i="20"/>
  <c r="A4813" i="20"/>
  <c r="A4812" i="20"/>
  <c r="A4811" i="20"/>
  <c r="A4810" i="20"/>
  <c r="A4809" i="20"/>
  <c r="A4808" i="20"/>
  <c r="A4807" i="20"/>
  <c r="A4806" i="20"/>
  <c r="A4805" i="20"/>
  <c r="A4804" i="20"/>
  <c r="A4803" i="20"/>
  <c r="A4802" i="20"/>
  <c r="A4801" i="20"/>
  <c r="A4800" i="20"/>
  <c r="A4799" i="20"/>
  <c r="A4798" i="20"/>
  <c r="A4797" i="20"/>
  <c r="A4796" i="20"/>
  <c r="A4795" i="20"/>
  <c r="A4794" i="20"/>
  <c r="A4793" i="20"/>
  <c r="A4792" i="20"/>
  <c r="A4791" i="20"/>
  <c r="A4790" i="20"/>
  <c r="A4789" i="20"/>
  <c r="A4788" i="20"/>
  <c r="A4787" i="20"/>
  <c r="A4786" i="20"/>
  <c r="A4785" i="20"/>
  <c r="A4784" i="20"/>
  <c r="A4783" i="20"/>
  <c r="A4782" i="20"/>
  <c r="A4781" i="20"/>
  <c r="A4780" i="20"/>
  <c r="A4779" i="20"/>
  <c r="A4778" i="20"/>
  <c r="A4777" i="20"/>
  <c r="A4776" i="20"/>
  <c r="A4775" i="20"/>
  <c r="A4774" i="20"/>
  <c r="A4773" i="20"/>
  <c r="A4772" i="20"/>
  <c r="A4771" i="20"/>
  <c r="A4770" i="20"/>
  <c r="A4769" i="20"/>
  <c r="A4768" i="20"/>
  <c r="A4767" i="20"/>
  <c r="A4766" i="20"/>
  <c r="A4765" i="20"/>
  <c r="A4764" i="20"/>
  <c r="A4763" i="20"/>
  <c r="A4762" i="20"/>
  <c r="A4761" i="20"/>
  <c r="A4760" i="20"/>
  <c r="A4759" i="20"/>
  <c r="A4758" i="20"/>
  <c r="A4757" i="20"/>
  <c r="A4756" i="20"/>
  <c r="A4755" i="20"/>
  <c r="A4754" i="20"/>
  <c r="A4753" i="20"/>
  <c r="A4752" i="20"/>
  <c r="A4751" i="20"/>
  <c r="A4750" i="20"/>
  <c r="A4749" i="20"/>
  <c r="A4748" i="20"/>
  <c r="A4747" i="20"/>
  <c r="A4746" i="20"/>
  <c r="A4745" i="20"/>
  <c r="A4744" i="20"/>
  <c r="A4743" i="20"/>
  <c r="A4742" i="20"/>
  <c r="A4741" i="20"/>
  <c r="A4740" i="20"/>
  <c r="A4739" i="20"/>
  <c r="A4738" i="20"/>
  <c r="A4737" i="20"/>
  <c r="A4736" i="20"/>
  <c r="A4735" i="20"/>
  <c r="A4734" i="20"/>
  <c r="A4733" i="20"/>
  <c r="A4732" i="20"/>
  <c r="A4731" i="20"/>
  <c r="A4730" i="20"/>
  <c r="A4729" i="20"/>
  <c r="A4728" i="20"/>
  <c r="A4727" i="20"/>
  <c r="A4726" i="20"/>
  <c r="A4725" i="20"/>
  <c r="A4724" i="20"/>
  <c r="A4723" i="20"/>
  <c r="A4722" i="20"/>
  <c r="A4721" i="20"/>
  <c r="A4720" i="20"/>
  <c r="A4719" i="20"/>
  <c r="A4718" i="20"/>
  <c r="A4717" i="20"/>
  <c r="A4716" i="20"/>
  <c r="A4715" i="20"/>
  <c r="A4714" i="20"/>
  <c r="A4713" i="20"/>
  <c r="A4712" i="20"/>
  <c r="A4711" i="20"/>
  <c r="A4710" i="20"/>
  <c r="A4709" i="20"/>
  <c r="A4708" i="20"/>
  <c r="A4707" i="20"/>
  <c r="A4706" i="20"/>
  <c r="A4705" i="20"/>
  <c r="A4704" i="20"/>
  <c r="A4703" i="20"/>
  <c r="A4702" i="20"/>
  <c r="A4701" i="20"/>
  <c r="A4700" i="20"/>
  <c r="A4699" i="20"/>
  <c r="A4698" i="20"/>
  <c r="A4697" i="20"/>
  <c r="A4696" i="20"/>
  <c r="A4695" i="20"/>
  <c r="A4694" i="20"/>
  <c r="A4693" i="20"/>
  <c r="A4692" i="20"/>
  <c r="A4691" i="20"/>
  <c r="A4690" i="20"/>
  <c r="A4689" i="20"/>
  <c r="A4688" i="20"/>
  <c r="A4687" i="20"/>
  <c r="A4686" i="20"/>
  <c r="A4685" i="20"/>
  <c r="A4684" i="20"/>
  <c r="A4683" i="20"/>
  <c r="A4682" i="20"/>
  <c r="A4681" i="20"/>
  <c r="A4680" i="20"/>
  <c r="A4679" i="20"/>
  <c r="A4678" i="20"/>
  <c r="A4677" i="20"/>
  <c r="A4676" i="20"/>
  <c r="A4675" i="20"/>
  <c r="A4674" i="20"/>
  <c r="A4673" i="20"/>
  <c r="A4672" i="20"/>
  <c r="A4671" i="20"/>
  <c r="A4670" i="20"/>
  <c r="A4669" i="20"/>
  <c r="A4668" i="20"/>
  <c r="A4667" i="20"/>
  <c r="A4666" i="20"/>
  <c r="A4665" i="20"/>
  <c r="A4664" i="20"/>
  <c r="A4663" i="20"/>
  <c r="A4662" i="20"/>
  <c r="A4661" i="20"/>
  <c r="A4660" i="20"/>
  <c r="A4659" i="20"/>
  <c r="A4658" i="20"/>
  <c r="A4657" i="20"/>
  <c r="A4656" i="20"/>
  <c r="A4655" i="20"/>
  <c r="A4654" i="20"/>
  <c r="A4653" i="20"/>
  <c r="A4652" i="20"/>
  <c r="A4651" i="20"/>
  <c r="A4650" i="20"/>
  <c r="A4649" i="20"/>
  <c r="A4648" i="20"/>
  <c r="A4647" i="20"/>
  <c r="A4646" i="20"/>
  <c r="A4645" i="20"/>
  <c r="A4644" i="20"/>
  <c r="A4643" i="20"/>
  <c r="A4642" i="20"/>
  <c r="A4641" i="20"/>
  <c r="A4640" i="20"/>
  <c r="A4639" i="20"/>
  <c r="A4638" i="20"/>
  <c r="A4637" i="20"/>
  <c r="A4636" i="20"/>
  <c r="A4635" i="20"/>
  <c r="A4634" i="20"/>
  <c r="A4633" i="20"/>
  <c r="A4632" i="20"/>
  <c r="A4631" i="20"/>
  <c r="A4630" i="20"/>
  <c r="A4629" i="20"/>
  <c r="A4628" i="20"/>
  <c r="A4627" i="20"/>
  <c r="A4626" i="20"/>
  <c r="A4625" i="20"/>
  <c r="A4624" i="20"/>
  <c r="A4623" i="20"/>
  <c r="A4622" i="20"/>
  <c r="A4621" i="20"/>
  <c r="A4620" i="20"/>
  <c r="A4619" i="20"/>
  <c r="A4618" i="20"/>
  <c r="A4617" i="20"/>
  <c r="A4616" i="20"/>
  <c r="A4615" i="20"/>
  <c r="A4614" i="20"/>
  <c r="A4613" i="20"/>
  <c r="A4612" i="20"/>
  <c r="A4611" i="20"/>
  <c r="A4610" i="20"/>
  <c r="A4609" i="20"/>
  <c r="A4608" i="20"/>
  <c r="A4607" i="20"/>
  <c r="A4606" i="20"/>
  <c r="A4605" i="20"/>
  <c r="A4604" i="20"/>
  <c r="A4603" i="20"/>
  <c r="A4602" i="20"/>
  <c r="A4601" i="20"/>
  <c r="A4600" i="20"/>
  <c r="A4599" i="20"/>
  <c r="A4598" i="20"/>
  <c r="A4597" i="20"/>
  <c r="A4596" i="20"/>
  <c r="A4595" i="20"/>
  <c r="A4594" i="20"/>
  <c r="A4593" i="20"/>
  <c r="A4592" i="20"/>
  <c r="A4591" i="20"/>
  <c r="A4590" i="20"/>
  <c r="A4589" i="20"/>
  <c r="A4588" i="20"/>
  <c r="A4587" i="20"/>
  <c r="A4586" i="20"/>
  <c r="A4585" i="20"/>
  <c r="A4584" i="20"/>
  <c r="A4583" i="20"/>
  <c r="A4582" i="20"/>
  <c r="A4581" i="20"/>
  <c r="A4580" i="20"/>
  <c r="A4579" i="20"/>
  <c r="A4578" i="20"/>
  <c r="A4577" i="20"/>
  <c r="A4576" i="20"/>
  <c r="A4575" i="20"/>
  <c r="A4574" i="20"/>
  <c r="A4573" i="20"/>
  <c r="A4572" i="20"/>
  <c r="A4571" i="20"/>
  <c r="A4570" i="20"/>
  <c r="A4569" i="20"/>
  <c r="A4568" i="20"/>
  <c r="A4567" i="20"/>
  <c r="A4566" i="20"/>
  <c r="A4565" i="20"/>
  <c r="A4564" i="20"/>
  <c r="A4563" i="20"/>
  <c r="A4562" i="20"/>
  <c r="A4561" i="20"/>
  <c r="A4560" i="20"/>
  <c r="A4559" i="20"/>
  <c r="A4558" i="20"/>
  <c r="A4557" i="20"/>
  <c r="A4556" i="20"/>
  <c r="A4555" i="20"/>
  <c r="A4554" i="20"/>
  <c r="A4553" i="20"/>
  <c r="A4552" i="20"/>
  <c r="A4551" i="20"/>
  <c r="A4550" i="20"/>
  <c r="A4549" i="20"/>
  <c r="A4548" i="20"/>
  <c r="A4547" i="20"/>
  <c r="A4546" i="20"/>
  <c r="A4545" i="20"/>
  <c r="A4544" i="20"/>
  <c r="A4543" i="20"/>
  <c r="A4542" i="20"/>
  <c r="A4541" i="20"/>
  <c r="A4540" i="20"/>
  <c r="A4539" i="20"/>
  <c r="A4538" i="20"/>
  <c r="A4537" i="20"/>
  <c r="A4536" i="20"/>
  <c r="A4535" i="20"/>
  <c r="A4534" i="20"/>
  <c r="A4533" i="20"/>
  <c r="A4532" i="20"/>
  <c r="A4531" i="20"/>
  <c r="A4530" i="20"/>
  <c r="A4529" i="20"/>
  <c r="A4528" i="20"/>
  <c r="A4527" i="20"/>
  <c r="A4526" i="20"/>
  <c r="A4525" i="20"/>
  <c r="A4524" i="20"/>
  <c r="A4523" i="20"/>
  <c r="A4522" i="20"/>
  <c r="A4521" i="20"/>
  <c r="A4520" i="20"/>
  <c r="A4519" i="20"/>
  <c r="A4518" i="20"/>
  <c r="A4517" i="20"/>
  <c r="A4516" i="20"/>
  <c r="A4515" i="20"/>
  <c r="A4514" i="20"/>
  <c r="A4513" i="20"/>
  <c r="A4512" i="20"/>
  <c r="A4511" i="20"/>
  <c r="A4510" i="20"/>
  <c r="A4509" i="20"/>
  <c r="A4508" i="20"/>
  <c r="A4507" i="20"/>
  <c r="A4506" i="20"/>
  <c r="A4505" i="20"/>
  <c r="A4504" i="20"/>
  <c r="A4503" i="20"/>
  <c r="A4502" i="20"/>
  <c r="A4501" i="20"/>
  <c r="A4500" i="20"/>
  <c r="A4499" i="20"/>
  <c r="A4498" i="20"/>
  <c r="A4497" i="20"/>
  <c r="A4496" i="20"/>
  <c r="A4495" i="20"/>
  <c r="A4494" i="20"/>
  <c r="A4493" i="20"/>
  <c r="A4492" i="20"/>
  <c r="A4491" i="20"/>
  <c r="A4490" i="20"/>
  <c r="A4489" i="20"/>
  <c r="A4488" i="20"/>
  <c r="A4487" i="20"/>
  <c r="A4486" i="20"/>
  <c r="A4485" i="20"/>
  <c r="A4484" i="20"/>
  <c r="A4483" i="20"/>
  <c r="A4482" i="20"/>
  <c r="A4481" i="20"/>
  <c r="A4480" i="20"/>
  <c r="A4479" i="20"/>
  <c r="A4478" i="20"/>
  <c r="A4477" i="20"/>
  <c r="A4476" i="20"/>
  <c r="A4475" i="20"/>
  <c r="A4474" i="20"/>
  <c r="A4473" i="20"/>
  <c r="A4472" i="20"/>
  <c r="A4471" i="20"/>
  <c r="A4470" i="20"/>
  <c r="A4469" i="20"/>
  <c r="A4468" i="20"/>
  <c r="A4467" i="20"/>
  <c r="A4466" i="20"/>
  <c r="A4465" i="20"/>
  <c r="A4464" i="20"/>
  <c r="A4463" i="20"/>
  <c r="A4462" i="20"/>
  <c r="A4461" i="20"/>
  <c r="A4460" i="20"/>
  <c r="A4459" i="20"/>
  <c r="A4458" i="20"/>
  <c r="A4457" i="20"/>
  <c r="A4456" i="20"/>
  <c r="A4455" i="20"/>
  <c r="A4454" i="20"/>
  <c r="A4453" i="20"/>
  <c r="A4452" i="20"/>
  <c r="A4451" i="20"/>
  <c r="A4450" i="20"/>
  <c r="A4449" i="20"/>
  <c r="A4448" i="20"/>
  <c r="A4447" i="20"/>
  <c r="A4446" i="20"/>
  <c r="A4445" i="20"/>
  <c r="A4444" i="20"/>
  <c r="A4443" i="20"/>
  <c r="A4442" i="20"/>
  <c r="A4441" i="20"/>
  <c r="A4440" i="20"/>
  <c r="A4439" i="20"/>
  <c r="A4438" i="20"/>
  <c r="A4437" i="20"/>
  <c r="A4436" i="20"/>
  <c r="A4435" i="20"/>
  <c r="A4434" i="20"/>
  <c r="A4433" i="20"/>
  <c r="A4432" i="20"/>
  <c r="A4431" i="20"/>
  <c r="A4430" i="20"/>
  <c r="A4429" i="20"/>
  <c r="A4428" i="20"/>
  <c r="A4427" i="20"/>
  <c r="A4426" i="20"/>
  <c r="A4425" i="20"/>
  <c r="A4424" i="20"/>
  <c r="A4423" i="20"/>
  <c r="A4422" i="20"/>
  <c r="A4421" i="20"/>
  <c r="A4420" i="20"/>
  <c r="A4419" i="20"/>
  <c r="A4418" i="20"/>
  <c r="A4417" i="20"/>
  <c r="A4416" i="20"/>
  <c r="A4415" i="20"/>
  <c r="A4414" i="20"/>
  <c r="A4413" i="20"/>
  <c r="A4412" i="20"/>
  <c r="A4411" i="20"/>
  <c r="A4410" i="20"/>
  <c r="A4409" i="20"/>
  <c r="A4408" i="20"/>
  <c r="A4407" i="20"/>
  <c r="A4406" i="20"/>
  <c r="A4405" i="20"/>
  <c r="A4404" i="20"/>
  <c r="A4403" i="20"/>
  <c r="A4402" i="20"/>
  <c r="A4401" i="20"/>
  <c r="A4400" i="20"/>
  <c r="A4399" i="20"/>
  <c r="A4398" i="20"/>
  <c r="A4397" i="20"/>
  <c r="A4396" i="20"/>
  <c r="A4395" i="20"/>
  <c r="A4394" i="20"/>
  <c r="A4393" i="20"/>
  <c r="A4392" i="20"/>
  <c r="A4391" i="20"/>
  <c r="A4390" i="20"/>
  <c r="A4389" i="20"/>
  <c r="A4388" i="20"/>
  <c r="A4387" i="20"/>
  <c r="A4386" i="20"/>
  <c r="A4385" i="20"/>
  <c r="A4384" i="20"/>
  <c r="A4383" i="20"/>
  <c r="A4382" i="20"/>
  <c r="A4381" i="20"/>
  <c r="A4380" i="20"/>
  <c r="A4379" i="20"/>
  <c r="A4378" i="20"/>
  <c r="A4377" i="20"/>
  <c r="A4376" i="20"/>
  <c r="A4375" i="20"/>
  <c r="A4374" i="20"/>
  <c r="A4373" i="20"/>
  <c r="A4372" i="20"/>
  <c r="A4371" i="20"/>
  <c r="A4370" i="20"/>
  <c r="A4369" i="20"/>
  <c r="A4368" i="20"/>
  <c r="A4367" i="20"/>
  <c r="A4366" i="20"/>
  <c r="A4365" i="20"/>
  <c r="A4364" i="20"/>
  <c r="A4363" i="20"/>
  <c r="A4362" i="20"/>
  <c r="A4361" i="20"/>
  <c r="A4360" i="20"/>
  <c r="A4359" i="20"/>
  <c r="A4358" i="20"/>
  <c r="A4357" i="20"/>
  <c r="A4356" i="20"/>
  <c r="A4355" i="20"/>
  <c r="A4354" i="20"/>
  <c r="A4353" i="20"/>
  <c r="A4352" i="20"/>
  <c r="A4351" i="20"/>
  <c r="A4350" i="20"/>
  <c r="A4349" i="20"/>
  <c r="A4348" i="20"/>
  <c r="A4347" i="20"/>
  <c r="A4346" i="20"/>
  <c r="A4345" i="20"/>
  <c r="A4344" i="20"/>
  <c r="A4343" i="20"/>
  <c r="A4342" i="20"/>
  <c r="A4341" i="20"/>
  <c r="A4340" i="20"/>
  <c r="A4339" i="20"/>
  <c r="A4338" i="20"/>
  <c r="A4337" i="20"/>
  <c r="A4336" i="20"/>
  <c r="A4335" i="20"/>
  <c r="A4334" i="20"/>
  <c r="A4333" i="20"/>
  <c r="A4332" i="20"/>
  <c r="A4331" i="20"/>
  <c r="A4330" i="20"/>
  <c r="A4329" i="20"/>
  <c r="A4328" i="20"/>
  <c r="A4327" i="20"/>
  <c r="A4326" i="20"/>
  <c r="A4325" i="20"/>
  <c r="A4324" i="20"/>
  <c r="A4323" i="20"/>
  <c r="A4322" i="20"/>
  <c r="A4321" i="20"/>
  <c r="A4320" i="20"/>
  <c r="A4319" i="20"/>
  <c r="A4318" i="20"/>
  <c r="A4317" i="20"/>
  <c r="A4316" i="20"/>
  <c r="A4315" i="20"/>
  <c r="A4314" i="20"/>
  <c r="A4313" i="20"/>
  <c r="A4312" i="20"/>
  <c r="A4311" i="20"/>
  <c r="A4310" i="20"/>
  <c r="A4309" i="20"/>
  <c r="A4308" i="20"/>
  <c r="A4307" i="20"/>
  <c r="A4306" i="20"/>
  <c r="A4305" i="20"/>
  <c r="A4304" i="20"/>
  <c r="A4303" i="20"/>
  <c r="A4302" i="20"/>
  <c r="A4301" i="20"/>
  <c r="A4300" i="20"/>
  <c r="A4299" i="20"/>
  <c r="A4298" i="20"/>
  <c r="A4297" i="20"/>
  <c r="A4296" i="20"/>
  <c r="A4295" i="20"/>
  <c r="A4294" i="20"/>
  <c r="A4293" i="20"/>
  <c r="A4292" i="20"/>
  <c r="A4291" i="20"/>
  <c r="A4290" i="20"/>
  <c r="A4289" i="20"/>
  <c r="A4288" i="20"/>
  <c r="A4287" i="20"/>
  <c r="A4286" i="20"/>
  <c r="A4285" i="20"/>
  <c r="A4284" i="20"/>
  <c r="A4283" i="20"/>
  <c r="A4282" i="20"/>
  <c r="A4281" i="20"/>
  <c r="A4280" i="20"/>
  <c r="A4279" i="20"/>
  <c r="A4278" i="20"/>
  <c r="A4277" i="20"/>
  <c r="A4276" i="20"/>
  <c r="A4275" i="20"/>
  <c r="A4274" i="20"/>
  <c r="A4273" i="20"/>
  <c r="A4272" i="20"/>
  <c r="A4271" i="20"/>
  <c r="A4270" i="20"/>
  <c r="A4269" i="20"/>
  <c r="A4268" i="20"/>
  <c r="A4267" i="20"/>
  <c r="A4266" i="20"/>
  <c r="A4265" i="20"/>
  <c r="A4264" i="20"/>
  <c r="A4263" i="20"/>
  <c r="A4262" i="20"/>
  <c r="A4261" i="20"/>
  <c r="A4260" i="20"/>
  <c r="A4259" i="20"/>
  <c r="A4258" i="20"/>
  <c r="A4257" i="20"/>
  <c r="A4256" i="20"/>
  <c r="A4255" i="20"/>
  <c r="A4254" i="20"/>
  <c r="A4253" i="20"/>
  <c r="A4252" i="20"/>
  <c r="A4251" i="20"/>
  <c r="A4250" i="20"/>
  <c r="A4249" i="20"/>
  <c r="A4248" i="20"/>
  <c r="A4247" i="20"/>
  <c r="A4246" i="20"/>
  <c r="A4245" i="20"/>
  <c r="A4244" i="20"/>
  <c r="A4243" i="20"/>
  <c r="A4242" i="20"/>
  <c r="A4241" i="20"/>
  <c r="A4240" i="20"/>
  <c r="A4239" i="20"/>
  <c r="A4238" i="20"/>
  <c r="A4237" i="20"/>
  <c r="A4236" i="20"/>
  <c r="A4235" i="20"/>
  <c r="A4234" i="20"/>
  <c r="A4233" i="20"/>
  <c r="A4232" i="20"/>
  <c r="A4231" i="20"/>
  <c r="A4230" i="20"/>
  <c r="A4229" i="20"/>
  <c r="A4228" i="20"/>
  <c r="A4227" i="20"/>
  <c r="A4226" i="20"/>
  <c r="A4225" i="20"/>
  <c r="A4224" i="20"/>
  <c r="A4223" i="20"/>
  <c r="A4222" i="20"/>
  <c r="A4221" i="20"/>
  <c r="A4220" i="20"/>
  <c r="A4219" i="20"/>
  <c r="A4218" i="20"/>
  <c r="A4217" i="20"/>
  <c r="A4216" i="20"/>
  <c r="A4215" i="20"/>
  <c r="A4214" i="20"/>
  <c r="A4213" i="20"/>
  <c r="A4212" i="20"/>
  <c r="A4211" i="20"/>
  <c r="A4210" i="20"/>
  <c r="A4209" i="20"/>
  <c r="A4208" i="20"/>
  <c r="A4207" i="20"/>
  <c r="A4206" i="20"/>
  <c r="A4205" i="20"/>
  <c r="A4204" i="20"/>
  <c r="A4203" i="20"/>
  <c r="A4202" i="20"/>
  <c r="A4201" i="20"/>
  <c r="A4200" i="20"/>
  <c r="A4199" i="20"/>
  <c r="A4198" i="20"/>
  <c r="A4197" i="20"/>
  <c r="A4196" i="20"/>
  <c r="A4195" i="20"/>
  <c r="A4194" i="20"/>
  <c r="A4193" i="20"/>
  <c r="A4192" i="20"/>
  <c r="A4191" i="20"/>
  <c r="A4190" i="20"/>
  <c r="A4189" i="20"/>
  <c r="A4188" i="20"/>
  <c r="A4187" i="20"/>
  <c r="A4186" i="20"/>
  <c r="A4185" i="20"/>
  <c r="A4184" i="20"/>
  <c r="A4183" i="20"/>
  <c r="A4182" i="20"/>
  <c r="A4181" i="20"/>
  <c r="A4180" i="20"/>
  <c r="A4179" i="20"/>
  <c r="A4178" i="20"/>
  <c r="A4177" i="20"/>
  <c r="A4176" i="20"/>
  <c r="A4175" i="20"/>
  <c r="A4174" i="20"/>
  <c r="A4173" i="20"/>
  <c r="A4172" i="20"/>
  <c r="A4171" i="20"/>
  <c r="A4170" i="20"/>
  <c r="A4169" i="20"/>
  <c r="A4168" i="20"/>
  <c r="A4167" i="20"/>
  <c r="A4166" i="20"/>
  <c r="A4165" i="20"/>
  <c r="A4164" i="20"/>
  <c r="A4163" i="20"/>
  <c r="A4162" i="20"/>
  <c r="A4161" i="20"/>
  <c r="A4160" i="20"/>
  <c r="A4159" i="20"/>
  <c r="A4158" i="20"/>
  <c r="A4157" i="20"/>
  <c r="A4156" i="20"/>
  <c r="A4155" i="20"/>
  <c r="A4154" i="20"/>
  <c r="A4153" i="20"/>
  <c r="A4152" i="20"/>
  <c r="A4151" i="20"/>
  <c r="A4150" i="20"/>
  <c r="A4149" i="20"/>
  <c r="A4148" i="20"/>
  <c r="A4147" i="20"/>
  <c r="A4146" i="20"/>
  <c r="A4145" i="20"/>
  <c r="A4144" i="20"/>
  <c r="A4143" i="20"/>
  <c r="A4142" i="20"/>
  <c r="A4141" i="20"/>
  <c r="A4140" i="20"/>
  <c r="A4139" i="20"/>
  <c r="A4138" i="20"/>
  <c r="A4137" i="20"/>
  <c r="A4136" i="20"/>
  <c r="A4135" i="20"/>
  <c r="A4134" i="20"/>
  <c r="A4133" i="20"/>
  <c r="A4132" i="20"/>
  <c r="A4131" i="20"/>
  <c r="A4130" i="20"/>
  <c r="A4129" i="20"/>
  <c r="A4128" i="20"/>
  <c r="A4127" i="20"/>
  <c r="A4126" i="20"/>
  <c r="A4125" i="20"/>
  <c r="A4124" i="20"/>
  <c r="A4123" i="20"/>
  <c r="A4122" i="20"/>
  <c r="A4121" i="20"/>
  <c r="A4120" i="20"/>
  <c r="A4119" i="20"/>
  <c r="A4118" i="20"/>
  <c r="A4117" i="20"/>
  <c r="A4116" i="20"/>
  <c r="A4115" i="20"/>
  <c r="A4114" i="20"/>
  <c r="A4113" i="20"/>
  <c r="A4112" i="20"/>
  <c r="A4111" i="20"/>
  <c r="A4110" i="20"/>
  <c r="A4109" i="20"/>
  <c r="A4108" i="20"/>
  <c r="A4107" i="20"/>
  <c r="A4106" i="20"/>
  <c r="A4105" i="20"/>
  <c r="A4104" i="20"/>
  <c r="A4103" i="20"/>
  <c r="A4102" i="20"/>
  <c r="A4101" i="20"/>
  <c r="A4100" i="20"/>
  <c r="A4099" i="20"/>
  <c r="A4098" i="20"/>
  <c r="A4097" i="20"/>
  <c r="A4096" i="20"/>
  <c r="A4095" i="20"/>
  <c r="A4094" i="20"/>
  <c r="A4093" i="20"/>
  <c r="A4092" i="20"/>
  <c r="A4091" i="20"/>
  <c r="A4090" i="20"/>
  <c r="A4089" i="20"/>
  <c r="A4088" i="20"/>
  <c r="A4087" i="20"/>
  <c r="A4086" i="20"/>
  <c r="A4085" i="20"/>
  <c r="A4084" i="20"/>
  <c r="A4083" i="20"/>
  <c r="A4082" i="20"/>
  <c r="A4081" i="20"/>
  <c r="A4080" i="20"/>
  <c r="A4079" i="20"/>
  <c r="A4078" i="20"/>
  <c r="A4077" i="20"/>
  <c r="A4076" i="20"/>
  <c r="A4075" i="20"/>
  <c r="A4074" i="20"/>
  <c r="A4073" i="20"/>
  <c r="A4072" i="20"/>
  <c r="A4071" i="20"/>
  <c r="A4070" i="20"/>
  <c r="A4069" i="20"/>
  <c r="A4068" i="20"/>
  <c r="A4067" i="20"/>
  <c r="A4066" i="20"/>
  <c r="A4065" i="20"/>
  <c r="A4064" i="20"/>
  <c r="A4063" i="20"/>
  <c r="A4062" i="20"/>
  <c r="A4061" i="20"/>
  <c r="A4060" i="20"/>
  <c r="A4059" i="20"/>
  <c r="A4058" i="20"/>
  <c r="A4057" i="20"/>
  <c r="A4056" i="20"/>
  <c r="A4055" i="20"/>
  <c r="A4054" i="20"/>
  <c r="A4053" i="20"/>
  <c r="A4052" i="20"/>
  <c r="A4051" i="20"/>
  <c r="A4050" i="20"/>
  <c r="A4049" i="20"/>
  <c r="A4048" i="20"/>
  <c r="A4047" i="20"/>
  <c r="A4046" i="20"/>
  <c r="A4045" i="20"/>
  <c r="A4044" i="20"/>
  <c r="A4043" i="20"/>
  <c r="A4042" i="20"/>
  <c r="A4041" i="20"/>
  <c r="A4040" i="20"/>
  <c r="A4039" i="20"/>
  <c r="A4038" i="20"/>
  <c r="A4037" i="20"/>
  <c r="A4036" i="20"/>
  <c r="A4035" i="20"/>
  <c r="A4034" i="20"/>
  <c r="A4033" i="20"/>
  <c r="A4032" i="20"/>
  <c r="A4031" i="20"/>
  <c r="A4030" i="20"/>
  <c r="A4029" i="20"/>
  <c r="A4028" i="20"/>
  <c r="A4027" i="20"/>
  <c r="A4026" i="20"/>
  <c r="A4025" i="20"/>
  <c r="A4024" i="20"/>
  <c r="A4023" i="20"/>
  <c r="A4022" i="20"/>
  <c r="A4021" i="20"/>
  <c r="A4020" i="20"/>
  <c r="A4019" i="20"/>
  <c r="A4018" i="20"/>
  <c r="A4017" i="20"/>
  <c r="A4016" i="20"/>
  <c r="A4015" i="20"/>
  <c r="A4014" i="20"/>
  <c r="A4013" i="20"/>
  <c r="A4012" i="20"/>
  <c r="A4011" i="20"/>
  <c r="A4010" i="20"/>
  <c r="A4009" i="20"/>
  <c r="A4008" i="20"/>
  <c r="A4007" i="20"/>
  <c r="A4006" i="20"/>
  <c r="A4005" i="20"/>
  <c r="A4004" i="20"/>
  <c r="A4003" i="20"/>
  <c r="A4002" i="20"/>
  <c r="A4001" i="20"/>
  <c r="A4000" i="20"/>
  <c r="A3999" i="20"/>
  <c r="A3998" i="20"/>
  <c r="A3997" i="20"/>
  <c r="A3996" i="20"/>
  <c r="A3995" i="20"/>
  <c r="A3994" i="20"/>
  <c r="A3993" i="20"/>
  <c r="A3992" i="20"/>
  <c r="A3991" i="20"/>
  <c r="A3990" i="20"/>
  <c r="A3989" i="20"/>
  <c r="A3988" i="20"/>
  <c r="A3987" i="20"/>
  <c r="A3986" i="20"/>
  <c r="A3985" i="20"/>
  <c r="A3984" i="20"/>
  <c r="A3983" i="20"/>
  <c r="A3982" i="20"/>
  <c r="A3981" i="20"/>
  <c r="A3980" i="20"/>
  <c r="A3979" i="20"/>
  <c r="A3978" i="20"/>
  <c r="A3977" i="20"/>
  <c r="A3976" i="20"/>
  <c r="A3975" i="20"/>
  <c r="A3974" i="20"/>
  <c r="A3973" i="20"/>
  <c r="A3972" i="20"/>
  <c r="A3971" i="20"/>
  <c r="A3970" i="20"/>
  <c r="A3969" i="20"/>
  <c r="A3968" i="20"/>
  <c r="A3967" i="20"/>
  <c r="A3966" i="20"/>
  <c r="A3965" i="20"/>
  <c r="A3964" i="20"/>
  <c r="A3963" i="20"/>
  <c r="A3962" i="20"/>
  <c r="A3961" i="20"/>
  <c r="A3960" i="20"/>
  <c r="A3959" i="20"/>
  <c r="A3958" i="20"/>
  <c r="A3957" i="20"/>
  <c r="A3956" i="20"/>
  <c r="A3955" i="20"/>
  <c r="A3954" i="20"/>
  <c r="A3953" i="20"/>
  <c r="A3952" i="20"/>
  <c r="A3951" i="20"/>
  <c r="A3950" i="20"/>
  <c r="A3949" i="20"/>
  <c r="A3948" i="20"/>
  <c r="A3947" i="20"/>
  <c r="A3946" i="20"/>
  <c r="A3945" i="20"/>
  <c r="A3944" i="20"/>
  <c r="A3943" i="20"/>
  <c r="A3942" i="20"/>
  <c r="A3941" i="20"/>
  <c r="A3940" i="20"/>
  <c r="A3939" i="20"/>
  <c r="A3938" i="20"/>
  <c r="A3937" i="20"/>
  <c r="A3936" i="20"/>
  <c r="A3935" i="20"/>
  <c r="A3934" i="20"/>
  <c r="A3933" i="20"/>
  <c r="A3932" i="20"/>
  <c r="A3931" i="20"/>
  <c r="A3930" i="20"/>
  <c r="A3929" i="20"/>
  <c r="A3928" i="20"/>
  <c r="A3927" i="20"/>
  <c r="A3926" i="20"/>
  <c r="A3925" i="20"/>
  <c r="A3924" i="20"/>
  <c r="A3923" i="20"/>
  <c r="A3922" i="20"/>
  <c r="A3921" i="20"/>
  <c r="A3920" i="20"/>
  <c r="A3919" i="20"/>
  <c r="A3918" i="20"/>
  <c r="A3917" i="20"/>
  <c r="A3916" i="20"/>
  <c r="A3915" i="20"/>
  <c r="A3914" i="20"/>
  <c r="A3913" i="20"/>
  <c r="A3912" i="20"/>
  <c r="A3911" i="20"/>
  <c r="A3910" i="20"/>
  <c r="A3909" i="20"/>
  <c r="A3908" i="20"/>
  <c r="A3907" i="20"/>
  <c r="A3906" i="20"/>
  <c r="A3905" i="20"/>
  <c r="A3904" i="20"/>
  <c r="A3903" i="20"/>
  <c r="A3902" i="20"/>
  <c r="A3901" i="20"/>
  <c r="A3900" i="20"/>
  <c r="A3899" i="20"/>
  <c r="A3898" i="20"/>
  <c r="A3897" i="20"/>
  <c r="A3896" i="20"/>
  <c r="A3895" i="20"/>
  <c r="A3894" i="20"/>
  <c r="A3893" i="20"/>
  <c r="A3892" i="20"/>
  <c r="A3891" i="20"/>
  <c r="A3890" i="20"/>
  <c r="A3889" i="20"/>
  <c r="A3888" i="20"/>
  <c r="A3887" i="20"/>
  <c r="A3886" i="20"/>
  <c r="A3885" i="20"/>
  <c r="A3884" i="20"/>
  <c r="A3883" i="20"/>
  <c r="A3882" i="20"/>
  <c r="A3881" i="20"/>
  <c r="A3880" i="20"/>
  <c r="A3879" i="20"/>
  <c r="A3878" i="20"/>
  <c r="A3877" i="20"/>
  <c r="A3876" i="20"/>
  <c r="A3875" i="20"/>
  <c r="A3874" i="20"/>
  <c r="A3873" i="20"/>
  <c r="A3872" i="20"/>
  <c r="A3871" i="20"/>
  <c r="A3870" i="20"/>
  <c r="A3869" i="20"/>
  <c r="A3868" i="20"/>
  <c r="A3867" i="20"/>
  <c r="A3866" i="20"/>
  <c r="A3865" i="20"/>
  <c r="A3864" i="20"/>
  <c r="A3863" i="20"/>
  <c r="A3862" i="20"/>
  <c r="A3861" i="20"/>
  <c r="A3860" i="20"/>
  <c r="A3859" i="20"/>
  <c r="A3858" i="20"/>
  <c r="A3857" i="20"/>
  <c r="A3856" i="20"/>
  <c r="A3855" i="20"/>
  <c r="A3854" i="20"/>
  <c r="A3853" i="20"/>
  <c r="A3852" i="20"/>
  <c r="A3851" i="20"/>
  <c r="A3850" i="20"/>
  <c r="A3849" i="20"/>
  <c r="A3848" i="20"/>
  <c r="A3847" i="20"/>
  <c r="A3846" i="20"/>
  <c r="A3845" i="20"/>
  <c r="A3844" i="20"/>
  <c r="A3843" i="20"/>
  <c r="A3842" i="20"/>
  <c r="A3841" i="20"/>
  <c r="A3840" i="20"/>
  <c r="A3839" i="20"/>
  <c r="A3838" i="20"/>
  <c r="A3837" i="20"/>
  <c r="A3836" i="20"/>
  <c r="A3835" i="20"/>
  <c r="A3834" i="20"/>
  <c r="A3833" i="20"/>
  <c r="A3832" i="20"/>
  <c r="A3831" i="20"/>
  <c r="A3830" i="20"/>
  <c r="A3829" i="20"/>
  <c r="A3828" i="20"/>
  <c r="A3827" i="20"/>
  <c r="A3826" i="20"/>
  <c r="A3825" i="20"/>
  <c r="A3824" i="20"/>
  <c r="A3823" i="20"/>
  <c r="A3822" i="20"/>
  <c r="A3821" i="20"/>
  <c r="A3820" i="20"/>
  <c r="A3819" i="20"/>
  <c r="A3818" i="20"/>
  <c r="A3817" i="20"/>
  <c r="A3816" i="20"/>
  <c r="A3815" i="20"/>
  <c r="A3814" i="20"/>
  <c r="A3813" i="20"/>
  <c r="A3812" i="20"/>
  <c r="A3811" i="20"/>
  <c r="A3810" i="20"/>
  <c r="A3809" i="20"/>
  <c r="A3808" i="20"/>
  <c r="A3807" i="20"/>
  <c r="A3806" i="20"/>
  <c r="A3805" i="20"/>
  <c r="A3804" i="20"/>
  <c r="A3803" i="20"/>
  <c r="A3802" i="20"/>
  <c r="A3801" i="20"/>
  <c r="A3800" i="20"/>
  <c r="A3799" i="20"/>
  <c r="A3798" i="20"/>
  <c r="A3797" i="20"/>
  <c r="A3796" i="20"/>
  <c r="A3795" i="20"/>
  <c r="A3794" i="20"/>
  <c r="A3793" i="20"/>
  <c r="A3792" i="20"/>
  <c r="A3791" i="20"/>
  <c r="A3790" i="20"/>
  <c r="A3789" i="20"/>
  <c r="A3788" i="20"/>
  <c r="A3787" i="20"/>
  <c r="A3786" i="20"/>
  <c r="A3785" i="20"/>
  <c r="A3784" i="20"/>
  <c r="A3783" i="20"/>
  <c r="A3782" i="20"/>
  <c r="A3781" i="20"/>
  <c r="A3780" i="20"/>
  <c r="A3779" i="20"/>
  <c r="A3778" i="20"/>
  <c r="A3777" i="20"/>
  <c r="A3776" i="20"/>
  <c r="A3775" i="20"/>
  <c r="A3774" i="20"/>
  <c r="A3773" i="20"/>
  <c r="A3772" i="20"/>
  <c r="A3771" i="20"/>
  <c r="A3770" i="20"/>
  <c r="A3769" i="20"/>
  <c r="A3768" i="20"/>
  <c r="A3767" i="20"/>
  <c r="A3766" i="20"/>
  <c r="A3765" i="20"/>
  <c r="A3764" i="20"/>
  <c r="A3763" i="20"/>
  <c r="A3762" i="20"/>
  <c r="A3761" i="20"/>
  <c r="A3760" i="20"/>
  <c r="A3759" i="20"/>
  <c r="A3758" i="20"/>
  <c r="A3757" i="20"/>
  <c r="A3756" i="20"/>
  <c r="A3755" i="20"/>
  <c r="A3754" i="20"/>
  <c r="A3753" i="20"/>
  <c r="A3752" i="20"/>
  <c r="A3751" i="20"/>
  <c r="A3750" i="20"/>
  <c r="A3749" i="20"/>
  <c r="A3748" i="20"/>
  <c r="A3747" i="20"/>
  <c r="A3746" i="20"/>
  <c r="A3745" i="20"/>
  <c r="A3744" i="20"/>
  <c r="A3743" i="20"/>
  <c r="A3742" i="20"/>
  <c r="A3741" i="20"/>
  <c r="A3740" i="20"/>
  <c r="A3739" i="20"/>
  <c r="A3738" i="20"/>
  <c r="A3737" i="20"/>
  <c r="A3736" i="20"/>
  <c r="A3735" i="20"/>
  <c r="A3734" i="20"/>
  <c r="A3733" i="20"/>
  <c r="A3732" i="20"/>
  <c r="A3731" i="20"/>
  <c r="A3730" i="20"/>
  <c r="A3729" i="20"/>
  <c r="A3728" i="20"/>
  <c r="A3727" i="20"/>
  <c r="A3726" i="20"/>
  <c r="A3725" i="20"/>
  <c r="A3724" i="20"/>
  <c r="A3723" i="20"/>
  <c r="A3722" i="20"/>
  <c r="A3721" i="20"/>
  <c r="A3720" i="20"/>
  <c r="A3719" i="20"/>
  <c r="A3718" i="20"/>
  <c r="A3717" i="20"/>
  <c r="A3716" i="20"/>
  <c r="A3715" i="20"/>
  <c r="A3714" i="20"/>
  <c r="A3713" i="20"/>
  <c r="A3712" i="20"/>
  <c r="A3711" i="20"/>
  <c r="A3710" i="20"/>
  <c r="A3709" i="20"/>
  <c r="A3708" i="20"/>
  <c r="A3707" i="20"/>
  <c r="A3706" i="20"/>
  <c r="A3705" i="20"/>
  <c r="A3704" i="20"/>
  <c r="A3703" i="20"/>
  <c r="A3702" i="20"/>
  <c r="A3701" i="20"/>
  <c r="A3700" i="20"/>
  <c r="A3699" i="20"/>
  <c r="A3698" i="20"/>
  <c r="A3697" i="20"/>
  <c r="A3696" i="20"/>
  <c r="A3695" i="20"/>
  <c r="A3694" i="20"/>
  <c r="A3693" i="20"/>
  <c r="A3692" i="20"/>
  <c r="A3691" i="20"/>
  <c r="A3690" i="20"/>
  <c r="A3689" i="20"/>
  <c r="A3688" i="20"/>
  <c r="A3687" i="20"/>
  <c r="A3686" i="20"/>
  <c r="A3685" i="20"/>
  <c r="A3684" i="20"/>
  <c r="A3683" i="20"/>
  <c r="A3682" i="20"/>
  <c r="A3681" i="20"/>
  <c r="A3680" i="20"/>
  <c r="A3679" i="20"/>
  <c r="A3678" i="20"/>
  <c r="A3677" i="20"/>
  <c r="A3676" i="20"/>
  <c r="A3675" i="20"/>
  <c r="A3674" i="20"/>
  <c r="A3673" i="20"/>
  <c r="A3672" i="20"/>
  <c r="A3671" i="20"/>
  <c r="A3670" i="20"/>
  <c r="A3669" i="20"/>
  <c r="A3668" i="20"/>
  <c r="A3667" i="20"/>
  <c r="A3666" i="20"/>
  <c r="A3665" i="20"/>
  <c r="A3664" i="20"/>
  <c r="A3663" i="20"/>
  <c r="A3662" i="20"/>
  <c r="A3661" i="20"/>
  <c r="A3660" i="20"/>
  <c r="A3659" i="20"/>
  <c r="A3658" i="20"/>
  <c r="A3657" i="20"/>
  <c r="A3656" i="20"/>
  <c r="A3655" i="20"/>
  <c r="A3654" i="20"/>
  <c r="A3653" i="20"/>
  <c r="A3652" i="20"/>
  <c r="A3651" i="20"/>
  <c r="A3650" i="20"/>
  <c r="A3649" i="20"/>
  <c r="A3648" i="20"/>
  <c r="A3647" i="20"/>
  <c r="A3646" i="20"/>
  <c r="A3645" i="20"/>
  <c r="A3644" i="20"/>
  <c r="A3643" i="20"/>
  <c r="A3642" i="20"/>
  <c r="A3641" i="20"/>
  <c r="A3640" i="20"/>
  <c r="A3639" i="20"/>
  <c r="A3638" i="20"/>
  <c r="A3637" i="20"/>
  <c r="A3636" i="20"/>
  <c r="A3635" i="20"/>
  <c r="A3634" i="20"/>
  <c r="A3633" i="20"/>
  <c r="A3632" i="20"/>
  <c r="A3631" i="20"/>
  <c r="A3630" i="20"/>
  <c r="A3629" i="20"/>
  <c r="A3628" i="20"/>
  <c r="A3627" i="20"/>
  <c r="A3626" i="20"/>
  <c r="A3625" i="20"/>
  <c r="A3624" i="20"/>
  <c r="A3623" i="20"/>
  <c r="A3622" i="20"/>
  <c r="A3621" i="20"/>
  <c r="A3620" i="20"/>
  <c r="A3619" i="20"/>
  <c r="A3618" i="20"/>
  <c r="A3617" i="20"/>
  <c r="A3616" i="20"/>
  <c r="A3615" i="20"/>
  <c r="A3614" i="20"/>
  <c r="A3613" i="20"/>
  <c r="A3612" i="20"/>
  <c r="A3611" i="20"/>
  <c r="A3610" i="20"/>
  <c r="A3609" i="20"/>
  <c r="A3608" i="20"/>
  <c r="A3607" i="20"/>
  <c r="A3606" i="20"/>
  <c r="A3605" i="20"/>
  <c r="A3604" i="20"/>
  <c r="A3603" i="20"/>
  <c r="A3602" i="20"/>
  <c r="A3601" i="20"/>
  <c r="A3600" i="20"/>
  <c r="A3599" i="20"/>
  <c r="A3598" i="20"/>
  <c r="A3597" i="20"/>
  <c r="A3596" i="20"/>
  <c r="A3595" i="20"/>
  <c r="A3594" i="20"/>
  <c r="A3593" i="20"/>
  <c r="A3592" i="20"/>
  <c r="A3591" i="20"/>
  <c r="A3590" i="20"/>
  <c r="A3589" i="20"/>
  <c r="A3588" i="20"/>
  <c r="A3587" i="20"/>
  <c r="A3586" i="20"/>
  <c r="A3585" i="20"/>
  <c r="A3584" i="20"/>
  <c r="A3583" i="20"/>
  <c r="A3582" i="20"/>
  <c r="A3581" i="20"/>
  <c r="A3580" i="20"/>
  <c r="A3579" i="20"/>
  <c r="A3578" i="20"/>
  <c r="A3577" i="20"/>
  <c r="A3576" i="20"/>
  <c r="A3575" i="20"/>
  <c r="A3574" i="20"/>
  <c r="A3573" i="20"/>
  <c r="A3572" i="20"/>
  <c r="A3571" i="20"/>
  <c r="A3570" i="20"/>
  <c r="A3569" i="20"/>
  <c r="A3568" i="20"/>
  <c r="A3567" i="20"/>
  <c r="A3566" i="20"/>
  <c r="A3565" i="20"/>
  <c r="A3564" i="20"/>
  <c r="A3563" i="20"/>
  <c r="A3562" i="20"/>
  <c r="A3561" i="20"/>
  <c r="A3560" i="20"/>
  <c r="A3559" i="20"/>
  <c r="A3558" i="20"/>
  <c r="A3557" i="20"/>
  <c r="A3556" i="20"/>
  <c r="A3555" i="20"/>
  <c r="A3554" i="20"/>
  <c r="A3553" i="20"/>
  <c r="A3552" i="20"/>
  <c r="A3551" i="20"/>
  <c r="A3550" i="20"/>
  <c r="A3549" i="20"/>
  <c r="A3548" i="20"/>
  <c r="A3547" i="20"/>
  <c r="A3546" i="20"/>
  <c r="A3545" i="20"/>
  <c r="A3544" i="20"/>
  <c r="A3543" i="20"/>
  <c r="A3542" i="20"/>
  <c r="A3541" i="20"/>
  <c r="A3540" i="20"/>
  <c r="A3539" i="20"/>
  <c r="A3538" i="20"/>
  <c r="A3537" i="20"/>
  <c r="A3536" i="20"/>
  <c r="A3535" i="20"/>
  <c r="A3534" i="20"/>
  <c r="A3533" i="20"/>
  <c r="A3532" i="20"/>
  <c r="A3531" i="20"/>
  <c r="A3530" i="20"/>
  <c r="A3529" i="20"/>
  <c r="A3528" i="20"/>
  <c r="A3527" i="20"/>
  <c r="A3526" i="20"/>
  <c r="A3525" i="20"/>
  <c r="A3524" i="20"/>
  <c r="A3523" i="20"/>
  <c r="A3522" i="20"/>
  <c r="A3521" i="20"/>
  <c r="A3520" i="20"/>
  <c r="A3519" i="20"/>
  <c r="A3518" i="20"/>
  <c r="A3517" i="20"/>
  <c r="A3516" i="20"/>
  <c r="A3515" i="20"/>
  <c r="A3514" i="20"/>
  <c r="A3513" i="20"/>
  <c r="A3512" i="20"/>
  <c r="A3511" i="20"/>
  <c r="A3510" i="20"/>
  <c r="A3509" i="20"/>
  <c r="A3508" i="20"/>
  <c r="A3507" i="20"/>
  <c r="A3506" i="20"/>
  <c r="A3505" i="20"/>
  <c r="A3504" i="20"/>
  <c r="A3503" i="20"/>
  <c r="A3502" i="20"/>
  <c r="A3501" i="20"/>
  <c r="A3500" i="20"/>
  <c r="A3499" i="20"/>
  <c r="A3498" i="20"/>
  <c r="A3497" i="20"/>
  <c r="A3496" i="20"/>
  <c r="A3495" i="20"/>
  <c r="A3494" i="20"/>
  <c r="A3493" i="20"/>
  <c r="A3492" i="20"/>
  <c r="A3491" i="20"/>
  <c r="A3490" i="20"/>
  <c r="A3489" i="20"/>
  <c r="A3488" i="20"/>
  <c r="A3487" i="20"/>
  <c r="A3486" i="20"/>
  <c r="A3485" i="20"/>
  <c r="A3484" i="20"/>
  <c r="A3483" i="20"/>
  <c r="A3482" i="20"/>
  <c r="A3481" i="20"/>
  <c r="A3480" i="20"/>
  <c r="A3479" i="20"/>
  <c r="A3478" i="20"/>
  <c r="A3477" i="20"/>
  <c r="A3476" i="20"/>
  <c r="A3475" i="20"/>
  <c r="A3474" i="20"/>
  <c r="A3473" i="20"/>
  <c r="A3472" i="20"/>
  <c r="A3471" i="20"/>
  <c r="A3470" i="20"/>
  <c r="A3469" i="20"/>
  <c r="A3468" i="20"/>
  <c r="A3467" i="20"/>
  <c r="A3466" i="20"/>
  <c r="A3465" i="20"/>
  <c r="A3464" i="20"/>
  <c r="A3463" i="20"/>
  <c r="A3462" i="20"/>
  <c r="A3461" i="20"/>
  <c r="A3460" i="20"/>
  <c r="A3459" i="20"/>
  <c r="A3458" i="20"/>
  <c r="A3457" i="20"/>
  <c r="A3456" i="20"/>
  <c r="A3455" i="20"/>
  <c r="A3454" i="20"/>
  <c r="A3453" i="20"/>
  <c r="A3452" i="20"/>
  <c r="A3451" i="20"/>
  <c r="A3450" i="20"/>
  <c r="A3449" i="20"/>
  <c r="A3448" i="20"/>
  <c r="A3447" i="20"/>
  <c r="A3446" i="20"/>
  <c r="A3445" i="20"/>
  <c r="A3444" i="20"/>
  <c r="A3443" i="20"/>
  <c r="A3442" i="20"/>
  <c r="A3441" i="20"/>
  <c r="A3440" i="20"/>
  <c r="A3439" i="20"/>
  <c r="A3438" i="20"/>
  <c r="A3437" i="20"/>
  <c r="A3436" i="20"/>
  <c r="A3435" i="20"/>
  <c r="A3434" i="20"/>
  <c r="A3433" i="20"/>
  <c r="A3432" i="20"/>
  <c r="A3431" i="20"/>
  <c r="A3430" i="20"/>
  <c r="A3429" i="20"/>
  <c r="A3428" i="20"/>
  <c r="A3427" i="20"/>
  <c r="A3426" i="20"/>
  <c r="A3425" i="20"/>
  <c r="A3424" i="20"/>
  <c r="A3423" i="20"/>
  <c r="A3422" i="20"/>
  <c r="A3421" i="20"/>
  <c r="A3420" i="20"/>
  <c r="A3419" i="20"/>
  <c r="A3418" i="20"/>
  <c r="A3417" i="20"/>
  <c r="A3416" i="20"/>
  <c r="A3415" i="20"/>
  <c r="A3414" i="20"/>
  <c r="A3413" i="20"/>
  <c r="A3412" i="20"/>
  <c r="A3411" i="20"/>
  <c r="A3410" i="20"/>
  <c r="A3409" i="20"/>
  <c r="A3408" i="20"/>
  <c r="A3407" i="20"/>
  <c r="A3406" i="20"/>
  <c r="A3405" i="20"/>
  <c r="A3404" i="20"/>
  <c r="A3403" i="20"/>
  <c r="A3402" i="20"/>
  <c r="A3401" i="20"/>
  <c r="A3400" i="20"/>
  <c r="A3399" i="20"/>
  <c r="A3398" i="20"/>
  <c r="A3397" i="20"/>
  <c r="A3396" i="20"/>
  <c r="A3395" i="20"/>
  <c r="A3394" i="20"/>
  <c r="A3393" i="20"/>
  <c r="A3392" i="20"/>
  <c r="A3391" i="20"/>
  <c r="A3390" i="20"/>
  <c r="A3389" i="20"/>
  <c r="A3388" i="20"/>
  <c r="A3387" i="20"/>
  <c r="A3386" i="20"/>
  <c r="A3385" i="20"/>
  <c r="A3384" i="20"/>
  <c r="A3383" i="20"/>
  <c r="A3382" i="20"/>
  <c r="A3381" i="20"/>
  <c r="A3380" i="20"/>
  <c r="A3379" i="20"/>
  <c r="A3378" i="20"/>
  <c r="A3377" i="20"/>
  <c r="A3376" i="20"/>
  <c r="A3375" i="20"/>
  <c r="A3374" i="20"/>
  <c r="A3373" i="20"/>
  <c r="A3372" i="20"/>
  <c r="A3371" i="20"/>
  <c r="A3370" i="20"/>
  <c r="A3369" i="20"/>
  <c r="A3368" i="20"/>
  <c r="A3367" i="20"/>
  <c r="A3366" i="20"/>
  <c r="A3365" i="20"/>
  <c r="A3364" i="20"/>
  <c r="A3363" i="20"/>
  <c r="A3362" i="20"/>
  <c r="A3361" i="20"/>
  <c r="A3360" i="20"/>
  <c r="A3359" i="20"/>
  <c r="A3358" i="20"/>
  <c r="A3357" i="20"/>
  <c r="A3356" i="20"/>
  <c r="A3355" i="20"/>
  <c r="A3354" i="20"/>
  <c r="A3353" i="20"/>
  <c r="A3352" i="20"/>
  <c r="A3351" i="20"/>
  <c r="A3350" i="20"/>
  <c r="A3349" i="20"/>
  <c r="A3348" i="20"/>
  <c r="A3347" i="20"/>
  <c r="A3346" i="20"/>
  <c r="A3345" i="20"/>
  <c r="A3344" i="20"/>
  <c r="A3343" i="20"/>
  <c r="A3342" i="20"/>
  <c r="A3341" i="20"/>
  <c r="A3340" i="20"/>
  <c r="A3339" i="20"/>
  <c r="A3338" i="20"/>
  <c r="A3337" i="20"/>
  <c r="A3336" i="20"/>
  <c r="A3335" i="20"/>
  <c r="A3334" i="20"/>
  <c r="A3333" i="20"/>
  <c r="A3332" i="20"/>
  <c r="A3331" i="20"/>
  <c r="A3330" i="20"/>
  <c r="A3329" i="20"/>
  <c r="A3328" i="20"/>
  <c r="A3327" i="20"/>
  <c r="A3326" i="20"/>
  <c r="A3325" i="20"/>
  <c r="A3324" i="20"/>
  <c r="A3323" i="20"/>
  <c r="A3322" i="20"/>
  <c r="A3321" i="20"/>
  <c r="A3320" i="20"/>
  <c r="A3319" i="20"/>
  <c r="A3318" i="20"/>
  <c r="A3317" i="20"/>
  <c r="A3316" i="20"/>
  <c r="A3315" i="20"/>
  <c r="A3314" i="20"/>
  <c r="A3313" i="20"/>
  <c r="A3312" i="20"/>
  <c r="A3311" i="20"/>
  <c r="A3310" i="20"/>
  <c r="A3309" i="20"/>
  <c r="A3308" i="20"/>
  <c r="A3307" i="20"/>
  <c r="A3306" i="20"/>
  <c r="A3305" i="20"/>
  <c r="A3304" i="20"/>
  <c r="A3303" i="20"/>
  <c r="A3302" i="20"/>
  <c r="A3301" i="20"/>
  <c r="A3300" i="20"/>
  <c r="A3299" i="20"/>
  <c r="A3298" i="20"/>
  <c r="A3297" i="20"/>
  <c r="A3296" i="20"/>
  <c r="A3295" i="20"/>
  <c r="A3294" i="20"/>
  <c r="A3293" i="20"/>
  <c r="A3292" i="20"/>
  <c r="A3291" i="20"/>
  <c r="A3290" i="20"/>
  <c r="A3289" i="20"/>
  <c r="A3288" i="20"/>
  <c r="A3287" i="20"/>
  <c r="A3286" i="20"/>
  <c r="A3285" i="20"/>
  <c r="A3284" i="20"/>
  <c r="A3283" i="20"/>
  <c r="A3282" i="20"/>
  <c r="A3281" i="20"/>
  <c r="A3280" i="20"/>
  <c r="A3279" i="20"/>
  <c r="A3278" i="20"/>
  <c r="A3277" i="20"/>
  <c r="A3276" i="20"/>
  <c r="A3275" i="20"/>
  <c r="A3274" i="20"/>
  <c r="A3273" i="20"/>
  <c r="A3272" i="20"/>
  <c r="A3271" i="20"/>
  <c r="A3270" i="20"/>
  <c r="A3269" i="20"/>
  <c r="A3268" i="20"/>
  <c r="A3267" i="20"/>
  <c r="A3266" i="20"/>
  <c r="A3265" i="20"/>
  <c r="A3264" i="20"/>
  <c r="A3263" i="20"/>
  <c r="A3262" i="20"/>
  <c r="A3261" i="20"/>
  <c r="A3260" i="20"/>
  <c r="A3259" i="20"/>
  <c r="A3258" i="20"/>
  <c r="A3257" i="20"/>
  <c r="A3256" i="20"/>
  <c r="A3255" i="20"/>
  <c r="A3254" i="20"/>
  <c r="A3253" i="20"/>
  <c r="A3252" i="20"/>
  <c r="A3251" i="20"/>
  <c r="A3250" i="20"/>
  <c r="A3249" i="20"/>
  <c r="A3248" i="20"/>
  <c r="A3247" i="20"/>
  <c r="A3246" i="20"/>
  <c r="A3245" i="20"/>
  <c r="A3244" i="20"/>
  <c r="A3243" i="20"/>
  <c r="A3242" i="20"/>
  <c r="A3241" i="20"/>
  <c r="A3240" i="20"/>
  <c r="A3239" i="20"/>
  <c r="A3238" i="20"/>
  <c r="A3237" i="20"/>
  <c r="A3236" i="20"/>
  <c r="A3235" i="20"/>
  <c r="A3234" i="20"/>
  <c r="A3233" i="20"/>
  <c r="A3232" i="20"/>
  <c r="A3231" i="20"/>
  <c r="A3230" i="20"/>
  <c r="A3229" i="20"/>
  <c r="A3228" i="20"/>
  <c r="A3227" i="20"/>
  <c r="A3226" i="20"/>
  <c r="A3225" i="20"/>
  <c r="A3224" i="20"/>
  <c r="A3223" i="20"/>
  <c r="A3222" i="20"/>
  <c r="A3221" i="20"/>
  <c r="A3220" i="20"/>
  <c r="A3219" i="20"/>
  <c r="A3218" i="20"/>
  <c r="A3217" i="20"/>
  <c r="A3216" i="20"/>
  <c r="A3215" i="20"/>
  <c r="A3214" i="20"/>
  <c r="A3213" i="20"/>
  <c r="A3212" i="20"/>
  <c r="A3211" i="20"/>
  <c r="A3210" i="20"/>
  <c r="A3209" i="20"/>
  <c r="A3208" i="20"/>
  <c r="A3207" i="20"/>
  <c r="A3206" i="20"/>
  <c r="A3205" i="20"/>
  <c r="A3204" i="20"/>
  <c r="A3203" i="20"/>
  <c r="A3202" i="20"/>
  <c r="A3201" i="20"/>
  <c r="A3200" i="20"/>
  <c r="A3199" i="20"/>
  <c r="A3198" i="20"/>
  <c r="A3197" i="20"/>
  <c r="A3196" i="20"/>
  <c r="A3195" i="20"/>
  <c r="A3194" i="20"/>
  <c r="A3193" i="20"/>
  <c r="A3192" i="20"/>
  <c r="A3191" i="20"/>
  <c r="A3190" i="20"/>
  <c r="A3189" i="20"/>
  <c r="A3188" i="20"/>
  <c r="A3187" i="20"/>
  <c r="A3186" i="20"/>
  <c r="A3185" i="20"/>
  <c r="A3184" i="20"/>
  <c r="A3183" i="20"/>
  <c r="A3182" i="20"/>
  <c r="A3181" i="20"/>
  <c r="A3180" i="20"/>
  <c r="A3179" i="20"/>
  <c r="A3178" i="20"/>
  <c r="A3177" i="20"/>
  <c r="A3176" i="20"/>
  <c r="A3175" i="20"/>
  <c r="A3174" i="20"/>
  <c r="A3173" i="20"/>
  <c r="A3172" i="20"/>
  <c r="A3171" i="20"/>
  <c r="A3170" i="20"/>
  <c r="A3169" i="20"/>
  <c r="A3168" i="20"/>
  <c r="A3167" i="20"/>
  <c r="A3166" i="20"/>
  <c r="A3165" i="20"/>
  <c r="A3164" i="20"/>
  <c r="A3163" i="20"/>
  <c r="A3162" i="20"/>
  <c r="A3161" i="20"/>
  <c r="A3160" i="20"/>
  <c r="A3159" i="20"/>
  <c r="A3158" i="20"/>
  <c r="A3157" i="20"/>
  <c r="A3156" i="20"/>
  <c r="A3155" i="20"/>
  <c r="A3154" i="20"/>
  <c r="A3153" i="20"/>
  <c r="A3152" i="20"/>
  <c r="A3151" i="20"/>
  <c r="A3150" i="20"/>
  <c r="A3149" i="20"/>
  <c r="A3148" i="20"/>
  <c r="A3147" i="20"/>
  <c r="A3146" i="20"/>
  <c r="A3145" i="20"/>
  <c r="A3144" i="20"/>
  <c r="A3143" i="20"/>
  <c r="A3142" i="20"/>
  <c r="A3141" i="20"/>
  <c r="A3140" i="20"/>
  <c r="A3139" i="20"/>
  <c r="A3138" i="20"/>
  <c r="A3137" i="20"/>
  <c r="A3136" i="20"/>
  <c r="A3135" i="20"/>
  <c r="A3134" i="20"/>
  <c r="A3133" i="20"/>
  <c r="A3132" i="20"/>
  <c r="A3131" i="20"/>
  <c r="A3130" i="20"/>
  <c r="A3129" i="20"/>
  <c r="A3128" i="20"/>
  <c r="A3127" i="20"/>
  <c r="A3126" i="20"/>
  <c r="A3125" i="20"/>
  <c r="A3124" i="20"/>
  <c r="A3123" i="20"/>
  <c r="A3122" i="20"/>
  <c r="A3121" i="20"/>
  <c r="A3120" i="20"/>
  <c r="A3119" i="20"/>
  <c r="A3118" i="20"/>
  <c r="A3117" i="20"/>
  <c r="A3116" i="20"/>
  <c r="A3115" i="20"/>
  <c r="A3114" i="20"/>
  <c r="A3113" i="20"/>
  <c r="A3112" i="20"/>
  <c r="A3111" i="20"/>
  <c r="A3110" i="20"/>
  <c r="A3109" i="20"/>
  <c r="A3108" i="20"/>
  <c r="A3107" i="20"/>
  <c r="A3106" i="20"/>
  <c r="A3105" i="20"/>
  <c r="A3104" i="20"/>
  <c r="A3103" i="20"/>
  <c r="A3102" i="20"/>
  <c r="A3101" i="20"/>
  <c r="A3100" i="20"/>
  <c r="A3099" i="20"/>
  <c r="A3098" i="20"/>
  <c r="A3097" i="20"/>
  <c r="A3096" i="20"/>
  <c r="A3095" i="20"/>
  <c r="A3094" i="20"/>
  <c r="A3093" i="20"/>
  <c r="A3092" i="20"/>
  <c r="A3091" i="20"/>
  <c r="A3090" i="20"/>
  <c r="A3089" i="20"/>
  <c r="A3088" i="20"/>
  <c r="A3087" i="20"/>
  <c r="A3086" i="20"/>
  <c r="A3085" i="20"/>
  <c r="A3084" i="20"/>
  <c r="A3083" i="20"/>
  <c r="A3082" i="20"/>
  <c r="A3081" i="20"/>
  <c r="A3080" i="20"/>
  <c r="A3079" i="20"/>
  <c r="A3078" i="20"/>
  <c r="A3077" i="20"/>
  <c r="A3076" i="20"/>
  <c r="A3075" i="20"/>
  <c r="A3074" i="20"/>
  <c r="A3073" i="20"/>
  <c r="A3072" i="20"/>
  <c r="A3071" i="20"/>
  <c r="A3070" i="20"/>
  <c r="A3069" i="20"/>
  <c r="A3068" i="20"/>
  <c r="A3067" i="20"/>
  <c r="A3066" i="20"/>
  <c r="A3065" i="20"/>
  <c r="A3064" i="20"/>
  <c r="A3063" i="20"/>
  <c r="A3062" i="20"/>
  <c r="A3061" i="20"/>
  <c r="A3060" i="20"/>
  <c r="A3059" i="20"/>
  <c r="A3058" i="20"/>
  <c r="A3057" i="20"/>
  <c r="A3056" i="20"/>
  <c r="A3055" i="20"/>
  <c r="A3054" i="20"/>
  <c r="A3053" i="20"/>
  <c r="A3052" i="20"/>
  <c r="A3051" i="20"/>
  <c r="A3050" i="20"/>
  <c r="A3049" i="20"/>
  <c r="A3048" i="20"/>
  <c r="A3047" i="20"/>
  <c r="A3046" i="20"/>
  <c r="A3045" i="20"/>
  <c r="A3044" i="20"/>
  <c r="A3043" i="20"/>
  <c r="A3042" i="20"/>
  <c r="A3041" i="20"/>
  <c r="A3040" i="20"/>
  <c r="A3039" i="20"/>
  <c r="A3038" i="20"/>
  <c r="A3037" i="20"/>
  <c r="A3036" i="20"/>
  <c r="A3035" i="20"/>
  <c r="A3034" i="20"/>
  <c r="A3033" i="20"/>
  <c r="A3032" i="20"/>
  <c r="A3031" i="20"/>
  <c r="A3030" i="20"/>
  <c r="A3029" i="20"/>
  <c r="A3028" i="20"/>
  <c r="A3027" i="20"/>
  <c r="A3026" i="20"/>
  <c r="A3025" i="20"/>
  <c r="A3024" i="20"/>
  <c r="A3023" i="20"/>
  <c r="A3022" i="20"/>
  <c r="A3021" i="20"/>
  <c r="A3020" i="20"/>
  <c r="A3019" i="20"/>
  <c r="A3018" i="20"/>
  <c r="A3017" i="20"/>
  <c r="A3016" i="20"/>
  <c r="A3015" i="20"/>
  <c r="A3014" i="20"/>
  <c r="A3013" i="20"/>
  <c r="A3012" i="20"/>
  <c r="A3011" i="20"/>
  <c r="A3010" i="20"/>
  <c r="A3009" i="20"/>
  <c r="A3008" i="20"/>
  <c r="A3007" i="20"/>
  <c r="A3006" i="20"/>
  <c r="A3005" i="20"/>
  <c r="A3004" i="20"/>
  <c r="A3003" i="20"/>
  <c r="A3002" i="20"/>
  <c r="A3001" i="20"/>
  <c r="A3000" i="20"/>
  <c r="A2999" i="20"/>
  <c r="A2998" i="20"/>
  <c r="A2997" i="20"/>
  <c r="A2996" i="20"/>
  <c r="A2995" i="20"/>
  <c r="A2994" i="20"/>
  <c r="A2993" i="20"/>
  <c r="A2992" i="20"/>
  <c r="A2991" i="20"/>
  <c r="A2990" i="20"/>
  <c r="A2989" i="20"/>
  <c r="A2988" i="20"/>
  <c r="A2987" i="20"/>
  <c r="A2986" i="20"/>
  <c r="A2985" i="20"/>
  <c r="A2984" i="20"/>
  <c r="A2983" i="20"/>
  <c r="A2982" i="20"/>
  <c r="A2981" i="20"/>
  <c r="A2980" i="20"/>
  <c r="A2979" i="20"/>
  <c r="A2978" i="20"/>
  <c r="A2977" i="20"/>
  <c r="A2976" i="20"/>
  <c r="A2975" i="20"/>
  <c r="A2974" i="20"/>
  <c r="A2973" i="20"/>
  <c r="A2972" i="20"/>
  <c r="A2971" i="20"/>
  <c r="A2970" i="20"/>
  <c r="A2969" i="20"/>
  <c r="A2968" i="20"/>
  <c r="A2967" i="20"/>
  <c r="A2966" i="20"/>
  <c r="A2965" i="20"/>
  <c r="A2964" i="20"/>
  <c r="A2963" i="20"/>
  <c r="A2962" i="20"/>
  <c r="A2961" i="20"/>
  <c r="A2960" i="20"/>
  <c r="A2959" i="20"/>
  <c r="A2958" i="20"/>
  <c r="A2957" i="20"/>
  <c r="A2956" i="20"/>
  <c r="A2955" i="20"/>
  <c r="A2954" i="20"/>
  <c r="A2953" i="20"/>
  <c r="A2952" i="20"/>
  <c r="A2951" i="20"/>
  <c r="A2950" i="20"/>
  <c r="A2949" i="20"/>
  <c r="A2948" i="20"/>
  <c r="A2947" i="20"/>
  <c r="A2946" i="20"/>
  <c r="A2945" i="20"/>
  <c r="A2944" i="20"/>
  <c r="A2943" i="20"/>
  <c r="A2942" i="20"/>
  <c r="A2941" i="20"/>
  <c r="A2940" i="20"/>
  <c r="A2939" i="20"/>
  <c r="A2938" i="20"/>
  <c r="A2937" i="20"/>
  <c r="A2936" i="20"/>
  <c r="A2935" i="20"/>
  <c r="A2934" i="20"/>
  <c r="A2933" i="20"/>
  <c r="A2932" i="20"/>
  <c r="A2931" i="20"/>
  <c r="A2930" i="20"/>
  <c r="A2929" i="20"/>
  <c r="A2928" i="20"/>
  <c r="A2927" i="20"/>
  <c r="A2926" i="20"/>
  <c r="A2925" i="20"/>
  <c r="A2924" i="20"/>
  <c r="A2923" i="20"/>
  <c r="A2922" i="20"/>
  <c r="A2921" i="20"/>
  <c r="A2920" i="20"/>
  <c r="A2919" i="20"/>
  <c r="A2918" i="20"/>
  <c r="A2917" i="20"/>
  <c r="A2916" i="20"/>
  <c r="A2915" i="20"/>
  <c r="A2914" i="20"/>
  <c r="A2913" i="20"/>
  <c r="A2912" i="20"/>
  <c r="A2911" i="20"/>
  <c r="A2910" i="20"/>
  <c r="A2909" i="20"/>
  <c r="A2908" i="20"/>
  <c r="A2907" i="20"/>
  <c r="A2906" i="20"/>
  <c r="A2905" i="20"/>
  <c r="A2904" i="20"/>
  <c r="A2903" i="20"/>
  <c r="A2902" i="20"/>
  <c r="A2901" i="20"/>
  <c r="A2900" i="20"/>
  <c r="A2899" i="20"/>
  <c r="A2898" i="20"/>
  <c r="A2897" i="20"/>
  <c r="A2896" i="20"/>
  <c r="A2895" i="20"/>
  <c r="A2894" i="20"/>
  <c r="A2893" i="20"/>
  <c r="A2892" i="20"/>
  <c r="A2891" i="20"/>
  <c r="A2890" i="20"/>
  <c r="A2889" i="20"/>
  <c r="A2888" i="20"/>
  <c r="A2887" i="20"/>
  <c r="A2886" i="20"/>
  <c r="A2885" i="20"/>
  <c r="A2884" i="20"/>
  <c r="A2883" i="20"/>
  <c r="A2882" i="20"/>
  <c r="A2881" i="20"/>
  <c r="A2880" i="20"/>
  <c r="A2879" i="20"/>
  <c r="A2878" i="20"/>
  <c r="A2877" i="20"/>
  <c r="A2876" i="20"/>
  <c r="A2875" i="20"/>
  <c r="A2874" i="20"/>
  <c r="A2873" i="20"/>
  <c r="A2872" i="20"/>
  <c r="A2871" i="20"/>
  <c r="A2870" i="20"/>
  <c r="A2869" i="20"/>
  <c r="A2868" i="20"/>
  <c r="A2867" i="20"/>
  <c r="A2866" i="20"/>
  <c r="A2865" i="20"/>
  <c r="A2864" i="20"/>
  <c r="A2863" i="20"/>
  <c r="A2862" i="20"/>
  <c r="A2861" i="20"/>
  <c r="A2860" i="20"/>
  <c r="A2859" i="20"/>
  <c r="A2858" i="20"/>
  <c r="A2857" i="20"/>
  <c r="A2856" i="20"/>
  <c r="A2855" i="20"/>
  <c r="A2854" i="20"/>
  <c r="A2853" i="20"/>
  <c r="A2852" i="20"/>
  <c r="A2851" i="20"/>
  <c r="A2850" i="20"/>
  <c r="A2849" i="20"/>
  <c r="A2848" i="20"/>
  <c r="A2847" i="20"/>
  <c r="A2846" i="20"/>
  <c r="A2845" i="20"/>
  <c r="A2844" i="20"/>
  <c r="A2843" i="20"/>
  <c r="A2842" i="20"/>
  <c r="A2841" i="20"/>
  <c r="A2840" i="20"/>
  <c r="A2839" i="20"/>
  <c r="A2838" i="20"/>
  <c r="A2837" i="20"/>
  <c r="A2836" i="20"/>
  <c r="A2835" i="20"/>
  <c r="A2834" i="20"/>
  <c r="A2833" i="20"/>
  <c r="A2832" i="20"/>
  <c r="A2831" i="20"/>
  <c r="A2830" i="20"/>
  <c r="A2829" i="20"/>
  <c r="A2828" i="20"/>
  <c r="A2827" i="20"/>
  <c r="A2826" i="20"/>
  <c r="A2825" i="20"/>
  <c r="A2824" i="20"/>
  <c r="A2823" i="20"/>
  <c r="A2822" i="20"/>
  <c r="A2821" i="20"/>
  <c r="A2820" i="20"/>
  <c r="A2819" i="20"/>
  <c r="A2818" i="20"/>
  <c r="A2817" i="20"/>
  <c r="A2816" i="20"/>
  <c r="A2815" i="20"/>
  <c r="A2814" i="20"/>
  <c r="A2813" i="20"/>
  <c r="A2812" i="20"/>
  <c r="A2811" i="20"/>
  <c r="A2810" i="20"/>
  <c r="A2809" i="20"/>
  <c r="A2808" i="20"/>
  <c r="A2807" i="20"/>
  <c r="A2806" i="20"/>
  <c r="A2805" i="20"/>
  <c r="A2804" i="20"/>
  <c r="A2803" i="20"/>
  <c r="A2802" i="20"/>
  <c r="A2801" i="20"/>
  <c r="A2800" i="20"/>
  <c r="A2799" i="20"/>
  <c r="A2798" i="20"/>
  <c r="A2797" i="20"/>
  <c r="A2796" i="20"/>
  <c r="A2795" i="20"/>
  <c r="A2794" i="20"/>
  <c r="A2793" i="20"/>
  <c r="A2792" i="20"/>
  <c r="A2791" i="20"/>
  <c r="A2790" i="20"/>
  <c r="A2789" i="20"/>
  <c r="A2788" i="20"/>
  <c r="A2787" i="20"/>
  <c r="A2786" i="20"/>
  <c r="A2785" i="20"/>
  <c r="A2784" i="20"/>
  <c r="A2783" i="20"/>
  <c r="A2782" i="20"/>
  <c r="A2781" i="20"/>
  <c r="A2780" i="20"/>
  <c r="A2779" i="20"/>
  <c r="A2778" i="20"/>
  <c r="A2777" i="20"/>
  <c r="A2776" i="20"/>
  <c r="A2775" i="20"/>
  <c r="A2774" i="20"/>
  <c r="A2773" i="20"/>
  <c r="A2772" i="20"/>
  <c r="A2771" i="20"/>
  <c r="A2770" i="20"/>
  <c r="A2769" i="20"/>
  <c r="A2768" i="20"/>
  <c r="A2767" i="20"/>
  <c r="A2766" i="20"/>
  <c r="A2765" i="20"/>
  <c r="A2764" i="20"/>
  <c r="A2763" i="20"/>
  <c r="A2762" i="20"/>
  <c r="A2761" i="20"/>
  <c r="A2760" i="20"/>
  <c r="A2759" i="20"/>
  <c r="A2758" i="20"/>
  <c r="A2757" i="20"/>
  <c r="A2756" i="20"/>
  <c r="A2755" i="20"/>
  <c r="A2754" i="20"/>
  <c r="A2753" i="20"/>
  <c r="A2752" i="20"/>
  <c r="A2751" i="20"/>
  <c r="A2750" i="20"/>
  <c r="A2749" i="20"/>
  <c r="A2748" i="20"/>
  <c r="A2747" i="20"/>
  <c r="A2746" i="20"/>
  <c r="A2745" i="20"/>
  <c r="A2744" i="20"/>
  <c r="A2743" i="20"/>
  <c r="A2742" i="20"/>
  <c r="A2741" i="20"/>
  <c r="A2740" i="20"/>
  <c r="A2739" i="20"/>
  <c r="A2738" i="20"/>
  <c r="A2737" i="20"/>
  <c r="A2736" i="20"/>
  <c r="A2735" i="20"/>
  <c r="A2734" i="20"/>
  <c r="A2733" i="20"/>
  <c r="A2732" i="20"/>
  <c r="A2731" i="20"/>
  <c r="A2730" i="20"/>
  <c r="A2729" i="20"/>
  <c r="A2728" i="20"/>
  <c r="A2727" i="20"/>
  <c r="A2726" i="20"/>
  <c r="A2725" i="20"/>
  <c r="A2724" i="20"/>
  <c r="A2723" i="20"/>
  <c r="A2722" i="20"/>
  <c r="A2721" i="20"/>
  <c r="A2720" i="20"/>
  <c r="A2719" i="20"/>
  <c r="A2718" i="20"/>
  <c r="A2717" i="20"/>
  <c r="A2716" i="20"/>
  <c r="A2715" i="20"/>
  <c r="A2714" i="20"/>
  <c r="A2713" i="20"/>
  <c r="A2712" i="20"/>
  <c r="A2711" i="20"/>
  <c r="A2710" i="20"/>
  <c r="A2709" i="20"/>
  <c r="A2708" i="20"/>
  <c r="A2707" i="20"/>
  <c r="A2706" i="20"/>
  <c r="A2705" i="20"/>
  <c r="A2704" i="20"/>
  <c r="A2703" i="20"/>
  <c r="A2702" i="20"/>
  <c r="A2701" i="20"/>
  <c r="A2700" i="20"/>
  <c r="A2699" i="20"/>
  <c r="A2698" i="20"/>
  <c r="A2697" i="20"/>
  <c r="A2696" i="20"/>
  <c r="A2695" i="20"/>
  <c r="A2694" i="20"/>
  <c r="A2693" i="20"/>
  <c r="A2692" i="20"/>
  <c r="A2691" i="20"/>
  <c r="A2690" i="20"/>
  <c r="A2689" i="20"/>
  <c r="A2688" i="20"/>
  <c r="A2687" i="20"/>
  <c r="A2686" i="20"/>
  <c r="A2685" i="20"/>
  <c r="A2684" i="20"/>
  <c r="A2683" i="20"/>
  <c r="A2682" i="20"/>
  <c r="A2681" i="20"/>
  <c r="A2680" i="20"/>
  <c r="A2679" i="20"/>
  <c r="A2678" i="20"/>
  <c r="A2677" i="20"/>
  <c r="A2676" i="20"/>
  <c r="A2675" i="20"/>
  <c r="A2674" i="20"/>
  <c r="A2673" i="20"/>
  <c r="A2672" i="20"/>
  <c r="A2671" i="20"/>
  <c r="A2670" i="20"/>
  <c r="A2669" i="20"/>
  <c r="A2668" i="20"/>
  <c r="A2667" i="20"/>
  <c r="A2666" i="20"/>
  <c r="A2665" i="20"/>
  <c r="A2664" i="20"/>
  <c r="A2663" i="20"/>
  <c r="A2662" i="20"/>
  <c r="A2661" i="20"/>
  <c r="A2660" i="20"/>
  <c r="A2659" i="20"/>
  <c r="A2658" i="20"/>
  <c r="A2657" i="20"/>
  <c r="A2656" i="20"/>
  <c r="A2655" i="20"/>
  <c r="A2654" i="20"/>
  <c r="A2653" i="20"/>
  <c r="A2652" i="20"/>
  <c r="A2651" i="20"/>
  <c r="A2650" i="20"/>
  <c r="A2649" i="20"/>
  <c r="A2648" i="20"/>
  <c r="A2647" i="20"/>
  <c r="A2646" i="20"/>
  <c r="A2645" i="20"/>
  <c r="A2644" i="20"/>
  <c r="A2643" i="20"/>
  <c r="A2642" i="20"/>
  <c r="A2641" i="20"/>
  <c r="A2640" i="20"/>
  <c r="A2639" i="20"/>
  <c r="A2638" i="20"/>
  <c r="A2637" i="20"/>
  <c r="A2636" i="20"/>
  <c r="A2635" i="20"/>
  <c r="A2634" i="20"/>
  <c r="A2633" i="20"/>
  <c r="A2632" i="20"/>
  <c r="A2631" i="20"/>
  <c r="A2630" i="20"/>
  <c r="A2629" i="20"/>
  <c r="A2628" i="20"/>
  <c r="A2627" i="20"/>
  <c r="A2626" i="20"/>
  <c r="A2625" i="20"/>
  <c r="A2624" i="20"/>
  <c r="A2623" i="20"/>
  <c r="A2622" i="20"/>
  <c r="A2621" i="20"/>
  <c r="A2620" i="20"/>
  <c r="A2619" i="20"/>
  <c r="A2618" i="20"/>
  <c r="A2617" i="20"/>
  <c r="A2616" i="20"/>
  <c r="A2615" i="20"/>
  <c r="A2614" i="20"/>
  <c r="A2613" i="20"/>
  <c r="A2612" i="20"/>
  <c r="A2611" i="20"/>
  <c r="A2610" i="20"/>
  <c r="A2609" i="20"/>
  <c r="A2608" i="20"/>
  <c r="A2607" i="20"/>
  <c r="A2606" i="20"/>
  <c r="A2605" i="20"/>
  <c r="A2604" i="20"/>
  <c r="A2603" i="20"/>
  <c r="A2602" i="20"/>
  <c r="A2601" i="20"/>
  <c r="A2600" i="20"/>
  <c r="A2599" i="20"/>
  <c r="A2598" i="20"/>
  <c r="A2597" i="20"/>
  <c r="A2596" i="20"/>
  <c r="A2595" i="20"/>
  <c r="A2594" i="20"/>
  <c r="A2593" i="20"/>
  <c r="A2592" i="20"/>
  <c r="A2591" i="20"/>
  <c r="A2590" i="20"/>
  <c r="A2589" i="20"/>
  <c r="A2588" i="20"/>
  <c r="A2587" i="20"/>
  <c r="A2586" i="20"/>
  <c r="A2585" i="20"/>
  <c r="A2584" i="20"/>
  <c r="A2583" i="20"/>
  <c r="A2582" i="20"/>
  <c r="A2581" i="20"/>
  <c r="A2580" i="20"/>
  <c r="A2579" i="20"/>
  <c r="A2578" i="20"/>
  <c r="A2577" i="20"/>
  <c r="A2576" i="20"/>
  <c r="A2575" i="20"/>
  <c r="A2574" i="20"/>
  <c r="A2573" i="20"/>
  <c r="A2572" i="20"/>
  <c r="A2571" i="20"/>
  <c r="A2570" i="20"/>
  <c r="A2569" i="20"/>
  <c r="A2568" i="20"/>
  <c r="A2567" i="20"/>
  <c r="A2566" i="20"/>
  <c r="A2565" i="20"/>
  <c r="A2564" i="20"/>
  <c r="A2563" i="20"/>
  <c r="A2562" i="20"/>
  <c r="A2561" i="20"/>
  <c r="A2560" i="20"/>
  <c r="A2559" i="20"/>
  <c r="A2558" i="20"/>
  <c r="A2557" i="20"/>
  <c r="A2556" i="20"/>
  <c r="A2555" i="20"/>
  <c r="A2554" i="20"/>
  <c r="A2553" i="20"/>
  <c r="A2552" i="20"/>
  <c r="A2551" i="20"/>
  <c r="A2550" i="20"/>
  <c r="A2549" i="20"/>
  <c r="A2548" i="20"/>
  <c r="A2547" i="20"/>
  <c r="A2546" i="20"/>
  <c r="A2545" i="20"/>
  <c r="A2544" i="20"/>
  <c r="A2543" i="20"/>
  <c r="A2542" i="20"/>
  <c r="A2541" i="20"/>
  <c r="A2540" i="20"/>
  <c r="A2539" i="20"/>
  <c r="A2538" i="20"/>
  <c r="A2537" i="20"/>
  <c r="A2536" i="20"/>
  <c r="A2535" i="20"/>
  <c r="A2534" i="20"/>
  <c r="A2533" i="20"/>
  <c r="A2532" i="20"/>
  <c r="A2531" i="20"/>
  <c r="A2530" i="20"/>
  <c r="A2529" i="20"/>
  <c r="A2528" i="20"/>
  <c r="A2527" i="20"/>
  <c r="A2526" i="20"/>
  <c r="A2525" i="20"/>
  <c r="A2524" i="20"/>
  <c r="A2523" i="20"/>
  <c r="A2522" i="20"/>
  <c r="A2521" i="20"/>
  <c r="A2520" i="20"/>
  <c r="A2519" i="20"/>
  <c r="A2518" i="20"/>
  <c r="A2517" i="20"/>
  <c r="A2516" i="20"/>
  <c r="A2515" i="20"/>
  <c r="A2514" i="20"/>
  <c r="A2513" i="20"/>
  <c r="A2512" i="20"/>
  <c r="A2511" i="20"/>
  <c r="A2510" i="20"/>
  <c r="A2509" i="20"/>
  <c r="A2508" i="20"/>
  <c r="A2507" i="20"/>
  <c r="A2506" i="20"/>
  <c r="A2505" i="20"/>
  <c r="A2504" i="20"/>
  <c r="A2503" i="20"/>
  <c r="A2502" i="20"/>
  <c r="A2501" i="20"/>
  <c r="A2500" i="20"/>
  <c r="A2499" i="20"/>
  <c r="A2498" i="20"/>
  <c r="A2497" i="20"/>
  <c r="A2496" i="20"/>
  <c r="A2495" i="20"/>
  <c r="A2494" i="20"/>
  <c r="A2493" i="20"/>
  <c r="A2492" i="20"/>
  <c r="A2491" i="20"/>
  <c r="A2490" i="20"/>
  <c r="A2489" i="20"/>
  <c r="A2488" i="20"/>
  <c r="A2487" i="20"/>
  <c r="A2486" i="20"/>
  <c r="A2485" i="20"/>
  <c r="A2484" i="20"/>
  <c r="A2483" i="20"/>
  <c r="A2482" i="20"/>
  <c r="A2481" i="20"/>
  <c r="A2480" i="20"/>
  <c r="A2479" i="20"/>
  <c r="A2478" i="20"/>
  <c r="A2477" i="20"/>
  <c r="A2476" i="20"/>
  <c r="A2475" i="20"/>
  <c r="A2474" i="20"/>
  <c r="A2473" i="20"/>
  <c r="A2472" i="20"/>
  <c r="A2471" i="20"/>
  <c r="A2470" i="20"/>
  <c r="A2469" i="20"/>
  <c r="A2468" i="20"/>
  <c r="A2467" i="20"/>
  <c r="A2466" i="20"/>
  <c r="A2465" i="20"/>
  <c r="A2464" i="20"/>
  <c r="A2463" i="20"/>
  <c r="A2462" i="20"/>
  <c r="A2461" i="20"/>
  <c r="A2460" i="20"/>
  <c r="A2459" i="20"/>
  <c r="A2458" i="20"/>
  <c r="A2457" i="20"/>
  <c r="A2456" i="20"/>
  <c r="A2455" i="20"/>
  <c r="A2454" i="20"/>
  <c r="A2453" i="20"/>
  <c r="A2452" i="20"/>
  <c r="A2451" i="20"/>
  <c r="A2450" i="20"/>
  <c r="A2449" i="20"/>
  <c r="A2448" i="20"/>
  <c r="A2447" i="20"/>
  <c r="A2446" i="20"/>
  <c r="A2445" i="20"/>
  <c r="A2444" i="20"/>
  <c r="A2443" i="20"/>
  <c r="A2442" i="20"/>
  <c r="A2441" i="20"/>
  <c r="A2440" i="20"/>
  <c r="A2439" i="20"/>
  <c r="A2438" i="20"/>
  <c r="A2437" i="20"/>
  <c r="A2436" i="20"/>
  <c r="A2435" i="20"/>
  <c r="A2434" i="20"/>
  <c r="A2433" i="20"/>
  <c r="A2432" i="20"/>
  <c r="A2431" i="20"/>
  <c r="A2430" i="20"/>
  <c r="A2429" i="20"/>
  <c r="A2428" i="20"/>
  <c r="A2427" i="20"/>
  <c r="A2426" i="20"/>
  <c r="A2425" i="20"/>
  <c r="A2424" i="20"/>
  <c r="A2423" i="20"/>
  <c r="A2422" i="20"/>
  <c r="A2421" i="20"/>
  <c r="A2420" i="20"/>
  <c r="A2419" i="20"/>
  <c r="A2418" i="20"/>
  <c r="A2417" i="20"/>
  <c r="A2416" i="20"/>
  <c r="A2415" i="20"/>
  <c r="A2414" i="20"/>
  <c r="A2413" i="20"/>
  <c r="A2412" i="20"/>
  <c r="A2411" i="20"/>
  <c r="A2410" i="20"/>
  <c r="A2409" i="20"/>
  <c r="A2408" i="20"/>
  <c r="A2407" i="20"/>
  <c r="A2406" i="20"/>
  <c r="A2405" i="20"/>
  <c r="A2404" i="20"/>
  <c r="A2403" i="20"/>
  <c r="A2402" i="20"/>
  <c r="A2401" i="20"/>
  <c r="A2400" i="20"/>
  <c r="A2399" i="20"/>
  <c r="A2398" i="20"/>
  <c r="A2397" i="20"/>
  <c r="A2396" i="20"/>
  <c r="A2395" i="20"/>
  <c r="A2394" i="20"/>
  <c r="A2393" i="20"/>
  <c r="A2392" i="20"/>
  <c r="A2391" i="20"/>
  <c r="A2390" i="20"/>
  <c r="A2389" i="20"/>
  <c r="A2388" i="20"/>
  <c r="A2387" i="20"/>
  <c r="A2386" i="20"/>
  <c r="A2385" i="20"/>
  <c r="A2384" i="20"/>
  <c r="A2383" i="20"/>
  <c r="A2382" i="20"/>
  <c r="A2381" i="20"/>
  <c r="A2380" i="20"/>
  <c r="A2379" i="20"/>
  <c r="A2378" i="20"/>
  <c r="A2377" i="20"/>
  <c r="A2376" i="20"/>
  <c r="A2375" i="20"/>
  <c r="A2374" i="20"/>
  <c r="A2373" i="20"/>
  <c r="A2372" i="20"/>
  <c r="A2371" i="20"/>
  <c r="A2370" i="20"/>
  <c r="A2369" i="20"/>
  <c r="A2368" i="20"/>
  <c r="A2367" i="20"/>
  <c r="A2366" i="20"/>
  <c r="A2365" i="20"/>
  <c r="A2364" i="20"/>
  <c r="A2363" i="20"/>
  <c r="A2362" i="20"/>
  <c r="A2361" i="20"/>
  <c r="A2360" i="20"/>
  <c r="A2359" i="20"/>
  <c r="A2358" i="20"/>
  <c r="A2357" i="20"/>
  <c r="A2356" i="20"/>
  <c r="A2355" i="20"/>
  <c r="A2354" i="20"/>
  <c r="A2353" i="20"/>
  <c r="A2352" i="20"/>
  <c r="A2351" i="20"/>
  <c r="A2350" i="20"/>
  <c r="A2349" i="20"/>
  <c r="A2348" i="20"/>
  <c r="A2347" i="20"/>
  <c r="A2346" i="20"/>
  <c r="A2345" i="20"/>
  <c r="A2344" i="20"/>
  <c r="A2343" i="20"/>
  <c r="A2342" i="20"/>
  <c r="A2341" i="20"/>
  <c r="A2340" i="20"/>
  <c r="A2339" i="20"/>
  <c r="A2338" i="20"/>
  <c r="A2337" i="20"/>
  <c r="A2336" i="20"/>
  <c r="A2335" i="20"/>
  <c r="A2334" i="20"/>
  <c r="A2333" i="20"/>
  <c r="A2332" i="20"/>
  <c r="A2331" i="20"/>
  <c r="A2330" i="20"/>
  <c r="A2329" i="20"/>
  <c r="A2328" i="20"/>
  <c r="A2327" i="20"/>
  <c r="A2326" i="20"/>
  <c r="A2325" i="20"/>
  <c r="A2324" i="20"/>
  <c r="A2323" i="20"/>
  <c r="A2322" i="20"/>
  <c r="A2321" i="20"/>
  <c r="A2320" i="20"/>
  <c r="A2319" i="20"/>
  <c r="A2318" i="20"/>
  <c r="A2317" i="20"/>
  <c r="A2316" i="20"/>
  <c r="A2315" i="20"/>
  <c r="A2314" i="20"/>
  <c r="A2313" i="20"/>
  <c r="A2312" i="20"/>
  <c r="A2311" i="20"/>
  <c r="A2310" i="20"/>
  <c r="A2309" i="20"/>
  <c r="A2308" i="20"/>
  <c r="A2307" i="20"/>
  <c r="A2306" i="20"/>
  <c r="A2305" i="20"/>
  <c r="A2304" i="20"/>
  <c r="A2303" i="20"/>
  <c r="A2302" i="20"/>
  <c r="A2301" i="20"/>
  <c r="A2300" i="20"/>
  <c r="A2299" i="20"/>
  <c r="A2298" i="20"/>
  <c r="A2297" i="20"/>
  <c r="A2296" i="20"/>
  <c r="A2295" i="20"/>
  <c r="A2294" i="20"/>
  <c r="A2293" i="20"/>
  <c r="A2292" i="20"/>
  <c r="A2291" i="20"/>
  <c r="A2290" i="20"/>
  <c r="A2289" i="20"/>
  <c r="A2288" i="20"/>
  <c r="A2287" i="20"/>
  <c r="A2286" i="20"/>
  <c r="A2285" i="20"/>
  <c r="A2284" i="20"/>
  <c r="A2283" i="20"/>
  <c r="A2282" i="20"/>
  <c r="A2281" i="20"/>
  <c r="A2280" i="20"/>
  <c r="A2279" i="20"/>
  <c r="A2278" i="20"/>
  <c r="A2277" i="20"/>
  <c r="A2276" i="20"/>
  <c r="A2275" i="20"/>
  <c r="A2274" i="20"/>
  <c r="A2273" i="20"/>
  <c r="A2272" i="20"/>
  <c r="A2271" i="20"/>
  <c r="A2270" i="20"/>
  <c r="A2269" i="20"/>
  <c r="A2268" i="20"/>
  <c r="A2267" i="20"/>
  <c r="A2266" i="20"/>
  <c r="A2265" i="20"/>
  <c r="A2264" i="20"/>
  <c r="A2263" i="20"/>
  <c r="A2262" i="20"/>
  <c r="A2261" i="20"/>
  <c r="A2260" i="20"/>
  <c r="A2259" i="20"/>
  <c r="A2258" i="20"/>
  <c r="A2257" i="20"/>
  <c r="A2256" i="20"/>
  <c r="A2255" i="20"/>
  <c r="A2254" i="20"/>
  <c r="A2253" i="20"/>
  <c r="A2252" i="20"/>
  <c r="A2251" i="20"/>
  <c r="A2250" i="20"/>
  <c r="A2249" i="20"/>
  <c r="A2248" i="20"/>
  <c r="A2247" i="20"/>
  <c r="A2246" i="20"/>
  <c r="A2245" i="20"/>
  <c r="A2244" i="20"/>
  <c r="A2243" i="20"/>
  <c r="A2242" i="20"/>
  <c r="A2241" i="20"/>
  <c r="A2240" i="20"/>
  <c r="A2239" i="20"/>
  <c r="A2238" i="20"/>
  <c r="A2237" i="20"/>
  <c r="A2236" i="20"/>
  <c r="A2235" i="20"/>
  <c r="A2234" i="20"/>
  <c r="A2233" i="20"/>
  <c r="A2232" i="20"/>
  <c r="A2231" i="20"/>
  <c r="A2230" i="20"/>
  <c r="A2229" i="20"/>
  <c r="A2228" i="20"/>
  <c r="A2227" i="20"/>
  <c r="A2226" i="20"/>
  <c r="A2225" i="20"/>
  <c r="A2224" i="20"/>
  <c r="A2223" i="20"/>
  <c r="A2222" i="20"/>
  <c r="A2221" i="20"/>
  <c r="A2220" i="20"/>
  <c r="A2219" i="20"/>
  <c r="A2218" i="20"/>
  <c r="A2217" i="20"/>
  <c r="A2216" i="20"/>
  <c r="A2215" i="20"/>
  <c r="A2214" i="20"/>
  <c r="A2213" i="20"/>
  <c r="A2212" i="20"/>
  <c r="A2211" i="20"/>
  <c r="A2210" i="20"/>
  <c r="A2209" i="20"/>
  <c r="A2208" i="20"/>
  <c r="A2207" i="20"/>
  <c r="A2206" i="20"/>
  <c r="A2205" i="20"/>
  <c r="A2204" i="20"/>
  <c r="A2203" i="20"/>
  <c r="A2202" i="20"/>
  <c r="A2201" i="20"/>
  <c r="A2200" i="20"/>
  <c r="A2199" i="20"/>
  <c r="A2198" i="20"/>
  <c r="A2197" i="20"/>
  <c r="A2196" i="20"/>
  <c r="A2195" i="20"/>
  <c r="A2194" i="20"/>
  <c r="A2193" i="20"/>
  <c r="A2192" i="20"/>
  <c r="A2191" i="20"/>
  <c r="A2190" i="20"/>
  <c r="A2189" i="20"/>
  <c r="A2188" i="20"/>
  <c r="A2187" i="20"/>
  <c r="A2186" i="20"/>
  <c r="A2185" i="20"/>
  <c r="A2184" i="20"/>
  <c r="A2183" i="20"/>
  <c r="A2182" i="20"/>
  <c r="A2181" i="20"/>
  <c r="A2180" i="20"/>
  <c r="A2179" i="20"/>
  <c r="A2178" i="20"/>
  <c r="A2177" i="20"/>
  <c r="A2176" i="20"/>
  <c r="A2175" i="20"/>
  <c r="A2174" i="20"/>
  <c r="A2173" i="20"/>
  <c r="A2172" i="20"/>
  <c r="A2171" i="20"/>
  <c r="A2170" i="20"/>
  <c r="A2169" i="20"/>
  <c r="A2168" i="20"/>
  <c r="A2167" i="20"/>
  <c r="A2166" i="20"/>
  <c r="A2165" i="20"/>
  <c r="A2164" i="20"/>
  <c r="A2163" i="20"/>
  <c r="A2162" i="20"/>
  <c r="A2161" i="20"/>
  <c r="A2160" i="20"/>
  <c r="A2159" i="20"/>
  <c r="A2158" i="20"/>
  <c r="A2157" i="20"/>
  <c r="A2156" i="20"/>
  <c r="A2155" i="20"/>
  <c r="A2154" i="20"/>
  <c r="A2153" i="20"/>
  <c r="A2152" i="20"/>
  <c r="A2151" i="20"/>
  <c r="A2150" i="20"/>
  <c r="A2149" i="20"/>
  <c r="A2148" i="20"/>
  <c r="A2147" i="20"/>
  <c r="A2146" i="20"/>
  <c r="A2145" i="20"/>
  <c r="A2144" i="20"/>
  <c r="A2143" i="20"/>
  <c r="A2142" i="20"/>
  <c r="A2141" i="20"/>
  <c r="A2140" i="20"/>
  <c r="A2139" i="20"/>
  <c r="A2138" i="20"/>
  <c r="A2137" i="20"/>
  <c r="A2136" i="20"/>
  <c r="A2135" i="20"/>
  <c r="A2134" i="20"/>
  <c r="A2133" i="20"/>
  <c r="A2132" i="20"/>
  <c r="A2131" i="20"/>
  <c r="A2130" i="20"/>
  <c r="A2129" i="20"/>
  <c r="A2128" i="20"/>
  <c r="A2127" i="20"/>
  <c r="A2126" i="20"/>
  <c r="A2125" i="20"/>
  <c r="A2124" i="20"/>
  <c r="A2123" i="20"/>
  <c r="A2122" i="20"/>
  <c r="A2121" i="20"/>
  <c r="A2120" i="20"/>
  <c r="A2119" i="20"/>
  <c r="A2118" i="20"/>
  <c r="A2117" i="20"/>
  <c r="A2116" i="20"/>
  <c r="A2115" i="20"/>
  <c r="A2114" i="20"/>
  <c r="A2113" i="20"/>
  <c r="A2112" i="20"/>
  <c r="A2111" i="20"/>
  <c r="A2110" i="20"/>
  <c r="A2109" i="20"/>
  <c r="A2108" i="20"/>
  <c r="A2107" i="20"/>
  <c r="A2106" i="20"/>
  <c r="A2105" i="20"/>
  <c r="A2104" i="20"/>
  <c r="A2103" i="20"/>
  <c r="A2102" i="20"/>
  <c r="A2101" i="20"/>
  <c r="A2100" i="20"/>
  <c r="A2099" i="20"/>
  <c r="A2098" i="20"/>
  <c r="A2097" i="20"/>
  <c r="A2096" i="20"/>
  <c r="A2095" i="20"/>
  <c r="A2094" i="20"/>
  <c r="A2093" i="20"/>
  <c r="A2092" i="20"/>
  <c r="A2091" i="20"/>
  <c r="A2090" i="20"/>
  <c r="A2089" i="20"/>
  <c r="A2088" i="20"/>
  <c r="A2087" i="20"/>
  <c r="A2086" i="20"/>
  <c r="A2085" i="20"/>
  <c r="A2084" i="20"/>
  <c r="A2083" i="20"/>
  <c r="A2082" i="20"/>
  <c r="A2081" i="20"/>
  <c r="A2080" i="20"/>
  <c r="A2079" i="20"/>
  <c r="A2078" i="20"/>
  <c r="A2077" i="20"/>
  <c r="A2076" i="20"/>
  <c r="A2075" i="20"/>
  <c r="A2074" i="20"/>
  <c r="A2073" i="20"/>
  <c r="A2072" i="20"/>
  <c r="A2071" i="20"/>
  <c r="A2070" i="20"/>
  <c r="A2069" i="20"/>
  <c r="A2068" i="20"/>
  <c r="A2067" i="20"/>
  <c r="A2066" i="20"/>
  <c r="A2065" i="20"/>
  <c r="A2064" i="20"/>
  <c r="A2063" i="20"/>
  <c r="A2062" i="20"/>
  <c r="A2061" i="20"/>
  <c r="A2060" i="20"/>
  <c r="A2059" i="20"/>
  <c r="A2058" i="20"/>
  <c r="A2057" i="20"/>
  <c r="A2056" i="20"/>
  <c r="A2055" i="20"/>
  <c r="A2054" i="20"/>
  <c r="A2053" i="20"/>
  <c r="A2052" i="20"/>
  <c r="A2051" i="20"/>
  <c r="A2050" i="20"/>
  <c r="A2049" i="20"/>
  <c r="A2048" i="20"/>
  <c r="A2047" i="20"/>
  <c r="A2046" i="20"/>
  <c r="A2045" i="20"/>
  <c r="A2044" i="20"/>
  <c r="A2043" i="20"/>
  <c r="A2042" i="20"/>
  <c r="A2041" i="20"/>
  <c r="A2040" i="20"/>
  <c r="A2039" i="20"/>
  <c r="A2038" i="20"/>
  <c r="A2037" i="20"/>
  <c r="A2036" i="20"/>
  <c r="A2035" i="20"/>
  <c r="A2034" i="20"/>
  <c r="A2033" i="20"/>
  <c r="A2032" i="20"/>
  <c r="A2031" i="20"/>
  <c r="A2030" i="20"/>
  <c r="A2029" i="20"/>
  <c r="A2028" i="20"/>
  <c r="A2027" i="20"/>
  <c r="A2026" i="20"/>
  <c r="A2025" i="20"/>
  <c r="A2024" i="20"/>
  <c r="A2023" i="20"/>
  <c r="A2022" i="20"/>
  <c r="A2021" i="20"/>
  <c r="A2020" i="20"/>
  <c r="A2019" i="20"/>
  <c r="A2018" i="20"/>
  <c r="A2017" i="20"/>
  <c r="A2016" i="20"/>
  <c r="A2015" i="20"/>
  <c r="A2014" i="20"/>
  <c r="A2013" i="20"/>
  <c r="A2012" i="20"/>
  <c r="A2011" i="20"/>
  <c r="A2010" i="20"/>
  <c r="A2009" i="20"/>
  <c r="A2008" i="20"/>
  <c r="A2007" i="20"/>
  <c r="A2006" i="20"/>
  <c r="A2005" i="20"/>
  <c r="A2004" i="20"/>
  <c r="A2003" i="20"/>
  <c r="A2002" i="20"/>
  <c r="A2001" i="20"/>
  <c r="A2000" i="20"/>
  <c r="A1999" i="20"/>
  <c r="A1998" i="20"/>
  <c r="A1997" i="20"/>
  <c r="A1996" i="20"/>
  <c r="A1995" i="20"/>
  <c r="A1994" i="20"/>
  <c r="A1993" i="20"/>
  <c r="A1992" i="20"/>
  <c r="A1991" i="20"/>
  <c r="A1990" i="20"/>
  <c r="A1989" i="20"/>
  <c r="A1988" i="20"/>
  <c r="A1987" i="20"/>
  <c r="A1986" i="20"/>
  <c r="A1985" i="20"/>
  <c r="A1984" i="20"/>
  <c r="A1983" i="20"/>
  <c r="A1982" i="20"/>
  <c r="A1981" i="20"/>
  <c r="A1980" i="20"/>
  <c r="A1979" i="20"/>
  <c r="A1978" i="20"/>
  <c r="A1977" i="20"/>
  <c r="A1976" i="20"/>
  <c r="A1975" i="20"/>
  <c r="A1974" i="20"/>
  <c r="A1973" i="20"/>
  <c r="A1972" i="20"/>
  <c r="A1971" i="20"/>
  <c r="A1970" i="20"/>
  <c r="A1969" i="20"/>
  <c r="A1968" i="20"/>
  <c r="A1967" i="20"/>
  <c r="A1966" i="20"/>
  <c r="A1965" i="20"/>
  <c r="A1964" i="20"/>
  <c r="A1963" i="20"/>
  <c r="A1962" i="20"/>
  <c r="A1961" i="20"/>
  <c r="A1960" i="20"/>
  <c r="A1959" i="20"/>
  <c r="A1958" i="20"/>
  <c r="A1957" i="20"/>
  <c r="A1956" i="20"/>
  <c r="A1955" i="20"/>
  <c r="A1954" i="20"/>
  <c r="A1953" i="20"/>
  <c r="A1952" i="20"/>
  <c r="A1951" i="20"/>
  <c r="A1950" i="20"/>
  <c r="A1949" i="20"/>
  <c r="A1948" i="20"/>
  <c r="A1947" i="20"/>
  <c r="A1946" i="20"/>
  <c r="A1945" i="20"/>
  <c r="A1944" i="20"/>
  <c r="A1943" i="20"/>
  <c r="A1942" i="20"/>
  <c r="A1941" i="20"/>
  <c r="A1940" i="20"/>
  <c r="A1939" i="20"/>
  <c r="A1938" i="20"/>
  <c r="A1937" i="20"/>
  <c r="A1936" i="20"/>
  <c r="A1935" i="20"/>
  <c r="A1934" i="20"/>
  <c r="A1933" i="20"/>
  <c r="A1932" i="20"/>
  <c r="A1931" i="20"/>
  <c r="A1930" i="20"/>
  <c r="A1929" i="20"/>
  <c r="A1928" i="20"/>
  <c r="A1927" i="20"/>
  <c r="A1926" i="20"/>
  <c r="A1925" i="20"/>
  <c r="A1924" i="20"/>
  <c r="A1923" i="20"/>
  <c r="A1922" i="20"/>
  <c r="A1921" i="20"/>
  <c r="A1920" i="20"/>
  <c r="A1919" i="20"/>
  <c r="A1918" i="20"/>
  <c r="A1917" i="20"/>
  <c r="A1916" i="20"/>
  <c r="A1915" i="20"/>
  <c r="A1914" i="20"/>
  <c r="A1913" i="20"/>
  <c r="A1912" i="20"/>
  <c r="A1911" i="20"/>
  <c r="A1910" i="20"/>
  <c r="A1909" i="20"/>
  <c r="A1908" i="20"/>
  <c r="A1907" i="20"/>
  <c r="A1906" i="20"/>
  <c r="A1905" i="20"/>
  <c r="A1904" i="20"/>
  <c r="A1903" i="20"/>
  <c r="A1902" i="20"/>
  <c r="A1901" i="20"/>
  <c r="A1900" i="20"/>
  <c r="A1899" i="20"/>
  <c r="A1898" i="20"/>
  <c r="A1897" i="20"/>
  <c r="A1896" i="20"/>
  <c r="A1895" i="20"/>
  <c r="A1894" i="20"/>
  <c r="A1893" i="20"/>
  <c r="A1892" i="20"/>
  <c r="A1891" i="20"/>
  <c r="A1890" i="20"/>
  <c r="A1889" i="20"/>
  <c r="A1888" i="20"/>
  <c r="A1887" i="20"/>
  <c r="A1886" i="20"/>
  <c r="A1885" i="20"/>
  <c r="A1884" i="20"/>
  <c r="A1883" i="20"/>
  <c r="A1882" i="20"/>
  <c r="A1881" i="20"/>
  <c r="A1880" i="20"/>
  <c r="A1879" i="20"/>
  <c r="A1878" i="20"/>
  <c r="A1877" i="20"/>
  <c r="A1876" i="20"/>
  <c r="A1875" i="20"/>
  <c r="A1874" i="20"/>
  <c r="A1873" i="20"/>
  <c r="A1872" i="20"/>
  <c r="A1871" i="20"/>
  <c r="A1870" i="20"/>
  <c r="A1869" i="20"/>
  <c r="A1868" i="20"/>
  <c r="A1867" i="20"/>
  <c r="A1866" i="20"/>
  <c r="A1865" i="20"/>
  <c r="A1864" i="20"/>
  <c r="A1863" i="20"/>
  <c r="A1862" i="20"/>
  <c r="A1861" i="20"/>
  <c r="A1860" i="20"/>
  <c r="A1859" i="20"/>
  <c r="A1858" i="20"/>
  <c r="A1857" i="20"/>
  <c r="A1856" i="20"/>
  <c r="A1855" i="20"/>
  <c r="A1854" i="20"/>
  <c r="A1853" i="20"/>
  <c r="A1852" i="20"/>
  <c r="A1851" i="20"/>
  <c r="A1850" i="20"/>
  <c r="A1849" i="20"/>
  <c r="A1848" i="20"/>
  <c r="A1847" i="20"/>
  <c r="A1846" i="20"/>
  <c r="A1845" i="20"/>
  <c r="A1844" i="20"/>
  <c r="A1843" i="20"/>
  <c r="A1842" i="20"/>
  <c r="A1841" i="20"/>
  <c r="A1840" i="20"/>
  <c r="A1839" i="20"/>
  <c r="A1838" i="20"/>
  <c r="A1837" i="20"/>
  <c r="A1836" i="20"/>
  <c r="A1835" i="20"/>
  <c r="A1834" i="20"/>
  <c r="A1833" i="20"/>
  <c r="A1832" i="20"/>
  <c r="A1831" i="20"/>
  <c r="A1830" i="20"/>
  <c r="A1829" i="20"/>
  <c r="A1828" i="20"/>
  <c r="A1827" i="20"/>
  <c r="A1826" i="20"/>
  <c r="A1825" i="20"/>
  <c r="A1824" i="20"/>
  <c r="A1823" i="20"/>
  <c r="A1822" i="20"/>
  <c r="A1821" i="20"/>
  <c r="A1820" i="20"/>
  <c r="A1819" i="20"/>
  <c r="A1818" i="20"/>
  <c r="A1817" i="20"/>
  <c r="A1816" i="20"/>
  <c r="A1815" i="20"/>
  <c r="A1814" i="20"/>
  <c r="A1813" i="20"/>
  <c r="A1812" i="20"/>
  <c r="A1811" i="20"/>
  <c r="A1810" i="20"/>
  <c r="A1809" i="20"/>
  <c r="A1808" i="20"/>
  <c r="A1807" i="20"/>
  <c r="A1806" i="20"/>
  <c r="A1805" i="20"/>
  <c r="A1804" i="20"/>
  <c r="A1803" i="20"/>
  <c r="A1802" i="20"/>
  <c r="A1801" i="20"/>
  <c r="A1800" i="20"/>
  <c r="A1799" i="20"/>
  <c r="A1798" i="20"/>
  <c r="A1797" i="20"/>
  <c r="A1796" i="20"/>
  <c r="A1795" i="20"/>
  <c r="A1794" i="20"/>
  <c r="A1793" i="20"/>
  <c r="A1792" i="20"/>
  <c r="A1791" i="20"/>
  <c r="A1790" i="20"/>
  <c r="A1789" i="20"/>
  <c r="A1788" i="20"/>
  <c r="A1787" i="20"/>
  <c r="A1786" i="20"/>
  <c r="A1785" i="20"/>
  <c r="A1784" i="20"/>
  <c r="A1783" i="20"/>
  <c r="A1782" i="20"/>
  <c r="A1781" i="20"/>
  <c r="A1780" i="20"/>
  <c r="A1779" i="20"/>
  <c r="A1778" i="20"/>
  <c r="A1777" i="20"/>
  <c r="A1776" i="20"/>
  <c r="A1775" i="20"/>
  <c r="A1774" i="20"/>
  <c r="A1773" i="20"/>
  <c r="A1772" i="20"/>
  <c r="A1771" i="20"/>
  <c r="A1770" i="20"/>
  <c r="A1769" i="20"/>
  <c r="A1768" i="20"/>
  <c r="A1767" i="20"/>
  <c r="A1766" i="20"/>
  <c r="A1765" i="20"/>
  <c r="A1764" i="20"/>
  <c r="A1763" i="20"/>
  <c r="A1762" i="20"/>
  <c r="A1761" i="20"/>
  <c r="A1760" i="20"/>
  <c r="A1759" i="20"/>
  <c r="A1758" i="20"/>
  <c r="A1757" i="20"/>
  <c r="A1756" i="20"/>
  <c r="A1755" i="20"/>
  <c r="A1754" i="20"/>
  <c r="A1753" i="20"/>
  <c r="A1752" i="20"/>
  <c r="A1751" i="20"/>
  <c r="A1750" i="20"/>
  <c r="A1749" i="20"/>
  <c r="A1748" i="20"/>
  <c r="A1747" i="20"/>
  <c r="A1746" i="20"/>
  <c r="A1745" i="20"/>
  <c r="A1744" i="20"/>
  <c r="A1743" i="20"/>
  <c r="A1742" i="20"/>
  <c r="A1741" i="20"/>
  <c r="A1740" i="20"/>
  <c r="A1739" i="20"/>
  <c r="A1738" i="20"/>
  <c r="A1737" i="20"/>
  <c r="A1736" i="20"/>
  <c r="A1735" i="20"/>
  <c r="A1734" i="20"/>
  <c r="A1733" i="20"/>
  <c r="A1732" i="20"/>
  <c r="A1731" i="20"/>
  <c r="A1730" i="20"/>
  <c r="A1729" i="20"/>
  <c r="A1728" i="20"/>
  <c r="A1727" i="20"/>
  <c r="A1726" i="20"/>
  <c r="A1725" i="20"/>
  <c r="A1724" i="20"/>
  <c r="A1723" i="20"/>
  <c r="A1722" i="20"/>
  <c r="A1721" i="20"/>
  <c r="A1720" i="20"/>
  <c r="A1719" i="20"/>
  <c r="A1718" i="20"/>
  <c r="A1717" i="20"/>
  <c r="A1716" i="20"/>
  <c r="A1715" i="20"/>
  <c r="A1714" i="20"/>
  <c r="A1713" i="20"/>
  <c r="A1712" i="20"/>
  <c r="A1711" i="20"/>
  <c r="A1710" i="20"/>
  <c r="A1709" i="20"/>
  <c r="A1708" i="20"/>
  <c r="A1707" i="20"/>
  <c r="A1706" i="20"/>
  <c r="A1705" i="20"/>
  <c r="A1704" i="20"/>
  <c r="A1703" i="20"/>
  <c r="A1702" i="20"/>
  <c r="A1701" i="20"/>
  <c r="A1700" i="20"/>
  <c r="A1699" i="20"/>
  <c r="A1698" i="20"/>
  <c r="A1697" i="20"/>
  <c r="A1696" i="20"/>
  <c r="A1695" i="20"/>
  <c r="A1694" i="20"/>
  <c r="A1693" i="20"/>
  <c r="A1692" i="20"/>
  <c r="A1691" i="20"/>
  <c r="A1690" i="20"/>
  <c r="A1689" i="20"/>
  <c r="A1688" i="20"/>
  <c r="A1687" i="20"/>
  <c r="A1686" i="20"/>
  <c r="A1685" i="20"/>
  <c r="A1684" i="20"/>
  <c r="A1683" i="20"/>
  <c r="A1682" i="20"/>
  <c r="A1681" i="20"/>
  <c r="A1680" i="20"/>
  <c r="A1679" i="20"/>
  <c r="A1678" i="20"/>
  <c r="A1677" i="20"/>
  <c r="A1676" i="20"/>
  <c r="A1675" i="20"/>
  <c r="A1674" i="20"/>
  <c r="A1673" i="20"/>
  <c r="A1672" i="20"/>
  <c r="A1671" i="20"/>
  <c r="A1670" i="20"/>
  <c r="A1669" i="20"/>
  <c r="A1668" i="20"/>
  <c r="A1667" i="20"/>
  <c r="A1666" i="20"/>
  <c r="A1665" i="20"/>
  <c r="A1664" i="20"/>
  <c r="A1663" i="20"/>
  <c r="A1662" i="20"/>
  <c r="A1661" i="20"/>
  <c r="A1660" i="20"/>
  <c r="A1659" i="20"/>
  <c r="A1658" i="20"/>
  <c r="A1657" i="20"/>
  <c r="A1656" i="20"/>
  <c r="A1655" i="20"/>
  <c r="A1654" i="20"/>
  <c r="A1653" i="20"/>
  <c r="A1652" i="20"/>
  <c r="A1651" i="20"/>
  <c r="A1650" i="20"/>
  <c r="A1649" i="20"/>
  <c r="A1648" i="20"/>
  <c r="A1647" i="20"/>
  <c r="A1646" i="20"/>
  <c r="A1645" i="20"/>
  <c r="A1644" i="20"/>
  <c r="A1643" i="20"/>
  <c r="A1642" i="20"/>
  <c r="A1641" i="20"/>
  <c r="A1640" i="20"/>
  <c r="A1639" i="20"/>
  <c r="A1638" i="20"/>
  <c r="A1637" i="20"/>
  <c r="A1636" i="20"/>
  <c r="A1635" i="20"/>
  <c r="A1634" i="20"/>
  <c r="A1633" i="20"/>
  <c r="A1632" i="20"/>
  <c r="A1631" i="20"/>
  <c r="A1630" i="20"/>
  <c r="A1629" i="20"/>
  <c r="A1628" i="20"/>
  <c r="A1627" i="20"/>
  <c r="A1626" i="20"/>
  <c r="A1625" i="20"/>
  <c r="A1624" i="20"/>
  <c r="A1623" i="20"/>
  <c r="A1622" i="20"/>
  <c r="A1621" i="20"/>
  <c r="A1620" i="20"/>
  <c r="A1619" i="20"/>
  <c r="A1618" i="20"/>
  <c r="A1617" i="20"/>
  <c r="A1616" i="20"/>
  <c r="A1615" i="20"/>
  <c r="A1614" i="20"/>
  <c r="A1613" i="20"/>
  <c r="A1612" i="20"/>
  <c r="A1611" i="20"/>
  <c r="A1610" i="20"/>
  <c r="A1609" i="20"/>
  <c r="A1608" i="20"/>
  <c r="A1607" i="20"/>
  <c r="A1606" i="20"/>
  <c r="A1605" i="20"/>
  <c r="A1604" i="20"/>
  <c r="A1603" i="20"/>
  <c r="A1602" i="20"/>
  <c r="A1601" i="20"/>
  <c r="A1600" i="20"/>
  <c r="A1599" i="20"/>
  <c r="A1598" i="20"/>
  <c r="A1597" i="20"/>
  <c r="A1596" i="20"/>
  <c r="A1595" i="20"/>
  <c r="A1594" i="20"/>
  <c r="A1593" i="20"/>
  <c r="A1592" i="20"/>
  <c r="A1591" i="20"/>
  <c r="A1590" i="20"/>
  <c r="A1589" i="20"/>
  <c r="A1588" i="20"/>
  <c r="A1587" i="20"/>
  <c r="A1586" i="20"/>
  <c r="A1585" i="20"/>
  <c r="A1584" i="20"/>
  <c r="A1583" i="20"/>
  <c r="A1582" i="20"/>
  <c r="A1581" i="20"/>
  <c r="A1580" i="20"/>
  <c r="A1579" i="20"/>
  <c r="A1578" i="20"/>
  <c r="A1577" i="20"/>
  <c r="A1576" i="20"/>
  <c r="A1575" i="20"/>
  <c r="A1574" i="20"/>
  <c r="A1573" i="20"/>
  <c r="A1572" i="20"/>
  <c r="A1571" i="20"/>
  <c r="A1570" i="20"/>
  <c r="A1569" i="20"/>
  <c r="A1568" i="20"/>
  <c r="A1567" i="20"/>
  <c r="A1566" i="20"/>
  <c r="A1565" i="20"/>
  <c r="A1564" i="20"/>
  <c r="A1563" i="20"/>
  <c r="A1562" i="20"/>
  <c r="A1561" i="20"/>
  <c r="A1560" i="20"/>
  <c r="A1559" i="20"/>
  <c r="A1558" i="20"/>
  <c r="A1557" i="20"/>
  <c r="A1556" i="20"/>
  <c r="A1555" i="20"/>
  <c r="A1554" i="20"/>
  <c r="A1553" i="20"/>
  <c r="A1552" i="20"/>
  <c r="A1551" i="20"/>
  <c r="A1550" i="20"/>
  <c r="A1549" i="20"/>
  <c r="A1548" i="20"/>
  <c r="A1547" i="20"/>
  <c r="A1546" i="20"/>
  <c r="A1545" i="20"/>
  <c r="A1544" i="20"/>
  <c r="A1543" i="20"/>
  <c r="A1542" i="20"/>
  <c r="A1541" i="20"/>
  <c r="A1540" i="20"/>
  <c r="A1539" i="20"/>
  <c r="A1538" i="20"/>
  <c r="A1537" i="20"/>
  <c r="A1536" i="20"/>
  <c r="A1535" i="20"/>
  <c r="A1534" i="20"/>
  <c r="A1533" i="20"/>
  <c r="A1532" i="20"/>
  <c r="A1531" i="20"/>
  <c r="A1530" i="20"/>
  <c r="A1529" i="20"/>
  <c r="A1528" i="20"/>
  <c r="A1527" i="20"/>
  <c r="A1526" i="20"/>
  <c r="A1525" i="20"/>
  <c r="A1524" i="20"/>
  <c r="A1523" i="20"/>
  <c r="A1522" i="20"/>
  <c r="A1521" i="20"/>
  <c r="A1520" i="20"/>
  <c r="A1519" i="20"/>
  <c r="A1518" i="20"/>
  <c r="A1517" i="20"/>
  <c r="A1516" i="20"/>
  <c r="A1515" i="20"/>
  <c r="A1514" i="20"/>
  <c r="A1513" i="20"/>
  <c r="A1512" i="20"/>
  <c r="A1511" i="20"/>
  <c r="A1510" i="20"/>
  <c r="A1509" i="20"/>
  <c r="A1508" i="20"/>
  <c r="A1507" i="20"/>
  <c r="A1506" i="20"/>
  <c r="A1505" i="20"/>
  <c r="A1504" i="20"/>
  <c r="A1503" i="20"/>
  <c r="A1502" i="20"/>
  <c r="A1501" i="20"/>
  <c r="A1500" i="20"/>
  <c r="A1499" i="20"/>
  <c r="A1498" i="20"/>
  <c r="A1497" i="20"/>
  <c r="A1496" i="20"/>
  <c r="A1495" i="20"/>
  <c r="A1494" i="20"/>
  <c r="A1493" i="20"/>
  <c r="A1492" i="20"/>
  <c r="A1491" i="20"/>
  <c r="A1490" i="20"/>
  <c r="A1489" i="20"/>
  <c r="A1488" i="20"/>
  <c r="A1487" i="20"/>
  <c r="A1486" i="20"/>
  <c r="A1485" i="20"/>
  <c r="A1484" i="20"/>
  <c r="A1483" i="20"/>
  <c r="A1482" i="20"/>
  <c r="A1481" i="20"/>
  <c r="A1480" i="20"/>
  <c r="A1479" i="20"/>
  <c r="A1478" i="20"/>
  <c r="A1477" i="20"/>
  <c r="A1476" i="20"/>
  <c r="A1475" i="20"/>
  <c r="A1474" i="20"/>
  <c r="A1473" i="20"/>
  <c r="A1472" i="20"/>
  <c r="A1471" i="20"/>
  <c r="A1470" i="20"/>
  <c r="A1469" i="20"/>
  <c r="A1468" i="20"/>
  <c r="A1467" i="20"/>
  <c r="A1466" i="20"/>
  <c r="A1465" i="20"/>
  <c r="A1464" i="20"/>
  <c r="A1463" i="20"/>
  <c r="A1462" i="20"/>
  <c r="A1461" i="20"/>
  <c r="A1460" i="20"/>
  <c r="A1459" i="20"/>
  <c r="A1458" i="20"/>
  <c r="A1457" i="20"/>
  <c r="A1456" i="20"/>
  <c r="A1455" i="20"/>
  <c r="A1454" i="20"/>
  <c r="A1453" i="20"/>
  <c r="A1452" i="20"/>
  <c r="A1451" i="20"/>
  <c r="A1450" i="20"/>
  <c r="A1449" i="20"/>
  <c r="A1448" i="20"/>
  <c r="A1447" i="20"/>
  <c r="A1446" i="20"/>
  <c r="A1445" i="20"/>
  <c r="A1444" i="20"/>
  <c r="A1443" i="20"/>
  <c r="A1442" i="20"/>
  <c r="A1441" i="20"/>
  <c r="A1440" i="20"/>
  <c r="A1439" i="20"/>
  <c r="A1438" i="20"/>
  <c r="A1437" i="20"/>
  <c r="A1436" i="20"/>
  <c r="A1435" i="20"/>
  <c r="A1434" i="20"/>
  <c r="A1433" i="20"/>
  <c r="A1432" i="20"/>
  <c r="A1431" i="20"/>
  <c r="A1430" i="20"/>
  <c r="A1429" i="20"/>
  <c r="A1428" i="20"/>
  <c r="A1427" i="20"/>
  <c r="A1426" i="20"/>
  <c r="A1425" i="20"/>
  <c r="A1424" i="20"/>
  <c r="A1423" i="20"/>
  <c r="A1422" i="20"/>
  <c r="A1421" i="20"/>
  <c r="A1420" i="20"/>
  <c r="A1419" i="20"/>
  <c r="A1418" i="20"/>
  <c r="A1417" i="20"/>
  <c r="A1416" i="20"/>
  <c r="A1415" i="20"/>
  <c r="A1414" i="20"/>
  <c r="A1413" i="20"/>
  <c r="A1412" i="20"/>
  <c r="A1411" i="20"/>
  <c r="A1410" i="20"/>
  <c r="A1409" i="20"/>
  <c r="A1408" i="20"/>
  <c r="A1407" i="20"/>
  <c r="A1406" i="20"/>
  <c r="A1405" i="20"/>
  <c r="A1404" i="20"/>
  <c r="A1403" i="20"/>
  <c r="A1402" i="20"/>
  <c r="A1401" i="20"/>
  <c r="A1400" i="20"/>
  <c r="A1399" i="20"/>
  <c r="A1398" i="20"/>
  <c r="A1397" i="20"/>
  <c r="A1396" i="20"/>
  <c r="A1395" i="20"/>
  <c r="A1394" i="20"/>
  <c r="A1393" i="20"/>
  <c r="A1392" i="20"/>
  <c r="A1391" i="20"/>
  <c r="A1390" i="20"/>
  <c r="A1389" i="20"/>
  <c r="A1388" i="20"/>
  <c r="A1387" i="20"/>
  <c r="A1386" i="20"/>
  <c r="A1385" i="20"/>
  <c r="A1384" i="20"/>
  <c r="A1383" i="20"/>
  <c r="A1382" i="20"/>
  <c r="A1381" i="20"/>
  <c r="A1380" i="20"/>
  <c r="A1379" i="20"/>
  <c r="A1378" i="20"/>
  <c r="A1377" i="20"/>
  <c r="A1376" i="20"/>
  <c r="A1375" i="20"/>
  <c r="A1374" i="20"/>
  <c r="A1373" i="20"/>
  <c r="A1372" i="20"/>
  <c r="A1371" i="20"/>
  <c r="A1370" i="20"/>
  <c r="A1369" i="20"/>
  <c r="A1368" i="20"/>
  <c r="A1367" i="20"/>
  <c r="A1366" i="20"/>
  <c r="A1365" i="20"/>
  <c r="A1364" i="20"/>
  <c r="A1363" i="20"/>
  <c r="A1362" i="20"/>
  <c r="A1361" i="20"/>
  <c r="A1360" i="20"/>
  <c r="A1359" i="20"/>
  <c r="A1358" i="20"/>
  <c r="A1357" i="20"/>
  <c r="A1356" i="20"/>
  <c r="A1355" i="20"/>
  <c r="A1354" i="20"/>
  <c r="A1353" i="20"/>
  <c r="A1352" i="20"/>
  <c r="A1351" i="20"/>
  <c r="A1350" i="20"/>
  <c r="A1349" i="20"/>
  <c r="A1348" i="20"/>
  <c r="A1347" i="20"/>
  <c r="A1346" i="20"/>
  <c r="A1345" i="20"/>
  <c r="A1344" i="20"/>
  <c r="A1343" i="20"/>
  <c r="A1342" i="20"/>
  <c r="A1341" i="20"/>
  <c r="A1340" i="20"/>
  <c r="A1339" i="20"/>
  <c r="A1338" i="20"/>
  <c r="A1337" i="20"/>
  <c r="A1336" i="20"/>
  <c r="A1335" i="20"/>
  <c r="A1334" i="20"/>
  <c r="A1333" i="20"/>
  <c r="A1332" i="20"/>
  <c r="A1331" i="20"/>
  <c r="A1330" i="20"/>
  <c r="A1329" i="20"/>
  <c r="A1328" i="20"/>
  <c r="A1327" i="20"/>
  <c r="A1326" i="20"/>
  <c r="A1325" i="20"/>
  <c r="A1324" i="20"/>
  <c r="A1323" i="20"/>
  <c r="A1322" i="20"/>
  <c r="A1321" i="20"/>
  <c r="A1320" i="20"/>
  <c r="A1319" i="20"/>
  <c r="A1318" i="20"/>
  <c r="A1317" i="20"/>
  <c r="A1316" i="20"/>
  <c r="A1315" i="20"/>
  <c r="A1314" i="20"/>
  <c r="A1313" i="20"/>
  <c r="A1312" i="20"/>
  <c r="A1311" i="20"/>
  <c r="A1310" i="20"/>
  <c r="A1309" i="20"/>
  <c r="A1308" i="20"/>
  <c r="A1307" i="20"/>
  <c r="A1306" i="20"/>
  <c r="A1305" i="20"/>
  <c r="A1304" i="20"/>
  <c r="A1303" i="20"/>
  <c r="A1302" i="20"/>
  <c r="A1301" i="20"/>
  <c r="A1300" i="20"/>
  <c r="A1299" i="20"/>
  <c r="A1298" i="20"/>
  <c r="A1297" i="20"/>
  <c r="A1296" i="20"/>
  <c r="A1295" i="20"/>
  <c r="A1294" i="20"/>
  <c r="A1293" i="20"/>
  <c r="A1292" i="20"/>
  <c r="A1291" i="20"/>
  <c r="A1290" i="20"/>
  <c r="A1289" i="20"/>
  <c r="A1288" i="20"/>
  <c r="A1287" i="20"/>
  <c r="A1286" i="20"/>
  <c r="A1285" i="20"/>
  <c r="A1284" i="20"/>
  <c r="A1283" i="20"/>
  <c r="A1282" i="20"/>
  <c r="A1281" i="20"/>
  <c r="A1280" i="20"/>
  <c r="A1279" i="20"/>
  <c r="A1278" i="20"/>
  <c r="A1277" i="20"/>
  <c r="A1276" i="20"/>
  <c r="A1275" i="20"/>
  <c r="A1274" i="20"/>
  <c r="A1273" i="20"/>
  <c r="A1272" i="20"/>
  <c r="A1271" i="20"/>
  <c r="A1270" i="20"/>
  <c r="A1269" i="20"/>
  <c r="A1268" i="20"/>
  <c r="A1267" i="20"/>
  <c r="A1266" i="20"/>
  <c r="A1265" i="20"/>
  <c r="A1264" i="20"/>
  <c r="A1263" i="20"/>
  <c r="A1262" i="20"/>
  <c r="A1261" i="20"/>
  <c r="A1260" i="20"/>
  <c r="A1259" i="20"/>
  <c r="A1258" i="20"/>
  <c r="A1257" i="20"/>
  <c r="A1256" i="20"/>
  <c r="A1255" i="20"/>
  <c r="A1254" i="20"/>
  <c r="A1253" i="20"/>
  <c r="A1252" i="20"/>
  <c r="A1251" i="20"/>
  <c r="A1250" i="20"/>
  <c r="A1249" i="20"/>
  <c r="A1248" i="20"/>
  <c r="A1247" i="20"/>
  <c r="A1246" i="20"/>
  <c r="A1245" i="20"/>
  <c r="A1244" i="20"/>
  <c r="A1243" i="20"/>
  <c r="A1242" i="20"/>
  <c r="A1241" i="20"/>
  <c r="A1240" i="20"/>
  <c r="A1239" i="20"/>
  <c r="A1238" i="20"/>
  <c r="A1237" i="20"/>
  <c r="A1236" i="20"/>
  <c r="A1235" i="20"/>
  <c r="A1234" i="20"/>
  <c r="A1233" i="20"/>
  <c r="A1232" i="20"/>
  <c r="A1231" i="20"/>
  <c r="A1230" i="20"/>
  <c r="A1229" i="20"/>
  <c r="A1228" i="20"/>
  <c r="A1227" i="20"/>
  <c r="A1226" i="20"/>
  <c r="A1225" i="20"/>
  <c r="A1224" i="20"/>
  <c r="A1223" i="20"/>
  <c r="A1222" i="20"/>
  <c r="A1221" i="20"/>
  <c r="A1220" i="20"/>
  <c r="A1219" i="20"/>
  <c r="A1218" i="20"/>
  <c r="A1217" i="20"/>
  <c r="A1216" i="20"/>
  <c r="A1215" i="20"/>
  <c r="A1214" i="20"/>
  <c r="A1213" i="20"/>
  <c r="A1212" i="20"/>
  <c r="A1211" i="20"/>
  <c r="A1210" i="20"/>
  <c r="A1209" i="20"/>
  <c r="A1208" i="20"/>
  <c r="A1207" i="20"/>
  <c r="A1206" i="20"/>
  <c r="A1205" i="20"/>
  <c r="A1204" i="20"/>
  <c r="A1203" i="20"/>
  <c r="A1202" i="20"/>
  <c r="A1201" i="20"/>
  <c r="A1200" i="20"/>
  <c r="A1199" i="20"/>
  <c r="A1198" i="20"/>
  <c r="A1197" i="20"/>
  <c r="A1196" i="20"/>
  <c r="A1195" i="20"/>
  <c r="A1194" i="20"/>
  <c r="A1193" i="20"/>
  <c r="A1192" i="20"/>
  <c r="A1191" i="20"/>
  <c r="A1190" i="20"/>
  <c r="A1189" i="20"/>
  <c r="A1188" i="20"/>
  <c r="A1187" i="20"/>
  <c r="A1186" i="20"/>
  <c r="A1185" i="20"/>
  <c r="A1184" i="20"/>
  <c r="A1183" i="20"/>
  <c r="A1182" i="20"/>
  <c r="A1181" i="20"/>
  <c r="A1180" i="20"/>
  <c r="A1179" i="20"/>
  <c r="A1178" i="20"/>
  <c r="A1177" i="20"/>
  <c r="A1176" i="20"/>
  <c r="A1175" i="20"/>
  <c r="A1174" i="20"/>
  <c r="A1173" i="20"/>
  <c r="A1172" i="20"/>
  <c r="A1171" i="20"/>
  <c r="A1170" i="20"/>
  <c r="A1169" i="20"/>
  <c r="A1168" i="20"/>
  <c r="A1167" i="20"/>
  <c r="A1166" i="20"/>
  <c r="A1165" i="20"/>
  <c r="A1164" i="20"/>
  <c r="A1163" i="20"/>
  <c r="A1162" i="20"/>
  <c r="A1161" i="20"/>
  <c r="A1160" i="20"/>
  <c r="A1159" i="20"/>
  <c r="A1158" i="20"/>
  <c r="A1157" i="20"/>
  <c r="A1156" i="20"/>
  <c r="A1155" i="20"/>
  <c r="A1154" i="20"/>
  <c r="A1153" i="20"/>
  <c r="A1152" i="20"/>
  <c r="A1151" i="20"/>
  <c r="A1150" i="20"/>
  <c r="A1149" i="20"/>
  <c r="A1148" i="20"/>
  <c r="A1147" i="20"/>
  <c r="A1146" i="20"/>
  <c r="A1145" i="20"/>
  <c r="A1144" i="20"/>
  <c r="A1143" i="20"/>
  <c r="A1142" i="20"/>
  <c r="A1141" i="20"/>
  <c r="A1140" i="20"/>
  <c r="A1139" i="20"/>
  <c r="A1138" i="20"/>
  <c r="A1137" i="20"/>
  <c r="A1136" i="20"/>
  <c r="A1135" i="20"/>
  <c r="A1134" i="20"/>
  <c r="A1133" i="20"/>
  <c r="A1132" i="20"/>
  <c r="A1131" i="20"/>
  <c r="A1130" i="20"/>
  <c r="A1129" i="20"/>
  <c r="A1128" i="20"/>
  <c r="A1127" i="20"/>
  <c r="A1126" i="20"/>
  <c r="A1125" i="20"/>
  <c r="A1124" i="20"/>
  <c r="A1123" i="20"/>
  <c r="A1122" i="20"/>
  <c r="A1121" i="20"/>
  <c r="A1120" i="20"/>
  <c r="A1119" i="20"/>
  <c r="A1118" i="20"/>
  <c r="A1117" i="20"/>
  <c r="A1116" i="20"/>
  <c r="A1115" i="20"/>
  <c r="A1114" i="20"/>
  <c r="A1113" i="20"/>
  <c r="A1112" i="20"/>
  <c r="A1111" i="20"/>
  <c r="A1110" i="20"/>
  <c r="A1109" i="20"/>
  <c r="A1108" i="20"/>
  <c r="A1107" i="20"/>
  <c r="A1106" i="20"/>
  <c r="A1105" i="20"/>
  <c r="A1104" i="20"/>
  <c r="A1103" i="20"/>
  <c r="A1102" i="20"/>
  <c r="A1101" i="20"/>
  <c r="A1100" i="20"/>
  <c r="A1099" i="20"/>
  <c r="A1098" i="20"/>
  <c r="A1097" i="20"/>
  <c r="A1096" i="20"/>
  <c r="A1095" i="20"/>
  <c r="A1094" i="20"/>
  <c r="A1093" i="20"/>
  <c r="A1092" i="20"/>
  <c r="A1091" i="20"/>
  <c r="A1090" i="20"/>
  <c r="A1089" i="20"/>
  <c r="A1088" i="20"/>
  <c r="A1087" i="20"/>
  <c r="A1086" i="20"/>
  <c r="A1085" i="20"/>
  <c r="A1084" i="20"/>
  <c r="A1083" i="20"/>
  <c r="A1082" i="20"/>
  <c r="A1081" i="20"/>
  <c r="A1080" i="20"/>
  <c r="A1079" i="20"/>
  <c r="A1078" i="20"/>
  <c r="A1077" i="20"/>
  <c r="A1076" i="20"/>
  <c r="A1075" i="20"/>
  <c r="A1074" i="20"/>
  <c r="A1073" i="20"/>
  <c r="A1072" i="20"/>
  <c r="A1071" i="20"/>
  <c r="A1070" i="20"/>
  <c r="A1069" i="20"/>
  <c r="A1068" i="20"/>
  <c r="A1067" i="20"/>
  <c r="A1066" i="20"/>
  <c r="A1065" i="20"/>
  <c r="A1064" i="20"/>
  <c r="A1063" i="20"/>
  <c r="A1062" i="20"/>
  <c r="A1061" i="20"/>
  <c r="A1060" i="20"/>
  <c r="A1059" i="20"/>
  <c r="A1058" i="20"/>
  <c r="A1057" i="20"/>
  <c r="A1056" i="20"/>
  <c r="A1055" i="20"/>
  <c r="A1054" i="20"/>
  <c r="A1053" i="20"/>
  <c r="A1052" i="20"/>
  <c r="A1051" i="20"/>
  <c r="A1050" i="20"/>
  <c r="A1049" i="20"/>
  <c r="A1048" i="20"/>
  <c r="A1047" i="20"/>
  <c r="A1046" i="20"/>
  <c r="A1045" i="20"/>
  <c r="A1044" i="20"/>
  <c r="A1043" i="20"/>
  <c r="A1042" i="20"/>
  <c r="A1041" i="20"/>
  <c r="A1040" i="20"/>
  <c r="A1039" i="20"/>
  <c r="A1038" i="20"/>
  <c r="A1037" i="20"/>
  <c r="A1036" i="20"/>
  <c r="A1035" i="20"/>
  <c r="A1034" i="20"/>
  <c r="A1033" i="20"/>
  <c r="A1032" i="20"/>
  <c r="A1031" i="20"/>
  <c r="A1030" i="20"/>
  <c r="A1029" i="20"/>
  <c r="A1028" i="20"/>
  <c r="A1027" i="20"/>
  <c r="A1026" i="20"/>
  <c r="A1025" i="20"/>
  <c r="A1024" i="20"/>
  <c r="A1023" i="20"/>
  <c r="A1022" i="20"/>
  <c r="A1021" i="20"/>
  <c r="A1020" i="20"/>
  <c r="A1019" i="20"/>
  <c r="A1018" i="20"/>
  <c r="A1017" i="20"/>
  <c r="A1016" i="20"/>
  <c r="A1015" i="20"/>
  <c r="A1014" i="20"/>
  <c r="A1013" i="20"/>
  <c r="A1012" i="20"/>
  <c r="A1011" i="20"/>
  <c r="A1010" i="20"/>
  <c r="A1009" i="20"/>
  <c r="A1008" i="20"/>
  <c r="A1007" i="20"/>
  <c r="A1006" i="20"/>
  <c r="A1005" i="20"/>
  <c r="A1004" i="20"/>
  <c r="A1003" i="20"/>
  <c r="A1002" i="20"/>
  <c r="A1001" i="20"/>
  <c r="A1000" i="20"/>
  <c r="A999" i="20"/>
  <c r="A998" i="20"/>
  <c r="A997" i="20"/>
  <c r="A996" i="20"/>
  <c r="A995" i="20"/>
  <c r="A994" i="20"/>
  <c r="A993" i="20"/>
  <c r="A992" i="20"/>
  <c r="A991" i="20"/>
  <c r="A990" i="20"/>
  <c r="A989" i="20"/>
  <c r="A988" i="20"/>
  <c r="A987" i="20"/>
  <c r="A986" i="20"/>
  <c r="A985" i="20"/>
  <c r="A984" i="20"/>
  <c r="A983" i="20"/>
  <c r="A982" i="20"/>
  <c r="A981" i="20"/>
  <c r="A980" i="20"/>
  <c r="A979" i="20"/>
  <c r="A978" i="20"/>
  <c r="A977" i="20"/>
  <c r="A976" i="20"/>
  <c r="A975" i="20"/>
  <c r="A974" i="20"/>
  <c r="A973" i="20"/>
  <c r="A972" i="20"/>
  <c r="A971" i="20"/>
  <c r="A970" i="20"/>
  <c r="A969" i="20"/>
  <c r="A968" i="20"/>
  <c r="A967" i="20"/>
  <c r="A966" i="20"/>
  <c r="A965" i="20"/>
  <c r="A964" i="20"/>
  <c r="A963" i="20"/>
  <c r="A962" i="20"/>
  <c r="A961" i="20"/>
  <c r="A960" i="20"/>
  <c r="A959" i="20"/>
  <c r="A958" i="20"/>
  <c r="A957" i="20"/>
  <c r="A956" i="20"/>
  <c r="A955" i="20"/>
  <c r="A954" i="20"/>
  <c r="A953" i="20"/>
  <c r="A952" i="20"/>
  <c r="A951" i="20"/>
  <c r="A950" i="20"/>
  <c r="A949" i="20"/>
  <c r="A948" i="20"/>
  <c r="A947" i="20"/>
  <c r="A946" i="20"/>
  <c r="A945" i="20"/>
  <c r="A944" i="20"/>
  <c r="A943" i="20"/>
  <c r="A942" i="20"/>
  <c r="A941" i="20"/>
  <c r="A940" i="20"/>
  <c r="A939" i="20"/>
  <c r="A938" i="20"/>
  <c r="A937" i="20"/>
  <c r="A936" i="20"/>
  <c r="A935" i="20"/>
  <c r="A934" i="20"/>
  <c r="A933" i="20"/>
  <c r="A932" i="20"/>
  <c r="A931" i="20"/>
  <c r="A930" i="20"/>
  <c r="A929" i="20"/>
  <c r="A928" i="20"/>
  <c r="A927" i="20"/>
  <c r="A926" i="20"/>
  <c r="A925" i="20"/>
  <c r="A924" i="20"/>
  <c r="A923" i="20"/>
  <c r="A922" i="20"/>
  <c r="A921" i="20"/>
  <c r="A920" i="20"/>
  <c r="A919" i="20"/>
  <c r="A918" i="20"/>
  <c r="A917" i="20"/>
  <c r="A916" i="20"/>
  <c r="A915" i="20"/>
  <c r="A914" i="20"/>
  <c r="A913" i="20"/>
  <c r="A912" i="20"/>
  <c r="A911" i="20"/>
  <c r="A910" i="20"/>
  <c r="A909" i="20"/>
  <c r="A908" i="20"/>
  <c r="A907" i="20"/>
  <c r="A906" i="20"/>
  <c r="A905" i="20"/>
  <c r="A904" i="20"/>
  <c r="A903" i="20"/>
  <c r="A902" i="20"/>
  <c r="A901" i="20"/>
  <c r="A900" i="20"/>
  <c r="A899" i="20"/>
  <c r="A898" i="20"/>
  <c r="A897" i="20"/>
  <c r="A896" i="20"/>
  <c r="A895" i="20"/>
  <c r="A894" i="20"/>
  <c r="A893" i="20"/>
  <c r="A892" i="20"/>
  <c r="A891" i="20"/>
  <c r="A890" i="20"/>
  <c r="A889" i="20"/>
  <c r="A888" i="20"/>
  <c r="A887" i="20"/>
  <c r="A886" i="20"/>
  <c r="A885" i="20"/>
  <c r="A884" i="20"/>
  <c r="A883" i="20"/>
  <c r="A882" i="20"/>
  <c r="A881" i="20"/>
  <c r="A880" i="20"/>
  <c r="A879" i="20"/>
  <c r="A878" i="20"/>
  <c r="A877" i="20"/>
  <c r="A876" i="20"/>
  <c r="A875" i="20"/>
  <c r="A874" i="20"/>
  <c r="A873" i="20"/>
  <c r="A872" i="20"/>
  <c r="A871" i="20"/>
  <c r="A870" i="20"/>
  <c r="A869" i="20"/>
  <c r="A868" i="20"/>
  <c r="A867" i="20"/>
  <c r="A866" i="20"/>
  <c r="A865" i="20"/>
  <c r="A864" i="20"/>
  <c r="A863" i="20"/>
  <c r="A862" i="20"/>
  <c r="A861" i="20"/>
  <c r="A860" i="20"/>
  <c r="A859" i="20"/>
  <c r="A858" i="20"/>
  <c r="A857" i="20"/>
  <c r="A856" i="20"/>
  <c r="A855" i="20"/>
  <c r="A854" i="20"/>
  <c r="A853" i="20"/>
  <c r="A852" i="20"/>
  <c r="A851" i="20"/>
  <c r="A850" i="20"/>
  <c r="A849" i="20"/>
  <c r="A848" i="20"/>
  <c r="A847" i="20"/>
  <c r="A846" i="20"/>
  <c r="A845" i="20"/>
  <c r="A844" i="20"/>
  <c r="A843" i="20"/>
  <c r="A842" i="20"/>
  <c r="A841" i="20"/>
  <c r="A840" i="20"/>
  <c r="A839" i="20"/>
  <c r="A838" i="20"/>
  <c r="A837" i="20"/>
  <c r="A836" i="20"/>
  <c r="A835" i="20"/>
  <c r="A834" i="20"/>
  <c r="A833" i="20"/>
  <c r="A832" i="20"/>
  <c r="A831" i="20"/>
  <c r="A830" i="20"/>
  <c r="A829" i="20"/>
  <c r="A828" i="20"/>
  <c r="A827" i="20"/>
  <c r="A826" i="20"/>
  <c r="A825" i="20"/>
  <c r="A824" i="20"/>
  <c r="A823" i="20"/>
  <c r="A822" i="20"/>
  <c r="A821" i="20"/>
  <c r="A820" i="20"/>
  <c r="A819" i="20"/>
  <c r="A818" i="20"/>
  <c r="A817" i="20"/>
  <c r="A816" i="20"/>
  <c r="A815" i="20"/>
  <c r="A814" i="20"/>
  <c r="A813" i="20"/>
  <c r="A812" i="20"/>
  <c r="A811" i="20"/>
  <c r="A810" i="20"/>
  <c r="A809" i="20"/>
  <c r="A808" i="20"/>
  <c r="A807" i="20"/>
  <c r="A806" i="20"/>
  <c r="A805" i="20"/>
  <c r="A804" i="20"/>
  <c r="A803" i="20"/>
  <c r="A802" i="20"/>
  <c r="A801" i="20"/>
  <c r="A800" i="20"/>
  <c r="A799" i="20"/>
  <c r="A798" i="20"/>
  <c r="A797" i="20"/>
  <c r="A796" i="20"/>
  <c r="A795" i="20"/>
  <c r="A794" i="20"/>
  <c r="A793" i="20"/>
  <c r="A792" i="20"/>
  <c r="A791" i="20"/>
  <c r="A790" i="20"/>
  <c r="A789" i="20"/>
  <c r="A788" i="20"/>
  <c r="A787" i="20"/>
  <c r="A786" i="20"/>
  <c r="A785" i="20"/>
  <c r="A784" i="20"/>
  <c r="A783" i="20"/>
  <c r="A782" i="20"/>
  <c r="A781" i="20"/>
  <c r="A780" i="20"/>
  <c r="A779" i="20"/>
  <c r="A778" i="20"/>
  <c r="A777" i="20"/>
  <c r="A776" i="20"/>
  <c r="A775" i="20"/>
  <c r="A774" i="20"/>
  <c r="A773" i="20"/>
  <c r="A772" i="20"/>
  <c r="A771" i="20"/>
  <c r="A770" i="20"/>
  <c r="A769" i="20"/>
  <c r="A768" i="20"/>
  <c r="A767" i="20"/>
  <c r="A766" i="20"/>
  <c r="A765" i="20"/>
  <c r="A764" i="20"/>
  <c r="A763" i="20"/>
  <c r="A762" i="20"/>
  <c r="A761" i="20"/>
  <c r="A760" i="20"/>
  <c r="A759" i="20"/>
  <c r="A758" i="20"/>
  <c r="A757" i="20"/>
  <c r="A756" i="20"/>
  <c r="A755" i="20"/>
  <c r="A754" i="20"/>
  <c r="A753" i="20"/>
  <c r="A752" i="20"/>
  <c r="A751" i="20"/>
  <c r="A750" i="20"/>
  <c r="A749" i="20"/>
  <c r="A748" i="20"/>
  <c r="A747" i="20"/>
  <c r="A746" i="20"/>
  <c r="A745" i="20"/>
  <c r="A744" i="20"/>
  <c r="A743" i="20"/>
  <c r="A742" i="20"/>
  <c r="A741" i="20"/>
  <c r="A740" i="20"/>
  <c r="A739" i="20"/>
  <c r="A738" i="20"/>
  <c r="A737" i="20"/>
  <c r="A736" i="20"/>
  <c r="A735" i="20"/>
  <c r="A734" i="20"/>
  <c r="A733" i="20"/>
  <c r="A732" i="20"/>
  <c r="A731" i="20"/>
  <c r="A730" i="20"/>
  <c r="A729" i="20"/>
  <c r="A728" i="20"/>
  <c r="A727" i="20"/>
  <c r="A726" i="20"/>
  <c r="A725" i="20"/>
  <c r="A724" i="20"/>
  <c r="A723" i="20"/>
  <c r="A722" i="20"/>
  <c r="A721" i="20"/>
  <c r="A720" i="20"/>
  <c r="A719" i="20"/>
  <c r="A718" i="20"/>
  <c r="A717" i="20"/>
  <c r="A716" i="20"/>
  <c r="A715" i="20"/>
  <c r="A714" i="20"/>
  <c r="A713" i="20"/>
  <c r="A712" i="20"/>
  <c r="A711" i="20"/>
  <c r="A710" i="20"/>
  <c r="A709" i="20"/>
  <c r="A708" i="20"/>
  <c r="A707" i="20"/>
  <c r="A706" i="20"/>
  <c r="A705" i="20"/>
  <c r="A704" i="20"/>
  <c r="A703" i="20"/>
  <c r="A702" i="20"/>
  <c r="A701" i="20"/>
  <c r="A700" i="20"/>
  <c r="A699" i="20"/>
  <c r="A698" i="20"/>
  <c r="A697" i="20"/>
  <c r="A696" i="20"/>
  <c r="A695" i="20"/>
  <c r="A694" i="20"/>
  <c r="A693" i="20"/>
  <c r="A692" i="20"/>
  <c r="A691" i="20"/>
  <c r="A690" i="20"/>
  <c r="A689" i="20"/>
  <c r="A688" i="20"/>
  <c r="A687" i="20"/>
  <c r="A686" i="20"/>
  <c r="A685" i="20"/>
  <c r="A684" i="20"/>
  <c r="A683" i="20"/>
  <c r="A682" i="20"/>
  <c r="A681" i="20"/>
  <c r="A680" i="20"/>
  <c r="A679" i="20"/>
  <c r="A678" i="20"/>
  <c r="A677" i="20"/>
  <c r="A676" i="20"/>
  <c r="A675" i="20"/>
  <c r="A674" i="20"/>
  <c r="A673" i="20"/>
  <c r="A672" i="20"/>
  <c r="A671" i="20"/>
  <c r="A670" i="20"/>
  <c r="A669" i="20"/>
  <c r="A668" i="20"/>
  <c r="A667" i="20"/>
  <c r="A666" i="20"/>
  <c r="A665" i="20"/>
  <c r="A664" i="20"/>
  <c r="A663" i="20"/>
  <c r="A662" i="20"/>
  <c r="A661" i="20"/>
  <c r="A660" i="20"/>
  <c r="A659" i="20"/>
  <c r="A658" i="20"/>
  <c r="A657" i="20"/>
  <c r="A656" i="20"/>
  <c r="A655" i="20"/>
  <c r="A654" i="20"/>
  <c r="A653" i="20"/>
  <c r="A652" i="20"/>
  <c r="A651" i="20"/>
  <c r="A650" i="20"/>
  <c r="A649" i="20"/>
  <c r="A648" i="20"/>
  <c r="A647" i="20"/>
  <c r="A646" i="20"/>
  <c r="A645" i="20"/>
  <c r="A644" i="20"/>
  <c r="A643" i="20"/>
  <c r="A642" i="20"/>
  <c r="A641" i="20"/>
  <c r="A640" i="20"/>
  <c r="A639" i="20"/>
  <c r="A638" i="20"/>
  <c r="A637" i="20"/>
  <c r="A636" i="20"/>
  <c r="A635" i="20"/>
  <c r="A634" i="20"/>
  <c r="A633" i="20"/>
  <c r="A632" i="20"/>
  <c r="A631" i="20"/>
  <c r="A630" i="20"/>
  <c r="A629" i="20"/>
  <c r="A628" i="20"/>
  <c r="A627" i="20"/>
  <c r="A626" i="20"/>
  <c r="A625" i="20"/>
  <c r="A624" i="20"/>
  <c r="A623" i="20"/>
  <c r="A622" i="20"/>
  <c r="A621" i="20"/>
  <c r="A620" i="20"/>
  <c r="A619" i="20"/>
  <c r="A618" i="20"/>
  <c r="A617" i="20"/>
  <c r="A616" i="20"/>
  <c r="A615" i="20"/>
  <c r="A614" i="20"/>
  <c r="A613" i="20"/>
  <c r="A612" i="20"/>
  <c r="A611" i="20"/>
  <c r="A610" i="20"/>
  <c r="A609" i="20"/>
  <c r="A608" i="20"/>
  <c r="A607" i="20"/>
  <c r="A606" i="20"/>
  <c r="A605" i="20"/>
  <c r="A604" i="20"/>
  <c r="A603" i="20"/>
  <c r="A602" i="20"/>
  <c r="A601" i="20"/>
  <c r="A600" i="20"/>
  <c r="A599" i="20"/>
  <c r="A598" i="20"/>
  <c r="A597" i="20"/>
  <c r="A596" i="20"/>
  <c r="A595" i="20"/>
  <c r="A594" i="20"/>
  <c r="A593" i="20"/>
  <c r="A592" i="20"/>
  <c r="A591" i="20"/>
  <c r="A590" i="20"/>
  <c r="A589" i="20"/>
  <c r="A588" i="20"/>
  <c r="A587" i="20"/>
  <c r="A586" i="20"/>
  <c r="A585" i="20"/>
  <c r="A584" i="20"/>
  <c r="A583" i="20"/>
  <c r="A582" i="20"/>
  <c r="A581" i="20"/>
  <c r="A580" i="20"/>
  <c r="A579" i="20"/>
  <c r="A578" i="20"/>
  <c r="A577" i="20"/>
  <c r="A576" i="20"/>
  <c r="A575" i="20"/>
  <c r="A574" i="20"/>
  <c r="A573" i="20"/>
  <c r="A572" i="20"/>
  <c r="A571" i="20"/>
  <c r="A570" i="20"/>
  <c r="A569" i="20"/>
  <c r="A568" i="20"/>
  <c r="A567" i="20"/>
  <c r="A566" i="20"/>
  <c r="A565" i="20"/>
  <c r="A564" i="20"/>
  <c r="A563" i="20"/>
  <c r="A562" i="20"/>
  <c r="A561" i="20"/>
  <c r="A560" i="20"/>
  <c r="A559" i="20"/>
  <c r="A558" i="20"/>
  <c r="A557" i="20"/>
  <c r="A556" i="20"/>
  <c r="A555" i="20"/>
  <c r="A554" i="20"/>
  <c r="A553" i="20"/>
  <c r="A552" i="20"/>
  <c r="A551" i="20"/>
  <c r="A550" i="20"/>
  <c r="A549" i="20"/>
  <c r="A548" i="20"/>
  <c r="A547" i="20"/>
  <c r="A546" i="20"/>
  <c r="A545" i="20"/>
  <c r="A544" i="20"/>
  <c r="A543" i="20"/>
  <c r="A542" i="20"/>
  <c r="A541" i="20"/>
  <c r="A540" i="20"/>
  <c r="A539" i="20"/>
  <c r="A538" i="20"/>
  <c r="A537" i="20"/>
  <c r="A536" i="20"/>
  <c r="A535" i="20"/>
  <c r="A534" i="20"/>
  <c r="A533" i="20"/>
  <c r="A532" i="20"/>
  <c r="A531" i="20"/>
  <c r="A530" i="20"/>
  <c r="A529" i="20"/>
  <c r="A528" i="20"/>
  <c r="A527" i="20"/>
  <c r="A526" i="20"/>
  <c r="A525" i="20"/>
  <c r="A524" i="20"/>
  <c r="A523" i="20"/>
  <c r="A522" i="20"/>
  <c r="A521" i="20"/>
  <c r="A520" i="20"/>
  <c r="A519" i="20"/>
  <c r="A518" i="20"/>
  <c r="A517" i="20"/>
  <c r="A516" i="20"/>
  <c r="A515" i="20"/>
  <c r="A514" i="20"/>
  <c r="A513" i="20"/>
  <c r="A512" i="20"/>
  <c r="A511" i="20"/>
  <c r="A510" i="20"/>
  <c r="A509" i="20"/>
  <c r="A508" i="20"/>
  <c r="A507" i="20"/>
  <c r="A506" i="20"/>
  <c r="A505" i="20"/>
  <c r="A504" i="20"/>
  <c r="A503" i="20"/>
  <c r="A502" i="20"/>
  <c r="A501" i="20"/>
  <c r="A500" i="20"/>
  <c r="A499" i="20"/>
  <c r="A498" i="20"/>
  <c r="A497" i="20"/>
  <c r="A496" i="20"/>
  <c r="A495" i="20"/>
  <c r="A494" i="20"/>
  <c r="A493" i="20"/>
  <c r="A492" i="20"/>
  <c r="A491" i="20"/>
  <c r="A490" i="20"/>
  <c r="A489" i="20"/>
  <c r="A488" i="20"/>
  <c r="A487" i="20"/>
  <c r="A486" i="20"/>
  <c r="A485" i="20"/>
  <c r="A484" i="20"/>
  <c r="A483" i="20"/>
  <c r="A482" i="20"/>
  <c r="A481" i="20"/>
  <c r="A480" i="20"/>
  <c r="A479" i="20"/>
  <c r="A478" i="20"/>
  <c r="A477" i="20"/>
  <c r="A476" i="20"/>
  <c r="A475" i="20"/>
  <c r="A474" i="20"/>
  <c r="A473" i="20"/>
  <c r="A472" i="20"/>
  <c r="A471" i="20"/>
  <c r="A470" i="20"/>
  <c r="A469" i="20"/>
  <c r="A468" i="20"/>
  <c r="A467" i="20"/>
  <c r="A466" i="20"/>
  <c r="A465" i="20"/>
  <c r="A464" i="20"/>
  <c r="A463" i="20"/>
  <c r="A462" i="20"/>
  <c r="A461" i="20"/>
  <c r="A460" i="20"/>
  <c r="A459" i="20"/>
  <c r="A458" i="20"/>
  <c r="A457" i="20"/>
  <c r="A456" i="20"/>
  <c r="A455" i="20"/>
  <c r="A454" i="20"/>
  <c r="A453" i="20"/>
  <c r="A452" i="20"/>
  <c r="A451" i="20"/>
  <c r="A450" i="20"/>
  <c r="A449" i="20"/>
  <c r="A448" i="20"/>
  <c r="A447" i="20"/>
  <c r="A446" i="20"/>
  <c r="A445" i="20"/>
  <c r="A444" i="20"/>
  <c r="A443" i="20"/>
  <c r="A442" i="20"/>
  <c r="A441" i="20"/>
  <c r="A440" i="20"/>
  <c r="A439" i="20"/>
  <c r="A438" i="20"/>
  <c r="A437" i="20"/>
  <c r="A436" i="20"/>
  <c r="A435" i="20"/>
  <c r="A434" i="20"/>
  <c r="A433" i="20"/>
  <c r="A432" i="20"/>
  <c r="A431" i="20"/>
  <c r="A430" i="20"/>
  <c r="A429" i="20"/>
  <c r="A428" i="20"/>
  <c r="A427" i="20"/>
  <c r="A426" i="20"/>
  <c r="A425" i="20"/>
  <c r="A424" i="20"/>
  <c r="A423" i="20"/>
  <c r="A422" i="20"/>
  <c r="A421" i="20"/>
  <c r="A420" i="20"/>
  <c r="A419" i="20"/>
  <c r="A418" i="20"/>
  <c r="A417" i="20"/>
  <c r="A416" i="20"/>
  <c r="A415" i="20"/>
  <c r="A414" i="20"/>
  <c r="A413" i="20"/>
  <c r="A412" i="20"/>
  <c r="A411" i="20"/>
  <c r="A410" i="20"/>
  <c r="A409" i="20"/>
  <c r="A408" i="20"/>
  <c r="A407" i="20"/>
  <c r="A406" i="20"/>
  <c r="A405" i="20"/>
  <c r="A404" i="20"/>
  <c r="A403" i="20"/>
  <c r="A402" i="20"/>
  <c r="A401" i="20"/>
  <c r="A400" i="20"/>
  <c r="A399" i="20"/>
  <c r="A398" i="20"/>
  <c r="A397" i="20"/>
  <c r="A396" i="20"/>
  <c r="A395" i="20"/>
  <c r="A394" i="20"/>
  <c r="A393" i="20"/>
  <c r="A392" i="20"/>
  <c r="A391" i="20"/>
  <c r="A390" i="20"/>
  <c r="A389" i="20"/>
  <c r="A388" i="20"/>
  <c r="A387" i="20"/>
  <c r="A386" i="20"/>
  <c r="A385" i="20"/>
  <c r="A384" i="20"/>
  <c r="A383" i="20"/>
  <c r="A382" i="20"/>
  <c r="A381" i="20"/>
  <c r="A380" i="20"/>
  <c r="A379" i="20"/>
  <c r="A378" i="20"/>
  <c r="A377" i="20"/>
  <c r="A376" i="20"/>
  <c r="A375" i="20"/>
  <c r="A374" i="20"/>
  <c r="A373" i="20"/>
  <c r="A372" i="20"/>
  <c r="A371" i="20"/>
  <c r="A370" i="20"/>
  <c r="A369" i="20"/>
  <c r="A368" i="20"/>
  <c r="A367" i="20"/>
  <c r="A366" i="20"/>
  <c r="A365" i="20"/>
  <c r="A364" i="20"/>
  <c r="A363" i="20"/>
  <c r="A362" i="20"/>
  <c r="A361" i="20"/>
  <c r="A360" i="20"/>
  <c r="A359" i="20"/>
  <c r="A358" i="20"/>
  <c r="A357" i="20"/>
  <c r="A356" i="20"/>
  <c r="A355" i="20"/>
  <c r="A354" i="20"/>
  <c r="A353" i="20"/>
  <c r="A352" i="20"/>
  <c r="A351" i="20"/>
  <c r="A350" i="20"/>
  <c r="A349" i="20"/>
  <c r="A348" i="20"/>
  <c r="A347" i="20"/>
  <c r="A346" i="20"/>
  <c r="A345" i="20"/>
  <c r="A344" i="20"/>
  <c r="A343" i="20"/>
  <c r="A342" i="20"/>
  <c r="A341" i="20"/>
  <c r="A340" i="20"/>
  <c r="A339" i="20"/>
  <c r="A338" i="20"/>
  <c r="A337" i="20"/>
  <c r="A336" i="20"/>
  <c r="A335" i="20"/>
  <c r="A334" i="20"/>
  <c r="A333" i="20"/>
  <c r="A332" i="20"/>
  <c r="A331" i="20"/>
  <c r="A330" i="20"/>
  <c r="A329" i="20"/>
  <c r="A328" i="20"/>
  <c r="A327" i="20"/>
  <c r="A326" i="20"/>
  <c r="A325" i="20"/>
  <c r="A324" i="20"/>
  <c r="A323" i="20"/>
  <c r="A322" i="20"/>
  <c r="A321" i="20"/>
  <c r="A320" i="20"/>
  <c r="A319" i="20"/>
  <c r="A318" i="20"/>
  <c r="A317" i="20"/>
  <c r="A316" i="20"/>
  <c r="A315" i="20"/>
  <c r="A314" i="20"/>
  <c r="A313" i="20"/>
  <c r="A312" i="20"/>
  <c r="A311" i="20"/>
  <c r="A310" i="20"/>
  <c r="A309" i="20"/>
  <c r="A308" i="20"/>
  <c r="A307" i="20"/>
  <c r="A306" i="20"/>
  <c r="A305" i="20"/>
  <c r="A304" i="20"/>
  <c r="A303" i="20"/>
  <c r="A302" i="20"/>
  <c r="A301" i="20"/>
  <c r="A300" i="20"/>
  <c r="A299" i="20"/>
  <c r="A298" i="20"/>
  <c r="A297" i="20"/>
  <c r="A296" i="20"/>
  <c r="A295" i="20"/>
  <c r="A294" i="20"/>
  <c r="A293" i="20"/>
  <c r="A292" i="20"/>
  <c r="A291" i="20"/>
  <c r="A290" i="20"/>
  <c r="A289" i="20"/>
  <c r="A288" i="20"/>
  <c r="A287" i="20"/>
  <c r="A286" i="20"/>
  <c r="A285" i="20"/>
  <c r="A284" i="20"/>
  <c r="A283" i="20"/>
  <c r="A282" i="20"/>
  <c r="A281" i="20"/>
  <c r="A280" i="20"/>
  <c r="A279" i="20"/>
  <c r="A278" i="20"/>
  <c r="A277" i="20"/>
  <c r="A276" i="20"/>
  <c r="A275" i="20"/>
  <c r="A274" i="20"/>
  <c r="A273" i="20"/>
  <c r="A272" i="20"/>
  <c r="A271" i="20"/>
  <c r="A270" i="20"/>
  <c r="A269" i="20"/>
  <c r="A268" i="20"/>
  <c r="A267" i="20"/>
  <c r="A266" i="20"/>
  <c r="A265" i="20"/>
  <c r="A264" i="20"/>
  <c r="A263" i="20"/>
  <c r="A262" i="20"/>
  <c r="A261" i="20"/>
  <c r="A260" i="20"/>
  <c r="A259" i="20"/>
  <c r="A258" i="20"/>
  <c r="A257" i="20"/>
  <c r="A256" i="20"/>
  <c r="A255" i="20"/>
  <c r="A254" i="20"/>
  <c r="A253" i="20"/>
  <c r="A252" i="20"/>
  <c r="A251" i="20"/>
  <c r="A250" i="20"/>
  <c r="A249" i="20"/>
  <c r="A248" i="20"/>
  <c r="A247" i="20"/>
  <c r="A246" i="20"/>
  <c r="A245" i="20"/>
  <c r="A244" i="20"/>
  <c r="A243" i="20"/>
  <c r="A242" i="20"/>
  <c r="A241" i="20"/>
  <c r="A240" i="20"/>
  <c r="A239" i="20"/>
  <c r="A238" i="20"/>
  <c r="A237" i="20"/>
  <c r="A236" i="20"/>
  <c r="A235" i="20"/>
  <c r="A234" i="20"/>
  <c r="A233" i="20"/>
  <c r="A232" i="20"/>
  <c r="A231" i="20"/>
  <c r="A230" i="20"/>
  <c r="A229" i="20"/>
  <c r="A228" i="20"/>
  <c r="A227" i="20"/>
  <c r="A226" i="20"/>
  <c r="A225" i="20"/>
  <c r="A224" i="20"/>
  <c r="A223" i="20"/>
  <c r="A222" i="20"/>
  <c r="A221" i="20"/>
  <c r="A220" i="20"/>
  <c r="A219" i="20"/>
  <c r="A218" i="20"/>
  <c r="A217" i="20"/>
  <c r="A216" i="20"/>
  <c r="A215" i="20"/>
  <c r="A214" i="20"/>
  <c r="A213" i="20"/>
  <c r="A212" i="20"/>
  <c r="A211" i="20"/>
  <c r="A210" i="20"/>
  <c r="A209" i="20"/>
  <c r="A208" i="20"/>
  <c r="A207" i="20"/>
  <c r="A206" i="20"/>
  <c r="A205" i="20"/>
  <c r="A204" i="20"/>
  <c r="A203" i="20"/>
  <c r="A202" i="20"/>
  <c r="A201" i="20"/>
  <c r="A200" i="20"/>
  <c r="A199" i="20"/>
  <c r="A198" i="20"/>
  <c r="A197" i="20"/>
  <c r="A196" i="20"/>
  <c r="A195" i="20"/>
  <c r="A194" i="20"/>
  <c r="A193" i="20"/>
  <c r="A192" i="20"/>
  <c r="A191" i="20"/>
  <c r="A190" i="20"/>
  <c r="A189" i="20"/>
  <c r="A188" i="20"/>
  <c r="A187" i="20"/>
  <c r="A186" i="20"/>
  <c r="A185" i="20"/>
  <c r="A184" i="20"/>
  <c r="A183" i="20"/>
  <c r="A182" i="20"/>
  <c r="A181" i="20"/>
  <c r="A180" i="20"/>
  <c r="A179" i="20"/>
  <c r="A178" i="20"/>
  <c r="A177" i="20"/>
  <c r="A176" i="20"/>
  <c r="A175" i="20"/>
  <c r="A174" i="20"/>
  <c r="A173" i="20"/>
  <c r="A172" i="20"/>
  <c r="A171" i="20"/>
  <c r="A170" i="20"/>
  <c r="A169" i="20"/>
  <c r="A168" i="20"/>
  <c r="A167" i="20"/>
  <c r="A166" i="20"/>
  <c r="A165" i="20"/>
  <c r="A164" i="20"/>
  <c r="A163" i="20"/>
  <c r="A162" i="20"/>
  <c r="A161" i="20"/>
  <c r="A160" i="20"/>
  <c r="A159" i="20"/>
  <c r="A158" i="20"/>
  <c r="A157" i="20"/>
  <c r="A156" i="20"/>
  <c r="A155" i="20"/>
  <c r="A154" i="20"/>
  <c r="A153" i="20"/>
  <c r="A152" i="20"/>
  <c r="A151" i="20"/>
  <c r="A150" i="20"/>
  <c r="A149" i="20"/>
  <c r="A148" i="20"/>
  <c r="A147" i="20"/>
  <c r="A146" i="20"/>
  <c r="A145" i="20"/>
  <c r="A144" i="20"/>
  <c r="A143" i="20"/>
  <c r="A142" i="20"/>
  <c r="A141" i="20"/>
  <c r="A140" i="20"/>
  <c r="A139" i="20"/>
  <c r="A138" i="20"/>
  <c r="A137" i="20"/>
  <c r="A136" i="20"/>
  <c r="A135" i="20"/>
  <c r="A134" i="20"/>
  <c r="A133" i="20"/>
  <c r="A132" i="20"/>
  <c r="A131" i="20"/>
  <c r="A130" i="20"/>
  <c r="A129" i="20"/>
  <c r="A128" i="20"/>
  <c r="A127" i="20"/>
  <c r="A126" i="20"/>
  <c r="A125" i="20"/>
  <c r="A124" i="20"/>
  <c r="A123" i="20"/>
  <c r="A122" i="20"/>
  <c r="A121" i="20"/>
  <c r="A120" i="20"/>
  <c r="A119" i="20"/>
  <c r="A118" i="20"/>
  <c r="A117" i="20"/>
  <c r="A116" i="20"/>
  <c r="A115" i="20"/>
  <c r="A114" i="20"/>
  <c r="A113" i="20"/>
  <c r="A112" i="20"/>
  <c r="A111" i="20"/>
  <c r="A110" i="20"/>
  <c r="A109" i="20"/>
  <c r="A108" i="20"/>
  <c r="A107" i="20"/>
  <c r="A106" i="20"/>
  <c r="A105" i="20"/>
  <c r="A104" i="20"/>
  <c r="A103" i="20"/>
  <c r="A102" i="20"/>
  <c r="A101" i="20"/>
  <c r="A100" i="20"/>
  <c r="A99" i="20"/>
  <c r="A98" i="20"/>
  <c r="A97" i="20"/>
  <c r="A96" i="20"/>
  <c r="A95" i="20"/>
  <c r="A94" i="20"/>
  <c r="A93" i="20"/>
  <c r="A92" i="20"/>
  <c r="A91" i="20"/>
  <c r="A90" i="20"/>
  <c r="A89" i="20"/>
  <c r="A88" i="20"/>
  <c r="A87" i="20"/>
  <c r="A86" i="20"/>
  <c r="A85" i="20"/>
  <c r="A84" i="20"/>
  <c r="A83" i="20"/>
  <c r="A82" i="20"/>
  <c r="A81" i="20"/>
  <c r="A80" i="20"/>
  <c r="A79" i="20"/>
  <c r="A78" i="20"/>
  <c r="A77" i="20"/>
  <c r="A76" i="20"/>
  <c r="A75" i="20"/>
  <c r="A74" i="20"/>
  <c r="A73" i="20"/>
  <c r="A72" i="20"/>
  <c r="A71" i="20"/>
  <c r="A70" i="20"/>
  <c r="A69" i="20"/>
  <c r="A68" i="20"/>
  <c r="A67" i="20"/>
  <c r="A66" i="20"/>
  <c r="A65" i="20"/>
  <c r="A64" i="20"/>
  <c r="A63" i="20"/>
  <c r="A62" i="20"/>
  <c r="A61" i="20"/>
  <c r="A60" i="20"/>
  <c r="A59" i="20"/>
  <c r="A58" i="20"/>
  <c r="A57" i="20"/>
  <c r="A56" i="20"/>
  <c r="A55" i="20"/>
  <c r="A54" i="20"/>
  <c r="A53" i="20"/>
  <c r="A52" i="20"/>
  <c r="A51" i="20"/>
  <c r="A50" i="20"/>
  <c r="A49" i="20"/>
  <c r="A48" i="20"/>
  <c r="A47" i="20"/>
  <c r="A46" i="20"/>
  <c r="A45" i="20"/>
  <c r="A44" i="20"/>
  <c r="A43" i="20"/>
  <c r="A42" i="20"/>
  <c r="A41" i="20"/>
  <c r="A40" i="20"/>
  <c r="A39" i="20"/>
  <c r="A38" i="20"/>
  <c r="A37" i="20"/>
  <c r="A36" i="20"/>
  <c r="A35" i="20"/>
  <c r="A34" i="20"/>
  <c r="A33" i="20"/>
  <c r="A32" i="20"/>
  <c r="A31" i="20"/>
  <c r="A30" i="20"/>
  <c r="A29" i="20"/>
  <c r="A28" i="20"/>
  <c r="A27" i="20"/>
  <c r="A26" i="20"/>
  <c r="A25" i="20"/>
  <c r="A24" i="20"/>
  <c r="A23" i="20"/>
  <c r="A22" i="20"/>
  <c r="A21" i="20"/>
  <c r="A20" i="20"/>
  <c r="A19" i="20"/>
  <c r="A18" i="20"/>
  <c r="A17" i="20"/>
  <c r="A16" i="20"/>
  <c r="A15" i="20"/>
  <c r="A14" i="20"/>
  <c r="A13" i="20"/>
  <c r="A12" i="20"/>
  <c r="A11" i="20"/>
  <c r="A10" i="20"/>
  <c r="A9" i="20"/>
  <c r="A8" i="20"/>
  <c r="A7" i="20"/>
  <c r="A6" i="20"/>
  <c r="A5" i="20"/>
  <c r="A4" i="20"/>
  <c r="A3" i="20"/>
  <c r="A2" i="20"/>
  <c r="B53" i="19" l="1"/>
  <c r="B52" i="19"/>
  <c r="B51" i="19"/>
  <c r="B50" i="19"/>
  <c r="B49" i="19"/>
  <c r="B48" i="19"/>
  <c r="B47" i="19"/>
  <c r="B46" i="19"/>
  <c r="B45" i="19"/>
  <c r="B44" i="19"/>
  <c r="B43" i="19"/>
  <c r="B42" i="19"/>
  <c r="B41" i="19"/>
  <c r="B40" i="19"/>
  <c r="B39" i="19"/>
  <c r="B38" i="19"/>
  <c r="B37" i="19"/>
  <c r="B36" i="19"/>
  <c r="B35" i="19"/>
  <c r="B34" i="19"/>
  <c r="B33" i="19"/>
  <c r="B32" i="19"/>
  <c r="B31" i="19"/>
  <c r="B30" i="19"/>
  <c r="B29" i="19"/>
  <c r="B28" i="19"/>
  <c r="B27" i="19"/>
  <c r="B26" i="19"/>
  <c r="B25" i="19"/>
  <c r="B24" i="19"/>
  <c r="B23" i="19"/>
  <c r="B22" i="19"/>
  <c r="B21" i="19"/>
  <c r="B20" i="19"/>
  <c r="B19" i="19"/>
  <c r="B18" i="19"/>
  <c r="B17" i="19"/>
  <c r="B16" i="19"/>
  <c r="B15" i="19"/>
  <c r="B14" i="19"/>
  <c r="B13" i="19"/>
  <c r="B12" i="19"/>
  <c r="B11" i="19"/>
  <c r="B10" i="19"/>
  <c r="B9" i="19"/>
  <c r="B8" i="19"/>
  <c r="B7" i="19"/>
  <c r="B6" i="19"/>
  <c r="B5" i="19"/>
  <c r="B4" i="19"/>
  <c r="B3" i="19"/>
  <c r="B2" i="19"/>
  <c r="B1424" i="2"/>
  <c r="B1423" i="2"/>
  <c r="B1422" i="2"/>
  <c r="B1421" i="2"/>
  <c r="B1420" i="2"/>
  <c r="B1419" i="2"/>
  <c r="B1418" i="2"/>
  <c r="B1417" i="2"/>
  <c r="B1416" i="2"/>
  <c r="B1415" i="2"/>
  <c r="B1414" i="2"/>
  <c r="B1413" i="2"/>
  <c r="B1412" i="2"/>
  <c r="B1411" i="2"/>
  <c r="B1410" i="2"/>
  <c r="B1409" i="2"/>
  <c r="B1408" i="2"/>
  <c r="B1407" i="2"/>
  <c r="B1406" i="2"/>
  <c r="B1405" i="2"/>
  <c r="B1404" i="2"/>
  <c r="B1403" i="2"/>
  <c r="B1402" i="2"/>
  <c r="B1401" i="2"/>
  <c r="B1400" i="2"/>
  <c r="B1399" i="2"/>
  <c r="B1398" i="2"/>
  <c r="B1397" i="2"/>
  <c r="B1396" i="2"/>
  <c r="B1395" i="2"/>
  <c r="B1394" i="2"/>
  <c r="B1393" i="2"/>
  <c r="B1392" i="2"/>
  <c r="B1391" i="2"/>
  <c r="B1390" i="2"/>
  <c r="B1389" i="2"/>
  <c r="B1388" i="2"/>
  <c r="B1387" i="2"/>
  <c r="B1386" i="2"/>
  <c r="B1385" i="2"/>
  <c r="B1384" i="2"/>
  <c r="B1383" i="2"/>
  <c r="B1382" i="2"/>
  <c r="B1381" i="2"/>
  <c r="B1380" i="2"/>
  <c r="B1379" i="2"/>
  <c r="B1378" i="2"/>
  <c r="B1377" i="2"/>
  <c r="B1376" i="2"/>
  <c r="B1375" i="2"/>
  <c r="B1374" i="2"/>
  <c r="B1373" i="2"/>
  <c r="B1372" i="2"/>
  <c r="B1371" i="2"/>
  <c r="B1370" i="2"/>
  <c r="B1369" i="2"/>
  <c r="B1368" i="2"/>
  <c r="B1367" i="2"/>
  <c r="B1366" i="2"/>
  <c r="B1365" i="2"/>
  <c r="B1364" i="2"/>
  <c r="B1363" i="2"/>
  <c r="B1362" i="2"/>
  <c r="B1361" i="2"/>
  <c r="B1360" i="2"/>
  <c r="B1359" i="2"/>
  <c r="B1358" i="2"/>
  <c r="B1357" i="2"/>
  <c r="B1356" i="2"/>
  <c r="B1355" i="2"/>
  <c r="B1354" i="2"/>
  <c r="B1353" i="2"/>
  <c r="B1352" i="2"/>
  <c r="B1351" i="2"/>
  <c r="B1350" i="2"/>
  <c r="B1349" i="2"/>
  <c r="B1348" i="2"/>
  <c r="B1347" i="2"/>
  <c r="B1346" i="2"/>
  <c r="B1345" i="2"/>
  <c r="B1344" i="2"/>
  <c r="B1343" i="2"/>
  <c r="B1342" i="2"/>
  <c r="B1341" i="2"/>
  <c r="B1340" i="2"/>
  <c r="B1339" i="2"/>
  <c r="B1338" i="2"/>
  <c r="B1337" i="2"/>
  <c r="B1336" i="2"/>
  <c r="B1335" i="2"/>
  <c r="B1334" i="2"/>
  <c r="B1333" i="2"/>
  <c r="B1332" i="2"/>
  <c r="B1331" i="2"/>
  <c r="B1330" i="2"/>
  <c r="B1329" i="2"/>
  <c r="B1328" i="2"/>
  <c r="B1327" i="2"/>
  <c r="B1326" i="2"/>
  <c r="B1325" i="2"/>
  <c r="B1324" i="2"/>
  <c r="B1323" i="2"/>
  <c r="B1322" i="2"/>
  <c r="B1321" i="2"/>
  <c r="B1320" i="2"/>
  <c r="B1319" i="2"/>
  <c r="B1318" i="2"/>
  <c r="B1317" i="2"/>
  <c r="B1316" i="2"/>
  <c r="B1315" i="2"/>
  <c r="B1314" i="2"/>
  <c r="B1313" i="2"/>
  <c r="B1312" i="2"/>
  <c r="B1311" i="2"/>
  <c r="B1310" i="2"/>
  <c r="B1309" i="2"/>
  <c r="B1308" i="2"/>
  <c r="B1307" i="2"/>
  <c r="B1306" i="2"/>
  <c r="B1305" i="2"/>
  <c r="B1304" i="2"/>
  <c r="B1303" i="2"/>
  <c r="B1302" i="2"/>
  <c r="B1301" i="2"/>
  <c r="B1300" i="2"/>
  <c r="B1299" i="2"/>
  <c r="B1298" i="2"/>
  <c r="B1297" i="2"/>
  <c r="B1296" i="2"/>
  <c r="B1295" i="2"/>
  <c r="B1294" i="2"/>
  <c r="B1293" i="2"/>
  <c r="B1292" i="2"/>
  <c r="B1291" i="2"/>
  <c r="B1290" i="2"/>
  <c r="B1289" i="2"/>
  <c r="B1288" i="2"/>
  <c r="B1287" i="2"/>
  <c r="B1286" i="2"/>
  <c r="B1285" i="2"/>
  <c r="B1284" i="2"/>
  <c r="B1283" i="2"/>
  <c r="B1282" i="2"/>
  <c r="B1281" i="2"/>
  <c r="B1280" i="2"/>
  <c r="B1279" i="2"/>
  <c r="B1278" i="2"/>
  <c r="B1277" i="2"/>
  <c r="B1276" i="2"/>
  <c r="B1275" i="2"/>
  <c r="B1274" i="2"/>
  <c r="B1273" i="2"/>
  <c r="B1272" i="2"/>
  <c r="B1271" i="2"/>
  <c r="B1270" i="2"/>
  <c r="B1269" i="2"/>
  <c r="B1268" i="2"/>
  <c r="B1267" i="2"/>
  <c r="B1266" i="2"/>
  <c r="B1265" i="2"/>
  <c r="B1264" i="2"/>
  <c r="B1263" i="2"/>
  <c r="B1262" i="2"/>
  <c r="B1261" i="2"/>
  <c r="B1260" i="2"/>
  <c r="B1259" i="2"/>
  <c r="B1258" i="2"/>
  <c r="B1257" i="2"/>
  <c r="B1256" i="2"/>
  <c r="B1255" i="2"/>
  <c r="B1254" i="2"/>
  <c r="B1253" i="2"/>
  <c r="B1252" i="2"/>
  <c r="B1251" i="2"/>
  <c r="B1250" i="2"/>
  <c r="B1249" i="2"/>
  <c r="B1248" i="2"/>
  <c r="B1247" i="2"/>
  <c r="B1246" i="2"/>
  <c r="B1245" i="2"/>
  <c r="B1244" i="2"/>
  <c r="B1243" i="2"/>
  <c r="B1242" i="2"/>
  <c r="B1241" i="2"/>
  <c r="B1240" i="2"/>
  <c r="B1239" i="2"/>
  <c r="B1238" i="2"/>
  <c r="B1237" i="2"/>
  <c r="B1236" i="2"/>
  <c r="B1235" i="2"/>
  <c r="B1234" i="2"/>
  <c r="B1233" i="2"/>
  <c r="B1232" i="2"/>
  <c r="B1231" i="2"/>
  <c r="B1230" i="2"/>
  <c r="B1229" i="2"/>
  <c r="B1228" i="2"/>
  <c r="B1227" i="2"/>
  <c r="B1226" i="2"/>
  <c r="B1225" i="2"/>
  <c r="B1224" i="2"/>
  <c r="B1223" i="2"/>
  <c r="B1222" i="2"/>
  <c r="B1221" i="2"/>
  <c r="B1220" i="2"/>
  <c r="B1219" i="2"/>
  <c r="B1218" i="2"/>
  <c r="B1217" i="2"/>
  <c r="B1216" i="2"/>
  <c r="B1215" i="2"/>
  <c r="B1214" i="2"/>
  <c r="B1213" i="2"/>
  <c r="B1212" i="2"/>
  <c r="B1211" i="2"/>
  <c r="B1210" i="2"/>
  <c r="B1209" i="2"/>
  <c r="B1208" i="2"/>
  <c r="B1207" i="2"/>
  <c r="B1206" i="2"/>
  <c r="B1205" i="2"/>
  <c r="B1204" i="2"/>
  <c r="B1203" i="2"/>
  <c r="B1202" i="2"/>
  <c r="B1201" i="2"/>
  <c r="B1200" i="2"/>
  <c r="B1199" i="2"/>
  <c r="B1198" i="2"/>
  <c r="B1197" i="2"/>
  <c r="B1196" i="2"/>
  <c r="B1195" i="2"/>
  <c r="B1194" i="2"/>
  <c r="B1193" i="2"/>
  <c r="B1192" i="2"/>
  <c r="B1191" i="2"/>
  <c r="B1190" i="2"/>
  <c r="B1189" i="2"/>
  <c r="B1188" i="2"/>
  <c r="B1187" i="2"/>
  <c r="B1186" i="2"/>
  <c r="B1185" i="2"/>
  <c r="B1184" i="2"/>
  <c r="B1183" i="2"/>
  <c r="B1182" i="2"/>
  <c r="B1181" i="2"/>
  <c r="B1180" i="2"/>
  <c r="B1179" i="2"/>
  <c r="B1178" i="2"/>
  <c r="B1177" i="2"/>
  <c r="B1176" i="2"/>
  <c r="B1175" i="2"/>
  <c r="B1174" i="2"/>
  <c r="B1173" i="2"/>
  <c r="B1172" i="2"/>
  <c r="B1171" i="2"/>
  <c r="B1170" i="2"/>
  <c r="B1169" i="2"/>
  <c r="B1168" i="2"/>
  <c r="B1167" i="2"/>
  <c r="B1166" i="2"/>
  <c r="B1165" i="2"/>
  <c r="B1164" i="2"/>
  <c r="B1163" i="2"/>
  <c r="B1162" i="2"/>
  <c r="B1161" i="2"/>
  <c r="B1160" i="2"/>
  <c r="B1159" i="2"/>
  <c r="B1158" i="2"/>
  <c r="B1157" i="2"/>
  <c r="B1156" i="2"/>
  <c r="B1155" i="2"/>
  <c r="B1154" i="2"/>
  <c r="B1153" i="2"/>
  <c r="B1152" i="2"/>
  <c r="B1151" i="2"/>
  <c r="B1150" i="2"/>
  <c r="B1149" i="2"/>
  <c r="B1148" i="2"/>
  <c r="B1147" i="2"/>
  <c r="B1146" i="2"/>
  <c r="B1145" i="2"/>
  <c r="B1144" i="2"/>
  <c r="B1143" i="2"/>
  <c r="B1142" i="2"/>
  <c r="B1141" i="2"/>
  <c r="B1140" i="2"/>
  <c r="B1139" i="2"/>
  <c r="B1138" i="2"/>
  <c r="B1137" i="2"/>
  <c r="B1136" i="2"/>
  <c r="B1135" i="2"/>
  <c r="B1134" i="2"/>
  <c r="B1133" i="2"/>
  <c r="B1132" i="2"/>
  <c r="B1131" i="2"/>
  <c r="B1130" i="2"/>
  <c r="B1129" i="2"/>
  <c r="B1128" i="2"/>
  <c r="B1127" i="2"/>
  <c r="B1126" i="2"/>
  <c r="B1125" i="2"/>
  <c r="B1124" i="2"/>
  <c r="B1123" i="2"/>
  <c r="B1122" i="2"/>
  <c r="B1121" i="2"/>
  <c r="B1120" i="2"/>
  <c r="B1119" i="2"/>
  <c r="B1118" i="2"/>
  <c r="B1117" i="2"/>
  <c r="B1116" i="2"/>
  <c r="B1115" i="2"/>
  <c r="B1114" i="2"/>
  <c r="B1113" i="2"/>
  <c r="B1112" i="2"/>
  <c r="B1111" i="2"/>
  <c r="B1110" i="2"/>
  <c r="B1109" i="2"/>
  <c r="B1108" i="2"/>
  <c r="B1107" i="2"/>
  <c r="B1106" i="2"/>
  <c r="B1105" i="2"/>
  <c r="B1104" i="2"/>
  <c r="B1103" i="2"/>
  <c r="B1102" i="2"/>
  <c r="B1101" i="2"/>
  <c r="B1100" i="2"/>
  <c r="B1099" i="2"/>
  <c r="B1098" i="2"/>
  <c r="B1097" i="2"/>
  <c r="B1096" i="2"/>
  <c r="B1095" i="2"/>
  <c r="B1094" i="2"/>
  <c r="B1093" i="2"/>
  <c r="B1092" i="2"/>
  <c r="B1091" i="2"/>
  <c r="B1090" i="2"/>
  <c r="B1089" i="2"/>
  <c r="B1088" i="2"/>
  <c r="B1087" i="2"/>
  <c r="B1086" i="2"/>
  <c r="B1085" i="2"/>
  <c r="B1084" i="2"/>
  <c r="B1083" i="2"/>
  <c r="B1082" i="2"/>
  <c r="B1081" i="2"/>
  <c r="B1080" i="2"/>
  <c r="B1079" i="2"/>
  <c r="B1078" i="2"/>
  <c r="B1077" i="2"/>
  <c r="B1076" i="2"/>
  <c r="B1075" i="2"/>
  <c r="B1074" i="2"/>
  <c r="B1073" i="2"/>
  <c r="B1072" i="2"/>
  <c r="B1071" i="2"/>
  <c r="B1070" i="2"/>
  <c r="B1069" i="2"/>
  <c r="B1068" i="2"/>
  <c r="B1067" i="2"/>
  <c r="B1066" i="2"/>
  <c r="B1065" i="2"/>
  <c r="B1064" i="2"/>
  <c r="B1063" i="2"/>
  <c r="B1062" i="2"/>
  <c r="B1061" i="2"/>
  <c r="B1060" i="2"/>
  <c r="B1059" i="2"/>
  <c r="B1058" i="2"/>
  <c r="B1057" i="2"/>
  <c r="B1056" i="2"/>
  <c r="B1055" i="2"/>
  <c r="B1054" i="2"/>
  <c r="B1053" i="2"/>
  <c r="B1052" i="2"/>
  <c r="B1051" i="2"/>
  <c r="B1050" i="2"/>
  <c r="B1049" i="2"/>
  <c r="B1048" i="2"/>
  <c r="B1047" i="2"/>
  <c r="B1046" i="2"/>
  <c r="B1045" i="2"/>
  <c r="B1044" i="2"/>
  <c r="B1043" i="2"/>
  <c r="B1042" i="2"/>
  <c r="B1041" i="2"/>
  <c r="B1040" i="2"/>
  <c r="B1039" i="2"/>
  <c r="B1038" i="2"/>
  <c r="B1037" i="2"/>
  <c r="B1036" i="2"/>
  <c r="B1035" i="2"/>
  <c r="B1034" i="2"/>
  <c r="B1033" i="2"/>
  <c r="B1032" i="2"/>
  <c r="B1031" i="2"/>
  <c r="B1030" i="2"/>
  <c r="B1029" i="2"/>
  <c r="B1028" i="2"/>
  <c r="B1027" i="2"/>
  <c r="B1026" i="2"/>
  <c r="B1025" i="2"/>
  <c r="B1024" i="2"/>
  <c r="B1023" i="2"/>
  <c r="B1022" i="2"/>
  <c r="B1021" i="2"/>
  <c r="B1020" i="2"/>
  <c r="B1019" i="2"/>
  <c r="B1018" i="2"/>
  <c r="B1017" i="2"/>
  <c r="B1016" i="2"/>
  <c r="B1015" i="2"/>
  <c r="B1014" i="2"/>
  <c r="B1013" i="2"/>
  <c r="B1012" i="2"/>
  <c r="B1011" i="2"/>
  <c r="B1010" i="2"/>
  <c r="B1009" i="2"/>
  <c r="B1008" i="2"/>
  <c r="B1007" i="2"/>
  <c r="B1006" i="2"/>
  <c r="B1005" i="2"/>
  <c r="B1004" i="2"/>
  <c r="B1003" i="2"/>
  <c r="B1002" i="2"/>
  <c r="B1001" i="2"/>
  <c r="B1000" i="2"/>
  <c r="B999" i="2"/>
  <c r="B998" i="2"/>
  <c r="B997" i="2"/>
  <c r="B996" i="2"/>
  <c r="B995" i="2"/>
  <c r="B994" i="2"/>
  <c r="B993" i="2"/>
  <c r="B992" i="2"/>
  <c r="B991" i="2"/>
  <c r="B990" i="2"/>
  <c r="B989" i="2"/>
  <c r="B988" i="2"/>
  <c r="B987" i="2"/>
  <c r="B986" i="2"/>
  <c r="B985" i="2"/>
  <c r="B984" i="2"/>
  <c r="B983" i="2"/>
  <c r="B982" i="2"/>
  <c r="B981" i="2"/>
  <c r="B980" i="2"/>
  <c r="B979" i="2"/>
  <c r="B978" i="2"/>
  <c r="B977" i="2"/>
  <c r="B976" i="2"/>
  <c r="B975" i="2"/>
  <c r="B974" i="2"/>
  <c r="B973" i="2"/>
  <c r="B972" i="2"/>
  <c r="B971" i="2"/>
  <c r="B970" i="2"/>
  <c r="B969" i="2"/>
  <c r="B968" i="2"/>
  <c r="B967" i="2"/>
  <c r="B966" i="2"/>
  <c r="B965" i="2"/>
  <c r="B964" i="2"/>
  <c r="B963" i="2"/>
  <c r="B962" i="2"/>
  <c r="B961" i="2"/>
  <c r="B960" i="2"/>
  <c r="B959" i="2"/>
  <c r="B958" i="2"/>
  <c r="B957" i="2"/>
  <c r="B956" i="2"/>
  <c r="B955" i="2"/>
  <c r="B954" i="2"/>
  <c r="B953" i="2"/>
  <c r="B952" i="2"/>
  <c r="B951" i="2"/>
  <c r="B950" i="2"/>
  <c r="B949" i="2"/>
  <c r="B948" i="2"/>
  <c r="B947" i="2"/>
  <c r="B946" i="2"/>
  <c r="B945" i="2"/>
  <c r="B944" i="2"/>
  <c r="B943" i="2"/>
  <c r="B942" i="2"/>
  <c r="B941" i="2"/>
  <c r="B940" i="2"/>
  <c r="B939" i="2"/>
  <c r="B938" i="2"/>
  <c r="B937" i="2"/>
  <c r="B936" i="2"/>
  <c r="B935" i="2"/>
  <c r="B934" i="2"/>
  <c r="B933" i="2"/>
  <c r="B932" i="2"/>
  <c r="B931" i="2"/>
  <c r="B930" i="2"/>
  <c r="B929" i="2"/>
  <c r="B928" i="2"/>
  <c r="B927" i="2"/>
  <c r="B926" i="2"/>
  <c r="B925" i="2"/>
  <c r="B924" i="2"/>
  <c r="B923" i="2"/>
  <c r="B922" i="2"/>
  <c r="B921" i="2"/>
  <c r="B920" i="2"/>
  <c r="B919" i="2"/>
  <c r="B918" i="2"/>
  <c r="B917" i="2"/>
  <c r="B916" i="2"/>
  <c r="B915" i="2"/>
  <c r="B914" i="2"/>
  <c r="B913" i="2"/>
  <c r="B912" i="2"/>
  <c r="B911" i="2"/>
  <c r="B910" i="2"/>
  <c r="B909" i="2"/>
  <c r="B908" i="2"/>
  <c r="B907" i="2"/>
  <c r="B906" i="2"/>
  <c r="B905" i="2"/>
  <c r="B904" i="2"/>
  <c r="B903" i="2"/>
  <c r="B902" i="2"/>
  <c r="B901" i="2"/>
  <c r="B900" i="2"/>
  <c r="B899" i="2"/>
  <c r="B898" i="2"/>
  <c r="B897" i="2"/>
  <c r="B896" i="2"/>
  <c r="B895" i="2"/>
  <c r="B894" i="2"/>
  <c r="B893" i="2"/>
  <c r="B892" i="2"/>
  <c r="B891" i="2"/>
  <c r="B890" i="2"/>
  <c r="B889" i="2"/>
  <c r="B888" i="2"/>
  <c r="B887" i="2"/>
  <c r="B886" i="2"/>
  <c r="B885" i="2"/>
  <c r="B884" i="2"/>
  <c r="B883" i="2"/>
  <c r="B882" i="2"/>
  <c r="B881" i="2"/>
  <c r="B880" i="2"/>
  <c r="B879" i="2"/>
  <c r="B878" i="2"/>
  <c r="B877" i="2"/>
  <c r="B876" i="2"/>
  <c r="B875" i="2"/>
  <c r="B874" i="2"/>
  <c r="B873" i="2"/>
  <c r="B872" i="2"/>
  <c r="B871" i="2"/>
  <c r="B870" i="2"/>
  <c r="B869" i="2"/>
  <c r="B868" i="2"/>
  <c r="B867" i="2"/>
  <c r="B866" i="2"/>
  <c r="B865" i="2"/>
  <c r="B864" i="2"/>
  <c r="B863" i="2"/>
  <c r="B862" i="2"/>
  <c r="B861" i="2"/>
  <c r="B860" i="2"/>
  <c r="B859" i="2"/>
  <c r="B858" i="2"/>
  <c r="B857" i="2"/>
  <c r="B856" i="2"/>
  <c r="B855" i="2"/>
  <c r="B854" i="2"/>
  <c r="B853" i="2"/>
  <c r="B852" i="2"/>
  <c r="B851" i="2"/>
  <c r="B850" i="2"/>
  <c r="B849" i="2"/>
  <c r="B848" i="2"/>
  <c r="B847" i="2"/>
  <c r="B846" i="2"/>
  <c r="B845" i="2"/>
  <c r="B844" i="2"/>
  <c r="B843" i="2"/>
  <c r="B842" i="2"/>
  <c r="B841" i="2"/>
  <c r="B840" i="2"/>
  <c r="B839" i="2"/>
  <c r="B838" i="2"/>
  <c r="B837" i="2"/>
  <c r="B836" i="2"/>
  <c r="B835" i="2"/>
  <c r="B834" i="2"/>
  <c r="B833" i="2"/>
  <c r="B832" i="2"/>
  <c r="B831" i="2"/>
  <c r="B830" i="2"/>
  <c r="B829" i="2"/>
  <c r="B828" i="2"/>
  <c r="B827" i="2"/>
  <c r="B826" i="2"/>
  <c r="B825" i="2"/>
  <c r="B824" i="2"/>
  <c r="B823" i="2"/>
  <c r="B822" i="2"/>
  <c r="B821" i="2"/>
  <c r="B820" i="2"/>
  <c r="B819" i="2"/>
  <c r="B818" i="2"/>
  <c r="B817" i="2"/>
  <c r="B816" i="2"/>
  <c r="B815" i="2"/>
  <c r="B814" i="2"/>
  <c r="B813" i="2"/>
  <c r="B812" i="2"/>
  <c r="B811" i="2"/>
  <c r="B810" i="2"/>
  <c r="B809" i="2"/>
  <c r="B808" i="2"/>
  <c r="B807" i="2"/>
  <c r="B806" i="2"/>
  <c r="B805" i="2"/>
  <c r="B804" i="2"/>
  <c r="B803" i="2"/>
  <c r="B802" i="2"/>
  <c r="B801" i="2"/>
  <c r="B800" i="2"/>
  <c r="B799" i="2"/>
  <c r="B798" i="2"/>
  <c r="B797" i="2"/>
  <c r="B796" i="2"/>
  <c r="B795" i="2"/>
  <c r="B794" i="2"/>
  <c r="B793" i="2"/>
  <c r="B792" i="2"/>
  <c r="B791" i="2"/>
  <c r="B790" i="2"/>
  <c r="B789" i="2"/>
  <c r="B788" i="2"/>
  <c r="B787" i="2"/>
  <c r="B786" i="2"/>
  <c r="B785" i="2"/>
  <c r="B784" i="2"/>
  <c r="B783" i="2"/>
  <c r="B782" i="2"/>
  <c r="B781" i="2"/>
  <c r="B780" i="2"/>
  <c r="B779" i="2"/>
  <c r="B778" i="2"/>
  <c r="B777" i="2"/>
  <c r="B776" i="2"/>
  <c r="B775" i="2"/>
  <c r="B774" i="2"/>
  <c r="B773" i="2"/>
  <c r="B772" i="2"/>
  <c r="B771" i="2"/>
  <c r="B770" i="2"/>
  <c r="B769" i="2"/>
  <c r="B768" i="2"/>
  <c r="B767" i="2"/>
  <c r="B766" i="2"/>
  <c r="B765" i="2"/>
  <c r="B764" i="2"/>
  <c r="B763" i="2"/>
  <c r="B762" i="2"/>
  <c r="B761" i="2"/>
  <c r="B760" i="2"/>
  <c r="B759" i="2"/>
  <c r="B758" i="2"/>
  <c r="B757" i="2"/>
  <c r="B756" i="2"/>
  <c r="B755" i="2"/>
  <c r="B754" i="2"/>
  <c r="B753" i="2"/>
  <c r="B752" i="2"/>
  <c r="B751" i="2"/>
  <c r="B750" i="2"/>
  <c r="B749" i="2"/>
  <c r="B748" i="2"/>
  <c r="B747" i="2"/>
  <c r="B746" i="2"/>
  <c r="B745" i="2"/>
  <c r="B744" i="2"/>
  <c r="B743" i="2"/>
  <c r="B742" i="2"/>
  <c r="B741" i="2"/>
  <c r="B740" i="2"/>
  <c r="B739" i="2"/>
  <c r="B738" i="2"/>
  <c r="B737" i="2"/>
  <c r="B736" i="2"/>
  <c r="B735" i="2"/>
  <c r="B734" i="2"/>
  <c r="B733" i="2"/>
  <c r="B732" i="2"/>
  <c r="B731" i="2"/>
  <c r="B730" i="2"/>
  <c r="B729" i="2"/>
  <c r="B728" i="2"/>
  <c r="B727" i="2"/>
  <c r="B726" i="2"/>
  <c r="B725" i="2"/>
  <c r="B724" i="2"/>
  <c r="B723" i="2"/>
  <c r="B722" i="2"/>
  <c r="B721" i="2"/>
  <c r="B720" i="2"/>
  <c r="B719" i="2"/>
  <c r="B718" i="2"/>
  <c r="B717" i="2"/>
  <c r="B716" i="2"/>
  <c r="B715" i="2"/>
  <c r="B714" i="2"/>
  <c r="B713" i="2"/>
  <c r="B712" i="2"/>
  <c r="B711" i="2"/>
  <c r="B710" i="2"/>
  <c r="B709" i="2"/>
  <c r="B708" i="2"/>
  <c r="B707" i="2"/>
  <c r="B706" i="2"/>
  <c r="B705" i="2"/>
  <c r="B704" i="2"/>
  <c r="B703" i="2"/>
  <c r="B702" i="2"/>
  <c r="B701" i="2"/>
  <c r="B700" i="2"/>
  <c r="B699" i="2"/>
  <c r="B698" i="2"/>
  <c r="B697" i="2"/>
  <c r="B696" i="2"/>
  <c r="B695" i="2"/>
  <c r="B694" i="2"/>
  <c r="B693" i="2"/>
  <c r="B692" i="2"/>
  <c r="B691" i="2"/>
  <c r="B690" i="2"/>
  <c r="B689" i="2"/>
  <c r="B688" i="2"/>
  <c r="B687" i="2"/>
  <c r="B686" i="2"/>
  <c r="B685" i="2"/>
  <c r="B684" i="2"/>
  <c r="B683" i="2"/>
  <c r="B682" i="2"/>
  <c r="B681" i="2"/>
  <c r="B680" i="2"/>
  <c r="B679" i="2"/>
  <c r="B678" i="2"/>
  <c r="B677" i="2"/>
  <c r="B676" i="2"/>
  <c r="B675" i="2"/>
  <c r="B674" i="2"/>
  <c r="B673" i="2"/>
  <c r="B672" i="2"/>
  <c r="B671" i="2"/>
  <c r="B670" i="2"/>
  <c r="B669" i="2"/>
  <c r="B668" i="2"/>
  <c r="B667" i="2"/>
  <c r="B666" i="2"/>
  <c r="B665" i="2"/>
  <c r="B664" i="2"/>
  <c r="B663" i="2"/>
  <c r="B662" i="2"/>
  <c r="B661" i="2"/>
  <c r="B660" i="2"/>
  <c r="B659" i="2"/>
  <c r="B658" i="2"/>
  <c r="B657" i="2"/>
  <c r="B656" i="2"/>
  <c r="B655" i="2"/>
  <c r="B654" i="2"/>
  <c r="B653" i="2"/>
  <c r="B652" i="2"/>
  <c r="B651" i="2"/>
  <c r="B650" i="2"/>
  <c r="B649" i="2"/>
  <c r="B648" i="2"/>
  <c r="B647" i="2"/>
  <c r="B646" i="2"/>
  <c r="B645" i="2"/>
  <c r="B644" i="2"/>
  <c r="B643" i="2"/>
  <c r="B642" i="2"/>
  <c r="B641" i="2"/>
  <c r="B640" i="2"/>
  <c r="B639" i="2"/>
  <c r="B638" i="2"/>
  <c r="B637" i="2"/>
  <c r="B636" i="2"/>
  <c r="B635" i="2"/>
  <c r="B634" i="2"/>
  <c r="B633" i="2"/>
  <c r="B632" i="2"/>
  <c r="B631" i="2"/>
  <c r="B630" i="2"/>
  <c r="B629" i="2"/>
  <c r="B628" i="2"/>
  <c r="B627" i="2"/>
  <c r="B626" i="2"/>
  <c r="B625" i="2"/>
  <c r="B624" i="2"/>
  <c r="B623" i="2"/>
  <c r="B622" i="2"/>
  <c r="B621" i="2"/>
  <c r="B620" i="2"/>
  <c r="B619" i="2"/>
  <c r="B618" i="2"/>
  <c r="B617" i="2"/>
  <c r="B616" i="2"/>
  <c r="B615" i="2"/>
  <c r="B614" i="2"/>
  <c r="B613" i="2"/>
  <c r="B612" i="2"/>
  <c r="B611" i="2"/>
  <c r="B610" i="2"/>
  <c r="B609" i="2"/>
  <c r="B608" i="2"/>
  <c r="B607" i="2"/>
  <c r="B606" i="2"/>
  <c r="B605" i="2"/>
  <c r="B604" i="2"/>
  <c r="B603" i="2"/>
  <c r="B602" i="2"/>
  <c r="B601" i="2"/>
  <c r="B600" i="2"/>
  <c r="B599" i="2"/>
  <c r="B598" i="2"/>
  <c r="B597" i="2"/>
  <c r="B596" i="2"/>
  <c r="B595" i="2"/>
  <c r="B594" i="2"/>
  <c r="B593" i="2"/>
  <c r="B592" i="2"/>
  <c r="B591" i="2"/>
  <c r="B590" i="2"/>
  <c r="B589" i="2"/>
  <c r="B588" i="2"/>
  <c r="B587" i="2"/>
  <c r="B586" i="2"/>
  <c r="B585" i="2"/>
  <c r="B584" i="2"/>
  <c r="B583" i="2"/>
  <c r="B582" i="2"/>
  <c r="B581" i="2"/>
  <c r="B580" i="2"/>
  <c r="B579" i="2"/>
  <c r="B578" i="2"/>
  <c r="B577" i="2"/>
  <c r="B576" i="2"/>
  <c r="B575" i="2"/>
  <c r="B574" i="2"/>
  <c r="B573" i="2"/>
  <c r="B572" i="2"/>
  <c r="B571" i="2"/>
  <c r="B570" i="2"/>
  <c r="B569" i="2"/>
  <c r="B568" i="2"/>
  <c r="B567" i="2"/>
  <c r="B566" i="2"/>
  <c r="B565" i="2"/>
  <c r="B564" i="2"/>
  <c r="B563" i="2"/>
  <c r="B562" i="2"/>
  <c r="B561" i="2"/>
  <c r="B560" i="2"/>
  <c r="B559" i="2"/>
  <c r="B558" i="2"/>
  <c r="B557" i="2"/>
  <c r="B556" i="2"/>
  <c r="B555" i="2"/>
  <c r="B554" i="2"/>
  <c r="B553" i="2"/>
  <c r="B552" i="2"/>
  <c r="B551" i="2"/>
  <c r="B550" i="2"/>
  <c r="B549" i="2"/>
  <c r="B548" i="2"/>
  <c r="B547" i="2"/>
  <c r="B546" i="2"/>
  <c r="B545" i="2"/>
  <c r="B544" i="2"/>
  <c r="B543" i="2"/>
  <c r="B542" i="2"/>
  <c r="B541" i="2"/>
  <c r="B540" i="2"/>
  <c r="B539" i="2"/>
  <c r="B538" i="2"/>
  <c r="B537" i="2"/>
  <c r="B536" i="2"/>
  <c r="B535" i="2"/>
  <c r="B534" i="2"/>
  <c r="B533" i="2"/>
  <c r="B532" i="2"/>
  <c r="B531" i="2"/>
  <c r="B530" i="2"/>
  <c r="B529" i="2"/>
  <c r="B528" i="2"/>
  <c r="B527" i="2"/>
  <c r="B526" i="2"/>
  <c r="B525" i="2"/>
  <c r="B524" i="2"/>
  <c r="B523" i="2"/>
  <c r="B522" i="2"/>
  <c r="B521" i="2"/>
  <c r="B520" i="2"/>
  <c r="B519" i="2"/>
  <c r="B518" i="2"/>
  <c r="B517" i="2"/>
  <c r="B516" i="2"/>
  <c r="B515" i="2"/>
  <c r="B514" i="2"/>
  <c r="B513" i="2"/>
  <c r="B512" i="2"/>
  <c r="B511" i="2"/>
  <c r="B510" i="2"/>
  <c r="B509" i="2"/>
  <c r="B508" i="2"/>
  <c r="B507" i="2"/>
  <c r="B506" i="2"/>
  <c r="B505" i="2"/>
  <c r="B504" i="2"/>
  <c r="B503" i="2"/>
  <c r="B502" i="2"/>
  <c r="B501" i="2"/>
  <c r="B500" i="2"/>
  <c r="B499" i="2"/>
  <c r="B498" i="2"/>
  <c r="B497" i="2"/>
  <c r="B496" i="2"/>
  <c r="B495" i="2"/>
  <c r="B494" i="2"/>
  <c r="B493" i="2"/>
  <c r="B492" i="2"/>
  <c r="B491" i="2"/>
  <c r="B490" i="2"/>
  <c r="B489" i="2"/>
  <c r="B488" i="2"/>
  <c r="B487" i="2"/>
  <c r="B486" i="2"/>
  <c r="B485" i="2"/>
  <c r="B484" i="2"/>
  <c r="B483" i="2"/>
  <c r="B482" i="2"/>
  <c r="B481" i="2"/>
  <c r="B480" i="2"/>
  <c r="B479" i="2"/>
  <c r="B478" i="2"/>
  <c r="B477" i="2"/>
  <c r="B476" i="2"/>
  <c r="B475" i="2"/>
  <c r="B474" i="2"/>
  <c r="B473" i="2"/>
  <c r="B472" i="2"/>
  <c r="B471" i="2"/>
  <c r="B470" i="2"/>
  <c r="B469" i="2"/>
  <c r="B468" i="2"/>
  <c r="B467" i="2"/>
  <c r="B466" i="2"/>
  <c r="B465" i="2"/>
  <c r="B464" i="2"/>
  <c r="B463" i="2"/>
  <c r="B462" i="2"/>
  <c r="B461" i="2"/>
  <c r="B460" i="2"/>
  <c r="B459" i="2"/>
  <c r="B458" i="2"/>
  <c r="B457" i="2"/>
  <c r="B456" i="2"/>
  <c r="B455" i="2"/>
  <c r="B454" i="2"/>
  <c r="B453" i="2"/>
  <c r="B452" i="2"/>
  <c r="B451" i="2"/>
  <c r="B450" i="2"/>
  <c r="B449" i="2"/>
  <c r="B448" i="2"/>
  <c r="B447" i="2"/>
  <c r="B446" i="2"/>
  <c r="B445" i="2"/>
  <c r="B444" i="2"/>
  <c r="B443" i="2"/>
  <c r="B442" i="2"/>
  <c r="B441" i="2"/>
  <c r="B440" i="2"/>
  <c r="B439" i="2"/>
  <c r="B438" i="2"/>
  <c r="B437" i="2"/>
  <c r="B436" i="2"/>
  <c r="B435" i="2"/>
  <c r="B434" i="2"/>
  <c r="B433" i="2"/>
  <c r="B432" i="2"/>
  <c r="B431" i="2"/>
  <c r="B430" i="2"/>
  <c r="B429" i="2"/>
  <c r="B428" i="2"/>
  <c r="B427" i="2"/>
  <c r="B426" i="2"/>
  <c r="B425" i="2"/>
  <c r="B424" i="2"/>
  <c r="B423" i="2"/>
  <c r="B422" i="2"/>
  <c r="B421" i="2"/>
  <c r="B420" i="2"/>
  <c r="B419" i="2"/>
  <c r="B418" i="2"/>
  <c r="B417" i="2"/>
  <c r="B416" i="2"/>
  <c r="B415" i="2"/>
  <c r="B414" i="2"/>
  <c r="B413" i="2"/>
  <c r="B412" i="2"/>
  <c r="B411" i="2"/>
  <c r="B410" i="2"/>
  <c r="B409" i="2"/>
  <c r="B408" i="2"/>
  <c r="B407" i="2"/>
  <c r="B406" i="2"/>
  <c r="B405" i="2"/>
  <c r="B404" i="2"/>
  <c r="B403" i="2"/>
  <c r="B402" i="2"/>
  <c r="B401" i="2"/>
  <c r="B400" i="2"/>
  <c r="B399" i="2"/>
  <c r="B398" i="2"/>
  <c r="B397" i="2"/>
  <c r="B396" i="2"/>
  <c r="B395" i="2"/>
  <c r="B394" i="2"/>
  <c r="B393" i="2"/>
  <c r="B392" i="2"/>
  <c r="B391" i="2"/>
  <c r="B390" i="2"/>
  <c r="B389" i="2"/>
  <c r="B388" i="2"/>
  <c r="B387" i="2"/>
  <c r="B386" i="2"/>
  <c r="B385" i="2"/>
  <c r="B384" i="2"/>
  <c r="B383" i="2"/>
  <c r="B382" i="2"/>
  <c r="B381" i="2"/>
  <c r="B380" i="2"/>
  <c r="B379" i="2"/>
  <c r="B378" i="2"/>
  <c r="B377" i="2"/>
  <c r="B376" i="2"/>
  <c r="B375" i="2"/>
  <c r="B374" i="2"/>
  <c r="B373" i="2"/>
  <c r="B372" i="2"/>
  <c r="B371" i="2"/>
  <c r="B370" i="2"/>
  <c r="B369" i="2"/>
  <c r="B368" i="2"/>
  <c r="B367" i="2"/>
  <c r="B366" i="2"/>
  <c r="B365" i="2"/>
  <c r="B364" i="2"/>
  <c r="B363" i="2"/>
  <c r="B362" i="2"/>
  <c r="B361" i="2"/>
  <c r="B360" i="2"/>
  <c r="B359" i="2"/>
  <c r="B358" i="2"/>
  <c r="B357" i="2"/>
  <c r="B356" i="2"/>
  <c r="B355" i="2"/>
  <c r="B354" i="2"/>
  <c r="B353" i="2"/>
  <c r="B352" i="2"/>
  <c r="B351" i="2"/>
  <c r="B350" i="2"/>
  <c r="B349" i="2"/>
  <c r="B348" i="2"/>
  <c r="B347" i="2"/>
  <c r="B346" i="2"/>
  <c r="B345" i="2"/>
  <c r="B344" i="2"/>
  <c r="B343" i="2"/>
  <c r="B342" i="2"/>
  <c r="B341" i="2"/>
  <c r="B340" i="2"/>
  <c r="B339" i="2"/>
  <c r="B338" i="2"/>
  <c r="B337" i="2"/>
  <c r="B336" i="2"/>
  <c r="B335" i="2"/>
  <c r="B334" i="2"/>
  <c r="B333" i="2"/>
  <c r="B332" i="2"/>
  <c r="B331" i="2"/>
  <c r="B330" i="2"/>
  <c r="B329" i="2"/>
  <c r="B328" i="2"/>
  <c r="B327" i="2"/>
  <c r="B326" i="2"/>
  <c r="B325" i="2"/>
  <c r="B324" i="2"/>
  <c r="B323" i="2"/>
  <c r="B322" i="2"/>
  <c r="B321" i="2"/>
  <c r="B320" i="2"/>
  <c r="B319" i="2"/>
  <c r="B318" i="2"/>
  <c r="B317" i="2"/>
  <c r="B316" i="2"/>
  <c r="B315" i="2"/>
  <c r="B314" i="2"/>
  <c r="B313" i="2"/>
  <c r="B312" i="2"/>
  <c r="B311" i="2"/>
  <c r="B310" i="2"/>
  <c r="B309" i="2"/>
  <c r="B308" i="2"/>
  <c r="B307" i="2"/>
  <c r="B306" i="2"/>
  <c r="B305" i="2"/>
  <c r="B304" i="2"/>
  <c r="B303" i="2"/>
  <c r="B302" i="2"/>
  <c r="B301" i="2"/>
  <c r="B300" i="2"/>
  <c r="B299" i="2"/>
  <c r="B298" i="2"/>
  <c r="B297" i="2"/>
  <c r="B296" i="2"/>
  <c r="B295" i="2"/>
  <c r="B294" i="2"/>
  <c r="B293" i="2"/>
  <c r="B292" i="2"/>
  <c r="B291" i="2"/>
  <c r="B290" i="2"/>
  <c r="B289" i="2"/>
  <c r="B288" i="2"/>
  <c r="B287" i="2"/>
  <c r="B286" i="2"/>
  <c r="B285" i="2"/>
  <c r="B284" i="2"/>
  <c r="B283" i="2"/>
  <c r="B282" i="2"/>
  <c r="B281" i="2"/>
  <c r="B280" i="2"/>
  <c r="B279" i="2"/>
  <c r="B278" i="2"/>
  <c r="B277" i="2"/>
  <c r="B276" i="2"/>
  <c r="B275" i="2"/>
  <c r="B274" i="2"/>
  <c r="B273" i="2"/>
  <c r="B272" i="2"/>
  <c r="B271" i="2"/>
  <c r="B270" i="2"/>
  <c r="B269" i="2"/>
  <c r="B268" i="2"/>
  <c r="B267" i="2"/>
  <c r="B266" i="2"/>
  <c r="B265" i="2"/>
  <c r="B264" i="2"/>
  <c r="B263" i="2"/>
  <c r="B262" i="2"/>
  <c r="B261" i="2"/>
  <c r="B260" i="2"/>
  <c r="B259" i="2"/>
  <c r="B258" i="2"/>
  <c r="B257" i="2"/>
  <c r="B256" i="2"/>
  <c r="B255" i="2"/>
  <c r="B254" i="2"/>
  <c r="B253" i="2"/>
  <c r="B252" i="2"/>
  <c r="B251" i="2"/>
  <c r="B250" i="2"/>
  <c r="B249" i="2"/>
  <c r="B248" i="2"/>
  <c r="B247" i="2"/>
  <c r="B246" i="2"/>
  <c r="B245" i="2"/>
  <c r="B244" i="2"/>
  <c r="B243" i="2"/>
  <c r="B242" i="2"/>
  <c r="B241" i="2"/>
  <c r="B240" i="2"/>
  <c r="B239" i="2"/>
  <c r="B238" i="2"/>
  <c r="B237" i="2"/>
  <c r="B236" i="2"/>
  <c r="B235" i="2"/>
  <c r="B234" i="2"/>
  <c r="B233" i="2"/>
  <c r="B232" i="2"/>
  <c r="B231" i="2"/>
  <c r="B230" i="2"/>
  <c r="B229" i="2"/>
  <c r="B228" i="2"/>
  <c r="B227" i="2"/>
  <c r="B226" i="2"/>
  <c r="B225" i="2"/>
  <c r="B224" i="2"/>
  <c r="B223" i="2"/>
  <c r="B222" i="2"/>
  <c r="B221" i="2"/>
  <c r="B220" i="2"/>
  <c r="B219" i="2"/>
  <c r="B218" i="2"/>
  <c r="B217" i="2"/>
  <c r="B216" i="2"/>
  <c r="B215" i="2"/>
  <c r="B214" i="2"/>
  <c r="B213" i="2"/>
  <c r="B212" i="2"/>
  <c r="B211" i="2"/>
  <c r="B210" i="2"/>
  <c r="B209" i="2"/>
  <c r="B208" i="2"/>
  <c r="B207" i="2"/>
  <c r="B206" i="2"/>
  <c r="B205" i="2"/>
  <c r="B204" i="2"/>
  <c r="B203" i="2"/>
  <c r="B202" i="2"/>
  <c r="B201" i="2"/>
  <c r="B200" i="2"/>
  <c r="B199" i="2"/>
  <c r="B198" i="2"/>
  <c r="B197" i="2"/>
  <c r="B196" i="2"/>
  <c r="B195" i="2"/>
  <c r="B194" i="2"/>
  <c r="B193" i="2"/>
  <c r="B192" i="2"/>
  <c r="B191" i="2"/>
  <c r="B190" i="2"/>
  <c r="B189" i="2"/>
  <c r="B188" i="2"/>
  <c r="B187" i="2"/>
  <c r="B186" i="2"/>
  <c r="B185" i="2"/>
  <c r="B184" i="2"/>
  <c r="B183" i="2"/>
  <c r="B182" i="2"/>
  <c r="B181" i="2"/>
  <c r="B180" i="2"/>
  <c r="B179" i="2"/>
  <c r="B178" i="2"/>
  <c r="B177" i="2"/>
  <c r="B176" i="2"/>
  <c r="B175" i="2"/>
  <c r="B174" i="2"/>
  <c r="B173" i="2"/>
  <c r="B172" i="2"/>
  <c r="B171" i="2"/>
  <c r="B170" i="2"/>
  <c r="B169" i="2"/>
  <c r="B168" i="2"/>
  <c r="B167" i="2"/>
  <c r="B166" i="2"/>
  <c r="B165" i="2"/>
  <c r="B164" i="2"/>
  <c r="B163" i="2"/>
  <c r="B162" i="2"/>
  <c r="B161" i="2"/>
  <c r="B160" i="2"/>
  <c r="B159" i="2"/>
  <c r="B158" i="2"/>
  <c r="B157" i="2"/>
  <c r="B156" i="2"/>
  <c r="B155" i="2"/>
  <c r="B154" i="2"/>
  <c r="B153" i="2"/>
  <c r="B152" i="2"/>
  <c r="B151" i="2"/>
  <c r="B150" i="2"/>
  <c r="B149" i="2"/>
  <c r="B148" i="2"/>
  <c r="B147" i="2"/>
  <c r="B146" i="2"/>
  <c r="B145" i="2"/>
  <c r="B144" i="2"/>
  <c r="B143" i="2"/>
  <c r="B142" i="2"/>
  <c r="B141" i="2"/>
  <c r="B140" i="2"/>
  <c r="B139" i="2"/>
  <c r="B138" i="2"/>
  <c r="B137" i="2"/>
  <c r="B136" i="2"/>
  <c r="B135" i="2"/>
  <c r="B134" i="2"/>
  <c r="B133" i="2"/>
  <c r="B132" i="2"/>
  <c r="B131" i="2"/>
  <c r="B130" i="2"/>
  <c r="B129" i="2"/>
  <c r="B128" i="2"/>
  <c r="B127" i="2"/>
  <c r="B126" i="2"/>
  <c r="B125" i="2"/>
  <c r="B124" i="2"/>
  <c r="B123" i="2"/>
  <c r="B122" i="2"/>
  <c r="B121" i="2"/>
  <c r="B120" i="2"/>
  <c r="B119" i="2"/>
  <c r="B118" i="2"/>
  <c r="B117" i="2"/>
  <c r="B116" i="2"/>
  <c r="B115" i="2"/>
  <c r="B114" i="2"/>
  <c r="B113" i="2"/>
  <c r="B112" i="2"/>
  <c r="B111" i="2"/>
  <c r="B110" i="2"/>
  <c r="B109" i="2"/>
  <c r="B108" i="2"/>
  <c r="B107" i="2"/>
  <c r="B106" i="2"/>
  <c r="B105" i="2"/>
  <c r="B104" i="2"/>
  <c r="B103" i="2"/>
  <c r="B102" i="2"/>
  <c r="B101" i="2"/>
  <c r="B100" i="2"/>
  <c r="B99" i="2"/>
  <c r="B98" i="2"/>
  <c r="B97" i="2"/>
  <c r="B96" i="2"/>
  <c r="B95" i="2"/>
  <c r="B94" i="2"/>
  <c r="B93" i="2"/>
  <c r="B92" i="2"/>
  <c r="B91" i="2"/>
  <c r="B90" i="2"/>
  <c r="B89" i="2"/>
  <c r="B88" i="2"/>
  <c r="B87" i="2"/>
  <c r="B86" i="2"/>
  <c r="B85" i="2"/>
  <c r="B84" i="2"/>
  <c r="B83" i="2"/>
  <c r="B82" i="2"/>
  <c r="B81" i="2"/>
  <c r="B80" i="2"/>
  <c r="B79" i="2"/>
  <c r="B78" i="2"/>
  <c r="B77" i="2"/>
  <c r="B76" i="2"/>
  <c r="B75" i="2"/>
  <c r="B74" i="2"/>
  <c r="B73" i="2"/>
  <c r="B72" i="2"/>
  <c r="B71" i="2"/>
  <c r="B70" i="2"/>
  <c r="B69" i="2"/>
  <c r="B68" i="2"/>
  <c r="B67" i="2"/>
  <c r="B66" i="2"/>
  <c r="B65" i="2"/>
  <c r="B64" i="2"/>
  <c r="B63" i="2"/>
  <c r="B62" i="2"/>
  <c r="B61" i="2"/>
  <c r="B60" i="2"/>
  <c r="B59" i="2"/>
  <c r="B58" i="2"/>
  <c r="B57" i="2"/>
  <c r="B56" i="2"/>
  <c r="B55" i="2"/>
  <c r="B54" i="2"/>
  <c r="B53" i="2"/>
  <c r="B52" i="2"/>
  <c r="B51" i="2"/>
  <c r="B50" i="2"/>
  <c r="B49" i="2"/>
  <c r="B48" i="2"/>
  <c r="B47" i="2"/>
  <c r="B46" i="2"/>
  <c r="B45" i="2"/>
  <c r="B44" i="2"/>
  <c r="B43" i="2"/>
  <c r="B42" i="2"/>
  <c r="B41" i="2"/>
  <c r="B40" i="2"/>
  <c r="B39" i="2"/>
  <c r="B38" i="2"/>
  <c r="B37" i="2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B4" i="2"/>
  <c r="B3" i="2"/>
  <c r="B2" i="2"/>
</calcChain>
</file>

<file path=xl/sharedStrings.xml><?xml version="1.0" encoding="utf-8"?>
<sst xmlns="http://schemas.openxmlformats.org/spreadsheetml/2006/main" count="35839" uniqueCount="13533">
  <si>
    <t>Type</t>
  </si>
  <si>
    <t>Name</t>
  </si>
  <si>
    <t>Location</t>
  </si>
  <si>
    <t>Description Info</t>
  </si>
  <si>
    <t>Following</t>
  </si>
  <si>
    <t>Followers</t>
  </si>
  <si>
    <t>Tweets</t>
  </si>
  <si>
    <t>Likes</t>
  </si>
  <si>
    <t>Creation Date</t>
  </si>
  <si>
    <t>Time</t>
  </si>
  <si>
    <t>Ox/Cam</t>
  </si>
  <si>
    <t>Bodleian Libraries</t>
  </si>
  <si>
    <t>Oxford, UK</t>
  </si>
  <si>
    <t>Inspiring collections and beautiful libraries. Facilitating world class research at the University of Oxford. Social media contact: @brendonconnelly</t>
  </si>
  <si>
    <t>Acd/HE</t>
  </si>
  <si>
    <t>Teesside University</t>
  </si>
  <si>
    <t>Middlesbrough, England, UK</t>
  </si>
  <si>
    <t>Teesside University is dynamic, energetic and innovative. We're growing and inspiring others to do the same http://t.co/do0ArY9Eyw</t>
  </si>
  <si>
    <t>Pub</t>
  </si>
  <si>
    <t>Orkney Library</t>
  </si>
  <si>
    <t>Orkney</t>
  </si>
  <si>
    <t>Providing books and more since 1683</t>
  </si>
  <si>
    <t>Other</t>
  </si>
  <si>
    <t>Scottish Poetry Lib</t>
  </si>
  <si>
    <t>Edinburgh</t>
  </si>
  <si>
    <t>Scottish Poetry Library: 45,000+ items of poetry from Scotland &amp; around the world.
https://t.co/jzORIaZEMM
https://t.co/9bVFvmRepp
https://t.co/KdiOemOc1S</t>
  </si>
  <si>
    <t>Queen's University🎓</t>
  </si>
  <si>
    <t>Belfast, Northern Ireland, UK</t>
  </si>
  <si>
    <t>QUB is a member of the Russell Group leading UK research-intensive universities, providing world-class education &amp; world-class research. https://t.co/bRP5xyTS4z</t>
  </si>
  <si>
    <t>The Feminist Library</t>
  </si>
  <si>
    <t>London SE1 7XW</t>
  </si>
  <si>
    <t>The Feminist Library is a large archive collection of Feminist and Women’s Liberation Movement literature in London.</t>
  </si>
  <si>
    <t>Uni of Manchester</t>
  </si>
  <si>
    <t>Manchester</t>
  </si>
  <si>
    <t>The official Twitter feed for The University of Manchester. Find us on Facebook at https://t.co/TnuTrNYJVy</t>
  </si>
  <si>
    <t>Wellcome Library</t>
  </si>
  <si>
    <t>London</t>
  </si>
  <si>
    <t>The free library for the incurably curious, we are one of the world's leading libraries of medical history.</t>
  </si>
  <si>
    <t>Uni of Wolverhampton</t>
  </si>
  <si>
    <t>Wolverhampton, UK</t>
  </si>
  <si>
    <t>Follow us for news, photos, competitions and regular goings-on at the University of Wolverhampton.</t>
  </si>
  <si>
    <t>LibraryofBirmingham</t>
  </si>
  <si>
    <t>Opening Hours: Mon &amp; Tue: 11am - 7pm, Wed - Sat: 11am - 5pm, Sun: closed.</t>
  </si>
  <si>
    <t>Uni of Greenwich</t>
  </si>
  <si>
    <t>Greenwich, London</t>
  </si>
  <si>
    <t>London and South East England university with leading teaching and world class research. Current students follow @GreStudent #ProudtobeGre</t>
  </si>
  <si>
    <t>Pub/Joint</t>
  </si>
  <si>
    <t>Manchester Libraries</t>
  </si>
  <si>
    <t>Thousands of books, internet &amp; wifi, mobile app, CD/DVD hire, study space, archives, an online reference library &amp; it's still FREE to join. Sign up online now!</t>
  </si>
  <si>
    <t>The London Library</t>
  </si>
  <si>
    <t>St James's Square, London</t>
  </si>
  <si>
    <t>A haven for the insatiably curious, with more than a million books on 17 miles of open shelves. Membership is open to all.</t>
  </si>
  <si>
    <t>Iniva</t>
  </si>
  <si>
    <t>Rivington Place, London</t>
  </si>
  <si>
    <t>Iniva creates exhibitions, events &amp; research exploring the diversity of contemporary art &amp; society. Established 1994, home to the #StuartHallLibrary.</t>
  </si>
  <si>
    <t>Bodleian Rare Books</t>
  </si>
  <si>
    <t>Tweets from the Rare Books department of the Bodleian Library, University of Oxford.</t>
  </si>
  <si>
    <t>National Poetry Lib</t>
  </si>
  <si>
    <t>Southbank Centre, London</t>
  </si>
  <si>
    <t>The National Poetry Library is the largest public collection of modern poetry in the world. Based at Southbank Centre, we are free and open to all.</t>
  </si>
  <si>
    <t>Cambridge UL</t>
  </si>
  <si>
    <t>Cambridge, UK</t>
  </si>
  <si>
    <t>Cambridge University Library and Affiliated Libraries. Library news and events from in and around Cambridge.</t>
  </si>
  <si>
    <t>OU_Library</t>
  </si>
  <si>
    <t>Milton Keynes, UK</t>
  </si>
  <si>
    <t>The Open University Library enables OU students and staff around the world to access a world-class online library service</t>
  </si>
  <si>
    <t>Edinburgh Libraries</t>
  </si>
  <si>
    <t>Edinburgh, UK</t>
  </si>
  <si>
    <t>What do you need to know?</t>
  </si>
  <si>
    <t>Commons Library</t>
  </si>
  <si>
    <t>United Kingdom</t>
  </si>
  <si>
    <t>The House of Commons Library provides impartial research and information services for MPs and their staff. Follow our blog at https://t.co/ilXt5fbH3f</t>
  </si>
  <si>
    <t>Med</t>
  </si>
  <si>
    <t>RCPSG Library</t>
  </si>
  <si>
    <t>Glasgow, UK</t>
  </si>
  <si>
    <t>News, events and stories from the library, archive &amp; museum at the Royal College of Physicians and Surgeons of Glasgow.  Blog: https://t.co/Ujjkr36uCb</t>
  </si>
  <si>
    <t>Storyhouse</t>
  </si>
  <si>
    <t>Chester</t>
  </si>
  <si>
    <t>Your brand new £37m theatre, cinema, library, restaurant, bar and arts centre. #ThisHouseIsYourHouse</t>
  </si>
  <si>
    <t>Harris Museum</t>
  </si>
  <si>
    <t>Preston, Lancashire, UK</t>
  </si>
  <si>
    <t>Harris Museum, Art Gallery &amp; Library run by @prestoncouncil @LancashireCC News on collections, exhibitions &amp; events. Free #MartinCreed #HarrisMaker #Preston</t>
  </si>
  <si>
    <t>John Rylands Library</t>
  </si>
  <si>
    <t>Visit our stunning building, with exhibitions, events &amp; the University of Manchester's special collections. #johnrylands See also @UoMLibrary</t>
  </si>
  <si>
    <t>Hull Libraries</t>
  </si>
  <si>
    <t>Kingston upon Hull, UK</t>
  </si>
  <si>
    <t>Hull Libraries twitter feed. Books (of course) and more. Proud to be from the UK 2017 City of Culture. Tel: 01482 210000</t>
  </si>
  <si>
    <t>St Bride Library</t>
  </si>
  <si>
    <t>London EC4Y 8EQ</t>
  </si>
  <si>
    <t>Opened in 1895, the St Bride Library contains over 80,000 books and artefacts covering all aspects of printing, typography and graphic design.</t>
  </si>
  <si>
    <t>UoM Library</t>
  </si>
  <si>
    <t>The University of Manchester Library: Account normally monitored Mon - Fri 9am - 5pm. See also @TheJohnRylands Opening hours are available on our website</t>
  </si>
  <si>
    <t>Leeds Libraries</t>
  </si>
  <si>
    <t>Leeds, England</t>
  </si>
  <si>
    <t>Official Twitter account for Leeds Library and Information Service. Books, eBooks, events, study space, family history and loads more! We're here Mon-Fri 9-5.</t>
  </si>
  <si>
    <t>Newcastle Libraries</t>
  </si>
  <si>
    <t>Newcastle Upon Tyne, England</t>
  </si>
  <si>
    <t>We're the public libraries of Newcastle upon Tyne.
If what you want to tell us is longer than a tweet, call 01912774100 or email information@newcastle.gov.uk</t>
  </si>
  <si>
    <t>GWL</t>
  </si>
  <si>
    <t>23 Landressy Street, Glasgow</t>
  </si>
  <si>
    <t>Glasgow Women’s Library: The only Accredited Museum in the UK dedicated to women’s history, with a lending library, public events &amp; learning opportunities.</t>
  </si>
  <si>
    <t>LiverpoolUniLibrary</t>
  </si>
  <si>
    <t>Liverpool</t>
  </si>
  <si>
    <t>Follow us for news and updates from the University of Liverpool Library. We don't control the heating.</t>
  </si>
  <si>
    <t>Sheffield Libraries</t>
  </si>
  <si>
    <t xml:space="preserve">libraries@sheffield.gov.uk.   </t>
  </si>
  <si>
    <t>http://t.co/lBchY0JTHT</t>
  </si>
  <si>
    <t>LSE Library</t>
  </si>
  <si>
    <t>News and updates from LSE Library. Monday to Friday 09.00 – 17.00. Contact us if you need our help. library.enquiries@lse.ac.uk #LSELibrary</t>
  </si>
  <si>
    <t>Map Library</t>
  </si>
  <si>
    <t>London, UK</t>
  </si>
  <si>
    <t>The British Library's Map Library, bringing you 4.5 million maps &amp; views. Tweets by Tom Harper.</t>
  </si>
  <si>
    <t>Inner Temple Library</t>
  </si>
  <si>
    <t>Current Awareness from the Inner Temple Library. Any opinions expressed here are not those of the Inner Temple. For the Inn’s main account visit @TheInnerTemple</t>
  </si>
  <si>
    <t>Shetland Library</t>
  </si>
  <si>
    <t>Shetland</t>
  </si>
  <si>
    <t>Shetland Library provides public and school library services to Shetland. Free computers, wifi, books, music, e-books, Bookbug, events and loads more.</t>
  </si>
  <si>
    <t>AUB</t>
  </si>
  <si>
    <t>Bournemouth</t>
  </si>
  <si>
    <t>Arts University Bournemouth is an Arts, Design, Media and Performance Specialist University. We turn creativity into careers. #AUBMAKERS</t>
  </si>
  <si>
    <t>Pub/CC</t>
  </si>
  <si>
    <t>Essex Libraries</t>
  </si>
  <si>
    <t>Essex, UK</t>
  </si>
  <si>
    <t>Senate House Library</t>
  </si>
  <si>
    <t>We are the central library of the University of London and hosts of the Radical Voices exhibition 16/01/17 - 12/05/2017</t>
  </si>
  <si>
    <t>LambethPalaceLibrary</t>
  </si>
  <si>
    <t>Lambeth and Bermondsey</t>
  </si>
  <si>
    <t>Tweets from Lambeth Palace Library, the library and record office of the Archbishops of Canterbury, and the Church of England Record Centre.</t>
  </si>
  <si>
    <t>The Hive</t>
  </si>
  <si>
    <t>Worcester</t>
  </si>
  <si>
    <t>Public and University Library | Worcestershire Archive &amp; Archaeology Service | Worcestershire Hub | Business Centre | Space for Hire l Cafe</t>
  </si>
  <si>
    <t>BishopsgateInstitute</t>
  </si>
  <si>
    <t>230 Bishopsgate, London, UK</t>
  </si>
  <si>
    <t>An independent, free-thinking organisation since 1895, we are home to a library, historical archives, talks, discussions and courses.</t>
  </si>
  <si>
    <t>QUB Library</t>
  </si>
  <si>
    <t>Belfast, Northern Ireland</t>
  </si>
  <si>
    <t>Incorporating The McClay, Biomedical, Medical &amp; AFBI Libraries.This account is monitored Mon-Fri 9:00am-5:00pm.Weekends &amp; evenings will be covered sporadically.</t>
  </si>
  <si>
    <t>Glasgow Libraries</t>
  </si>
  <si>
    <t>Glasgow</t>
  </si>
  <si>
    <t>Glasgow Libraries:
Free to join &amp; borrow books
Free PC &amp; internet access
Events &amp; activities
Children's books
Glasgow information
CDs/DVDs
Book groups</t>
  </si>
  <si>
    <t>Surrey Libraries UK</t>
  </si>
  <si>
    <t>Surrey, UK</t>
  </si>
  <si>
    <t>Surrey Libraries for Books! eBooks, events for children &amp; teens, author visits, learning, explore our Online Ref shelf,  Ask us at: http://t.co/m1JtlHgHiD</t>
  </si>
  <si>
    <t>NHM Library&amp;Archives</t>
  </si>
  <si>
    <t>Natural History Museum, London</t>
  </si>
  <si>
    <t>The Natural History Museum Library &amp; Archives; one of the finest collections of natural history literature, art and e-resources. Come and research with us.</t>
  </si>
  <si>
    <t>Lancashire libraries</t>
  </si>
  <si>
    <t>Lancashire, England</t>
  </si>
  <si>
    <t>Lancashire Loves Libraries. Lancashire County Council's libraries making a difference through reading, learning and information.</t>
  </si>
  <si>
    <t>The King's Fund IKS</t>
  </si>
  <si>
    <t>Information &amp; Knowledge Services at @TheKingsFund. We cover UK health &amp; social care policy and we're happy to answer your enquiries: library@kingsfund.org.uk</t>
  </si>
  <si>
    <t>ChawtonHouseLibrary</t>
  </si>
  <si>
    <t>Chawton, Hampshire</t>
  </si>
  <si>
    <t>UK registered charity with a unique collection of books focusing on women's writing in English from 1600 to 1830,in Jane Austen's Brother, Edward's former home.</t>
  </si>
  <si>
    <t>Gladstone's Library</t>
  </si>
  <si>
    <t>Hawarden</t>
  </si>
  <si>
    <t>Gladstone's Library is one of a kind - a residential library and meeting place dedicated to dialogue, debate and learning for open-minded individuals.</t>
  </si>
  <si>
    <t>Norfolk Libraries</t>
  </si>
  <si>
    <t>Norfolk, UK</t>
  </si>
  <si>
    <t>News on books, events, information in community &amp; mobile libraries across Norfolk. Social Media Team tweeting between customers. Managed by @NorfolkCC</t>
  </si>
  <si>
    <t>The Wiener Library</t>
  </si>
  <si>
    <t>The #WienerLibrary for the Study of the Holocaust &amp; Genocide is the world's oldest Holocaust archive and Britain's largest collection on the Nazi era.</t>
  </si>
  <si>
    <t>Guildhall Library</t>
  </si>
  <si>
    <t xml:space="preserve">City of London </t>
  </si>
  <si>
    <t>The original Library at Guildhall was founded in the 1420s. Today, it is a major public reference library which specialises in the history of London.</t>
  </si>
  <si>
    <t>Sussex Library</t>
  </si>
  <si>
    <t>Falmer, East Sussex, UK</t>
  </si>
  <si>
    <t>University of Sussex Library delivers high-quality, innovative information services. We answer your tweets 9am to 5pm, Mon-Fri.</t>
  </si>
  <si>
    <t>The Lit and Phil</t>
  </si>
  <si>
    <t>Newcastle-upon-Tyne, England</t>
  </si>
  <si>
    <t>The Literary &amp; Philosophical Society (Lit &amp; Phil) is the largest independent library outside London, housing over 160,000 books.</t>
  </si>
  <si>
    <t>The Portico Library</t>
  </si>
  <si>
    <t>57 Mosley St, Manchester</t>
  </si>
  <si>
    <t>Discover one of Manchester's hidden gems - a 19th century research library, an exhibition space, events venue, and an oasis for reading, writing and relaxing.</t>
  </si>
  <si>
    <t>Hull Uni Library</t>
  </si>
  <si>
    <t>Hull, East Yorkshire, UK</t>
  </si>
  <si>
    <t>News, events, training, information, new resources and alerts from the Brynmor Jones Library, at The University of Hull. Open 24/7</t>
  </si>
  <si>
    <t>UofG Library</t>
  </si>
  <si>
    <t>University of Glasgow Library - on call 9am-6pm weekdays. For help at weekends visit the Library between 1pm and 4:55pm or call 0141 330 6704.</t>
  </si>
  <si>
    <t>LeedsBeckett Library</t>
  </si>
  <si>
    <t>Leeds</t>
  </si>
  <si>
    <t>The Library at Leeds Beckett University. The Library is open 24/7 365 and we're here to tweet whenever we can. 
Chat or phone for 24/7 support.</t>
  </si>
  <si>
    <t>B'ton&amp;HoveLibraries</t>
  </si>
  <si>
    <t>Brighton &amp; Hove, UK</t>
  </si>
  <si>
    <t>Official Twitter pages of Brighton &amp; Hove City Library Service - email libraries@brighton-hove.gov.uk tel: 01273 290800 to contact us</t>
  </si>
  <si>
    <t>Plymouth Libraries</t>
  </si>
  <si>
    <t>Plymouth</t>
  </si>
  <si>
    <t>Plymouth City Council's Library Service. Free books, eBooks, Internet &amp; Wi-Fi. Hire DVDs. Study space and resources, plus lots more. Most Tweets by Claire.</t>
  </si>
  <si>
    <t>Discovery Centre</t>
  </si>
  <si>
    <t>Winchester</t>
  </si>
  <si>
    <t>A library, gallery, events venue, free Wi-Fi provider and cafe on Jewry St. Winchester SO23 8SB. Call 01962 873603 for events!</t>
  </si>
  <si>
    <t>Libs and Museums</t>
  </si>
  <si>
    <t>Bolton, Lancashire, UK</t>
  </si>
  <si>
    <t>Get the latest updates and information about Bolton Library and Museum Services including Bolton Aquarium, Hall i' th' Wood Museum and Smithills Hall</t>
  </si>
  <si>
    <t>Durham Uni Library</t>
  </si>
  <si>
    <t>Durham / Stockton-on-Tees, UK</t>
  </si>
  <si>
    <t>Follow us for updates on Durham University Library. http://t.co/uMNz77e6Jf</t>
  </si>
  <si>
    <t>Deptford Lounge</t>
  </si>
  <si>
    <t>Deptford, London</t>
  </si>
  <si>
    <t>The Deptford Lounge is an award winning landmark building at the heart of the community in Deptford Town Centre, South East London.</t>
  </si>
  <si>
    <t>Chetham's Library</t>
  </si>
  <si>
    <t>Chetham's Library was founded in 1653 and is the oldest surviving public library in the English speaking world</t>
  </si>
  <si>
    <t>Devon Libraries</t>
  </si>
  <si>
    <t>Devon</t>
  </si>
  <si>
    <t>Part of charity @LibrariesUnLtd, @DevonLibraries consists of 50 public libraries, four mobile libraries and three prison libraries across Devon.</t>
  </si>
  <si>
    <t>UoP Library</t>
  </si>
  <si>
    <t xml:space="preserve">Portsmouth </t>
  </si>
  <si>
    <t>The University of Portsmouth Library on Twitter.  A mixture of fun and useful tweets for anyone getting started, getting on or getting stuck.</t>
  </si>
  <si>
    <t>SOAS Library</t>
  </si>
  <si>
    <t>SOAS Library staff tweet daily with updates on the Library and beyond.
Tweeting 9-5 Monday-Friday.
Got a question? Ask here or call 020 7898 4163</t>
  </si>
  <si>
    <t>Shropshire Libraries</t>
  </si>
  <si>
    <t>Shropshire, UK</t>
  </si>
  <si>
    <t>A lively Twitter account celebrating wonderful libraries. This account is mainly monitored during 9-5, Mon-Fri so please bear with us outside of these times.</t>
  </si>
  <si>
    <t>Warwick Uni Library</t>
  </si>
  <si>
    <t>Warwick Uni, Coventry, UK</t>
  </si>
  <si>
    <t>Your friendly neighbourhood librarian. We staff this Twitter account from 9am-5pm Monday-Thursday and 9am-4pm on Fridays.</t>
  </si>
  <si>
    <t>King's Libraries</t>
  </si>
  <si>
    <t>Find out what's going on at the libraries of King's College London. See our Instagram @kings_libraries</t>
  </si>
  <si>
    <t>Uni of Sheffield Lib</t>
  </si>
  <si>
    <t>Sheffield, UK</t>
  </si>
  <si>
    <t>Need help? Follow us on Twitter for the latest news on Library services. Feel free to ask us questions too!</t>
  </si>
  <si>
    <t>Leics Libraries</t>
  </si>
  <si>
    <t>Leicestershire, UK</t>
  </si>
  <si>
    <t>Not just your ordinary library, we also offer free eBooks, eAudiobooks &amp; loads more with our digital service: https://t.co/lp6gBdkjal</t>
  </si>
  <si>
    <t>WCML</t>
  </si>
  <si>
    <t>Salford</t>
  </si>
  <si>
    <t>Working Class Movement Library - a unique collection capturing the stories and struggles of ordinary people's efforts to improve their world. Open to all</t>
  </si>
  <si>
    <t>Linen Hall Library</t>
  </si>
  <si>
    <t>The Linen Hall Library is Belfast's oldest library (1788) and one of the oldest in the UK. It is a library and cultural centre with world renowned collections.</t>
  </si>
  <si>
    <t>UCL Main Library</t>
  </si>
  <si>
    <t>Updates from @ucl Main Library, run by Rose, Esther &amp; Rachel from the Customer Service Team. We'd love to hear from you! Normally monitored Mon-Fri 9am-7pm.</t>
  </si>
  <si>
    <t>Dundee Libraries</t>
  </si>
  <si>
    <t>Dundee, Scotland</t>
  </si>
  <si>
    <t>Leisure &amp; Culture Dundee Libraries. Read, Relax, Rediscover. #Dundee #DigitalParticipation</t>
  </si>
  <si>
    <t>Suffolk Libraries UK</t>
  </si>
  <si>
    <t>Suffolk, UK</t>
  </si>
  <si>
    <t>Latest news, events and books, audio and DVDs. Free e-books, wi-fi and online resources across the county.</t>
  </si>
  <si>
    <t>SurreyHistoryCentre</t>
  </si>
  <si>
    <t>Surrey, England. GU21 6ND</t>
  </si>
  <si>
    <t>Follow the County Archive, Local Studies Library &amp; Surrey County Archaeological Unit at Surrey History Centre. Join the conversation about Surrey’s Heritage!</t>
  </si>
  <si>
    <t>Bod Hist Fac Lib</t>
  </si>
  <si>
    <t xml:space="preserve">Radcliffe Camera, Oxford, UK </t>
  </si>
  <si>
    <t>The Bodleian History Faculty Library serves primarily the History Faculty. Catch up with our news on services, collections and new resources.</t>
  </si>
  <si>
    <t>Pub/Borough</t>
  </si>
  <si>
    <t>Haringey Libraries</t>
  </si>
  <si>
    <t>London Borough of Haringey</t>
  </si>
  <si>
    <t>Updates from Haringey's libraries, museums, galleries, bookshops, community learning, cultural happenings - your friendly librarians writing the tweets</t>
  </si>
  <si>
    <t>Libraries NI</t>
  </si>
  <si>
    <t>Northern Ireland</t>
  </si>
  <si>
    <t>Public library service for N.I. Twitter is not monitored 24/7. Support: 0345 4504 580. We use third party apps -these can access communications you have with us</t>
  </si>
  <si>
    <t>YourLiveWire</t>
  </si>
  <si>
    <t>Warrington</t>
  </si>
  <si>
    <t>LiveWire deliver Leisure, Library and Lifestyles services in Warrington, to improve the health and wellbeing for the local community.</t>
  </si>
  <si>
    <t>Cardiff Libraries</t>
  </si>
  <si>
    <t>Cardiff, Wales.</t>
  </si>
  <si>
    <t>Your local life-support system.</t>
  </si>
  <si>
    <t>Uni of York Library</t>
  </si>
  <si>
    <t>York, England</t>
  </si>
  <si>
    <t>Follow us on Twitter for the latest news on Library services. Feel free to ask us questions too!</t>
  </si>
  <si>
    <t>The Florrie</t>
  </si>
  <si>
    <t xml:space="preserve">Liverpool </t>
  </si>
  <si>
    <t>L8's Social Gem/Grade II listed/Grand Hall/Gym/Heritage Resource Centre &amp; Library/Community Events/ Arts/Music/ Visitor attraction/Café / Functions 01517282323</t>
  </si>
  <si>
    <t>Sch/FE</t>
  </si>
  <si>
    <t>St Helens Libraries</t>
  </si>
  <si>
    <t>St.Helens</t>
  </si>
  <si>
    <t>St Helens Libraries, Schools Library Service, Arts, Archives and Learning. We tweet the latest library news, events, info and of course books! 01744 676989</t>
  </si>
  <si>
    <t>Swindon Libraries</t>
  </si>
  <si>
    <t>Swindon, Wiltshire UK</t>
  </si>
  <si>
    <t>Tweeting events, books and interesting tidbits of information. For general/policy queries etc. contact Library Services at: http://t.co/i6zOmYltcu</t>
  </si>
  <si>
    <t>UCL Libraries</t>
  </si>
  <si>
    <t>Bloomsbury &amp; Beyond</t>
  </si>
  <si>
    <t>News &amp; Information from UCL Libraries. Help also available via https://t.co/tLKnuRwGRy</t>
  </si>
  <si>
    <t>Notts. Libraries</t>
  </si>
  <si>
    <t>Nottinghamshire</t>
  </si>
  <si>
    <t>Inspire is a Community Benefit Society delivering library services on behalf on Notts CC</t>
  </si>
  <si>
    <t>Birkbeck Library</t>
  </si>
  <si>
    <t>Bloomsbury, London, UK</t>
  </si>
  <si>
    <t>The Library at Birkbeck, University of London. Follow for updates about the Library &amp; other Birkbeck matters. More support at library-help@bbk.ac.uk</t>
  </si>
  <si>
    <t>UOL Library</t>
  </si>
  <si>
    <t>Brayford Pool, Lincoln</t>
  </si>
  <si>
    <t>Advice, competitions and more from the University of Lincoln Library at  @unilincoln. We're #MoreThanJustBooks</t>
  </si>
  <si>
    <t>Stuart Hall Library</t>
  </si>
  <si>
    <t>From May 2017, we will begin to combine the Iniva and Stuart Hall Library Twitter channels  using only @iniva_arts. Please move over to follow us</t>
  </si>
  <si>
    <t>Swansea Libraries</t>
  </si>
  <si>
    <t>Swansea, Wales, UK</t>
  </si>
  <si>
    <t>Swansea Library Service information, news and events. Tweets monitored Monday - Friday. Retweets are not an endorsement. Follow us in Welsh @Darganfodmwy</t>
  </si>
  <si>
    <t>UCL Science Library</t>
  </si>
  <si>
    <t>London, WC1E 6BT</t>
  </si>
  <si>
    <t>Supporting @ucl's research, learning &amp; teaching by providing services, resources, training &amp; guidance.  Email us library@ucl.ac.uk.</t>
  </si>
  <si>
    <t>MMU Library</t>
  </si>
  <si>
    <t>Manchester and Crewe, UK</t>
  </si>
  <si>
    <t>News and updates from Manchester Metropolitan University Library.</t>
  </si>
  <si>
    <t>Local Studies</t>
  </si>
  <si>
    <t>Swindon</t>
  </si>
  <si>
    <t>Official account for Local Studies, Central Library, Regent Circus, Swindon SN1 1QG (01793) 463238 localstudies@swindon.gov.uk RTs/Follows are not endorsements.</t>
  </si>
  <si>
    <t>RNIB Library</t>
  </si>
  <si>
    <t>UK</t>
  </si>
  <si>
    <t>RNIB Library is the largest library in the United Kingdom for readers with sight loss; we currently have over 60,000 titles ... and we are growing all the time.</t>
  </si>
  <si>
    <t>RMBC Culture&amp;Leisure</t>
  </si>
  <si>
    <t>Rotherham</t>
  </si>
  <si>
    <t>Theatre - Events - Sport - Parks - Museums - Libraries</t>
  </si>
  <si>
    <t>Leicester Libraries</t>
  </si>
  <si>
    <t>Leicester Libraries UK</t>
  </si>
  <si>
    <t>Official twitter account. Supporting your community with free services &amp; resources, books, computers, eBooks &amp; Wi-Fi. We are here Mon to Fri office hours.</t>
  </si>
  <si>
    <t>Imperial Library</t>
  </si>
  <si>
    <t>Imperial College London Library news, events &amp; service updates. We'll reply to queries Mon-Fri 9.30-5.30. To report noise at Central Library text 0207 594 8883.</t>
  </si>
  <si>
    <t>Liverpool Libraries</t>
  </si>
  <si>
    <t>Liverpool, England, UK</t>
  </si>
  <si>
    <t>Internationally important flagship library service. Delivering reading information, learning and culture to  Liverpool communities since 1860</t>
  </si>
  <si>
    <t>Newman University</t>
  </si>
  <si>
    <t>Birmingham, UK</t>
  </si>
  <si>
    <t>Student-centred university based in Birmingham UK. Join us on http://t.co/l0g4icbFq8 &amp; Instagram: newmanuni</t>
  </si>
  <si>
    <t>Islington Libraries</t>
  </si>
  <si>
    <t>London Borough of Islington</t>
  </si>
  <si>
    <t>Bristol Libraries</t>
  </si>
  <si>
    <t>Bristol, England, UK</t>
  </si>
  <si>
    <t>A public library service offering free access to books  and digital resources in 27 branches &amp; online. We host great author events and activities for all ages.</t>
  </si>
  <si>
    <t>Strath Library &amp; IT</t>
  </si>
  <si>
    <t>Glasgow, Scotland</t>
  </si>
  <si>
    <t>Tweets from University of Strathclyde Library and IT services. Tweets monitored 9-5 Monday-Friday. Email us: help@strath.ac.uk</t>
  </si>
  <si>
    <t>GM AHSN</t>
  </si>
  <si>
    <t>Greater Manchester</t>
  </si>
  <si>
    <t>Greater Manchester Academic Health Science Network - delivering wealth creation and health improvement to Greater Manchester, East Lancashire and East Cheshire</t>
  </si>
  <si>
    <t>Bucks Libraries</t>
  </si>
  <si>
    <t>Buckinghamshire, UK</t>
  </si>
  <si>
    <t>Public library service for the residents of Buckinghamshire and the surrounding areas. Not monitored 24 hrs.</t>
  </si>
  <si>
    <t>Brixton Tate Library</t>
  </si>
  <si>
    <t>Brixton, London</t>
  </si>
  <si>
    <t>Discover the world's knowledge from the centre of Brixton.
Books, DVDs, Events, Free WI-FI, Computers and more</t>
  </si>
  <si>
    <t>Southend Libraries</t>
  </si>
  <si>
    <t>Southend on Sea</t>
  </si>
  <si>
    <t>Six library branches in Southend-on-Sea. Follow us to discover all the resources and events on your doorstep. This feed is checked once a day on weekdays.</t>
  </si>
  <si>
    <t>Wakefield Libraries</t>
  </si>
  <si>
    <t>Wakefield District, Yorkshire</t>
  </si>
  <si>
    <t>@MyWakefield Council Library tweets. Follow us for news, reviews &amp; events, plus oodles of free online resources, learning courses &amp; historical photographs</t>
  </si>
  <si>
    <t>Bradford Libraries</t>
  </si>
  <si>
    <t>Bradford, West Yorkshire, UK</t>
  </si>
  <si>
    <t>Welcome to Bradford Libraries Twitter feed.  Keeping you up to date with all the latest news, events and ramblings from Bradford's libraries.</t>
  </si>
  <si>
    <t>LibraryLine (Claire, Jacky &amp; Sarah) is the Swansea Libraries specialist enquiry service. Retweets are not an endorsement.  Follow us in Welsh @LlinellLyfrau</t>
  </si>
  <si>
    <t>Idea Store</t>
  </si>
  <si>
    <t>Tower Hamlets</t>
  </si>
  <si>
    <t>Idea Stores combine the best of traditional library and information services with lifelong learning opportunities</t>
  </si>
  <si>
    <t>Gateshead Libraries</t>
  </si>
  <si>
    <t>Gateshead, Tyne and Wear, UK</t>
  </si>
  <si>
    <t>Official Twitter page of Gateshead Libraries. Bringing Words To Life. Watch out for news, events and lots more!</t>
  </si>
  <si>
    <t>Explore</t>
  </si>
  <si>
    <t>York, UK</t>
  </si>
  <si>
    <t>Keeping you up to date with Explore York Libraries &amp; Archives. Our individual libraries also have their own accounts.</t>
  </si>
  <si>
    <t>Stockton Libraries</t>
  </si>
  <si>
    <t>Stockton-on-Tees</t>
  </si>
  <si>
    <t>Stockton-on-Tees Library &amp; Information Service. We generally tweet during normal working hours.</t>
  </si>
  <si>
    <t>CSM Library</t>
  </si>
  <si>
    <t>London N1C 4AA</t>
  </si>
  <si>
    <t>Central Saint Martins Library (University of the Arts London). Interests include fashion, fine art, architecture, design, textiles, graphics &amp; performance</t>
  </si>
  <si>
    <t>Falkirk Libraries</t>
  </si>
  <si>
    <t>Falkirk</t>
  </si>
  <si>
    <t>Tweeting about libraries in Falkirk and other stuff</t>
  </si>
  <si>
    <t>Walsall Libraries</t>
  </si>
  <si>
    <t>Walsall, UK</t>
  </si>
  <si>
    <t>We are a public library service in the Black Country. Our enthusiastic librarians will be tweeting and answering your enquiries. DM us with your questions!</t>
  </si>
  <si>
    <t>Newcastle Uni Lib</t>
  </si>
  <si>
    <t>Newcastle upon Tyne</t>
  </si>
  <si>
    <t>Updates about your library, city and beyond from the Philip Robinson Library &amp; Marjorie Robinson Library Rooms, Newcastle University.</t>
  </si>
  <si>
    <t>M'Bro Libraries</t>
  </si>
  <si>
    <t>Middlesbrough</t>
  </si>
  <si>
    <t>The Official Twitter Page of Middlesbrough Libraries.</t>
  </si>
  <si>
    <t>Cambridge HPS</t>
  </si>
  <si>
    <t>The Department of History and Philosophy of Science at the University of Cambridge. Our library (@hpslib) and museum (@WhippleMuseum) are also on Twitter.</t>
  </si>
  <si>
    <t>Herefordshire Libs</t>
  </si>
  <si>
    <t>Herefordshire, UK</t>
  </si>
  <si>
    <t>Welcome to the Twitter account for Herefordshire Libraries UK! We have 11 libraries in total. Follow us for all of the latest news and events.</t>
  </si>
  <si>
    <t>Cambs Libraries</t>
  </si>
  <si>
    <t>Cambridgeshire, UK</t>
  </si>
  <si>
    <t>News and events from Cambridgeshire Libraries, Archives, and Learning.</t>
  </si>
  <si>
    <t>Brunel Library</t>
  </si>
  <si>
    <t>Uxbridge, London</t>
  </si>
  <si>
    <t>The official Twitter feed for the Library at Brunel University London, the second home for Brunel students. Tweets brought to you by Christina. DMs open.</t>
  </si>
  <si>
    <t>UEA Library</t>
  </si>
  <si>
    <t xml:space="preserve"> Norwich, UK</t>
  </si>
  <si>
    <t>This is the official Twitter account for UEA Library. Follow us for our latest news.</t>
  </si>
  <si>
    <t>Save The Library</t>
  </si>
  <si>
    <t>Crystal Palace, London</t>
  </si>
  <si>
    <t>Upper Norwood Joint Library faces huge challenges as Lambeth and Croydon Council plan to slash their shares of funding. We need your help to save it.</t>
  </si>
  <si>
    <t>MK Libraries</t>
  </si>
  <si>
    <t>Milton Keynes - UK</t>
  </si>
  <si>
    <t>The nine Milton Keynes Libraries provide an open door to anyone seeking information, access to IT facilities or a space to study and meet.</t>
  </si>
  <si>
    <t>Goldsmiths Library</t>
  </si>
  <si>
    <t>Lewisham, London</t>
  </si>
  <si>
    <t>Goldsmiths Library is open 24/7! Follow us for news and updates or to have your library questions answered.  https://t.co/CZcpSm1zap
https://t.co/wQHd0B947F</t>
  </si>
  <si>
    <t>UoL Library</t>
  </si>
  <si>
    <t>Leeds University Library</t>
  </si>
  <si>
    <t>News and updates from Leeds University Library. The account is monitored Mon - Fri 9am - 5pm, so please tweet us your queries. #BeInspired #JustAsk</t>
  </si>
  <si>
    <t>Belfast Central Lib</t>
  </si>
  <si>
    <t>Royal Avenue, Belfast, BT1 1EA</t>
  </si>
  <si>
    <t>(Twitter is not monitored 24/7). Please contact Library during opening hours. Mon &amp; Thur: 09:00 - 20:00, Tues, Wed &amp; Fri: 10:00 - 17:30, Sat: 10:00 - 16:30</t>
  </si>
  <si>
    <t>The Library</t>
  </si>
  <si>
    <t>St Andrews, Fife, Scotland</t>
  </si>
  <si>
    <t>University of St Andrews Library posting resources, events, and Library news! We can answer Tweets Mon-Fri, 9-5. On Facebook &amp; blog: http://t.co/lLYl0ywgyi</t>
  </si>
  <si>
    <t>QMUL Library</t>
  </si>
  <si>
    <t>Queen Mary University of London Library, Thinking 'outside the book' to make the library more resourceful for you...</t>
  </si>
  <si>
    <t>Guildford Library</t>
  </si>
  <si>
    <t>Guildford, Surrey, UK.</t>
  </si>
  <si>
    <t>Official account for Guildford Library. There's more to your library than just books! Get the latest information, events &amp; releases from your library.</t>
  </si>
  <si>
    <t>York Explore</t>
  </si>
  <si>
    <t>Library Square York YO1 7DS</t>
  </si>
  <si>
    <t>York Explore Library and Archive at the cultural heart of the city. To delight you is our aim. Open seven days a week.</t>
  </si>
  <si>
    <t>Lewisham Libraries</t>
  </si>
  <si>
    <t>Lewisham Libraries - news, reading and activities</t>
  </si>
  <si>
    <t>Kirklees Libs</t>
  </si>
  <si>
    <t>Kirklees, West Yorkshire</t>
  </si>
  <si>
    <t>Welcome to Kirklees Libraries. Follow us to find out what services you can get access to at your local libraries.</t>
  </si>
  <si>
    <t>South Tyne Libraries</t>
  </si>
  <si>
    <t>South Tyneside</t>
  </si>
  <si>
    <t>Find out what's happening in South Tyneside Libraries. Most tweets by Tom, Julia and Pauline.</t>
  </si>
  <si>
    <t>Havering Libraries</t>
  </si>
  <si>
    <t>Havering, London</t>
  </si>
  <si>
    <t>Our Libraries continue to go from strength to strength thanks to your continued support. We aim to respond to tweets within 24 hours! Thank you!</t>
  </si>
  <si>
    <t>Exeter Library</t>
  </si>
  <si>
    <t>Exeter, Devon, UK</t>
  </si>
  <si>
    <t>We do books, DVDs, business advice (@bipcexeter), @fablabdevon, meeting rooms &amp; more. Tweets by Karen, Jo, Joe and Emily. RTs are not endorsements.</t>
  </si>
  <si>
    <t>ON at Fife Libraries</t>
  </si>
  <si>
    <t>Fife</t>
  </si>
  <si>
    <t>Part of Fife Cultural Trust. Charity SCO43442</t>
  </si>
  <si>
    <t>Wiltshire Libraries</t>
  </si>
  <si>
    <t>Wiltshire, UK</t>
  </si>
  <si>
    <t>Wiltshire Council Libraries. Free to join, borrow books &amp; access the Internet. Events, online resources, DVD hire &amp; more. libraryenquiries@wiltshire.gov.uk</t>
  </si>
  <si>
    <t>Bute Library</t>
  </si>
  <si>
    <t>Cardiff, Wales</t>
  </si>
  <si>
    <t>Library for Journalism Media &amp; Culture, Geography &amp; Planning, Social Sciences and Pharmacy. Cardiff University. Tweets mostly Rob, others encouraged. No cats.</t>
  </si>
  <si>
    <t>York Libraries</t>
  </si>
  <si>
    <t>York, Pennsylvania</t>
  </si>
  <si>
    <t>Thirteen York County Libraries ready to help you find Answers for Living. Knowledge for Life.</t>
  </si>
  <si>
    <t>Dudley Libraries</t>
  </si>
  <si>
    <t>Dudley, West Midlands</t>
  </si>
  <si>
    <t>Twitter feed for the 13 Libraries, 4 Library Links and all the services that they offer within Dudley Metropolitan Borough.</t>
  </si>
  <si>
    <t>RHUL Library</t>
  </si>
  <si>
    <t>Egham, Surrey, UK</t>
  </si>
  <si>
    <t>Royal Holloway, University of London Library Services - including both Bedford and Founder's Libraries on its Egham campus.</t>
  </si>
  <si>
    <t>Abergavenny Hub</t>
  </si>
  <si>
    <t>Abergavenny</t>
  </si>
  <si>
    <t>One Stop Shop for advice and support relating to council, community and library services.</t>
  </si>
  <si>
    <t>RBWM Library Service</t>
  </si>
  <si>
    <t>Maidenhead</t>
  </si>
  <si>
    <t>Royal Borough of Windsor and Maidenhead Library Service. 
We are RBWM Libraries and we ❤ books! Our mission is to promote reading! 
Instagram: RBWM_Libraries</t>
  </si>
  <si>
    <t>Westminster Libs</t>
  </si>
  <si>
    <t>Central London, UK</t>
  </si>
  <si>
    <t>Follow us for updates on events, new resources, what's on in Westminster Libraries...</t>
  </si>
  <si>
    <t>Blackpool Libraries</t>
  </si>
  <si>
    <t>Blackpool</t>
  </si>
  <si>
    <t>Join the library FREE today and get full access to 1000s of books, study space, internet, Wi-Fi &amp; a specialised Local &amp; Family History Centre.</t>
  </si>
  <si>
    <t>TaviPort Library</t>
  </si>
  <si>
    <t>The Tavistock and Portman NHS Foundation Trust Library – the latest news, books and resources in mental health. Tweet us with questions or suggestions</t>
  </si>
  <si>
    <t>Hampshire Libraries</t>
  </si>
  <si>
    <t>Winchester, Hampshire UK</t>
  </si>
  <si>
    <t>We are responsible for over 50 libraries &amp; Discovery Centres, and we support five community libraries. This account is not monitored at weekends.</t>
  </si>
  <si>
    <t>Halton Libraries</t>
  </si>
  <si>
    <t>Cheshire</t>
  </si>
  <si>
    <t>Halton Libraries official Twitter account. Online reference resources, e-books, Internet and wi-fi and thousands of books.  Free to join.</t>
  </si>
  <si>
    <t>SHU Library</t>
  </si>
  <si>
    <t>Sheffield</t>
  </si>
  <si>
    <t>News and information from Sheffield Hallam University Library. Adsetts and Collegiate Libraries are open 24/7 all year round!</t>
  </si>
  <si>
    <t>N.Tyneside Libraries</t>
  </si>
  <si>
    <t>North Tyneside, Tyne &amp; Wear</t>
  </si>
  <si>
    <t>News &amp; information, events, activities &amp; lots more from North Tyneside Libraries, Tourist Information &amp; Community Centres. Come and join us!</t>
  </si>
  <si>
    <t>LJMU Library</t>
  </si>
  <si>
    <t>Liverpool John Moores University Library Services, tweeting news and updates about our services. Tweets monitored Mon-Fri 08:45-23:00 and Saturday 10:00-16:00</t>
  </si>
  <si>
    <t>DMU Library&amp;Learning</t>
  </si>
  <si>
    <t>Feedback? Tell us more via</t>
  </si>
  <si>
    <t>Updates from Libraries and Learning at De Montfort University, Leicester. Questions? Email justask@dmu.ac.uk or Tel 0116 257 7042 for support. Character our own</t>
  </si>
  <si>
    <t>Innerpeffray Library</t>
  </si>
  <si>
    <t>Perthshire, Scotland, UK.</t>
  </si>
  <si>
    <t>Scotland's Oldest Free Lending Library, est 1680 and located in a tranquil woodland setting close by the River Earn in Perthshire, Scotland.</t>
  </si>
  <si>
    <t>GSA Library+Archives</t>
  </si>
  <si>
    <t>Glasgow School of Art Library and Archives. You can read our twitter policy here: https://t.co/kcOZCusZu5</t>
  </si>
  <si>
    <t>Brent Culture</t>
  </si>
  <si>
    <t>We deliver exciting events, healthy living support and access to a world of learning, information and culture. View our house rules -https://t.co/lWu6eF2PAq</t>
  </si>
  <si>
    <t>London Libraries</t>
  </si>
  <si>
    <t>London, England</t>
  </si>
  <si>
    <t>London Libraries: connecting people &amp; ideas. Follow us for the exciting goings-on in the city's public libraries. Do you have a #LibrariesChangedMe story?</t>
  </si>
  <si>
    <t>UKC Library and IT</t>
  </si>
  <si>
    <t>University of Kent</t>
  </si>
  <si>
    <t>Updates from Library and IT services on the University of Kent's Canterbury campus, including the Templeman Library.</t>
  </si>
  <si>
    <t>Salford Uni Library</t>
  </si>
  <si>
    <t>We provide a range of library and ICT related services at the University of Salford. We monitor this account Monday - Friday, 9am - 5pm. 0161 295 5535</t>
  </si>
  <si>
    <t>Cardiff Uni Library</t>
  </si>
  <si>
    <t>Official account for the Cardiff University Library Service. Keep up to date with your libraries! Let us know what you’re up to! Online 9-5 Mon-Fri (usually!).</t>
  </si>
  <si>
    <t>RCPE Heritage</t>
  </si>
  <si>
    <t>Edinburgh, Scotland</t>
  </si>
  <si>
    <t>Events, news, and discoveries from the Library and Archives of the Royal College of Physicians of Edinburgh.  Follow @RCPEdin for College news.</t>
  </si>
  <si>
    <t>Luton Libraries</t>
  </si>
  <si>
    <t>Luton</t>
  </si>
  <si>
    <t>Luton Libraries have something for everyone, from books to computers, learning and events, activities or quiet study space.</t>
  </si>
  <si>
    <t>Southwark Libraries</t>
  </si>
  <si>
    <t>Southwark, London, UK</t>
  </si>
  <si>
    <t>What's on in your library? Author talks, children's activities, book reviews, reading groups and lots more from the Southwark Council Libraries team.</t>
  </si>
  <si>
    <t>Swansea Uni Library</t>
  </si>
  <si>
    <t>Swansea University</t>
  </si>
  <si>
    <t>Official account for Swansea University Libraries keeping you up to date with news and events. We're usually online 9-5 Monday-Sunday if you have any questions.</t>
  </si>
  <si>
    <t>Enfield Libraries</t>
  </si>
  <si>
    <t>London Borough of Enfield</t>
  </si>
  <si>
    <t>17 Libraries,1 Virtual Library. Free to join. Replying to tweets Mon-Fri between 9am and 5pm. Follow for books, local information and more!</t>
  </si>
  <si>
    <t>City Uni Library</t>
  </si>
  <si>
    <t>Northampton Square, London</t>
  </si>
  <si>
    <t>Keep up-to-date with Library Services at City, University of London. Responding to your tweets Mon – Fri, 9am – 5pm.</t>
  </si>
  <si>
    <t>Bodleian Law Library</t>
  </si>
  <si>
    <t>Oxford</t>
  </si>
  <si>
    <t>We offer great support and resources to our students, academics and the legal community. Follow us to find out more...</t>
  </si>
  <si>
    <t>Arthur Rank Hospice</t>
  </si>
  <si>
    <t>Cambridge, England</t>
  </si>
  <si>
    <t>Supporting people in Cambridgeshire living with a life-limiting illness. Our care and services are provided free of charge to make every moment count.</t>
  </si>
  <si>
    <t>Ask Bolton Libraries</t>
  </si>
  <si>
    <t>Bolton</t>
  </si>
  <si>
    <t>Tweeting Mon - Sat with #librariesinfo  #touristinfo #businessinfo #healthylibraries 
and so much more. Got a question? We're always #happytohelp</t>
  </si>
  <si>
    <t>Bristol Uni Library</t>
  </si>
  <si>
    <t>Bristol, England</t>
  </si>
  <si>
    <t>News and updates from the University of Bristol Library. Responding to queries Monday to Friday, 9am–5pm.</t>
  </si>
  <si>
    <t>Stirling Libraries</t>
  </si>
  <si>
    <t>Scotland</t>
  </si>
  <si>
    <t>Stirling Council's Library Service, providing top notch libraries from Killin to Strathblane.
 #OffThePage2017
 https://t.co/cX7b3Ji18m</t>
  </si>
  <si>
    <t>London Met Libraries</t>
  </si>
  <si>
    <t>London, United Kingdom</t>
  </si>
  <si>
    <t>London Metropolitan University Library Services. We are here to support your learning and teaching.</t>
  </si>
  <si>
    <t>Clapham Library</t>
  </si>
  <si>
    <t xml:space="preserve">91 Clapham High St, SW4 7DB. </t>
  </si>
  <si>
    <t>Books, eBooks, eAudio, &amp; eMagazines, study space, events &amp; activities, self-service, 38 computers, free Wi-Fi &amp; rooms for hire.</t>
  </si>
  <si>
    <t>Nottm City Libraries</t>
  </si>
  <si>
    <t>Nottingham</t>
  </si>
  <si>
    <t>Latest news, events, book recommendations &amp; more from Nottingham City Libraries. Monitored regularly but we may not respond immediately, outside of office hours</t>
  </si>
  <si>
    <t>BarbicanMusicLibrary</t>
  </si>
  <si>
    <t>London EC2Y 8DS</t>
  </si>
  <si>
    <t>The largest selection of CDs for hire in any UK public library, plus 15,000+ music scores   020 7638 0672</t>
  </si>
  <si>
    <t>UoB Library Services</t>
  </si>
  <si>
    <t>University of Birmingham</t>
  </si>
  <si>
    <t>The official Twitter feed for news and updates from Library Services at @unibirmingham. Remember you can use our JustAsk! service at http://t.co/hgYMm7A3sa</t>
  </si>
  <si>
    <t>LancasterUniLibrary</t>
  </si>
  <si>
    <t>Lancaster, UK</t>
  </si>
  <si>
    <t>Supporting teaching, learning and research at Lancaster University</t>
  </si>
  <si>
    <t>BarnsleyLibraries</t>
  </si>
  <si>
    <t>Barnsley, England</t>
  </si>
  <si>
    <t>Join us. Borrow from us, visit us, talk to us. We are always free.</t>
  </si>
  <si>
    <t>Redbridge Libraries</t>
  </si>
  <si>
    <t>The official Twitter account for Redbridge Libraries. Follow us for events, news and offers.</t>
  </si>
  <si>
    <t>UWS Library</t>
  </si>
  <si>
    <t>West of Scotland</t>
  </si>
  <si>
    <t>Welcome to the Library of the University of the West of Scotland on Twitter. Got a question? Tweet us! We're here to help: Monday - Friday 9am - 5pm</t>
  </si>
  <si>
    <t>CultureNL Libraries</t>
  </si>
  <si>
    <t>North Lanarkshire, UK</t>
  </si>
  <si>
    <t>North Lanarkshire's Library Service info, news &amp; events. A veritable cornucopia of books + digital services. @culture_nl Ltd. SC043891 (RTs ≠ endorsement)</t>
  </si>
  <si>
    <t>English Faculty Lib</t>
  </si>
  <si>
    <t>The English Faculty Library is one of the Bodleian Libraries of the University of Oxford.  Keeping English students well read since 1914.</t>
  </si>
  <si>
    <t>David Wilson Library</t>
  </si>
  <si>
    <t>University of Leicester</t>
  </si>
  <si>
    <t>Follow for information and inspiration from the University of Leicester Library. The account is monitored Mon - Fri 9am - 5pm.</t>
  </si>
  <si>
    <t>Palace Green Library</t>
  </si>
  <si>
    <t>Durham, United Kingdom</t>
  </si>
  <si>
    <t>Palace Green Library, in the heart of Durham city, is home to Durham University's outstanding special collections and exhibitions.</t>
  </si>
  <si>
    <t>RCN Libraries</t>
  </si>
  <si>
    <t>Four sites across the UK</t>
  </si>
  <si>
    <t>The RCN Library &amp; Archives is Europe’s largest nursing resource for practice &amp; history. Use our services online &amp; visit our libraries, exhibitions &amp; events.</t>
  </si>
  <si>
    <t>Reading Libraries</t>
  </si>
  <si>
    <t>Reading, Berkshire, UK</t>
  </si>
  <si>
    <t>Reading Borough Public Libraries</t>
  </si>
  <si>
    <t>Hillingdon Libraries</t>
  </si>
  <si>
    <t>London Borough of Hillingdon</t>
  </si>
  <si>
    <t>News &amp; info from the London Borough of Hillingdon libraries. Tweets by Darren, Sam, Lara, Mark, Nathan, Rosie, Federico and Kirsty.</t>
  </si>
  <si>
    <t>Millennium Library</t>
  </si>
  <si>
    <t>Norwich, Norfolk</t>
  </si>
  <si>
    <t>Staff at one of the busiest libraries in the country tweeting between customers. We talk about books, events and more. Managed by Norfolk County Council</t>
  </si>
  <si>
    <t>Aberdeen Uni Library</t>
  </si>
  <si>
    <t>Aberdeen, Scotland</t>
  </si>
  <si>
    <t>Provides access to millions of items in paper and electronic format for staff and students to support research, teaching and learning.</t>
  </si>
  <si>
    <t>Lambeth Libraries</t>
  </si>
  <si>
    <t>London Borough of Lambeth</t>
  </si>
  <si>
    <t>Lambeth Libraries and Archives - delivering a free public library service for over 100 years #LoveLamLibs</t>
  </si>
  <si>
    <t>Shrewsbury Library</t>
  </si>
  <si>
    <t>Shrewsbury, Shropshire.</t>
  </si>
  <si>
    <t>A busy library in the heart of Shrewsbury. Follow us for news, events and information.</t>
  </si>
  <si>
    <t>UniSouthamptonLib</t>
  </si>
  <si>
    <t>Hampshire, England</t>
  </si>
  <si>
    <t>University of Southampton Libraries are Hartley, Avenue Library &amp; Learning Commons, Health Services, Winchester School of Art and National Oceanographic Library</t>
  </si>
  <si>
    <t>Lboro Uni Library</t>
  </si>
  <si>
    <t>Loughborough, UK</t>
  </si>
  <si>
    <t>News, tips and more from Loughborough University Library.</t>
  </si>
  <si>
    <t>Streatham Library</t>
  </si>
  <si>
    <t>63 Streatham High Road</t>
  </si>
  <si>
    <t>Streatham Library is right in the heart of the town centre. Books, DVDs for loan, reading groups, storytelling, photocopying and more!</t>
  </si>
  <si>
    <t>Sefton Libraries</t>
  </si>
  <si>
    <t>Sefton, Merseyside</t>
  </si>
  <si>
    <t>News and events from Sefton Council's libraries. Free internet, thousands of books, CD/DVD hire, children’s activities &amp; it's still FREE to join.</t>
  </si>
  <si>
    <t>NorthYorks Libraries</t>
  </si>
  <si>
    <t>North Yorkshire, UK</t>
  </si>
  <si>
    <t>Libraries twitter account from @northyorkscc. Books, information, computer access, films ... and much more.</t>
  </si>
  <si>
    <t>Warks Libraries</t>
  </si>
  <si>
    <t>Warwickshire, UK</t>
  </si>
  <si>
    <t>Warwickshire Libraries - Books, eBooks,  Internet, WiFi, ancestry, OED, fun stuff for children, and friendly, relaxing spaces.</t>
  </si>
  <si>
    <t>ASSL Library</t>
  </si>
  <si>
    <t>Official account of the Arts &amp; Social Studies and Law Library at Cardiff University. We support six Schools and other interesting people! Tweeting Monday-Friday</t>
  </si>
  <si>
    <t>Herts Libraries</t>
  </si>
  <si>
    <t>Hertfordshire, UK</t>
  </si>
  <si>
    <t>Follow Hertfordshire Libraries for news and updates</t>
  </si>
  <si>
    <t>Ed Uni Main Lib</t>
  </si>
  <si>
    <t xml:space="preserve">Edinburgh </t>
  </si>
  <si>
    <t>Updates for University of Edinburgh Main Library. #EdUniLib See also @CRC_EdUni and @EdUniLibraries. For enquiries email IS.Helpline@ed.ac.uk</t>
  </si>
  <si>
    <t>LSHTM Library</t>
  </si>
  <si>
    <t xml:space="preserve">Keppel Street, London </t>
  </si>
  <si>
    <t>The Library of the London School of Hygiene &amp; Tropical Medicine. We also blog at http://t.co/OTx4CARJ5J We follow colleagues @LSHTMOpenAccess 
@LSHTMarchives</t>
  </si>
  <si>
    <t>Ulster Uni Library</t>
  </si>
  <si>
    <t>Ulster University</t>
  </si>
  <si>
    <t>Ulster University Library: Supporting your studies @UlsterUni with excellent staff and all your print and online resources. Opening hours http://t.co/hcSgaMb6SI</t>
  </si>
  <si>
    <t>Law Society Library</t>
  </si>
  <si>
    <t>England and Wales</t>
  </si>
  <si>
    <t>The library helps solicitors and their staff. Follow to find out how we help, to get hints and tips for sourcing material and see some gems of the collection.</t>
  </si>
  <si>
    <t>Inverclyde Libraries</t>
  </si>
  <si>
    <t>Greenock, Scotland</t>
  </si>
  <si>
    <t>Providing library services to the residents and communities of Inverclyde, Scotland. Membership is free!</t>
  </si>
  <si>
    <t>WDC Libraries</t>
  </si>
  <si>
    <t>West Dunbartonshire, Scotland</t>
  </si>
  <si>
    <t>West Dunbartonshire Libraries &amp; Cultural Services, Providing an excellent range of Library, Heritage, Arts &amp; Cultural Services</t>
  </si>
  <si>
    <t>AberdeenshireLibrary</t>
  </si>
  <si>
    <t>Aberdeenshire Libraries -</t>
  </si>
  <si>
    <t>Richmond Libraries</t>
  </si>
  <si>
    <t>Richmond upon Thames, London</t>
  </si>
  <si>
    <t>We are the Library Services for the London Borough of Richmond upon Thames. Follow us for all the latest news and events.</t>
  </si>
  <si>
    <t>UniRdg_Library</t>
  </si>
  <si>
    <t>Reading, UK</t>
  </si>
  <si>
    <t>Providing the University of Reading with a gateway to the world of information, and the skills to make the most of it. Tweeting Mon-Fri 9-5 &amp; term-time weekends</t>
  </si>
  <si>
    <t>Hartlepool Libraries</t>
  </si>
  <si>
    <t>Hartlepool</t>
  </si>
  <si>
    <t>Hartlepool Borough Libraries - books, internet, computer access, free wifi, events and activities for all ages, exhibition space. Come see for yourself!</t>
  </si>
  <si>
    <t>Exeter Uni Library</t>
  </si>
  <si>
    <t>Exeter</t>
  </si>
  <si>
    <t>If you need help then e-mail us at library@exeter.ac.uk</t>
  </si>
  <si>
    <t>Oldham Libraries</t>
  </si>
  <si>
    <t>Oldham</t>
  </si>
  <si>
    <t>News and events from Oldham Libraries. Books, WiFi, computers and courses - all free at your local library!</t>
  </si>
  <si>
    <t>Bury Libraries</t>
  </si>
  <si>
    <t>Bury, Lancashire</t>
  </si>
  <si>
    <t>Thinking Outside the Books
#burylibraries</t>
  </si>
  <si>
    <t>Staffs Libraries</t>
  </si>
  <si>
    <t>Staffordshire, UK</t>
  </si>
  <si>
    <t>Fantastic free services, beautiful libraries, and a host of free digital resources - WiFi, Ebooks, Emags just the beginning! http://t.co/8EAdzAntDD</t>
  </si>
  <si>
    <t>LSTM_Library</t>
  </si>
  <si>
    <t>Liverpool, UK</t>
  </si>
  <si>
    <t>Library at Liverpool School of Tropical Medicine. General queries: email library@lstmed.ac.uk. Inter-Library Loans email: interloans@lstmed.ac.uk</t>
  </si>
  <si>
    <t>Hounslow Culture</t>
  </si>
  <si>
    <t>Hounslow London</t>
  </si>
  <si>
    <t>Hounslow's libraries/arts/culture/parks/events. The home of LEGO Education https://t.co/qvexsD0Day #booksarejustthebeginning</t>
  </si>
  <si>
    <t>UoN Libraries</t>
  </si>
  <si>
    <t>@UniofNottingham Libraries account. Tweeting news, services, collections and pics. Ask us anything! Monitored Mon-Fri 9-5. See also @mssUniNott &amp; @LTNottingham</t>
  </si>
  <si>
    <t>RBKC Libraries</t>
  </si>
  <si>
    <t>Our vision – libraries to inspire.</t>
  </si>
  <si>
    <t>Sunderland Library</t>
  </si>
  <si>
    <t>Sunderland</t>
  </si>
  <si>
    <t>University Library Services at the University of Sunderland deliver an exciting range of services to customers on and off campus 24/7</t>
  </si>
  <si>
    <t>CE Libraries</t>
  </si>
  <si>
    <t>Cheshire East, UK</t>
  </si>
  <si>
    <t>Official channel featuring CE Libraries news and events - providing information and inspiration for learning and leisure.</t>
  </si>
  <si>
    <t>CRC@EdinburghUni</t>
  </si>
  <si>
    <t>Special Collections, Archives and Museums at the University of Edinburgh #EdUniLib. See also @EdUniLibraries and @EdUniMainLib.</t>
  </si>
  <si>
    <t>UHuddersfieldLibrary</t>
  </si>
  <si>
    <t xml:space="preserve">Huddersfield, West Yorkshire, </t>
  </si>
  <si>
    <t>We'll do our best to answer your questions during our staffed hours</t>
  </si>
  <si>
    <t>PublicHealth Library</t>
  </si>
  <si>
    <t>Durham, UK</t>
  </si>
  <si>
    <t>National Library for Public Health - high-level evidence for public health practitioners. Free access to anyone.</t>
  </si>
  <si>
    <t>Kingston Libraries</t>
  </si>
  <si>
    <t>Kingston upon Thames, UK</t>
  </si>
  <si>
    <t>Public Libraries in the Royal Borough of Kingston upon Thames</t>
  </si>
  <si>
    <t>West Norwood Library</t>
  </si>
  <si>
    <t>We have books for kids &amp; adults, fiction, non fiction, DVDs, storytelling, reading groups, computers, internet, newspapers, photocopier and more</t>
  </si>
  <si>
    <t>StPaul'sCollections</t>
  </si>
  <si>
    <t>The Cathedral Collections Team @StPaulsLondon tweeting about the Library, Archives, Objects, Collections Management and Conservation</t>
  </si>
  <si>
    <t>UCL SSEES Library</t>
  </si>
  <si>
    <t>UCL School of Slavonic and East European Studies Library. The UK's largest university library collection on Russia and Central, Eastern &amp; South-Eastern Europe.</t>
  </si>
  <si>
    <t>Sutton Libraries</t>
  </si>
  <si>
    <t>Sutton, Surrey, UK</t>
  </si>
  <si>
    <t>London Borough of Sutton Library Services. Tweeting news and information on our 8 libraries 9.30am-5pm Monday to Saturday.</t>
  </si>
  <si>
    <t>Basingstoke</t>
  </si>
  <si>
    <t>With a cafe, library, FREE Wi-Fi &amp; PC access, film screenings and events for all the family.</t>
  </si>
  <si>
    <t>PooleLibraries</t>
  </si>
  <si>
    <t>Poole, Dorset</t>
  </si>
  <si>
    <t>Free, fun and forward thinking libraries in Poole. There has never been a better time to join us. Ten libraries, books galore, free wifi and so much more.</t>
  </si>
  <si>
    <t>Epsom Library</t>
  </si>
  <si>
    <t>Epsom, KT19 8AG</t>
  </si>
  <si>
    <t>HHS Librarians</t>
  </si>
  <si>
    <t>Station Road, Haringey, N227ST</t>
  </si>
  <si>
    <t>Knowledge is power. Heartlands High School, Haringey, London, England #library #schoollibrary #librarian #collaborativelearning #reading</t>
  </si>
  <si>
    <t>covlibraries</t>
  </si>
  <si>
    <t>Coventry, England</t>
  </si>
  <si>
    <t>Libraries, Advice, Health and Information Service in Coventry (part of @coventrycc). Twitter not monitored 24/7. Tel: 024 7683 2314 (Central Library).</t>
  </si>
  <si>
    <t>Doncaster Libraries</t>
  </si>
  <si>
    <t>Doncaster, South Yorkshire</t>
  </si>
  <si>
    <t>Doncaster Libraries news and information
http://t.co/cGQMiLv9</t>
  </si>
  <si>
    <t>Library @ Victory</t>
  </si>
  <si>
    <t>Costessey, Norwich, UK</t>
  </si>
  <si>
    <t>Library at Ormiston Victory Academy (@VictoryAcad), Costessey, Norwich, Norfolk, UK.</t>
  </si>
  <si>
    <t>Oswestry Library</t>
  </si>
  <si>
    <t>Oswestry, Shropshire</t>
  </si>
  <si>
    <t>Welcome to the Twitter account for Oswestry Library. Follow us for the latest news on what's happening here.</t>
  </si>
  <si>
    <t>East Lothian Library</t>
  </si>
  <si>
    <t>Haddington, East Lothian</t>
  </si>
  <si>
    <t>Northants Libraries</t>
  </si>
  <si>
    <t>Northamptonshire, UK</t>
  </si>
  <si>
    <t>News on our services and events in all 36 libraries across Northamptonshire. Tweets by David, Kirk and Patricia - Monday to Friday.</t>
  </si>
  <si>
    <t>EHU Uni Library</t>
  </si>
  <si>
    <t>Ormskirk, Lancashire, UK</t>
  </si>
  <si>
    <t>News and updates from Learning Services @ Edge Hill Uni inc. library, media, student IT, the VLE and SpLD support.</t>
  </si>
  <si>
    <t>Portsmouth libraries</t>
  </si>
  <si>
    <t>Portsmouth, UK</t>
  </si>
  <si>
    <t>There's more to your local library than just books! Get all the latest information, events and releases from portsmouthreads!</t>
  </si>
  <si>
    <t>Somerset Libraries</t>
  </si>
  <si>
    <t>Somerset, UK</t>
  </si>
  <si>
    <t>Somerset Libraries change lives. Part of @LibrariesWest consortium. Email librariesmail@somerset.gov.uk to contact us direct.</t>
  </si>
  <si>
    <t>NAC Libraries</t>
  </si>
  <si>
    <t>North Ayrshire</t>
  </si>
  <si>
    <t>We tweet on behalf of Information and Culture in North Ayrshire</t>
  </si>
  <si>
    <t>Bradford Grammar</t>
  </si>
  <si>
    <t>Yorkshire, UK</t>
  </si>
  <si>
    <t>Top 10 (@telegraph) UK independent school for girls &amp; boys, 6 to 18– where pupils are happy, can flourish and be inspired to reach their full potential #HocAge</t>
  </si>
  <si>
    <t>HighgateLit&amp;Sci</t>
  </si>
  <si>
    <t>Highgate, London</t>
  </si>
  <si>
    <t>Founded in 1839, thriving in 2017, Highgate Literary &amp; Scientific Institution welcomes new members to our library, archive, lectures, classes, gallery and more.</t>
  </si>
  <si>
    <t>Colour Library RCA</t>
  </si>
  <si>
    <t>The Colour Reference Library at the Royal College of Art is one of the largest collections of printed works on the subject of colour anywhere in the world.</t>
  </si>
  <si>
    <t>CadburyRL</t>
  </si>
  <si>
    <t>Birmingham UK</t>
  </si>
  <si>
    <t>Cadbury Research Library: Special Collections, University of Birmingham, UK.  A unique collection of rare books, archives and manuscripts. Open to all.</t>
  </si>
  <si>
    <t>Edin Napier Library</t>
  </si>
  <si>
    <t>Follow Edinburgh Napier University Library for the latest news. We can answer tweets in working hours. Guidelines and 24/7 contacts: http://t.co/0SxTt5DeKo</t>
  </si>
  <si>
    <t>Crawley Library</t>
  </si>
  <si>
    <t>Crawley, West Sussex</t>
  </si>
  <si>
    <t>Official profile for Crawley Library. We love events, learning, creativity and enterprise. Follow us for updates.</t>
  </si>
  <si>
    <t>TippCoCoLibraries</t>
  </si>
  <si>
    <t>Co. Tipperary, Ireland</t>
  </si>
  <si>
    <t>Tipperary County Council Library service has thirteen branches throughout the County. Check our website for details!</t>
  </si>
  <si>
    <t>UoB Library</t>
  </si>
  <si>
    <t>Luton and Bedford</t>
  </si>
  <si>
    <t>University of Bedfordshire Library : providing first-class information support for student learning</t>
  </si>
  <si>
    <t>Bromsgrove Library</t>
  </si>
  <si>
    <t>Bromsgrove UK</t>
  </si>
  <si>
    <t>Official Twitter account for Bromsgrove Library (UK). Follow us for library news, events and lots more. For renewals please call the Hub on 01905 822722.</t>
  </si>
  <si>
    <t>UCL Special Coll</t>
  </si>
  <si>
    <t>UCL Library Special Collections is one of the foremost university collections of manuscripts, archives and rare books in the UK.</t>
  </si>
  <si>
    <t>The Leeds Library</t>
  </si>
  <si>
    <t>Tweeting directly from one of Britain’s oldest surviving independent libraries. Find us @ https://t.co/5wpTKT7w8w</t>
  </si>
  <si>
    <t>ARU Library 📚</t>
  </si>
  <si>
    <t>Cambridge, Chelmsford UK</t>
  </si>
  <si>
    <t>Anglia Ruskin University has a library at each of its 3 campuses in Cambridge, Chelmsford &amp; Peterborough. Monitoring tweets 9-5, weekdays</t>
  </si>
  <si>
    <t>Torfaen Libraries</t>
  </si>
  <si>
    <t>Wales, UK</t>
  </si>
  <si>
    <t>Blaenavon Pontypool &amp; Cwmbran Libraries + Library@home service
What's happening at your local library? - Job clubs, FREE courses, story &amp; craft...</t>
  </si>
  <si>
    <t>AfrStudiesLib</t>
  </si>
  <si>
    <t>The African Studies Library is part of the Centre of African Studies, University of Cambridge. https://t.co/l2LP5ulyu3</t>
  </si>
  <si>
    <t>LCF_Library</t>
  </si>
  <si>
    <t>London (W1G 0BJ)</t>
  </si>
  <si>
    <t>London College of Fashion Library. Interests include fashion design, costume history, fashion business and management, beauty therapy, tailoring and textiles.</t>
  </si>
  <si>
    <t>CCCU Libraries</t>
  </si>
  <si>
    <t>Canterbury, UK</t>
  </si>
  <si>
    <t>Official CCCU (UK) Library Services. Follow us for news on services and resources in our Canterbury, Broadstairs and Salomons libraries.</t>
  </si>
  <si>
    <t>AcombExplore Library</t>
  </si>
  <si>
    <t>Keeping you up to date with all the news from Explore Acomb Library Learning Centre. For the service - Explore York Libraries &amp; Archives follow @YorkLibrariesUK</t>
  </si>
  <si>
    <t>UCLan Library and IT</t>
  </si>
  <si>
    <t>Preston, Lancashire</t>
  </si>
  <si>
    <t>Welcome to UCLan Learning &amp; Information Services (LIS). Follow us for library and IT based news and service updates. We're here 9.00am - 5.00pm Monday to Friday</t>
  </si>
  <si>
    <t>IOE Library</t>
  </si>
  <si>
    <t>Information for users &amp; supporters of the Newsam Library, UCL Institute of Education, London.
Tweets monitored 10.45am-5pm, Mon to Fri.</t>
  </si>
  <si>
    <t>Plymouth Uni Library</t>
  </si>
  <si>
    <t>Plymouth, UK</t>
  </si>
  <si>
    <t>Making the connection 24/7/365. Updates, information and news. Email libraryanditenquiries@plymouth.ac.uk or Tel 01752 588588.</t>
  </si>
  <si>
    <t>New Cross Learning</t>
  </si>
  <si>
    <t>New Cross Gate</t>
  </si>
  <si>
    <t>Formerly New Cross People's Library. Open to the public Tuesdays, Wednesdays, Thursdays and Saturdays. Open to new ideas all the time.</t>
  </si>
  <si>
    <t>Calderdale Libraries</t>
  </si>
  <si>
    <t>West Yorkshire</t>
  </si>
  <si>
    <t>News, events and info from the library service in Calderdale.
Twitter replies Mon-Fri, 9-5</t>
  </si>
  <si>
    <t>West Berks Libraries</t>
  </si>
  <si>
    <t>West Berkshire, UK</t>
  </si>
  <si>
    <t>Join for FREE to use our e-library, online resources, use a PC, borrow books, DVDs and lots more! More from West Berks: @westberkshire and @wberksleisure.</t>
  </si>
  <si>
    <t>Chelsea Library</t>
  </si>
  <si>
    <t>London SW1P 4JU</t>
  </si>
  <si>
    <t>Chelsea College of Arts Library, University of the Arts London - Fine Art, Interior Design, Graphic Design, Textile Design, Curating. Image: Susan Forsyth.</t>
  </si>
  <si>
    <t>BedsLibraries</t>
  </si>
  <si>
    <t>Bedfordshire, UK</t>
  </si>
  <si>
    <t>Bedford Borough and Central Bedfordshire Libraries - so much more than you imagine!</t>
  </si>
  <si>
    <t>Wirral Libraries</t>
  </si>
  <si>
    <t>Wirral, Northwest England</t>
  </si>
  <si>
    <t>Official Twitter page of Wirral Council's library service. Find out what's going on in our fantastic libraries. This page is monitored 9am - 5pm, Mon - Fri.</t>
  </si>
  <si>
    <t>Education Library</t>
  </si>
  <si>
    <t>Cambridge</t>
  </si>
  <si>
    <t>University of Cambridge - Faculty of Education Library</t>
  </si>
  <si>
    <t>Barnet Libraries</t>
  </si>
  <si>
    <t>Library stuff from the library staff</t>
  </si>
  <si>
    <t>WellcomeUnitLibrary</t>
  </si>
  <si>
    <t>45 Banbury Road, Oxford, UK</t>
  </si>
  <si>
    <t>The Wellcome Unit for the History of Medicine Library is one of the Bodleian Libraries of the University of Oxford. Catch up on all our news here.</t>
  </si>
  <si>
    <t>Northumbria Uni Lib</t>
  </si>
  <si>
    <t>Northumbria University Library events, collections and news #nulibrary. We respond 9-5 Mon-Fri. Get 24/7 responses here: https://t.co/70w0jhBie1</t>
  </si>
  <si>
    <t>Bexley Libraries</t>
  </si>
  <si>
    <t>London Borough of Bexley</t>
  </si>
  <si>
    <t>News and events from Bexley Library Service. 
View our Social media Acceptable Use Policy: http://t.co/TL6jri8iHS</t>
  </si>
  <si>
    <t>EdUniLibrary&amp;Museums</t>
  </si>
  <si>
    <t>The University of Edinburgh Library and Museums - collections, events, exhibitions, projects, and updates. #EdUniLib See also @CRC_EdUni and @EdUniMainLib</t>
  </si>
  <si>
    <t>BCU Library &amp; LR</t>
  </si>
  <si>
    <t>Official Twitter feed for BCU Library &amp; Learning Resources. Our team are here for your questions, comments, or just to say hello, Monday - Friday, 9-5.</t>
  </si>
  <si>
    <t>Surrey Library</t>
  </si>
  <si>
    <t>Guildford, Surrey</t>
  </si>
  <si>
    <t>University of Surrey Library &amp; Learning Centre. Follow us on Twitter for the latest news on Library Services</t>
  </si>
  <si>
    <t>RGU Library</t>
  </si>
  <si>
    <t>Aberdeen</t>
  </si>
  <si>
    <t>News and updates from the Library at Robert Gordon University, Aberdeen</t>
  </si>
  <si>
    <t>Barbican Library</t>
  </si>
  <si>
    <t>Literature, art, music, recreation and study. Thousands of books, DVDs, e-books, magazines, study spaces, wifi, computers. And comfy sofas! Membership is free.</t>
  </si>
  <si>
    <t>Music Library Oxford</t>
  </si>
  <si>
    <t>The Music Faculty Library is one of the Bodleian Libraries of the University of Oxford.</t>
  </si>
  <si>
    <t>Uni Westminster Lib</t>
  </si>
  <si>
    <t>University of Westminster Library. We're here to help you. Your questions answered Mon-Fri 9am-5pm; Weekend 11am-5pm.</t>
  </si>
  <si>
    <t>Central Library</t>
  </si>
  <si>
    <t>On George IV Bridge in Edinburgh - we're the Central Public Library. Tweets mainly 9-5 Mon-Fri.</t>
  </si>
  <si>
    <t>Hearing Libraries</t>
  </si>
  <si>
    <t>London WC1X 8EE</t>
  </si>
  <si>
    <t>The UCL Ear Institute and Action on Hearing Loss Libraries are a collaboration between @ucl,  @ActionOnHearing &amp; @uclh, for ENT Medicine &amp; Hearing Loss.</t>
  </si>
  <si>
    <t>LTU Library</t>
  </si>
  <si>
    <t xml:space="preserve">Leeds </t>
  </si>
  <si>
    <t>Updates from Leeds Trinity University Library, monitored Mon-Fri, 9-5. Email us on libraryenquiries@leedstrinity.ac.uk</t>
  </si>
  <si>
    <t>Trafford Libraries</t>
  </si>
  <si>
    <t>Trafford, Manchester</t>
  </si>
  <si>
    <t>Books &amp; eBooks, free internet &amp; wi-fi, events, reading, film &amp; craft groups, storytimes &amp; rhyme times, Council services, meeting rooms, study space &amp; lots more!</t>
  </si>
  <si>
    <t>CJBS Info Lib</t>
  </si>
  <si>
    <t>Highlighting new services, initiatives and developments (and fun stuff) of Cambridge Judge Business School Information &amp; Library Services.</t>
  </si>
  <si>
    <t>Woking Library</t>
  </si>
  <si>
    <t>Woking, Surrey, UK</t>
  </si>
  <si>
    <t>Official account for Woking Library Service. There's more to your library than books! Get the latest information, events &amp; releases from your library</t>
  </si>
  <si>
    <t>LibrariesWest</t>
  </si>
  <si>
    <t>A consortium of 7 library services in SW England that works together to reduce costs and offer a better service to customers. Account monitored Mon - Fri 9-5</t>
  </si>
  <si>
    <t>Wellington Library</t>
  </si>
  <si>
    <t>Vibrant, busy school Library encouraging innovation and promoting e-learning, reading and research.</t>
  </si>
  <si>
    <t>Durham Cathedral Lib</t>
  </si>
  <si>
    <t>Durham, England</t>
  </si>
  <si>
    <t>Home of Durham Cathedral Library's outstanding collection of medieval manuscripts, early printed books, modern theological works and friendly librarians.</t>
  </si>
  <si>
    <t>Greenwich Libraries</t>
  </si>
  <si>
    <t xml:space="preserve">Greenwich </t>
  </si>
  <si>
    <t>We're Better. The charitable social enterprise running Greenwich libraries. A haven for books, ebooks, computers, free wifi, children &amp; adult activities &amp; more.</t>
  </si>
  <si>
    <t>Special Collections</t>
  </si>
  <si>
    <t>Follow us for news &amp; events from the University of Aberdeen’s Special Collections. Exhibitions, Family Fun and more, all inspired by our fantastic collections.</t>
  </si>
  <si>
    <t>Nuffield Library</t>
  </si>
  <si>
    <t>Oxford, United Kingdom</t>
  </si>
  <si>
    <t>We are a social sciences library serving Nuffield College and the University of Oxford</t>
  </si>
  <si>
    <t>Uni of Essex Library</t>
  </si>
  <si>
    <t>Colchester, Loughton, Southend</t>
  </si>
  <si>
    <t>We provide help, support and access to print and online resources for all students and researchers at the University of Essex.</t>
  </si>
  <si>
    <t>Carms Libraries</t>
  </si>
  <si>
    <t>Carmarthenshire Libraries</t>
  </si>
  <si>
    <t>Llyfrgelloedd Sir Gâr / Carmarthenshire Libraries llyfrgell@sirgar.gov.uk / library@carmarthenshire.gov.uk</t>
  </si>
  <si>
    <t>Risca Library</t>
  </si>
  <si>
    <t>Risca, U.K.</t>
  </si>
  <si>
    <t>Risca Library - Use it. Love it. Join it. Follow it. Libraries are something to shout about so spread the word.</t>
  </si>
  <si>
    <t>Guille-Allès Library</t>
  </si>
  <si>
    <t>Guernsey</t>
  </si>
  <si>
    <t>Open the door to your imagination at the Guille-Allès Public Library, Guernsey</t>
  </si>
  <si>
    <t>Ludlow Library</t>
  </si>
  <si>
    <t>Ludlow, Shropshire, UK</t>
  </si>
  <si>
    <t>Follow us for library news, reviews and a little bit of fun</t>
  </si>
  <si>
    <t>Wigan Libraries</t>
  </si>
  <si>
    <t>Wigan</t>
  </si>
  <si>
    <t>Get the most from your @WiganCouncil libraries. We're on Twitter 9am to 5pm, Monday to Friday.</t>
  </si>
  <si>
    <t>UWE Bristol Library</t>
  </si>
  <si>
    <t>The official University of the West of England (UWE Bristol) Library Service. Home of books, e-resources, and study skills training for academic success</t>
  </si>
  <si>
    <t>Information Services</t>
  </si>
  <si>
    <t>Aberystwyth University, UK</t>
  </si>
  <si>
    <t>Information Services provides library, computing and media services at Aberystwyth University on the beautiful Welsh coast. is@aber.ac.uk 01970 622400</t>
  </si>
  <si>
    <t>READiscover 📚</t>
  </si>
  <si>
    <t>Gloucestershire</t>
  </si>
  <si>
    <t>#READiscover with Gloucestershire Libraries. Usually found Tweeting 9-5, Mon-Fri about books, reading, library services and events!</t>
  </si>
  <si>
    <t>Coventry Uni Library</t>
  </si>
  <si>
    <t>Coventry University</t>
  </si>
  <si>
    <t>Official Coventry University - Lanchester Library Twitter feed  . Follow us for news, events and Library updates. **Account monitored 9am-5pm Mon-Fri Only**</t>
  </si>
  <si>
    <t>Solent Uni Library</t>
  </si>
  <si>
    <t>Southampton, England</t>
  </si>
  <si>
    <t>Updates about Southampton Solent University, Library. Bringing you closer to our resources, one tweet at a  time. Account monitored Mon - Fri (9.00-17.00)</t>
  </si>
  <si>
    <t>MonLibraries</t>
  </si>
  <si>
    <t>Monmouthshire</t>
  </si>
  <si>
    <t>Monmouthshire offers a library service in 6 locations with a wide range of services for every member of the community, accessible online http://t.co/Issjk3yJi8</t>
  </si>
  <si>
    <t>Caerphilly Libraries</t>
  </si>
  <si>
    <t>Wales, United Kingdom</t>
  </si>
  <si>
    <t>Use it. Love it. Join it. Follow it. Libraries are something to shout about so spread the word.</t>
  </si>
  <si>
    <t>Taylor Inst. Library</t>
  </si>
  <si>
    <t>St Giles', Oxford. OX1 3NA</t>
  </si>
  <si>
    <t>The Library covers modern European langs&amp;lits and contains both a teaching collection for undergrads&amp; (taught) postgrads and a specialist research collection.</t>
  </si>
  <si>
    <t>libraries@cambridge</t>
  </si>
  <si>
    <t>Cambridge, UK.</t>
  </si>
  <si>
    <t>We are a small team providing tools, information and support to the 100+ libraries of the University of Cambridge. Also on Flickr as libatcam.</t>
  </si>
  <si>
    <t>University of Cambridge.                     Lovely librarians, lots of books! Fuelled by cake, and the occasional beanbag nap.</t>
  </si>
  <si>
    <t>Godalming Library</t>
  </si>
  <si>
    <t>Godalming, Surrey, UK.</t>
  </si>
  <si>
    <t>Official account for Godalming Library Service. There's more to your library than just books! Get the latest information, events &amp; releases from your library.</t>
  </si>
  <si>
    <t>Brookes Library</t>
  </si>
  <si>
    <t>Oxford, England.</t>
  </si>
  <si>
    <t>News and events from Oxford Brookes University Library - come and find out all about the Library tweet by tweet!</t>
  </si>
  <si>
    <t>Crofton Park Library</t>
  </si>
  <si>
    <t>London, SE4</t>
  </si>
  <si>
    <t>Crofton Park Community Library, run by volunteers, supported by Eco Communities.</t>
  </si>
  <si>
    <t>UCL Bartlett Library</t>
  </si>
  <si>
    <t>London WC1</t>
  </si>
  <si>
    <t>UCL Bartlett Built Environment Library is on the ground floor of Central House. Follow UCL’s official Twitter channel @ucl</t>
  </si>
  <si>
    <t>Dorking Library</t>
  </si>
  <si>
    <t>Official account for Dorking Library Service. There's more to your library than just books! Get the latest information, events &amp; releases from your library.</t>
  </si>
  <si>
    <t>LP Library</t>
  </si>
  <si>
    <t>Reading, Berkshire</t>
  </si>
  <si>
    <t>supporting teaching &amp; learning; promoting reading for pleasure; School Librarian of the Year Award Honours List (2015); Vice Chair FCBG</t>
  </si>
  <si>
    <t>GCU Library</t>
  </si>
  <si>
    <t>Glasgow Caledonian University Library</t>
  </si>
  <si>
    <t>Farnham Library</t>
  </si>
  <si>
    <t>Farnham, Surrey, UK</t>
  </si>
  <si>
    <t>Official account for Farnham Library Service. There's more to your library than just books! Get the latest information, events &amp; news from your library.</t>
  </si>
  <si>
    <t>The Word</t>
  </si>
  <si>
    <t>South Shields, England</t>
  </si>
  <si>
    <t>The Word is South Tyneside’s brand new state-of-the-art attraction and cultural venue.</t>
  </si>
  <si>
    <t>Architecture Library</t>
  </si>
  <si>
    <t>Library of the Welsh School of Architecture, Cardiff University.  Find us also at http://t.co/1as1dkjn</t>
  </si>
  <si>
    <t>Salford Libraries</t>
  </si>
  <si>
    <t>Salford, England</t>
  </si>
  <si>
    <t>We have sixteen libraries. Thousands of books, eAudiobooks, eBooks and e-magazines. Computers at every turn. Start your journey of discovery with us.</t>
  </si>
  <si>
    <t>NPT Libraries</t>
  </si>
  <si>
    <t>Neath Port Talbot</t>
  </si>
  <si>
    <t>Neath Port Talbot Libraries - Books, DVDs, Music, free internet access and much more!</t>
  </si>
  <si>
    <t>Aston Uni Library</t>
  </si>
  <si>
    <t>Birmingham, England</t>
  </si>
  <si>
    <t>News and updates from the Aston University Library Services. Got a question? Tweet us!</t>
  </si>
  <si>
    <t>Usk Hub</t>
  </si>
  <si>
    <t>Monmouthshire, Wales</t>
  </si>
  <si>
    <t>Council services. Library. Community Education. Wi-Fi. Tea &amp; Coffee. Open all day Mondays, Wednesdays &amp; Thursday's also Saturday mornings Tel 01291 426888.</t>
  </si>
  <si>
    <t>SES (CommonsLibrary)</t>
  </si>
  <si>
    <t>The Science and Environment Section of the House of Commons Library. Providing impartial research and information for the HoC (Official) RT not endorsements.</t>
  </si>
  <si>
    <t>Glenthorne Library</t>
  </si>
  <si>
    <t>A High School Library in South London. Portable Magic Dispenser. Tweets by @lucasjmaxwell #tlchat #libchat #edtech #librarian</t>
  </si>
  <si>
    <t>Whipple Library</t>
  </si>
  <si>
    <t>University of Cambridge</t>
  </si>
  <si>
    <t>Whipple Library@Dept of History &amp; Philosophy of Science, Cambridge.
Tweeting about new &amp; interesting HPS resources, events and library news.</t>
  </si>
  <si>
    <t>Staines Library</t>
  </si>
  <si>
    <t>Staines-upon-Thames</t>
  </si>
  <si>
    <t>Official account for Staines Library Service. There's more to your library than just books! Get the latest information, events &amp; releases from your library.</t>
  </si>
  <si>
    <t>UAL Library Services</t>
  </si>
  <si>
    <t>@CCA_Library     
 @Chelsea_Library   
@CSM_Library      
 @LCC_Library    
@LCF_Library        
  @WCA_Library  
@UAL_Archives  
@LearningZone @UALRO</t>
  </si>
  <si>
    <t>Library</t>
  </si>
  <si>
    <t>Surrey/Kent, UK</t>
  </si>
  <si>
    <t>News and information from Library &amp; Student Services at UCA Canterbury, Epsom, Farnham, and Rochester.</t>
  </si>
  <si>
    <t>Redhill Library</t>
  </si>
  <si>
    <t>Redhill, Surrey, UK.</t>
  </si>
  <si>
    <t>Official account for Redhill Library Service. There's more to your library than just books! Get the latest information, events &amp; releases from your library.</t>
  </si>
  <si>
    <t>The Forum Southend</t>
  </si>
  <si>
    <t>Elmer Square, SS1 1NE</t>
  </si>
  <si>
    <t>The Forum Southend-on-Sea is a library, gallery and educational resource in a contemporary shared space.
This feed is checked once a day on weekdays.</t>
  </si>
  <si>
    <t>Bromley Libraries</t>
  </si>
  <si>
    <t>Bromley, London</t>
  </si>
  <si>
    <t>News and events from Bromley Library Service. View our Social media Acceptable Use Policy: https://t.co/NgPUGkHrdm</t>
  </si>
  <si>
    <t>Frecheville Library</t>
  </si>
  <si>
    <t>A community #library in the south of #Sheffield.  Smalldale Road, S12 4YD. 
Free Wi-Fi available to library members.</t>
  </si>
  <si>
    <t>UniWestLondonLibrary</t>
  </si>
  <si>
    <t>News and updates from the University of West London's library</t>
  </si>
  <si>
    <t>Derbyshire Libraries</t>
  </si>
  <si>
    <t>A warm welcome at the heart of your community</t>
  </si>
  <si>
    <t>CityBusiness Library</t>
  </si>
  <si>
    <t>City of London UK</t>
  </si>
  <si>
    <t>Business Library for start-ups, entrepreneurs and career advice. Resources, Workshops and Work space.</t>
  </si>
  <si>
    <t>Homerton Library</t>
  </si>
  <si>
    <t>Library of Homerton College, University of Cambridge. Our official web page is http://t.co/N01MENeKs7</t>
  </si>
  <si>
    <t>Bangor Uni Library</t>
  </si>
  <si>
    <t>Bangor, Gwynedd</t>
  </si>
  <si>
    <t>Bangor University Library is in North Wales, in the United Kingdom. Our website is: http://t.co/o3MDzuvl.</t>
  </si>
  <si>
    <t>Wokingham Libraries</t>
  </si>
  <si>
    <t>Wokingham</t>
  </si>
  <si>
    <t>Wokingham Borough Council’s libraries provide resources and services to inspire and support learning and knowledge for all.</t>
  </si>
  <si>
    <t>Torbay Libraries</t>
  </si>
  <si>
    <t>Torbay, Devon</t>
  </si>
  <si>
    <t>Your local library is a whole world of learning and leisure just waiting to be discovered. Free to join, but the rewards are pricless.</t>
  </si>
  <si>
    <t>Thurrock Libraries</t>
  </si>
  <si>
    <t>Thurrock</t>
  </si>
  <si>
    <t>Thurrock Libraries provides an exciting modern range of services including free Internet access, books, CDs, CD-ROMs, DVDs, and local events for all ages.</t>
  </si>
  <si>
    <t>Cruciform Hub</t>
  </si>
  <si>
    <t>University College London</t>
  </si>
  <si>
    <t>@ucl Cruciform Library-clinical medicine + medical sciences collections &amp; eResources http://t.co/AJ1Le3eylf https://t.co/fDMWwDV693   http://t.co/47PgyYukSZ</t>
  </si>
  <si>
    <t>Wallingford Library</t>
  </si>
  <si>
    <t>Wallingford UK</t>
  </si>
  <si>
    <t>A busy, modern library in the vibrant and unique riverside town of Wallingford, Oxfordshire</t>
  </si>
  <si>
    <t>Sandwell Libraries</t>
  </si>
  <si>
    <t>Sandwell, West Midlands</t>
  </si>
  <si>
    <t>Sandwell Library and Information Service - 19 libraries across Sandwell.</t>
  </si>
  <si>
    <t>Uni Roehampton Lib</t>
  </si>
  <si>
    <t>Uni of Roehampton, London</t>
  </si>
  <si>
    <t>Library Services at the University of Roehampton, London. Follow us for Library Services updates. This account is usually active Monday-Friday, 9am-5pm.</t>
  </si>
  <si>
    <t>Computing Napier</t>
  </si>
  <si>
    <t>School of Computing, Edinburgh Napier University: follow for events, research, innovation, and other highlights.</t>
  </si>
  <si>
    <t>Hackney Libraries</t>
  </si>
  <si>
    <t>London Borough of Hackney</t>
  </si>
  <si>
    <t>Visit us at Clapton, Dalston CLR James, Hackney Central, Homerton, Shoreditch, Stamford Hill, Stokey and Woodberry Down or join us now https://t.co/G90nUBWnNu</t>
  </si>
  <si>
    <t>Queen's Library</t>
  </si>
  <si>
    <t>News and information from the Library of The Queen's College, Oxford, UK.</t>
  </si>
  <si>
    <t>LCC Library</t>
  </si>
  <si>
    <t>London College of Communication Library. Interests include graphic design, photography, film, sound, games design, spatial design, journalism, PR, publishing</t>
  </si>
  <si>
    <t>Walton Library</t>
  </si>
  <si>
    <t>The Heart, Walton, Surrey, UK</t>
  </si>
  <si>
    <t>There's more to your library than just books! Get the latest information, events and releases from here.</t>
  </si>
  <si>
    <t>Darlington Libraries</t>
  </si>
  <si>
    <t>Crown Street, Darlington, UK</t>
  </si>
  <si>
    <t>We aim to provide the best in books, information and ICT facilities to people in Darlington &amp; the surrounding area.</t>
  </si>
  <si>
    <t>Kingston upon Thames</t>
  </si>
  <si>
    <t>Kingston’s Library and Heritage Service: Events, talks, writing groups, offers &amp; competitions in our 7 libraries.</t>
  </si>
  <si>
    <t>Vale Libraries</t>
  </si>
  <si>
    <t>South Wales</t>
  </si>
  <si>
    <t>Five full-time, four part-time libraries, Home Library Service, Reading Groups, storytimes and so much more. Come and see!</t>
  </si>
  <si>
    <t>KidderminsterLibrary</t>
  </si>
  <si>
    <t>Official Twitter account for Kidderminster Library.  Follow us for library and gallery news, events and more! For renewals please call the Hub on 01905 822722.</t>
  </si>
  <si>
    <t>LBHF Libraries</t>
  </si>
  <si>
    <t>London Borough of Hammersmith &amp; Fulham</t>
  </si>
  <si>
    <t>Library service for the London Borough of Hammersmith &amp; Fulham. Follow us to find out why we're more than a library!</t>
  </si>
  <si>
    <t>Medway Libraries</t>
  </si>
  <si>
    <t>Medway, United Kingdom</t>
  </si>
  <si>
    <t>We have 16 public libraries and two mobile libraries in Medway. Follow us for updates on books, authors, libraries and more</t>
  </si>
  <si>
    <t>Weybridge Library</t>
  </si>
  <si>
    <t>Weybridge, Surrey, UK.</t>
  </si>
  <si>
    <t>Official account for Weybridge Library service. There's more to your library than books! Follow for the latest information, events &amp; releases from your library.</t>
  </si>
  <si>
    <t>Banbridge Library</t>
  </si>
  <si>
    <t>23 Scarva Street, BT32 3AD</t>
  </si>
  <si>
    <t>Tweets about our news, events, books &amp; fun. Twitter not monitored 24/7, so please call 02840623973 during opening hours for more info, or to book for an event.</t>
  </si>
  <si>
    <t>Llyfrgell / Library</t>
  </si>
  <si>
    <t>Gwynedd</t>
  </si>
  <si>
    <t>Gwasanaeth Llyfrgell Gwynedd / Gwynedd Library Service</t>
  </si>
  <si>
    <t>Martial Rose Library</t>
  </si>
  <si>
    <t>The University of Winchester's #Library. Informative &amp; friendly. (We will respond to tweets during our staff opening hours: https://t.co/tfXM7F52oA)</t>
  </si>
  <si>
    <t>Filey Library</t>
  </si>
  <si>
    <t>Filey Library, Station Avenue</t>
  </si>
  <si>
    <t>More than just books!</t>
  </si>
  <si>
    <t>NHFT Library Service</t>
  </si>
  <si>
    <t>Northamptonshire</t>
  </si>
  <si>
    <t>We provide Library &amp; Information services to NHS staff &amp; students at @nhftnhs &amp; @NGHNHSTrust</t>
  </si>
  <si>
    <t>Abingdon Library</t>
  </si>
  <si>
    <t>Abingdon, Oxfordshire, UK</t>
  </si>
  <si>
    <t>A busy library in the historic market town of Abingdon-on-Thames, seven miles downstream from Oxford</t>
  </si>
  <si>
    <t>SpColls BradfordUni</t>
  </si>
  <si>
    <t>Special Collections @UniofBradford. Amazing archives &amp; books on Priestley, Yorkshire, archaeology, peace plus. Tweets by @speccollbrad</t>
  </si>
  <si>
    <t>Esher Library</t>
  </si>
  <si>
    <t>Esher</t>
  </si>
  <si>
    <t>Official account for the Esher Library Service. There's more to your library than just books! Get the latest information, events &amp; releases from your library.</t>
  </si>
  <si>
    <t>RSL</t>
  </si>
  <si>
    <t>The Radcliffe Science Library (RSL) is the University of Oxford's main research library for science and medicine.</t>
  </si>
  <si>
    <t>Bromley House Lib</t>
  </si>
  <si>
    <t>Nottingham, UK</t>
  </si>
  <si>
    <t>Independent historic library funded by member subscriptions and founded in 1816 housed in a Georgian building in the heart of Nottingham. New members welcome.</t>
  </si>
  <si>
    <t>USW Library</t>
  </si>
  <si>
    <t>Cardiff, Newport, Pontypridd</t>
  </si>
  <si>
    <t>Library Services at the University of South Wales</t>
  </si>
  <si>
    <t>UH Library</t>
  </si>
  <si>
    <t>Hatfield, Hertfordshire</t>
  </si>
  <si>
    <t>Tweets from the Library at the University of Hertfordshire. For updates on resources, skills, fun stuff &amp; much more. Tweets Monday-Friday.</t>
  </si>
  <si>
    <t>Cranleigh Library</t>
  </si>
  <si>
    <t>Cranleigh</t>
  </si>
  <si>
    <t>Official account for Cranleigh Library Service. There's more to your library than just books! Get the latest information, events &amp; releases from your library.</t>
  </si>
  <si>
    <t>Llandrillo Library</t>
  </si>
  <si>
    <t>Rhos On Sea, Colwyn Bay, Conwy</t>
  </si>
  <si>
    <t>Coleg Llandrillo's Library Resource Centre</t>
  </si>
  <si>
    <t>MidYorks NHS Library</t>
  </si>
  <si>
    <t>Wakefield</t>
  </si>
  <si>
    <t>Providing #medical &amp; #healthcare #education &amp; reliable  #information for #NHS &amp; #Allied #staff &amp; #students on placement @midyorkshirenhs @MidYorks_PLF</t>
  </si>
  <si>
    <t>Bargoed Library</t>
  </si>
  <si>
    <t>Use it. Love it. Join it. Follow it. Libraries are something to shout about so spread the word.
Wales, UK · http://t.co/PGBWskhpHr</t>
  </si>
  <si>
    <t>LanguageLibrary</t>
  </si>
  <si>
    <t>The Oxford Language Centre Library is one of the richest of its kind in the UK with 190 languages on offer!</t>
  </si>
  <si>
    <t>NT Libraries</t>
  </si>
  <si>
    <t>News, pictures and announcements on the more than 150 historic libraries in the care of the National Trust in England, Wales and Northern Ireland.</t>
  </si>
  <si>
    <t>CPKLibraries</t>
  </si>
  <si>
    <t>Perth &amp; Kinross Library service info, news &amp; events. Free internet/Wi-Fi, books/e-titles http://t.co/OhRwEEmbmt</t>
  </si>
  <si>
    <t>Caerphilly Library</t>
  </si>
  <si>
    <t>Caerphilly, Wales</t>
  </si>
  <si>
    <t>Use it. Love it. Join it. Follow it.
#LoveLibraries
*Page not monitored 24/7. Please contact us in branch during opening hours for queries.*</t>
  </si>
  <si>
    <t>Minet Library</t>
  </si>
  <si>
    <t>52 Knatchbull Rd, London</t>
  </si>
  <si>
    <t>The official Twitter account of Minet Library - follow us to find out the latest on services &amp; events at your local North Brixton &amp; SE5 library</t>
  </si>
  <si>
    <t>Vivacity Libraries</t>
  </si>
  <si>
    <t>Peterborough</t>
  </si>
  <si>
    <t>Peterborough Libraries. Great reads for adults and children, events, courses, book clubs, online reference sources and relaxing community spaces.</t>
  </si>
  <si>
    <t>BwdLibraries</t>
  </si>
  <si>
    <t>Blackburn and Darwen</t>
  </si>
  <si>
    <t>Virtual Library, Books, CDs/DVDs, Free Internet, Study space etc</t>
  </si>
  <si>
    <t>LCoM LIBRARY</t>
  </si>
  <si>
    <t>Leeds (UK)</t>
  </si>
  <si>
    <t>A place to keep up with all the latest news and resources @ Leeds College of Music Library.</t>
  </si>
  <si>
    <t>Camberley Library</t>
  </si>
  <si>
    <t>Knoll Road, Camberley, Surrey.</t>
  </si>
  <si>
    <t>Official account for Camberley Library Service. There's more to your library than books! Follow for the latest information, events &amp; releases from your library.</t>
  </si>
  <si>
    <t>Liverpool Public Lib</t>
  </si>
  <si>
    <t>Liverpool, NY</t>
  </si>
  <si>
    <t>Liverpool Public Library is where the community connects!</t>
  </si>
  <si>
    <t>Wandsworth Libraries</t>
  </si>
  <si>
    <t>We're Better. The charitable social enterprise running Wandsworth Library and Heritage Service. A haven for books, ebooks, computers, free wifi, and activities.</t>
  </si>
  <si>
    <t>Cobham Library</t>
  </si>
  <si>
    <t>Cobham</t>
  </si>
  <si>
    <t>Official account for the Cobham Library Service. There's more to your library than just books! Get the latest information, events &amp; releases from your library.</t>
  </si>
  <si>
    <t>Bath Spa Library</t>
  </si>
  <si>
    <t>Bath, UK</t>
  </si>
  <si>
    <t>Twitter feed for Bath Spa University Library services. Tweets by Hazel, Helen, Katie, Peter and Siobhan</t>
  </si>
  <si>
    <t>QUBNursing&amp;Midwifery</t>
  </si>
  <si>
    <t>Queen's University Belfast, School of Nursing and Midwifery</t>
  </si>
  <si>
    <t>Trinity Library</t>
  </si>
  <si>
    <t>The Trinity College Library in Cambridge comprises the modern student library, the Wren Library, and significant rare books, manuscript and archive collections.</t>
  </si>
  <si>
    <t>LeithLibrary</t>
  </si>
  <si>
    <t>Leith, Edinburgh</t>
  </si>
  <si>
    <t>Knitting Group, @Bookbug_SBT, IT Club, Book Group,  &amp; books! For Library enquiries call 0131 5295517</t>
  </si>
  <si>
    <t>Bridgendlibs</t>
  </si>
  <si>
    <t>Bridgend</t>
  </si>
  <si>
    <t>Teesside Uni Library</t>
  </si>
  <si>
    <t>News, updates and events from Teesside University Library</t>
  </si>
  <si>
    <t>Malvern Library</t>
  </si>
  <si>
    <t>Malvern, Worcestershire, UK</t>
  </si>
  <si>
    <t>Malvern Library in Worcestershire. Books and much more - adult learning courses, a café, art gallery, events for children, work club, free internet and wi-fi</t>
  </si>
  <si>
    <t>Sutton Coldfield Lib</t>
  </si>
  <si>
    <t>Sutton Coldfield</t>
  </si>
  <si>
    <t>Sutton Coldfield Library - 0121 464 2274
sutton.coldfield.lending.library@birmingham.gov.uk http://t.co/OLcFCqFJ5l…</t>
  </si>
  <si>
    <t>UEL Library</t>
  </si>
  <si>
    <t>Newham, East London</t>
  </si>
  <si>
    <t>Friendly staff * 24/7 * large digital library * information &amp; skills support * Tweets Monday-Friday 9am-5pm. * There will be GIFs.</t>
  </si>
  <si>
    <t>FB Community Library</t>
  </si>
  <si>
    <t>London, N11 3DS</t>
  </si>
  <si>
    <t>Mon-Sat, 11-7.  Free Wi-Fi.  Join us for kids groups, Yoga, Pilates, Knitting, book group, book signings, music, talks and debates.  Private hire available.</t>
  </si>
  <si>
    <t>Drill Hall Library</t>
  </si>
  <si>
    <t>Chatham, Kent, ME4 4TB, UK</t>
  </si>
  <si>
    <t>Updates from the Universities at Medway Drill Hall Library</t>
  </si>
  <si>
    <t>Dorset Libraries</t>
  </si>
  <si>
    <t>Free to join, open to all. Lots to find, come &amp; explore. Tweeting Monday to Friday, 9am -  5pm.</t>
  </si>
  <si>
    <t>YSJ ILS 📘📃💻📹</t>
  </si>
  <si>
    <t>York St John University</t>
  </si>
  <si>
    <t>Information Learning Services encompasses Library, Print and IT &amp; Media at @YorkStJohn. Call us on 01904 876696. Tweets monitored 9.00am–5.00pm Monday to Friday</t>
  </si>
  <si>
    <t>Evesham Library</t>
  </si>
  <si>
    <t>Oat Street, Evesham</t>
  </si>
  <si>
    <t>Official Twitter account for Evesham Library. Follow us for library and gallery news, events and more! For renewals please call the Hub on 01905 822722.</t>
  </si>
  <si>
    <t>SMBC Libraries</t>
  </si>
  <si>
    <t>Stockport</t>
  </si>
  <si>
    <t>You'll be amazed to find out just what you can do in your local library or by using our online services! So why not get involved in your local Library.</t>
  </si>
  <si>
    <t>Oxted Library</t>
  </si>
  <si>
    <t>Oxted, Surrey, UK.</t>
  </si>
  <si>
    <t>Official account for Oxted Library Service. There's much more to your library than just books. Come &amp; find out about the 101 services @SurreyLibraries offer.</t>
  </si>
  <si>
    <t>Leatherhead Library</t>
  </si>
  <si>
    <t>Leatherhead, Surrey, England.</t>
  </si>
  <si>
    <t>Official account for Leatherhead Library Service. There's more to your library than just books! Get the latest information, events &amp; releases from your library.</t>
  </si>
  <si>
    <t>CMFT Libraries</t>
  </si>
  <si>
    <t>We provide library services for NHS staff and students at Central Manchester Foundation Trust.  We have libraries on Oxford Road and at Trafford General.</t>
  </si>
  <si>
    <t>Trevithick Library</t>
  </si>
  <si>
    <t>Cardiff, UK</t>
  </si>
  <si>
    <t>Trevithick Library at Cardiff University caters to the Schools of Engineering, Physics and Astronomy, Computer Science and Informatics.</t>
  </si>
  <si>
    <t>St John's Library</t>
  </si>
  <si>
    <t>University of Cambridge, UK</t>
  </si>
  <si>
    <t>Library of St John's College, Cambridge, tweeting updates about our resources, tips for using the library, and pretty pictures of our special collections!</t>
  </si>
  <si>
    <t>Shoe Lane Library</t>
  </si>
  <si>
    <t>City of London EC4A 3JR</t>
  </si>
  <si>
    <t>We are a lending library in the City of London, just off Fleet Street  
Like our FB page too – http://t.co/0RsGUUonfY</t>
  </si>
  <si>
    <t>Fleet Library</t>
  </si>
  <si>
    <t>Fleet, Hampshire, UK</t>
  </si>
  <si>
    <t>Official account for Fleet Library &amp; Learning Centre, Hampshire. Free Wi-Fi and internet. Books, courses, events and more! Get all the latest information here.</t>
  </si>
  <si>
    <t>Chertsey Library</t>
  </si>
  <si>
    <t>Chertsey, UK</t>
  </si>
  <si>
    <t>Official account for Chertsey Library Service. There's more to your library than books! Follow for the latest information, events &amp; releases from your library.</t>
  </si>
  <si>
    <t>barbicankidslibrary</t>
  </si>
  <si>
    <t>Children's lending library located in the Barbican Centre in the City of London. Books and fun for 0-14 years! barbicanchildren@cityoflondon.gov.uk</t>
  </si>
  <si>
    <t>The Warburg Library</t>
  </si>
  <si>
    <t>School of Advanced Study</t>
  </si>
  <si>
    <t>News and updates from the Library at the Warburg Institute, London (@Warburg_News) Facebook: (https://t.co/yn6hBVQwS2)</t>
  </si>
  <si>
    <t>Bracknell Library</t>
  </si>
  <si>
    <t>Bracknell, Berkshire, England</t>
  </si>
  <si>
    <t>With nine branches across the Borough, we're at the heart of Bracknell's local communities.</t>
  </si>
  <si>
    <t>Molesey Library</t>
  </si>
  <si>
    <t xml:space="preserve">Walton Road, Molesey, UK </t>
  </si>
  <si>
    <t>Official account for Molesey Library  - Follow for latest information, events &amp; releases from your library.</t>
  </si>
  <si>
    <t>Hampton High Library</t>
  </si>
  <si>
    <t>Hampton Middlesex TW12 3HB UK</t>
  </si>
  <si>
    <t>Information from the Library at Hampton High. Tweets by Miss Pearce, Librarian. Follow @hampton_high for school information.</t>
  </si>
  <si>
    <t>Leeds College of Art</t>
  </si>
  <si>
    <t>We are the library at Leeds College of Art.  Views are our own.</t>
  </si>
  <si>
    <t>Addlestone Library</t>
  </si>
  <si>
    <t xml:space="preserve"> Addlestone, Surrey, UK.</t>
  </si>
  <si>
    <t>Official account for Addlestone Library Service. There's more to your library than just books! Get the latest information, events &amp; releases from your library.</t>
  </si>
  <si>
    <t>Oxfordshirelibraries</t>
  </si>
  <si>
    <t>Oxfordshire</t>
  </si>
  <si>
    <t>Public libraries in Oxfordshire with ebooks, novels, music, DVDs, local &amp; family history, ref &amp; non fiction, events for kids, computers &amp; electronic resources.</t>
  </si>
  <si>
    <t>Slough Libraries</t>
  </si>
  <si>
    <t>Slough, UK</t>
  </si>
  <si>
    <t>Follow us for info on services, news, and events.
Looking for more info about The Curve? Follow our friends @TheCurveSlough as well!</t>
  </si>
  <si>
    <t>Merthyr Libraries</t>
  </si>
  <si>
    <t>Merthyr Tydfil, Wales</t>
  </si>
  <si>
    <t>We are Merthyr Tydfil Public Library Service part of the Merthyr Tydfil Leisure Trust family. Got a question, comment or suggestion? We'd love to hear them.</t>
  </si>
  <si>
    <t>St Hugh's Library</t>
  </si>
  <si>
    <t>Oxford, England</t>
  </si>
  <si>
    <t>St Hugh's College Library, University of Oxford</t>
  </si>
  <si>
    <t>Ncl Uni Law Library</t>
  </si>
  <si>
    <t>Newcastle upon Tyne, UK</t>
  </si>
  <si>
    <t>Newcastle University's Law Library located in @NCLLawSchool's Dungeon. 
[The Library formerly known as @nuliblaw]</t>
  </si>
  <si>
    <t>Jersey Library</t>
  </si>
  <si>
    <t>Jersey</t>
  </si>
  <si>
    <t>Jersey Public Library Service</t>
  </si>
  <si>
    <t>Uni Glos Libraries</t>
  </si>
  <si>
    <t>University of Gloucestershire</t>
  </si>
  <si>
    <t>Follow us on Twitter for the latest news on library services. Feel free to ask us questions as well!</t>
  </si>
  <si>
    <t>IS @ Uni of Stirling</t>
  </si>
  <si>
    <t>Stirling, Scotland, UK</t>
  </si>
  <si>
    <t>Latest Library and IT news from Information Services at the University of Stirling</t>
  </si>
  <si>
    <t>Whitby Library Uk</t>
  </si>
  <si>
    <t>Windsor Terrace, Whitby</t>
  </si>
  <si>
    <t>CardiffMet_L&amp;IS</t>
  </si>
  <si>
    <t>The official account for Cardiff Met University Library &amp; Information Services. Follow us for news and updates on L&amp;IS services and resources.</t>
  </si>
  <si>
    <t>Cornwall Libraries</t>
  </si>
  <si>
    <t>Providing a library service to Cornwall. Free membership, free books, free wifi, free computer access.</t>
  </si>
  <si>
    <t>Sunbury Library</t>
  </si>
  <si>
    <t>Sunbury on Thames, Surrey, UK.</t>
  </si>
  <si>
    <t>Official account for Sunbury Library Service. There's more to your library than just books! Get the latest information, events &amp; releases from your library.</t>
  </si>
  <si>
    <t>Penarth Library</t>
  </si>
  <si>
    <t>Penarth</t>
  </si>
  <si>
    <t>The Official Penarth Library Twitter Page | Let's Explore, Create, Discover &amp; Share! | Find us on Facebook &amp; Instagram</t>
  </si>
  <si>
    <t>SouthamptonLibraries</t>
  </si>
  <si>
    <t>Welcome to information about books, events, people in Southampton libraries</t>
  </si>
  <si>
    <t>Science Library</t>
  </si>
  <si>
    <t>Cardiff</t>
  </si>
  <si>
    <t>The Science Library at Cardiff University is located in Main Building and supports the Schools of Biosciences, Chemistry and Earth and Ocean Sciences.</t>
  </si>
  <si>
    <t>Rhymney Library</t>
  </si>
  <si>
    <t>Wales</t>
  </si>
  <si>
    <t>Rhymney Library - Use it. Love it. Join it. Follow it. Libraries are something to shout about so spread the word</t>
  </si>
  <si>
    <t>Merton Libraries</t>
  </si>
  <si>
    <t>Merton</t>
  </si>
  <si>
    <t>Clinical Librarians</t>
  </si>
  <si>
    <t>Leicester</t>
  </si>
  <si>
    <t>Clinical Librarian (CL) Service at University Hospitals of Leicester NHS Trust.</t>
  </si>
  <si>
    <t>ScHARR Library</t>
  </si>
  <si>
    <t>Updates from the @ScHARRSheffield Information Resources and Library team at @SheffieldUni.</t>
  </si>
  <si>
    <t>VH Library</t>
  </si>
  <si>
    <t>The Vere Harmsworth Library is the University of Oxford's main research library for US Studies</t>
  </si>
  <si>
    <t>BLDS</t>
  </si>
  <si>
    <t>The British Library for Development Studies: your local development library, wherever you are in the world</t>
  </si>
  <si>
    <t>North Somerset Libs</t>
  </si>
  <si>
    <t>North Somerset</t>
  </si>
  <si>
    <t>News from North Somerset Libraries. Part of @LibrariesWest consortium, giving you access to over 150 libraries.
This account is monitored during office hours.</t>
  </si>
  <si>
    <t>Redditch Library</t>
  </si>
  <si>
    <t>Redditch, Worcestershire</t>
  </si>
  <si>
    <t>Redditch Library official account. Just your friendly neighbourhood library :-) Drop in and say hello! Call us: 01905 822722</t>
  </si>
  <si>
    <t>B&amp;MI</t>
  </si>
  <si>
    <t>The Birmingham &amp; Midland Institute. Cultural and educational activities, library and events venue. 
Science - Arts - Literature</t>
  </si>
  <si>
    <t>BRLSI</t>
  </si>
  <si>
    <t>Bath Royal Literary and Scientific Institution - lectures and exhibitions in the heart of Bath, UK. See www.brlsi.org for latest details. Reg Charity 304477.</t>
  </si>
  <si>
    <t>Powys Libraries</t>
  </si>
  <si>
    <t>Mid Wales, UK</t>
  </si>
  <si>
    <t>#GRELibraries</t>
  </si>
  <si>
    <t>Greenwich and Eltham</t>
  </si>
  <si>
    <t>University of Greenwich, Avery Hill library and Stockwell Street Library.</t>
  </si>
  <si>
    <t>Croydon Libraries</t>
  </si>
  <si>
    <t>London Borough of Croydon</t>
  </si>
  <si>
    <t>The official Croydon Libraries Twitter account. The home of LEGO Education. https://t.co/lJLmsg05pB</t>
  </si>
  <si>
    <t>Lowestoft Library</t>
  </si>
  <si>
    <t>Lowestoft, Suffolk</t>
  </si>
  <si>
    <t>Proud to be a part of @SuffolkLibrary</t>
  </si>
  <si>
    <t>Special Collections, University of Bristol Library: publishing, politics, engineering, medicine, feminism, humanities, science, the West Indies...</t>
  </si>
  <si>
    <t>SGUL Library</t>
  </si>
  <si>
    <t>Latest updates from SGUL Library, St George's, University of London
Tweets Monday-Friday 9am-5pm</t>
  </si>
  <si>
    <t>Bridgnorth Library</t>
  </si>
  <si>
    <t>Bridgnorth, Shropshire</t>
  </si>
  <si>
    <t>Busy market town library and visitor information centre. Follow us for the latest new, events and activities.</t>
  </si>
  <si>
    <t>Swanshurst Library</t>
  </si>
  <si>
    <t>The Twitter account for Swanshurst School Library, Birmingham UK. Hello to Jason Isaacs. #ya #diversebooks #amreading #libraries</t>
  </si>
  <si>
    <t>PLHS Library</t>
  </si>
  <si>
    <t>Prestonpans, Scotland</t>
  </si>
  <si>
    <t>This is the Twitter account for Preston Lodge High School Library. We aim to encourage and support everyone in our school to l♥ve books, reading, and libraries.</t>
  </si>
  <si>
    <t>Bookham Library</t>
  </si>
  <si>
    <t>Bookham</t>
  </si>
  <si>
    <t>Official account for Bookham Library. There's more to your library than just books! Get the latest information, events &amp; releases from your library.</t>
  </si>
  <si>
    <t>UoPLibrary Penguin</t>
  </si>
  <si>
    <t>Pablo. Has wings, does library things. The cuddlier face of @uoplibrary.</t>
  </si>
  <si>
    <t>Larbert High Library</t>
  </si>
  <si>
    <t>#LarbertGETSReading</t>
  </si>
  <si>
    <t>Larbert High School Library - 
YOUR DYNAMIC LEARNING CENTRE</t>
  </si>
  <si>
    <t>Ystrad Mynach Lib</t>
  </si>
  <si>
    <t>Miners' Library</t>
  </si>
  <si>
    <t>Promoting Your Learning; Preserving Our Past - we support the teaching and research activities of the University and promote links with the wider community</t>
  </si>
  <si>
    <t>BrunelSpecColl</t>
  </si>
  <si>
    <t>Brunel University London: Library Special Collections</t>
  </si>
  <si>
    <t>IHR Library</t>
  </si>
  <si>
    <t>Senate House, London</t>
  </si>
  <si>
    <t>The Wohl Library of the Institute of Historical Research. Follow for updates about the library, new acquisitions and events.Tweets this week by Siobhan Morris</t>
  </si>
  <si>
    <t>QueenMargaretUni LRC</t>
  </si>
  <si>
    <t>We're the Learning Resource Centre at Queen Margaret University. Find us on Instagram @qmulrc</t>
  </si>
  <si>
    <t>Shepperton Library</t>
  </si>
  <si>
    <t>High Street, Shepperton</t>
  </si>
  <si>
    <t>Official account for Shepperton Library Service. 
There's more to your library than just books.
Visit us for local information, events, services &amp; a smile!</t>
  </si>
  <si>
    <t>Brotherton Library</t>
  </si>
  <si>
    <t>75 and in my prime</t>
  </si>
  <si>
    <t>CCA_Library</t>
  </si>
  <si>
    <t>London SE5 8UF</t>
  </si>
  <si>
    <t>Camberwell College of Arts Library, University of the Arts London - Fine Art, Book Arts, Illustration, Photography, Design &amp; Conservation</t>
  </si>
  <si>
    <t>Health Library</t>
  </si>
  <si>
    <t>Advising and aiding academic staff, researchers, students and NHS staff. Follow our blog for more detail https://t.co/rxWKD6pNbg</t>
  </si>
  <si>
    <t>Cotham School Lib*</t>
  </si>
  <si>
    <t>Bristol</t>
  </si>
  <si>
    <t>We are Cotham School Library, Bristol. For school info @CothamSchool or http://t.co/qJExiuF6fS 
#CothamReads Follow us at:
http://t.co/XXsvIHeE2y</t>
  </si>
  <si>
    <t>UWTSD Library</t>
  </si>
  <si>
    <t>The official tweets of the Library &amp; Learning Resources at UWTSD.</t>
  </si>
  <si>
    <t>COGC Libraries</t>
  </si>
  <si>
    <t>City of Glasgow College Library Services |
Also find us at http://t.co/VMBLiV4y90</t>
  </si>
  <si>
    <t>Christ's Library</t>
  </si>
  <si>
    <t>Cambridge, U.K.</t>
  </si>
  <si>
    <t>A dedicated team of librarians at Christ's College tweeting new developments and fantastic resources from the Working Library and our 16th century Old Library.</t>
  </si>
  <si>
    <t>Midlothian Libraries</t>
  </si>
  <si>
    <t>Midlothian Scotland</t>
  </si>
  <si>
    <t>Read, learn, inspire</t>
  </si>
  <si>
    <t>Haslemere Library</t>
  </si>
  <si>
    <t>Surrey, England, UK.</t>
  </si>
  <si>
    <t>At the Shottermill end of Haslemere since 1947. It's a great place to explore.  Books for all, DVDs &amp; much more, plus a welcoming staff. http://t.co/hfFQGML6CM</t>
  </si>
  <si>
    <t>Amgueddfa Library</t>
  </si>
  <si>
    <t>The Library of Amgueddfa Cymru - National Museum Wales</t>
  </si>
  <si>
    <t>CWAC Libraries</t>
  </si>
  <si>
    <t>Would you like to find out more about what libraries can do for you? From borrowing books, multimedia, and downloading ebooks to free Wi-Fi.</t>
  </si>
  <si>
    <t>Keble Library</t>
  </si>
  <si>
    <t>Keble College Library, University of Oxford</t>
  </si>
  <si>
    <t>Cheltenham Libraries</t>
  </si>
  <si>
    <t>We are a 4 library system in cheltenham township, pennsylvania</t>
  </si>
  <si>
    <t>HSMC Library</t>
  </si>
  <si>
    <t>Telford Libraries</t>
  </si>
  <si>
    <t>Telford, England</t>
  </si>
  <si>
    <t>Tweeting about our fantastic FREE services from public libraries in Telford &amp; Wrekin, and lots more! Account not monitored 24/7.</t>
  </si>
  <si>
    <t>Casimir Lewy Library</t>
  </si>
  <si>
    <t>Library of the Faculty of Philosophy @Cambridge_Uni. Philosophy news with a (mostly) Cambridge slant.</t>
  </si>
  <si>
    <t>SoT Libraries</t>
  </si>
  <si>
    <t>Stoke-on-Trent</t>
  </si>
  <si>
    <t>Welcome to Stoke-on-Trent Libraries on Twitter! Anyone can join the library so why not join today? Open your imagination to a whole new world!</t>
  </si>
  <si>
    <t>N'land Libraries</t>
  </si>
  <si>
    <t>Northumberland</t>
  </si>
  <si>
    <t>News and events and from Active Northumberland Libraries.</t>
  </si>
  <si>
    <t>Aberconway Library</t>
  </si>
  <si>
    <t>Colum Drive, Cardiff</t>
  </si>
  <si>
    <t>A Cardiff University library; for the staff &amp; students of Cardiff Business School (@cardiffbusiness) &amp; all @cardiffuni members https://t.co/Nkq0J2TprN</t>
  </si>
  <si>
    <t>Horley Library</t>
  </si>
  <si>
    <t>Horley, Surrey, England.</t>
  </si>
  <si>
    <t>**MORE THAN BOOKS!**  Rhymetime (Thurs 10.30am), DVD hire, PCs, photocopier. We sell children's posters &amp; activity books, stationery, cards &amp; reading glasses.</t>
  </si>
  <si>
    <t>Ewell Library</t>
  </si>
  <si>
    <t>Ewell, Surrey, England</t>
  </si>
  <si>
    <t>Official account for Ewell Library Service. There's more to your library than just books! Get the latest information, events &amp; releases from your library.</t>
  </si>
  <si>
    <t>Ashford Library</t>
  </si>
  <si>
    <t>Ashford, Surrey, UK</t>
  </si>
  <si>
    <t>Official account for Ashford Library Service. There's more to your library than just books! Get the latest information, events &amp; releases from your library.</t>
  </si>
  <si>
    <t>Sainsbury Library</t>
  </si>
  <si>
    <t>The Saϊd Business School’s library, and one of the University of Oxford’s Bodleian Libraries. Tweets with library news, services and business info.</t>
  </si>
  <si>
    <t>Queen Square Library</t>
  </si>
  <si>
    <t>UCL Institute of Neurology &amp; UCLH National Hospital for Neurology and Neurosurgery. Our links &amp; retweets do not imply endorsement.
Open: Mon-Fri, 9am-7pm.</t>
  </si>
  <si>
    <t>Banstead Library</t>
  </si>
  <si>
    <t>Banstead, Surrey, England,</t>
  </si>
  <si>
    <t>We look forward to welcoming you to our friendly Library! Follow us to get the latest information, events &amp; releases from your library.</t>
  </si>
  <si>
    <t>South Glos Libraries</t>
  </si>
  <si>
    <t>South Gloucestershire</t>
  </si>
  <si>
    <t>Here to help everyone get more out of life *Digital *Health *Learning *Information *Culture *Reading  
We aim to respond within 24 hours</t>
  </si>
  <si>
    <t>FXLibrary</t>
  </si>
  <si>
    <t>Falmouth and Penryn</t>
  </si>
  <si>
    <t>Library Service for Falmouth University &amp; University of Exeter, Cornwall Campus #PenrynCampusLibrary #FalmouthCampusLibrary 
We're also on Facebook: FXLibrary</t>
  </si>
  <si>
    <t>Neath Library</t>
  </si>
  <si>
    <t>Neath, South Wales, UK</t>
  </si>
  <si>
    <t>Public Library Tel: (01639) 644604</t>
  </si>
  <si>
    <t>SA Libraries</t>
  </si>
  <si>
    <t>South Ayrshire, Scotland</t>
  </si>
  <si>
    <t>Discover what's available at your local library. Books, eBooks, Audio Books, Newspapers, Magazines, DVDs, Bookbug, Family History, Free Wi-FI &amp; so much more</t>
  </si>
  <si>
    <t>Droitwich Library</t>
  </si>
  <si>
    <t>Droitwich Spa, Worcestershire</t>
  </si>
  <si>
    <t>Busy town centre library.  Follow us for up to date info on  all sorts of events and activities.</t>
  </si>
  <si>
    <t>Belsize Library</t>
  </si>
  <si>
    <t>We are a newly independent library powered by @the_winch. We believe libraries are the hub of the community.</t>
  </si>
  <si>
    <t>WRIRC Library</t>
  </si>
  <si>
    <t>Knaphill Library</t>
  </si>
  <si>
    <t>Knaphill, Surrey, UK.</t>
  </si>
  <si>
    <t>Official account for Knaphill Library Service. There's more to your library than just books! Get the latest information, events &amp; releases from your library.</t>
  </si>
  <si>
    <t>Cranfield U Library</t>
  </si>
  <si>
    <t>Cranfield University, UK</t>
  </si>
  <si>
    <t>Follow for the latest news from Cranfield University Library (Cranfield Campus). Feel free to ask us questions too. Clare, Emma, Sheila and Georgina say hello!</t>
  </si>
  <si>
    <t>Surrey PA Library</t>
  </si>
  <si>
    <t>Denbies Wine Estate, Dorking.</t>
  </si>
  <si>
    <t>Official account for The Surrey Performing Arts Library. Get the latest information, events &amp; releases on materials covering music, dance, theatre &amp; cinema.</t>
  </si>
  <si>
    <t>Eton College Library</t>
  </si>
  <si>
    <t>England, United Kingdom</t>
  </si>
  <si>
    <t>Twitter for College Library, home of Eton's rare books and manuscripts. Blogging at https://t.co/PONXM7ziPW</t>
  </si>
  <si>
    <t>UWE Glenside Library</t>
  </si>
  <si>
    <t>News and events from Glenside Library, UWE Bristol.</t>
  </si>
  <si>
    <t>Artizan St. Library</t>
  </si>
  <si>
    <t>City Of London</t>
  </si>
  <si>
    <t>Artizan Street Library &amp; Community Centre is the City of London's newest public library and community hub. http://t.co/I5D7cQEi</t>
  </si>
  <si>
    <t>Jerwood Library, TL</t>
  </si>
  <si>
    <t>Greenwich, London, UK</t>
  </si>
  <si>
    <t>The Jerwood Library of the Performing Arts meets the music resource needs of @TrinityLaban Conservatoire of Music &amp; Dance. Open Mon-Thu 9-7, Fri 9-5, Sat 10-3.</t>
  </si>
  <si>
    <t>Queens' Library</t>
  </si>
  <si>
    <t xml:space="preserve">University of Cambridge, UK. </t>
  </si>
  <si>
    <t>Queens' College Library, Cambridge. Tweeting about new &amp; interesting  resources, events, our Old Library collections &amp; other news. 
Project funded by @HLFEoE</t>
  </si>
  <si>
    <t>Ashtead Library</t>
  </si>
  <si>
    <t>Woodfield Lane, Ashtead</t>
  </si>
  <si>
    <t>Official account for Ashtead Library Service. There's more to your library than just books! Get the latest information, events &amp; releases from your library.</t>
  </si>
  <si>
    <t>Library&amp;ArchiveTNAGW</t>
  </si>
  <si>
    <t>Walsall, West Midlands</t>
  </si>
  <si>
    <t>Art Library and Archives at The New Art Gallery Walsall. Tweets by Library &amp; Collections Assistant Litsa Petraki. Library open 10am-5pm Tues to Sat. 01922654464</t>
  </si>
  <si>
    <t>Oriental Lib Oxford</t>
  </si>
  <si>
    <t>The Bodleian Oriental Institute Library (OIL) is Oxford University's main lending and reference library for orientalia. oriental.institute@bodleian.ox.ac.uk</t>
  </si>
  <si>
    <t>Ash Library</t>
  </si>
  <si>
    <t>Ash</t>
  </si>
  <si>
    <t>Official account for Ash Library. There's more to your local library than just books! Get the latest information, events &amp; releases from your local library.</t>
  </si>
  <si>
    <t>LibraryUoB</t>
  </si>
  <si>
    <t>Bradford, UK</t>
  </si>
  <si>
    <t>University of Bradford Libraries tweet about latest  news on services, resources and our two sites: J.B. Priestley Library and Faculty of Management and Law.</t>
  </si>
  <si>
    <t>Egham Library</t>
  </si>
  <si>
    <t>Egham, Surrey, UK.</t>
  </si>
  <si>
    <t>Official account for Egham Library Service. There's more to your library than just books! Get the latest information, events &amp; releases from your library.</t>
  </si>
  <si>
    <t>Waterloo Library</t>
  </si>
  <si>
    <t>1 Kennington Road SE1 7QP</t>
  </si>
  <si>
    <t>Your local Lambeth library based in the Oasis Centre, SE1. For lending books, DVDs, Wi-Fi, computer access, eBooks,eMagazines, storytime &amp; more #LoveLamLibs</t>
  </si>
  <si>
    <t>Taylor Slavonic</t>
  </si>
  <si>
    <t>St Giles</t>
  </si>
  <si>
    <t>Part of the Taylor Institution Library, tweeting about all things Slavonic and Modern Greek both inside the library and out.</t>
  </si>
  <si>
    <t>Horsley Library</t>
  </si>
  <si>
    <t>East Horsley, Surrey, UK.</t>
  </si>
  <si>
    <t>Official account for Horsley Library Service. There's more to your library than just books! Get the latest information, events &amp; releases from your library.</t>
  </si>
  <si>
    <t>Cumbria Libraries</t>
  </si>
  <si>
    <t>Cumbria</t>
  </si>
  <si>
    <t>Books, internet, CD &amp; DVD hire, free online books &amp; magazines, and much, much more...and it's free to join!</t>
  </si>
  <si>
    <t>Thame Library</t>
  </si>
  <si>
    <t>A busy, friendly, modern library at the heart of the historic bustling market town of Thame, Oxfordshire.</t>
  </si>
  <si>
    <t>NWASLibrary</t>
  </si>
  <si>
    <t>North West, UK</t>
  </si>
  <si>
    <t>North West Ambulance Service NHS Trust, Library &amp; Knowledge Service [NWAS LKS]. RT or Follow is not an endorsement.</t>
  </si>
  <si>
    <t>Caterham Libraries</t>
  </si>
  <si>
    <t>Surrey, England</t>
  </si>
  <si>
    <t>Official account for both Caterham Valley &amp; Caterham Hill libraries.There's more to your library than books! Follow for information, news, events &amp; releases.</t>
  </si>
  <si>
    <t>KeeleLibrary</t>
  </si>
  <si>
    <t>Keele, Newcastle Under Lyme</t>
  </si>
  <si>
    <t>Follow us for the latest news and events at Keele University Campus Library</t>
  </si>
  <si>
    <t>Ipswich Library</t>
  </si>
  <si>
    <t>Northgate St, Ipswich, IP1 3DE</t>
  </si>
  <si>
    <t>News, events and tidbits from the team at Ipswich County Library. Proud member of the @SuffolkLibrary family.</t>
  </si>
  <si>
    <t>WSA Library</t>
  </si>
  <si>
    <t>Winchester, UK</t>
  </si>
  <si>
    <t>Bringing you news from Winchester School of Art Library, part of the University of Southampton libraries.</t>
  </si>
  <si>
    <t>RNCM Library</t>
  </si>
  <si>
    <t>Your direct line to the RNCM Library.</t>
  </si>
  <si>
    <t>Carmarthen, Lampeter &amp; London</t>
  </si>
  <si>
    <t>The official tweets of Library &amp; Learning Resources at the University of Wales Trinity Saint David : Carmarthen, Lampeter &amp; London</t>
  </si>
  <si>
    <t>Caldicot Hub</t>
  </si>
  <si>
    <t>Caldicot, Monmouthshire</t>
  </si>
  <si>
    <t>Council Services. Library. Community Education. Wi-Fi. Open all Monday to Friday and Saturday mornings.
Tel 01291 426425</t>
  </si>
  <si>
    <t>RSM Library</t>
  </si>
  <si>
    <t>1 Wimpole Street, London</t>
  </si>
  <si>
    <t>Mon-Thurs 9am-9pm, Fri 9am-5.30pm and Sat 10am-4.30pm.
 24/7 Access to the IT Training Room and the first floor collection on reference basis.</t>
  </si>
  <si>
    <t>Staffs Uni Library</t>
  </si>
  <si>
    <t>Staffordshire UK</t>
  </si>
  <si>
    <t>News from and about the libraries at Staffordshire University</t>
  </si>
  <si>
    <t>Newnham College Lib</t>
  </si>
  <si>
    <t>News, updates, tips &amp; tricks from Newnham College Library.</t>
  </si>
  <si>
    <t>Magdalen Libraries</t>
  </si>
  <si>
    <t>Oxford, Oxfordshire</t>
  </si>
  <si>
    <t>Magdalen College, Oxford has a major circulating library, a significant early printed &amp; manuscript books collection, and an extensive archive.</t>
  </si>
  <si>
    <t>D&amp;G Libraries</t>
  </si>
  <si>
    <t>Dumfries</t>
  </si>
  <si>
    <t>Dumfries &amp; Galloway Libraries has something for everyone! A great range of books, events, online resources, courses &amp; free internet. http://t.co/Qln8ggpPAs</t>
  </si>
  <si>
    <t>Cass Library</t>
  </si>
  <si>
    <t>The Cyril Kleinwort Learning Resource Centre at Cass Business School. Keep up-to-date with Cass Library Services at  City, University of London.</t>
  </si>
  <si>
    <t>Blackwood Library</t>
  </si>
  <si>
    <t>Blackwood, Wales -01495 235656</t>
  </si>
  <si>
    <t>Mere Green Library</t>
  </si>
  <si>
    <t>Mere Green, Birmingham</t>
  </si>
  <si>
    <t>One of Birmingham's community libraries.
0121 4644592</t>
  </si>
  <si>
    <t>Librarian</t>
  </si>
  <si>
    <t>East Renfrewshire</t>
  </si>
  <si>
    <t>Librarytastic information</t>
  </si>
  <si>
    <t>Sunderland Libraries</t>
  </si>
  <si>
    <t>City of Sunderland</t>
  </si>
  <si>
    <t>Official Sunderland Library Services account - Reading, Learning, Digital, Information, Health, Culture. Visit one of our libraries or meet us out and about</t>
  </si>
  <si>
    <t>St Anne's Library</t>
  </si>
  <si>
    <t>St Anne's College, Oxford</t>
  </si>
  <si>
    <t>The Library of St Anne's College, Oxford.</t>
  </si>
  <si>
    <t>Whitchurch Library</t>
  </si>
  <si>
    <t>Whitchurch, Shropshire</t>
  </si>
  <si>
    <t>A busy market town library in North Shropshire.
Follow us for the latest news, events and information.</t>
  </si>
  <si>
    <t>WCA_Library</t>
  </si>
  <si>
    <t>Wimbledon College of Arts Library, University of the Arts London. Interests include Fine Art, Drawing, Theatre Design and Performance and Costume.</t>
  </si>
  <si>
    <t>BGS Library</t>
  </si>
  <si>
    <t>Brisbane, Australia</t>
  </si>
  <si>
    <t>Updates from the Brisbane Grammar School Senior and Middle School Libraries. Connecting learners and ideas.</t>
  </si>
  <si>
    <t>Abertay Library</t>
  </si>
  <si>
    <t>Dundee</t>
  </si>
  <si>
    <t>We are Library Services @ Abertay University. Library &amp; IT drop-ins: Tues 11-12, Wed 12-1 &amp; Thurs 3-4 during term time.
https://t.co/NO67AiptZu</t>
  </si>
  <si>
    <t>LHS ICC</t>
  </si>
  <si>
    <t>Litherland High School (Information &amp; Communication Centre) Classroom, Homework Club, Library.  Open from 8am to 4pm Mon - Fri.</t>
  </si>
  <si>
    <t>Lincoln Library</t>
  </si>
  <si>
    <t>Lincoln College Oxford, UK</t>
  </si>
  <si>
    <t>Lincoln College Library is an 18th century converted church providing access to Undergraduate texts and a beautiful place to work for all College members.</t>
  </si>
  <si>
    <t>Wroxham Library</t>
  </si>
  <si>
    <t>England</t>
  </si>
  <si>
    <t>One of 47 libraries managed by Norfolk County Council. Send us an @ or DM and we'll respond. Join the library online - it's free! Click our website link.</t>
  </si>
  <si>
    <t>Walkley Library</t>
  </si>
  <si>
    <t>Walkley, Sheffield</t>
  </si>
  <si>
    <t>Walkley Library has no longer been Council run since 17 November 2014.  It cannot remain in public hands without local support and commitment. Could you help?</t>
  </si>
  <si>
    <t>Marshall Library</t>
  </si>
  <si>
    <t>Marshall Library, Cambridge (UK): more than just books, journals &amp; e-resources for economics and development studies. Tweets or re-tweets are not endorsements.</t>
  </si>
  <si>
    <t>Ballymena Library</t>
  </si>
  <si>
    <t>5 Pat's Brae, BT43 5AX</t>
  </si>
  <si>
    <t>Twitter is not monitored 24/7. Public Library in Northern Ireland -open M 10:00-20:00, T 9:30-17:30, W 9:30-17:30, T 10.00-20:00, F 9:30-17:00, S 9:30-16:00.</t>
  </si>
  <si>
    <t>Thorp LRC</t>
  </si>
  <si>
    <t>We are the busy Learning Resource Centre at Thorp Academy promoting reading for pleasure every day 
(Mrs B Khalil)</t>
  </si>
  <si>
    <t>Sudbury Library</t>
  </si>
  <si>
    <t>Sudbury, Suffolk</t>
  </si>
  <si>
    <t>Crouch End Unlibrary</t>
  </si>
  <si>
    <t>Crouch End, North London</t>
  </si>
  <si>
    <t>A coworking/workshop/learning space inside Hornsey Library. Run by your friendly unlibrarians @ifbook and @the_anke</t>
  </si>
  <si>
    <t>Whittaker Library</t>
  </si>
  <si>
    <t>Glasgow, Scotland.</t>
  </si>
  <si>
    <t>We're the very helpful, award-winning  Whittaker Library at @RCStweets, here to help staff &amp; students get the info they need for teaching &amp; learning. Follow us!</t>
  </si>
  <si>
    <t>NUA Library</t>
  </si>
  <si>
    <t>Norwich, UK</t>
  </si>
  <si>
    <t>The Library at Norwich University of the Arts.
Our instagram is here: https://t.co/QUbI2Wwi5P</t>
  </si>
  <si>
    <t>Brighton Sx NHS LKS</t>
  </si>
  <si>
    <t>Brighton and Mid-Sussex, UK</t>
  </si>
  <si>
    <t>The Library and Knowledge Service for NHS staff and students in Brighton &amp; Hove, Haywards Heath and surrounding areas.</t>
  </si>
  <si>
    <t>Glyndŵr Uni Library</t>
  </si>
  <si>
    <t>Wrexham, Wales, UK</t>
  </si>
  <si>
    <t>University Library in Wrexham, North Wales. Providing information resources in a flexible and friendly environment to staff, students and the community</t>
  </si>
  <si>
    <t>LiverpoolHopeLibrary</t>
  </si>
  <si>
    <t>Liverpool Hope Library</t>
  </si>
  <si>
    <t>Liverpool Hope University Library and Special Collections tweeting useful tips, news and updates. Got a question? Tweet us or email AskaLibrarian@hope.ac.uk</t>
  </si>
  <si>
    <t>Social Science Lib</t>
  </si>
  <si>
    <t>Manor Road, Oxford</t>
  </si>
  <si>
    <t>The Bodleian Social Science Library aims to deliver exceptional services and collections to readers at the University of Oxford. We welcome your comments.</t>
  </si>
  <si>
    <t>WestByfleetLib</t>
  </si>
  <si>
    <t>West Byfleet, Surrey, UK.</t>
  </si>
  <si>
    <t>Official account for West Byfleet Library Service. There's more to your library than just books! Get the latest information, events &amp; releases from your library</t>
  </si>
  <si>
    <t>Cromer Library</t>
  </si>
  <si>
    <t xml:space="preserve">Cromer, Norfolk </t>
  </si>
  <si>
    <t>A community library and information hub that offers free internet access, literature and an assortment of activities and events. Open Monday to Saturday.</t>
  </si>
  <si>
    <t>Bury Library</t>
  </si>
  <si>
    <t>Bury St Edmunds, Suffolk, UK</t>
  </si>
  <si>
    <t>Free access to books, computers and much much more! Don't miss our diverse array of events. Proud to be part of @SuffolkLibrary</t>
  </si>
  <si>
    <t>SLS Guernsey</t>
  </si>
  <si>
    <t>The Schools' Library Service in Guernsey aims to support all school libraries. Libraries inspire learning so call us on 01481 714098 or email sls@library.gg</t>
  </si>
  <si>
    <t>Dringhouses library</t>
  </si>
  <si>
    <t>York</t>
  </si>
  <si>
    <t>Keeping you up to date with all the news and events from Dringhouses Library. For the overall Libraries &amp; Archives service see @YorkLibrariesUK.</t>
  </si>
  <si>
    <t>SHS Library</t>
  </si>
  <si>
    <t>Twitter account for the Surbiton High School library @SurbitonHigh. All the latest on great reads, literary happenings and more!</t>
  </si>
  <si>
    <t>School Libraries</t>
  </si>
  <si>
    <t>Portsmouth</t>
  </si>
  <si>
    <t>The Portsmouth School Library Service is dedicated to providing library services for schools and inspiring pupils to read more.</t>
  </si>
  <si>
    <t>Pusey House Library</t>
  </si>
  <si>
    <t>St Giles, Oxford, UK</t>
  </si>
  <si>
    <t>The library and archive @PuseyHouse. Tweets by @Superteadrinker.</t>
  </si>
  <si>
    <t>Stoke-on-Trent, Staffordshire</t>
  </si>
  <si>
    <t>We are the Health Library for North Staffordshire. We support Keele University healthcare students and NHS staff throughout North Staffordshire.</t>
  </si>
  <si>
    <t>Learning Communities</t>
  </si>
  <si>
    <t>Lincoln, Lincolnshire</t>
  </si>
  <si>
    <t>Bringing your local community support services together at our Community Hubs, Libraries &amp; Youth Centres at various locations across Lincoln</t>
  </si>
  <si>
    <t>Guildford Institute</t>
  </si>
  <si>
    <t>Guildford, UK</t>
  </si>
  <si>
    <t>A social and educational community hub in the heart of Guildford</t>
  </si>
  <si>
    <t>RGU iSchool</t>
  </si>
  <si>
    <t>Robert Gordon University</t>
  </si>
  <si>
    <t>Information Management @ RGU Aberdeen. Proud members of the iSchools organisation and ESRC Information Science Scotland Pathway</t>
  </si>
  <si>
    <t>Bucks New Libraries</t>
  </si>
  <si>
    <t>High Wycombe and Uxbridge</t>
  </si>
  <si>
    <t>Official Twitter account of @bucksnewuni libraries. Keeping you informed and in touch with library life. 
Download the Library App on Google Play &amp; iTunes.</t>
  </si>
  <si>
    <t>GT Yarmouth Library</t>
  </si>
  <si>
    <t>Great Yarmouth,Norfolk England</t>
  </si>
  <si>
    <t>Ask us questions &amp; we'll reply asap Monday-Friday, 9-5. Managed by Norfolk County Council</t>
  </si>
  <si>
    <t>Gray's Inn Library</t>
  </si>
  <si>
    <t>A professional law library in London, open to all barrister and student members of the Inns of Court</t>
  </si>
  <si>
    <t>TheForumSoS</t>
  </si>
  <si>
    <t>Southend-on-Sea</t>
  </si>
  <si>
    <t>A brand new award-winning state-of-the-art £27m library and learning facility for Southend, which opened in September 2013.</t>
  </si>
  <si>
    <t>Pontardawe Library</t>
  </si>
  <si>
    <t>Public Library,
Neath Port Talbot,
Tel: 01792 862261</t>
  </si>
  <si>
    <t>The Seeley Library</t>
  </si>
  <si>
    <t>The History Faculty library. Supporting students and academics across the University by providing a wide range of print/e-resources, and over 300 working spaces</t>
  </si>
  <si>
    <t>Forest Hill Library</t>
  </si>
  <si>
    <t>Forest Hill, England</t>
  </si>
  <si>
    <t>Forest Hill Library, London SE23. Follow us for updates and information.</t>
  </si>
  <si>
    <t>Gorleston Library</t>
  </si>
  <si>
    <t>Norfolk, England, UK</t>
  </si>
  <si>
    <t>Managed by @NorfolkCC Offer free computer access &amp; WiFi, books, events, groups &amp; more. Staffed intermittently Mon-Fri https://t.co/rjsBv8hqJC</t>
  </si>
  <si>
    <t>Tang Hall Library</t>
  </si>
  <si>
    <t>Keeping you up to date with the news from Tang Hall library, City of York Council. For the overall Libraries &amp; Archives services see @YorkLibrariesUK</t>
  </si>
  <si>
    <t>Tate Library</t>
  </si>
  <si>
    <t>South Lambeth Road, SW8.</t>
  </si>
  <si>
    <t>Tate South Lambeth Library: Books, Audio &amp; DVDs for loan, Reading Groups, Storytelling, ESOL, Knitting, Film, Gardening Clubs, printing, photocopying and more!</t>
  </si>
  <si>
    <t>Library@EA</t>
  </si>
  <si>
    <t>Dynamic, diverse &amp; dizzyingly active centre of the school.</t>
  </si>
  <si>
    <t>Jesmond Library</t>
  </si>
  <si>
    <t>Jesmond, Newcastle upon Tyne</t>
  </si>
  <si>
    <t>Join us, share with us and support us to stay open. Volunteer run library and community hub</t>
  </si>
  <si>
    <t>LYPFT Library</t>
  </si>
  <si>
    <t>We are an NHS library at @LeedsandYorkPFT specialising in mental health and supporting evidence based practice, continuing professional development and research</t>
  </si>
  <si>
    <t>UW Library Services</t>
  </si>
  <si>
    <t>Worcester, UK</t>
  </si>
  <si>
    <t>Supporting students, staff and the community at the University of Worcester https://t.co/vkhVNA1xV3
https://t.co/jlf8hfMKsB</t>
  </si>
  <si>
    <t>Haxby Library</t>
  </si>
  <si>
    <t>Haxby, England</t>
  </si>
  <si>
    <t>On the road in Haxby and Wigginton, the little library with ideas above it's station. For the overall Libraries &amp; Archive Service see @YorkLibrariesUK</t>
  </si>
  <si>
    <t>UOS LearningServices</t>
  </si>
  <si>
    <t>Ipswich</t>
  </si>
  <si>
    <t>Follow us for the latest news and information about the University of Suffolk Department of Learning Services and feel free to ask us any questions .</t>
  </si>
  <si>
    <t>St Mary's Library</t>
  </si>
  <si>
    <t>Twickenham, London</t>
  </si>
  <si>
    <t>Library &amp; Learning Technology (LLT) department at St Mary's University, Twickenham. Tweets on Library, IT and Technology Enhanced Learning support @YourStMarys</t>
  </si>
  <si>
    <t>Brecon Library</t>
  </si>
  <si>
    <t>Brecon, Powys</t>
  </si>
  <si>
    <t>Playing a vital role enabling and empowering strong communities in the green heart of Wales</t>
  </si>
  <si>
    <t>Maughan Library</t>
  </si>
  <si>
    <t>Chancery Lane, London</t>
  </si>
  <si>
    <t>King's College London's most beautiful. Stronghold of the finest intellectuals. Grade II listed, that's right fools.</t>
  </si>
  <si>
    <t>Aberdeen Libraries</t>
  </si>
  <si>
    <t>News, events and info from Aberdeen City Libraries.  Free membership for all!  Phone: 01224 652500. Visit our Local Studies website http://t.co/wCrThHKPUy</t>
  </si>
  <si>
    <t>Friern Barnet Liby</t>
  </si>
  <si>
    <t>Friern Barnet Road, N11 3DS</t>
  </si>
  <si>
    <t>2 year licence granted to trustees of Friern Barnet Community Library Ltd. Pop in and see your new community library, open Mon-Sat 11am-7pm</t>
  </si>
  <si>
    <t>MML Library</t>
  </si>
  <si>
    <t>Modern and Medieval Languages Faculty Library, University of Cambridge, UK.</t>
  </si>
  <si>
    <t>Knowledge Service</t>
  </si>
  <si>
    <t>Fallowfield, Manchester</t>
  </si>
  <si>
    <t>We provide library, knowledge and resource services for NHS staff and students within @GMMH_NHS</t>
  </si>
  <si>
    <t>livcoll_lrc</t>
  </si>
  <si>
    <t>We are the LRC's (Learning Resource Centres) at City of Liverpool College</t>
  </si>
  <si>
    <t>Kings School Library</t>
  </si>
  <si>
    <t>Grantham, UK</t>
  </si>
  <si>
    <t>The King's School Library, Grantham UK provides a modern, vibrant learning environment for all our students! Tweets by @JamesKearney8</t>
  </si>
  <si>
    <t>Cam Medical Library</t>
  </si>
  <si>
    <t>University of Cambridge Medical Library - supporting the staff and students of the University, NHS staff in East of England and MRC staff.</t>
  </si>
  <si>
    <t>Newcomb Library</t>
  </si>
  <si>
    <t>Supporting the clinical effectiveness/education/training/professional development &amp; research needs of all #library users @NHSHomerton &amp; @ELFT</t>
  </si>
  <si>
    <t>NUH Library</t>
  </si>
  <si>
    <t>An NHS multidisciplinary library for staff and associates of NUH supporting medical education, evidence-based practice, professional development, and research</t>
  </si>
  <si>
    <t>TIASSL</t>
  </si>
  <si>
    <t>Today in a Scottish School Library, amazing things happened. Come and discover some of them. Curated by @JLMacfadyen.</t>
  </si>
  <si>
    <t>Cancer Library VCC</t>
  </si>
  <si>
    <t>The only cancer specialist library service in Wales.  Supporting NHS and academic staff, students and health professionals throughout the Principality.</t>
  </si>
  <si>
    <t>Hardenhuish Library</t>
  </si>
  <si>
    <t>Chippenham</t>
  </si>
  <si>
    <t>Recently refurbished Resource Centre for Hardenhuish School with 13,000 books. Keep updated on new titles, events &amp; news. 'A wonderful space' - Carol Anne Duffy</t>
  </si>
  <si>
    <t>Dittons Library</t>
  </si>
  <si>
    <t>Dittons, Surrey, England.</t>
  </si>
  <si>
    <t>Official account for Dittons Library service. There's more to your library than books! Follow for the latest information, events &amp; releases from your library.</t>
  </si>
  <si>
    <t>LucyCavLib, Camb</t>
  </si>
  <si>
    <t>News from the Library of Lucy Cavendish College, the Cambridge college for talented women over 21. Includes service updates and useful information resources.</t>
  </si>
  <si>
    <t>Keats Com Library</t>
  </si>
  <si>
    <t>Charity1146702</t>
  </si>
  <si>
    <t>Keats Community Library is a  volunteer-run library in Keats Grove, Hampstead, London NW3 UK   Come and see us!</t>
  </si>
  <si>
    <t>Falmer Library</t>
  </si>
  <si>
    <t>Falmer, Brighton</t>
  </si>
  <si>
    <t>The University of Brighton Falmer Library twitter account. Keep up to date and let us know what you think.</t>
  </si>
  <si>
    <t>BournemouthLibraries</t>
  </si>
  <si>
    <t>Bournemouth, England</t>
  </si>
  <si>
    <t>Bournemouth Libraries for imagination, information and inspiration.</t>
  </si>
  <si>
    <t>St Gregs Library</t>
  </si>
  <si>
    <t>Tweeting from the LRC at St Gregory the Great! Ranging from important book news to views on jaffa cakes - biscuit anyone?</t>
  </si>
  <si>
    <t>Chichester Uni Lib</t>
  </si>
  <si>
    <t>Chichester, West Sussex</t>
  </si>
  <si>
    <t>Librarians @chiuni Library</t>
  </si>
  <si>
    <t>Nelson Library</t>
  </si>
  <si>
    <t>Nelson, Caerphilly Borough</t>
  </si>
  <si>
    <t>Use it. Love it. Join it. Follow it. Libraries are something to shout about so spread the word. Wales, UK ·</t>
  </si>
  <si>
    <t>Woodbridge Library</t>
  </si>
  <si>
    <t>Public library in Woodbridge, Suffolk.</t>
  </si>
  <si>
    <t>PH Community Library</t>
  </si>
  <si>
    <t>Tupton Hall Library</t>
  </si>
  <si>
    <t>Tupton Hall School, Derbyshire</t>
  </si>
  <si>
    <t>Imagination - Information - Inspiration. Literally a great place to be!</t>
  </si>
  <si>
    <t>Solihull Libraries</t>
  </si>
  <si>
    <t>Solihull, England</t>
  </si>
  <si>
    <t>Providing Library Service to the residents of Solihull. Twitter account is manned where possible Monday - Saturday during library opening hours.</t>
  </si>
  <si>
    <t>Rochdale Libraries</t>
  </si>
  <si>
    <t>Rochdale</t>
  </si>
  <si>
    <t>Books and rather a lot more…</t>
  </si>
  <si>
    <t>The Bodleian Education Library, located at the centre of the Department of Education, specialises in material on education and related fields.</t>
  </si>
  <si>
    <t>Poppleton Library</t>
  </si>
  <si>
    <t>Upper Poppleton</t>
  </si>
  <si>
    <t>Your local village Library.  One of the libraries now part of the Explore York Libraries &amp; Archives Mutual see @YorkLibrariesUK</t>
  </si>
  <si>
    <t>Sydenham Library</t>
  </si>
  <si>
    <t>Sydenham se26</t>
  </si>
  <si>
    <t>Opened in 1904 at the Gift of Andrew Carnegie, Sydenham Library is now run by Eco computers with the help of Friends of Sydenham Library.</t>
  </si>
  <si>
    <t>UoCLiSS</t>
  </si>
  <si>
    <t>University of Cumbria</t>
  </si>
  <si>
    <t>Official twitter feed for the University of Cumbria's Library and Student Services. Queries will be responded to between 9am and 5pm.</t>
  </si>
  <si>
    <t>Jerwood Library</t>
  </si>
  <si>
    <t>Jerwood Library, at Trinity Hall, University of Cambridge.</t>
  </si>
  <si>
    <t>Copmanthorpe Library</t>
  </si>
  <si>
    <t xml:space="preserve"> Copmanthorpe York</t>
  </si>
  <si>
    <t>Copmanthorpe Library - so much more than you can see through the door. For the overall Libraries &amp; Archives service see @YorkLibrariesUK</t>
  </si>
  <si>
    <t>Classics Faculty Lib</t>
  </si>
  <si>
    <t>Information on resources for studying the Ancient World, along with news and updates from the Faculty of Classics Library, University of Cambridge.</t>
  </si>
  <si>
    <t>OLHS Library</t>
  </si>
  <si>
    <t>Motherwell</t>
  </si>
  <si>
    <t>What goes on in the Library, plus news, competitions, stories, resources, #infolit and so on. Written by Mrs Macfadyen with Angus the Ape and Brian the Brain.</t>
  </si>
  <si>
    <t>WHH Evidence Service</t>
  </si>
  <si>
    <t>Warrington &amp; Halton Hospitals</t>
  </si>
  <si>
    <t>Tweets from the @WHHNHS Knowledge &amp; Evidence Service Team. Enabling evidence-based practice to improve patient care; Right Knowledge, Right Place, Right Time.</t>
  </si>
  <si>
    <t>Police Library</t>
  </si>
  <si>
    <t>Ryton-on-Dunsmore, England</t>
  </si>
  <si>
    <t>The National Police Library supports police CPD and evidence based policing. If you work in UK policing - become a @CollegeofPolice member to join the library.</t>
  </si>
  <si>
    <t>Rotherham Libraries</t>
  </si>
  <si>
    <t>Rotherham, England</t>
  </si>
  <si>
    <t>Official Twitter account for Rotherham Libraries. We love books and reading, but we're about so much more! Search. Borrow. Read. Repeat. Fabulous and FREE!</t>
  </si>
  <si>
    <t>Aberbargoed Library</t>
  </si>
  <si>
    <t>Suffolk Libraries</t>
  </si>
  <si>
    <t>Sawyer Library</t>
  </si>
  <si>
    <t>Suffolk University</t>
  </si>
  <si>
    <t>Official Twitter account of the Mildred F. Sawyer Library @ Suffolk University. Feel free to tweet at us or ask for help! 617-573-8535 or sawlib@suffolk.edu</t>
  </si>
  <si>
    <t>Haverhill Library</t>
  </si>
  <si>
    <t>Haverhill Library UK</t>
  </si>
  <si>
    <t>A friendly team serving the community of Haverhill with their Literary and IT needs. Hosting events and activities to all ages. Free WiFi access.</t>
  </si>
  <si>
    <t>BangorGrammarLibrary</t>
  </si>
  <si>
    <t>LancsHospitalLibrary</t>
  </si>
  <si>
    <t>Preston and Chorley</t>
  </si>
  <si>
    <t>We deliver library services to NHS staff &amp; students at Lancashire Teaching Hospitals - supporting patient care, education, research &amp; staff well-being</t>
  </si>
  <si>
    <t>Lymington Library</t>
  </si>
  <si>
    <t>Lymington, New Forest</t>
  </si>
  <si>
    <t>Updates from your local library. Books. WiFi. Local history. Events. Courses. And much more. https://t.co/kvuIFLKJNu</t>
  </si>
  <si>
    <t>Exeter College LRCs</t>
  </si>
  <si>
    <t>Exeter, UK</t>
  </si>
  <si>
    <t>Welcome to Exeter College’s award winning LRCs! Follow us for info about our 7 centres, services &amp; any updates! Like us on Facebook https://t.co/9R4CI1uJj3</t>
  </si>
  <si>
    <t>HNC Library</t>
  </si>
  <si>
    <t>Huddersfield New College</t>
  </si>
  <si>
    <t>Ask about the MyCirqa App for Renewals 24-7. Books, Journals, Online Resources, eBooks, Lib Events, Research/EPQ. Learn more on Moodle. Tweets by Rebecca Hill.</t>
  </si>
  <si>
    <t>New Earswick Library</t>
  </si>
  <si>
    <t>New Earswick</t>
  </si>
  <si>
    <t>Keeping you up to date with news from New Earswick Library, part of Explore York Libraries and Archives. Also see @YorkLibrariesUK</t>
  </si>
  <si>
    <t>Passmore Edwards</t>
  </si>
  <si>
    <t>Newton Abbot Library</t>
  </si>
  <si>
    <t>Tweeting about events at Newton Abbot Library. The Passmore Edwards Centre also includes Learn Devon, the Railway Studies Collection and Country Table Café.</t>
  </si>
  <si>
    <t>Ealing Libraries</t>
  </si>
  <si>
    <t>London Borough of Ealing</t>
  </si>
  <si>
    <t>CCS Libraries where books are just the beginning. The home of LEGO Education https://t.co/9Bppm2CnBl</t>
  </si>
  <si>
    <t>CliftonLibrary</t>
  </si>
  <si>
    <t>Public library in Clifton, York. (Looking for the Clifton Library in Bristol? Try @_foccal)</t>
  </si>
  <si>
    <t>Durning Library SE11</t>
  </si>
  <si>
    <t>167 Kennington Lane, SE11 4HF</t>
  </si>
  <si>
    <t>Books, audiobooks &amp; large print, story-time, information, computers, free WI-FI, author visits, DVDs, CDs, reading group, language courses. Tel. 020 7926 8682</t>
  </si>
  <si>
    <t>Wrexham Libraries</t>
  </si>
  <si>
    <t>Wrexham</t>
  </si>
  <si>
    <t>Welcome to the official Facebook/Twitter page for Wrexham Libraries.  
You don’t need to travel far to discover more detailed  info about Wrexham Libraries.</t>
  </si>
  <si>
    <t>Kent Libraries</t>
  </si>
  <si>
    <t>South East, England</t>
  </si>
  <si>
    <t>Get involved and keep up-to-date with Kent's Library, Registration and Archive service. This account is monitored from 8:30am - 5pm Monday to Friday.</t>
  </si>
  <si>
    <t>Hythe Library</t>
  </si>
  <si>
    <t>Pylewell Rd, Hythe, Hampshire</t>
  </si>
  <si>
    <t>Books, magazines, audio books, DVDs, free wi-fi, free computers, ebooks, courses, storytimes, rhymetimes and more!</t>
  </si>
  <si>
    <t>Bishopthorpe Library</t>
  </si>
  <si>
    <t>Main Street Bishopthorpe</t>
  </si>
  <si>
    <t>The best library in Bishopthorpe,  bar none</t>
  </si>
  <si>
    <t>Southwold Library</t>
  </si>
  <si>
    <t>North Green,Southwold IP18 6AT</t>
  </si>
  <si>
    <t>Slaughter in Southwold Crime Writers Festival 18th &amp; 19th June 2016 https://t.co/XClo0IkABv</t>
  </si>
  <si>
    <t>Rosemary Murray Lib</t>
  </si>
  <si>
    <t>A Cambridge College Library at Murray Edwards College. Supporting the library and information needs of our students, Fellows and staff.</t>
  </si>
  <si>
    <t>Catshill library</t>
  </si>
  <si>
    <t>Catshill Library‏ (UK) Official Twitter account. Follow us for library news, events and lots more. 
For renewals phone 01905 822722</t>
  </si>
  <si>
    <t>LibraryCRH</t>
  </si>
  <si>
    <t>Chesterfield, England</t>
  </si>
  <si>
    <t>Education Centre Library 
Chesterfield Royal Hospital NHS Foundation Trust</t>
  </si>
  <si>
    <t>Worcester Library</t>
  </si>
  <si>
    <t>Worcester City (Uk)</t>
  </si>
  <si>
    <t>Official Worcester City Library (UK). Follow us for news about library happenings, new books and lots more. For renewals please phone the hub on 01905 822722.</t>
  </si>
  <si>
    <t>BBA Library</t>
  </si>
  <si>
    <t>Bristol Brunel Academy Secondary School Library, always buzzing with readers &amp; learners! AR Champion School. Vice-Chair of UKSLA South-West.</t>
  </si>
  <si>
    <t>Coppice Library</t>
  </si>
  <si>
    <t>Coppice Avenue, Sale, M33 4ND</t>
  </si>
  <si>
    <t>Innovative 3rd, statutory and commercial sector partnership delivering positive community wellbeing.</t>
  </si>
  <si>
    <t>Hampshire</t>
  </si>
  <si>
    <t>Twitter account for Chawton House Library.</t>
  </si>
  <si>
    <t>SFH Education Centre</t>
  </si>
  <si>
    <t>The Pepperell Education Centre at Saint Francis Hospice provides Palliative Care education for healthcare professionals and room hire in beautiful surroundings.</t>
  </si>
  <si>
    <t>Senghennydd Library</t>
  </si>
  <si>
    <t>Cardiff University</t>
  </si>
  <si>
    <t>Home library for Maths, Modern Languages and the Centre for Lifelong Learning. One of 14 Cardiff Uni libraries. Open to all, we'd love to see you :)</t>
  </si>
  <si>
    <t>Reigate Library</t>
  </si>
  <si>
    <t>Reigate, Surrey, England</t>
  </si>
  <si>
    <t>UK Fine Arts Library</t>
  </si>
  <si>
    <t>University of Kentucky</t>
  </si>
  <si>
    <t>The Lucille Caudill Little Fine Arts Library and Learning Center</t>
  </si>
  <si>
    <t>Haddon Library</t>
  </si>
  <si>
    <t>Cambridge University's library for archaeology and anthropology</t>
  </si>
  <si>
    <t>Magdalene Libraries</t>
  </si>
  <si>
    <t>Tweets from the College Library, Pepys Library and Old Library at Magdalene College</t>
  </si>
  <si>
    <t>DenbighshireLibrary</t>
  </si>
  <si>
    <t>Denbighshire, Wales</t>
  </si>
  <si>
    <t>Public Library Service. Also tweeting in Welsh @LlyfrgellDinb and on Facebook</t>
  </si>
  <si>
    <t>Huntington Library</t>
  </si>
  <si>
    <t>Huntington Library, Garth Road</t>
  </si>
  <si>
    <t>Keeping you up to date with news from Huntington Library, part of Explore York Libraries and Archives. Also see @YorkLibrariesUK</t>
  </si>
  <si>
    <t>Univ Library</t>
  </si>
  <si>
    <t>The Library of University College Oxford.</t>
  </si>
  <si>
    <t>HH Libraryservice</t>
  </si>
  <si>
    <t>Hampshire, UK</t>
  </si>
  <si>
    <t>Hampshire Healthcare Library Service supporting the information needs of staff from various NHS organisations in Hampshire.</t>
  </si>
  <si>
    <t>Hersham Library</t>
  </si>
  <si>
    <t xml:space="preserve">Molesey Road, Hersham </t>
  </si>
  <si>
    <t>Child Friendly Community Library with car parking facilities &amp; disabled access. Follow for latest information, events &amp; releases from your library.</t>
  </si>
  <si>
    <t>Rubery Library</t>
  </si>
  <si>
    <t>Rubery, Birmingham, B45 9JS</t>
  </si>
  <si>
    <t>Official Twitter account for Rubery Library (UK). Follow us for library news, events and lots more. For renewals phone 01905 822722.</t>
  </si>
  <si>
    <t>Wexford Libraries</t>
  </si>
  <si>
    <t>Wexford, Ireland</t>
  </si>
  <si>
    <t>We are a public library service for the citizens of Wexford, Ireland and beyond.</t>
  </si>
  <si>
    <t>Harper Adams Library</t>
  </si>
  <si>
    <t>Edgmond, Newport, Shropshire</t>
  </si>
  <si>
    <t>Supporting staff &amp; students with all their research needs. Tweet us your library comments, questions &amp; queries!</t>
  </si>
  <si>
    <t>RCA Library</t>
  </si>
  <si>
    <t>The RCA Library aims to be an inspiring and invaluable resource to inform and enhance your study, research, teaching and studio practice at the College.</t>
  </si>
  <si>
    <t>M Drayton Library</t>
  </si>
  <si>
    <t>Market Drayton, Cheshire St</t>
  </si>
  <si>
    <t>Your local lending library situated at the heart of Market Drayton</t>
  </si>
  <si>
    <t>Library@HuishAcademy</t>
  </si>
  <si>
    <t>Somerset</t>
  </si>
  <si>
    <t>SurreyCPLs</t>
  </si>
  <si>
    <t>Official Twitter for 10 Surrey Community Partnered Libs,Bagshot,Bramley,Byfleet,Ewell Court,Lingfield,New Haw,Stoneleigh, Tattenhams,Virginia Water &amp; Warlingham</t>
  </si>
  <si>
    <t>FrimleyGreenLib</t>
  </si>
  <si>
    <t>Frimley Green, Surrey, UK.</t>
  </si>
  <si>
    <t>Official account for Frimley Green Library Service. There's more to your library than books! Get the latest information, events &amp; releases from your library.</t>
  </si>
  <si>
    <t>Eastleigh Library</t>
  </si>
  <si>
    <t>Eastleigh, England</t>
  </si>
  <si>
    <t>https://t.co/zaVHDkf8ow
https://t.co/uXR43nXs5t
https://t.co/2Rpg3vEOdl</t>
  </si>
  <si>
    <t>StrensallLibrary</t>
  </si>
  <si>
    <t>Strensall, York</t>
  </si>
  <si>
    <t>Explore York Libraries &amp; Archives @YorkLibrariesUK. Strensall Library is open18.5 hours per week. Everyone is welcome &amp; we love to meet new customers!</t>
  </si>
  <si>
    <t>ExeterHealth Library</t>
  </si>
  <si>
    <t>We’re an NHS library supporting staff of the Royal Devon &amp; Exeter NHS Foundation Trust, local NHS community, &amp; University of Exeter Medical School</t>
  </si>
  <si>
    <t>Halesworth Library</t>
  </si>
  <si>
    <t>Halesworth</t>
  </si>
  <si>
    <t>Your local library and discovery centre; including tourist information and community resources.</t>
  </si>
  <si>
    <t>Almondbury Library</t>
  </si>
  <si>
    <t>Almondbury, Huddersfield</t>
  </si>
  <si>
    <t>Almondbury Library Friends Association (ALFA) set up to support the library within the historic building at Stocks Walk.</t>
  </si>
  <si>
    <t>Tower Hamlets SLS</t>
  </si>
  <si>
    <t>The Schools Library Service for Tower Hamlets. We also serve schools and organisations in neighbouring boroughs.</t>
  </si>
  <si>
    <t>StPetersHouseLibrary</t>
  </si>
  <si>
    <t>University of Brighton</t>
  </si>
  <si>
    <t>Tweets from librarians at St Peters House, University of Brighton, City Campus</t>
  </si>
  <si>
    <t>King's Inns Library</t>
  </si>
  <si>
    <t>Dubln</t>
  </si>
  <si>
    <t>Law library for members and current students of The Honorable Society of King's Inns. Current legal collection and heritage collection</t>
  </si>
  <si>
    <t>Yateley Library</t>
  </si>
  <si>
    <t>Books, DVDs, free computer/internet use and friendly knowledgeable staff. Free WiFi. Free eBooks and eMagazine available online</t>
  </si>
  <si>
    <t>SASH Library service</t>
  </si>
  <si>
    <t>uk</t>
  </si>
  <si>
    <t>We provide Library &amp; Knowledge services to NHS staff and students in East Surrey &amp; north West Sussex. Libraries in both Crawley Hospital &amp; East Surrey Hospital.</t>
  </si>
  <si>
    <t>Ncl Uni Walton Lib</t>
  </si>
  <si>
    <t>Newcastle University Medical Library</t>
  </si>
  <si>
    <t>Sackler Library</t>
  </si>
  <si>
    <t>St John Street, Oxford OX1 2LG</t>
  </si>
  <si>
    <t>The library is the main research centre for Art History and the Ancient World at the University of Oxford, covering Archaeology, Classics and Art History.</t>
  </si>
  <si>
    <t>Hayridge Cullompton</t>
  </si>
  <si>
    <t>Cullompton, Devon</t>
  </si>
  <si>
    <t>A brilliant building at the heart of the town, providing a beautiful Library with Cafe and Courtyard and a wealth of Adult Learning Courses and Meeting Rooms.</t>
  </si>
  <si>
    <t>BMA Library</t>
  </si>
  <si>
    <t>The Library of the British Medical Association.</t>
  </si>
  <si>
    <t>RVC Library&amp;IT</t>
  </si>
  <si>
    <t>Updates from The Royal Veterinary College (RVC) Library and IT team.</t>
  </si>
  <si>
    <t>Woodfarm Library</t>
  </si>
  <si>
    <t>School Library tweeting and twittering into the future</t>
  </si>
  <si>
    <t>BoltonUniLibrary</t>
  </si>
  <si>
    <t>Information and updates from the University of Bolton Library. We can't answer your queries via Twitter, please see http://t.co/e9DnPnb0Ld to contact us</t>
  </si>
  <si>
    <t>Downham Library</t>
  </si>
  <si>
    <t>Downham, London</t>
  </si>
  <si>
    <t>Worcs. Cath. Library</t>
  </si>
  <si>
    <t>Worcester, England</t>
  </si>
  <si>
    <t>Worcester Cathedral Library and Archive: The second largest medieval Cathedral library in the UK.</t>
  </si>
  <si>
    <t>DBTH Libraries</t>
  </si>
  <si>
    <t>Doncaster &amp; Bassetlaw</t>
  </si>
  <si>
    <t>Caring for you at Doncaster and Bassetlaw Knowledge &amp; Library Services by supporting evidence based practice, research, CPD and education.</t>
  </si>
  <si>
    <t>ASPH NHS Libraries</t>
  </si>
  <si>
    <t>Chertsey, Surrey</t>
  </si>
  <si>
    <t>Library and Knowledge Services for the users of Ashford and St Peter's Hospital Libraries</t>
  </si>
  <si>
    <t>Worle School LRC</t>
  </si>
  <si>
    <t>Weston-super-Mare</t>
  </si>
  <si>
    <t>We are Worle School's LRC. We write &amp; read all tweets. We love reading books -  why not follow  us if you do too?
Sorry we do not follow students or staff.</t>
  </si>
  <si>
    <t>Bristol, UK</t>
  </si>
  <si>
    <t>Team of Starburst-fuelled librarians at Bristol Grammar School. Musing on our world and connecting with others who do the same. Our Blog: https://t.co/wjex5G9GG2</t>
  </si>
  <si>
    <t>UHL Libs &amp; Info Serv</t>
  </si>
  <si>
    <t>Leicestershire</t>
  </si>
  <si>
    <t>UHL Libraries &amp; Information Services provide high quality services to health care staff and managers in Leicestershire.</t>
  </si>
  <si>
    <t>South Ham Library</t>
  </si>
  <si>
    <t>Basingstoke, Hampshire</t>
  </si>
  <si>
    <t>Community library offering an extensive collection of texts on a variety of subjects crossing both non-fiction and fiction titles.</t>
  </si>
  <si>
    <t>Regent's Libraries</t>
  </si>
  <si>
    <t>Regent's University London</t>
  </si>
  <si>
    <t>Based in Regent's Park and Marylebone, we are the libraries of @regentsuni.</t>
  </si>
  <si>
    <t>KHCA-Library</t>
  </si>
  <si>
    <t>Derbyshire</t>
  </si>
  <si>
    <t>Kirk Hallam Community Academy Library - book, events, reviews and lots more</t>
  </si>
  <si>
    <t>Banning Library</t>
  </si>
  <si>
    <t>E4 Community Library</t>
  </si>
  <si>
    <t>265 Chingford Mount Road</t>
  </si>
  <si>
    <t>A volunteer community library centre based in the South Chingford area of the London Borough of Waltham Forest. Opening Hours: Tues, Wed, Thurs &amp; Sat 10am-4pm.</t>
  </si>
  <si>
    <t>Papworth HospLibrary</t>
  </si>
  <si>
    <t>Papworth Everard, Cambs, UK</t>
  </si>
  <si>
    <t>Library &amp; Knowledge Services; supporting Papworth Hospital's excellence in specialist heart and lung patient care, based on research, education and innovation.</t>
  </si>
  <si>
    <t>Totnes Library</t>
  </si>
  <si>
    <t>Cutteslowe School</t>
  </si>
  <si>
    <t>Cutteslowe Primary School - Located in North Oxford with 360 children aged 3-11. A School of Opportunity. Tweets by Scott Lewis (Acting Head of School)</t>
  </si>
  <si>
    <t>Fulford Library</t>
  </si>
  <si>
    <t>Caldew Library</t>
  </si>
  <si>
    <t>Caldew School, Dalston</t>
  </si>
  <si>
    <t>Book stuff, reading, information, author news, competitions, reviews, discussion and more</t>
  </si>
  <si>
    <t>Bilboro' College LIC</t>
  </si>
  <si>
    <t>Bilborough, Nottingham</t>
  </si>
  <si>
    <t>Library &amp; Information Centre team at Bilborough College, #Nottingham. Tweeting about books, careers, history, culture &amp; what's going on in the LIC #BilboroReads</t>
  </si>
  <si>
    <t>Forfar Acad Library</t>
  </si>
  <si>
    <t>Forfar, Scotland</t>
  </si>
  <si>
    <t>Find out what's going on in Forfar Academy Library, get tips for research, and plenty of bookish nonsense. Tweets by Mrs Page and Mrs Golden.</t>
  </si>
  <si>
    <t>Stalham Library</t>
  </si>
  <si>
    <t>Norfolk</t>
  </si>
  <si>
    <t>One of 47 libraries managed by Norfolk County Council. Free PC access, WiFi, books, events, groups &amp; more. Twitter staffed intermittently Mon, Tues, Thurs &amp; Sat</t>
  </si>
  <si>
    <t>RotherhamNHSLibrary</t>
  </si>
  <si>
    <t>The Rotherham NHS Library &amp; Knowledge Service provides access to evidence based information for health services, practitioners and staff in Rotherham.</t>
  </si>
  <si>
    <t>LCH Library</t>
  </si>
  <si>
    <t>NHS library at @LCHNHSTrust supporting evidence based practice, research &amp; innovation, service development and healthcare management.</t>
  </si>
  <si>
    <t>JPS Library</t>
  </si>
  <si>
    <t>Etwall, Derbyshire</t>
  </si>
  <si>
    <t>John Port School Library</t>
  </si>
  <si>
    <t>Hurd Library</t>
  </si>
  <si>
    <t>Hartlebury, Worcestershire, UK</t>
  </si>
  <si>
    <t>Georgian Library. Founded by Richard Hurd, Bishop of Worcester 1781-1808. A survivor from the Age of Enlightenment. @HartleburyCPT have saved it for you.</t>
  </si>
  <si>
    <t>Farnborough Library</t>
  </si>
  <si>
    <t>Farnborough, Hampshire, UK</t>
  </si>
  <si>
    <t>@hantslibraries. Visit us for books, events, courses, free WiFi/internet &amp; more. FAB Café now open, run by @parksidecharity. Home to Farnborough Community Link.</t>
  </si>
  <si>
    <t>Westminster MusicLib</t>
  </si>
  <si>
    <t>London SW1W 9UD</t>
  </si>
  <si>
    <t>With extensive collections of books, scores, performance sets and more, follow Westminster Music Library for updates on events, new resources and what's on.</t>
  </si>
  <si>
    <t>LBS Library</t>
  </si>
  <si>
    <t>25 Taunton Place, London, UK</t>
  </si>
  <si>
    <t>London Business School faculty, students, staff, and alumni can access information 24/7 in our Library or via our extensive e-Library in the School Portal.</t>
  </si>
  <si>
    <t>Lasswade HS Library</t>
  </si>
  <si>
    <t>Midlothian</t>
  </si>
  <si>
    <t>Lasswade High School Library - book news and pupil reviews.</t>
  </si>
  <si>
    <t>The Librarian</t>
  </si>
  <si>
    <t>Tweets about books, about authors, about reading.  And a peek into the happenings within a secondary school library.</t>
  </si>
  <si>
    <t>Neston High Library</t>
  </si>
  <si>
    <t>Welcome to the Neston High School Library twitter page. Follow us for competitions, news and promotions! Happy reading!</t>
  </si>
  <si>
    <t>LRC @ Don College</t>
  </si>
  <si>
    <t>Doncaster UK</t>
  </si>
  <si>
    <t>Doncaster College University Centre Learning Resource Centres - Follow us for updates on new facilities, book stock &amp; journals!
http://t.co/weuvBLqdHa</t>
  </si>
  <si>
    <t>Babcock SLS</t>
  </si>
  <si>
    <t>Willand EX15 2QW</t>
  </si>
  <si>
    <t>Babcock School Library Service - working with you to inspire a love of reading and empower lifelong learners</t>
  </si>
  <si>
    <t>Axminster Library</t>
  </si>
  <si>
    <t>South Street, Axminster, Devon</t>
  </si>
  <si>
    <t>Because books take you places...</t>
  </si>
  <si>
    <t>Bloomsbury Library</t>
  </si>
  <si>
    <t>52 Gower Street, London</t>
  </si>
  <si>
    <t>Bloomsbury Healthcare Library is a multidisciplinary library and knowledge service for NHS staff and students on placement. For more information see website.</t>
  </si>
  <si>
    <t>Warner Library MEHT</t>
  </si>
  <si>
    <t>Chelmsford, Essex</t>
  </si>
  <si>
    <t>Warner Library is a multidisciplinary NHS Library for staff in Mid Essex Hospitals NHS Trust, and other NHS staff in the locality. Based at Broomfield Hospital.</t>
  </si>
  <si>
    <t>RBHT Library</t>
  </si>
  <si>
    <t>Harefield, Middlesex, UK</t>
  </si>
  <si>
    <t>Royal Brompton &amp; Harefield Hospital Library -working to enhance the continuing professional development &amp; research  needs of clinicians.</t>
  </si>
  <si>
    <t>Hagley Library</t>
  </si>
  <si>
    <t>Hagley</t>
  </si>
  <si>
    <t>Official Twitter account for Hagley Library (UK). Follow us for library news, events and lots more. For renewals please call the Hub on 01905 822722.</t>
  </si>
  <si>
    <t>CC Learning Centres</t>
  </si>
  <si>
    <t xml:space="preserve">Chelmsford College </t>
  </si>
  <si>
    <t>CCLRCs is a Twitter page dedicated to the current students at Chelmsford College to provide information and       support whilst studying #cclrcs</t>
  </si>
  <si>
    <t>D.E.I.</t>
  </si>
  <si>
    <t>The Devon &amp; Exeter Institution - a Georgian library inside a medieval building. Open to new members of all ages. Tweets by Owen (15) and Koby (15) this week.</t>
  </si>
  <si>
    <t>Ncl College Library</t>
  </si>
  <si>
    <t>News, 'how-to's and stuff you might use from the Newcastle College Library.</t>
  </si>
  <si>
    <t>Lawson Library</t>
  </si>
  <si>
    <t>Lawson Library at The Grammar School at Leeds (GSAL) Tweets by library staff</t>
  </si>
  <si>
    <t>John Smith's Sussex</t>
  </si>
  <si>
    <t>University of Sussex, England</t>
  </si>
  <si>
    <t>Inside the Sussex Uni. Library. Open Mon - Fri, 9.00-17.30. http://t.co/ZJe97mYh0w</t>
  </si>
  <si>
    <t>StanningtonLibrary</t>
  </si>
  <si>
    <t>Stannington &amp; District Library Group
Save Stannington Library</t>
  </si>
  <si>
    <t>MDXLibrary</t>
  </si>
  <si>
    <t>Library at Middlesex University</t>
  </si>
  <si>
    <t>VCB Library</t>
  </si>
  <si>
    <t>Cranmore Park, Belfast, BT9</t>
  </si>
  <si>
    <t>Victoria College Belfast Library - A voluntary grammar school for girls situated in South Belfast. Also follow @VCBTweets</t>
  </si>
  <si>
    <t>E11 HGC Library</t>
  </si>
  <si>
    <t>41 West Street E11,Epicentre</t>
  </si>
  <si>
    <t>Harrow Green Community Library is the new library now open Sat 11am - 2pm, Mon 11am -4pm &amp; Thur 3 - 5.30pm On Cathall Road of West Street, Leytonstone</t>
  </si>
  <si>
    <t>AldrichLib</t>
  </si>
  <si>
    <t>Brighton</t>
  </si>
  <si>
    <t>Aldrich Library supports the learning, teaching and research at the Moulsecoomb campus of the University of Brighton.</t>
  </si>
  <si>
    <t>IVCLibrary</t>
  </si>
  <si>
    <t>Impington Village College Library and Archive news</t>
  </si>
  <si>
    <t>Harrow Libraries</t>
  </si>
  <si>
    <t>London Borough of Harrow</t>
  </si>
  <si>
    <t>CCS Libraries where books are just the beginning. The home of LEGO Education https://t.co/XbJJtAKsfK</t>
  </si>
  <si>
    <t>DerbyUniLibrary</t>
  </si>
  <si>
    <t>University of Derby</t>
  </si>
  <si>
    <t>We can respond to tweets between 8:30am - 5pm Monday to Friday. 
You can contact us directly on +44 (0)1332 591215 or library@derby.ac.uk</t>
  </si>
  <si>
    <t>DHFT Library</t>
  </si>
  <si>
    <t>Derby, England, UK</t>
  </si>
  <si>
    <t>The Library &amp; Knowledge Service at Derby Teaching Hospitals NHS Foundation Trust.</t>
  </si>
  <si>
    <t>Preston Library</t>
  </si>
  <si>
    <t>Brent, London, UK</t>
  </si>
  <si>
    <t>Preston Community Library run by volunteers after closure by Brent Council. Supporting and supported by the community. Visit website for open hrs.</t>
  </si>
  <si>
    <t>Denby Dale Library</t>
  </si>
  <si>
    <t>Denby Dale</t>
  </si>
  <si>
    <t>The Denby Dale Community Library was formed to secure the future of our local Library and to continue to provide vital services for our rural village.</t>
  </si>
  <si>
    <t>ChinehamLibrary</t>
  </si>
  <si>
    <t>Community library based in Chineham District Centre Basingstoke, Hampshire.</t>
  </si>
  <si>
    <t>Stalham, Norfolk</t>
  </si>
  <si>
    <t>This is the official Twitter feed for Stalham High School's Library.</t>
  </si>
  <si>
    <t>KSC Librarian</t>
  </si>
  <si>
    <t>The official Twitter account of the Wickson Library at the King's School, Chester</t>
  </si>
  <si>
    <t>St John's High School Library</t>
  </si>
  <si>
    <t>GrangemouthHSLibrary</t>
  </si>
  <si>
    <t>Scotland, United Kingdom</t>
  </si>
  <si>
    <t>The heart of school where anything and everything is possible!</t>
  </si>
  <si>
    <t>Manor Library</t>
  </si>
  <si>
    <t>Walsall Manor Hospital</t>
  </si>
  <si>
    <t>Supporting the education and development of all Trust staff and students on placement at Walsall Healthcare NHS Trust.</t>
  </si>
  <si>
    <t>Moore Library</t>
  </si>
  <si>
    <t>Betty &amp; Gordon Moore Library - a leading science collection with friendly staff, a variety of study spaces &amp; inspiring surroundings. Open to all.</t>
  </si>
  <si>
    <t>boldmere library</t>
  </si>
  <si>
    <t>Boldmere Library</t>
  </si>
  <si>
    <t>Exmouth Library</t>
  </si>
  <si>
    <t>Exmouth</t>
  </si>
  <si>
    <t>Official page for Exmouth Library, Devon.  RTs and Follows don't imply endorsement.
Find us on Facebook too 
https://t.co/2SsFXZ1Rvg</t>
  </si>
  <si>
    <t>Stanwell Library</t>
  </si>
  <si>
    <t>Hadrian Way, Stanwell, Surrey.</t>
  </si>
  <si>
    <t>Official account for Stanwell Library Service. There's more to your library than just books! Get the latest information, events &amp; releases from your library.</t>
  </si>
  <si>
    <t>Wargrave</t>
  </si>
  <si>
    <t>I run a Primary and Secondary School Library. I love to have happy buzzy libraries and enjoy reading stories and lending books to our very keen readers.</t>
  </si>
  <si>
    <t>WilliamHarveyLibrary</t>
  </si>
  <si>
    <t>Nuneaton</t>
  </si>
  <si>
    <t>We are a health library provided for the staff &amp; students on placement at George Eliot Hospital NHS Trust.</t>
  </si>
  <si>
    <t>Pennine Acute LIS</t>
  </si>
  <si>
    <t>Pennine Acute Health Library Service provides the latest health information and training for staff and students at Pennine Acute Hospitals.</t>
  </si>
  <si>
    <t>UCB Library</t>
  </si>
  <si>
    <t>Birmingham</t>
  </si>
  <si>
    <t>Information and updates from the Library @ University College Birmingham</t>
  </si>
  <si>
    <t>Totley Library</t>
  </si>
  <si>
    <t xml:space="preserve">Totley, Sheffield, Yorkshire </t>
  </si>
  <si>
    <t>Information from Totley CRIC, the non-profit organisation running Totley Library.</t>
  </si>
  <si>
    <t>BTHFT Health Library</t>
  </si>
  <si>
    <t>Bradford Royal Infirmary</t>
  </si>
  <si>
    <t>Bradford Teaching Hospitals NHS Foundation Trust Library – the latest updates, books and resources from the health library at BRI. Tweet us for any suggestions!</t>
  </si>
  <si>
    <t>UHMBT NHS Library</t>
  </si>
  <si>
    <t>The Library and Knowledge Service of Morecambe Bay Hospitals NHS Trust. Providing services to NHS staff and students in South Cumbria and the Lancaster area.</t>
  </si>
  <si>
    <t>WiltshireCollegeLRC</t>
  </si>
  <si>
    <t>Wiltshire</t>
  </si>
  <si>
    <t>The Learning Resources Centre at Wiltshire college. Find our LRC page on eStudy,for the Insight portal, Koha library catalogue,journals,reviews and much more.</t>
  </si>
  <si>
    <t>MTW NHS Library</t>
  </si>
  <si>
    <t>Maidstone, Kent, UK</t>
  </si>
  <si>
    <t>MTW NHS Library - Have you got the Know How?</t>
  </si>
  <si>
    <t>ShropsSLS</t>
  </si>
  <si>
    <t>Shropshire School Library Service</t>
  </si>
  <si>
    <t>Levy High Library</t>
  </si>
  <si>
    <t>Levenshulme, Manchester</t>
  </si>
  <si>
    <t>Book recommendations, Creative Writing Club news, bookish competitions &amp; all the exciting things happening in the library at Levenshulme High School for Girls.</t>
  </si>
  <si>
    <t>Big.HillLibrary&amp;Pool</t>
  </si>
  <si>
    <t>Biggin Hill</t>
  </si>
  <si>
    <t>Free books, internet access, storytimes, talks, a pool, swimming lessons, splash discos, aqua fit, aqua zumba, baby bounce, cafeteria and so much more!</t>
  </si>
  <si>
    <t>Yorkmobile Library</t>
  </si>
  <si>
    <t>Getting out to parts of York that other libraries cannot reach</t>
  </si>
  <si>
    <t>UoS_HealthScienceLib</t>
  </si>
  <si>
    <t>The University of Sheffield Library service providing support and resources to all Sheffield Teaching Hospital NHS Foundation Trust staff.</t>
  </si>
  <si>
    <t>S &amp; O NHS Library</t>
  </si>
  <si>
    <t>Sefton &amp; West Lancashire</t>
  </si>
  <si>
    <t>The Southport &amp; Ormskirk NHS Library &amp; Knowledge Service provides access to evidence based information for staff and students across the Trust.</t>
  </si>
  <si>
    <t>ElthamCollLibrary</t>
  </si>
  <si>
    <t>These are the tweets of the Mervyn Peake School Library, Eltham College, London (not the public library in Eltham, please note)</t>
  </si>
  <si>
    <t>Gale Schools</t>
  </si>
  <si>
    <t>Farmington Hills, MI</t>
  </si>
  <si>
    <t>We help our users learn by presenting age-appropriate, relevant information in a usable way. By transforming learning we can transform lives.</t>
  </si>
  <si>
    <t>Julie Foulkes-Hannam</t>
  </si>
  <si>
    <t>Twickenham</t>
  </si>
  <si>
    <t>Tweets from Radnor House School Library &amp; Learning Resource Centre, Book Clubs, Events, Book Recommendations &amp; Educational Technology. All views are my own</t>
  </si>
  <si>
    <t>KGH Library Service</t>
  </si>
  <si>
    <t>Kettering General Hospital</t>
  </si>
  <si>
    <t>We provide knowledge and library services to NHS staff and students working at Kettering General Hospital and in the surrounding area.</t>
  </si>
  <si>
    <t>CartertonCC Library</t>
  </si>
  <si>
    <t>Carterton, Oxfordshire, UK</t>
  </si>
  <si>
    <t>Carterton Community College Library was resurrected in September 2012. School Library Design Award winner 2013. Tweeting our vibrant learning space with you!</t>
  </si>
  <si>
    <t>Codrington Library</t>
  </si>
  <si>
    <t>The Library of All Souls College, Oxford. Open to all members of Oxford University upon application, and to external researchers by appointment.</t>
  </si>
  <si>
    <t>ULaw Libraries</t>
  </si>
  <si>
    <t>Official Twitter account of the University of Law Library Services team. Follow us for Library related news and legal information updates...</t>
  </si>
  <si>
    <t>Mrs J Hoskins</t>
  </si>
  <si>
    <t>Sherborne, Dorset</t>
  </si>
  <si>
    <t>This is the Gryphon School's Learning Resource Centre twitter feed.</t>
  </si>
  <si>
    <t>PRS Library</t>
  </si>
  <si>
    <t xml:space="preserve">Princes Risborough, Bucks </t>
  </si>
  <si>
    <t>Princes Risborough Secondary School Library tweeting about new teenage fiction, great books for the summer, classic reads, reading lists &amp; book award winners.</t>
  </si>
  <si>
    <t>DudleyCollegeLibrary</t>
  </si>
  <si>
    <t>Dudley College Library: books, e-books, DVDs, CDs, computers, friendly staff.  We're here to help!</t>
  </si>
  <si>
    <t>Abertridwr Library</t>
  </si>
  <si>
    <t>Use it. Love it. Join it. Follow it. Libraries are something to shout about so spread the word. Wales, UK</t>
  </si>
  <si>
    <t>Harlow NHS Library</t>
  </si>
  <si>
    <t>Harlow, Essex, UK</t>
  </si>
  <si>
    <t>Staff library at The Princess Alexandra Hospital NHS Trust</t>
  </si>
  <si>
    <t>BiltonLibrary</t>
  </si>
  <si>
    <t>Harrogate, North Yorkshire</t>
  </si>
  <si>
    <t>Bilton and Woodfield Community Library, Woodfield Road,
Harrogate, HG1 4HZ.
Tel: 01423 564630
Friendly local library run by volunteers.</t>
  </si>
  <si>
    <t>LibrariesBwD</t>
  </si>
  <si>
    <t>Blackburn, Lancashire, UK</t>
  </si>
  <si>
    <t>News and events from Blackburn with Darwen Libraries</t>
  </si>
  <si>
    <t>UHCW LKS</t>
  </si>
  <si>
    <t>Coventry CV2 2DX</t>
  </si>
  <si>
    <t>UHCW Library &amp; Knowledge Services - for all staff and students on placement @ UHCW NHS Trust</t>
  </si>
  <si>
    <t>Varndean Books</t>
  </si>
  <si>
    <t>Brighton, England</t>
  </si>
  <si>
    <t>A Twitter account from the school library all about reading for pleasure at Varndean School</t>
  </si>
  <si>
    <t>DWHS Library</t>
  </si>
  <si>
    <t>Dormers Wells High School Library. We love reading, but even more we love recommending books to students. Our motto: Read Your Way to Success.</t>
  </si>
  <si>
    <t>NTU Library</t>
  </si>
  <si>
    <t>Nottingham, England</t>
  </si>
  <si>
    <t>Follow us on Twitter for news and events from Your Library. Responding to tweets Mon-Fri 8.30am-5pm. Tel:01158482175 Email: libinfodirect@ntu.ac.uk</t>
  </si>
  <si>
    <t>Chandlers Ford Lib</t>
  </si>
  <si>
    <t>Oakmount Road, Eastleigh</t>
  </si>
  <si>
    <t>Chandlers Ford Library has a great range of services and regular events for users of all ages. For more info visit http://t.co/Mk60pfgSUZ</t>
  </si>
  <si>
    <t>ShrewsHighLibrary</t>
  </si>
  <si>
    <t>Tweets from Shrewsbury High School Library, and also our Archaeology Society. Tweets by Miss Hale.</t>
  </si>
  <si>
    <t>Deri Library</t>
  </si>
  <si>
    <t>BSO Library</t>
  </si>
  <si>
    <t>BSO library team, tweeting about the British School of Osteopathy library, osteopathy, healthcare research and information.</t>
  </si>
  <si>
    <t>Bedwas Library</t>
  </si>
  <si>
    <t>Bedwas</t>
  </si>
  <si>
    <t>KHS LRC</t>
  </si>
  <si>
    <t>Kineton Warwickshire</t>
  </si>
  <si>
    <t>Totton Library</t>
  </si>
  <si>
    <t>Totton, England</t>
  </si>
  <si>
    <t>Hampshire Library in the heart of Totton. Books, films, free Wi-Fi, public computers, children's activities, audiobooks, friendly staff and much, much more!</t>
  </si>
  <si>
    <t>HansPriceLRC</t>
  </si>
  <si>
    <t>Hans Price Academy</t>
  </si>
  <si>
    <t>Keep up to date with everything happening in Hans Price Academy Learning Resource Centre.</t>
  </si>
  <si>
    <t>Bolton College LRC</t>
  </si>
  <si>
    <t>Deane Road, Bolton</t>
  </si>
  <si>
    <t>Leave feedback or ask a question about Bolton College Learning Resources or like us on Facebook http://t.co/p22ufnK6</t>
  </si>
  <si>
    <t>@redmoorlibrary</t>
  </si>
  <si>
    <t>Hinckley, Leicestershire</t>
  </si>
  <si>
    <t>Books are a staircase to unknown worlds. 
Jason Ellis</t>
  </si>
  <si>
    <t>N Wales NHS Library</t>
  </si>
  <si>
    <t>North Wales</t>
  </si>
  <si>
    <t>We are the library service for BCU Health Board, supporting staff and students. We are tweeting about our services and resources.</t>
  </si>
  <si>
    <t>Strathallan Library</t>
  </si>
  <si>
    <t>Forgandenny</t>
  </si>
  <si>
    <t>Twitter account of the Strathallan School Library</t>
  </si>
  <si>
    <t>KSW Library</t>
  </si>
  <si>
    <t>Library at King's Worcester</t>
  </si>
  <si>
    <t>BGU Library Services</t>
  </si>
  <si>
    <t>Lincoln, UK</t>
  </si>
  <si>
    <t>Library Services at Bishop Grosseteste University.  Lots of top resources and a bunch of really helpful staff.</t>
  </si>
  <si>
    <t>LatymerUpper Library</t>
  </si>
  <si>
    <t>Hammersmith, London</t>
  </si>
  <si>
    <t>The school library for Latymer Upper School. (Tweets by the librarians, Ms McCargar and Miss Costelloe)</t>
  </si>
  <si>
    <t>WelshHealthLibs</t>
  </si>
  <si>
    <t>AWHILES - NHS Wales and Cardiff University Health Libraries.</t>
  </si>
  <si>
    <t>School Librarian CCS</t>
  </si>
  <si>
    <t>Chipping Campden, England</t>
  </si>
  <si>
    <t>The Learning Resource Centre at the core of the school;books for all,fiction &amp; factual #AllReadingMatters Hoping to spark a lifelong love of reading &amp; discovery</t>
  </si>
  <si>
    <t>WSchool Library</t>
  </si>
  <si>
    <t>Little Dean's Yard | London</t>
  </si>
  <si>
    <t>The official Twitter account for the Westminster School Library</t>
  </si>
  <si>
    <t>WMFS Library</t>
  </si>
  <si>
    <t>West Midlands UK</t>
  </si>
  <si>
    <t>West Midlands Fire Service Brigade Library</t>
  </si>
  <si>
    <t>Kings Norton Library</t>
  </si>
  <si>
    <t>We are a Community Library serving the needs of Kings Norton and the surrounding area in Northfield District. Please visit our website to see more!</t>
  </si>
  <si>
    <t>EKHUFT Libraries</t>
  </si>
  <si>
    <t>East Kent</t>
  </si>
  <si>
    <t>Supporting healthcare staff and students by providing the best evidence and resources to support clinical decision making, research &amp; professional development.</t>
  </si>
  <si>
    <t>Fairfield Library</t>
  </si>
  <si>
    <t>Fairfield High School Library</t>
  </si>
  <si>
    <t>Machen Library</t>
  </si>
  <si>
    <t>Sacred Heart Library</t>
  </si>
  <si>
    <t>Barrow In Furness</t>
  </si>
  <si>
    <t>The hub of Sacred Heart School, over 5,000 books, something for everyone! Honours List School Librarian of the Year 2014.</t>
  </si>
  <si>
    <t>Bangor Carnegie Lib</t>
  </si>
  <si>
    <t>Hamilton Road, BT20 4LH</t>
  </si>
  <si>
    <t>Twitter is not monitored 24/7. Part of Libraries NI Northern Ireland M : 9:00-20:00,T &amp; W: 9:00-17:00, T: 9:00-21:00, F: 9:00-17:00, S: 10:00-17:00</t>
  </si>
  <si>
    <t>NHSGGC Libraries</t>
  </si>
  <si>
    <t>Welcome to NHSGGC Library Network. We can help you find knowledge and navigate evidence resources. Retweets are not an endorsement by the Network</t>
  </si>
  <si>
    <t>Engineering Library</t>
  </si>
  <si>
    <t>Tweets from the team at the Department of Engineering Library and Information Service, University of Cambridge. Resources, services, training and advice.</t>
  </si>
  <si>
    <t>J.K Rowling Library</t>
  </si>
  <si>
    <t>Sedbury</t>
  </si>
  <si>
    <t>Wyedean School J.K. Rowling Library. Opened in 2006, named after the most famous of our alumnae. A magical school space. @WyedeanSchool for school information.</t>
  </si>
  <si>
    <t>QEHKL Library</t>
  </si>
  <si>
    <t>Wilds of Norfolk</t>
  </si>
  <si>
    <t>Library and Knowledge Services, The Queen Elizabeth Hospital, Kings Lynn NHS Foundation Trust.</t>
  </si>
  <si>
    <t>Clare FM Library</t>
  </si>
  <si>
    <t>The Forbes Mellon Library, Clare College, University of Cambridge. News of service developments and useful information resources.</t>
  </si>
  <si>
    <t>SaTH Libraries</t>
  </si>
  <si>
    <t>Shropshire</t>
  </si>
  <si>
    <t>We are Shrewsbury and Telford Health Libraries, and exist to help our users access the knowledge base of healthcare.</t>
  </si>
  <si>
    <t>LuckleyHouse Library</t>
  </si>
  <si>
    <t>The Official Twitter Account for Luckley House School's Library</t>
  </si>
  <si>
    <t>Kings Heath Library</t>
  </si>
  <si>
    <t>Books, computers and much more.
kings.heath.library@birmingham.gov.uk</t>
  </si>
  <si>
    <t>York Gardens Library</t>
  </si>
  <si>
    <t>Wandsworth</t>
  </si>
  <si>
    <t>A community library in Battersea which was faced with closure. The community came together to save it and are now running as a Direct Service Organisation.</t>
  </si>
  <si>
    <t>Chepstow Hub</t>
  </si>
  <si>
    <t>Chepstow, Wales</t>
  </si>
  <si>
    <t>Council Services. Library. Community Education. Wi-Fi. Open all Monday to Friday and Saturday mornings. Tel 01291 635730</t>
  </si>
  <si>
    <t>City University London</t>
  </si>
  <si>
    <t>City University London, School of Health Sciences Library: Information and support providers for healthcare education and research.</t>
  </si>
  <si>
    <t>BrixtonReferenceLib</t>
  </si>
  <si>
    <t>Lambeth Reference Library is here for all your reference and information needs. Please feel free to tweet us if you have any questions.</t>
  </si>
  <si>
    <t>MusiCB3t</t>
  </si>
  <si>
    <t>Cambridge (CB3 ...)</t>
  </si>
  <si>
    <t>Joint account of Pendlebury Library of Music (Faculty of Music), University of Cambridge &amp; Music Department at Cambridge University Library</t>
  </si>
  <si>
    <t>RWCMD Library</t>
  </si>
  <si>
    <t>Follow us for news and updates from the Royal Welsh College of Music &amp; Drama Library.</t>
  </si>
  <si>
    <t>WBHS Library</t>
  </si>
  <si>
    <t>Whitley Bay, England</t>
  </si>
  <si>
    <t>Keeping you up to date with events and activities at WBHS Library</t>
  </si>
  <si>
    <t>Canon Slade Library</t>
  </si>
  <si>
    <t>Reading does make a difference</t>
  </si>
  <si>
    <t>Canon Slade School Library is lively and busy place where we encourage independent learners and students to continue in their reading for pleasure journey.</t>
  </si>
  <si>
    <t>NSFT Library</t>
  </si>
  <si>
    <t>Norwich</t>
  </si>
  <si>
    <t>We provide library &amp; information services to NHS staff &amp; students in Norfolk &amp; Suffolk to support study, cpd &amp; evidence-based practice.</t>
  </si>
  <si>
    <t>Wiseman Library</t>
  </si>
  <si>
    <t>Greenford</t>
  </si>
  <si>
    <t>A very busy school Library in Greenford. We love reading, new books and book chat.</t>
  </si>
  <si>
    <t>Flintshire Libraries</t>
  </si>
  <si>
    <t>Mold, Wales</t>
  </si>
  <si>
    <t>Official Twitter account of  Flintshire Library Service. Monitored Mon-Fri 
9.00 - 5.00</t>
  </si>
  <si>
    <t>TrinitySchoolLibrary</t>
  </si>
  <si>
    <t>Carlisle, England</t>
  </si>
  <si>
    <t>Books are our passion: we're here to help you find your next favourite book. Reading takes you places..... Tweets by The Librarians.</t>
  </si>
  <si>
    <t>Lossiemouth, Scotland</t>
  </si>
  <si>
    <t>All books lead you on a journey - the first step is the Library. Views my own. No pupils followed</t>
  </si>
  <si>
    <t>JYHS Library</t>
  </si>
  <si>
    <t>Livingston</t>
  </si>
  <si>
    <t>All the latest from a High School library and the Chartered Librarian who runs it</t>
  </si>
  <si>
    <t>Rye Library</t>
  </si>
  <si>
    <t>The Libraries at @RyeStAntony, an independent day &amp; boarding school for girls aged 3 - 18, and boys aged from 3 - 11.</t>
  </si>
  <si>
    <t>NHS A&amp;A Library</t>
  </si>
  <si>
    <t>Ayrshire</t>
  </si>
  <si>
    <t>NHS Ayrshire &amp; Arran Library Service supports staff, students and contractors to provide safe, effective, person-centred care to the people of Ayrshire &amp; Arran</t>
  </si>
  <si>
    <t>Libraries in Camden</t>
  </si>
  <si>
    <t>London Borough of Camden, UK</t>
  </si>
  <si>
    <t>Friends of Libraries' in Camden, London, UK. For official Camden Council library related tweets &amp; to contact the service, then visit @LoveCamden</t>
  </si>
  <si>
    <t>Stowmarket Library</t>
  </si>
  <si>
    <t>Stowmarket, England</t>
  </si>
  <si>
    <t>UpperNorwoodLibrary</t>
  </si>
  <si>
    <t>Upper Norwood London SE19 1TJ</t>
  </si>
  <si>
    <t>Discover your local library in Crystal Palace. Books, DVDs, storytime, eBooks, digital magazines &amp; much more! Tweets by the Lambeth Librarians</t>
  </si>
  <si>
    <t>Gilwern Library</t>
  </si>
  <si>
    <t>Gilwern, Monmouthshire</t>
  </si>
  <si>
    <t>A small, friendly library at the heart of the community. Free internet access, Baby Rhyme Time, books for all ages! 
Tuesdays, Fridays and Saturday mornings</t>
  </si>
  <si>
    <t>GSA Library</t>
  </si>
  <si>
    <t>All the Library Secrets at George Spencer Academy.
Always check the T&amp;Cs of any competitions.</t>
  </si>
  <si>
    <t>CNWL Libraries</t>
  </si>
  <si>
    <t>St Charles Hub, London</t>
  </si>
  <si>
    <t>CNWL Library &amp; Knowledge Services provide information resources for all CNWL NHS staff, across the Trust
(Please see Knowledge Services Portal on CNWL Trustnet)</t>
  </si>
  <si>
    <t>Smallwood Library</t>
  </si>
  <si>
    <t>Busy NHS library supporting clinical care, research, learning and development at Birmingham Community Healthcare NHS Trust, and NHS Midlands &amp; Lancashire CSU.</t>
  </si>
  <si>
    <t>Harbury Library</t>
  </si>
  <si>
    <t>Harbury, Warwickshire, UK</t>
  </si>
  <si>
    <t>Harbury Village Library &amp; Biblio's Cafe is a registered charity in the heart of the village, run by volunteers for the benefit of everyone in the community.</t>
  </si>
  <si>
    <t>Romsey Library</t>
  </si>
  <si>
    <t>Romsey, England</t>
  </si>
  <si>
    <t>The Staff Library</t>
  </si>
  <si>
    <t>Macclesfield, Cheshire</t>
  </si>
  <si>
    <t>Supporting patient care by enabling @EastCheshireNHS staff and students on placement.
Views are our own. RTs are to share &amp; do not indicate endorsement.</t>
  </si>
  <si>
    <t>LGTLibrary</t>
  </si>
  <si>
    <t>The Twitter page of the Library Service at Lewisham and Greenwich NHS Trust (UK).</t>
  </si>
  <si>
    <t>we are the information professionals.</t>
  </si>
  <si>
    <t>@morgan library</t>
  </si>
  <si>
    <t>Illingworth Library</t>
  </si>
  <si>
    <t>We are an NHS library at Sheffield Children’s Hospital specialising in paediatrics and supporting evidence based practice, professional development and research</t>
  </si>
  <si>
    <t>Kirklees College LRC</t>
  </si>
  <si>
    <t>Huddersfield, England</t>
  </si>
  <si>
    <t>Welcome to Kirklees College LRC Twitter. Monitored during opening times only. 01484 437034 library@kirkleescollege.ac.uk</t>
  </si>
  <si>
    <t>RUH Academy Library</t>
  </si>
  <si>
    <t>Bath, England</t>
  </si>
  <si>
    <t>Hello from the Academy Library in the Education Centre, RUH, Bath. Providing you with updates on our services, eLearning, events &amp; resources. Ask us anything.</t>
  </si>
  <si>
    <t>Glebe Close, St John's</t>
  </si>
  <si>
    <t>St John's Library, Worcester. Follow us for all activities in your local library. Contact us on 01905 822722 or stjohnslib@worcestershire.gov.uk</t>
  </si>
  <si>
    <t>Abercarn Library</t>
  </si>
  <si>
    <t>Abercarn, Wales</t>
  </si>
  <si>
    <t>Abercarn Library - Use it. Love it. Join it. Follow it. This account is not monitored 24/7. Please contact us in branch during opening hours for queries.</t>
  </si>
  <si>
    <t>chemlibrarian</t>
  </si>
  <si>
    <t>Chemistry Department Library, University of Cambridge. Tweeting about new and interesting chemistry &amp; related subject resources, publications, and library news.</t>
  </si>
  <si>
    <t>St Edward's Library</t>
  </si>
  <si>
    <t>Library &amp; book news</t>
  </si>
  <si>
    <t>St Edward's Church of England School &amp; Sixth Form College is in Romford, Essex</t>
  </si>
  <si>
    <t>KNOWOSFC</t>
  </si>
  <si>
    <t>Oldham, UK</t>
  </si>
  <si>
    <t>The Learning Resource Centre at Oldham Sixth Form College</t>
  </si>
  <si>
    <t>Monmouth Hub</t>
  </si>
  <si>
    <t>Monmouth, Monmouthshire</t>
  </si>
  <si>
    <t>Council services. Library. Community Education. Wi-Fi. Open all day Mondays, Tuesday's, Wednesdays &amp; Fridays also Saturday mornings. Tel 01600 775215</t>
  </si>
  <si>
    <t>PHS Library</t>
  </si>
  <si>
    <t>Manchester, England</t>
  </si>
  <si>
    <t>Philips High School Library, Whitefield. Vibrant reading and research space. Books, Art, Knowledge, Life.</t>
  </si>
  <si>
    <t>Notre Dame Library</t>
  </si>
  <si>
    <t>Cobham, Surrey, UK</t>
  </si>
  <si>
    <t>News from the Notre Dame School libraries and the world of children's books. For school info @NotreDameCobham https://t.co/QQYB6ku9pF</t>
  </si>
  <si>
    <t>Honiton Library</t>
  </si>
  <si>
    <t>Honiton, Devon</t>
  </si>
  <si>
    <t>We are a friendly library in this historic Devon town. We have free Wi-Fi and PC access as well as a building full of lovely books. Come and visit.</t>
  </si>
  <si>
    <t>Wolfson Lee Library</t>
  </si>
  <si>
    <t>Wolfson College, Cambridge UK</t>
  </si>
  <si>
    <t>Lee Library at Wolfson College, University of Cambridge. Helping to foster a scholarly community with useful tips and information.</t>
  </si>
  <si>
    <t>TES School Library</t>
  </si>
  <si>
    <t>Official Twitter page of the Thurmont ES School Library</t>
  </si>
  <si>
    <t>Falkirk LRS</t>
  </si>
  <si>
    <t>Falkirk, Scotland</t>
  </si>
  <si>
    <t>This is the official Twitter account for the Learning Resource Service of Falkirk Council Education Services.</t>
  </si>
  <si>
    <t>CHFT NHS Library</t>
  </si>
  <si>
    <t>Halifax</t>
  </si>
  <si>
    <t>Tips on how to make the best of our resources for evidence-based practice. We also provide information skills training to staff and students. Ask us about it!</t>
  </si>
  <si>
    <t>Save Stony Library</t>
  </si>
  <si>
    <t>Stony Stratford</t>
  </si>
  <si>
    <t>Dec '10 our library was threatened with closure, members borrowed every book in protest, receiving worldwide press coverage. With a years funding we go on!</t>
  </si>
  <si>
    <t>AESG Library</t>
  </si>
  <si>
    <t>Alderley Edge School for Girls</t>
  </si>
  <si>
    <t>Updates on books, reading, resources and information at the Library at AESG. Tweets by Ruth Wood, Librarian and Magical Reading Queen!(quote).</t>
  </si>
  <si>
    <t>MCHFTJetLibrary</t>
  </si>
  <si>
    <t>Crewe, Cheshire</t>
  </si>
  <si>
    <t>The JET Library provides information and training for staff working at Mid-Cheshire Hospitals Foundation Trust.</t>
  </si>
  <si>
    <t>LivUniLondonLibrary</t>
  </si>
  <si>
    <t>News and updates from the University of Liverpool in London Library</t>
  </si>
  <si>
    <t>KGS Library</t>
  </si>
  <si>
    <t>Kingston Grammar School Library</t>
  </si>
  <si>
    <t>Marjon Library</t>
  </si>
  <si>
    <t>Plymouth, Devon</t>
  </si>
  <si>
    <t>The official feed of Marjon Library - http://t.co/wP8I3VBLC9</t>
  </si>
  <si>
    <t>LRC @ JMS</t>
  </si>
  <si>
    <t>Abingdon, England</t>
  </si>
  <si>
    <t>The Learning Resources Centre at John Mason School. Promoting independent learning and fostering a love of reading!</t>
  </si>
  <si>
    <t>Dalziel High Library</t>
  </si>
  <si>
    <t>School library</t>
  </si>
  <si>
    <t>LLR@lsbu</t>
  </si>
  <si>
    <t>London South Bank University Library and Learning Resources, tweeting news and updates about our services. We're here to help you.</t>
  </si>
  <si>
    <t>NewmanLibrary</t>
  </si>
  <si>
    <t>Newman University Library. Follow us for news about resources and services available to Newman students!</t>
  </si>
  <si>
    <t>klslibrary</t>
  </si>
  <si>
    <t>Kings Langley, England</t>
  </si>
  <si>
    <t>Kings Langley School Library. Tweets are sent by Miss Hill.</t>
  </si>
  <si>
    <t>Barnstaple Library</t>
  </si>
  <si>
    <t>Barnstaple Library, Twitter site. Follow us for updates on new and regular events.</t>
  </si>
  <si>
    <t>St. Joseph's Library</t>
  </si>
  <si>
    <t>Coalisland, Northern Ireland</t>
  </si>
  <si>
    <t>Supporting learning in the Library of St Josephs College Coalisland. Tweeting: News Events Books Literacy Education Facts. RT a sign of interest not endorsement</t>
  </si>
  <si>
    <t>Painswick Library</t>
  </si>
  <si>
    <t>Painswick, Gloucestershire</t>
  </si>
  <si>
    <t>Community Library in Painswick, now open on Monday, Wednesday, Friday and Saturday. Story Time now on Monday afternoons 2.15-3pm</t>
  </si>
  <si>
    <t>UHSM Academy Library</t>
  </si>
  <si>
    <t>Wythenshawe Hospital</t>
  </si>
  <si>
    <t>UHSM's Library Service</t>
  </si>
  <si>
    <t>Activate Libraries</t>
  </si>
  <si>
    <t>Banbury, Oxford and Reading</t>
  </si>
  <si>
    <t>Activate Learning Libraries provide learning resources for Banbury and Bicester College, City of Oxford College, and Reading College.</t>
  </si>
  <si>
    <t>Cumbria NHS Library</t>
  </si>
  <si>
    <t>Providing Library and Information services to NHS staff and students accross North Cumbria</t>
  </si>
  <si>
    <t>Rhymney Comp Library</t>
  </si>
  <si>
    <t>Rhymney</t>
  </si>
  <si>
    <t>Madame Pince, our librarian, tells me it is 'pawed upon, dribbled on and generally maltreated' nearly everyday - a high compliment for any book. - J K Rowling</t>
  </si>
  <si>
    <t>BBCol UCL</t>
  </si>
  <si>
    <t>Blackburn</t>
  </si>
  <si>
    <t>I'm the University Centre Library Service at Blackburn College!</t>
  </si>
  <si>
    <t>Andover Library</t>
  </si>
  <si>
    <t xml:space="preserve">Chantry Centre, Andover </t>
  </si>
  <si>
    <t>Visit us for books, magazines, DVD's, CD's, free wifi, free computer use, Story Time for toddlers, Rhyme Time for babies and more!</t>
  </si>
  <si>
    <t>Petersfield Library</t>
  </si>
  <si>
    <t>DCH Library</t>
  </si>
  <si>
    <t>Dorchester, UK</t>
  </si>
  <si>
    <t>Providing high quality health information to local NHS staff and students on clinical placement.</t>
  </si>
  <si>
    <t>KA Library</t>
  </si>
  <si>
    <t>Kilsyth, Scotland</t>
  </si>
  <si>
    <t>Kilsyth Academy school library. Tweets by Mrs Smith.  Books and reading mostly!</t>
  </si>
  <si>
    <t>Hudd Uni Lib Books</t>
  </si>
  <si>
    <t>Huddersfield</t>
  </si>
  <si>
    <t>New books added to the University of Huddersfield's Library</t>
  </si>
  <si>
    <t>Aldershot Library</t>
  </si>
  <si>
    <t>Aldershot, England</t>
  </si>
  <si>
    <t>Official account for Aldershot Library &amp; Learning Centre. Books, Courses, Events &amp; Rooms for Hire. Free Wi-Fi and Internet Access. Get the latest info here!</t>
  </si>
  <si>
    <t>UoB School Library</t>
  </si>
  <si>
    <t>Books to read, comfy chairs, tables for studying and a nice view. A lovely haven of peace in our busy, buzzing school.</t>
  </si>
  <si>
    <t>HCLU</t>
  </si>
  <si>
    <t>Northern England</t>
  </si>
  <si>
    <t>Delivering Knowledge for Healthcare by enabling excellent healthcare &amp; health improvement by the strategic development of quality assured NHS LKS in the North.</t>
  </si>
  <si>
    <t>Heathfield Library</t>
  </si>
  <si>
    <t>Heathfield School Library in Taunton, Somerset - reading, sharing and championing all things book related!</t>
  </si>
  <si>
    <t>Bradford, United Kingdom</t>
  </si>
  <si>
    <t>Clarkson Library @bradfordgrammar</t>
  </si>
  <si>
    <t>Squire Law Library</t>
  </si>
  <si>
    <t>WaterloovilleLibrary</t>
  </si>
  <si>
    <t>Waterlooville, Hampshire, UK</t>
  </si>
  <si>
    <t>Get more out of libraries. Waterlooville Library has free wifi and accessible computers. We run courses, events, rhymetime and clubs for adults &amp; children.</t>
  </si>
  <si>
    <t>SPS Library</t>
  </si>
  <si>
    <t>SPS Library - University of Cambridge. Sociology, Land Economy and some Social and Developmental Psychology!</t>
  </si>
  <si>
    <t>MontroseAcadLibrary</t>
  </si>
  <si>
    <t>Montrose Angus</t>
  </si>
  <si>
    <t>The official twitter feed for Montrose Academy Library</t>
  </si>
  <si>
    <t>InformationSkillsTav</t>
  </si>
  <si>
    <t>Information Skills at the Tavistock &amp; Portman NHS Foundation trust Library: http://t.co/CziHHFAz5G</t>
  </si>
  <si>
    <t>COCHLibrary</t>
  </si>
  <si>
    <t>Countess of Chester Hospital</t>
  </si>
  <si>
    <t>Multidisciplinary Healthcare Library</t>
  </si>
  <si>
    <t>Newbridge Library</t>
  </si>
  <si>
    <t>Tresham LRC</t>
  </si>
  <si>
    <t>Kettering, England</t>
  </si>
  <si>
    <t>News and comment from the staff at Tresham College LRCs
LRCHelp@tresham.ac.uk</t>
  </si>
  <si>
    <t>Romford, London</t>
  </si>
  <si>
    <t>Jackie Blanks Library, Queen's Hospital. Views expressed here are our own and do not necessarily represent the views of BHRUT</t>
  </si>
  <si>
    <t>LlyfrgellSirDdinbych</t>
  </si>
  <si>
    <t>Sir Ddinbych, Cymru</t>
  </si>
  <si>
    <t>Gwasanaeth llyfrgell gyhoeddus. Hefyd yn trydar yn Saesneg @DenbsLibs ac ar Facebook</t>
  </si>
  <si>
    <t>St Luke's HS Library</t>
  </si>
  <si>
    <t>Barrhead, Scotland</t>
  </si>
  <si>
    <t>Unhelpful, but in a funny way.  Erin, S2</t>
  </si>
  <si>
    <t>Newbattle HS Library</t>
  </si>
  <si>
    <t>Easthouses, Midlothian.</t>
  </si>
  <si>
    <t>Twitter feed for the  library of Newbattle High School.</t>
  </si>
  <si>
    <t>HEFTLibrary</t>
  </si>
  <si>
    <t>Birmingham, West Midlands</t>
  </si>
  <si>
    <t>Supporting the education and development of all Trust staff and students on placement at Heart of England Foundation Trust</t>
  </si>
  <si>
    <t>BSSchoolLibrary</t>
  </si>
  <si>
    <t>Boston Spa, West Yorkshire</t>
  </si>
  <si>
    <t>Boston Spa School Library - tweets by Librarian translated from 'OOK' to English. Will NOT respond to auto-DMs!</t>
  </si>
  <si>
    <t>Lindley Library</t>
  </si>
  <si>
    <t>Helping to maintain, enhance and widen the use of the Library &amp; Information Service for the benefit of the community in the Lindley area</t>
  </si>
  <si>
    <t>Heles School Library</t>
  </si>
  <si>
    <t>We have a lively secondary school library and we're going to let the whole Tweeting world know all about it.</t>
  </si>
  <si>
    <t>Alton College LRC</t>
  </si>
  <si>
    <t>Alton Hampshire</t>
  </si>
  <si>
    <t>Like umbrellas, minds only function when opened.</t>
  </si>
  <si>
    <t>Belmont LRC</t>
  </si>
  <si>
    <t>Belmont, Durham</t>
  </si>
  <si>
    <t>Supporting teaching and learning at Belmont Community School.  Tweets by Miss Roe, LRC Manager.</t>
  </si>
  <si>
    <t>WHS Library</t>
  </si>
  <si>
    <t>Wimbledon, London</t>
  </si>
  <si>
    <t>The Official account of the @WimbledonHigh School Library. Tweets by Ms Toffoli.</t>
  </si>
  <si>
    <t>Seaton Library</t>
  </si>
  <si>
    <t>Official page for Seaton Library, Devon. News of upcoming events and much more. RTs do not imply endorsement.</t>
  </si>
  <si>
    <t>West Hatch Library</t>
  </si>
  <si>
    <t>Chigwell Essex,UK</t>
  </si>
  <si>
    <t>Discover, Explore, Create, Learn and Read: Always Read.</t>
  </si>
  <si>
    <t>Warlingham Library</t>
  </si>
  <si>
    <t>Warlingham Community Partnered Library is run by library staff and a team of volunteers</t>
  </si>
  <si>
    <t>Dalkeithcampuslib</t>
  </si>
  <si>
    <t>Dalkeith</t>
  </si>
  <si>
    <t>Welcome to the Dalkeith Campus Library’s twitter feed.  The library serves the three campus schools of Dalkeith,  Saltersgate and St David's High School.</t>
  </si>
  <si>
    <t>Fernwood Library</t>
  </si>
  <si>
    <t>The Fernwood School Library official page. 
Links, book ideas and more</t>
  </si>
  <si>
    <t>Divinity Library</t>
  </si>
  <si>
    <t>Divinity Library, University of Cambridge. Tweets focus on our collections &amp; services, plus subject-relevant info. Our tweets/retweets are not endorsements.</t>
  </si>
  <si>
    <t>NottsHC Libraries</t>
  </si>
  <si>
    <t>DMH, Rampton and Wathwood</t>
  </si>
  <si>
    <t>Nottinghamshire Healthcare library service. We provide searching help, training, and access to books &amp; journals (in print and electronically).</t>
  </si>
  <si>
    <t>Learning Services</t>
  </si>
  <si>
    <t>Bournemouth, UK</t>
  </si>
  <si>
    <t>AECC Learning Services &amp; E-Developments. Essential support for your academic success.
*Our Mission is Your Success*</t>
  </si>
  <si>
    <t>Hutchesons' Library</t>
  </si>
  <si>
    <t>Independent School Library</t>
  </si>
  <si>
    <t>The Library at NC</t>
  </si>
  <si>
    <t>Northampton, England</t>
  </si>
  <si>
    <t>The latest news and updates from Northampton College Library.</t>
  </si>
  <si>
    <t>High School Library</t>
  </si>
  <si>
    <t>Northampton</t>
  </si>
  <si>
    <t>Northampton High School Library</t>
  </si>
  <si>
    <t>Pengam Library</t>
  </si>
  <si>
    <t>Ivor Stret, Pengam, NP12 3AB</t>
  </si>
  <si>
    <t>Use it. Love it. Join it. Follow it. This account is not monitored 24/7. Please contact us at the library during opening hours for queries.</t>
  </si>
  <si>
    <t>Broomhill Library📚</t>
  </si>
  <si>
    <t>Oriel House, Sheffield</t>
  </si>
  <si>
    <t>For books, reading and discovery - borrow or buy books, free internet, wi-fi and the Children's University. Celebrating sixty years as a public library.</t>
  </si>
  <si>
    <t>Dewsbury Road OSC</t>
  </si>
  <si>
    <t>190 Dewsbury Road LS11 6PF</t>
  </si>
  <si>
    <t>Bringing council and partner services to the heart of the community.
Open 8.30am to 4pm Mon and Tues, 8.30am to 3pm Wed, 8.30am to 5pm Thurs and Fri.</t>
  </si>
  <si>
    <t>TALK</t>
  </si>
  <si>
    <t>Library Service based in the Yeovil Academy serving YDH NHS Foundation Trust and Somerset Partnership NHS staff. Library observations, not the Trust's views.</t>
  </si>
  <si>
    <t>LRC</t>
  </si>
  <si>
    <t>Durham</t>
  </si>
  <si>
    <t>Books, literacy and news from the LRC Framwellgate School Durham
Tweets by Mrs Davies</t>
  </si>
  <si>
    <t>FHFT Libraries</t>
  </si>
  <si>
    <t>Frimley Health NHS FT</t>
  </si>
  <si>
    <t>We provide library and knowledge services at Frimley Park, Wexham Park and Heatherwood Hospitals. 
These hospitals make up Frimley Health NHS Foundation Trust.</t>
  </si>
  <si>
    <t>Llanbradach Library</t>
  </si>
  <si>
    <t>Perse Library</t>
  </si>
  <si>
    <t>The Perse School, Cambridge</t>
  </si>
  <si>
    <t>Tweets by the Perse Upper School Library staff, Mrs Weatherall      &amp; Ms Alboni, with input from members of the Pupil Librarian team.</t>
  </si>
  <si>
    <t>JCSP Library BFT</t>
  </si>
  <si>
    <t>Trim Rd, Navan. Co Meath</t>
  </si>
  <si>
    <t>JCSP Library Beaufort College, Navan, Co Meath (Banner image see http://t.co/F58XZ2BEln). Follow student blog at https://t.co/cKKModTXFq</t>
  </si>
  <si>
    <t>Oakdale Library</t>
  </si>
  <si>
    <t>SSSFT Library</t>
  </si>
  <si>
    <t>Library and Knowledge Services for SSSFT and SSOTP - library and mental health news, articles and publications.  Tweet us with questions or suggestions</t>
  </si>
  <si>
    <t>Ox Health Libraries</t>
  </si>
  <si>
    <t>NHS library helping staff in finding and using the evidence to support practice</t>
  </si>
  <si>
    <t>Hastings uni Library</t>
  </si>
  <si>
    <t>Hastings</t>
  </si>
  <si>
    <t>Hastings Campus Library is one of the libraries of the University of Brighton. Information Services provide libraries, media &amp; computing across the university</t>
  </si>
  <si>
    <t>Knowledge Services</t>
  </si>
  <si>
    <t>Hull, England</t>
  </si>
  <si>
    <t>Library and Knowledge Services at Hull and East Yorkshire Hospitals NHS Trust - @HEYNHS</t>
  </si>
  <si>
    <t>Beccles Library</t>
  </si>
  <si>
    <t>Speyside High LRC</t>
  </si>
  <si>
    <t>Charlestown of Aberlour, Scotland</t>
  </si>
  <si>
    <t>Home of the chess club, the book club ,the literacy leaders and the football team manager. 📚 ⚽️ 🎲🗞</t>
  </si>
  <si>
    <t>Plymouth LSS</t>
  </si>
  <si>
    <t>Plymouth City Council's Library Service to Schools.</t>
  </si>
  <si>
    <t>Keith Grammar LRC</t>
  </si>
  <si>
    <t>Keith, Scotland</t>
  </si>
  <si>
    <t>Library Resource Centre at Keith Grammar School. 
School Library Association Member.
 Librarian: Mr Davidson</t>
  </si>
  <si>
    <t>Dartmouth Library</t>
  </si>
  <si>
    <t>QuinLibrary</t>
  </si>
  <si>
    <t>Quincentenary Library
Jesus College
Cambridge UK</t>
  </si>
  <si>
    <t>New Hall Library</t>
  </si>
  <si>
    <t>Chelmsford</t>
  </si>
  <si>
    <t>Tweeting from the library @newhallschool</t>
  </si>
  <si>
    <t>Coll Exon Library</t>
  </si>
  <si>
    <t>Exeter College Oxford  has a busy working library, collections of early printed books and manuscripts, and a 700 year old archive</t>
  </si>
  <si>
    <t>Trust Library</t>
  </si>
  <si>
    <t>Torbay Hospital</t>
  </si>
  <si>
    <t>The Library and Information Service at Torbay Hospital provides a high quality and friendly service to eligible members of the South Devon care community.</t>
  </si>
  <si>
    <t>News and updates from Tormead Senior School Library</t>
  </si>
  <si>
    <t>BEH Library</t>
  </si>
  <si>
    <t>Welcome to BEH Library Services on Twitter. We provide information and library services for Barnet, Enfield and Haringey Mental Health Trust.</t>
  </si>
  <si>
    <t>ULHT Libraries</t>
  </si>
  <si>
    <t>Lincolnshire, UK</t>
  </si>
  <si>
    <t>ULHT Library and Knowledge Services provide NHS library support to @ULHT_news, @LPFTNHS and @LincsCommHealth staff across Lincolnshire.</t>
  </si>
  <si>
    <t>Burngreave Library</t>
  </si>
  <si>
    <t>Burngreave</t>
  </si>
  <si>
    <t>Burngreave Library, Sheffield is now a Co-Delivered library and is run by volunteers. Can you help?</t>
  </si>
  <si>
    <t>Grove Park Library</t>
  </si>
  <si>
    <t>SE12 0BX, London, UK</t>
  </si>
  <si>
    <t>Crove Park Community Library, run by volunteers, supported by Eco Communities.</t>
  </si>
  <si>
    <t>KHVIII Library</t>
  </si>
  <si>
    <t>King Henry VIII School, Memorial Library</t>
  </si>
  <si>
    <t>NPTC Group Libraries</t>
  </si>
  <si>
    <t>Library services of NPTC Group of Colleges: Afan, Brecon, Neath, &amp; Newtown.</t>
  </si>
  <si>
    <t>Miss Ryder</t>
  </si>
  <si>
    <t>Your one stop shop for all that is literary or library at BGS</t>
  </si>
  <si>
    <t>HoE_Library</t>
  </si>
  <si>
    <t>Official Twitter feed for @hoe_school Library. Tweets by Mrs Kinmond.</t>
  </si>
  <si>
    <t>Dunnington Library</t>
  </si>
  <si>
    <t>Dunnington library is a community library based in the centre of the village of Dunnington York.</t>
  </si>
  <si>
    <t>GHS Library</t>
  </si>
  <si>
    <t>Twitter feed of Greenford High School Library. Encouraging a love of books and reading.</t>
  </si>
  <si>
    <t>St Benedicts Library</t>
  </si>
  <si>
    <t>Ealing, London</t>
  </si>
  <si>
    <t>St Benedict's Senior School Library</t>
  </si>
  <si>
    <t>B&amp;FC Loop LRCs</t>
  </si>
  <si>
    <t>Blackpool, United Kingdom</t>
  </si>
  <si>
    <t>Blackpool and the Fylde College learning resource centres</t>
  </si>
  <si>
    <t>Aintree Library</t>
  </si>
  <si>
    <t>Aintree, Liverpool</t>
  </si>
  <si>
    <t>Library at Aintree University Hospital, here to provide high quality information services to staff and students at Aintree and Walton Centre Foundation Trusts.</t>
  </si>
  <si>
    <t>Fred The Skeleton</t>
  </si>
  <si>
    <t>Bury St Edmunds Suffolk UK</t>
  </si>
  <si>
    <t>Library and Information Centre for the West Suffolk NHS Foundation Trust. Library news, views and musings from Fred the Skeleton and his acolyte, Phil.</t>
  </si>
  <si>
    <t>Morrab Library</t>
  </si>
  <si>
    <t>Penzance, Cornwall</t>
  </si>
  <si>
    <t>An independent library established in 1818 with 55K+ books on floor-to-ceiling shelves, archives, and historic photographs.</t>
  </si>
  <si>
    <t>IC Medical Libraries</t>
  </si>
  <si>
    <t>Imperial College London</t>
  </si>
  <si>
    <t>Imperial College London Medical Libraries, serving College staff/students and NHS staff from affiliated Trusts.  We reply to queries Mon to Fri 09.00-17.00.</t>
  </si>
  <si>
    <t>SWBH Library</t>
  </si>
  <si>
    <t>West Midlands, England</t>
  </si>
  <si>
    <t>Library Services for all staff and students at Sandwell and West Birmingham Hospitals NHS Trust
Staffed hours are 8.30-4.30 Mon-Fri with staff based at Sandwell</t>
  </si>
  <si>
    <t>NLCS Library</t>
  </si>
  <si>
    <t>The Library at @NLCS1850, a leading UK independent day school for girls aged 4 - 18.</t>
  </si>
  <si>
    <t>Corbett Community</t>
  </si>
  <si>
    <t>Volunteer-run &amp; charity-funded Community Library, Arts &amp; Heritage Centre - in what was Torridon Library.
103 Torridon Rd, SE6 1RQ - 020 8378 5358</t>
  </si>
  <si>
    <t>West Sussex NHS LKS</t>
  </si>
  <si>
    <t>West Sussex</t>
  </si>
  <si>
    <t>Library and knowledge services for NHS staff in West Sussex</t>
  </si>
  <si>
    <t>Cumbernauld Acad Lib</t>
  </si>
  <si>
    <t>Cumbernauld, Scotland</t>
  </si>
  <si>
    <t>CA Library Resource Centre's news, links, events and reviews.</t>
  </si>
  <si>
    <t>TCA LRC</t>
  </si>
  <si>
    <t>Vibrant, colourful and creative hub of all things booky!</t>
  </si>
  <si>
    <t>Rossett RC</t>
  </si>
  <si>
    <t>Rossett School, Harrogate</t>
  </si>
  <si>
    <t>The Official Twitter Account for Rossett Resource Centre tweeting all the news about books and library events.</t>
  </si>
  <si>
    <t>The Postdoc Society</t>
  </si>
  <si>
    <t>Queen's University Belfast</t>
  </si>
  <si>
    <t>Faculty of Medicine, Health &amp; Life Sciences Postdoc Society, Queen's University Belfast</t>
  </si>
  <si>
    <t>RDASH LKS</t>
  </si>
  <si>
    <t>This is the Library &amp; Knowledge Service Twitter feed for mental health staff based at Rotherham Doncaster &amp; South Humber NHS Foundation Trust (RDASH)</t>
  </si>
  <si>
    <t>The LRC is Key</t>
  </si>
  <si>
    <t>Hertfordshire</t>
  </si>
  <si>
    <t>The place for you to discover and expand your own ideas and skills, through exploring the thoughts and experiences of others. Enjoy!</t>
  </si>
  <si>
    <t>BSN Libraries</t>
  </si>
  <si>
    <t>The Netherlands</t>
  </si>
  <si>
    <t>The Libraries are the beating heart of the @BSNetherlands - follow this account for news from both Junior and Senior Libraries #BSNreads</t>
  </si>
  <si>
    <t>ESussexNHSLibraries</t>
  </si>
  <si>
    <t>Health Sciences Library (HSL), Eastbourne DGH, &amp; the Rosewell Library, Conquest Hospital, provide library services to the #NHS staff within the East Sussex area</t>
  </si>
  <si>
    <t>LibraryCat</t>
  </si>
  <si>
    <t>Caterham School Library. A centre for independent learning within the school community promoting innovation, creativity and fun.</t>
  </si>
  <si>
    <t>Tiverton Library</t>
  </si>
  <si>
    <t>Busy public library in Tiverton, Mid Devon England, part of Devon Libraries &amp; Libraries Unlimited, offering Books, DVDs, Music &amp; Computers and much, much more..</t>
  </si>
  <si>
    <t>Lincs Libraries</t>
  </si>
  <si>
    <t>East Midlands, England</t>
  </si>
  <si>
    <t>We're Better. The charitable social enterprise running Lincolnshire libraries. A haven for books, ebooks, computers, free wifi, and activities.</t>
  </si>
  <si>
    <t>CCB Library</t>
  </si>
  <si>
    <t>Belfast</t>
  </si>
  <si>
    <t>Tweets from the library of Campbell College, Belfast.</t>
  </si>
  <si>
    <t>Learning Centre</t>
  </si>
  <si>
    <t>The latest updates, events, news and reviews from the Learning Centre at Aquinas College.</t>
  </si>
  <si>
    <t>QueenwoodLibrary</t>
  </si>
  <si>
    <t>The library team supporting Nursing &amp; Midwifery, Health Professions, Sport &amp; Service Management at the University of Brighton Eastbourne campus</t>
  </si>
  <si>
    <t>Radford 5-12 Library</t>
  </si>
  <si>
    <t>Canberra</t>
  </si>
  <si>
    <t>#RadSecLib We're committed to promoting a love of #YAliterature, #Fiction &amp; #Reading. Follow for our news, #books &amp; fun stuff for yr 7-12 #students Instagram.</t>
  </si>
  <si>
    <t>Dawlish Library</t>
  </si>
  <si>
    <t>Dawlish, England</t>
  </si>
  <si>
    <t>Christie Library</t>
  </si>
  <si>
    <t>SSSFT LiA</t>
  </si>
  <si>
    <t>Stafford</t>
  </si>
  <si>
    <t>Listening to &amp; Engaging our staff at South Staffs &amp; Shropshire HealthC NHSFT.Supporting H&amp;WB.Aspiring to be Outstanding-sharing our positive journey as a trust</t>
  </si>
  <si>
    <t>GA Libraries</t>
  </si>
  <si>
    <t>Read and discover with Gosforth Academies' Lower School (Cousins) &amp; 6th Form Libraries. Follow us for books news, events &amp; competitions! Tweets by Ms Preston.</t>
  </si>
  <si>
    <t>ELHT Library</t>
  </si>
  <si>
    <t>Blackburn, England</t>
  </si>
  <si>
    <t>Bringing evidence &amp; practice together for the staff of East Lancashire Hospitals NHS Trust</t>
  </si>
  <si>
    <t>Bedford School Lib</t>
  </si>
  <si>
    <t>Bedford School, Bedford UK</t>
  </si>
  <si>
    <t>A modern independent school library exploring new technologies to provide multimedia resources across the school network and on the VLE.</t>
  </si>
  <si>
    <t>Newport High LRC</t>
  </si>
  <si>
    <t>Newport, Wales</t>
  </si>
  <si>
    <t>Newport High School Library Resource Centre. “If you don’t like to read, you haven’t found the right book.”   J K Rowling</t>
  </si>
  <si>
    <t>Knowsley Libraries</t>
  </si>
  <si>
    <t>Knowsley, England</t>
  </si>
  <si>
    <t>Knowsley Library Service</t>
  </si>
  <si>
    <t>Winterbourne Library</t>
  </si>
  <si>
    <t>South Gloucestershire, GB</t>
  </si>
  <si>
    <t>Library
South Gloucestershire</t>
  </si>
  <si>
    <t>Library Services</t>
  </si>
  <si>
    <t>Bradford, West Yorkshire</t>
  </si>
  <si>
    <t>Bradford College Library is here to ensure you have access to appropriate learning resources and the guidance needed to find and use them.</t>
  </si>
  <si>
    <t>Libraries Together</t>
  </si>
  <si>
    <t>Merseyside</t>
  </si>
  <si>
    <t>Partnership of six library services in Liverpool, covering public, FE and HE institutions.</t>
  </si>
  <si>
    <t>STP Library</t>
  </si>
  <si>
    <t>Alcuin Library, St Peter's School,
York, UK</t>
  </si>
  <si>
    <t>St Thomas Library</t>
  </si>
  <si>
    <t>Exeter, England</t>
  </si>
  <si>
    <t>Manor House Library</t>
  </si>
  <si>
    <t>SE13</t>
  </si>
  <si>
    <t>Manor House, a community run library. For information on volunteering or room hire please contact info@mhlibrary.co.uk.</t>
  </si>
  <si>
    <t>Keyll Darree</t>
  </si>
  <si>
    <t>Strang, Isle of Man</t>
  </si>
  <si>
    <t>Keyll Darree Library and Education Centre based on the Isle of Man. Updates on the service and our resources, plus events and health news.</t>
  </si>
  <si>
    <t>Aspire to Inspire. The Library at Forres Academy is a vibrant and inspirational hub for Literacy and knowledge.</t>
  </si>
  <si>
    <t>SGSCol (Filton) LRC</t>
  </si>
  <si>
    <t>SGS College, Bristol</t>
  </si>
  <si>
    <t>V. important Library bizniz from SGS College (Filton) LRC</t>
  </si>
  <si>
    <t>Gerrards X Library</t>
  </si>
  <si>
    <t>Gerrards Cross, Bucks</t>
  </si>
  <si>
    <t>Community Library in Gerrards Cross open Tues,Thurs,Fri &amp; Sat. Books, internet, Wi-Fi, copying, scanning &amp; much more.</t>
  </si>
  <si>
    <t>Library Team</t>
  </si>
  <si>
    <t>LSA Library</t>
  </si>
  <si>
    <t>Guiding our community of readers. Sharing intelligent search strategies to feed your inspiration, information and learning needs.</t>
  </si>
  <si>
    <t>Southborough High School (@shsrbk) Library Twitter Page</t>
  </si>
  <si>
    <t>Oxford Union Library</t>
  </si>
  <si>
    <t>Library@YaleWrexham</t>
  </si>
  <si>
    <t>Coleg Cambria (Yale) Wrexham</t>
  </si>
  <si>
    <t>Bringing you all the information on what is happening in your College Libraries and beyond.  (Disclaimer - Views expressed here are not those of Coleg Cambria)</t>
  </si>
  <si>
    <t>Repton Library</t>
  </si>
  <si>
    <t>Repton, England</t>
  </si>
  <si>
    <t>Repton School Library. New wine in an old bottle.</t>
  </si>
  <si>
    <t>AHS Library</t>
  </si>
  <si>
    <t>www.anderson.shetland.sch.uk</t>
  </si>
  <si>
    <t>Anderson High School Library, Lerwick, Shetland</t>
  </si>
  <si>
    <t>Garnock_Library</t>
  </si>
  <si>
    <t>Kilbirnie, North Ayrshire</t>
  </si>
  <si>
    <t>Garnock Academy School Library</t>
  </si>
  <si>
    <t>KECHB Library 📚</t>
  </si>
  <si>
    <t>King Edward VI Camp Hill School for Boys Library</t>
  </si>
  <si>
    <t>Hurst Library</t>
  </si>
  <si>
    <t>Hurstpierpoint College</t>
  </si>
  <si>
    <t>Hurstpierpoint College Senior School Library (library@hppc.co.uk)</t>
  </si>
  <si>
    <t>MHS Library</t>
  </si>
  <si>
    <t>Manningtree, England</t>
  </si>
  <si>
    <t>This is the official Twitter account for Manningtree High School's library.  Updates by Mrs Lane.</t>
  </si>
  <si>
    <t>Boltonft library</t>
  </si>
  <si>
    <t>Royal Bolton Hospital</t>
  </si>
  <si>
    <t>Library and knowledge services for all staff and students of Bolton NHS FT</t>
  </si>
  <si>
    <t>Crispin Library</t>
  </si>
  <si>
    <t>South West, England</t>
  </si>
  <si>
    <t>Becky Frankland - Library Co-Ordinator. A reading for pleasure library and our passion is promoting a reading culture across the school.</t>
  </si>
  <si>
    <t>CRC LRC</t>
  </si>
  <si>
    <t>Cambridge Regional College Learning Resource Centre</t>
  </si>
  <si>
    <t>SPC Resource Centre</t>
  </si>
  <si>
    <t>Church House, Rotherham</t>
  </si>
  <si>
    <t>St Peter's College Resource Centre is a lending library with resources available free of charge, to all living within the Diocese of Sheffield</t>
  </si>
  <si>
    <t>EastRidingLMA</t>
  </si>
  <si>
    <t>East Riding of Yorkshire</t>
  </si>
  <si>
    <t>Official Twitter for Libraries, Museums &amp; Archives @east_riding. Monitored Mon-Fri 9am-5pm. Report issues online at; https://t.co/teSEaZxoYx</t>
  </si>
  <si>
    <t>Wodehouse Library</t>
  </si>
  <si>
    <t>Dulwich College, London</t>
  </si>
  <si>
    <t>Middle &amp; Upper School library, named after PG Wodehouse. Followers' tweets in our timeline are their own responsibility. #DulwichCollege</t>
  </si>
  <si>
    <t>library@shewsy</t>
  </si>
  <si>
    <t>Shrewsbury School</t>
  </si>
  <si>
    <t>All the latest news and reviews from the Moser Library, Shrewsbury School</t>
  </si>
  <si>
    <t>Great Barr Library</t>
  </si>
  <si>
    <t>Balfron HS Library</t>
  </si>
  <si>
    <t>Stirlingshire, Scotland</t>
  </si>
  <si>
    <t>Supporting a Curriculum for Excellence at Balfron High School, Stirlingshire . (Tweets by Mrs O'Donnell, librarian)</t>
  </si>
  <si>
    <t>Royal Surrey Library</t>
  </si>
  <si>
    <t>We provide a friendly, professional library and information service supporting NHS staff and students in south west Surrey.</t>
  </si>
  <si>
    <t>Worcs Health Library</t>
  </si>
  <si>
    <t>Worcestershire Health Libraries. Providing knowledge and library services for the Worcestershire Health Community.</t>
  </si>
  <si>
    <t>BlackpoolNHSLibrary</t>
  </si>
  <si>
    <t>Education Centre BVH</t>
  </si>
  <si>
    <t>Knowledge and Library services for staff and students across Blackpool, North Lancashire and the Fylde. Providing the knowhow to mobilise evidence.</t>
  </si>
  <si>
    <t>Broadoak LRC</t>
  </si>
  <si>
    <t>Broadoak Maths &amp; Computing College Learning Resources Centre. A vibrant school library promoting a love of reading, information skills and life long learning.</t>
  </si>
  <si>
    <t>New Milton Library</t>
  </si>
  <si>
    <t>New Milton, England</t>
  </si>
  <si>
    <t>Gore Road, New Milton. Free Wi-Fi, Groups and Events for all ages! Pay us a visit!</t>
  </si>
  <si>
    <t>Sparsholt Library</t>
  </si>
  <si>
    <t>Sparsholt, England</t>
  </si>
  <si>
    <t>Library and Learning Resources Centre at Sparsholt College Hampshire, UK.
Telephone 01962 797232
https://t.co/E1Pk8poExa</t>
  </si>
  <si>
    <t>TheAshfordianLibrary</t>
  </si>
  <si>
    <t>School library. School book clubs. Talking about books.
Ashford, Kent</t>
  </si>
  <si>
    <t>Stock Coll Library+</t>
  </si>
  <si>
    <t>Stockport, England</t>
  </si>
  <si>
    <t>Updates and information from Stockport College Library+. We can’t answer your queries via Twitter, contact us on 0161 296 6022 or via SKoodle for support.</t>
  </si>
  <si>
    <t>HarrowBKKLibrary</t>
  </si>
  <si>
    <t>Don Mueang, Bangkok</t>
  </si>
  <si>
    <t>Lower School and Upper School libraries serving the HIS Bangkok community. Creative, innovative, user-focused, academic library service for all.</t>
  </si>
  <si>
    <t>High Street, Gosport</t>
  </si>
  <si>
    <t>A library, local and naval studies, gallery, free Wi-Fi provider, and café.
Come by and explore!</t>
  </si>
  <si>
    <t>SwanseaLawLib</t>
  </si>
  <si>
    <t>Swansea, Wales</t>
  </si>
  <si>
    <t>Welcome to the Swansea University Law Library team Twitter account. Croeso i gyfrif Twitter tîm Llyfrgell y Gyfraith Prifysgol Abertawe.</t>
  </si>
  <si>
    <t>Hatfield Library</t>
  </si>
  <si>
    <t>Hatfield College Library. Tweeting about books, our library, college, Durham University, and other interesting things.</t>
  </si>
  <si>
    <t>N.Baddesley Library</t>
  </si>
  <si>
    <t>North Baddesley, England</t>
  </si>
  <si>
    <t>Hampshires first library owned by the community; for the community!</t>
  </si>
  <si>
    <t>Oliveira Library</t>
  </si>
  <si>
    <t>Providing information services and training to all local NHS staff.  RTs = interesting, not endorsement.</t>
  </si>
  <si>
    <t>Central Sci Library</t>
  </si>
  <si>
    <t>Probably the friendliest science library in the world...</t>
  </si>
  <si>
    <t>Monifieth HS Library</t>
  </si>
  <si>
    <t>Kingsclere Library</t>
  </si>
  <si>
    <t>George St. Kingsclere</t>
  </si>
  <si>
    <t>Kingsclere Community Library.  
Run by Volunteers.  
Use or lose your library!!
Watch this space for events</t>
  </si>
  <si>
    <t>We are the LRC at John Taylor High School.</t>
  </si>
  <si>
    <t>Southend NHS Library</t>
  </si>
  <si>
    <t>Westcliff-on-Sea, Essex</t>
  </si>
  <si>
    <t>Education Centre Library at Southend University Hospital NHS Foundation Trust.**Please note that this account is monitored during office hours only.**</t>
  </si>
  <si>
    <t>TheManorLibrary</t>
  </si>
  <si>
    <t>New Books and Book News from The Manor Academy Library</t>
  </si>
  <si>
    <t>WCC Libraries</t>
  </si>
  <si>
    <t>Chester &amp; Ellesmere Port</t>
  </si>
  <si>
    <t>West Cheshire College Learning Resources: providing for our user's needs - online, in digital media &amp; on the bookshelf + support for all your study skills needs</t>
  </si>
  <si>
    <t>DWECLibrary</t>
  </si>
  <si>
    <t>Grove Academy LRC</t>
  </si>
  <si>
    <t>Grove Academy Library</t>
  </si>
  <si>
    <t>Churchill Library</t>
  </si>
  <si>
    <t>Churchill College, Cambridge</t>
  </si>
  <si>
    <t>The Bracken and Bevin Libraries at Churchill College, University of Cambridge. Open 24/7, offering a large, comfortable space with a wide ranging collection.</t>
  </si>
  <si>
    <t>Library BHFT</t>
  </si>
  <si>
    <t>Honey End Lane, Reading</t>
  </si>
  <si>
    <t>The Healthcare Library for Berkshire Healthcare Trust. We provide information &amp; knowledge services to empower our staff to facilitate evidence-based healthcare</t>
  </si>
  <si>
    <t>NWHC Library</t>
  </si>
  <si>
    <t>East &amp; West Midlands, UK</t>
  </si>
  <si>
    <t>Based in Nuneaton, Hinckley &amp; Wigston. Your first port of call for books, magazines and online resources. Tweets by Maddy.  Go further! -  library@nwhc.ac.uk</t>
  </si>
  <si>
    <t>HWPH Library</t>
  </si>
  <si>
    <t>We won't be posting on this page anymore. Follow us on our new twitter account @fhft_libraries. #NHSLibraries #FrimleyHealth #WexhamPark</t>
  </si>
  <si>
    <t>KCLRC</t>
  </si>
  <si>
    <t>Kidderminster College</t>
  </si>
  <si>
    <t>News and information from the Learning Resource Centre, Kidderminster College. lrc@kidderminster.ac.uk Tel: 01562 512097.</t>
  </si>
  <si>
    <t>HealthCareLibraries</t>
  </si>
  <si>
    <t>The Bodleian Health Care Libraries (BHCL) provide services to the University of Oxford Medical Sciences Division and the Oxford University Hospitals NHS Trust.</t>
  </si>
  <si>
    <t>Biddenham Library</t>
  </si>
  <si>
    <t>Biddenham, Bedford, UK</t>
  </si>
  <si>
    <t>Biddenham International School &amp; Sports College Library</t>
  </si>
  <si>
    <t>EPHS Library</t>
  </si>
  <si>
    <t>Passionate about encouraging reading and research across our school community. Discover what we're reading, our new books and events we're hosting or attending</t>
  </si>
  <si>
    <t>LTHT Library</t>
  </si>
  <si>
    <t>Leeds, UK</t>
  </si>
  <si>
    <t>We are the NHS library service @LTHTrust helping colleagues gain access to evidence to support clinical practice, patient care and service management.</t>
  </si>
  <si>
    <t>Alresford Library</t>
  </si>
  <si>
    <t>Alresford, Hampshire</t>
  </si>
  <si>
    <t>Friendly library in the beautiful Georgian town of Alresford</t>
  </si>
  <si>
    <t>King's Ely Library</t>
  </si>
  <si>
    <t>Without libraries we have no past or future - Ray Bradbury</t>
  </si>
  <si>
    <t>Lynton Library</t>
  </si>
  <si>
    <t>Lynton, England</t>
  </si>
  <si>
    <t>Lynton Library (Exmoor, N Devon) is open Tues 2 - 4pm,  Fri 10 - midday and Sat 10 - midday. Books, audiobooks, DVDs, Internet and more. Visitors welcome!</t>
  </si>
  <si>
    <t>WCHS Library</t>
  </si>
  <si>
    <t>West Calder, Scotland</t>
  </si>
  <si>
    <t>The twitter feed for West Calder High School library - follow us to find out what's happening in the library today.</t>
  </si>
  <si>
    <t>Broughton School LRC</t>
  </si>
  <si>
    <t>Preston</t>
  </si>
  <si>
    <t>FADA Library</t>
  </si>
  <si>
    <t>We are the Dame Elizabeth Esteve Coll Centre (aka the LRC, aka the art and design library) at Kingston University.</t>
  </si>
  <si>
    <t>NNUH Library</t>
  </si>
  <si>
    <t>Norwich, England</t>
  </si>
  <si>
    <t>The Sir Thomas Browne Library, at the Norfolk and Norwich University Hospital, provides library and information services to NHS staff and students in Norfolk.</t>
  </si>
  <si>
    <t>Waddesdon Library</t>
  </si>
  <si>
    <t>Waddesdon, England</t>
  </si>
  <si>
    <t>The first ever Waddesdon Community Library. Here to recommend books, help with your CV or even become the base for your craft or book group? PM for more info.</t>
  </si>
  <si>
    <t>Blackfen Com Library</t>
  </si>
  <si>
    <t>'Creating Community, Investing in Lives'.   A community library for Blackfen.</t>
  </si>
  <si>
    <t>Stanmore College LRC</t>
  </si>
  <si>
    <t>Stanmore, Greater London</t>
  </si>
  <si>
    <t>Stanmore College LRC is the college's library.   Opening hours:  Monday, Thursday &amp; Friday 8:45am - 5pm Tuesday &amp; Wednesday 8:45am - 7:30pm</t>
  </si>
  <si>
    <t>AHA Faculty Library</t>
  </si>
  <si>
    <t>Architecture and History of Art Faculty Library, University of Cambridge.</t>
  </si>
  <si>
    <t>Eco Library</t>
  </si>
  <si>
    <t>South East London</t>
  </si>
  <si>
    <t>All Eco Community Libraries in one place. UK Library News, Local events and books to your heart's content.</t>
  </si>
  <si>
    <t>King Harold LRC</t>
  </si>
  <si>
    <t>Waltham Abbey, England</t>
  </si>
  <si>
    <t>Fantastic Learning Resource Centre for students and staff at King Harold Business &amp; Enterprise Academy #inspire #support #challenge</t>
  </si>
  <si>
    <t>Library Service, MPH</t>
  </si>
  <si>
    <t>Taunton, Somerset, UK</t>
  </si>
  <si>
    <t>Twitter page for the Library Service, Musgrove Park Hospital.</t>
  </si>
  <si>
    <t>Miss Scothern</t>
  </si>
  <si>
    <t>Long Eaton, Nottingham</t>
  </si>
  <si>
    <t>Trent College Libraries inspiring a culture of readers. A vibrant place to read, research, learn &amp; succeed. From the Head of Library Services, Trent College</t>
  </si>
  <si>
    <t>Holy Trinity LRC</t>
  </si>
  <si>
    <t>The Learning Resource Centre of Holy Trinity Catholic School.</t>
  </si>
  <si>
    <t>Ringwood Library</t>
  </si>
  <si>
    <t>Ringwood, England</t>
  </si>
  <si>
    <t>WSC Library</t>
  </si>
  <si>
    <t>Bury St Edmunds, Suffolk</t>
  </si>
  <si>
    <t>West Suffolk College Library</t>
  </si>
  <si>
    <t>Bewdley Library</t>
  </si>
  <si>
    <t>Bewdley, Worcestershire</t>
  </si>
  <si>
    <t>Get updates on what's happening and when in your local library.</t>
  </si>
  <si>
    <t>THS Library</t>
  </si>
  <si>
    <t>Tiverton Devon uk</t>
  </si>
  <si>
    <t>Busy school library at the centre of Tiverton High School. Tweets by Mrs Long.</t>
  </si>
  <si>
    <t>Airdrie Academy LRC</t>
  </si>
  <si>
    <t>Airdrie, Scotland</t>
  </si>
  <si>
    <t>Airdrie Academy Library Resource Centre</t>
  </si>
  <si>
    <t>LRCHillcroft College</t>
  </si>
  <si>
    <t>Learning Resources Centre (LRC) Hillcroft College at the national residential college for women in Surbiton, Surrey.</t>
  </si>
  <si>
    <t>Askern Library</t>
  </si>
  <si>
    <t>Askern, England</t>
  </si>
  <si>
    <t>Open times:  Monday 10-1  Tuesday 10-5   Wednesday 10-1   Thursday 10-5  Friday 1-4   Saturday 10-1   Tel: 01302 700324 Email:askerncommunitylibrary@gmail.com</t>
  </si>
  <si>
    <t>ArmleyCommunityHub</t>
  </si>
  <si>
    <t>Leeds City Council's Community Hub brings so many vital services to the people of LS12 and beyond.</t>
  </si>
  <si>
    <t>Broadoak Library</t>
  </si>
  <si>
    <t>Broadoak Library, Manchester</t>
  </si>
  <si>
    <t>Broadoak School Library. Celebrate reading!
Books. Authors. Tweets. Get involved.</t>
  </si>
  <si>
    <t>MillingtonshireLibry</t>
  </si>
  <si>
    <t>Millingtonshire</t>
  </si>
  <si>
    <t>Millingtonshire county library service.</t>
  </si>
  <si>
    <t>BLMSMedia</t>
  </si>
  <si>
    <t>Batesburg, SC</t>
  </si>
  <si>
    <t>Batesburg-Leesville Middle School Library Media Center</t>
  </si>
  <si>
    <t>St John's Nottingham Library. St John's offers full-time, part-time and distance learning courses in theology, youth and children's ministry.</t>
  </si>
  <si>
    <t>Colchester Library</t>
  </si>
  <si>
    <t>Colchester, England</t>
  </si>
  <si>
    <t>Colchester Healthcare Library based at Colchester General Hospital</t>
  </si>
  <si>
    <t>MACS LRC</t>
  </si>
  <si>
    <t>Official Twitter page for the Learning Resource Centre at Mountain Ash Comprehensive School. We can only vouch for our web content and not that of our followers</t>
  </si>
  <si>
    <t>NRA Library</t>
  </si>
  <si>
    <t>New Rickstones Academy</t>
  </si>
  <si>
    <t>Welcome to the online home of the New Rickstones Academy library.</t>
  </si>
  <si>
    <t>CEBIS</t>
  </si>
  <si>
    <t>Clinical Evidence Based Information Service, University Hospitals Coventry &amp; Warwickshire NHS Trust</t>
  </si>
  <si>
    <t>Phil &amp; Theo Library</t>
  </si>
  <si>
    <t>The Philosophy &amp; Theology Faculties Library primarily serves University of Oxford students and faculty. Follow us to keep up-to-date with our news and services!</t>
  </si>
  <si>
    <t>KEGSDuffieldLibrary</t>
  </si>
  <si>
    <t>School librarian with an interest in promoting reading and information literacy.</t>
  </si>
  <si>
    <t>LJMUResearchSupport</t>
  </si>
  <si>
    <t>Liverpool, England</t>
  </si>
  <si>
    <t>Providing research support for academic staff and students at Liverpool John Moores University.</t>
  </si>
  <si>
    <t>Bishop Walsh Library</t>
  </si>
  <si>
    <t>Catholic secondary school Library, very popular, with lively reading group.</t>
  </si>
  <si>
    <t>Pinhoe Library</t>
  </si>
  <si>
    <t>Pinhoe, Exeter, England</t>
  </si>
  <si>
    <t>A friendly, Community Library offering books, audio books &amp; DVD's for loan. Free internet access &amp; WIFI. Events for all ages. RT's are not an endorsement.</t>
  </si>
  <si>
    <t>St George's Library</t>
  </si>
  <si>
    <t>Ascot, England</t>
  </si>
  <si>
    <t>HWGA Library</t>
  </si>
  <si>
    <t>Learning Resource centre within  Handsworth Wood Girls Academy. 📚 All tweets by Miss Orton</t>
  </si>
  <si>
    <t>BGS Reading</t>
  </si>
  <si>
    <t>Yate, England</t>
  </si>
  <si>
    <t>Brimsham Green School's reading and author recommendations. Tweets by study centre staff.</t>
  </si>
  <si>
    <t>Basildon NHS Library</t>
  </si>
  <si>
    <t>Basildon and Thurrock University Hospital</t>
  </si>
  <si>
    <t>Basildon Healthcare Library is a multidisciplinary library which supports all NHS and Social Care in South West Essex.</t>
  </si>
  <si>
    <t>QUB Medical Library</t>
  </si>
  <si>
    <t>Providing a library service for staff and students in the Faculty of Medicine, Health &amp; Life Sciences.</t>
  </si>
  <si>
    <t>SHS Library 🐾</t>
  </si>
  <si>
    <t>Springdale, AR</t>
  </si>
  <si>
    <t>Springdale High School Library Media Center for @SHSRedDogs. #SHSReads #SpringdaleReads❤️📚</t>
  </si>
  <si>
    <t>GuilColl LRCs</t>
  </si>
  <si>
    <t>Guildford</t>
  </si>
  <si>
    <t>The Learning Resource Centres at Guildford College.  Find out about events, competitions, new stock ...</t>
  </si>
  <si>
    <t>North'landCollegeLCs</t>
  </si>
  <si>
    <t>Ashington, Northumberland</t>
  </si>
  <si>
    <t>The LSCs at Ashington and Kirkley Hall campuses. Study space, print, books, journals, multimedia resources and events. We aim to keep you informed!</t>
  </si>
  <si>
    <t>mdh_librarians</t>
  </si>
  <si>
    <t>University of Sheffield</t>
  </si>
  <si>
    <t>Providing library services for the Faculty of Medicine, Dentistry and Health</t>
  </si>
  <si>
    <t>SmallHeathSch Lib</t>
  </si>
  <si>
    <t>Small Heath School and 6th Form Library</t>
  </si>
  <si>
    <t>College Library</t>
  </si>
  <si>
    <t>Croydon, Greater London</t>
  </si>
  <si>
    <t>Croydon College Library &amp; Information services.  HE and FE libraries at Fairfield campus, on-line access to resources 24/7 via our website</t>
  </si>
  <si>
    <t>KincorthAcademyLib</t>
  </si>
  <si>
    <t>This is the Twitter account of Kincorth Academy Library. On here we'll have information on whats going on in the school library, the latest books and more...</t>
  </si>
  <si>
    <t>NewmarketLibrary</t>
  </si>
  <si>
    <t>Newmarket, England</t>
  </si>
  <si>
    <t>A friendly team serving Newmarket and its surrounding area. Suffolk with its Literary and IT needs. Hosting events and activities to all ages. Free WiFi access.</t>
  </si>
  <si>
    <t>TSS LRC</t>
  </si>
  <si>
    <t>Shipley, West Yorks</t>
  </si>
  <si>
    <t>Love reading, learning &amp; being curious.  Tweets from the Learning Resource Centre at Titus Salt School.</t>
  </si>
  <si>
    <t>Burnage Library</t>
  </si>
  <si>
    <t>Burnage Library, Activity and Information Hub.</t>
  </si>
  <si>
    <t>Hay-on-Wye Library</t>
  </si>
  <si>
    <t>Hay-on-Wye, Wales</t>
  </si>
  <si>
    <t>St David's LRC</t>
  </si>
  <si>
    <t>Cardiff, Wales, UK</t>
  </si>
  <si>
    <t>Tweet stream from the Learning Resource Centre of St. David's Catholic College, Cardiff.
Providing you with news about the LRC as well as other relevant info</t>
  </si>
  <si>
    <t>WhitHealthLibrary</t>
  </si>
  <si>
    <t>Welcome to Whittington Health Library, part of @WhitHealth.</t>
  </si>
  <si>
    <t>Radley Library</t>
  </si>
  <si>
    <t>Radley, England</t>
  </si>
  <si>
    <t>News and shennanigans from the world of books and reading at Radley College https://t.co/zXHVErHanA</t>
  </si>
  <si>
    <t>Rayleigh Library</t>
  </si>
  <si>
    <t>Physics Library at the Cavendish Laboratory, University of Cambridge, tweeting news and information about the library. Got a question? Send us a tweet.</t>
  </si>
  <si>
    <t>Library GC</t>
  </si>
  <si>
    <t>Gateshead, Tyne and Wear</t>
  </si>
  <si>
    <t>Gateshead College Library</t>
  </si>
  <si>
    <t>CJMLC Library</t>
  </si>
  <si>
    <t>Library of the Convent of Jesus &amp; Mary Language College, NW10</t>
  </si>
  <si>
    <t>Millfield Library</t>
  </si>
  <si>
    <t>Millfield Library, built over three floors, is a vibrant hub of one of the UK’s leading co-educational independent schools.</t>
  </si>
  <si>
    <t>South Molton Library</t>
  </si>
  <si>
    <t>Public library in Market town of South Molton, Devon, England. Part of @DevonLibraries &amp; @LibrariesUnLtd.
southmolton.library@librariesunlimited.org.uk</t>
  </si>
  <si>
    <t>Med Center Library</t>
  </si>
  <si>
    <t>Lexington, KY</t>
  </si>
  <si>
    <t>UK Libraries/Medical Center Library - Serving UK students, staff, faculty, and health care professionals.</t>
  </si>
  <si>
    <t>Bucks NHS Library</t>
  </si>
  <si>
    <t>Stoke Mandeville</t>
  </si>
  <si>
    <t>We provide Library &amp; Information services to staff working for Buckinghamshire Healthcare NHS Trust</t>
  </si>
  <si>
    <t>Alva Academy Library</t>
  </si>
  <si>
    <t>Alva Academy's Library - where readers &amp; writers assemble!</t>
  </si>
  <si>
    <t>JFCSLibrary</t>
  </si>
  <si>
    <t>CliftonPrepLibrary</t>
  </si>
  <si>
    <t>The Pre-Prep and Prep School Libraries at Clifton College, Bristol</t>
  </si>
  <si>
    <t>HSCLibrary</t>
  </si>
  <si>
    <t>Library service for HSC staff in NI. Libraries located in RVH, MBC, Altnagelvin, Antrim, Craigavon, Knockbracken. Online access via https://t.co/1REVFyljL9</t>
  </si>
  <si>
    <t>The Compton Centre</t>
  </si>
  <si>
    <t xml:space="preserve">322 Harehils Lane, Leeds </t>
  </si>
  <si>
    <t>Library, Job-shop, One Stop Centre for all enquiries. Opening times. Monday to Thursday 8.30 to 7pm Friday 10am to 7pm Saturday 10am to 4pm Sunday 12am to 4pm.</t>
  </si>
  <si>
    <t>CCStALearningCentre</t>
  </si>
  <si>
    <t>Cornwall College St Austell</t>
  </si>
  <si>
    <t>A space where ideas can mingle and swap. We support the College’s journey to brilliant learning.</t>
  </si>
  <si>
    <t>Friends</t>
  </si>
  <si>
    <t>Hull</t>
  </si>
  <si>
    <t>Local #library run by the community for the community.  #Hull #Community #Volunteer</t>
  </si>
  <si>
    <t>Ricky School Library</t>
  </si>
  <si>
    <t>The official Twitter account for Rickmansworth School Library</t>
  </si>
  <si>
    <t>Community Centre</t>
  </si>
  <si>
    <t>Chadwell Heath</t>
  </si>
  <si>
    <t>Chadwell Heath Community Centre, home to Robert Jeyes Community Library, the place to meet, read, chat, learn, socialise, teach and have fun!</t>
  </si>
  <si>
    <t>Roundhay LRC</t>
  </si>
  <si>
    <t>The Learning Resource Centre @RoundhaySchool Based at the Secondary Campus but also covering our Primary Campus LRC.</t>
  </si>
  <si>
    <t>Broughton LRC</t>
  </si>
  <si>
    <t>school library</t>
  </si>
  <si>
    <t>Twynham Library</t>
  </si>
  <si>
    <t>Christchurch, England</t>
  </si>
  <si>
    <t>The official Twitter page for Twynham School's Library and Resource hub. Account managed by @LuceSpeck - Library Manager.</t>
  </si>
  <si>
    <t>ABMU libraries</t>
  </si>
  <si>
    <t>The famous five!!  ABMU library sites are online Monday- Friday 9-5pm.  Follow us to keep up to date with all of our new services and books!</t>
  </si>
  <si>
    <t>Royal Free Library</t>
  </si>
  <si>
    <t>Updates from the Royal Free Hospital Medical Library, Hampstead. Our services support UCL and Royal Free London NHS Foundation Trust staff and students.</t>
  </si>
  <si>
    <t>Chantry Library</t>
  </si>
  <si>
    <t>Hawthorn Drive Ipswich IP2 0QY</t>
  </si>
  <si>
    <t>We are a friendly community library in Ipswich, Suffolk. Follow us for our latest news and events. Proud to be a part of @SuffolkLibrary</t>
  </si>
  <si>
    <t>Brookes Wheatley Lib</t>
  </si>
  <si>
    <t>Wheatley, England</t>
  </si>
  <si>
    <t>The latest news and info from the team at Oxford Brookes Wheatley library.</t>
  </si>
  <si>
    <t>Broadway Library</t>
  </si>
  <si>
    <t>Leamington Road, Broadway</t>
  </si>
  <si>
    <t>Official Twitter account for Broadway Library, Worcestershire. Follow us for library news, events and more! For renewals please call the Hub on 01905 822722.</t>
  </si>
  <si>
    <t>Braunton Library</t>
  </si>
  <si>
    <t>Braunton Library in beautiful North Devon. Follow for updates and info. RTs are not endorsements.</t>
  </si>
  <si>
    <t>Francis Costello Lib</t>
  </si>
  <si>
    <t>Oswestry</t>
  </si>
  <si>
    <t>The Francis Costello Library Service is the health library of the Robert Jones &amp; Agnes Hunt NHS Foundation Trust. It has a special emphasis on orthopaedics.</t>
  </si>
  <si>
    <t>St Ben School LRC</t>
  </si>
  <si>
    <t>St Benedict's School Learning Resource Centre</t>
  </si>
  <si>
    <t>Tavistock Library</t>
  </si>
  <si>
    <t>A bright, buzzy, busy library</t>
  </si>
  <si>
    <t>Library Central</t>
  </si>
  <si>
    <t>Mid Cheshire College</t>
  </si>
  <si>
    <t>News and links from Library Central at Mid Cheshire College. Talk to us! We are MCCLibraryCentral on YouTube - subscribe for more tips.</t>
  </si>
  <si>
    <t>BxA Library</t>
  </si>
  <si>
    <t>Banff, Scotland</t>
  </si>
  <si>
    <t>Banff Academy Library. Open from 8am every day.  Close at 4.15pm Monday/ Tuesday, 4pm Wednesday/ Thursday and 3.30pm Friday.</t>
  </si>
  <si>
    <t>BuckieHighLib</t>
  </si>
  <si>
    <t>Canterbury</t>
  </si>
  <si>
    <t>Tweets from the King's School Library in Canterbury (by Librarian, Miss Philippa Rose).</t>
  </si>
  <si>
    <t>DHCFT Library</t>
  </si>
  <si>
    <t>Derby</t>
  </si>
  <si>
    <t>The Library and Knowledge Service provides information including books, journals, databases, literature searching, knowledge, support and training.</t>
  </si>
  <si>
    <t>Rothwell Hub</t>
  </si>
  <si>
    <t>Bringing council and partner services to the heart of the community</t>
  </si>
  <si>
    <t>CWALRC</t>
  </si>
  <si>
    <t>King's Lynn Wisbech Cambridge</t>
  </si>
  <si>
    <t>News, ideas and support from the Learning Resources Centres at the College of West Anglia</t>
  </si>
  <si>
    <t>IA Library</t>
  </si>
  <si>
    <t>Inverclyde Academy Library</t>
  </si>
  <si>
    <t>St Albans Library</t>
  </si>
  <si>
    <t>St Albans, Hertfordshire</t>
  </si>
  <si>
    <t>Follow all the goings-on at St Albans Central Library, Hertfordshire. Find out about our events, latest titles and what's here for you!</t>
  </si>
  <si>
    <t>SDC Learning Centre</t>
  </si>
  <si>
    <t>Lewes &amp; Eastbourne</t>
  </si>
  <si>
    <t>Tweets from the @Sussexdowns Learning Centres. We look forward to seeing you soon.</t>
  </si>
  <si>
    <t>Van Mildert Library</t>
  </si>
  <si>
    <t>Tweets from Van Mildert College Library, Durham University.  Follow us for library updates, news and events.</t>
  </si>
  <si>
    <t>ThurstonLibrary</t>
  </si>
  <si>
    <t>Thurston, Suffolk, UK</t>
  </si>
  <si>
    <t>This is the working group to ensure that the village of Thurston retains its library for the benefit of all the community.</t>
  </si>
  <si>
    <t>Miss Christine</t>
  </si>
  <si>
    <t>Keep up-to-date with what is happening in The Mary Erskine School Library. Events, books, authors and competitions</t>
  </si>
  <si>
    <t>Godolphin Library</t>
  </si>
  <si>
    <t>Salisbury, England</t>
  </si>
  <si>
    <t>Pudsey Community Hub</t>
  </si>
  <si>
    <t>Church Lane, Leeds, England</t>
  </si>
  <si>
    <t>Bringing Pudsey One Stop &amp; library together in the heart of the community</t>
  </si>
  <si>
    <t>Laxton Library</t>
  </si>
  <si>
    <t>Peterborough City Hospital</t>
  </si>
  <si>
    <t>The Laxton Library - supporting NHS staff working around the Peterborough area with patient care and continuing professional development.</t>
  </si>
  <si>
    <t>NHS Library</t>
  </si>
  <si>
    <t>Nottingham High School Library Media Center</t>
  </si>
  <si>
    <t>BraidhurstHSLibrary</t>
  </si>
  <si>
    <t>Motherwell, Scotland</t>
  </si>
  <si>
    <t>Welcome to the official twitter page for the Braidhurst HS Library.  Updated by Librarian: Mrs Scott.  Currently reading 'Voyager' by Diana Gabaldon.</t>
  </si>
  <si>
    <t>Croydon UK</t>
  </si>
  <si>
    <t>Life as it is in an Independent school library in South London</t>
  </si>
  <si>
    <t>karan kaur</t>
  </si>
  <si>
    <t>Cockshut Hill School Library and learning pad.                     
Expanding minds one book at a time.</t>
  </si>
  <si>
    <t>Anstey Library</t>
  </si>
  <si>
    <t>Anstey, England</t>
  </si>
  <si>
    <t>Mon 2-5, Tue 10 - 1, Thu 10-5, Fri 2-5, Sat 10-1 : Volunteer-run since 3/10/2016</t>
  </si>
  <si>
    <t>STHK NHS Library</t>
  </si>
  <si>
    <t>North West, England</t>
  </si>
  <si>
    <t>A dynamic and responsive library and knowledge service to support commissioning and clinical decision-making in the NHS, based at Whiston Hospital.</t>
  </si>
  <si>
    <t>RBH Trust Library</t>
  </si>
  <si>
    <t>We provide a service to staff of the Royal Berkshire NHS FT and South Central Ambulance Service NHS FT. For other enquiries or advice see http://t.co/1pgKWf4mzT</t>
  </si>
  <si>
    <t>Percival Library</t>
  </si>
  <si>
    <t>Clifton College, Bristol</t>
  </si>
  <si>
    <t>Clifton College's Upper School Library in Bristol. Info: @percivallibrary 
Catalogue: https://t.co/lF89VoSF3K</t>
  </si>
  <si>
    <t>CLV Libraries</t>
  </si>
  <si>
    <t>This is the official Cramlington LV  Libraries Twitter.  Follow us for book news and reviews, author info and top tips and tools to boost your learning.</t>
  </si>
  <si>
    <t>Alton Library</t>
  </si>
  <si>
    <t>Alton, England</t>
  </si>
  <si>
    <t>The official account for Alton Library, in Alton, Hampshire. We have books, magazines, as well as free Wi-Fi and internet access and much much more!</t>
  </si>
  <si>
    <t>EoE NHS Libraries</t>
  </si>
  <si>
    <t>Updates from NHS libraries in the East of England</t>
  </si>
  <si>
    <t>Measham Library</t>
  </si>
  <si>
    <t>Measham, England</t>
  </si>
  <si>
    <t>Community-Managed Library run by fantastic team of volunteers in Measham, Leicestershire. Registered Charity No 1167493.</t>
  </si>
  <si>
    <t>Devizes School LRC</t>
  </si>
  <si>
    <t>Devizes School</t>
  </si>
  <si>
    <t>A Learning Resource Centre at the heart of the school. Keep Reading!</t>
  </si>
  <si>
    <t>SaffronWaldenTownLib</t>
  </si>
  <si>
    <t xml:space="preserve">2 King St, Saffron Walden </t>
  </si>
  <si>
    <t>Follow Saffron Walden Town Library on Twitter to keep up to date with the latest news in your library!</t>
  </si>
  <si>
    <t>Byfleet Library CP</t>
  </si>
  <si>
    <t>Byfleet Library, High Rd, Byfleet, Surrey KT14 7QN</t>
  </si>
  <si>
    <t>Byfleet Library Community Partnership Opening times: Mon Closed Tues 10am - 4pm Wed 6pm - 8pm Thurs 3pm - 5pm Fri 10am - 4pm Sat 10am - 4pm Sun 2pm - 4pm</t>
  </si>
  <si>
    <t>Woodrow Library</t>
  </si>
  <si>
    <t>NLAG Library Service</t>
  </si>
  <si>
    <t>We provide Library &amp; Knowledge services to NHS staff and students in North Lincolnshire, North East Lincolnshire &amp; Goole. Libraries in both DPOW &amp; SGH hospitals</t>
  </si>
  <si>
    <t>Budleigh Library</t>
  </si>
  <si>
    <t>upton_library</t>
  </si>
  <si>
    <t>Waggon Lane, Upton</t>
  </si>
  <si>
    <t>A community run library serving local families &amp; groups. Newly-formed refreshment area, free wi-fi &amp; a great range of books &amp; DVDs for loan.</t>
  </si>
  <si>
    <t>WoodlandsLib</t>
  </si>
  <si>
    <t>Doncaster, England</t>
  </si>
  <si>
    <t>Woodlands Community Library and Hub</t>
  </si>
  <si>
    <t>HYMS Library</t>
  </si>
  <si>
    <t>Peebles HS LRC</t>
  </si>
  <si>
    <t>LlandodLibrary</t>
  </si>
  <si>
    <t>Welcome to the official twitter account for Llandrindod Wells Library+</t>
  </si>
  <si>
    <t>Bucksburn Library</t>
  </si>
  <si>
    <t>COMET Library</t>
  </si>
  <si>
    <t>Luton and Dunstable Hospital</t>
  </si>
  <si>
    <t>STW LRC</t>
  </si>
  <si>
    <t>Kibworth Com Library</t>
  </si>
  <si>
    <t>Bridgewater Library</t>
  </si>
  <si>
    <t>We are the Library and Knowledge Service at Bridgewater Community Healthcare NHS FT Trust. Follow us for library info and health related retweets.</t>
  </si>
  <si>
    <t>Overton Library</t>
  </si>
  <si>
    <t>Chryston High Lib</t>
  </si>
  <si>
    <t>Welcome Chryston High School's Library Twitter.</t>
  </si>
  <si>
    <t>UoN MHS Libraries</t>
  </si>
  <si>
    <t>University of Nottingham</t>
  </si>
  <si>
    <t>News and information from the Medicine and Health Sciences library team at the University of Nottingham.</t>
  </si>
  <si>
    <t>Habs Girls Library</t>
  </si>
  <si>
    <t>Elstree, Hertfordshire, UK</t>
  </si>
  <si>
    <t>Haberdashers' Aske's School for Girls</t>
  </si>
  <si>
    <t>Mrs Sergeant</t>
  </si>
  <si>
    <t>Falkirk High School</t>
  </si>
  <si>
    <t>BCH Staff Library</t>
  </si>
  <si>
    <t>Birmingham Children's Hospital NHS Foundation Trust</t>
  </si>
  <si>
    <t>TSCAcademy Library</t>
  </si>
  <si>
    <t>Mansfield, Notts</t>
  </si>
  <si>
    <t>For news and reviews, links and ideas and all things reading, writing &amp; information.  
Tweets by Miss Wain.</t>
  </si>
  <si>
    <t>Tameside HFT Library</t>
  </si>
  <si>
    <t>Tameside</t>
  </si>
  <si>
    <t>Knowledge and Library Services for all staff at Tameside Hospital. Providing the best evidence for the best patient care.  Account monitored Mon-Fri, 9am-5pm.</t>
  </si>
  <si>
    <t>Cornwall Health Lib</t>
  </si>
  <si>
    <t>Truro, England</t>
  </si>
  <si>
    <t>NHS library service for staff and students across Cornwall</t>
  </si>
  <si>
    <t>SCGSG Library</t>
  </si>
  <si>
    <t>The Sutton Coldfield Grammar School for Girls library Twitter page! Bringing you all the latest news from the literary world! #lovereading #lovelibraries</t>
  </si>
  <si>
    <t>RMS Library</t>
  </si>
  <si>
    <t>Library at the Red Maids' School.</t>
  </si>
  <si>
    <t>LCB Library</t>
  </si>
  <si>
    <t>Welcome to the Twitter page for Leeds College of Building's library service. @LCB_Building
Access the library catalogue here:
https://t.co/YcFYZQSb4h</t>
  </si>
  <si>
    <t>Redbourn Library</t>
  </si>
  <si>
    <t>Lamb Lane, Redbourn</t>
  </si>
  <si>
    <t>We are a Community Partnered Llibrary working in partnership with Hertfordshire County Council</t>
  </si>
  <si>
    <t>King's Hall Library</t>
  </si>
  <si>
    <t>Taunton, England</t>
  </si>
  <si>
    <t>At King's Hall we love reading! This is where you will find out about all of our exciting library-related activities.</t>
  </si>
  <si>
    <t>Rutland Libraries</t>
  </si>
  <si>
    <t>Rutland, UK</t>
  </si>
  <si>
    <t>Rutland Libraries provide books, ebooks, eaudio, eComics, DVDs, music, internet access and more. 
Facebook: /rutlandlibraries</t>
  </si>
  <si>
    <t>Okehampton Library</t>
  </si>
  <si>
    <t>Okehampton, England</t>
  </si>
  <si>
    <t>Feed of Okehampton Library - follow us to find out about our events and what is happening.</t>
  </si>
  <si>
    <t>Harrow SLS</t>
  </si>
  <si>
    <t>Harrow School Library Service 
providing books and events to promote literacy and a love of reading across Harrow and beyond.</t>
  </si>
  <si>
    <t>St Edward's School</t>
  </si>
  <si>
    <t>St Edward's School, Senior School Library, Cheltenham</t>
  </si>
  <si>
    <t>LERC, PGMC</t>
  </si>
  <si>
    <t>County Hospital, Stafford</t>
  </si>
  <si>
    <t>The Library (LERC) at the PGMC is located at County Hospital, 
and is here to support staff at UHNM with providing the best patient care.</t>
  </si>
  <si>
    <t>Moor Allerton CH</t>
  </si>
  <si>
    <t>Leeds City Council.
Moor Allerton Community Hub   
Moor Allerton Centre 
Leeds  LS17 5NY</t>
  </si>
  <si>
    <t>TottonCollegeLRC</t>
  </si>
  <si>
    <t>Southampton</t>
  </si>
  <si>
    <t>Keep up to date with all the news and events in Totton College Library</t>
  </si>
  <si>
    <t>minchlibrary</t>
  </si>
  <si>
    <t>Minchinhampton, Stroud, Glos.</t>
  </si>
  <si>
    <t>Minchinhampton Community Library, set up by local people to serve the information and learning needs of the Minchinhampton Parish and surrounding areas.</t>
  </si>
  <si>
    <t>discoverylib</t>
  </si>
  <si>
    <t>Derriford Hospital Plymouth UK</t>
  </si>
  <si>
    <t>NHS library service for staff &amp; students across Plymouth &amp; lead library for SWASFT</t>
  </si>
  <si>
    <t>Bream Library</t>
  </si>
  <si>
    <t>Bream, England</t>
  </si>
  <si>
    <t>Bream Community Library is a registered charity run by volunteers. We are supported by a grant from Gloucestershire CC under the Big Community Offer.</t>
  </si>
  <si>
    <t>Penicuik HS Library</t>
  </si>
  <si>
    <t>Penicuik, Scotland</t>
  </si>
  <si>
    <t>News and Book Reviews from Penicuik High School Library</t>
  </si>
  <si>
    <t>Central Loop Library</t>
  </si>
  <si>
    <t>Blackpool, Lancashire, England</t>
  </si>
  <si>
    <t>News, updates and general musings from the University Centre Library and Learning Resources Centre at Blackpool and le Fylde College, Ofsted Outstanding.</t>
  </si>
  <si>
    <t>Watlington Library</t>
  </si>
  <si>
    <t>Watlington library, a pretty 16th Century building, in one of England’s smallest market towns in Oxfordshire’s Chiltern Hills, has been modernised and extended.</t>
  </si>
  <si>
    <t>James Paget Library</t>
  </si>
  <si>
    <t>Great Yarmouth, England</t>
  </si>
  <si>
    <t>Sir James Paget Library provides Library &amp; information services to staff, community staff and students on placement at the JPUH Trust.</t>
  </si>
  <si>
    <t>Kinver Library</t>
  </si>
  <si>
    <t>Community hub in the heart of Kinver Village, with books and activities galore. Tweets by @WayBeyondWords_</t>
  </si>
  <si>
    <t>Whitburn Library</t>
  </si>
  <si>
    <t>Whitburn, West Lothian</t>
  </si>
  <si>
    <t>Maynard Library</t>
  </si>
  <si>
    <t>The official Twitter account for The Maynard School Library. The school is an independent day school for girls aged 4-18 in Exeter.</t>
  </si>
  <si>
    <t>REDCAR LIBRARY</t>
  </si>
  <si>
    <t>La Mare LRC</t>
  </si>
  <si>
    <t>Bailiwick of Guernsey</t>
  </si>
  <si>
    <t>Follow the different ways in which you can extend your learning and love of reading beyond the classroom.</t>
  </si>
  <si>
    <t>Noblesville High School</t>
  </si>
  <si>
    <t>Growing self-sufficient leaders, thinkers, and entrepreneurs; NHS Hub: Innovations, Makerspace, Mac Lab, Books: print/eBook</t>
  </si>
  <si>
    <t>EdNapLib4Health</t>
  </si>
  <si>
    <t>Follow @EdNapLib4Health for library happenings in the School of Health and Social Care &amp; the wider world of health. We can answer tweets during office hours.</t>
  </si>
  <si>
    <t>ChurchillAcademy LRC</t>
  </si>
  <si>
    <t>Tweets from the LRC at Churchill Academy, North Somerset @ChurchillAcad https://t.co/dEg6AEqS8m</t>
  </si>
  <si>
    <t>BACA Library</t>
  </si>
  <si>
    <t>Tweeting to keep you up to date on what's happening in your library. Post a photo or tweet us what book you're reading and use #MyBookFromBACA to win vivos!!!</t>
  </si>
  <si>
    <t>York NHS Library</t>
  </si>
  <si>
    <t>The Library Service offers a fully integrated physical and virtual knowledge base. This account is monitored within staffed hours (9am - 5pm, Monday - Friday)</t>
  </si>
  <si>
    <t>Stainforth 4 ALL</t>
  </si>
  <si>
    <t>Stainforth, South Yorkshire</t>
  </si>
  <si>
    <t>A Registered Charity based in S Yorks. We provide: free CVs/Jobclub, a community library service, free internet access, charity shop and free tutoring for kids.</t>
  </si>
  <si>
    <t>NHCT LibraryServices</t>
  </si>
  <si>
    <t>Twitter account for Northumbria Healthcare Library Services https://t.co/6h1vUgRuEt</t>
  </si>
  <si>
    <t>Bampton LARCS</t>
  </si>
  <si>
    <t>Friends &amp; supporters of Bampton Library &amp; Resources Centre in Devon</t>
  </si>
  <si>
    <t>Cadcol LRC</t>
  </si>
  <si>
    <t>Cadbury College Learning Resource Centre. 
Check us out on:
Facebook: https://t.co/ORxZueodmg
Scoop.it: https://t.co/3xOymsb9Qg</t>
  </si>
  <si>
    <t>Hall Green Library</t>
  </si>
  <si>
    <t>Ricards Library</t>
  </si>
  <si>
    <t>The more that you read, the more things you will know. The more that you learn, the more places you'll go (Dr. Seuss)</t>
  </si>
  <si>
    <t>Gordonstoun Library</t>
  </si>
  <si>
    <t>Duffus, Scotland</t>
  </si>
  <si>
    <t>The Official Twitter of the Gordonstoun Library situated in the historic Round Square</t>
  </si>
  <si>
    <t>Summertown Library</t>
  </si>
  <si>
    <t>Our library in Summertown, part of exciting Oxford City, has a lovely garden to relax in.</t>
  </si>
  <si>
    <t>School Librarian</t>
  </si>
  <si>
    <t>Welcome to the Library at the High School for Girls, Gloucester.</t>
  </si>
  <si>
    <t>West Prep Library</t>
  </si>
  <si>
    <t>Las Vegas, NV</t>
  </si>
  <si>
    <t>News from the Library Media Center at Preparatory Institute School for Academic Excellence at Charles I. West Hall. This profile is managed by @cassiemerritt00</t>
  </si>
  <si>
    <t>School Library</t>
  </si>
  <si>
    <t>Richmond, Surrey</t>
  </si>
  <si>
    <t>Christ's School Library</t>
  </si>
  <si>
    <t>Battersea</t>
  </si>
  <si>
    <t>Librarian at St John Bosco College, Battersea, London.</t>
  </si>
  <si>
    <t>TurtonLibrary</t>
  </si>
  <si>
    <t>Bolton, England</t>
  </si>
  <si>
    <t>At the heart of Turton School for 11-18 year olds in Bolton. Passionate about brilliant books for pupils and staff. Determined about independent learning skills</t>
  </si>
  <si>
    <t>Ashford LRC</t>
  </si>
  <si>
    <t>Ashford, England</t>
  </si>
  <si>
    <t>The Learning Resource Centre department at @AshfordSchool, a British day &amp; boarding school, teaching over 1,000 children aged from 3 months - 18 years.</t>
  </si>
  <si>
    <t>Lornshill Library</t>
  </si>
  <si>
    <t>Alloa, Scotland</t>
  </si>
  <si>
    <t>YOUR school library keeping you up to date with all things book related.</t>
  </si>
  <si>
    <t>Community Library based in The Gill Nethercott Centre, Whitchurch, Hampshire.</t>
  </si>
  <si>
    <t>SNHS Library</t>
  </si>
  <si>
    <t>Kirkintilloch, Scotland</t>
  </si>
  <si>
    <t>Library at St Ninian's High School in Kirkintilloch - follow us for news on our events &amp; competitions, and updates on books, reading, writing and research!</t>
  </si>
  <si>
    <t>Taylor High</t>
  </si>
  <si>
    <t>School Library Resource Centre Manager. This space is run by two qualified librarians.</t>
  </si>
  <si>
    <t>EllisGuilfordLRC</t>
  </si>
  <si>
    <t>Twitter account for the Learning Resource Centre at Ellis Guilford School</t>
  </si>
  <si>
    <t>Addey &amp; Stanhope LRC</t>
  </si>
  <si>
    <t>Glemsford Library</t>
  </si>
  <si>
    <t>Glemsford, England</t>
  </si>
  <si>
    <t>Fareham Library</t>
  </si>
  <si>
    <t>Fareham, England</t>
  </si>
  <si>
    <t>Get more out of libraries. Fareham Library has free Wi-Fi and accessible computers. We run courses, events, rhymetime and clubs for adults &amp; children.</t>
  </si>
  <si>
    <t>SFHT Library</t>
  </si>
  <si>
    <t>Sutton in Ashfield, England</t>
  </si>
  <si>
    <t>Sherwood Forest Hospitals FT Library &amp; Knowledge Service. A multidisciplinary library and knowledge service for NHS staff and students on placement.</t>
  </si>
  <si>
    <t>Stenhouse Library</t>
  </si>
  <si>
    <t>Kingston upon Thames, London</t>
  </si>
  <si>
    <t>Stenhouse Library provides library  services to  Kingston Hospital staff, students attached to the Hospital and NHS  staff in the local health care community.</t>
  </si>
  <si>
    <t>Ferriman Library</t>
  </si>
  <si>
    <t>N18 1QX</t>
  </si>
  <si>
    <t>NHS Medical Library</t>
  </si>
  <si>
    <t>Shebbear Library</t>
  </si>
  <si>
    <t>Shebbear College Library</t>
  </si>
  <si>
    <t>Hadleigh Library</t>
  </si>
  <si>
    <t>Springburn Academy Library</t>
  </si>
  <si>
    <t>Sprotbrough Library</t>
  </si>
  <si>
    <t>Volunteer-run Community library in Doncaster</t>
  </si>
  <si>
    <t>KfHLearningZone</t>
  </si>
  <si>
    <t>This is the Twitter account for the Knowledge for Healthcare Learning Zone https://t.co/Uyxd6P1J1A</t>
  </si>
  <si>
    <t>WrittleUCLibrary</t>
  </si>
  <si>
    <t>Writtle, UK</t>
  </si>
  <si>
    <t>Supporting learning, teaching and research at Writtle University College.</t>
  </si>
  <si>
    <t>Aldeburgh Library</t>
  </si>
  <si>
    <t>Aldeburgh Suffolk UK</t>
  </si>
  <si>
    <t>Aldeburgh Library Foundation is a charitable company set up to support Aldeburgh Library</t>
  </si>
  <si>
    <t>Brackley Library</t>
  </si>
  <si>
    <t>Brackley, England</t>
  </si>
  <si>
    <t>Northamptonshire County Council library based in Brackley. Everyone welcome, events on regularly!</t>
  </si>
  <si>
    <t>ArbroathHS Library</t>
  </si>
  <si>
    <t>Arbroath, Scotland</t>
  </si>
  <si>
    <t>Official Twitter feed for Arbroath High School Library</t>
  </si>
  <si>
    <t>Alby @WattonLibrary</t>
  </si>
  <si>
    <t>Watton, Norfolk, England</t>
  </si>
  <si>
    <t>Hello. My name's Alby and I'm the travelling librarian bear for Watton Library in Norfolk, UK.</t>
  </si>
  <si>
    <t>NHSEastDorsetLibrary</t>
  </si>
  <si>
    <t>Dorset</t>
  </si>
  <si>
    <t>Providing an NHS Library and Knowledge Service across Dorset for staff at @Poole_Hospital @RBCH_NHS @DorsetHealth &amp; @DorsetCCG</t>
  </si>
  <si>
    <t>Health Services Lib</t>
  </si>
  <si>
    <t>Located at Southampton General Hospital, HSL serves the University of Southampton, University Hospital Southampton NHS Foundation Trust, and Solent NHS Trust</t>
  </si>
  <si>
    <t>Annette Cobb</t>
  </si>
  <si>
    <t>Barnet Secondary School Librarian</t>
  </si>
  <si>
    <t>Chilton Trinity LRC</t>
  </si>
  <si>
    <t>AFBI Library</t>
  </si>
  <si>
    <t>Supporting the AFBI community's research output by providing access to high quality information.</t>
  </si>
  <si>
    <t>Wing Library</t>
  </si>
  <si>
    <t>RRS Library</t>
  </si>
  <si>
    <t>Croydon, London</t>
  </si>
  <si>
    <t>Royal Russell School Library -  we aim to provide a challenging and supportive environment to develop a lively enquiring mind and a lifelong love of reading.</t>
  </si>
  <si>
    <t>Aubrey Keep Library</t>
  </si>
  <si>
    <t>Goodmayes Hospital, Ilford</t>
  </si>
  <si>
    <t>We are the healthcare library for everyone in NELFT and subscribing organisations. Account staffed Mon-Fri 9-5pm.</t>
  </si>
  <si>
    <t>Windsor Girls' LRC</t>
  </si>
  <si>
    <t>Windsor, South East</t>
  </si>
  <si>
    <t>Newman VI Library</t>
  </si>
  <si>
    <t>Hove, England</t>
  </si>
  <si>
    <t>All the latest news from the Sixth Form Library at Newman College.</t>
  </si>
  <si>
    <t>Bramley Library</t>
  </si>
  <si>
    <t>Bramley, Surrey, UK</t>
  </si>
  <si>
    <t>A sunny building in a great village location with free (2-hrs) parking. Run by amazing volunteers. Open Tue 10-5, Thurs 2-5, Fri 10-5, Sat 10-4.</t>
  </si>
  <si>
    <t>ISLS</t>
  </si>
  <si>
    <t>University of Westminster</t>
  </si>
  <si>
    <t>University of Westminster Information Systems &amp; Library Services (ISLS) Interested in Libraries, IT Help, IT Training, and more? You're in the right place!</t>
  </si>
  <si>
    <t>LFATSF LRC</t>
  </si>
  <si>
    <t>The Learning Resource Centre at Landau Forte Academy Tamworth Sixth Form
lrc@lfatsf.org.uk</t>
  </si>
  <si>
    <t>Broomhill Library AG</t>
  </si>
  <si>
    <t>Broomhill Library Action Group | Keeping our libraries open</t>
  </si>
  <si>
    <t>Walbottle Campus LRC</t>
  </si>
  <si>
    <t>Small and almost perfectly formed LRC promoting reading and learning at Walbottle Campus.</t>
  </si>
  <si>
    <t>UniNorthants IS</t>
  </si>
  <si>
    <t>Nothampton, UK</t>
  </si>
  <si>
    <t>Updates from University of Northampton Information Services</t>
  </si>
  <si>
    <t>waltonlibrary</t>
  </si>
  <si>
    <t>Walton, Wakefield,West Yorks</t>
  </si>
  <si>
    <t>Eco Com Sydenham</t>
  </si>
  <si>
    <t>Computer Recycling at Sydenham library in partnership with Eco Communities 
02087781753</t>
  </si>
  <si>
    <t>Hall Park Library</t>
  </si>
  <si>
    <t>We are Hall Park School Library - made up fantastic students and our librarian Miss Whitehead.   We love to read, talk and quiz!</t>
  </si>
  <si>
    <t>Gipsyville Library</t>
  </si>
  <si>
    <t>Hessle Road, Hull</t>
  </si>
  <si>
    <t>The Gipsyville Library is situated in the Gipsyville Multipurpose Centre and the library service is delivered through a Service Level Agreement with PANDA</t>
  </si>
  <si>
    <t>BHSLibrary</t>
  </si>
  <si>
    <t>Twitter for the Bannerman High Library. Come read with us!</t>
  </si>
  <si>
    <t>Mrs Higgins</t>
  </si>
  <si>
    <t>School Librarian for The Grange Runcorn</t>
  </si>
  <si>
    <t>SAA Library</t>
  </si>
  <si>
    <t>Maidstone, South East</t>
  </si>
  <si>
    <t>St Augustine Academy Library is open before mentor time, break, lunch and after school. 
I'm the White Rabbit but who are the Queen of Hearts and Mad Hatter?</t>
  </si>
  <si>
    <t>Tenbury Library</t>
  </si>
  <si>
    <t>Tenbury Wells, Worcestershire</t>
  </si>
  <si>
    <t>Lingfield Library</t>
  </si>
  <si>
    <t>Surrey</t>
  </si>
  <si>
    <t>Official account for Lingfield Library. There's more to your library than just books! Get the latest information, events &amp; releases from your library.</t>
  </si>
  <si>
    <t>FGS Library</t>
  </si>
  <si>
    <t>Books, reading, T&amp;L, comps, and more! Keep up to date with everything going on in our library at @flixtonGS. 
Part of the #AcceleratedReader programme.</t>
  </si>
  <si>
    <t>Stoneleigh Library</t>
  </si>
  <si>
    <t>Bedale Community Lib</t>
  </si>
  <si>
    <t>Bedale, England</t>
  </si>
  <si>
    <t>Keeping a library open in Bedale. Bedale Community Library has been run by volunteers since April 2017.</t>
  </si>
  <si>
    <t>New Haw Library CP</t>
  </si>
  <si>
    <t>New Haw, Surrey, England</t>
  </si>
  <si>
    <t>New Haw Library Community Partnership was set up to provide a volunteer staffing resource for the Library.</t>
  </si>
  <si>
    <t>Kentish Town, London</t>
  </si>
  <si>
    <t>Welcome to the twitter account of the Collège Français Bilingue de Londres primary library</t>
  </si>
  <si>
    <t>WeoleyCastleLibrary</t>
  </si>
  <si>
    <t>We are a Community Library serving the needs of Weoley Castle and the surrounding area. Please visit our website to see more!</t>
  </si>
  <si>
    <t>BraesHighSchLibrary</t>
  </si>
  <si>
    <t>WebstersHigh Lib</t>
  </si>
  <si>
    <t>Kirriemuir, Scotland</t>
  </si>
  <si>
    <t>Keep up-to-date with what's going on in Webster's High Library.</t>
  </si>
  <si>
    <t>Northam Library</t>
  </si>
  <si>
    <t>Northam Library in beautiful North Devon. Follow for information, updates and events. RTs not always endorsement.</t>
  </si>
  <si>
    <t>Stourport Library</t>
  </si>
  <si>
    <t>Stourport</t>
  </si>
  <si>
    <t>Princetown Library</t>
  </si>
  <si>
    <t>Princetown</t>
  </si>
  <si>
    <t>Your local library set in the heart of the beautiful Dartmoor National Park</t>
  </si>
  <si>
    <t>HB Library</t>
  </si>
  <si>
    <t>Hinchingbrooke Hospital</t>
  </si>
  <si>
    <t>Hinchingbrooke Healthcare Library - providing NHS library and knowledge services across Cambridgeshire</t>
  </si>
  <si>
    <t>CHS Library</t>
  </si>
  <si>
    <t>Coatbridge, Scotland</t>
  </si>
  <si>
    <t>'...encouraging independent thought, learning and opinion'</t>
  </si>
  <si>
    <t>CPFT Library</t>
  </si>
  <si>
    <t>CPFT Libraries are the library services of Cambridgeshire and Peterborough NHS Foundation Trust.</t>
  </si>
  <si>
    <t>StJamesBoysLibrary</t>
  </si>
  <si>
    <t>Senior Boys' School in Ashford, Surrey</t>
  </si>
  <si>
    <t>CalderheadLRC</t>
  </si>
  <si>
    <t>Shotts, North Lanarkshire</t>
  </si>
  <si>
    <t>Calderhead High School, Library Resource Centre</t>
  </si>
  <si>
    <t>Shaftesbury Library</t>
  </si>
  <si>
    <t>Welcome to the Shaftesbury Library official Twitter Feed.</t>
  </si>
  <si>
    <t>AWP Library Services</t>
  </si>
  <si>
    <t>Library and Knowledge Service for Avon and Wiltshire Mental Health Partnership NHS Trust. Supporting evidence-based practice and information needs of our staff.</t>
  </si>
  <si>
    <t>MenzieshillHS_LRC</t>
  </si>
  <si>
    <t>Menzieshill High School Learning Resource Centre</t>
  </si>
  <si>
    <t>V4GCL</t>
  </si>
  <si>
    <t>Hughes Hall library</t>
  </si>
  <si>
    <t>Capel Library</t>
  </si>
  <si>
    <t>Capel Saint Mary, England</t>
  </si>
  <si>
    <t>Community based library.</t>
  </si>
  <si>
    <t>Bawtry Library</t>
  </si>
  <si>
    <t>Bawtry, Doncaster</t>
  </si>
  <si>
    <t>Bawtry Community Library LTD</t>
  </si>
  <si>
    <t>LibertonLibrary</t>
  </si>
  <si>
    <t>This is the official twitter page of Liberton High School's Library.</t>
  </si>
  <si>
    <t>Bolton SFC LRC</t>
  </si>
  <si>
    <t>Bolton, Greater Manchester, UK</t>
  </si>
  <si>
    <t>Making learning and technology accessible for all at Bolton Sixth Form College</t>
  </si>
  <si>
    <t>Ciren Coll Library</t>
  </si>
  <si>
    <t>Cirencester, UK</t>
  </si>
  <si>
    <t>Sixth Form College Library</t>
  </si>
  <si>
    <t>BCCS</t>
  </si>
  <si>
    <t>Bristol Cathedral School  library loves reading.</t>
  </si>
  <si>
    <t>Woolmer Hill Library</t>
  </si>
  <si>
    <t>Our library is here to inspire a lifelong love of reading and learning and to promote a reading culture throughout the school.</t>
  </si>
  <si>
    <t>Palmer's Library</t>
  </si>
  <si>
    <t>Grays, East</t>
  </si>
  <si>
    <t>Welcome to the Palmer's College Library Resource Centre page. Providing updates on library resources, news &amp; events; course materials, study tips, &amp; more.</t>
  </si>
  <si>
    <t>BHS Libraries</t>
  </si>
  <si>
    <t>Tweets from the libraries at Blackheath High School.
@BlackheathHigh</t>
  </si>
  <si>
    <t>GolcarLibrary</t>
  </si>
  <si>
    <t>Golcar, Huddersfield</t>
  </si>
  <si>
    <t>LIBRARY OPENING TIMES: 
Mon 14:00-19:30 Tue 10:00-12.30 Wed 14:00-19:30 Thur 10:00-12.30 Fri 10:00-12.30 &amp; 14:00-17:00 Sat 10:00-12.30 #FoGL #GolcarLilly</t>
  </si>
  <si>
    <t>UCL LaSS Library</t>
  </si>
  <si>
    <t>Updates from UCL Language &amp; Speech Science Library team. We'd love to hear from you!</t>
  </si>
  <si>
    <t>Info Library Service</t>
  </si>
  <si>
    <t>Knowledge and Library Service @ WHH</t>
  </si>
  <si>
    <t>CHS_The Library</t>
  </si>
  <si>
    <t>Clydebank, Scotland</t>
  </si>
  <si>
    <t>St AmbroseLibrary</t>
  </si>
  <si>
    <t>GBHS Library</t>
  </si>
  <si>
    <t xml:space="preserve">Chelmsford, Essex </t>
  </si>
  <si>
    <t>LRC_STRS</t>
  </si>
  <si>
    <t>Gloucester, England</t>
  </si>
  <si>
    <t>Welcome to the Learning Resource Centre at Sir Thomas Rich's School, Longlevens, Gloucester.</t>
  </si>
  <si>
    <t>Learning Resources</t>
  </si>
  <si>
    <t>The place to go for everything you need to know @ Tower Hamlets College.</t>
  </si>
  <si>
    <t>Lib@StromnessAcademy</t>
  </si>
  <si>
    <t>School library at Stromness Academy on the Orkney Islands.
https://t.co/LMcU7PFQ05</t>
  </si>
  <si>
    <t>SG_Library</t>
  </si>
  <si>
    <t>We are the library at Sherborne Girls, run by Librarian Miss Noble and Assistant Librarian Mrs Bersey.</t>
  </si>
  <si>
    <t>S. Barron</t>
  </si>
  <si>
    <t>El Paso, TX</t>
  </si>
  <si>
    <t>Welcome to the Fannin Elementary School Library! Come on in and enjoy a book! 
Hours: M-F 7:45-3:45 
Mrs. Barron - Librarian</t>
  </si>
  <si>
    <t>Harris Library</t>
  </si>
  <si>
    <t>Wantz Library</t>
  </si>
  <si>
    <t>Rainham Rd North, Dagenham</t>
  </si>
  <si>
    <t>Debs, Sharon and Julia - lovely people, wonderful library professionals.</t>
  </si>
  <si>
    <t>Welcome to Milford Haven School Library</t>
  </si>
  <si>
    <t>Library@Gryffe</t>
  </si>
  <si>
    <t>Books Arts Lifestyle and Culture News What's On</t>
  </si>
  <si>
    <t>Music</t>
  </si>
  <si>
    <t>Music Collections at Cambridge University Library (Cambridge, UK). -- 28/8/2012 : this acount is now dormant; please follow us at https://t.co/t8R9tFlTFF</t>
  </si>
  <si>
    <t>Frankley Library</t>
  </si>
  <si>
    <t>Frankley, Birmingham</t>
  </si>
  <si>
    <t>Community Library in Frankley providing safe and social environment for people of all ages. https://t.co/3bqUc3nOu3</t>
  </si>
  <si>
    <t>Tadcaster Library</t>
  </si>
  <si>
    <t>Station Road, Tadcaster</t>
  </si>
  <si>
    <t>Tadcaster Community Library is a charity set up to run Tadcaster Library from April 2017. We are looking for volunteers. Call if you would like to join us.</t>
  </si>
  <si>
    <t>Kensal Rise Library</t>
  </si>
  <si>
    <t>GAlibrary</t>
  </si>
  <si>
    <t>Gloucester</t>
  </si>
  <si>
    <t>Gloucester Academy library- a great place to read, learn and grow 📚🤓📚</t>
  </si>
  <si>
    <t>Librarybwood</t>
  </si>
  <si>
    <t>Bishop's Stortford, East</t>
  </si>
  <si>
    <t>Twittering from Birchwood High School Library.</t>
  </si>
  <si>
    <t>nddhlibrary</t>
  </si>
  <si>
    <t>North Devon District Hospital Healthcare Library bringing you updates and information on your area of expertise.</t>
  </si>
  <si>
    <t>@esthLISEducation</t>
  </si>
  <si>
    <t>Carshalton, Surrey</t>
  </si>
  <si>
    <t>@epsom_sthelier Library (LIS) and Education Department. Providing #education &amp; #EvidenceBased #reliable #information to #clinical &amp; #nonclinical #staff.</t>
  </si>
  <si>
    <t>Robert Jeyes Library</t>
  </si>
  <si>
    <t>High Road, Chadwell Heath</t>
  </si>
  <si>
    <t>Enjoy books, music and more with friendly librarians. Winners of the local 2009 Library Award.</t>
  </si>
  <si>
    <t>Balby Library</t>
  </si>
  <si>
    <t>Our mission is to support and assist  Doncaster residents into permanent work, whatever it takes :)</t>
  </si>
  <si>
    <t>HarlawAcademyLRC</t>
  </si>
  <si>
    <t>Ackworth Library</t>
  </si>
  <si>
    <t>Brent Libraries</t>
  </si>
  <si>
    <t>We have moved to @BrentCulture</t>
  </si>
  <si>
    <t>Hayes School Library</t>
  </si>
  <si>
    <t>Hayes School</t>
  </si>
  <si>
    <t>the place to go for mind blowing adventures</t>
  </si>
  <si>
    <t>Rothley Library</t>
  </si>
  <si>
    <t>LCCResourceCentres</t>
  </si>
  <si>
    <t>The Resource Centres at Technology Campus and South Leeds Site at Leeds City College</t>
  </si>
  <si>
    <t>Rush Green Library</t>
  </si>
  <si>
    <t>Rush Green</t>
  </si>
  <si>
    <t>Friendly local community library in Dagenham Essex who like to tweet . Come join us</t>
  </si>
  <si>
    <t>SWFTLibrary</t>
  </si>
  <si>
    <t>Warwick</t>
  </si>
  <si>
    <t>We are a health library provided for the staff &amp; students on placement at South Warwickshire Hospital NHS Trust.</t>
  </si>
  <si>
    <t>HWS Librarian</t>
  </si>
  <si>
    <t>Ottery Library</t>
  </si>
  <si>
    <t>Ottery Saint Mary, England</t>
  </si>
  <si>
    <t>Ottery Library is a wonderful place to be and offers you A LOT MORE than just books!</t>
  </si>
  <si>
    <t>WalsallCollegeLRC</t>
  </si>
  <si>
    <t>Learning Resource Centre at Walsall College</t>
  </si>
  <si>
    <t>Goldsmiths NightLib</t>
  </si>
  <si>
    <t>New Cross, London</t>
  </si>
  <si>
    <t>Professionally staff library service for Goldsmiths University of London, open 24/7. Sharing knowledge with other 24/7 library services and academic night owls.</t>
  </si>
  <si>
    <t>Garrett Library</t>
  </si>
  <si>
    <t>Bradfield</t>
  </si>
  <si>
    <t>Bradfield College's central learning and research hub.</t>
  </si>
  <si>
    <t>Pipers Library</t>
  </si>
  <si>
    <t>Great Kingshill</t>
  </si>
  <si>
    <t>The official account of the @PipersCornerSch Learning Resource Centre</t>
  </si>
  <si>
    <t>wcclibraries</t>
  </si>
  <si>
    <t>Warwickshire, United Kingdom</t>
  </si>
  <si>
    <t>The latest news from Warwickshire Library &amp; Information Service</t>
  </si>
  <si>
    <t>conisbrough library</t>
  </si>
  <si>
    <t>KSSC Library</t>
  </si>
  <si>
    <t>The Library at KSSC will be tweeting, recommendations, reviews and news from the library.</t>
  </si>
  <si>
    <t>TopshamLibraryDevon</t>
  </si>
  <si>
    <t>Official page for Topsham Library, Devon. RTs and Follows don't imply endorsement.</t>
  </si>
  <si>
    <t>Kingswood Library</t>
  </si>
  <si>
    <t>Bath</t>
  </si>
  <si>
    <t>Kingswood School Library</t>
  </si>
  <si>
    <t>THA_Library</t>
  </si>
  <si>
    <t>The Hereford Academy Library</t>
  </si>
  <si>
    <t>BaldragonAcadLibrary</t>
  </si>
  <si>
    <t>Fulneck Library</t>
  </si>
  <si>
    <t>Pudsey</t>
  </si>
  <si>
    <t>Boroughmuir Library</t>
  </si>
  <si>
    <t>Armthorpe Library</t>
  </si>
  <si>
    <t>Armthorpe</t>
  </si>
  <si>
    <t>KLSBartsHealth</t>
  </si>
  <si>
    <t>We provide library services to NHS staff across Barts Health</t>
  </si>
  <si>
    <t>Liverpool Athenaeum</t>
  </si>
  <si>
    <t>BentleyAreaLibrary</t>
  </si>
  <si>
    <t>Bentley, Doncaster</t>
  </si>
  <si>
    <t>Opening times: Mon 9-1, Thur 9-1, Fri 1-5, Sat 9-12</t>
  </si>
  <si>
    <t>WHHT Libraries</t>
  </si>
  <si>
    <t>SAE UK Library</t>
  </si>
  <si>
    <t>SAE Institute UK Library service provides a hub of physical and digital resources, as well as literacy training, made to meet all user needs.</t>
  </si>
  <si>
    <t>Sheldon Library</t>
  </si>
  <si>
    <t xml:space="preserve">Brays road Sheldon Birmingham </t>
  </si>
  <si>
    <t>Local Community Library with an active Friends of Sheldon Library Community Group</t>
  </si>
  <si>
    <t>EdMedLibraries</t>
  </si>
  <si>
    <t>SASH Libraries</t>
  </si>
  <si>
    <t>BGS_Library</t>
  </si>
  <si>
    <t>Library news from Bedford Girls' School Library and LRC</t>
  </si>
  <si>
    <t>Moorends Library</t>
  </si>
  <si>
    <t>LWC Library</t>
  </si>
  <si>
    <t>Silcoates Library</t>
  </si>
  <si>
    <t>Wakefield, England</t>
  </si>
  <si>
    <t>Fair Oak Library</t>
  </si>
  <si>
    <t>Rugeley, Staffordshire, UK</t>
  </si>
  <si>
    <t>FarlingayeLibrary</t>
  </si>
  <si>
    <t>Woodbridge, England</t>
  </si>
  <si>
    <t>We are the school library at Farlingaye High School</t>
  </si>
  <si>
    <t>Newham Libraries</t>
  </si>
  <si>
    <t>London Borough of Newham</t>
  </si>
  <si>
    <t>Newham library service</t>
  </si>
  <si>
    <t>Stretford Hibrary</t>
  </si>
  <si>
    <t>Energetic Library of Stretford High School. Enthusiastic about all things literary and creative. 
Ask for a book recommendation!
Instagram: @StretfordHLib</t>
  </si>
  <si>
    <t>Chestnuts Library</t>
  </si>
  <si>
    <t>Tottenham, London</t>
  </si>
  <si>
    <t>Tweets about books, authors and reading from Chestnuts Primary School Library. Lucky to have @KarenMcCombie as our Pet Author. Tweets by Mrs E.</t>
  </si>
  <si>
    <t>JR Library</t>
  </si>
  <si>
    <t>📚All the latest news from the John Roan Libraries. 📚</t>
  </si>
  <si>
    <t>DuAcademy Library</t>
  </si>
  <si>
    <t>Dumbarton, Scotland</t>
  </si>
  <si>
    <t>Your school library: books to support class studies, recreational reading, book groups, author events, competitions, crafts and much more!</t>
  </si>
  <si>
    <t>Vale Academy Library</t>
  </si>
  <si>
    <t>Alexandria, Scotland</t>
  </si>
  <si>
    <t>Your school library: books to support class studies, recreational reading, book groups, author events, Chromebook lending, competitions, crafts and much more!</t>
  </si>
  <si>
    <t>OLSP Library</t>
  </si>
  <si>
    <t>CAHS Library</t>
  </si>
  <si>
    <t>library@longsutton</t>
  </si>
  <si>
    <t>Village Primary School Library. We love books and reading!</t>
  </si>
  <si>
    <t>The Learning Lounge</t>
  </si>
  <si>
    <t>An innovative learning area of connected and flexible working spaces with a dynamic range of technology to support and inspire students and staff.</t>
  </si>
  <si>
    <t>Leyton6thLib</t>
  </si>
  <si>
    <t>Library Page for Leyton 6th Form Library. Find updates and news here.</t>
  </si>
  <si>
    <t>THA Library</t>
  </si>
  <si>
    <t>Hastings, England</t>
  </si>
  <si>
    <t>The Hastings Academy's library.</t>
  </si>
  <si>
    <t>Carr Hill Library</t>
  </si>
  <si>
    <t>Eltham Hill Library</t>
  </si>
  <si>
    <t>Eltham, London</t>
  </si>
  <si>
    <t>Tweets from @elthamhill's Library</t>
  </si>
  <si>
    <t>TH Learning Lounge</t>
  </si>
  <si>
    <t>Official Twitter feed for the Learning Lounge at Toot Hill School in Bingham. Bringing books to life one day at a time. Contact us via our email if needed.</t>
  </si>
  <si>
    <t>The Sutton Coldfield Grammar School for Girls library Twitter page! #lovereading #lovelibraries</t>
  </si>
  <si>
    <t>A Secondary School Library in South East London #addeysreads</t>
  </si>
  <si>
    <t>The LRC for City College Coventry. Follow us for the latest news and events at the LRC!</t>
  </si>
  <si>
    <t>CA Library Resource Centre's news, links, events and reviews and lots of amazing retweets.</t>
  </si>
  <si>
    <t>NorthfieldStNicholas</t>
  </si>
  <si>
    <t>NR32 4HN</t>
  </si>
  <si>
    <t>A primary academy in Lowestoft, Suffolk. Part of the REAch2 Academy Trust. 
Working Together to Achieve Excellence for All.</t>
  </si>
  <si>
    <t>LC Libraries</t>
  </si>
  <si>
    <t>Leicester, England</t>
  </si>
  <si>
    <t>While @LeicesterColl you'll get to know our librarians &amp; Library team. There's a Leicester College library at each campus: Freemen's, Abbey Park, St. Margaret's</t>
  </si>
  <si>
    <t>NSC Library</t>
  </si>
  <si>
    <t>Oswestry, England</t>
  </si>
  <si>
    <t>Providing resources and support for students and staff  on all campuses @ns_college
Access our Moodle Library/LRC resources at https://t.co/wkGmOrtnvn</t>
  </si>
  <si>
    <t>Welcome to the official twitter page for the Braidhurst HS Library.  Updated by Librarian: Mrs Scott.  Currently reading 'The Fiery Cross' by Diana Gabaldon.</t>
  </si>
  <si>
    <t>Cardinal NewmanBooks</t>
  </si>
  <si>
    <t>Our library is in a central position in the school it provides a light and spacious place to work and read. We are open most days from from 8 until 5.</t>
  </si>
  <si>
    <t>The LRC.We help you connect to all you need to study. Find the LRC page on eStudy for the Insight portal, Koha library catalogue, journals, news and more.⭐️</t>
  </si>
  <si>
    <t>The GeekChic Library</t>
  </si>
  <si>
    <t>Oldham, England</t>
  </si>
  <si>
    <t>Hello! Welcome to the official twitter page for the Hathershaw College Library. Visit to stay up-to-date on the latest library news, events, study tips &amp; more!</t>
  </si>
  <si>
    <t>Tweets from Piggott School Library, primary and secondary school from Reception to VI form</t>
  </si>
  <si>
    <t>BoltonSchoolLibrary</t>
  </si>
  <si>
    <t>WGSB Library</t>
  </si>
  <si>
    <t>I'm back to my natural home. Enrichment was fun but now to sort out prizes for year7 Readathon participants.</t>
  </si>
  <si>
    <t>Librarian in a comprehensive school in Yorkshire, new to schools but not to libraries. All views my own.</t>
  </si>
  <si>
    <t>Crossley Heath LRC</t>
  </si>
  <si>
    <t>Official account of the Crossley Heath Learning Resource Centre. Here to help in any way we can and to encourage everyone to read, breathe and grow.</t>
  </si>
  <si>
    <t>Barnet Secondary School Librarian and Book Reviewer</t>
  </si>
  <si>
    <t>DerbyCollegeLibrary</t>
  </si>
  <si>
    <t>Derby College Library - Find out what's happening with your library service at College.</t>
  </si>
  <si>
    <t>Dudley College Library: books, e-books, DVDs, CDs, computers, friendly staff. We're here to help!</t>
  </si>
  <si>
    <t>Lincoln College Lib</t>
  </si>
  <si>
    <t>Lincoln College, UK</t>
  </si>
  <si>
    <t>Useful information, resources updates and support from the Library staff at Lincoln, Newark and Gainsborough.</t>
  </si>
  <si>
    <t>BDA Library</t>
  </si>
  <si>
    <t xml:space="preserve">London W12 </t>
  </si>
  <si>
    <t>News from the Burlington Danes Academy Library!</t>
  </si>
  <si>
    <t>South Sefton LRC</t>
  </si>
  <si>
    <t>News, reviews and updates about resources and events in the Learning Resource Centre at South Sefton College.
https://t.co/gTIhe8BMi4
https://t.co/iXVucQJLIB</t>
  </si>
  <si>
    <t>NorthlandCollegeLSCs</t>
  </si>
  <si>
    <t>The Library at @RyeStAntony, an independent day &amp; boarding school for girls aged 3 - 18, and boys aged from 3 - 11.</t>
  </si>
  <si>
    <t>Tweets by Mrs McG from the LRC at Churchill Academy, North Somerset @ChurchillAcad https://t.co/dEg6AEqS8m</t>
  </si>
  <si>
    <t xml:space="preserve">Ashford College </t>
  </si>
  <si>
    <t>The Twitter page for Ashford LRC</t>
  </si>
  <si>
    <t>West Kent College Tonbridge</t>
  </si>
  <si>
    <t>The Twitter page for Tonbridge Learning Resource Centre - West Kent College</t>
  </si>
  <si>
    <t>Dover LRC</t>
  </si>
  <si>
    <t>K College Dover</t>
  </si>
  <si>
    <t>The Twitter page for Dover Learning and Resource Centre - K College</t>
  </si>
  <si>
    <t>Folkestone LRC</t>
  </si>
  <si>
    <t>FE College Folkestone</t>
  </si>
  <si>
    <t>The Twitter page for Folkestone campus - Learning Resource Centre</t>
  </si>
  <si>
    <t>The Learning Resource Centre at City Academy Norwich</t>
  </si>
  <si>
    <t>Redmaids' High Lib</t>
  </si>
  <si>
    <t>The Pearson Library at Redmaids' High School, Bristol</t>
  </si>
  <si>
    <t>Hampton High</t>
  </si>
  <si>
    <t>Hampton, Middlesex, UK</t>
  </si>
  <si>
    <t>Hampton High is a thriving co-educational school for pupils aged 11-18 in the London Borough of Richmond-Upon-Thames.</t>
  </si>
  <si>
    <t>Ipswich, Suffolk</t>
  </si>
  <si>
    <t>Inspiring reading and promoting resources at One College</t>
  </si>
  <si>
    <t>Walsall College</t>
  </si>
  <si>
    <t>Walsall, England</t>
  </si>
  <si>
    <t>Outstanding provider of further education in the West Midlands, developing the skills of young people, adults and businesses. Call 01922 657000.</t>
  </si>
  <si>
    <t>ASFC Library</t>
  </si>
  <si>
    <t>Ashton-under-Lyne, England</t>
  </si>
  <si>
    <t>News and updates from the Library at Ashton Sixth Form College. Monitored during Library opening times only. 
learningcentre@asfc.ac.uk 
0161 330 2330</t>
  </si>
  <si>
    <t>SC Learning Centres</t>
  </si>
  <si>
    <t>Helping You to Learn on Your Own</t>
  </si>
  <si>
    <t>The Wohl Library of the Institute of Historical Research. Follow for updates about the library, new acquisitions and events.Tweets this week by Michael Townsend</t>
  </si>
  <si>
    <t>The Devon &amp; Exeter Institution - a Georgian library inside a medieval building. Open to new members of all ages. Tweets by Caitlin (15) this week.</t>
  </si>
  <si>
    <t>We help solicitors and their staff. Follow to find out how we help, to get hints and tips for sourcing material, and to see some gems of our collection.</t>
  </si>
  <si>
    <t>CUBG Cory Library</t>
  </si>
  <si>
    <t>Tweeting news and interesting things from the Cory Library, the home of the Cambridge University Botanic Garden's printed and archival collections.</t>
  </si>
  <si>
    <t>Caius Library</t>
  </si>
  <si>
    <t>The library of @CaiusCollege, Cambridge. An outstanding modern student library and a historic library of manuscript and early printed books.</t>
  </si>
  <si>
    <t>Sara Wilkinson</t>
  </si>
  <si>
    <t>The Oxford Language Centre Library is one of the richest of its kind in the UK with 200 languages on offer!</t>
  </si>
  <si>
    <t>Oxf/Cam</t>
  </si>
  <si>
    <t>Council &amp; partner services including One Stop Centre, Library, Jobshop, Credit Union. Open 8.30am to 4pm Mon &amp; Tues, 8.30am - 3pm Wed, 8.30am - 5pm Thurs &amp; Fri.</t>
  </si>
  <si>
    <t>Clare Library</t>
  </si>
  <si>
    <t>London Libraries: connecting people &amp; ideas. Find us on Facebook @LibrariesLondon &amp; Instagram londonlibraries</t>
  </si>
  <si>
    <t>Visit our libraries in Sunderland Museum and Winter Gardens, Houghton Le Spring and Washington. Culture, Digital, Information, Learning, Reading</t>
  </si>
  <si>
    <t>Hackney, London</t>
  </si>
  <si>
    <t>Broomhill library</t>
  </si>
  <si>
    <t>Friends of Kess Lib</t>
  </si>
  <si>
    <t>Kessingland</t>
  </si>
  <si>
    <t>Official Twitter account for the Friends of the Library in Kessingland, situated at Marram Green, Hall Road, Kessingland.</t>
  </si>
  <si>
    <t>Hillingdon</t>
  </si>
  <si>
    <t>Roade Library</t>
  </si>
  <si>
    <t>Roade, Northampton</t>
  </si>
  <si>
    <t>Hosted by FORL (Friends Of Roade Library)
A community library, serving Roade and surrounding villages. Find us on Facebook at Roade Library. Happy Reading! :)</t>
  </si>
  <si>
    <t>Twitter is not monitored 24/7. Public Library in Northern Ireland -open M 10:00-20:00, T 9:30-17:30, W 9:30-17:30, T 10.00-18:00, F 9:30-17:00, S 9:30-16:00.</t>
  </si>
  <si>
    <t xml:space="preserve">UK </t>
  </si>
  <si>
    <t>IW Library Service</t>
  </si>
  <si>
    <t>Isle of Wight, UK</t>
  </si>
  <si>
    <t>News and information about libraries, books and reading on the Isle of Wight.</t>
  </si>
  <si>
    <t>Use it. Love it. Join it. Follow it. Libraries are something to shout about so spread the word. 
Wales, UK · https://t.co/PGBWskz161</t>
  </si>
  <si>
    <t>Explore Digital York</t>
  </si>
  <si>
    <t>Explore York Libraries &amp; Archives Digital Inclusion team - helping to spread the word about all things digital in the city of York.</t>
  </si>
  <si>
    <t>Staffordshire</t>
  </si>
  <si>
    <t>Sutton Coldfield, West Mids</t>
  </si>
  <si>
    <t>Sutton Coldfield Library - 0121 464 2274  sutton.coldfield.library@birmingham.gov.uk https://t.co/OLcFCqXktV…</t>
  </si>
  <si>
    <t>Eye Library</t>
  </si>
  <si>
    <t>IP23 7AZ, Eye, Suffolk UK</t>
  </si>
  <si>
    <t>(Twitter is not monitored 24/7). Please contact Library during opening hours. Mon, Tues, Wed &amp; Fri: 09:00 - 17:30, Thur: 09:00 - 20:00, Sat: 10:00 - 16:30</t>
  </si>
  <si>
    <t>Herefordshire</t>
  </si>
  <si>
    <t>whitli bloomfield</t>
  </si>
  <si>
    <t>News &amp; information, events, activities &amp; lots more from North Tyneside Libraries &amp; Community Centres. Come and join us!</t>
  </si>
  <si>
    <t>Hertfordshire, England</t>
  </si>
  <si>
    <t>North Yorkshire</t>
  </si>
  <si>
    <t>Sandown Library</t>
  </si>
  <si>
    <t>Isle of Wight</t>
  </si>
  <si>
    <t>Friends of Sandown Library bringing you the latest news, views and book reviews from Sandown Library!</t>
  </si>
  <si>
    <t>Wolves Libraries</t>
  </si>
  <si>
    <t>Wolverhampton, England</t>
  </si>
  <si>
    <t>Wolverhampton Library Service - Modern, Vibrant &amp; Sustainable</t>
  </si>
  <si>
    <t>A registered charity based in S Yorks. We provide: free CVs/Jobclub, a community library service, free internet access, charity shop and free tutoring for kids.</t>
  </si>
  <si>
    <t>North Lanarkshire</t>
  </si>
  <si>
    <t>Library news</t>
  </si>
  <si>
    <t>Derby UK</t>
  </si>
  <si>
    <t>EVERYTHING BEGINS WITH READING. We are a public library service provided by Derby City Council for the people of Derby.</t>
  </si>
  <si>
    <t>47 libraries across Norfolk UK</t>
  </si>
  <si>
    <t>Quality, free, fun public and school library services for Shetland. 
01595 743868
shetlandlibrary@shetland.gov.uk</t>
  </si>
  <si>
    <t>Cheshire East</t>
  </si>
  <si>
    <t>Here to help everyone get more out of life *Digital *Health *Learning *Information *Culture *Reading We aim to respond within 24 hours</t>
  </si>
  <si>
    <t>A library, gallery, events venue, free Wi-Fi provider and café on Jewry St. Winchester SO23 8SB. Call 01962 873603 for events!</t>
  </si>
  <si>
    <t>Buckinghamshire</t>
  </si>
  <si>
    <t>Warwickshire</t>
  </si>
  <si>
    <t xml:space="preserve">Somerset </t>
  </si>
  <si>
    <t xml:space="preserve"> Libraries in Surrey, UK</t>
  </si>
  <si>
    <t>Fylde Libraries</t>
  </si>
  <si>
    <t>Lancashire</t>
  </si>
  <si>
    <t>This account is now closed. Please follow @lancspublib for all the latest news from #Fyldelibraries</t>
  </si>
  <si>
    <t>Delivering reading, learning, information, culture and free
digital access across Lancashire. Books, events, free PCs &amp; Wi-Fi and a fantastic digital library.</t>
  </si>
  <si>
    <t>Harris Museum, Art Gallery &amp; Library run by @prestoncouncil @LancashireCC News on collections, exhibitions &amp; events. Free #BrickDinos #HarrisMaker #Preston</t>
  </si>
  <si>
    <t>❤ Dorset Libraries</t>
  </si>
  <si>
    <t>YorkU Libraries</t>
  </si>
  <si>
    <t>Toronto, ON</t>
  </si>
  <si>
    <t>York University Libraries is the library system of York University, with four main libraries and one archive.
http://t.co/l0GN2RKpGI</t>
  </si>
  <si>
    <t>Lanark, Scotland</t>
  </si>
  <si>
    <t>Walter Scott Library, University of Lanarkshire</t>
  </si>
  <si>
    <t>Supporting students, staff and the community at the University of Worcester in The Hive and beyond
https://t.co/dty1L66PIk 
https://t.co/jlf8hfv941</t>
  </si>
  <si>
    <t>UCL HJS Library</t>
  </si>
  <si>
    <t>Tweets about the Hebrew and Jewish Studies collection in UCL Libraries, including news and info about print and electronic resources, useful websites, etc.</t>
  </si>
  <si>
    <t>Aldrich Library supports learning, teaching and research at the  University of Brighton Moulsecoomb Campus. https://t.co/A7hZGCgNSO</t>
  </si>
  <si>
    <t>LCA Library</t>
  </si>
  <si>
    <t>We run Clifford Whitworth Library, MediaCity Library &amp; campus study spaces. 📸IG: salfordunilibrary. ⌚️Online 9-5 Mon-Fri. 📞 0161 295 5535</t>
  </si>
  <si>
    <t>Sharing news, collections, events and support for learning &amp; research at Northumbria University Library #nulibrary</t>
  </si>
  <si>
    <t>Home library for Maths, Modern Languages, and Continuing and Professional Education. One of 14 Cardiff Uni libraries. Open to all, we'd love to see you :)</t>
  </si>
  <si>
    <t>Official account of the Arts &amp; Social Studies and Law Library at Cardiff University. We support six Schools and other interesting people! Tweeting Mon-Fri 9 - 5</t>
  </si>
  <si>
    <t>CU Music Library</t>
  </si>
  <si>
    <t>....~~The Music Library at Aberdare Hall, Cardiff University~~....     Serving the research needs of the Cardiff School of Music &amp; the music community at large</t>
  </si>
  <si>
    <t>Cardiff University library for Journalism Media &amp; Culture, Geography &amp; Planning, Social Sciences and Pharmacy. Tweets mostly Rob, others encouraged. No cats.</t>
  </si>
  <si>
    <t>Biomedical Library</t>
  </si>
  <si>
    <t>The Biomedical Sciences Library, Cardiff University is located in the Sir Martin Evans Building (1st floor) and provides services to the School of Biosciences.</t>
  </si>
  <si>
    <t>Surrey Uni Library</t>
  </si>
  <si>
    <t>University of Surrey Library &amp; Learning Centre.
Follow us for the latest news and information on Library Services</t>
  </si>
  <si>
    <t>Hackney Library</t>
  </si>
  <si>
    <t>Wilson, NC</t>
  </si>
  <si>
    <t>Willis N. Hackney Library at Barton College supports the academic curriculum and assists in the development of skills for lifelong use of learning resources.</t>
  </si>
  <si>
    <t>Special Collections @UniofBradford. Amazing archives &amp; books on Priestley, Yorkshire, archaeology, peace plus. Tweets by @speccollbrad &amp; @jamesarchivist</t>
  </si>
  <si>
    <t>Square Library</t>
  </si>
  <si>
    <t>Brunswick Square, London</t>
  </si>
  <si>
    <t>Welcome to our library devoted to supporting the teaching, learning and research taking place at UCL School of Pharmacy.</t>
  </si>
  <si>
    <t>https://t.co/HLQVqmBnGz.</t>
  </si>
  <si>
    <t>Library at Middlesex University. Twitter normally staffed 9am-5pm Mon-Fri.</t>
  </si>
  <si>
    <t>We are the central library of the University of London and hosts of the Reformation exhibition 26/06/17 - 15/12/2017</t>
  </si>
  <si>
    <t>Henley ARC</t>
  </si>
  <si>
    <t>Henley-On-Thames/Reading UK</t>
  </si>
  <si>
    <t>Academic Resource Centre (ARC) at Henley Business School, Greenlands and Whiteknights campuses.</t>
  </si>
  <si>
    <t>Teesside University is dynamic, energetic and innovative. We're growing and inspiring others to do the same. We're here Monday - Friday 8am - 6pm BST</t>
  </si>
  <si>
    <t>Updates from the Universities at Medway Drill Hall Library #drillhalllibrary #YourLibrary</t>
  </si>
  <si>
    <t>We provide NHS library support to @ULHT_news, @LPFTNHS + @LincsCommHealth staff. Follow @ULHread4leisure for new fiction + non-fiction updates for ULHT staff.</t>
  </si>
  <si>
    <t>BWC Library</t>
  </si>
  <si>
    <t>Birmingham Women's and Children's NHS Foundation Trust - Library and Knowledge Services</t>
  </si>
  <si>
    <t>Laxton library at @NWAngliaFT supporting NHS staff working around the Peterborough area with patient care and continuing professional development.</t>
  </si>
  <si>
    <t>Library and Knowledge Services for SSSFT - library and mental health news, articles and publications.  Tweet us with any questions or suggestions</t>
  </si>
  <si>
    <t>Fallowfield and Prestwich</t>
  </si>
  <si>
    <t>Based at Musgrove Park Hospital, we support employees and students across Taunton &amp; Somerset NHS Foundation Trust and Somerset Partnership NHS Foundation Trust.</t>
  </si>
  <si>
    <t>Providing #medical &amp; #healthcare education &amp; reliable  information for #NHS &amp; #Allied staff @MidYorkshireNHS &amp; #students on placement @MidYorks_PLF</t>
  </si>
  <si>
    <t>Providing library services for the Faculty of Medicine, Dentistry and Health at the Unviersity of Sheffield.</t>
  </si>
  <si>
    <t>NELFT</t>
  </si>
  <si>
    <t>n.e. London and Essex</t>
  </si>
  <si>
    <t>NELFT NHS Foundation Trust provides community and #mentalhealth services. Account staffed Mon-Fri 9-5pm. 
Instagram: https://t.co/SLScp8xb2C</t>
  </si>
  <si>
    <t>Canterbury | Ashford | Margate</t>
  </si>
  <si>
    <t>Promoting safe, compassionate, effective care &amp; supporting education professional development &amp; research @NHSHomerton &amp; @ELFT #iamalibrarian #library #learning</t>
  </si>
  <si>
    <t>Brian Cooke Library</t>
  </si>
  <si>
    <t>Library supporting the School of Dentistry, Cardiff University</t>
  </si>
  <si>
    <t>Twitter Handle</t>
  </si>
  <si>
    <t>Description</t>
  </si>
  <si>
    <t>Last Tweet Date</t>
  </si>
  <si>
    <t>PUB</t>
  </si>
  <si>
    <t>Whole Account</t>
  </si>
  <si>
    <t>Duplicate Account?</t>
  </si>
  <si>
    <t>Accounts Removed</t>
  </si>
  <si>
    <t>Additional Location</t>
  </si>
  <si>
    <t>Altered the description</t>
  </si>
  <si>
    <t>Altered the Named Person</t>
  </si>
  <si>
    <t>Creation Time</t>
  </si>
  <si>
    <t>Last Tweet Time</t>
  </si>
  <si>
    <t>Outdoors</t>
  </si>
  <si>
    <t xml:space="preserve">Islamabad </t>
  </si>
  <si>
    <t>Horsham, England</t>
  </si>
  <si>
    <t>\u611b\u77e5\u770c</t>
  </si>
  <si>
    <t>Uhh...library?</t>
  </si>
  <si>
    <t>Cannons Creek, Porirua City</t>
  </si>
  <si>
    <t>Rio Claro-SP</t>
  </si>
  <si>
    <t>Westport, CT</t>
  </si>
  <si>
    <t>UCL Institute of Education</t>
  </si>
  <si>
    <t>Dublin, Ireland</t>
  </si>
  <si>
    <t>Leicester UK</t>
  </si>
  <si>
    <t>Kirkwall, Scotland</t>
  </si>
  <si>
    <t>Boulder, CO</t>
  </si>
  <si>
    <t>Kilbirnie, Scotland</t>
  </si>
  <si>
    <t>Half Moon Bay, CA</t>
  </si>
  <si>
    <t>Knole\u2665</t>
  </si>
  <si>
    <t xml:space="preserve">University of Stirling </t>
  </si>
  <si>
    <t>Nampara</t>
  </si>
  <si>
    <t>Tay Riviera/Dundee</t>
  </si>
  <si>
    <t>Connecticut, USA</t>
  </si>
  <si>
    <t>Manhattan, NY</t>
  </si>
  <si>
    <t>Poole</t>
  </si>
  <si>
    <t>Perth, Scotland</t>
  </si>
  <si>
    <t>BC's lovely Lower Mainland</t>
  </si>
  <si>
    <t>Los Angeles</t>
  </si>
  <si>
    <t>Denton, TX</t>
  </si>
  <si>
    <t>Bangkok, Thailand</t>
  </si>
  <si>
    <t>Toronto</t>
  </si>
  <si>
    <t>Melbourne</t>
  </si>
  <si>
    <t>Hampshire &amp; Manchester</t>
  </si>
  <si>
    <t>Milton Keynes</t>
  </si>
  <si>
    <t>Forrester High School</t>
  </si>
  <si>
    <t>Putney, London</t>
  </si>
  <si>
    <t>The amazing year 400 billion!</t>
  </si>
  <si>
    <t>Washington, DC</t>
  </si>
  <si>
    <t xml:space="preserve"> Newcastle Upon Tyne</t>
  </si>
  <si>
    <t>North East, England</t>
  </si>
  <si>
    <t>Poland</t>
  </si>
  <si>
    <t>Gin Lane</t>
  </si>
  <si>
    <t>Far far away</t>
  </si>
  <si>
    <t>Internet</t>
  </si>
  <si>
    <t>georgetown,ky</t>
  </si>
  <si>
    <t>.</t>
  </si>
  <si>
    <t>McFarland, WI</t>
  </si>
  <si>
    <t>Barra, Outer Hebrides, Scotland</t>
  </si>
  <si>
    <t>\xaf\\_(\u30c4)_/\xaf</t>
  </si>
  <si>
    <t>United States</t>
  </si>
  <si>
    <t>Houston, TX</t>
  </si>
  <si>
    <t>Ottawa, Ontario, Canada</t>
  </si>
  <si>
    <t>North Highlands</t>
  </si>
  <si>
    <t>Clerkenwell</t>
  </si>
  <si>
    <t>Christchurch, New Zealand</t>
  </si>
  <si>
    <t>Oxford (the one in Europe)</t>
  </si>
  <si>
    <t>San Diego, CA</t>
  </si>
  <si>
    <t>Milngavie, East Dunbartonshire</t>
  </si>
  <si>
    <t xml:space="preserve">\u041c\u043e\u0441\u043a\u0432\u0430 </t>
  </si>
  <si>
    <t>Maharashtra, India</t>
  </si>
  <si>
    <t>Finstown, Scotland</t>
  </si>
  <si>
    <t>Long Beach, CA</t>
  </si>
  <si>
    <t xml:space="preserve">Ireland </t>
  </si>
  <si>
    <t>CRASSH University of Cambridge</t>
  </si>
  <si>
    <t>Manchesterford</t>
  </si>
  <si>
    <t>Liverpool &amp; Manchester</t>
  </si>
  <si>
    <t>Stubbins, England</t>
  </si>
  <si>
    <t>St Helens and Reigate</t>
  </si>
  <si>
    <t>Auckland, New Zealand</t>
  </si>
  <si>
    <t>Sydney, Australia</t>
  </si>
  <si>
    <t>Balham, London</t>
  </si>
  <si>
    <t>Belgium</t>
  </si>
  <si>
    <t>Harrow, London</t>
  </si>
  <si>
    <t>Perth</t>
  </si>
  <si>
    <t>Dun Laoghaire-Rathdown</t>
  </si>
  <si>
    <t>Mumbai, India</t>
  </si>
  <si>
    <t>Cannock, England</t>
  </si>
  <si>
    <t>Edinburgh, Falkirk, Scotland</t>
  </si>
  <si>
    <t>Scotland wide</t>
  </si>
  <si>
    <t>Panama</t>
  </si>
  <si>
    <t>Minnesota, USA</t>
  </si>
  <si>
    <t>St. Paul, MN</t>
  </si>
  <si>
    <t>South Carolina, USA</t>
  </si>
  <si>
    <t>LaGrange, OH</t>
  </si>
  <si>
    <t>University of Illinois Library</t>
  </si>
  <si>
    <t>TropicHull, England</t>
  </si>
  <si>
    <t>Greenwich, CT</t>
  </si>
  <si>
    <t>San Antonio, Texas</t>
  </si>
  <si>
    <t>Ar mo rothar.</t>
  </si>
  <si>
    <t>Southwest Harbor, ME</t>
  </si>
  <si>
    <t>Guildford, England</t>
  </si>
  <si>
    <t>Thailand</t>
  </si>
  <si>
    <t>Utrecht, Nederland</t>
  </si>
  <si>
    <t>The LOU</t>
  </si>
  <si>
    <t>Cork, Ireland</t>
  </si>
  <si>
    <t>South Dakota</t>
  </si>
  <si>
    <t>Miami,Fl</t>
  </si>
  <si>
    <t>Watford, Hertfordshire</t>
  </si>
  <si>
    <t>Glasgow U.K.</t>
  </si>
  <si>
    <t>Utopia (look it up)</t>
  </si>
  <si>
    <t xml:space="preserve">New Mills </t>
  </si>
  <si>
    <t>Silicon Valley California USA</t>
  </si>
  <si>
    <t>Wirral</t>
  </si>
  <si>
    <t>10 Helliar</t>
  </si>
  <si>
    <t>King's Lynn</t>
  </si>
  <si>
    <t>Maryland, USA</t>
  </si>
  <si>
    <t>Texas, USA</t>
  </si>
  <si>
    <t>Little Neston</t>
  </si>
  <si>
    <t>Huntington Station, NY   11746</t>
  </si>
  <si>
    <t>Ushuaia, Argentina</t>
  </si>
  <si>
    <t>Nationwide</t>
  </si>
  <si>
    <t>Leeds, West Yorkshire, UK</t>
  </si>
  <si>
    <t>Glen Mole</t>
  </si>
  <si>
    <t>newfou</t>
  </si>
  <si>
    <t>Dunedin, FL</t>
  </si>
  <si>
    <t>Chicago, IL</t>
  </si>
  <si>
    <t>West midlands</t>
  </si>
  <si>
    <t>Nuneaton, England</t>
  </si>
  <si>
    <t>Vancouver, Canada</t>
  </si>
  <si>
    <t>Dublin &amp; everywhere</t>
  </si>
  <si>
    <t>Norristown, PA</t>
  </si>
  <si>
    <t>Scotland + Elsewhere</t>
  </si>
  <si>
    <t>UK Instagram country_vintage</t>
  </si>
  <si>
    <t>North Carolina, USA</t>
  </si>
  <si>
    <t>Portland, OR</t>
  </si>
  <si>
    <t>Hawaii</t>
  </si>
  <si>
    <t>Ellenbrook, Western Australia</t>
  </si>
  <si>
    <t>Stirling, Scotland</t>
  </si>
  <si>
    <t>26.9798\xb0 N, 84.8516\xb0 E</t>
  </si>
  <si>
    <t>All over the UK and beyond!</t>
  </si>
  <si>
    <t>coe hill, ontario</t>
  </si>
  <si>
    <t>here 'n there in the Land Downunder</t>
  </si>
  <si>
    <t>Rhode Island, USA</t>
  </si>
  <si>
    <t>Toronto via Blairgowrie</t>
  </si>
  <si>
    <t>Sam's Town</t>
  </si>
  <si>
    <t>#blacklivesmatter</t>
  </si>
  <si>
    <t>Oshawa</t>
  </si>
  <si>
    <t>Highfields, Queensland</t>
  </si>
  <si>
    <t>Edinburgh // Shetland</t>
  </si>
  <si>
    <t>32 Mansfield Street, Glasgow</t>
  </si>
  <si>
    <t>Louisiana,USA</t>
  </si>
  <si>
    <t>North Lincolnshire, UK</t>
  </si>
  <si>
    <t>Swansea</t>
  </si>
  <si>
    <t>Struan, Isle of Skye</t>
  </si>
  <si>
    <t>\u4e2d\u534e\u4eba\u6c11\u5171\u548c\u56fd</t>
  </si>
  <si>
    <t>Florida</t>
  </si>
  <si>
    <t>Ottawa</t>
  </si>
  <si>
    <t>Crozet, VA</t>
  </si>
  <si>
    <t>Halifax, England</t>
  </si>
  <si>
    <t>3-5 Duke Street, Glasgow</t>
  </si>
  <si>
    <t>East Midlands</t>
  </si>
  <si>
    <t>Sherwood Forest</t>
  </si>
  <si>
    <t>kg2862</t>
  </si>
  <si>
    <t>West Norwood, London, UK</t>
  </si>
  <si>
    <t>Shetland Islands, UK</t>
  </si>
  <si>
    <t>39 miles from Hyde Park Corner</t>
  </si>
  <si>
    <t>*PROUD@JAMAICAN*</t>
  </si>
  <si>
    <t>Arizona</t>
  </si>
  <si>
    <t>Super N11, North London</t>
  </si>
  <si>
    <t>Tucson, AZ</t>
  </si>
  <si>
    <t>King Township, ON</t>
  </si>
  <si>
    <t>The Wee County, Scotland.</t>
  </si>
  <si>
    <t>Countesthorpe Leicestershire</t>
  </si>
  <si>
    <t>Southwest Washington State</t>
  </si>
  <si>
    <t>Leiden, Nederland</t>
  </si>
  <si>
    <t>Nederland</t>
  </si>
  <si>
    <t>Broxbourne, Hertfordshire</t>
  </si>
  <si>
    <t>Ancient Caithness</t>
  </si>
  <si>
    <t>Iowa, USA</t>
  </si>
  <si>
    <t>Shetland, UK</t>
  </si>
  <si>
    <t xml:space="preserve">\U0001f1e8\U0001f1e6 </t>
  </si>
  <si>
    <t>Adelaide, South Australia</t>
  </si>
  <si>
    <t xml:space="preserve">Manchester </t>
  </si>
  <si>
    <t>San Francisco, CA</t>
  </si>
  <si>
    <t>manyvoicesblog.wordpress.com</t>
  </si>
  <si>
    <t>Reykjavik</t>
  </si>
  <si>
    <t>Meanwood</t>
  </si>
  <si>
    <t>A subbranch of reality</t>
  </si>
  <si>
    <t>Glasgow and Tobermory</t>
  </si>
  <si>
    <t>The Greater Metropolis of London</t>
  </si>
  <si>
    <t>London \U0001f1ec\U0001f1e7 \U0001f1ea\U0001f1fa</t>
  </si>
  <si>
    <t>The Smoke</t>
  </si>
  <si>
    <t>Beside the seaside, Kent</t>
  </si>
  <si>
    <t>Pebble Beach, CA</t>
  </si>
  <si>
    <t>Zuid-Holland, Nederland</t>
  </si>
  <si>
    <t>Rotterdam</t>
  </si>
  <si>
    <t>netherlands</t>
  </si>
  <si>
    <t>Scotland and the World</t>
  </si>
  <si>
    <t>New Hampshire, USA</t>
  </si>
  <si>
    <t>Fayetteville, AR</t>
  </si>
  <si>
    <t>Callander ON</t>
  </si>
  <si>
    <t>Middleton, WI</t>
  </si>
  <si>
    <t>planet earth</t>
  </si>
  <si>
    <t>Culver, IN</t>
  </si>
  <si>
    <t>The Lake District</t>
  </si>
  <si>
    <t>Galway, Ireland</t>
  </si>
  <si>
    <t>Jammu And Kashmir</t>
  </si>
  <si>
    <t>Oshawa, Canada</t>
  </si>
  <si>
    <t>Southeast U.S.</t>
  </si>
  <si>
    <t xml:space="preserve">England </t>
  </si>
  <si>
    <t>Canada</t>
  </si>
  <si>
    <t>Lancaster, England</t>
  </si>
  <si>
    <t>Sloo</t>
  </si>
  <si>
    <t>Cork</t>
  </si>
  <si>
    <t>225 Marsh Wall, E14 9FW</t>
  </si>
  <si>
    <t>Borders to Shetland</t>
  </si>
  <si>
    <t>Cheltenham, England</t>
  </si>
  <si>
    <t>Preston, England</t>
  </si>
  <si>
    <t>Glasgow / Edinburgh</t>
  </si>
  <si>
    <t>Centennial, CO USA</t>
  </si>
  <si>
    <t>Oshawa, Ontario, Canada</t>
  </si>
  <si>
    <t>Reykjav\xedk</t>
  </si>
  <si>
    <t>Romford, Essex. UK</t>
  </si>
  <si>
    <t>Burray Village, Scotland</t>
  </si>
  <si>
    <t>Karachi, Pakistan</t>
  </si>
  <si>
    <t>Tennessee</t>
  </si>
  <si>
    <t>Chester, England</t>
  </si>
  <si>
    <t>Various (ex UK)</t>
  </si>
  <si>
    <t>Midlands, UK</t>
  </si>
  <si>
    <t>Calgary, Alberta, Canada</t>
  </si>
  <si>
    <t>My World</t>
  </si>
  <si>
    <t>The 'Shire</t>
  </si>
  <si>
    <t>Doune, Scotland</t>
  </si>
  <si>
    <t>Kansas, USA</t>
  </si>
  <si>
    <t>Dunoon, Scotland</t>
  </si>
  <si>
    <t>New Zealand, From Aberdeen</t>
  </si>
  <si>
    <t>Wellington, NZ</t>
  </si>
  <si>
    <t>Pink and Sparkly land.</t>
  </si>
  <si>
    <t xml:space="preserve">Inverness, Scotland </t>
  </si>
  <si>
    <t>Woodbury, MN</t>
  </si>
  <si>
    <t>Melbourne, Victoria</t>
  </si>
  <si>
    <t>Wisconsin</t>
  </si>
  <si>
    <t>Baltimore, Maryland</t>
  </si>
  <si>
    <t>Seal Beach, CA</t>
  </si>
  <si>
    <t>Greeneville, TN</t>
  </si>
  <si>
    <t>Kirkland, WA</t>
  </si>
  <si>
    <t>Columbus, Ohio</t>
  </si>
  <si>
    <t>Orlando, FL</t>
  </si>
  <si>
    <t>Annapolis, MD</t>
  </si>
  <si>
    <t>Chicago, New York, Dublin, Ire</t>
  </si>
  <si>
    <t>Australia</t>
  </si>
  <si>
    <t>Always meandering</t>
  </si>
  <si>
    <t>Halifax, Nova Scotia</t>
  </si>
  <si>
    <t xml:space="preserve">West Lothian </t>
  </si>
  <si>
    <t>Borden-Carleton, Prince Edward</t>
  </si>
  <si>
    <t>Central Wisconsin</t>
  </si>
  <si>
    <t>Hitchin, England</t>
  </si>
  <si>
    <t>East Kilbride, Scotland</t>
  </si>
  <si>
    <t>Durham, england</t>
  </si>
  <si>
    <t>Orange County, CA</t>
  </si>
  <si>
    <t>New York, USA</t>
  </si>
  <si>
    <t>London / Kent</t>
  </si>
  <si>
    <t>Ambridge Hall, Ambridge</t>
  </si>
  <si>
    <t>Pittsburgh, PA</t>
  </si>
  <si>
    <t>Arlington, VA</t>
  </si>
  <si>
    <t xml:space="preserve">exeter </t>
  </si>
  <si>
    <t>Sarasota, FL</t>
  </si>
  <si>
    <t>Westminster, CO</t>
  </si>
  <si>
    <t>Abilene, TX</t>
  </si>
  <si>
    <t>wfink94@yahoo.com</t>
  </si>
  <si>
    <t>Scandinavia</t>
  </si>
  <si>
    <t>Las Vegas, Nevada</t>
  </si>
  <si>
    <t>Jacksonville, FL</t>
  </si>
  <si>
    <t>seaton, devon</t>
  </si>
  <si>
    <t>Flint, Michigan, USA</t>
  </si>
  <si>
    <t>Texas, y'all</t>
  </si>
  <si>
    <t>Nijmegen,The Netherlands</t>
  </si>
  <si>
    <t>Paris, France</t>
  </si>
  <si>
    <t>Raasay, Scotland!</t>
  </si>
  <si>
    <t>Town Close, Stokesley, England</t>
  </si>
  <si>
    <t>Aboyne, Scotland</t>
  </si>
  <si>
    <t xml:space="preserve">Scotland </t>
  </si>
  <si>
    <t xml:space="preserve"> Perthshire</t>
  </si>
  <si>
    <t>Germany's intern'l broadcaster</t>
  </si>
  <si>
    <t>All over England</t>
  </si>
  <si>
    <t>Inverness, Highlands</t>
  </si>
  <si>
    <t>Bucks, UK</t>
  </si>
  <si>
    <t>Ecosse</t>
  </si>
  <si>
    <t>Muir of Ord, Scotland</t>
  </si>
  <si>
    <t xml:space="preserve">kirkwall Orkney </t>
  </si>
  <si>
    <t xml:space="preserve">Scotland   </t>
  </si>
  <si>
    <t>Britain. Sometimes, Bulgaria</t>
  </si>
  <si>
    <t>Durban, South Africa</t>
  </si>
  <si>
    <t>Carlisle, Cumbria</t>
  </si>
  <si>
    <t>Uckfield, England</t>
  </si>
  <si>
    <t>All over the world</t>
  </si>
  <si>
    <t>Bonavista Peninsula, NL</t>
  </si>
  <si>
    <t>Philadelphia, PA</t>
  </si>
  <si>
    <t>TV. Radio. Online</t>
  </si>
  <si>
    <t>Dunstable, England</t>
  </si>
  <si>
    <t>Harbin China</t>
  </si>
  <si>
    <t>USA</t>
  </si>
  <si>
    <t>Manchester, UK</t>
  </si>
  <si>
    <t>Portugal</t>
  </si>
  <si>
    <t>Kingsclere, Hampshire</t>
  </si>
  <si>
    <t>Hove, UK</t>
  </si>
  <si>
    <t>Dunfermline, Scotland</t>
  </si>
  <si>
    <t xml:space="preserve">SE Florida </t>
  </si>
  <si>
    <t>New York/London/Hong Kong</t>
  </si>
  <si>
    <t>Newtownabbey, Northern Ireland</t>
  </si>
  <si>
    <t>Scotland &amp; N.Ireland</t>
  </si>
  <si>
    <t>St Andrews</t>
  </si>
  <si>
    <t>Inverness</t>
  </si>
  <si>
    <t>Medway, Kent, England</t>
  </si>
  <si>
    <t>Paisley, Scotland</t>
  </si>
  <si>
    <t>Merseyside, England, UK</t>
  </si>
  <si>
    <t>Up North,UK</t>
  </si>
  <si>
    <t>St Helens, England</t>
  </si>
  <si>
    <t>Kinross, Scotland</t>
  </si>
  <si>
    <t>Aberdeenshire, Scotland</t>
  </si>
  <si>
    <t>Vilnius, Lithuania</t>
  </si>
  <si>
    <t>Kittery, ME</t>
  </si>
  <si>
    <t>Bountiful Utah</t>
  </si>
  <si>
    <t>manchester</t>
  </si>
  <si>
    <t>Ireland</t>
  </si>
  <si>
    <t>Syndicated World Wide</t>
  </si>
  <si>
    <t>Reino Unido</t>
  </si>
  <si>
    <t>probably eating a pick n mix</t>
  </si>
  <si>
    <t>Eastrington</t>
  </si>
  <si>
    <t>Frankfort, IL</t>
  </si>
  <si>
    <t>Welwyn Garden City</t>
  </si>
  <si>
    <t>Greenock, Inverclyde</t>
  </si>
  <si>
    <t>Cheshire, UK</t>
  </si>
  <si>
    <t xml:space="preserve">London and Norfolk </t>
  </si>
  <si>
    <t>Fuente \xc1lamo de Murcia, Espa\xf1a</t>
  </si>
  <si>
    <t xml:space="preserve">my own prison </t>
  </si>
  <si>
    <t>the universe</t>
  </si>
  <si>
    <t>Marbella, Spain</t>
  </si>
  <si>
    <t>San Jose, CA</t>
  </si>
  <si>
    <t>St Petersburg, FL</t>
  </si>
  <si>
    <t>Norwich (still in Europe)</t>
  </si>
  <si>
    <t>Southrepps Norfolk</t>
  </si>
  <si>
    <t>West Bengal, India</t>
  </si>
  <si>
    <t>Priory Park, Warwick</t>
  </si>
  <si>
    <t>Albrighton</t>
  </si>
  <si>
    <t>Agent: @agentmilburn</t>
  </si>
  <si>
    <t>East Coast USA</t>
  </si>
  <si>
    <t>EU</t>
  </si>
  <si>
    <t>Victoria PS. Falkirk, Scotland</t>
  </si>
  <si>
    <t>Charleston, SC, USA</t>
  </si>
  <si>
    <t>Lynchburg, VA</t>
  </si>
  <si>
    <t>South Australia, Australia</t>
  </si>
  <si>
    <t>Bras\xedlia, Brazil</t>
  </si>
  <si>
    <t>N.E. England</t>
  </si>
  <si>
    <t>Stirling</t>
  </si>
  <si>
    <t>Saint Paul, MN</t>
  </si>
  <si>
    <t>inverness</t>
  </si>
  <si>
    <t>Brooklyn, NY</t>
  </si>
  <si>
    <t xml:space="preserve">Up my own derri\xe8re. </t>
  </si>
  <si>
    <t>Gourock</t>
  </si>
  <si>
    <t>Cape Town, South Africa</t>
  </si>
  <si>
    <t xml:space="preserve">Calgary -Albert Park/Radisson </t>
  </si>
  <si>
    <t>Lemay, MO</t>
  </si>
  <si>
    <t>Berkshire UK</t>
  </si>
  <si>
    <t>Middlesex</t>
  </si>
  <si>
    <t>Llantwit Major, Wales</t>
  </si>
  <si>
    <t xml:space="preserve"> dh0ke farmaN Ali </t>
  </si>
  <si>
    <t>Grey Highlands</t>
  </si>
  <si>
    <t>Barry, Wales</t>
  </si>
  <si>
    <t>Film City Glasgow, Scotland</t>
  </si>
  <si>
    <t>Bonnie Scotland</t>
  </si>
  <si>
    <t>Duns, Scotland</t>
  </si>
  <si>
    <t>Connecticut</t>
  </si>
  <si>
    <t>Earth</t>
  </si>
  <si>
    <t>Hoddesdon EN11 8BE</t>
  </si>
  <si>
    <t>South Coast</t>
  </si>
  <si>
    <t>A food tube in Sector 7-G</t>
  </si>
  <si>
    <t>If lost return to Yorkshire</t>
  </si>
  <si>
    <t>Bellingham, WA</t>
  </si>
  <si>
    <t>Wellington</t>
  </si>
  <si>
    <t>Toronto, Ontario</t>
  </si>
  <si>
    <t>Milford, MI</t>
  </si>
  <si>
    <t>Columbia, SC</t>
  </si>
  <si>
    <t>Athens, GA</t>
  </si>
  <si>
    <t>Lincolnshire</t>
  </si>
  <si>
    <t>London via Arkansas</t>
  </si>
  <si>
    <t>Hamilton</t>
  </si>
  <si>
    <t>Oxford/London/Edinburgh</t>
  </si>
  <si>
    <t>Maidenhead, England</t>
  </si>
  <si>
    <t>Colorado, USA</t>
  </si>
  <si>
    <t>Copenhagen/ New Delhi / CHD</t>
  </si>
  <si>
    <t>Perth, Western Australia</t>
  </si>
  <si>
    <t>New Haven, CT</t>
  </si>
  <si>
    <t>Bethnal Green</t>
  </si>
  <si>
    <t xml:space="preserve"> </t>
  </si>
  <si>
    <t>Swansea / Gower</t>
  </si>
  <si>
    <t>Out on the edge of the prairie</t>
  </si>
  <si>
    <t>Montr\xe9al</t>
  </si>
  <si>
    <t>Bristol UK</t>
  </si>
  <si>
    <t>she/her  || #BLACKLIVESMATTER</t>
  </si>
  <si>
    <t>Central Region, Singapore</t>
  </si>
  <si>
    <t>Warwickshire, England</t>
  </si>
  <si>
    <t>Coimbatore, Tamil Nadu</t>
  </si>
  <si>
    <t>27 Arlington way, EC1R 1UY</t>
  </si>
  <si>
    <t>Cambridgeshire UK</t>
  </si>
  <si>
    <t>Ebbw Vale and Abersychan</t>
  </si>
  <si>
    <t xml:space="preserve">Angus, Scotland </t>
  </si>
  <si>
    <t>New York, NY</t>
  </si>
  <si>
    <t>South Africa</t>
  </si>
  <si>
    <t>Melbourne, Australia</t>
  </si>
  <si>
    <t>Seattle</t>
  </si>
  <si>
    <t>Worldwide</t>
  </si>
  <si>
    <t>Barcelona, Espa\xf1a</t>
  </si>
  <si>
    <t>Pitlochry, Scotland</t>
  </si>
  <si>
    <t>Helsinki, Finland</t>
  </si>
  <si>
    <t>Germany</t>
  </si>
  <si>
    <t>offshore</t>
  </si>
  <si>
    <t>Lawrenny, Pembrokeshire</t>
  </si>
  <si>
    <t>North Lanarkshire, Scotland</t>
  </si>
  <si>
    <t>Ottawa, Ontario</t>
  </si>
  <si>
    <t>wherever magic is</t>
  </si>
  <si>
    <t>Newcastle Eng. Tarbert Scot.</t>
  </si>
  <si>
    <t>United Kingdom/ Germany</t>
  </si>
  <si>
    <t>Wellington City, New Zealand</t>
  </si>
  <si>
    <t>Silsden, England</t>
  </si>
  <si>
    <t>Scotland, Netherlands, Spain</t>
  </si>
  <si>
    <t>Rochester, South East</t>
  </si>
  <si>
    <t>Maple Creek, Saskatchewan</t>
  </si>
  <si>
    <t>Gonzales, LA</t>
  </si>
  <si>
    <t>scotland</t>
  </si>
  <si>
    <t>Down Under</t>
  </si>
  <si>
    <t>Crystal Palace</t>
  </si>
  <si>
    <t>St. Andreu/Vallirana</t>
  </si>
  <si>
    <t>South London</t>
  </si>
  <si>
    <t>Walton-on-Thames, Surrey, England</t>
  </si>
  <si>
    <t>Cymru am byth</t>
  </si>
  <si>
    <t>Boston</t>
  </si>
  <si>
    <t>Nottingham England</t>
  </si>
  <si>
    <t>Sutton, London</t>
  </si>
  <si>
    <t>Global</t>
  </si>
  <si>
    <t>Beaverton, Oregon, USA</t>
  </si>
  <si>
    <t>Kedaton Sultan Ternate</t>
  </si>
  <si>
    <t>Aberdeen, UK</t>
  </si>
  <si>
    <t>Cascadia</t>
  </si>
  <si>
    <t>Kemer-Antalya -T\xfcrkiye</t>
  </si>
  <si>
    <t>40.7128\xb0 N, 74.0059\xb0 W</t>
  </si>
  <si>
    <t>Victoria, BC</t>
  </si>
  <si>
    <t>3 places in Woollahra, NSW</t>
  </si>
  <si>
    <t>Prestwick, Scotland</t>
  </si>
  <si>
    <t>Argyll</t>
  </si>
  <si>
    <t>Stratford, Ontario</t>
  </si>
  <si>
    <t>Belsize Park</t>
  </si>
  <si>
    <t>Ghana</t>
  </si>
  <si>
    <t>Bressay, Shetland</t>
  </si>
  <si>
    <t>Colombia</t>
  </si>
  <si>
    <t>Los Angeles, CA</t>
  </si>
  <si>
    <t>Vienna</t>
  </si>
  <si>
    <t>Clay Cross, UK</t>
  </si>
  <si>
    <t>Norfolk UK</t>
  </si>
  <si>
    <t xml:space="preserve">Surrey, England </t>
  </si>
  <si>
    <t>56 deg North, 3 deg West</t>
  </si>
  <si>
    <t>Bicester, Oxfordshire</t>
  </si>
  <si>
    <t>sunny darwen</t>
  </si>
  <si>
    <t>leeds</t>
  </si>
  <si>
    <t>yukon, canada</t>
  </si>
  <si>
    <t>Novosibirsk, Siberia</t>
  </si>
  <si>
    <t>Over There</t>
  </si>
  <si>
    <t>Galashiels, Scotland</t>
  </si>
  <si>
    <t>Libraries Worldwide</t>
  </si>
  <si>
    <t>Camarillo, California</t>
  </si>
  <si>
    <t>Sacramento, CA</t>
  </si>
  <si>
    <t>Bloomington, IN</t>
  </si>
  <si>
    <t>Stockholm, Sweden</t>
  </si>
  <si>
    <t xml:space="preserve">Earth </t>
  </si>
  <si>
    <t>El sistema ca\xf3tico, \xbfy Piol\xedn?</t>
  </si>
  <si>
    <t>Italia</t>
  </si>
  <si>
    <t>West Chester, PA</t>
  </si>
  <si>
    <t xml:space="preserve">Glasgow </t>
  </si>
  <si>
    <t>Toronto &amp; the world</t>
  </si>
  <si>
    <t>Lund, Sweden &amp; London UK</t>
  </si>
  <si>
    <t>(th)under cats.</t>
  </si>
  <si>
    <t>The Foothills of Westminster</t>
  </si>
  <si>
    <t>Snodland, England</t>
  </si>
  <si>
    <t>Ajmer, India</t>
  </si>
  <si>
    <t>Brisbane, Queensland</t>
  </si>
  <si>
    <t>Stromness, Scotland</t>
  </si>
  <si>
    <t>53.341874, -6.286709</t>
  </si>
  <si>
    <t>Marin County, CA</t>
  </si>
  <si>
    <t>Bogota,Colombia</t>
  </si>
  <si>
    <t>Kirkwall, Orkney</t>
  </si>
  <si>
    <t>Uk</t>
  </si>
  <si>
    <t>California, USA</t>
  </si>
  <si>
    <t>London, Ontario</t>
  </si>
  <si>
    <t>Perthshire</t>
  </si>
  <si>
    <t>Stourport on Severn</t>
  </si>
  <si>
    <t>Switzerland</t>
  </si>
  <si>
    <t>Sheffield, England</t>
  </si>
  <si>
    <t>Uachdar \xc0rdair, Scotland</t>
  </si>
  <si>
    <t>Auckland</t>
  </si>
  <si>
    <t>Sydney</t>
  </si>
  <si>
    <t>Dumfries, Scotland</t>
  </si>
  <si>
    <t>Linlithgow</t>
  </si>
  <si>
    <t>St Albans</t>
  </si>
  <si>
    <t>Alabama, USA</t>
  </si>
  <si>
    <t xml:space="preserve">Cork </t>
  </si>
  <si>
    <t>Solihull</t>
  </si>
  <si>
    <t>Bromley</t>
  </si>
  <si>
    <t>God's Own Country</t>
  </si>
  <si>
    <t>Here</t>
  </si>
  <si>
    <t>Wellington, New Zealand</t>
  </si>
  <si>
    <t>Harrogate, Yorkshire</t>
  </si>
  <si>
    <t>Ancient Rome</t>
  </si>
  <si>
    <t>Newcastle, Australia</t>
  </si>
  <si>
    <t>Toad Hall</t>
  </si>
  <si>
    <t xml:space="preserve">Lyndhurst </t>
  </si>
  <si>
    <t>Den Haag, Netherlands</t>
  </si>
  <si>
    <t>Dublin</t>
  </si>
  <si>
    <t>Michigan</t>
  </si>
  <si>
    <t>London and a bit everywhere.</t>
  </si>
  <si>
    <t>Scotland.</t>
  </si>
  <si>
    <t>Dingwall , Highlands</t>
  </si>
  <si>
    <t>glasgow, scotland</t>
  </si>
  <si>
    <t>Mogale City, South Africa</t>
  </si>
  <si>
    <t>Book World</t>
  </si>
  <si>
    <t>Glasgow, Scotland, EU</t>
  </si>
  <si>
    <t>N 50\xb047' 0'' / E 0\xb017' 0''</t>
  </si>
  <si>
    <t>Livingston, Scotland</t>
  </si>
  <si>
    <t>baby animal hospital</t>
  </si>
  <si>
    <t>Worcestershire, England</t>
  </si>
  <si>
    <t>Santa Monica, CA</t>
  </si>
  <si>
    <t>Portishead, North Somerset, UK</t>
  </si>
  <si>
    <t>In The City</t>
  </si>
  <si>
    <t>Healesville, Victoria</t>
  </si>
  <si>
    <t>Perth, Australia</t>
  </si>
  <si>
    <t>#citizenoftheworld</t>
  </si>
  <si>
    <t>Brisbane</t>
  </si>
  <si>
    <t>Norway</t>
  </si>
  <si>
    <t>Sydney, New South Wales</t>
  </si>
  <si>
    <t>Portobello, Edinburgh</t>
  </si>
  <si>
    <t>D\xf9n \xc8ideann, Alba</t>
  </si>
  <si>
    <t>Straight Outta Roscompton/LDN</t>
  </si>
  <si>
    <t>Austin TX</t>
  </si>
  <si>
    <t>Where the 45% of Scotland are</t>
  </si>
  <si>
    <t>Knowsley, Merseyside, England</t>
  </si>
  <si>
    <t>Brisvegas</t>
  </si>
  <si>
    <t>Near the capital of scotland</t>
  </si>
  <si>
    <t>647</t>
  </si>
  <si>
    <t>Edinburgh and Glasgow</t>
  </si>
  <si>
    <t>Salford, UK</t>
  </si>
  <si>
    <t>Lahndan</t>
  </si>
  <si>
    <t>North West England</t>
  </si>
  <si>
    <t>Kent, UK</t>
  </si>
  <si>
    <t>Wiltshire, England, UK</t>
  </si>
  <si>
    <t>Dublin City, Ireland</t>
  </si>
  <si>
    <t>Norfolk, England</t>
  </si>
  <si>
    <t>Nairn/ highlands</t>
  </si>
  <si>
    <t>Renfrew, Scotland</t>
  </si>
  <si>
    <t xml:space="preserve">North Lancs , UK </t>
  </si>
  <si>
    <t>Stornoway, Isle of Lewis</t>
  </si>
  <si>
    <t>Cairngorms National Park</t>
  </si>
  <si>
    <t>wherever i need to be</t>
  </si>
  <si>
    <t>Overbury</t>
  </si>
  <si>
    <t>planet earth. for now</t>
  </si>
  <si>
    <t>Athens-Edinburgh</t>
  </si>
  <si>
    <t xml:space="preserve">Britain for the moment . </t>
  </si>
  <si>
    <t>Th\xfcringen, Deutschland</t>
  </si>
  <si>
    <t>Market Harborough, England</t>
  </si>
  <si>
    <t>Grimsby, England</t>
  </si>
  <si>
    <t xml:space="preserve">Aberystwyth, Wales </t>
  </si>
  <si>
    <t>Farnham, England</t>
  </si>
  <si>
    <t>Victoria, British Columbia</t>
  </si>
  <si>
    <t>Minneapolis, MN</t>
  </si>
  <si>
    <t>Maryland</t>
  </si>
  <si>
    <t>Oxfordshire, England</t>
  </si>
  <si>
    <t>Glasgow-based</t>
  </si>
  <si>
    <t>Edinburgh, Scotland, UK</t>
  </si>
  <si>
    <t>University of Stirling</t>
  </si>
  <si>
    <t>Limehouse, London</t>
  </si>
  <si>
    <t>Vienna, M\xfcnchen, New York</t>
  </si>
  <si>
    <t>Vancouver</t>
  </si>
  <si>
    <t>Ontario, CANADA</t>
  </si>
  <si>
    <t>Adelaide SA Australia</t>
  </si>
  <si>
    <t>Western Victoria, Australia</t>
  </si>
  <si>
    <t>E Mids + Scotland from 2020</t>
  </si>
  <si>
    <t>Greens Norton, England</t>
  </si>
  <si>
    <t>Martinsburg, WV</t>
  </si>
  <si>
    <t>Scottish Borders</t>
  </si>
  <si>
    <t>Haddington, Scotland</t>
  </si>
  <si>
    <t>Dhaka, Bangladesh</t>
  </si>
  <si>
    <t xml:space="preserve">Orkney </t>
  </si>
  <si>
    <t>Dunrossness, Shetland</t>
  </si>
  <si>
    <t>Chicago</t>
  </si>
  <si>
    <t>Dartmoor, Devon</t>
  </si>
  <si>
    <t>Trossachs</t>
  </si>
  <si>
    <t>Indianapolis</t>
  </si>
  <si>
    <t>Leiden, Netherlands</t>
  </si>
  <si>
    <t>Manningtree</t>
  </si>
  <si>
    <t>Pennsylvania, USA</t>
  </si>
  <si>
    <t>Dubai, United Arab Emirates</t>
  </si>
  <si>
    <t xml:space="preserve">Way down south, California </t>
  </si>
  <si>
    <t>Maidenhead, South East</t>
  </si>
  <si>
    <t>Hogwarts</t>
  </si>
  <si>
    <t>Weehawken, NJ</t>
  </si>
  <si>
    <t>Hot Springs, AR</t>
  </si>
  <si>
    <t>Scarborough, North Yorkshire</t>
  </si>
  <si>
    <t>N16</t>
  </si>
  <si>
    <t>2 Soroba Road, Oban, PA34 4HU</t>
  </si>
  <si>
    <t>Bedford, England</t>
  </si>
  <si>
    <t>Manchester/Dublin/Mayo</t>
  </si>
  <si>
    <t>Cheshire, England</t>
  </si>
  <si>
    <t>Greater Manchester, UK</t>
  </si>
  <si>
    <t>That London</t>
  </si>
  <si>
    <t>One day a tree, hopefully</t>
  </si>
  <si>
    <t>Ironbridge</t>
  </si>
  <si>
    <t>Angus</t>
  </si>
  <si>
    <t>Farmers Branch, TX</t>
  </si>
  <si>
    <t>Blessington, Co. Wicklow</t>
  </si>
  <si>
    <t>Indiana, USA</t>
  </si>
  <si>
    <t>Drumnadrochit</t>
  </si>
  <si>
    <t>Anaheim, CA</t>
  </si>
  <si>
    <t>Sao Paulo, Brazil</t>
  </si>
  <si>
    <t>Shetland/Edinburgh</t>
  </si>
  <si>
    <t>Brighton &amp; Hove</t>
  </si>
  <si>
    <t>Bude, England</t>
  </si>
  <si>
    <t>Laguna Beach California</t>
  </si>
  <si>
    <t>Bangor</t>
  </si>
  <si>
    <t>Sometimes Salford. Or Scunny</t>
  </si>
  <si>
    <t>Buenos Aires, Argentina</t>
  </si>
  <si>
    <t>Central Scotland</t>
  </si>
  <si>
    <t>Schwerin, Deutschland</t>
  </si>
  <si>
    <t>Lichfield, Staffordshire, UK</t>
  </si>
  <si>
    <t>Ohio, USA</t>
  </si>
  <si>
    <t>Virginia, USA</t>
  </si>
  <si>
    <t>S. California</t>
  </si>
  <si>
    <t>4/5 through a dashed good book, so please leave me alone to finish reading it.</t>
  </si>
  <si>
    <t>Plano, Texas</t>
  </si>
  <si>
    <t>Evergreen, CO</t>
  </si>
  <si>
    <t>My \u2764\ufe0fis in Scotland</t>
  </si>
  <si>
    <t>Somewhere?</t>
  </si>
  <si>
    <t>citizen of the world</t>
  </si>
  <si>
    <t>Middle of Nowhere</t>
  </si>
  <si>
    <t>New Jersey...and proud of it!</t>
  </si>
  <si>
    <t>Bay Area, CA</t>
  </si>
  <si>
    <t>Zagreb</t>
  </si>
  <si>
    <t>Toledo, Ohio</t>
  </si>
  <si>
    <t>Southern California</t>
  </si>
  <si>
    <t>somewhere in world</t>
  </si>
  <si>
    <t>Dunedin</t>
  </si>
  <si>
    <t>Vaughan, Ontario</t>
  </si>
  <si>
    <t>Ibitita Ba Caraguatatuba Sp</t>
  </si>
  <si>
    <t>Northern California</t>
  </si>
  <si>
    <t>Congresbury, England</t>
  </si>
  <si>
    <t>Under Yggdrassil, reading book</t>
  </si>
  <si>
    <t>Alg\xe9rie</t>
  </si>
  <si>
    <t>behind the bike sheds</t>
  </si>
  <si>
    <t>Bay of Islands, New Zealand</t>
  </si>
  <si>
    <t>Kent</t>
  </si>
  <si>
    <t>Geelong</t>
  </si>
  <si>
    <t>Phoenix</t>
  </si>
  <si>
    <t>45a ennismore ave</t>
  </si>
  <si>
    <t>living in plutocracy since 75</t>
  </si>
  <si>
    <t>\u0e15\u0e25\u0e34\u0e48\u0e07\u0e0a\u0e31\u0e19, \u0e01\u0e23\u0e38\u0e07\u0e40\u0e17\u0e1e\u0e21\u0e2b\u0e32\u0e19\u0e04\u0e23</t>
  </si>
  <si>
    <t>Aberdeen City</t>
  </si>
  <si>
    <t>Acharn, Scotland</t>
  </si>
  <si>
    <t>EDINBURGH - SCOTLAND</t>
  </si>
  <si>
    <t>Stromness</t>
  </si>
  <si>
    <t>Argyll, Scotland</t>
  </si>
  <si>
    <t>Belfast, Northern Irleand</t>
  </si>
  <si>
    <t>Vanuatu</t>
  </si>
  <si>
    <t>Salo, Suomi</t>
  </si>
  <si>
    <t>Denby Dale on sea by motorbike</t>
  </si>
  <si>
    <t>Suffolk</t>
  </si>
  <si>
    <t>Forest Gate, London</t>
  </si>
  <si>
    <t>12 Roseneath Street, EH9 1JH</t>
  </si>
  <si>
    <t>Beverley, England</t>
  </si>
  <si>
    <t>Brisbane, AU</t>
  </si>
  <si>
    <t>Bangladesh</t>
  </si>
  <si>
    <t>Alberta, Canada</t>
  </si>
  <si>
    <t>New Hampshire USA/Glasgow SCO</t>
  </si>
  <si>
    <t>Horncastle, England</t>
  </si>
  <si>
    <t>SE22</t>
  </si>
  <si>
    <t>Reno, NV</t>
  </si>
  <si>
    <t>Ducklington, England</t>
  </si>
  <si>
    <t>Shetland Islands, Scotland</t>
  </si>
  <si>
    <t>T\xfcrkiye</t>
  </si>
  <si>
    <t>Iowa City, IA</t>
  </si>
  <si>
    <t>Bonar Bridge, Scotland</t>
  </si>
  <si>
    <t>Jeffersonville, Georgia 31044</t>
  </si>
  <si>
    <t>Gatineau, Qu\xe9bec</t>
  </si>
  <si>
    <t xml:space="preserve">UK and Australia </t>
  </si>
  <si>
    <t>New York, Hamburg, Salzburg</t>
  </si>
  <si>
    <t>Gillingham, England</t>
  </si>
  <si>
    <t>Sydney region</t>
  </si>
  <si>
    <t>The Mid-Atlantic, USA</t>
  </si>
  <si>
    <t>Lundin Links, Fife, Scotland</t>
  </si>
  <si>
    <t>Hyd, India</t>
  </si>
  <si>
    <t xml:space="preserve">Paisley. From Glasgow. </t>
  </si>
  <si>
    <t>Sodom-on-Potomac</t>
  </si>
  <si>
    <t>New Zealand</t>
  </si>
  <si>
    <t>Herne Bay Kent</t>
  </si>
  <si>
    <t>County Wicklow</t>
  </si>
  <si>
    <t>Bedford</t>
  </si>
  <si>
    <t>your momville</t>
  </si>
  <si>
    <t>Auckland City, New Zealand</t>
  </si>
  <si>
    <t>Hamburg, Deutschland</t>
  </si>
  <si>
    <t>Berlin, Deutschland</t>
  </si>
  <si>
    <t>Fulham, London SW6</t>
  </si>
  <si>
    <t>Runcorn, England</t>
  </si>
  <si>
    <t>Bradford, England</t>
  </si>
  <si>
    <t>Inverness, Scotland</t>
  </si>
  <si>
    <t>Shivaji University,Kolhapur,MH</t>
  </si>
  <si>
    <t>Sullivan County, New York</t>
  </si>
  <si>
    <t>London NW6, England</t>
  </si>
  <si>
    <t>Victoria</t>
  </si>
  <si>
    <t>New Delhi, Delhi</t>
  </si>
  <si>
    <t>Shrewsbury, England</t>
  </si>
  <si>
    <t>Isle of Skye</t>
  </si>
  <si>
    <t>Toronto Trinidad</t>
  </si>
  <si>
    <t>Behind you</t>
  </si>
  <si>
    <t>Kirkstile, Hawick, TD9 0AE</t>
  </si>
  <si>
    <t>Miami, Florida</t>
  </si>
  <si>
    <t>Kirkwall, Orkney, UK</t>
  </si>
  <si>
    <t>Granvin, Norge</t>
  </si>
  <si>
    <t>Bellevue, WA</t>
  </si>
  <si>
    <t>Conyers, GA</t>
  </si>
  <si>
    <t>South East</t>
  </si>
  <si>
    <t>Manchester UK</t>
  </si>
  <si>
    <t>Bedworth, England</t>
  </si>
  <si>
    <t>London &amp; Cumbria</t>
  </si>
  <si>
    <t>Fife and Orkney</t>
  </si>
  <si>
    <t>Cookstown, Northern Ireland</t>
  </si>
  <si>
    <t>west highlands, Scotland.</t>
  </si>
  <si>
    <t>By the Lochend ducks</t>
  </si>
  <si>
    <t>Espa\xf1a</t>
  </si>
  <si>
    <t>Monifieth, Scotland</t>
  </si>
  <si>
    <t>Long Beach, California</t>
  </si>
  <si>
    <t>Plainfield, IL</t>
  </si>
  <si>
    <t>Delhi</t>
  </si>
  <si>
    <t>Grand Rapids, MI</t>
  </si>
  <si>
    <t>Ramara Township</t>
  </si>
  <si>
    <t>Turku, Finland</t>
  </si>
  <si>
    <t>Camberwell, London</t>
  </si>
  <si>
    <t>Bandung, Indonesia</t>
  </si>
  <si>
    <t>Bihar, India</t>
  </si>
  <si>
    <t>Texas, United States</t>
  </si>
  <si>
    <t>Kota Bandung, Jawa Barat</t>
  </si>
  <si>
    <t xml:space="preserve">Edinburgh, Scotland </t>
  </si>
  <si>
    <t>Glaschu</t>
  </si>
  <si>
    <t>Sydney | Canberra | Jakarta</t>
  </si>
  <si>
    <t>Orkney islands, Scotland</t>
  </si>
  <si>
    <t>Seattle, WA, USA</t>
  </si>
  <si>
    <t>Cyprus</t>
  </si>
  <si>
    <t>Surbiton, SW London</t>
  </si>
  <si>
    <t>Surbiton, UK</t>
  </si>
  <si>
    <t>India</t>
  </si>
  <si>
    <t>Flatbush Brooklyn</t>
  </si>
  <si>
    <t>Australia, S'pore &amp; New York</t>
  </si>
  <si>
    <t>Phoenixville PA</t>
  </si>
  <si>
    <t>Hen Ogledd</t>
  </si>
  <si>
    <t>Bakersfield, CA</t>
  </si>
  <si>
    <t>G\xf6teborg, Sverige</t>
  </si>
  <si>
    <t>Telford</t>
  </si>
  <si>
    <t xml:space="preserve">London </t>
  </si>
  <si>
    <t>Yorkshire</t>
  </si>
  <si>
    <t>Print &amp; Online</t>
  </si>
  <si>
    <t>Massachusetts, USA</t>
  </si>
  <si>
    <t>Glasgow/Tarbert, Western Isles</t>
  </si>
  <si>
    <t>Mutare, Zimbabwe</t>
  </si>
  <si>
    <t>Hannibal, MO</t>
  </si>
  <si>
    <t>Zambia</t>
  </si>
  <si>
    <t>Washington, USA</t>
  </si>
  <si>
    <t>Always Changing</t>
  </si>
  <si>
    <t>Stratford-upon-Avon / Oxford</t>
  </si>
  <si>
    <t>Herne Hill</t>
  </si>
  <si>
    <t>Bristol, via Bridgwater</t>
  </si>
  <si>
    <t>Powys Wales</t>
  </si>
  <si>
    <t>Moffat, Dumfries &amp; Galloway, Scotland</t>
  </si>
  <si>
    <t xml:space="preserve">Michigan </t>
  </si>
  <si>
    <t>Yes</t>
  </si>
  <si>
    <t>Citizen of the world</t>
  </si>
  <si>
    <t>London, England and Stockholm</t>
  </si>
  <si>
    <t>Orkney, Scotland</t>
  </si>
  <si>
    <t>Tobermory. Isle of Mull.</t>
  </si>
  <si>
    <t>Manhattan</t>
  </si>
  <si>
    <t>New Jersey, USA</t>
  </si>
  <si>
    <t>Pewsey, England</t>
  </si>
  <si>
    <t>Lancashire, UK</t>
  </si>
  <si>
    <t>Burra, Shetland</t>
  </si>
  <si>
    <t>Burn City</t>
  </si>
  <si>
    <t>Burramatta</t>
  </si>
  <si>
    <t>Brighouse, West Yorkshire</t>
  </si>
  <si>
    <t>Austin, TX</t>
  </si>
  <si>
    <t>Saint Andrews, Scotland</t>
  </si>
  <si>
    <t>Kirkmuirhill, Scotland</t>
  </si>
  <si>
    <t>Scotland, Earth</t>
  </si>
  <si>
    <t>Spain</t>
  </si>
  <si>
    <t xml:space="preserve">Europe </t>
  </si>
  <si>
    <t>Craiglang. Glasgow</t>
  </si>
  <si>
    <t>Hampshire via Stirling</t>
  </si>
  <si>
    <t>Leith</t>
  </si>
  <si>
    <t>Culbokie, Scotland</t>
  </si>
  <si>
    <t>Glasgow via Clydebank</t>
  </si>
  <si>
    <t>Sevilla</t>
  </si>
  <si>
    <t>Egham, Surrey</t>
  </si>
  <si>
    <t>Wyoming, USA</t>
  </si>
  <si>
    <t>A library somewhere</t>
  </si>
  <si>
    <t>Stonehaven, Scotland</t>
  </si>
  <si>
    <t>Great Torrington, England</t>
  </si>
  <si>
    <t>CT</t>
  </si>
  <si>
    <t>Stanley. Near the mill</t>
  </si>
  <si>
    <t>YVR - Vancouver, BC CANADA</t>
  </si>
  <si>
    <t>\u0915\u094b\u0932\u0915\u093e\u0924\u093e, \u092d\u093e\u0930\u0924</t>
  </si>
  <si>
    <t>Beaverton, OR</t>
  </si>
  <si>
    <t>Hamilton, Ontario</t>
  </si>
  <si>
    <t>59. High St, Selkirk</t>
  </si>
  <si>
    <t>kirriemuir</t>
  </si>
  <si>
    <t>Wigan, England</t>
  </si>
  <si>
    <t>En vacances</t>
  </si>
  <si>
    <t>Bochum</t>
  </si>
  <si>
    <t>Rugby, England</t>
  </si>
  <si>
    <t>Johnsburg, Illinois</t>
  </si>
  <si>
    <t xml:space="preserve">UGB England </t>
  </si>
  <si>
    <t>Salt Lake City, UT</t>
  </si>
  <si>
    <t>Derbyshire UK</t>
  </si>
  <si>
    <t>Aberystwyth</t>
  </si>
  <si>
    <t>Rochdale UK</t>
  </si>
  <si>
    <t>Bandung, Jawa Barat</t>
  </si>
  <si>
    <t>Pimple-on-the-Buttock, Warks</t>
  </si>
  <si>
    <t>Nairn, Scotland</t>
  </si>
  <si>
    <t>Falmouth, England</t>
  </si>
  <si>
    <t>Inner Hebrides, Scotland</t>
  </si>
  <si>
    <t>The University of Salford</t>
  </si>
  <si>
    <t>Johannesburg, South Africa</t>
  </si>
  <si>
    <t xml:space="preserve">Co Durham UK...now Ontario </t>
  </si>
  <si>
    <t>Punjab, Pakistan</t>
  </si>
  <si>
    <t>Edinburgh.</t>
  </si>
  <si>
    <t>Almondbank, Scotland</t>
  </si>
  <si>
    <t>Sanday, Orkney</t>
  </si>
  <si>
    <t>Cwmbach - Wales</t>
  </si>
  <si>
    <t>Community of Valencia, Spain</t>
  </si>
  <si>
    <t>Boise, Idaho</t>
  </si>
  <si>
    <t>Florida, USA</t>
  </si>
  <si>
    <t>Kirkwall, Orkney, Scotland</t>
  </si>
  <si>
    <t>india</t>
  </si>
  <si>
    <t>Hollywood, MD</t>
  </si>
  <si>
    <t>Copenhagen/Paris</t>
  </si>
  <si>
    <t>Buffalo, NY</t>
  </si>
  <si>
    <t>Nicosia, Cyprus</t>
  </si>
  <si>
    <t>The World</t>
  </si>
  <si>
    <t>Ottawa, Canada</t>
  </si>
  <si>
    <t>Crieff, Perthshire, Scotland</t>
  </si>
  <si>
    <t>pink fluffy cloud</t>
  </si>
  <si>
    <t>Wilkinsburg, PA</t>
  </si>
  <si>
    <t>Turku, Suomi</t>
  </si>
  <si>
    <t xml:space="preserve">Hogsmead </t>
  </si>
  <si>
    <t>Kingsville, TX</t>
  </si>
  <si>
    <t>Osaka,Japan</t>
  </si>
  <si>
    <t>D\xfczce</t>
  </si>
  <si>
    <t>Pie Town, NM</t>
  </si>
  <si>
    <t>Powys</t>
  </si>
  <si>
    <t>Uppsala, Sverige</t>
  </si>
  <si>
    <t>Financeland</t>
  </si>
  <si>
    <t>memphis, TN</t>
  </si>
  <si>
    <t>Chennai, India</t>
  </si>
  <si>
    <t>Minnetonka, MN USA</t>
  </si>
  <si>
    <t>Epsom</t>
  </si>
  <si>
    <t>Los Angeles, California</t>
  </si>
  <si>
    <t>The Wilderness</t>
  </si>
  <si>
    <t>Leduc, Alberta</t>
  </si>
  <si>
    <t>CAMBRIDGE, UK</t>
  </si>
  <si>
    <t>Outer Hebrides, Scotland</t>
  </si>
  <si>
    <t>Highlands &amp; Islands, Scotland</t>
  </si>
  <si>
    <t>Bucks</t>
  </si>
  <si>
    <t>New Tristram, beside the angel</t>
  </si>
  <si>
    <t>Blue Island</t>
  </si>
  <si>
    <t>Hyderabad, India</t>
  </si>
  <si>
    <t>Gie\xdfen, Deutschland</t>
  </si>
  <si>
    <t>Forres, Glasgow, Scotland</t>
  </si>
  <si>
    <t>Edmonton, Alberta</t>
  </si>
  <si>
    <t>\u274c NO DMs \u274c | #TAKEN \u2764\ufe0f</t>
  </si>
  <si>
    <t>dunfermline</t>
  </si>
  <si>
    <t>Across Ponds</t>
  </si>
  <si>
    <t>st neots, cambs</t>
  </si>
  <si>
    <t>London/Canterbury UK</t>
  </si>
  <si>
    <t>Mousehole, Cornwall</t>
  </si>
  <si>
    <t>Louisiana, USA</t>
  </si>
  <si>
    <t>Callander, Scotland</t>
  </si>
  <si>
    <t>Nehru Nagar</t>
  </si>
  <si>
    <t>Stockholm, Sverige</t>
  </si>
  <si>
    <t>Wilmslow, England</t>
  </si>
  <si>
    <t>Bengaluru, India</t>
  </si>
  <si>
    <t>City of London, London</t>
  </si>
  <si>
    <t>Sidmouth, England</t>
  </si>
  <si>
    <t>Watten=home,Liverpool=homeland</t>
  </si>
  <si>
    <t>Boston, MA</t>
  </si>
  <si>
    <t>Cowes, England</t>
  </si>
  <si>
    <t>Dunedin, New Zealand</t>
  </si>
  <si>
    <t>Amdavad, India</t>
  </si>
  <si>
    <t>Gouda</t>
  </si>
  <si>
    <t>Laguna Beach, California USA</t>
  </si>
  <si>
    <t>Orkney Scotland</t>
  </si>
  <si>
    <t>Wesht</t>
  </si>
  <si>
    <t xml:space="preserve">fleet collective, scotland </t>
  </si>
  <si>
    <t>Altrincham, Cheshire, UK</t>
  </si>
  <si>
    <t>kirkwall orkney</t>
  </si>
  <si>
    <t>Wichita, KS</t>
  </si>
  <si>
    <t>Prague</t>
  </si>
  <si>
    <t>Kapiti Coast District</t>
  </si>
  <si>
    <t>Cambridge University Library</t>
  </si>
  <si>
    <t>Dimboola, Victoria</t>
  </si>
  <si>
    <t>Chile</t>
  </si>
  <si>
    <t>Ann Arbor</t>
  </si>
  <si>
    <t>Syracuse NY</t>
  </si>
  <si>
    <t>North..... very north...</t>
  </si>
  <si>
    <t>Sunny Govan</t>
  </si>
  <si>
    <t>York, United Kingdom</t>
  </si>
  <si>
    <t>Banbury, England</t>
  </si>
  <si>
    <t>Massachusetts</t>
  </si>
  <si>
    <t>Aviemore, Scotland</t>
  </si>
  <si>
    <t>Edinburgh ish</t>
  </si>
  <si>
    <t>Culver, In</t>
  </si>
  <si>
    <t>Aachen, Deutschland</t>
  </si>
  <si>
    <t>Flowers HQ, United Kingdom</t>
  </si>
  <si>
    <t xml:space="preserve">Your Brain </t>
  </si>
  <si>
    <t>N/E Texas</t>
  </si>
  <si>
    <t>Ciudad Aut\xf3noma de Buenos Aire</t>
  </si>
  <si>
    <t>Calgary, Canada</t>
  </si>
  <si>
    <t>Moon Leaf Central</t>
  </si>
  <si>
    <t>Asia</t>
  </si>
  <si>
    <t>Highlands scotland</t>
  </si>
  <si>
    <t>Stromness, Orkney</t>
  </si>
  <si>
    <t>Cairo, Egypt</t>
  </si>
  <si>
    <t>Third Coast, USA</t>
  </si>
  <si>
    <t>Deepest Worcestershire</t>
  </si>
  <si>
    <t>The Highlands</t>
  </si>
  <si>
    <t>City of London</t>
  </si>
  <si>
    <t>Shetland Isles</t>
  </si>
  <si>
    <t>West Palm Beach, FL</t>
  </si>
  <si>
    <t>Cleveland, OH</t>
  </si>
  <si>
    <t>Sandford</t>
  </si>
  <si>
    <t>Ontario, Canada</t>
  </si>
  <si>
    <t>Ypsilanti, MI</t>
  </si>
  <si>
    <t>Hindringham Norfolk UK</t>
  </si>
  <si>
    <t>Toronto, Canada</t>
  </si>
  <si>
    <t>Grand Junction, CO</t>
  </si>
  <si>
    <t>Whereabouts Unknown</t>
  </si>
  <si>
    <t>RT Nagar, Bengaluru</t>
  </si>
  <si>
    <t>Lochcarron, Scotland</t>
  </si>
  <si>
    <t>Wirral; live Edinburgh at mo</t>
  </si>
  <si>
    <t>Ann Arbor, MI</t>
  </si>
  <si>
    <t xml:space="preserve">North. </t>
  </si>
  <si>
    <t>U.S.A.</t>
  </si>
  <si>
    <t>Occupied Eora Country</t>
  </si>
  <si>
    <t>Saskatoon, Canada</t>
  </si>
  <si>
    <t>Baltimore</t>
  </si>
  <si>
    <t>Manchester, England, UK</t>
  </si>
  <si>
    <t>100 Norfolk St. Guelph ON</t>
  </si>
  <si>
    <t>Oklahoma, USA</t>
  </si>
  <si>
    <t>Pittsburg, Kansas</t>
  </si>
  <si>
    <t>Fremantle, Perth (WA)</t>
  </si>
  <si>
    <t>Lille, France</t>
  </si>
  <si>
    <t>Wytham, Oxford</t>
  </si>
  <si>
    <t>Orphir, Orkney</t>
  </si>
  <si>
    <t>Indianapolis, IN</t>
  </si>
  <si>
    <t>Dallas, TX</t>
  </si>
  <si>
    <t>Minneapolis</t>
  </si>
  <si>
    <t>Bloor West Village; Toronto.</t>
  </si>
  <si>
    <t>Ames, Iowa</t>
  </si>
  <si>
    <t>mpls</t>
  </si>
  <si>
    <t>Silicon Valley</t>
  </si>
  <si>
    <t>Poyntzpass</t>
  </si>
  <si>
    <t>Sunny East London</t>
  </si>
  <si>
    <t>Portland, Oregon</t>
  </si>
  <si>
    <t>Faroe Islands</t>
  </si>
  <si>
    <t>Maine, USA</t>
  </si>
  <si>
    <t>Alberta</t>
  </si>
  <si>
    <t>NorCal</t>
  </si>
  <si>
    <t>Pasadena, CA</t>
  </si>
  <si>
    <t>london</t>
  </si>
  <si>
    <t>the state of this:</t>
  </si>
  <si>
    <t>Dunfermline, Fife</t>
  </si>
  <si>
    <t>Not Normal</t>
  </si>
  <si>
    <t>New Delhi, India</t>
  </si>
  <si>
    <t>Worcestershire</t>
  </si>
  <si>
    <t>Nepal</t>
  </si>
  <si>
    <t>Bow Island, Alberta</t>
  </si>
  <si>
    <t>Not Kintyre</t>
  </si>
  <si>
    <t>Bremerton, WA</t>
  </si>
  <si>
    <t>Burlington, Ontario Canada</t>
  </si>
  <si>
    <t>Barnoldswick, England</t>
  </si>
  <si>
    <t>Mississippi</t>
  </si>
  <si>
    <t>Cupar, Fife, Scotland</t>
  </si>
  <si>
    <t>Edwards, CO</t>
  </si>
  <si>
    <t>Colachel. India</t>
  </si>
  <si>
    <t>Tianjin, People's Republic of China</t>
  </si>
  <si>
    <t xml:space="preserve">Pathhead, Midlothian </t>
  </si>
  <si>
    <t>London, Centre of the Universe</t>
  </si>
  <si>
    <t>@UofGPsychology</t>
  </si>
  <si>
    <t>Bandung - Indonesia</t>
  </si>
  <si>
    <t>Salford, Bury</t>
  </si>
  <si>
    <t>700 Eglinton Avenue W, Toronto</t>
  </si>
  <si>
    <t>Isle of Islay</t>
  </si>
  <si>
    <t>southeast london</t>
  </si>
  <si>
    <t>ireland</t>
  </si>
  <si>
    <t>Earth (Malaysia)</t>
  </si>
  <si>
    <t>University of Glasgow, UK</t>
  </si>
  <si>
    <t>Newtonmore, Scotland</t>
  </si>
  <si>
    <t>Moulton, Northampton</t>
  </si>
  <si>
    <t>Southbourne, Dorset</t>
  </si>
  <si>
    <t>Peninsula, Ohio</t>
  </si>
  <si>
    <t>Toilet</t>
  </si>
  <si>
    <t>Brae Shetland Scotland ZE2 9QJ</t>
  </si>
  <si>
    <t>Tewkesbury, England</t>
  </si>
  <si>
    <t>Cirencester</t>
  </si>
  <si>
    <t>Twitter, Obvi</t>
  </si>
  <si>
    <t>Glasgow / Belfast</t>
  </si>
  <si>
    <t>Newham, London</t>
  </si>
  <si>
    <t>Utopia</t>
  </si>
  <si>
    <t>San Diego, California</t>
  </si>
  <si>
    <t>Not in Berlin</t>
  </si>
  <si>
    <t xml:space="preserve"> London</t>
  </si>
  <si>
    <t>Byram Township, NJ</t>
  </si>
  <si>
    <t>Orkney Isles</t>
  </si>
  <si>
    <t>In a black hole of research</t>
  </si>
  <si>
    <t>Chelmsford, UK</t>
  </si>
  <si>
    <t>East Anglia</t>
  </si>
  <si>
    <t>Often lurking in NW England</t>
  </si>
  <si>
    <t>Sweden</t>
  </si>
  <si>
    <t>Chichester</t>
  </si>
  <si>
    <t>Dominican Republic</t>
  </si>
  <si>
    <t>New Mexico, USA</t>
  </si>
  <si>
    <t>Northern Netherlands</t>
  </si>
  <si>
    <t>liverpool</t>
  </si>
  <si>
    <t>Auckland, NZ</t>
  </si>
  <si>
    <t>McClay Library</t>
  </si>
  <si>
    <t>Levenshulme, Manchester, UK</t>
  </si>
  <si>
    <t>Ballycastle, Northern Ireland</t>
  </si>
  <si>
    <t>@theUniversityofWarwick</t>
  </si>
  <si>
    <t>Calgary, Alberta</t>
  </si>
  <si>
    <t>Afghanistan</t>
  </si>
  <si>
    <t>Scotland / Ireland</t>
  </si>
  <si>
    <t>Surat, Gujarat</t>
  </si>
  <si>
    <t>British Columbia, Canada</t>
  </si>
  <si>
    <t xml:space="preserve">Saint Paul, MN </t>
  </si>
  <si>
    <t>St Andrews, Scotland</t>
  </si>
  <si>
    <t>Balfour, Scotland</t>
  </si>
  <si>
    <t>KC</t>
  </si>
  <si>
    <t>Hallandale Beach, FL</t>
  </si>
  <si>
    <t>Fremantle, Western Australia</t>
  </si>
  <si>
    <t>UK and Ireland</t>
  </si>
  <si>
    <t>melbourne, australia</t>
  </si>
  <si>
    <t>Dudley</t>
  </si>
  <si>
    <t>london, uk, planet 3</t>
  </si>
  <si>
    <t>united kingdom</t>
  </si>
  <si>
    <t>New Jersey</t>
  </si>
  <si>
    <t>Ladybank, Scotland</t>
  </si>
  <si>
    <t>London+Italia+M\xe9xico+ThePlanet</t>
  </si>
  <si>
    <t>Victoria, BC.</t>
  </si>
  <si>
    <t>Glasgow &amp; Isle of Harris</t>
  </si>
  <si>
    <t>Shetland Islands</t>
  </si>
  <si>
    <t>Mysore,karnataka</t>
  </si>
  <si>
    <t>Josephine County, Oregon</t>
  </si>
  <si>
    <t>Esh Winning</t>
  </si>
  <si>
    <t>Barberton, OH USA</t>
  </si>
  <si>
    <t>Chicago, Illinois</t>
  </si>
  <si>
    <t>Balham</t>
  </si>
  <si>
    <t>Israel</t>
  </si>
  <si>
    <t xml:space="preserve">Moscow </t>
  </si>
  <si>
    <t>Sunshine Coast, Queensland</t>
  </si>
  <si>
    <t>Backaskaill, Scotland</t>
  </si>
  <si>
    <t>Edinburgh &amp; Edwinstowe, Europe</t>
  </si>
  <si>
    <t>\xdcT: 51.508227,-0.104461</t>
  </si>
  <si>
    <t xml:space="preserve">Lost in a good book </t>
  </si>
  <si>
    <t>small_teething_beastie on IG</t>
  </si>
  <si>
    <t>Exiled North Walian</t>
  </si>
  <si>
    <t>Higham Ferrers, England</t>
  </si>
  <si>
    <t xml:space="preserve">Wales </t>
  </si>
  <si>
    <t>Wimborne Minster, England</t>
  </si>
  <si>
    <t>Milano, Lombardia</t>
  </si>
  <si>
    <t>Kent/the woods/the coast</t>
  </si>
  <si>
    <t>Glasvegas</t>
  </si>
  <si>
    <t>Patna, India</t>
  </si>
  <si>
    <t>The Internet</t>
  </si>
  <si>
    <t>Bethlehem, NC</t>
  </si>
  <si>
    <t>The Black Isle</t>
  </si>
  <si>
    <t>Torbay, England</t>
  </si>
  <si>
    <t>Girona/Banyoles/Tossa</t>
  </si>
  <si>
    <t>Maine</t>
  </si>
  <si>
    <t>Norwich, Norfolk, UK</t>
  </si>
  <si>
    <t>Ireland.</t>
  </si>
  <si>
    <t>pretoria</t>
  </si>
  <si>
    <t>Brussels, Belgium</t>
  </si>
  <si>
    <t>University of London</t>
  </si>
  <si>
    <t>JC Bose hostel jaipur India</t>
  </si>
  <si>
    <t>\u041c\u043e\u0441\u043a\u0432\u0430, \u0420\u043e\u0441\u0441\u0438\u044f</t>
  </si>
  <si>
    <t>Ikotun, Nigeria</t>
  </si>
  <si>
    <t>Italy</t>
  </si>
  <si>
    <t>Ice Station Zebra</t>
  </si>
  <si>
    <t>A Scot in Bristol, England</t>
  </si>
  <si>
    <t>Brasil</t>
  </si>
  <si>
    <t>Renfrew</t>
  </si>
  <si>
    <t>The Marches</t>
  </si>
  <si>
    <t>Scotland, UK</t>
  </si>
  <si>
    <t>Where I belong</t>
  </si>
  <si>
    <t>Edinburgh Scotland</t>
  </si>
  <si>
    <t xml:space="preserve">Upper Street </t>
  </si>
  <si>
    <t>Lacey, WA</t>
  </si>
  <si>
    <t>Lt 20.67359  Lng -103.34380</t>
  </si>
  <si>
    <t>Bookham, Surrey</t>
  </si>
  <si>
    <t>Ardchattan</t>
  </si>
  <si>
    <t>Oakland, CA</t>
  </si>
  <si>
    <t>Hillsborough County, Florida</t>
  </si>
  <si>
    <t>\u043c\u0430\u0442\u044c \u0420\u043e\u0441\u0441\u0438\u044f \u0434\u0430\u043b\u0435\u043a\u043e</t>
  </si>
  <si>
    <t>St Louis, MO</t>
  </si>
  <si>
    <t>Missouri, USA</t>
  </si>
  <si>
    <t>Wick</t>
  </si>
  <si>
    <t>Gloucestershire, UK</t>
  </si>
  <si>
    <t>A' Gh\xe0idhealtachd</t>
  </si>
  <si>
    <t>Marquette, MI</t>
  </si>
  <si>
    <t>lothian, scotland</t>
  </si>
  <si>
    <t>World</t>
  </si>
  <si>
    <t>SCOTLAND</t>
  </si>
  <si>
    <t>High Peak, Derbyshire</t>
  </si>
  <si>
    <t>Bethlehem, PA</t>
  </si>
  <si>
    <t>Europe</t>
  </si>
  <si>
    <t>2 West St, Penicuik, Scotland</t>
  </si>
  <si>
    <t>Cheltenham &amp; St Chinian France</t>
  </si>
  <si>
    <t>Philadelphia</t>
  </si>
  <si>
    <t>Spokane, WA</t>
  </si>
  <si>
    <t>New York</t>
  </si>
  <si>
    <t>East Kilbride</t>
  </si>
  <si>
    <t>Woodland, CA</t>
  </si>
  <si>
    <t xml:space="preserve">In, consciousness </t>
  </si>
  <si>
    <t>Carrick, Ayrshire, Scotland.</t>
  </si>
  <si>
    <t>Jewellery Quarter, Birmingham</t>
  </si>
  <si>
    <t>Framingham, Massachusetts</t>
  </si>
  <si>
    <t>Palma, Espa\xf1a</t>
  </si>
  <si>
    <t>Barking, London</t>
  </si>
  <si>
    <t>Winterfell, The North</t>
  </si>
  <si>
    <t>Frankfurt am Main, Deutschland</t>
  </si>
  <si>
    <t>Lowestoft, England</t>
  </si>
  <si>
    <t>Richmond, England</t>
  </si>
  <si>
    <t xml:space="preserve">The Norf </t>
  </si>
  <si>
    <t>Myrtle Beach, SC</t>
  </si>
  <si>
    <t>Levenwick, Shetland</t>
  </si>
  <si>
    <t>Hudson Valley</t>
  </si>
  <si>
    <t>Cape Breton, Nova Scotia</t>
  </si>
  <si>
    <t>portrush</t>
  </si>
  <si>
    <t>The North of South Yorkshire</t>
  </si>
  <si>
    <t>Lincoln</t>
  </si>
  <si>
    <t>Across Canada</t>
  </si>
  <si>
    <t>Insch, Scotland</t>
  </si>
  <si>
    <t xml:space="preserve">Adrift, betwixt seas. </t>
  </si>
  <si>
    <t>Ire/Uk</t>
  </si>
  <si>
    <t>Aldborough, England</t>
  </si>
  <si>
    <t>Peebles, Scotland</t>
  </si>
  <si>
    <t>Akron, OH</t>
  </si>
  <si>
    <t>Elgin, Scotland</t>
  </si>
  <si>
    <t>Leakey's Bookshop</t>
  </si>
  <si>
    <t>Watertown, NY</t>
  </si>
  <si>
    <t>Abingdon</t>
  </si>
  <si>
    <t>Bwlch, Brecon, UK</t>
  </si>
  <si>
    <t>Sri Lanka</t>
  </si>
  <si>
    <t>Orkney, United Kingdom</t>
  </si>
  <si>
    <t>Midlander</t>
  </si>
  <si>
    <t>Auchtermuchty, Fife</t>
  </si>
  <si>
    <t>MORELIA</t>
  </si>
  <si>
    <t>2 Civic Center Dr, East  08816</t>
  </si>
  <si>
    <t>Libya</t>
  </si>
  <si>
    <t>Co Down</t>
  </si>
  <si>
    <t xml:space="preserve">Portobello, Edinburgh </t>
  </si>
  <si>
    <t xml:space="preserve">France | UK | Vietnam </t>
  </si>
  <si>
    <t>Linlithgow Sur La Mer.</t>
  </si>
  <si>
    <t>Texas - home - howdy!</t>
  </si>
  <si>
    <t>Hathern, Loughborough, England</t>
  </si>
  <si>
    <t>Silver Spring, MD</t>
  </si>
  <si>
    <t>Hackensack, NJ</t>
  </si>
  <si>
    <t>Ling Roper</t>
  </si>
  <si>
    <t>Andhra Pradesh, India</t>
  </si>
  <si>
    <t>Calhoun, GA</t>
  </si>
  <si>
    <t>Kembra, Ruvaneth Unys</t>
  </si>
  <si>
    <t>Rampur Hat, West Bengal</t>
  </si>
  <si>
    <t>Inverurie, Scotland</t>
  </si>
  <si>
    <t>Tampere, Suomi</t>
  </si>
  <si>
    <t>Goldilocks Zone</t>
  </si>
  <si>
    <t>Merseyside, England</t>
  </si>
  <si>
    <t>Planet Earth</t>
  </si>
  <si>
    <t>Merrye Shyppe of Fooles; also, ReTweets &amp; Favourites mean NOWT.</t>
  </si>
  <si>
    <t>Monroe, IN</t>
  </si>
  <si>
    <t>Lucknow, India</t>
  </si>
  <si>
    <t xml:space="preserve">U.K. </t>
  </si>
  <si>
    <t xml:space="preserve">The Great Outdoors </t>
  </si>
  <si>
    <t>Waveney Valley, Europe</t>
  </si>
  <si>
    <t>Edinburgh/Fife Riviera</t>
  </si>
  <si>
    <t>Ukraine</t>
  </si>
  <si>
    <t>Edinburgh-Liverpool</t>
  </si>
  <si>
    <t>Montrose, Scotland</t>
  </si>
  <si>
    <t>Stromness, Orkney Islands, UK</t>
  </si>
  <si>
    <t>Northumberland, UK</t>
  </si>
  <si>
    <t>Indore, India</t>
  </si>
  <si>
    <t>Elgin/Inverness</t>
  </si>
  <si>
    <t>Portland, Maine</t>
  </si>
  <si>
    <t>Atlanta, GA</t>
  </si>
  <si>
    <t>Tamworth, England</t>
  </si>
  <si>
    <t>Manly, Australia</t>
  </si>
  <si>
    <t>Warren, NJ</t>
  </si>
  <si>
    <t>Suomi</t>
  </si>
  <si>
    <t>South West Scotland</t>
  </si>
  <si>
    <t xml:space="preserve">Aston University, Birmingham </t>
  </si>
  <si>
    <t>The North Coast, OH</t>
  </si>
  <si>
    <t>Atlanta</t>
  </si>
  <si>
    <t>Northern VA</t>
  </si>
  <si>
    <t>Pinellas County, FL</t>
  </si>
  <si>
    <t>The Monastry</t>
  </si>
  <si>
    <t>The Shittas Empire</t>
  </si>
  <si>
    <t>Docklands , London</t>
  </si>
  <si>
    <t xml:space="preserve"> Wales, UK</t>
  </si>
  <si>
    <t>Mid Wales</t>
  </si>
  <si>
    <t>Peshawar,Pakistan</t>
  </si>
  <si>
    <t>Escondido, CA</t>
  </si>
  <si>
    <t>Taguig City</t>
  </si>
  <si>
    <t>Thurso, Scotland</t>
  </si>
  <si>
    <t>SHILLONG</t>
  </si>
  <si>
    <t>Kirbister, Scotland</t>
  </si>
  <si>
    <t>Nutbrook Studios, SE15 4JU</t>
  </si>
  <si>
    <t>Caerdydd</t>
  </si>
  <si>
    <t>Bentley, Perth (WA)</t>
  </si>
  <si>
    <t>Marion, OH</t>
  </si>
  <si>
    <t>Strathalbyn, South Australia</t>
  </si>
  <si>
    <t>York/on a bike</t>
  </si>
  <si>
    <t>Snollygoster</t>
  </si>
  <si>
    <t>East Lothian</t>
  </si>
  <si>
    <t>Bury Saint Edmunds, England</t>
  </si>
  <si>
    <t xml:space="preserve">La Falda - C\xf3rdoba </t>
  </si>
  <si>
    <t>Washington State</t>
  </si>
  <si>
    <t>\u0938\u0941\u092a\u094c\u0932, \u092d\u093e\u0930\u0924</t>
  </si>
  <si>
    <t>New Galloway, Scotland</t>
  </si>
  <si>
    <t>YVR</t>
  </si>
  <si>
    <t>Victoria, Australia</t>
  </si>
  <si>
    <t>Heerlen</t>
  </si>
  <si>
    <t>Boca Raton, FL</t>
  </si>
  <si>
    <t>Baden-W\xfcrttemberg, Deutschland</t>
  </si>
  <si>
    <t>Cuddalore, India</t>
  </si>
  <si>
    <t>Vancouver, BC</t>
  </si>
  <si>
    <t>Summer</t>
  </si>
  <si>
    <t>Sant Joan Desp\xed</t>
  </si>
  <si>
    <t>Joe Suggs House</t>
  </si>
  <si>
    <t>Eastbourne, England</t>
  </si>
  <si>
    <t>Bronx, NY</t>
  </si>
  <si>
    <t xml:space="preserve">Perthshire, Scotland </t>
  </si>
  <si>
    <t>Muirhouse, Edinburgh</t>
  </si>
  <si>
    <t>Earth.</t>
  </si>
  <si>
    <t>Twatt, Scotland</t>
  </si>
  <si>
    <t>Oban, Scotland</t>
  </si>
  <si>
    <t>Raleigh, NC</t>
  </si>
  <si>
    <t>Manchester,  UK</t>
  </si>
  <si>
    <t>British Library</t>
  </si>
  <si>
    <t>Shoreham-by-Sea, England</t>
  </si>
  <si>
    <t>Bower, Wick, Caithness</t>
  </si>
  <si>
    <t>Madrid, Comunidad de Madrid</t>
  </si>
  <si>
    <t>Romiley, Cheshire</t>
  </si>
  <si>
    <t xml:space="preserve">Houston,TX </t>
  </si>
  <si>
    <t xml:space="preserve">Orkney, Scotland </t>
  </si>
  <si>
    <t>Highlands &amp; Islands</t>
  </si>
  <si>
    <t>Whitstable</t>
  </si>
  <si>
    <t>Tulsa, OK</t>
  </si>
  <si>
    <t>Cheltenham and Edinburgh</t>
  </si>
  <si>
    <t>London and Essex UK</t>
  </si>
  <si>
    <t>London UK</t>
  </si>
  <si>
    <t>Edinburgh, United Kingdom</t>
  </si>
  <si>
    <t>Campbeltown, Scotland</t>
  </si>
  <si>
    <t>Ayr, Scotland</t>
  </si>
  <si>
    <t>Right here</t>
  </si>
  <si>
    <t>Everywhere I can be.</t>
  </si>
  <si>
    <t>Yorkshire Dales.....now then!</t>
  </si>
  <si>
    <t>Dakota County MN</t>
  </si>
  <si>
    <t>Amsterdam, The Netherlands</t>
  </si>
  <si>
    <t>PA</t>
  </si>
  <si>
    <t>Minnesota</t>
  </si>
  <si>
    <t>Bethnal Green, London E2</t>
  </si>
  <si>
    <t>Papua, Indonesia</t>
  </si>
  <si>
    <t>Carrbridge</t>
  </si>
  <si>
    <t>Northerner lost in the South</t>
  </si>
  <si>
    <t>Leicester/Lancaster</t>
  </si>
  <si>
    <t xml:space="preserve">Raheny Dublin </t>
  </si>
  <si>
    <t>Luddenden Foot, England</t>
  </si>
  <si>
    <t>Manc</t>
  </si>
  <si>
    <t>bay area</t>
  </si>
  <si>
    <t>Stuck inside your mailbox</t>
  </si>
  <si>
    <t>Ayrshire, Scotland</t>
  </si>
  <si>
    <t>Stonehenge Stone Circle</t>
  </si>
  <si>
    <t>Queensland, Australia</t>
  </si>
  <si>
    <t>Nomad</t>
  </si>
  <si>
    <t>G\xf6teborg</t>
  </si>
  <si>
    <t>Kerala</t>
  </si>
  <si>
    <t>Republic of The Gambia</t>
  </si>
  <si>
    <t>everywhere</t>
  </si>
  <si>
    <t xml:space="preserve">Warri </t>
  </si>
  <si>
    <t>North East, UK</t>
  </si>
  <si>
    <t xml:space="preserve">Florida </t>
  </si>
  <si>
    <t>Norwich, NY</t>
  </si>
  <si>
    <t>KOBE JAPAN</t>
  </si>
  <si>
    <t>Global world / based in France</t>
  </si>
  <si>
    <t>Mardan, Pakistan</t>
  </si>
  <si>
    <t>Tankerton Croxley Azeit\xe3o</t>
  </si>
  <si>
    <t>Glasgow / London</t>
  </si>
  <si>
    <t>Still homesick for New England</t>
  </si>
  <si>
    <t>Cornwall</t>
  </si>
  <si>
    <t>Pembrey, Wales</t>
  </si>
  <si>
    <t>nottingham</t>
  </si>
  <si>
    <t>Yorkshire and The Humber</t>
  </si>
  <si>
    <t>Berlin</t>
  </si>
  <si>
    <t>Islamabad, Pakistan</t>
  </si>
  <si>
    <t>UK &amp; Brittany</t>
  </si>
  <si>
    <t>Huddersfield, West Yorkshire</t>
  </si>
  <si>
    <t xml:space="preserve">second star to the right </t>
  </si>
  <si>
    <t>Pennsyvlania</t>
  </si>
  <si>
    <t>Ciombatore</t>
  </si>
  <si>
    <t>Kemnay, Scotland</t>
  </si>
  <si>
    <t>Lincoln, Nebraska</t>
  </si>
  <si>
    <t>Oregon, USA</t>
  </si>
  <si>
    <t>Montr\xe9al, Qu\xe9bec</t>
  </si>
  <si>
    <t>\ubd88\ud3b8\ud558\uc2dc\uba74 \ube14\ub77d/\ube14\uc5b8\ube14 \ubd80\ud0c1\ud569\ub2c8\ub2e4</t>
  </si>
  <si>
    <t>N.S.</t>
  </si>
  <si>
    <t>Noida, India</t>
  </si>
  <si>
    <t>North Wollongong, Wollongong</t>
  </si>
  <si>
    <t>england</t>
  </si>
  <si>
    <t>Surat, India</t>
  </si>
  <si>
    <t>Somerset,KY</t>
  </si>
  <si>
    <t>Nigeria</t>
  </si>
  <si>
    <t>Skokie, IL</t>
  </si>
  <si>
    <t>Asheville, NC</t>
  </si>
  <si>
    <t>Bogra, Bangladesh</t>
  </si>
  <si>
    <t>US</t>
  </si>
  <si>
    <t>nyc</t>
  </si>
  <si>
    <t xml:space="preserve">Up North </t>
  </si>
  <si>
    <t>Santa's Workshop, North Pole</t>
  </si>
  <si>
    <t>S\xe3o Paulo</t>
  </si>
  <si>
    <t>EH5 3NP</t>
  </si>
  <si>
    <t>Dunfermline Scotland UK</t>
  </si>
  <si>
    <t>Brazil</t>
  </si>
  <si>
    <t>Kapiti &amp; Horowhenua</t>
  </si>
  <si>
    <t>Cambridge, England or SE Asia</t>
  </si>
  <si>
    <t>York Region</t>
  </si>
  <si>
    <t>OKC, OK--I love this town!</t>
  </si>
  <si>
    <t>NY \u2022 DC \u2022 SC \u2022 \U0001f1fa\U0001f1f8</t>
  </si>
  <si>
    <t>all over the shop</t>
  </si>
  <si>
    <t xml:space="preserve">Procrastinationland </t>
  </si>
  <si>
    <t>Erewhon</t>
  </si>
  <si>
    <t xml:space="preserve">I live locally. </t>
  </si>
  <si>
    <t>Kendal</t>
  </si>
  <si>
    <t>Berlin, Germany</t>
  </si>
  <si>
    <t>Granite State</t>
  </si>
  <si>
    <t>Edinburgh U.K.</t>
  </si>
  <si>
    <t>Tonbridge, Kent</t>
  </si>
  <si>
    <t>UK\xae</t>
  </si>
  <si>
    <t xml:space="preserve">Hyrule </t>
  </si>
  <si>
    <t>Aylesbury, England</t>
  </si>
  <si>
    <t>iPhone: -33.882858,151.204224</t>
  </si>
  <si>
    <t>did i make eufloria</t>
  </si>
  <si>
    <t xml:space="preserve">\u262dprincipality of she/her\u262d </t>
  </si>
  <si>
    <t>Laandan Tan</t>
  </si>
  <si>
    <t>norwich, uk</t>
  </si>
  <si>
    <t>Royal Tunbridge Wells, England</t>
  </si>
  <si>
    <t>scotland via los angeles</t>
  </si>
  <si>
    <t>Basingstoke, England</t>
  </si>
  <si>
    <t>orkney</t>
  </si>
  <si>
    <t>Oranjeville, South Africa</t>
  </si>
  <si>
    <t>San Mateo County, California</t>
  </si>
  <si>
    <t>past where the sidewalk ends</t>
  </si>
  <si>
    <t>BKK</t>
  </si>
  <si>
    <t>Metz - france</t>
  </si>
  <si>
    <t>California</t>
  </si>
  <si>
    <t>Dalston Sq, Hackney, London</t>
  </si>
  <si>
    <t>V\xe2lcea, Rom\xe2nia</t>
  </si>
  <si>
    <t>Have guitar, will travel</t>
  </si>
  <si>
    <t>Parkdale, Toronto, Canada</t>
  </si>
  <si>
    <t>Rantau Selatan, Indonesia</t>
  </si>
  <si>
    <t>Parts Unknown (Stockport)</t>
  </si>
  <si>
    <t>Linlithgow, Scotland</t>
  </si>
  <si>
    <t>Scotland, Phil. Scotland.</t>
  </si>
  <si>
    <t>Black Isle, Scottish Highlands</t>
  </si>
  <si>
    <t>Narberth, Wales</t>
  </si>
  <si>
    <t>Griffith University</t>
  </si>
  <si>
    <t xml:space="preserve">@VoteHeughan </t>
  </si>
  <si>
    <t>in pieces</t>
  </si>
  <si>
    <t>Unst, Shetland Islands</t>
  </si>
  <si>
    <t xml:space="preserve">California </t>
  </si>
  <si>
    <t>Jersey City, NJ</t>
  </si>
  <si>
    <t>Northampton, UK</t>
  </si>
  <si>
    <t>Washington, DC and UMD</t>
  </si>
  <si>
    <t>Canongate, Edinburgh (C.H.I.)</t>
  </si>
  <si>
    <t>Behind the sofa</t>
  </si>
  <si>
    <t>Olds, AB</t>
  </si>
  <si>
    <t>shf - pdx</t>
  </si>
  <si>
    <t>N 56\xb023' 0'' / W 3\xb026' 0''</t>
  </si>
  <si>
    <t>Location: your mom's</t>
  </si>
  <si>
    <t>Wolverhampton</t>
  </si>
  <si>
    <t>Limbo</t>
  </si>
  <si>
    <t>where you wish you were...</t>
  </si>
  <si>
    <t>Kilmacolm, Scotland</t>
  </si>
  <si>
    <t>Nashville</t>
  </si>
  <si>
    <t>Hebden Bridge, England</t>
  </si>
  <si>
    <t>Montana / Ireland</t>
  </si>
  <si>
    <t xml:space="preserve">Glasgow, Scotland </t>
  </si>
  <si>
    <t>Cumbria &amp; Newcastle-upon-Tyne</t>
  </si>
  <si>
    <t>Cincinnati, OH</t>
  </si>
  <si>
    <t>Kampala, Uganda</t>
  </si>
  <si>
    <t>Cantabria</t>
  </si>
  <si>
    <t>Green Brook, NJ</t>
  </si>
  <si>
    <t>Pleasanton, Livermore &amp; Dublin</t>
  </si>
  <si>
    <t>Thurso, Caithness</t>
  </si>
  <si>
    <t>Hampshire UK. &amp; Sometimes Mars</t>
  </si>
  <si>
    <t>Eaglesham, Glasgow</t>
  </si>
  <si>
    <t>Racib\xf3rz</t>
  </si>
  <si>
    <t>Le Feral Peninsula, Adelaide</t>
  </si>
  <si>
    <t>Ruston, LA</t>
  </si>
  <si>
    <t>Website</t>
  </si>
  <si>
    <t>Seattle, WA</t>
  </si>
  <si>
    <t>Plantsville, CT</t>
  </si>
  <si>
    <t>Bellevue, Edinburgh</t>
  </si>
  <si>
    <t>Instagram:MistaMontana</t>
  </si>
  <si>
    <t>Ears, heart, head, soul.</t>
  </si>
  <si>
    <t>Orkney islands</t>
  </si>
  <si>
    <t>Isle of Skye, Scotland</t>
  </si>
  <si>
    <t>North East Scotland</t>
  </si>
  <si>
    <t>they/them</t>
  </si>
  <si>
    <t>West Sussex/North Wales</t>
  </si>
  <si>
    <t>Canterbury, England</t>
  </si>
  <si>
    <t>Denver, Colorado</t>
  </si>
  <si>
    <t>Pelham, NY</t>
  </si>
  <si>
    <t>fife</t>
  </si>
  <si>
    <t>King's Lynn, England</t>
  </si>
  <si>
    <t>Arizona, USA</t>
  </si>
  <si>
    <t>Itanagar, India</t>
  </si>
  <si>
    <t>Denver, CO</t>
  </si>
  <si>
    <t>Norwich, United Kingdom</t>
  </si>
  <si>
    <t>Winkleigh, England</t>
  </si>
  <si>
    <t>North Pole, AK</t>
  </si>
  <si>
    <t>#SpaceStation1</t>
  </si>
  <si>
    <t>\u092e\u0941\u0930\u093e\u0926\u093e\u092c\u093e\u0926, \u092d\u093e\u0930\u0924</t>
  </si>
  <si>
    <t>San Diego County</t>
  </si>
  <si>
    <t>Argentina\U0001f1e6\U0001f1f7</t>
  </si>
  <si>
    <t>SF</t>
  </si>
  <si>
    <t>aberdoom, scotland</t>
  </si>
  <si>
    <t>Cowes PO31, UK</t>
  </si>
  <si>
    <t>43.012 N 88.232 W</t>
  </si>
  <si>
    <t>Tema</t>
  </si>
  <si>
    <t>SHREWSBURY Shropshire England</t>
  </si>
  <si>
    <t>Bedfordshire</t>
  </si>
  <si>
    <t>Here and there</t>
  </si>
  <si>
    <t>Queen Creek, AZ</t>
  </si>
  <si>
    <t>Mesa, AZ</t>
  </si>
  <si>
    <t>Fairfax, VA</t>
  </si>
  <si>
    <t>Location Independent</t>
  </si>
  <si>
    <t>Where the two meet</t>
  </si>
  <si>
    <t>Memphis, TN</t>
  </si>
  <si>
    <t>Edinburgh and London</t>
  </si>
  <si>
    <t>Ellon</t>
  </si>
  <si>
    <t>CDF</t>
  </si>
  <si>
    <t>MALTA</t>
  </si>
  <si>
    <t>Southend</t>
  </si>
  <si>
    <t>Tarland</t>
  </si>
  <si>
    <t>Colchester, Nova Scotia</t>
  </si>
  <si>
    <t>Pilton, Edinburgh</t>
  </si>
  <si>
    <t>Harrogate</t>
  </si>
  <si>
    <t>Boat of Garten, Scotland</t>
  </si>
  <si>
    <t>Changes at any given moment...</t>
  </si>
  <si>
    <t>London,Kingston Jam &amp; New York</t>
  </si>
  <si>
    <t>University of Strathclyde</t>
  </si>
  <si>
    <t>Walthamstow, London</t>
  </si>
  <si>
    <t xml:space="preserve">Renfrewshire, Scotland </t>
  </si>
  <si>
    <t>Streatham, London</t>
  </si>
  <si>
    <t>People's Republic of Derby</t>
  </si>
  <si>
    <t>glasgow</t>
  </si>
  <si>
    <t>Berkshire \U0001f1ec\U0001f1e7 &amp; Malta \U0001f1f2\U0001f1f9</t>
  </si>
  <si>
    <t>Edinburgh Scotland UK</t>
  </si>
  <si>
    <t>Saket Dilhe</t>
  </si>
  <si>
    <t>Kansas City</t>
  </si>
  <si>
    <t>Up the creek.</t>
  </si>
  <si>
    <t>So Calif + FB Live + YouTube</t>
  </si>
  <si>
    <t>Nashville, TN</t>
  </si>
  <si>
    <t>On the Plaza</t>
  </si>
  <si>
    <t>Victoria Island, Nigeria</t>
  </si>
  <si>
    <t>seattle oakland berlin</t>
  </si>
  <si>
    <t>Grantham</t>
  </si>
  <si>
    <t>all over with stories to write</t>
  </si>
  <si>
    <t>Like me on Facebook:</t>
  </si>
  <si>
    <t xml:space="preserve">West Yorkshire </t>
  </si>
  <si>
    <t>Glasgow, Scotland UK,</t>
  </si>
  <si>
    <t>Isle of Luing, Argyll Scotland</t>
  </si>
  <si>
    <t>chesterfield, derbyshire</t>
  </si>
  <si>
    <t>Barnstaple, England</t>
  </si>
  <si>
    <t>Denmark</t>
  </si>
  <si>
    <t>Berlin/Glasgow/NYC</t>
  </si>
  <si>
    <t>Carletonville, South Africa</t>
  </si>
  <si>
    <t>iPhone: 52.024685,-0.696854</t>
  </si>
  <si>
    <t xml:space="preserve">Highlands and Islands </t>
  </si>
  <si>
    <t>United Kingdom.</t>
  </si>
  <si>
    <t>32 Windsor Gardens</t>
  </si>
  <si>
    <t>the forest of the night</t>
  </si>
  <si>
    <t>HereThereEverywhere</t>
  </si>
  <si>
    <t>@Ice_crystal 's garden.</t>
  </si>
  <si>
    <t>Hookland</t>
  </si>
  <si>
    <t>London E14</t>
  </si>
  <si>
    <t>Exile</t>
  </si>
  <si>
    <t>Copenhagen, Denmark</t>
  </si>
  <si>
    <t xml:space="preserve">Zambia, Malawi, Ecuador, UK </t>
  </si>
  <si>
    <t>Adams, WI</t>
  </si>
  <si>
    <t>Hertford, East</t>
  </si>
  <si>
    <t>Marcoussis, France</t>
  </si>
  <si>
    <t>Bordeaux, France</t>
  </si>
  <si>
    <t>378 Muswell Hill Bdwy N10 1DJ</t>
  </si>
  <si>
    <t>Shetland Isles, Scotland</t>
  </si>
  <si>
    <t>Dinant, Belgique</t>
  </si>
  <si>
    <t>Kilwinning, Scotland, UK</t>
  </si>
  <si>
    <t>Illinois, USA</t>
  </si>
  <si>
    <t>Moseley, Birmingham</t>
  </si>
  <si>
    <t>Suffolk, England</t>
  </si>
  <si>
    <t>Russia St.Petersburg</t>
  </si>
  <si>
    <t>Thurso / Ibrox / North Sea</t>
  </si>
  <si>
    <t>Glasgow, UK.</t>
  </si>
  <si>
    <t>Warwick, England</t>
  </si>
  <si>
    <t>Carrbridge, Scotland</t>
  </si>
  <si>
    <t>On the Threshold of a Dream...</t>
  </si>
  <si>
    <t>mons circum purpura majestatem</t>
  </si>
  <si>
    <t>Stoddenage-on-Sea</t>
  </si>
  <si>
    <t>Sutherland/Teesside</t>
  </si>
  <si>
    <t>Glasgow. Scotland.</t>
  </si>
  <si>
    <t>Michigan, USA</t>
  </si>
  <si>
    <t>\u2708\ufe0f</t>
  </si>
  <si>
    <t>Vermont, USA</t>
  </si>
  <si>
    <t>Sussex</t>
  </si>
  <si>
    <t>Scotland UK Worldwide</t>
  </si>
  <si>
    <t xml:space="preserve">Snapchat:crazytish </t>
  </si>
  <si>
    <t xml:space="preserve">Dunblane . Edinburgh . Celtic </t>
  </si>
  <si>
    <t>Waterloo, Iowa</t>
  </si>
  <si>
    <t>Lancaster</t>
  </si>
  <si>
    <t>Highlands Ranch, Colorado</t>
  </si>
  <si>
    <t>Australia/Worldwide.</t>
  </si>
  <si>
    <t>Bedfordshire, ex-Llanelli</t>
  </si>
  <si>
    <t xml:space="preserve">Barcelona </t>
  </si>
  <si>
    <t>\u3082\u3063\u304d\u308a\u30df\u30eb\u30af\u30db\u30fc\u30eb</t>
  </si>
  <si>
    <t>UK&amp;USA</t>
  </si>
  <si>
    <t>Kilwinning, Ayrshire</t>
  </si>
  <si>
    <t>Princes Risborough, England</t>
  </si>
  <si>
    <t>East Dunbartonshire</t>
  </si>
  <si>
    <t>CCA Glasgow</t>
  </si>
  <si>
    <t>Amsterdam, North Holland</t>
  </si>
  <si>
    <t>Alloa</t>
  </si>
  <si>
    <t>Sheffield and London</t>
  </si>
  <si>
    <t>55\xb057\u203233\u2033 N  3\xb012\u203250\u2033 W</t>
  </si>
  <si>
    <t>Epsom and London</t>
  </si>
  <si>
    <t>Hackney</t>
  </si>
  <si>
    <t>East &amp; West Sussex</t>
  </si>
  <si>
    <t>Rome</t>
  </si>
  <si>
    <t>Frome</t>
  </si>
  <si>
    <t>Alyth, Scotland</t>
  </si>
  <si>
    <t>www.thecatchpoleagency.co.uk</t>
  </si>
  <si>
    <t>Selinsgrove, PA</t>
  </si>
  <si>
    <t>near Helensburgh, Scotland</t>
  </si>
  <si>
    <t>Stratford-upon-Avon</t>
  </si>
  <si>
    <t>snodland near maidstone</t>
  </si>
  <si>
    <t>Poole, England</t>
  </si>
  <si>
    <t xml:space="preserve">Laurieston, Castle Douglas, </t>
  </si>
  <si>
    <t>Frankfurt</t>
  </si>
  <si>
    <t>Kintyre</t>
  </si>
  <si>
    <t>Edinburgh, South Queensferry</t>
  </si>
  <si>
    <t>Argyll and the Isles</t>
  </si>
  <si>
    <t>here</t>
  </si>
  <si>
    <t>brahman barie</t>
  </si>
  <si>
    <t>Washington D.C.</t>
  </si>
  <si>
    <t>Lymm</t>
  </si>
  <si>
    <t>Taranaki Region, New Zealand</t>
  </si>
  <si>
    <t>Stanley, Falkland Islands</t>
  </si>
  <si>
    <t>Vancouver, British Columbia</t>
  </si>
  <si>
    <t>Portgordon, Scotland</t>
  </si>
  <si>
    <t>Auld Reekie</t>
  </si>
  <si>
    <t>Western USA</t>
  </si>
  <si>
    <t>Jakarta Capital Region</t>
  </si>
  <si>
    <t>knee deep in Dixie land</t>
  </si>
  <si>
    <t>Jackson, OH</t>
  </si>
  <si>
    <t>Cheadle Hulme, Stockport</t>
  </si>
  <si>
    <t xml:space="preserve">San Miguel de Salinas, Espa\xf1a </t>
  </si>
  <si>
    <t>California/Global</t>
  </si>
  <si>
    <t>Mid-Warks</t>
  </si>
  <si>
    <t>Lancaster UK</t>
  </si>
  <si>
    <t>France</t>
  </si>
  <si>
    <t>Sunshine Coast</t>
  </si>
  <si>
    <t>Rochester, NY</t>
  </si>
  <si>
    <t>south wales</t>
  </si>
  <si>
    <t>Bexhill, England</t>
  </si>
  <si>
    <t>Gen\xe8ve, Suisse</t>
  </si>
  <si>
    <t>Hampden Park, Glasgow</t>
  </si>
  <si>
    <t>Glasgow ///// Inverness</t>
  </si>
  <si>
    <t>Kettering, UK</t>
  </si>
  <si>
    <t>Connecticut and Northumberland</t>
  </si>
  <si>
    <t>The wishing well</t>
  </si>
  <si>
    <t>Scottish Highlands</t>
  </si>
  <si>
    <t>archaeologist</t>
  </si>
  <si>
    <t>north yorkshire</t>
  </si>
  <si>
    <t>The North</t>
  </si>
  <si>
    <t>Georgia, USA</t>
  </si>
  <si>
    <t>East Lothian, Scotland</t>
  </si>
  <si>
    <t>Huntsville, Alabama</t>
  </si>
  <si>
    <t>Nether Kinmundy, Scotland</t>
  </si>
  <si>
    <t>Beyond the wall</t>
  </si>
  <si>
    <t>Twin Cities, MN</t>
  </si>
  <si>
    <t>Odenwald</t>
  </si>
  <si>
    <t>Mobile Alabama</t>
  </si>
  <si>
    <t>Hawick, Scotland</t>
  </si>
  <si>
    <t>Stoke-on-Trent, England.</t>
  </si>
  <si>
    <t xml:space="preserve">Orkney Scotland UK </t>
  </si>
  <si>
    <t>Crofting Counties | Scotland</t>
  </si>
  <si>
    <t>OutlanderWorld</t>
  </si>
  <si>
    <t>Occitanie - Paris - l'Ailleurs</t>
  </si>
  <si>
    <t>Sydney, NSW, Australia (OZ)</t>
  </si>
  <si>
    <t>Christchurch City, New Zealand</t>
  </si>
  <si>
    <t>Isle of Skye, Scotand</t>
  </si>
  <si>
    <t>Pacific Northwest</t>
  </si>
  <si>
    <t>Canada \u2194 Italy \u2194 UK \u2022 Ireland</t>
  </si>
  <si>
    <t>SACTOWN</t>
  </si>
  <si>
    <t>Everywhere</t>
  </si>
  <si>
    <t>Tatsfield, South East</t>
  </si>
  <si>
    <t>Nova Scotia, Canada</t>
  </si>
  <si>
    <t xml:space="preserve">Bounty hunter, Twix gatherer. </t>
  </si>
  <si>
    <t>Vienna, Austria</t>
  </si>
  <si>
    <t>Houghton, MI</t>
  </si>
  <si>
    <t>Isle of Man</t>
  </si>
  <si>
    <t>asheville, nc</t>
  </si>
  <si>
    <t>The Ottawa Valley</t>
  </si>
  <si>
    <t>Eboracum</t>
  </si>
  <si>
    <t>Nipomo, California</t>
  </si>
  <si>
    <t>Leuchars Station</t>
  </si>
  <si>
    <t>Western Massachusetts</t>
  </si>
  <si>
    <t xml:space="preserve">128 Princes Street </t>
  </si>
  <si>
    <t>Rhosllanerchrugog, Wales</t>
  </si>
  <si>
    <t>Turin, Italy</t>
  </si>
  <si>
    <t>Frome Somerset</t>
  </si>
  <si>
    <t>The Peak District</t>
  </si>
  <si>
    <t>SWINDON</t>
  </si>
  <si>
    <t>Amsterdam</t>
  </si>
  <si>
    <t>Sconeshire</t>
  </si>
  <si>
    <t>Whalsay,Shetland,UK</t>
  </si>
  <si>
    <t>Brittany &amp; GB</t>
  </si>
  <si>
    <t>Winchester, VA</t>
  </si>
  <si>
    <t>Renfrewshire</t>
  </si>
  <si>
    <t xml:space="preserve">Jersey </t>
  </si>
  <si>
    <t>Brecon</t>
  </si>
  <si>
    <t>Lidk\xf6ping med omnejd</t>
  </si>
  <si>
    <t>Daliburgh, Scotland</t>
  </si>
  <si>
    <t>Fife, Scotland</t>
  </si>
  <si>
    <t>Watertown, MA</t>
  </si>
  <si>
    <t xml:space="preserve">Summertown, Oxford, UK </t>
  </si>
  <si>
    <t>Tain, Scotland</t>
  </si>
  <si>
    <t>Burray, Orkney Isles</t>
  </si>
  <si>
    <t>Derbyshire Peak District</t>
  </si>
  <si>
    <t xml:space="preserve">Scotti , scotia </t>
  </si>
  <si>
    <t>Rothbury Northumberland</t>
  </si>
  <si>
    <t>Highlands and Islands</t>
  </si>
  <si>
    <t>SE London</t>
  </si>
  <si>
    <t>Gods Own Country</t>
  </si>
  <si>
    <t>This beautiful planet</t>
  </si>
  <si>
    <t>The desolate North East</t>
  </si>
  <si>
    <t>Fabulous Farr, Inverness, UK</t>
  </si>
  <si>
    <t>Anglesey/Ynys Mon - UK</t>
  </si>
  <si>
    <t>scapa orkney</t>
  </si>
  <si>
    <t>Downtown Houston</t>
  </si>
  <si>
    <t xml:space="preserve">The wrong side of history. </t>
  </si>
  <si>
    <t>Hilbre, Wirral, UK</t>
  </si>
  <si>
    <t xml:space="preserve">Leeds, Edinburgh </t>
  </si>
  <si>
    <t>GVRD</t>
  </si>
  <si>
    <t>Isle of Islay, Scotland.</t>
  </si>
  <si>
    <t>Dundee/Orkney</t>
  </si>
  <si>
    <t>Orkney Islands</t>
  </si>
  <si>
    <t>Stoke-on-Trent, England</t>
  </si>
  <si>
    <t>Inverness/Trabboch</t>
  </si>
  <si>
    <t>Glasgow.</t>
  </si>
  <si>
    <t>Soviet Canuckistan</t>
  </si>
  <si>
    <t>Stockholm</t>
  </si>
  <si>
    <t xml:space="preserve">Endiang, Alberta </t>
  </si>
  <si>
    <t>Ume\xe5</t>
  </si>
  <si>
    <t>Tillicoultry, Scotland</t>
  </si>
  <si>
    <t>Cradley Heath, West Mids</t>
  </si>
  <si>
    <t>Houston</t>
  </si>
  <si>
    <t>Elgin</t>
  </si>
  <si>
    <t>Blackpool, England</t>
  </si>
  <si>
    <t>Catterick Garrison, England</t>
  </si>
  <si>
    <t>Inverness &amp; Cromarty</t>
  </si>
  <si>
    <t>DURHAM, ENGLAND</t>
  </si>
  <si>
    <t>Glasgow, Scotland, UK</t>
  </si>
  <si>
    <t>Greensboro, NC</t>
  </si>
  <si>
    <t>Just north of Lincoln</t>
  </si>
  <si>
    <t xml:space="preserve">Nurth </t>
  </si>
  <si>
    <t>worldwide</t>
  </si>
  <si>
    <t>Probably in a distillery</t>
  </si>
  <si>
    <t>Orkney Islands, Scotland, UK</t>
  </si>
  <si>
    <t xml:space="preserve">Manchester. </t>
  </si>
  <si>
    <t>Carlisle</t>
  </si>
  <si>
    <t>scalloway</t>
  </si>
  <si>
    <t>Vignola, Emilia Romagna</t>
  </si>
  <si>
    <t>Ferno</t>
  </si>
  <si>
    <t>Forrest, Moray</t>
  </si>
  <si>
    <t>Shetland, Scotland, UK</t>
  </si>
  <si>
    <t>Athens, Greece</t>
  </si>
  <si>
    <t>zurich</t>
  </si>
  <si>
    <t>Otley, England</t>
  </si>
  <si>
    <t>Savona</t>
  </si>
  <si>
    <t>Sobore Travel Plaza</t>
  </si>
  <si>
    <t>Helensburgh Pro Scotland</t>
  </si>
  <si>
    <t>N53\xb0 32' 18.161 O9\xb0 53' 15.151</t>
  </si>
  <si>
    <t>Isle Of Skye, Scotland</t>
  </si>
  <si>
    <t>Barcelona, Catalunya/Catalonia</t>
  </si>
  <si>
    <t>East Coast</t>
  </si>
  <si>
    <t>northwest</t>
  </si>
  <si>
    <t>Geneva, Switzerland</t>
  </si>
  <si>
    <t xml:space="preserve">Right Here </t>
  </si>
  <si>
    <t>Phoenix, AZ</t>
  </si>
  <si>
    <t>Republic of Croatia</t>
  </si>
  <si>
    <t>London &amp; Nottingham</t>
  </si>
  <si>
    <t>Rehabilitation Centre, India</t>
  </si>
  <si>
    <t>Fresno, CA</t>
  </si>
  <si>
    <t>Sydney Australia</t>
  </si>
  <si>
    <t>* journeys * places * culture</t>
  </si>
  <si>
    <t>Park City, UT</t>
  </si>
  <si>
    <t>Keele, England</t>
  </si>
  <si>
    <t>Elgin, Moray, Scotland</t>
  </si>
  <si>
    <t>Townsville, Queensland</t>
  </si>
  <si>
    <t>Colchester</t>
  </si>
  <si>
    <t>Perth &amp; Kinross, Scotland</t>
  </si>
  <si>
    <t>Weston-super-Mare, England</t>
  </si>
  <si>
    <t>Vienna, VA</t>
  </si>
  <si>
    <t>At the Beach \u2b50</t>
  </si>
  <si>
    <t>Cambuslang, Scotland</t>
  </si>
  <si>
    <t>Registered Charity No. 1158557</t>
  </si>
  <si>
    <t>Albany, NY</t>
  </si>
  <si>
    <t>Midwest U.S.A.</t>
  </si>
  <si>
    <t>Pembrokeshire - Sir Benfro</t>
  </si>
  <si>
    <t>Las Cruces, NM</t>
  </si>
  <si>
    <t>South Kensington, London</t>
  </si>
  <si>
    <t>Rawalpindi, Pakistan</t>
  </si>
  <si>
    <t>Manchester..for now</t>
  </si>
  <si>
    <t>Add me on facebook</t>
  </si>
  <si>
    <t>Leeds, West Yorkshire</t>
  </si>
  <si>
    <t>Aberystwyth/Birmingham</t>
  </si>
  <si>
    <t>BSFC #1160</t>
  </si>
  <si>
    <t>Highcliffe, Dorset</t>
  </si>
  <si>
    <t>whitstable, kent</t>
  </si>
  <si>
    <t xml:space="preserve">Barcelona, Catalunya </t>
  </si>
  <si>
    <t>\u0e41\u0e02\u0e27\u0e07\u0e44\u0e0a\u0e22\u0e30\u0e1a\u0e39\u0e25\u0e35</t>
  </si>
  <si>
    <t>Southport, England</t>
  </si>
  <si>
    <t>Sordid Little Grief Hole</t>
  </si>
  <si>
    <t>Oxfordshire, UK</t>
  </si>
  <si>
    <t>La Mirada, CA</t>
  </si>
  <si>
    <t>Harringay, London</t>
  </si>
  <si>
    <t>derbyshire</t>
  </si>
  <si>
    <t>Livingston/Edinburgh, Scotland</t>
  </si>
  <si>
    <t>Reims, Champagne-Ardenne</t>
  </si>
  <si>
    <t>Cambridge, Ontario</t>
  </si>
  <si>
    <t>under the table</t>
  </si>
  <si>
    <t>Gadigal land</t>
  </si>
  <si>
    <t>Melbourne, VIC, Australia</t>
  </si>
  <si>
    <t>8103 West Tower Ave MKE, WI</t>
  </si>
  <si>
    <t>sydney</t>
  </si>
  <si>
    <t>McKinney Tx</t>
  </si>
  <si>
    <t>Glasgow, Scotland, Europe</t>
  </si>
  <si>
    <t>Outside your house.</t>
  </si>
  <si>
    <t>Oxfordshire (via Yorkshire)</t>
  </si>
  <si>
    <t>Gorgie, Edinburgh</t>
  </si>
  <si>
    <t>Orange County, California</t>
  </si>
  <si>
    <t>Grande Prairie, AB</t>
  </si>
  <si>
    <t>Bern</t>
  </si>
  <si>
    <t>Portishead, Bristol</t>
  </si>
  <si>
    <t>Fort Lauderdale</t>
  </si>
  <si>
    <t>Des Moines IA/ Grand Island NE</t>
  </si>
  <si>
    <t>Providence, RI</t>
  </si>
  <si>
    <t>Claypole, near Newark</t>
  </si>
  <si>
    <t>Salkia, Haora</t>
  </si>
  <si>
    <t>Inside my offline pseudonym.</t>
  </si>
  <si>
    <t>Deeping St Nicholas</t>
  </si>
  <si>
    <t>Ypsilanti, Michigan</t>
  </si>
  <si>
    <t>Brentford</t>
  </si>
  <si>
    <t>New South Wales, Australia</t>
  </si>
  <si>
    <t>Hartlepool, England</t>
  </si>
  <si>
    <t>Brighton, UK</t>
  </si>
  <si>
    <t xml:space="preserve">Somewhere </t>
  </si>
  <si>
    <t>North Cornwall, UK</t>
  </si>
  <si>
    <t>Living on gubbi gubbi land</t>
  </si>
  <si>
    <t>Old Market Bristol UK</t>
  </si>
  <si>
    <t>Bengaluru South, India</t>
  </si>
  <si>
    <t>Sydney, NSW</t>
  </si>
  <si>
    <t>Ohio</t>
  </si>
  <si>
    <t>\u092d\u093e\u0930\u0924</t>
  </si>
  <si>
    <t>New Providence, NJ</t>
  </si>
  <si>
    <t>Botad, India</t>
  </si>
  <si>
    <t>Cardiff, previously Fishguard</t>
  </si>
  <si>
    <t xml:space="preserve">Bristal </t>
  </si>
  <si>
    <t>US &amp; Canada</t>
  </si>
  <si>
    <t>Whitstable and Devon</t>
  </si>
  <si>
    <t>Ville F\xe9d\xe9rale de Buenos Aires</t>
  </si>
  <si>
    <t>\xdcT: 38.244512,-85.577513</t>
  </si>
  <si>
    <t>Intu MentroCentre</t>
  </si>
  <si>
    <t>Parts Unknown</t>
  </si>
  <si>
    <t>Copper Hill, VA</t>
  </si>
  <si>
    <t>Detroit</t>
  </si>
  <si>
    <t>Denver</t>
  </si>
  <si>
    <t>N.Devon</t>
  </si>
  <si>
    <t>Louisville, Kentucky</t>
  </si>
  <si>
    <t>Dublin, Ireland | Minot, ND</t>
  </si>
  <si>
    <t>Caerphilly County, Wales</t>
  </si>
  <si>
    <t xml:space="preserve">The Mansion, N. Warks. </t>
  </si>
  <si>
    <t>London. Kent. The road</t>
  </si>
  <si>
    <t>The Beach in Spain</t>
  </si>
  <si>
    <t>Lebanon</t>
  </si>
  <si>
    <t>\u0627\u0644\u0645\u0645\u0644\u0643\u0629 \u0627\u0644\u0639\u0631\u0628\u064a\u0629 \u0627\u0644\u0633\u0639\u0648\u062f\u064a\u0629</t>
  </si>
  <si>
    <t>Desk</t>
  </si>
  <si>
    <t>Hayward, CA</t>
  </si>
  <si>
    <t>Houston, Texas</t>
  </si>
  <si>
    <t>northampton</t>
  </si>
  <si>
    <t>Landan</t>
  </si>
  <si>
    <t>East Lothian,  Scotland</t>
  </si>
  <si>
    <t>Cumbernauld, Glasgow</t>
  </si>
  <si>
    <t>Burnsville, WV</t>
  </si>
  <si>
    <t>Rajshahi, Bangladesh</t>
  </si>
  <si>
    <t>Aurora, Ohio</t>
  </si>
  <si>
    <t>Jakarta</t>
  </si>
  <si>
    <t>Southern Appalachian Mountains</t>
  </si>
  <si>
    <t>B.C.</t>
  </si>
  <si>
    <t>Lincoln, England</t>
  </si>
  <si>
    <t>Washington DC</t>
  </si>
  <si>
    <t>Sanibel, FL</t>
  </si>
  <si>
    <t>"My heart is something"</t>
  </si>
  <si>
    <t>Hull, UK</t>
  </si>
  <si>
    <t>London &amp; Worldwide</t>
  </si>
  <si>
    <t>Penn's Woods</t>
  </si>
  <si>
    <t>SW Scotland UK</t>
  </si>
  <si>
    <t>Black Iron Prison</t>
  </si>
  <si>
    <t>alvin@alvinlindsay.co.uk</t>
  </si>
  <si>
    <t>Scotland North</t>
  </si>
  <si>
    <t xml:space="preserve">Aviemore, Cairngorms </t>
  </si>
  <si>
    <t>Tumbler</t>
  </si>
  <si>
    <t>Hawke's Bay, New Zealand</t>
  </si>
  <si>
    <t>Putrajaya</t>
  </si>
  <si>
    <t>Springfield, MA</t>
  </si>
  <si>
    <t>56 Degrees North</t>
  </si>
  <si>
    <t>Exotic Onta Rio</t>
  </si>
  <si>
    <t>Rainy Fascist Island</t>
  </si>
  <si>
    <t>Assam, India</t>
  </si>
  <si>
    <t>Berkhamsted</t>
  </si>
  <si>
    <t>Sydney, AU</t>
  </si>
  <si>
    <t>Passion Goes Places</t>
  </si>
  <si>
    <t>South East London via Hastings</t>
  </si>
  <si>
    <t>Naharlagun,</t>
  </si>
  <si>
    <t>Montreal</t>
  </si>
  <si>
    <t>Shakin' my bits to the hits</t>
  </si>
  <si>
    <t>Manitoba</t>
  </si>
  <si>
    <t>In a house</t>
  </si>
  <si>
    <t>Himatangi Beach</t>
  </si>
  <si>
    <t>Mysore, India</t>
  </si>
  <si>
    <t>A Turtle's Back</t>
  </si>
  <si>
    <t>Limerick, Ireland</t>
  </si>
  <si>
    <t>vgc lekki Lagos</t>
  </si>
  <si>
    <t>Rockville, MD</t>
  </si>
  <si>
    <t>Your Library</t>
  </si>
  <si>
    <t>Tampa, FL</t>
  </si>
  <si>
    <t>E17, London</t>
  </si>
  <si>
    <t>Cranfield, England</t>
  </si>
  <si>
    <t>Dundee, Tayside, Scotland</t>
  </si>
  <si>
    <t>Crookesmoon</t>
  </si>
  <si>
    <t>St Margaret's Hope Orkney</t>
  </si>
  <si>
    <t>QI HQ</t>
  </si>
  <si>
    <t>Nairobi, Kenya</t>
  </si>
  <si>
    <t>Sunshine Coast Australia</t>
  </si>
  <si>
    <t>Wicklow, Ireland</t>
  </si>
  <si>
    <t>Crystal Palace London SE19</t>
  </si>
  <si>
    <t>At the back of your mind.</t>
  </si>
  <si>
    <t xml:space="preserve">East Dunbartonshire </t>
  </si>
  <si>
    <t>Florence &amp; Edinburgh</t>
  </si>
  <si>
    <t>Birmingham and Coventry, UK</t>
  </si>
  <si>
    <t>Japan</t>
  </si>
  <si>
    <t>Edinburgh UK</t>
  </si>
  <si>
    <t>Isle of Mull, Scotland</t>
  </si>
  <si>
    <t>Hiroshima</t>
  </si>
  <si>
    <t>Currently Dallas area</t>
  </si>
  <si>
    <t>Literary News. Authors. Books.</t>
  </si>
  <si>
    <t>Brighton!</t>
  </si>
  <si>
    <t>North easterly</t>
  </si>
  <si>
    <t>S-Town, USA</t>
  </si>
  <si>
    <t>Konstanz/Elsewhere</t>
  </si>
  <si>
    <t>London, mostly</t>
  </si>
  <si>
    <t xml:space="preserve">Alba, Scotia, Scotland </t>
  </si>
  <si>
    <t>Kentucky</t>
  </si>
  <si>
    <t xml:space="preserve">Time Honoured Lancaster </t>
  </si>
  <si>
    <t>Aubervilliers, France</t>
  </si>
  <si>
    <t xml:space="preserve">Awkum </t>
  </si>
  <si>
    <t>I'm in Europe now</t>
  </si>
  <si>
    <t>South of England</t>
  </si>
  <si>
    <t xml:space="preserve">Brooklyn, OH </t>
  </si>
  <si>
    <t>Ullapool, Ross-shire, Scotland</t>
  </si>
  <si>
    <t>Somalia</t>
  </si>
  <si>
    <t>Alba (Scotland)</t>
  </si>
  <si>
    <t xml:space="preserve">Oxford </t>
  </si>
  <si>
    <t>Saltaire</t>
  </si>
  <si>
    <t>Cambridge, Massachusetts, USA</t>
  </si>
  <si>
    <t>Mercat Cross, Edinburgh</t>
  </si>
  <si>
    <t>Nearish (... very ish) Glasgow</t>
  </si>
  <si>
    <t>Scotland and Milton Keynes</t>
  </si>
  <si>
    <t xml:space="preserve">SW Scotland/London </t>
  </si>
  <si>
    <t>Edinburgh &amp; Glasgow</t>
  </si>
  <si>
    <t>Cymru - Wales</t>
  </si>
  <si>
    <t>Trinity College Library Dublin</t>
  </si>
  <si>
    <t>Here and now</t>
  </si>
  <si>
    <t>London, U.K.</t>
  </si>
  <si>
    <t>menstrie, clacks</t>
  </si>
  <si>
    <t>Appleton, WI</t>
  </si>
  <si>
    <t>Buy my book here \U0001f447</t>
  </si>
  <si>
    <t>Perth, Perth (WA)</t>
  </si>
  <si>
    <t>some exotic, dream fantasy</t>
  </si>
  <si>
    <t>Peoples Republic South Yorks</t>
  </si>
  <si>
    <t>53\xb023'09N  01\xb028'10W</t>
  </si>
  <si>
    <t>New Delhi</t>
  </si>
  <si>
    <t>#1o5C \U0001f310 #Global #Emergency \U0001f33b</t>
  </si>
  <si>
    <t>68 St Stephen Street, Stockbridge, Edinburgh</t>
  </si>
  <si>
    <t>Risca, Wales</t>
  </si>
  <si>
    <t>Founded 2/2014</t>
  </si>
  <si>
    <t>Northern Virginia and D.C.</t>
  </si>
  <si>
    <t>Next to a warm soldering iron.</t>
  </si>
  <si>
    <t>Tallahassee, FL</t>
  </si>
  <si>
    <t xml:space="preserve">Austin, TX </t>
  </si>
  <si>
    <t>Kirkwall</t>
  </si>
  <si>
    <t>Inverbervie &amp; Aboyne, Scotland</t>
  </si>
  <si>
    <t>Santa Barbara, Ca.</t>
  </si>
  <si>
    <t>Iraq</t>
  </si>
  <si>
    <t xml:space="preserve">North Somerset </t>
  </si>
  <si>
    <t>Shrapshireshire</t>
  </si>
  <si>
    <t>WorldWide</t>
  </si>
  <si>
    <t>Inverurie, nr Aberdeen, UK</t>
  </si>
  <si>
    <t>Tampere, Finland</t>
  </si>
  <si>
    <t>Brussels - Edinburgh</t>
  </si>
  <si>
    <t>Perth,Scotland&amp;Naperville USA</t>
  </si>
  <si>
    <t>Oklahoma</t>
  </si>
  <si>
    <t>The Peak District, UK</t>
  </si>
  <si>
    <t>Land Of Enchantment.</t>
  </si>
  <si>
    <t>Slytherin Common Room</t>
  </si>
  <si>
    <t>West Yorskhire</t>
  </si>
  <si>
    <t>A faded kingdom</t>
  </si>
  <si>
    <t>Bury St Edmunds ButterMarket</t>
  </si>
  <si>
    <t>Fort Saskatchewan, AB</t>
  </si>
  <si>
    <t>Pennsylvania</t>
  </si>
  <si>
    <t>Islington, London</t>
  </si>
  <si>
    <t xml:space="preserve">              PLANET LIFE</t>
  </si>
  <si>
    <t>Rotterdam, The Netherlands</t>
  </si>
  <si>
    <t>Slidell, LA</t>
  </si>
  <si>
    <t>Southport</t>
  </si>
  <si>
    <t>Manial, Cairo, Egypt.</t>
  </si>
  <si>
    <t>Australia &amp; New Zealand</t>
  </si>
  <si>
    <t>Cornwall, England</t>
  </si>
  <si>
    <t>Vancouver, BC Canada</t>
  </si>
  <si>
    <t>M\xe9rida, Espa\xf1a</t>
  </si>
  <si>
    <t>louisville, ky</t>
  </si>
  <si>
    <t>Inverness, Henley, Maldives</t>
  </si>
  <si>
    <t xml:space="preserve">earth mainly London. </t>
  </si>
  <si>
    <t>Essen, Germany</t>
  </si>
  <si>
    <t>E14 Cambridge Kent Belfast</t>
  </si>
  <si>
    <t>The Shire</t>
  </si>
  <si>
    <t>LA / NY / ATL</t>
  </si>
  <si>
    <t>Whitby, ON</t>
  </si>
  <si>
    <t>Central Oregon</t>
  </si>
  <si>
    <t>Belfast/London/Bristol/Dublin</t>
  </si>
  <si>
    <t>Sabadell</t>
  </si>
  <si>
    <t>E.London via Liverpool &amp; Derry</t>
  </si>
  <si>
    <t>Rugby</t>
  </si>
  <si>
    <t>Parkshot, Richmond TW9 2RE</t>
  </si>
  <si>
    <t>MACUSA</t>
  </si>
  <si>
    <t>Ajax, Ontario</t>
  </si>
  <si>
    <t>World!</t>
  </si>
  <si>
    <t>Kuala Lumpur Federal Territory, Malaysia</t>
  </si>
  <si>
    <t>Sussex Not On Sea</t>
  </si>
  <si>
    <t>Ibiza</t>
  </si>
  <si>
    <t>Caracas, Venezuela</t>
  </si>
  <si>
    <t>Baltimore, MD</t>
  </si>
  <si>
    <t>Albacete, Espa\xf1a</t>
  </si>
  <si>
    <t>Lerwick, Shetland Isles</t>
  </si>
  <si>
    <t>Leighton Buzzard, England</t>
  </si>
  <si>
    <t xml:space="preserve">South West Wales </t>
  </si>
  <si>
    <t>Elma, WA</t>
  </si>
  <si>
    <t>London\u25cfBristol\u25cfBrisbane\u25cfNice\u25cf</t>
  </si>
  <si>
    <t>Bath, Somerset, U.K</t>
  </si>
  <si>
    <t>Silicon Roundabout, London</t>
  </si>
  <si>
    <t>Aberystwyth, Wales</t>
  </si>
  <si>
    <t>Lower Hutt City, New Zealand</t>
  </si>
  <si>
    <t>london is the place for me</t>
  </si>
  <si>
    <t>Echuca, Victoria</t>
  </si>
  <si>
    <t>between the pages</t>
  </si>
  <si>
    <t>Bloomsbury, London</t>
  </si>
  <si>
    <t>Dunfermline &amp; Edinburgh</t>
  </si>
  <si>
    <t>People's Republic of Glasgow</t>
  </si>
  <si>
    <t>Retweets are not an endorphin</t>
  </si>
  <si>
    <t>South Yorkshire, UK</t>
  </si>
  <si>
    <t xml:space="preserve">Norwich </t>
  </si>
  <si>
    <t>Hackney, England</t>
  </si>
  <si>
    <t>san francisco c\xf3rdoba</t>
  </si>
  <si>
    <t>Amesbury via Fortrose</t>
  </si>
  <si>
    <t>Drumnadrochit, Loch Ness</t>
  </si>
  <si>
    <t>Santa Clara,  CA</t>
  </si>
  <si>
    <t>Glasgow via Aberdeen</t>
  </si>
  <si>
    <t>Twin Cities, USA</t>
  </si>
  <si>
    <t>Tunbridge Wells</t>
  </si>
  <si>
    <t>cardiff</t>
  </si>
  <si>
    <t>The Northern Wastes</t>
  </si>
  <si>
    <t>Dumfries &amp; Galloway</t>
  </si>
  <si>
    <t>Barcelona, Catalu\xf1a</t>
  </si>
  <si>
    <t>Nidderdale, North Yorkshire</t>
  </si>
  <si>
    <t>The Frozen North</t>
  </si>
  <si>
    <t>L'Olleria, Pa\xeds Valenci\xe0</t>
  </si>
  <si>
    <t>Sant Feliu de Gu\xedxols</t>
  </si>
  <si>
    <t>Santiago de Compostela, Espa\xf1a</t>
  </si>
  <si>
    <t>Burgos / Ciudad Rodrigo</t>
  </si>
  <si>
    <t>Esparreguera</t>
  </si>
  <si>
    <t>YouTube</t>
  </si>
  <si>
    <t>pacific northwest</t>
  </si>
  <si>
    <t>Nashville, TN/Edinburgh, UK</t>
  </si>
  <si>
    <t>Tamworth, Staffs, UK</t>
  </si>
  <si>
    <t>Great Missenden, Bucks.</t>
  </si>
  <si>
    <t>Folkestone</t>
  </si>
  <si>
    <t>Mordon, England</t>
  </si>
  <si>
    <t xml:space="preserve">Wingerworth </t>
  </si>
  <si>
    <t xml:space="preserve">Bradford, West Yorkshire </t>
  </si>
  <si>
    <t>\U0001f1ea\U0001f1fa</t>
  </si>
  <si>
    <t>Wasteland</t>
  </si>
  <si>
    <t>Bangor, Wales</t>
  </si>
  <si>
    <t>Bromley, Kent...</t>
  </si>
  <si>
    <t>Devon, UK</t>
  </si>
  <si>
    <t>Baden, Switzerland/iOs</t>
  </si>
  <si>
    <t>Spitalfields</t>
  </si>
  <si>
    <t>London and Cornwall</t>
  </si>
  <si>
    <t>West London</t>
  </si>
  <si>
    <t>Riddings, Derbyshire</t>
  </si>
  <si>
    <t>Chicago, USA</t>
  </si>
  <si>
    <t>edinburgh</t>
  </si>
  <si>
    <t>#sutherland</t>
  </si>
  <si>
    <t>North Northumberland</t>
  </si>
  <si>
    <t>Strasbourg, Alsace</t>
  </si>
  <si>
    <t>Bankside</t>
  </si>
  <si>
    <t>Osney Mead, Oxford. OX2 0DP</t>
  </si>
  <si>
    <t>London dweller / Dublin native</t>
  </si>
  <si>
    <t>Sowerby Bridge</t>
  </si>
  <si>
    <t xml:space="preserve">Yorkshire </t>
  </si>
  <si>
    <t>Aberdeen, Scotland.</t>
  </si>
  <si>
    <t xml:space="preserve">Ukraine </t>
  </si>
  <si>
    <t>Bristol and SW, UK</t>
  </si>
  <si>
    <t>Letham, Angus,  Scotland</t>
  </si>
  <si>
    <t xml:space="preserve">Chester/Manchester (UK) </t>
  </si>
  <si>
    <t>E10, London</t>
  </si>
  <si>
    <t>Mexico City</t>
  </si>
  <si>
    <t>The North East</t>
  </si>
  <si>
    <t xml:space="preserve">Dundee </t>
  </si>
  <si>
    <t>Sale, England</t>
  </si>
  <si>
    <t xml:space="preserve"> Beckenham</t>
  </si>
  <si>
    <t>Leeds and Bradford</t>
  </si>
  <si>
    <t>Atlanta, GA, United States</t>
  </si>
  <si>
    <t>Tennessee, USA</t>
  </si>
  <si>
    <t>Islas baleares</t>
  </si>
  <si>
    <t>London and Cromarty</t>
  </si>
  <si>
    <t>Jedburgh, Scotland</t>
  </si>
  <si>
    <t>Bryn Hafren</t>
  </si>
  <si>
    <t>Nairobi</t>
  </si>
  <si>
    <t>Salisbury</t>
  </si>
  <si>
    <t>London &amp; Saltaire</t>
  </si>
  <si>
    <t>Aberdeenshire</t>
  </si>
  <si>
    <t>Filey, England</t>
  </si>
  <si>
    <t>Perth/Glasgow</t>
  </si>
  <si>
    <t>Wisconsin, USA</t>
  </si>
  <si>
    <t>Elephant and Castle</t>
  </si>
  <si>
    <t>Kingston upon Hull</t>
  </si>
  <si>
    <t>High Peak and Sheffield</t>
  </si>
  <si>
    <t>Stockton on Tees, UK</t>
  </si>
  <si>
    <t>Bristol-ish</t>
  </si>
  <si>
    <t>Sussex, UK - wants to be in Orkney</t>
  </si>
  <si>
    <t>Leigh</t>
  </si>
  <si>
    <t>Huna, Scotland</t>
  </si>
  <si>
    <t>New York City</t>
  </si>
  <si>
    <t>One wheel in each Roses county</t>
  </si>
  <si>
    <t>South West, UK</t>
  </si>
  <si>
    <t>Angus, Scotland</t>
  </si>
  <si>
    <t>Wherever the tide flows</t>
  </si>
  <si>
    <t>Orkney Islands, Scotland</t>
  </si>
  <si>
    <t>Ardrossan  Scotland</t>
  </si>
  <si>
    <t>Wootton Bassett, UK</t>
  </si>
  <si>
    <t>...NI...!</t>
  </si>
  <si>
    <t>Mid-Wales</t>
  </si>
  <si>
    <t>Stockholm - Tokyo</t>
  </si>
  <si>
    <t>too far north</t>
  </si>
  <si>
    <t>Scotland, but cover the planet</t>
  </si>
  <si>
    <t>Wolvercote, Oxford</t>
  </si>
  <si>
    <t>Zug, Switzerland</t>
  </si>
  <si>
    <t>Kent/London</t>
  </si>
  <si>
    <t>in bristol</t>
  </si>
  <si>
    <t>Twickenham, UK</t>
  </si>
  <si>
    <t>North Yorks</t>
  </si>
  <si>
    <t>Gipsy Hill, London</t>
  </si>
  <si>
    <t>Hove</t>
  </si>
  <si>
    <t>In the studio</t>
  </si>
  <si>
    <t>Killin, Scotland</t>
  </si>
  <si>
    <t>SE23, London</t>
  </si>
  <si>
    <t>Just a hop over Hadrian's Wall</t>
  </si>
  <si>
    <t>The Orient</t>
  </si>
  <si>
    <t>Gateshead UK</t>
  </si>
  <si>
    <t>Odense, Danmark</t>
  </si>
  <si>
    <t>...</t>
  </si>
  <si>
    <t>Near Newark-on-Trent</t>
  </si>
  <si>
    <t>Penzance, UK</t>
  </si>
  <si>
    <t>Northern Ireland, United Kingd</t>
  </si>
  <si>
    <t xml:space="preserve"> Devon UK</t>
  </si>
  <si>
    <t>Kirkwall Orkney</t>
  </si>
  <si>
    <t>London England</t>
  </si>
  <si>
    <t>oldham</t>
  </si>
  <si>
    <t>dubai</t>
  </si>
  <si>
    <t>Hampshire/West Sussex</t>
  </si>
  <si>
    <t>Brighton UK</t>
  </si>
  <si>
    <t>Baildon, West Yorks</t>
  </si>
  <si>
    <t>Lewes East Sussex</t>
  </si>
  <si>
    <t>Kuala Lumpur</t>
  </si>
  <si>
    <t>Marsden, England</t>
  </si>
  <si>
    <t>Newton Rigg</t>
  </si>
  <si>
    <t>Liversedge W Yorkshire</t>
  </si>
  <si>
    <t>Nottingham UK</t>
  </si>
  <si>
    <t>Dundee Scotland Europe</t>
  </si>
  <si>
    <t>Debenham, Stowmarket</t>
  </si>
  <si>
    <t>Beautiful Manchester \u26a1\ufe0f</t>
  </si>
  <si>
    <t>Guernsey (mostly)</t>
  </si>
  <si>
    <t>Madrid</t>
  </si>
  <si>
    <t>Bourne, England</t>
  </si>
  <si>
    <t>Essex golden triangle</t>
  </si>
  <si>
    <t>Didcot, England</t>
  </si>
  <si>
    <t>London/Toronto/Berlin</t>
  </si>
  <si>
    <t xml:space="preserve">The Northumberland Coalfields </t>
  </si>
  <si>
    <t>Kitakyushu-shi Yahatanishi-ku, Fukuoka</t>
  </si>
  <si>
    <t>Orkney Isles, Scotland</t>
  </si>
  <si>
    <t>Trondheim, Norway</t>
  </si>
  <si>
    <t>Skipton, England</t>
  </si>
  <si>
    <t>Earlswood, Surrey</t>
  </si>
  <si>
    <t>Beeston, Leeds</t>
  </si>
  <si>
    <t xml:space="preserve">Glasgae </t>
  </si>
  <si>
    <t>Frankfurt, Hessen</t>
  </si>
  <si>
    <t>Walsall</t>
  </si>
  <si>
    <t>Cheddar, England</t>
  </si>
  <si>
    <t>Pendle ,Lancs &amp; West Yorkshire</t>
  </si>
  <si>
    <t>London &amp; Cambridge</t>
  </si>
  <si>
    <t>England, usually</t>
  </si>
  <si>
    <t>Bury (nr. Manchester) | UK</t>
  </si>
  <si>
    <t>St Andrews, Fife</t>
  </si>
  <si>
    <t>big time</t>
  </si>
  <si>
    <t>Newcastle, UK</t>
  </si>
  <si>
    <t>THE NORTH! ITS WET!  AND GR!M!</t>
  </si>
  <si>
    <t>Varies from day to day</t>
  </si>
  <si>
    <t>Manchester, the World.</t>
  </si>
  <si>
    <t>Wales / Scotland</t>
  </si>
  <si>
    <t>Beirut</t>
  </si>
  <si>
    <t>Glasgow , Lanarkshire</t>
  </si>
  <si>
    <t>Kent*Essex*Lochaber</t>
  </si>
  <si>
    <t>Stroud, England</t>
  </si>
  <si>
    <t>Otley, Yorkshire</t>
  </si>
  <si>
    <t>Crofton Park, London</t>
  </si>
  <si>
    <t>Stamford, England</t>
  </si>
  <si>
    <t>Edinburgh, Scotland,UK</t>
  </si>
  <si>
    <t>St Helens</t>
  </si>
  <si>
    <t>sheffield</t>
  </si>
  <si>
    <t>Chester and North Wales, UK</t>
  </si>
  <si>
    <t>yorks</t>
  </si>
  <si>
    <t>NE coast on the Tyne.</t>
  </si>
  <si>
    <t>Rome, Italy</t>
  </si>
  <si>
    <t>Shrewsbury UK</t>
  </si>
  <si>
    <t>Hawarden, Flintshire, UK</t>
  </si>
  <si>
    <t>Surrey. UK</t>
  </si>
  <si>
    <t>Brighton now Sheffiled then</t>
  </si>
  <si>
    <t>iPhone: 50.110279,8.676612</t>
  </si>
  <si>
    <t>west yorkshire</t>
  </si>
  <si>
    <t>Old Town, Eastbourne, England</t>
  </si>
  <si>
    <t>north scotland</t>
  </si>
  <si>
    <t>Bonnybridge</t>
  </si>
  <si>
    <t>Oxford via Venice</t>
  </si>
  <si>
    <t>Cardiff / Penarth</t>
  </si>
  <si>
    <t>Southsea</t>
  </si>
  <si>
    <t>Yorkshire and Northumberland</t>
  </si>
  <si>
    <t>Up North</t>
  </si>
  <si>
    <t>Glossop</t>
  </si>
  <si>
    <t>University of Bradford SOM, UK</t>
  </si>
  <si>
    <t>Winchester, England</t>
  </si>
  <si>
    <t>Brixton, England</t>
  </si>
  <si>
    <t xml:space="preserve">Austria ~ Salzbrg </t>
  </si>
  <si>
    <t>Monmouth, Wales</t>
  </si>
  <si>
    <t>Londinium</t>
  </si>
  <si>
    <t>Shetland\n</t>
  </si>
  <si>
    <t>Whitby, N Yorks</t>
  </si>
  <si>
    <t>Perthshire, Scotland</t>
  </si>
  <si>
    <t>europe</t>
  </si>
  <si>
    <t>T'North</t>
  </si>
  <si>
    <t>Eastbourne, UK</t>
  </si>
  <si>
    <t xml:space="preserve">Cumbernauld.Jock Stein Stand </t>
  </si>
  <si>
    <t>Rumford</t>
  </si>
  <si>
    <t>Newcastle Upon Tyne</t>
  </si>
  <si>
    <t>wherever I lay my hat</t>
  </si>
  <si>
    <t>Dungeons</t>
  </si>
  <si>
    <t>Newcastle</t>
  </si>
  <si>
    <t>Doncaster</t>
  </si>
  <si>
    <t>the rock</t>
  </si>
  <si>
    <t>Florence, Italy</t>
  </si>
  <si>
    <t>Guayaquil, Ecuador</t>
  </si>
  <si>
    <t>Peckham vs. Belfast</t>
  </si>
  <si>
    <t>Macclesfield</t>
  </si>
  <si>
    <t>Winchester and London</t>
  </si>
  <si>
    <t>thatcham</t>
  </si>
  <si>
    <t>Sankey</t>
  </si>
  <si>
    <t>Bristol, UK.</t>
  </si>
  <si>
    <t>DC</t>
  </si>
  <si>
    <t xml:space="preserve">that would be telling </t>
  </si>
  <si>
    <t>Fridays, Speakeasy, Belfast</t>
  </si>
  <si>
    <t>Penarth, Wales</t>
  </si>
  <si>
    <t>Llangadfan, Wales</t>
  </si>
  <si>
    <t>beverley east yorkshire</t>
  </si>
  <si>
    <t>Somewhere in Yorkshire</t>
  </si>
  <si>
    <t>huddersfield</t>
  </si>
  <si>
    <t>Kilkenny, Ireland</t>
  </si>
  <si>
    <t>Kildare via Dublin, Ireland</t>
  </si>
  <si>
    <t>Ardnamurchan</t>
  </si>
  <si>
    <t>iPhone: 55.947388,-3.365009</t>
  </si>
  <si>
    <t>East Sussex</t>
  </si>
  <si>
    <t>Norfolk, London, Orkney, Eire</t>
  </si>
  <si>
    <t>GB and CH</t>
  </si>
  <si>
    <t>Nearly everywhere</t>
  </si>
  <si>
    <t>Cheam</t>
  </si>
  <si>
    <t>Plymouth, England</t>
  </si>
  <si>
    <t>Inverness, Scotland.</t>
  </si>
  <si>
    <t xml:space="preserve">UK mostly. </t>
  </si>
  <si>
    <t>Buxtehude, Niedersachsen</t>
  </si>
  <si>
    <t>Bonn, Germany</t>
  </si>
  <si>
    <t>In the kitchen at parties</t>
  </si>
  <si>
    <t>Bradford</t>
  </si>
  <si>
    <t>Bath/Wimborne, England</t>
  </si>
  <si>
    <t>UK.</t>
  </si>
  <si>
    <t>Maud, Aberdeenshire</t>
  </si>
  <si>
    <t>Lambeth, London</t>
  </si>
  <si>
    <t>Somewhere Over The Rainbow.</t>
  </si>
  <si>
    <t>Liskeard, Cornwall</t>
  </si>
  <si>
    <t>Bucks - London - Yorkshire</t>
  </si>
  <si>
    <t>WIGTON CUMBRIA</t>
  </si>
  <si>
    <t>The County of Middlesex</t>
  </si>
  <si>
    <t>Ullapool</t>
  </si>
  <si>
    <t>London girl loving Norfolk</t>
  </si>
  <si>
    <t>The Far West</t>
  </si>
  <si>
    <t>Berkshire</t>
  </si>
  <si>
    <t>Llanrechglec</t>
  </si>
  <si>
    <t xml:space="preserve">Holmfirth </t>
  </si>
  <si>
    <t>north queensferry</t>
  </si>
  <si>
    <t>north London</t>
  </si>
  <si>
    <t>Worcestershire, GB, EU</t>
  </si>
  <si>
    <t>Cumnock, Ayrshire</t>
  </si>
  <si>
    <t>Maynooth, Ireland</t>
  </si>
  <si>
    <t>Elles hw\xe6r</t>
  </si>
  <si>
    <t>Halifax, N.S., Canada</t>
  </si>
  <si>
    <t>Glasgow &amp; South Queensferry</t>
  </si>
  <si>
    <t>home, Hereford; heart, Wasdale</t>
  </si>
  <si>
    <t>Taunton</t>
  </si>
  <si>
    <t>somewhere in the NE england</t>
  </si>
  <si>
    <t>Bishopbriggs</t>
  </si>
  <si>
    <t>Sheffield by way of Liverpool</t>
  </si>
  <si>
    <t>South Coast UK</t>
  </si>
  <si>
    <t>Knighton Powys</t>
  </si>
  <si>
    <t xml:space="preserve">Leicestershire </t>
  </si>
  <si>
    <t>Almost certainly Scotland</t>
  </si>
  <si>
    <t>...on the dock of the bay</t>
  </si>
  <si>
    <t>Xanadu</t>
  </si>
  <si>
    <t>Norf Manchester uk</t>
  </si>
  <si>
    <t>Stalybridge England</t>
  </si>
  <si>
    <t>Horsham</t>
  </si>
  <si>
    <t>Kenilworth</t>
  </si>
  <si>
    <t>Garnant - Manceinion</t>
  </si>
  <si>
    <t>Peterborough ON</t>
  </si>
  <si>
    <t>At sea/on Downs</t>
  </si>
  <si>
    <t>A desert island</t>
  </si>
  <si>
    <t>Navan</t>
  </si>
  <si>
    <t>Pembrokeshire, West Wales</t>
  </si>
  <si>
    <t>Hale, Altrincham, Cheshire</t>
  </si>
  <si>
    <t>Dunblane</t>
  </si>
  <si>
    <t>robbybullen@btinternet.com</t>
  </si>
  <si>
    <t>Isle of Arran Scotland</t>
  </si>
  <si>
    <t>south Wales</t>
  </si>
  <si>
    <t>Bristol/Bath</t>
  </si>
  <si>
    <t>Hereford, England</t>
  </si>
  <si>
    <t>Manor Park</t>
  </si>
  <si>
    <t>Communication Mondiale 76:14</t>
  </si>
  <si>
    <t>Somewhere down the crazy river</t>
  </si>
  <si>
    <t>NW &amp; SW</t>
  </si>
  <si>
    <t xml:space="preserve">Vancouver </t>
  </si>
  <si>
    <t xml:space="preserve">London, south. </t>
  </si>
  <si>
    <t>Elmsall Happy Valley</t>
  </si>
  <si>
    <t>Nantwich</t>
  </si>
  <si>
    <t xml:space="preserve">Cymru  </t>
  </si>
  <si>
    <t>\xdcT: 51.577991,-3.998881</t>
  </si>
  <si>
    <t xml:space="preserve">Brokenshires, Broken Britain </t>
  </si>
  <si>
    <t>Kingham, Oxfordshire</t>
  </si>
  <si>
    <t>South Knapdale Mid Argyll</t>
  </si>
  <si>
    <t>Garstang, Preston</t>
  </si>
  <si>
    <t>Belfast, UK</t>
  </si>
  <si>
    <t>kennington, london</t>
  </si>
  <si>
    <t xml:space="preserve">Here </t>
  </si>
  <si>
    <t>East of England</t>
  </si>
  <si>
    <t>Uddy</t>
  </si>
  <si>
    <t>Canton Library, Cardiff, Wales</t>
  </si>
  <si>
    <t>Nowhere fucking special</t>
  </si>
  <si>
    <t xml:space="preserve">South London </t>
  </si>
  <si>
    <t>Chicago, Il.</t>
  </si>
  <si>
    <t xml:space="preserve">The real capital of Scotland </t>
  </si>
  <si>
    <t>Brittany, France</t>
  </si>
  <si>
    <t>Seaside Aberdeenshire</t>
  </si>
  <si>
    <t>St Paul, MN</t>
  </si>
  <si>
    <t>Out in the fens</t>
  </si>
  <si>
    <t>DUB from YYZ</t>
  </si>
  <si>
    <t xml:space="preserve">Citizen of The World </t>
  </si>
  <si>
    <t>Derry, Northern Ireland</t>
  </si>
  <si>
    <t>Glasgow in my heart.</t>
  </si>
  <si>
    <t>Ayrshire, Scotchland</t>
  </si>
  <si>
    <t>West Country, UK</t>
  </si>
  <si>
    <t>Bath (ish)</t>
  </si>
  <si>
    <t>Auckland,New Zealand</t>
  </si>
  <si>
    <t>London, by way of western QLD</t>
  </si>
  <si>
    <t>On Planet Earth</t>
  </si>
  <si>
    <t>The once and future DJ Rascal</t>
  </si>
  <si>
    <t xml:space="preserve">Bin-dipping </t>
  </si>
  <si>
    <t>Chichester, UK</t>
  </si>
  <si>
    <t xml:space="preserve">Just here </t>
  </si>
  <si>
    <t>Bath &amp; Frome</t>
  </si>
  <si>
    <t>Worcestershire, UK.</t>
  </si>
  <si>
    <t>London, England \u2665</t>
  </si>
  <si>
    <t>Derby, England</t>
  </si>
  <si>
    <t>Usually Kemnay or off-shore</t>
  </si>
  <si>
    <t>Witham, Essex, UK EU</t>
  </si>
  <si>
    <t>Relocating to Themyscira</t>
  </si>
  <si>
    <t>Napier City, New Zealand</t>
  </si>
  <si>
    <t>Dudley/Stratford upon Avon, UK</t>
  </si>
  <si>
    <t>London UK  Los Angeles CA</t>
  </si>
  <si>
    <t>Oxon/S Northants</t>
  </si>
  <si>
    <t>Stornoway</t>
  </si>
  <si>
    <t>Elizabeth, NJ</t>
  </si>
  <si>
    <t>Wilmington, Delaware</t>
  </si>
  <si>
    <t>University of Oklahoma</t>
  </si>
  <si>
    <t>Lichfield</t>
  </si>
  <si>
    <t>Savannah, GA</t>
  </si>
  <si>
    <t>\u0391tenas</t>
  </si>
  <si>
    <t>Botley, England</t>
  </si>
  <si>
    <t>Saint Helens, England</t>
  </si>
  <si>
    <t>Essex and thereabouts</t>
  </si>
  <si>
    <t>Newport, OR</t>
  </si>
  <si>
    <t>Grimsby</t>
  </si>
  <si>
    <t>Brussels</t>
  </si>
  <si>
    <t>New Britain, CT</t>
  </si>
  <si>
    <t>Z\xfcrich</t>
  </si>
  <si>
    <t>West Yorkshire UK</t>
  </si>
  <si>
    <t>Wien</t>
  </si>
  <si>
    <t>Isle of Lewis, Scotland</t>
  </si>
  <si>
    <t>Altrincham, England</t>
  </si>
  <si>
    <t>Methuen, MA</t>
  </si>
  <si>
    <t>Milton Keynes, England</t>
  </si>
  <si>
    <t>EH?</t>
  </si>
  <si>
    <t>London SW1</t>
  </si>
  <si>
    <t>Chicago, IL, &amp; Washington, DC</t>
  </si>
  <si>
    <t>Edinburgh, Caledonia.</t>
  </si>
  <si>
    <t>Semper Fudge.</t>
  </si>
  <si>
    <t>Highlands, Scotland</t>
  </si>
  <si>
    <t>Not from around here, USA</t>
  </si>
  <si>
    <t>Melhus, Norge</t>
  </si>
  <si>
    <t>Marietta, GA</t>
  </si>
  <si>
    <t>Seattle, Washington</t>
  </si>
  <si>
    <t>PEI</t>
  </si>
  <si>
    <t xml:space="preserve">Guildford </t>
  </si>
  <si>
    <t>facebook.com/RalphsLife</t>
  </si>
  <si>
    <t>Leamington Spa, UK</t>
  </si>
  <si>
    <t>Bath, UK.</t>
  </si>
  <si>
    <t>Bexley, London</t>
  </si>
  <si>
    <t>Caithness</t>
  </si>
  <si>
    <t>Highley, England</t>
  </si>
  <si>
    <t>Mostly around Ume\xe5, Sweden</t>
  </si>
  <si>
    <t>Brockenhurst, UK</t>
  </si>
  <si>
    <t>Irish in London</t>
  </si>
  <si>
    <t>Quay Presents, Exeter, Devon</t>
  </si>
  <si>
    <t>Thistle Street, Edinburgh</t>
  </si>
  <si>
    <t xml:space="preserve">Wigan </t>
  </si>
  <si>
    <t>Saltash, England</t>
  </si>
  <si>
    <t>Hawarden, Wales</t>
  </si>
  <si>
    <t>Wigan but heart in Bolton</t>
  </si>
  <si>
    <t>Oldmeldrum</t>
  </si>
  <si>
    <t xml:space="preserve">N.E. England </t>
  </si>
  <si>
    <t>dublin</t>
  </si>
  <si>
    <t>Hampshire, United Kingdom</t>
  </si>
  <si>
    <t xml:space="preserve">North Cornwall </t>
  </si>
  <si>
    <t>Grasmere, England</t>
  </si>
  <si>
    <t xml:space="preserve">Leicester </t>
  </si>
  <si>
    <t>The Beautiful North</t>
  </si>
  <si>
    <t>All over the shop</t>
  </si>
  <si>
    <t>That Thar London</t>
  </si>
  <si>
    <t>Carcosa</t>
  </si>
  <si>
    <t>Bridge of Weir, Scotland</t>
  </si>
  <si>
    <t>Darlington, UK</t>
  </si>
  <si>
    <t>Mostly Glasgow</t>
  </si>
  <si>
    <t>hereford</t>
  </si>
  <si>
    <t>Great Crosby, Merseyside</t>
  </si>
  <si>
    <t>Scapa, Scotland</t>
  </si>
  <si>
    <t>Mitcham UK</t>
  </si>
  <si>
    <t>Cornwall, UK</t>
  </si>
  <si>
    <t>ere nd there</t>
  </si>
  <si>
    <t>South Yorkshire</t>
  </si>
  <si>
    <t>Worthing England</t>
  </si>
  <si>
    <t>United Kingdom, North West</t>
  </si>
  <si>
    <t>Selby, England</t>
  </si>
  <si>
    <t>Malm\xf6, Sweden</t>
  </si>
  <si>
    <t>Bridport \xb7 England</t>
  </si>
  <si>
    <t>Camdean. Fife. Scotland.</t>
  </si>
  <si>
    <t>Horsham Sussex</t>
  </si>
  <si>
    <t>Lake District</t>
  </si>
  <si>
    <t>Liverpuddle</t>
  </si>
  <si>
    <t>Telford Shropshire</t>
  </si>
  <si>
    <t>Haltwhistle, England</t>
  </si>
  <si>
    <t>Ramsbottom, England</t>
  </si>
  <si>
    <t>kent</t>
  </si>
  <si>
    <t>verwood</t>
  </si>
  <si>
    <t xml:space="preserve">Probably on a train. </t>
  </si>
  <si>
    <t xml:space="preserve">Belfast. Dublin. London. NYC. </t>
  </si>
  <si>
    <t>Dumbarton</t>
  </si>
  <si>
    <t>Hailey,Witney,Oxfordshire,UK</t>
  </si>
  <si>
    <t>Douchy, France</t>
  </si>
  <si>
    <t>Rovaniemi</t>
  </si>
  <si>
    <t xml:space="preserve">People's Republic of Glasgow </t>
  </si>
  <si>
    <t>Essex</t>
  </si>
  <si>
    <t>The Essex Wilderness</t>
  </si>
  <si>
    <t>Portsoy, Scotland</t>
  </si>
  <si>
    <t xml:space="preserve">Moira, Co. Armagh </t>
  </si>
  <si>
    <t xml:space="preserve">in transit </t>
  </si>
  <si>
    <t>Suffolk UK</t>
  </si>
  <si>
    <t>Stoke Poges</t>
  </si>
  <si>
    <t>Brora, Sutherland, Scotland</t>
  </si>
  <si>
    <t>Rushden</t>
  </si>
  <si>
    <t>Irvine, Scotland</t>
  </si>
  <si>
    <t>Maryburgh</t>
  </si>
  <si>
    <t>North Scotland</t>
  </si>
  <si>
    <t>#Cymru #YBontfaen</t>
  </si>
  <si>
    <t>Ballygally, Northern Ireland</t>
  </si>
  <si>
    <t>wellington</t>
  </si>
  <si>
    <t>Heswall, England</t>
  </si>
  <si>
    <t>NW,Wales,Midlands,Yorks,Humber</t>
  </si>
  <si>
    <t>Cudworth</t>
  </si>
  <si>
    <t>Lyme Regis Dorset, UK</t>
  </si>
  <si>
    <t>Letchworth</t>
  </si>
  <si>
    <t>Sandhurst, Berks, UK</t>
  </si>
  <si>
    <t>Hedon</t>
  </si>
  <si>
    <t>Stonesfield, Oxfordshire</t>
  </si>
  <si>
    <t>In front of a digital device</t>
  </si>
  <si>
    <t>Cambridgeshire</t>
  </si>
  <si>
    <t>Exeter/London/world</t>
  </si>
  <si>
    <t>Sissinghurst, Kent, UK</t>
  </si>
  <si>
    <t>Shopshire</t>
  </si>
  <si>
    <t>St Andrews Scotland</t>
  </si>
  <si>
    <t>London &amp; Bath</t>
  </si>
  <si>
    <t>Pembrokeshire</t>
  </si>
  <si>
    <t>pontefract; Yorkshire</t>
  </si>
  <si>
    <t>ENGLAND</t>
  </si>
  <si>
    <t>Derby, UK</t>
  </si>
  <si>
    <t>tooting / new cross</t>
  </si>
  <si>
    <t>somewhere</t>
  </si>
  <si>
    <t>despair</t>
  </si>
  <si>
    <t>Lerwick, Scotland</t>
  </si>
  <si>
    <t>Near Wind in the Willows river</t>
  </si>
  <si>
    <t>Chiltern Hills, UK</t>
  </si>
  <si>
    <t>Finland</t>
  </si>
  <si>
    <t>Norrlandet</t>
  </si>
  <si>
    <t>Ely, Cambs, UK</t>
  </si>
  <si>
    <t>Hebden Bridge, West Yorkshire</t>
  </si>
  <si>
    <t>the north</t>
  </si>
  <si>
    <t>Kirkcaldy, Scotland</t>
  </si>
  <si>
    <t>Linwood, Scotland</t>
  </si>
  <si>
    <t>Rayleigh</t>
  </si>
  <si>
    <t>London &amp; Manchester</t>
  </si>
  <si>
    <t>Sheffield and Manchester</t>
  </si>
  <si>
    <t>N 53\xb048' 0'' / W 9\xb031' 0''</t>
  </si>
  <si>
    <t>Caledonia</t>
  </si>
  <si>
    <t>Centre of the Universe</t>
  </si>
  <si>
    <t>NW1 UK</t>
  </si>
  <si>
    <t>Guernsey / UK / Greece</t>
  </si>
  <si>
    <t>Marlow, Bucks</t>
  </si>
  <si>
    <t>Woolwich, London</t>
  </si>
  <si>
    <t>San Francisco, California</t>
  </si>
  <si>
    <t>Agent-info@harmonicartists.com</t>
  </si>
  <si>
    <t>Salisbury/Southampton</t>
  </si>
  <si>
    <t xml:space="preserve">Isle of Skye, Scotland </t>
  </si>
  <si>
    <t>Flackwell Heath, Bucks, UK</t>
  </si>
  <si>
    <t>Luss, Scotland</t>
  </si>
  <si>
    <t>Paisley</t>
  </si>
  <si>
    <t>Sunny Uddingston</t>
  </si>
  <si>
    <t>Jackson, WY</t>
  </si>
  <si>
    <t>Driffield</t>
  </si>
  <si>
    <t>Wirral, Merseyside</t>
  </si>
  <si>
    <t>Paterson's Land, Edinburgh</t>
  </si>
  <si>
    <t>D\xfcsseldorf</t>
  </si>
  <si>
    <t>Welland, Canada</t>
  </si>
  <si>
    <t>Dupont Circle, Washington</t>
  </si>
  <si>
    <t>Strathpeffer, Scotland</t>
  </si>
  <si>
    <t>RadioENRG@gmail.com</t>
  </si>
  <si>
    <t>Jersey College for Girls, Jersey CI</t>
  </si>
  <si>
    <t>Bristol, Alnwick, Albania</t>
  </si>
  <si>
    <t xml:space="preserve">Scotland  </t>
  </si>
  <si>
    <t>Weston Rd, Ilkley, West Yorks</t>
  </si>
  <si>
    <t>Bloomington, Indiana</t>
  </si>
  <si>
    <t xml:space="preserve">Hampshire </t>
  </si>
  <si>
    <t xml:space="preserve">Scotland | Pacific Northwest </t>
  </si>
  <si>
    <t>Anstruther, Scotland</t>
  </si>
  <si>
    <t>Steeton, England</t>
  </si>
  <si>
    <t>Lagos, Nigeria</t>
  </si>
  <si>
    <t>Bollocks</t>
  </si>
  <si>
    <t>Mundijong, Western Australia</t>
  </si>
  <si>
    <t>Berkshire, UK</t>
  </si>
  <si>
    <t>Pasco, Washington</t>
  </si>
  <si>
    <t>Sherman, TX</t>
  </si>
  <si>
    <t>Stoke on Trent</t>
  </si>
  <si>
    <t>Wheatfield, NY</t>
  </si>
  <si>
    <t>Aberfeldy, Scotland</t>
  </si>
  <si>
    <t>Edinburgh, Scotland.</t>
  </si>
  <si>
    <t>Victoria, BC CANADA</t>
  </si>
  <si>
    <t>Washington, PA</t>
  </si>
  <si>
    <t>Weston-super-Mare,UK</t>
  </si>
  <si>
    <t>Wonderland</t>
  </si>
  <si>
    <t>Henderson, Nevada</t>
  </si>
  <si>
    <t>West Bromwich</t>
  </si>
  <si>
    <t>Knoxville, TN</t>
  </si>
  <si>
    <t>Antarctica</t>
  </si>
  <si>
    <t>Lanark</t>
  </si>
  <si>
    <t>Glasgow / Pasto</t>
  </si>
  <si>
    <t>In the oven, um, repository.</t>
  </si>
  <si>
    <t>Southern England</t>
  </si>
  <si>
    <t>HC Towers, London</t>
  </si>
  <si>
    <t>Derby and Derbyshire</t>
  </si>
  <si>
    <t>Salem, MA</t>
  </si>
  <si>
    <t>University of Glasgow</t>
  </si>
  <si>
    <t>in the studio</t>
  </si>
  <si>
    <t>Armadale, Scotland</t>
  </si>
  <si>
    <t>Bootle, Merseyside</t>
  </si>
  <si>
    <t>E9</t>
  </si>
  <si>
    <t>That London and that Norwich</t>
  </si>
  <si>
    <t>Petersfield</t>
  </si>
  <si>
    <t>Edinburgh Glasgow &amp; In between</t>
  </si>
  <si>
    <t>Kellogg College, Oxford</t>
  </si>
  <si>
    <t>Stafford, England</t>
  </si>
  <si>
    <t>Nibelheim</t>
  </si>
  <si>
    <t>West Dulwich, SE21 8SW</t>
  </si>
  <si>
    <t>Anstruther, Fife</t>
  </si>
  <si>
    <t>Hendon, London, UK</t>
  </si>
  <si>
    <t>Ramsbury, Wiltshire, England</t>
  </si>
  <si>
    <t>Cheltenham</t>
  </si>
  <si>
    <t>High Peak</t>
  </si>
  <si>
    <t>Berkhamsted, England</t>
  </si>
  <si>
    <t>santiago de chile</t>
  </si>
  <si>
    <t>Orkney &amp; Shetland</t>
  </si>
  <si>
    <t>Theatreland, London</t>
  </si>
  <si>
    <t>Unst, Shetland, Scotland</t>
  </si>
  <si>
    <t>surrey</t>
  </si>
  <si>
    <t>Taiwan</t>
  </si>
  <si>
    <t>County Kildare, Ireland</t>
  </si>
  <si>
    <t>Shrewsbury, UK</t>
  </si>
  <si>
    <t>Louth, Ireland</t>
  </si>
  <si>
    <t>Wicklow,Ireland</t>
  </si>
  <si>
    <t>Yorkshire UK</t>
  </si>
  <si>
    <t>going nowhere slowly</t>
  </si>
  <si>
    <t>Witney, Oxfordshire, UK</t>
  </si>
  <si>
    <t>Thurso, highland</t>
  </si>
  <si>
    <t>\xdcT: 57.448223,-4.233789</t>
  </si>
  <si>
    <t>Winlaton Mill, England</t>
  </si>
  <si>
    <t>Teesside</t>
  </si>
  <si>
    <t>B\u0336r\u0336i\u0336g\u0336h\u0336t\u0336o\u0336n\u0336, up The Downs, UK</t>
  </si>
  <si>
    <t>Pays Noir, Yookay</t>
  </si>
  <si>
    <t>From Parts Unknown</t>
  </si>
  <si>
    <t>Neath, Wales</t>
  </si>
  <si>
    <t>Outside, mostly.</t>
  </si>
  <si>
    <t>Newent, Gloucestershire</t>
  </si>
  <si>
    <t>winchester UK</t>
  </si>
  <si>
    <t>Dalwhinnie, Scotland</t>
  </si>
  <si>
    <t>Caithness, Scotland</t>
  </si>
  <si>
    <t>Cypress, TX</t>
  </si>
  <si>
    <t>Aberdour, Scotland</t>
  </si>
  <si>
    <t xml:space="preserve">Lusaka , Nairobi  , Africa </t>
  </si>
  <si>
    <t>Bradford, Yorkshire</t>
  </si>
  <si>
    <t>Orkney scotland uk</t>
  </si>
  <si>
    <t>North Norfolk, UK</t>
  </si>
  <si>
    <t>Never far away from a book.</t>
  </si>
  <si>
    <t>A small flat outside Paris. 17000km outside Paris.</t>
  </si>
  <si>
    <t>Here, now, and you?</t>
  </si>
  <si>
    <t>Wemyss Bay</t>
  </si>
  <si>
    <t>Warsaw, Poland</t>
  </si>
  <si>
    <t>Caerphilly</t>
  </si>
  <si>
    <t>Safety Harbor, FL</t>
  </si>
  <si>
    <t>Europe / SE1</t>
  </si>
  <si>
    <t>Warrington, England</t>
  </si>
  <si>
    <t>HI / MN / MI / DC / LV / CO</t>
  </si>
  <si>
    <t>\xdcT: 52.506688,13.388859</t>
  </si>
  <si>
    <t>MegaCity, Salford</t>
  </si>
  <si>
    <t>Californ'dya</t>
  </si>
  <si>
    <t>daan saaf</t>
  </si>
  <si>
    <t>Grand Haven</t>
  </si>
  <si>
    <t xml:space="preserve">Scotland &amp; Turkey </t>
  </si>
  <si>
    <t>Newcastle-upon-Tyne</t>
  </si>
  <si>
    <t>Cheshire/Manchester</t>
  </si>
  <si>
    <t>Glasgow &amp; Lanarkshire Scotland</t>
  </si>
  <si>
    <t xml:space="preserve">Barrie, ON </t>
  </si>
  <si>
    <t>Chelmsford, East</t>
  </si>
  <si>
    <t>cornwall</t>
  </si>
  <si>
    <t>Stourbridge</t>
  </si>
  <si>
    <t>Yorkshire Dales, aye!</t>
  </si>
  <si>
    <t>Not London</t>
  </si>
  <si>
    <t>Poetnesia</t>
  </si>
  <si>
    <t>South east London</t>
  </si>
  <si>
    <t>Manchester/London</t>
  </si>
  <si>
    <t>Mexico</t>
  </si>
  <si>
    <t>Earth, dammit.</t>
  </si>
  <si>
    <t>Letchworth, England</t>
  </si>
  <si>
    <t>Iceland</t>
  </si>
  <si>
    <t>Whitehall, London, UK</t>
  </si>
  <si>
    <t xml:space="preserve">In a library. </t>
  </si>
  <si>
    <t xml:space="preserve">E9 </t>
  </si>
  <si>
    <t>iPhone: 40.726042,-73.996073</t>
  </si>
  <si>
    <t>Bristol and New Zealand</t>
  </si>
  <si>
    <t>Loveland, CO</t>
  </si>
  <si>
    <t>The Danger Zone</t>
  </si>
  <si>
    <t>Coal River Valley, Tasmania</t>
  </si>
  <si>
    <t>Leaving The Earth</t>
  </si>
  <si>
    <t>+53.3 -001.5</t>
  </si>
  <si>
    <t>christchurch</t>
  </si>
  <si>
    <t>That Auckland place</t>
  </si>
  <si>
    <t>Augusta, GA</t>
  </si>
  <si>
    <t>London &amp; Suffolk</t>
  </si>
  <si>
    <t>Sussex by the sea</t>
  </si>
  <si>
    <t>Berkswell, England</t>
  </si>
  <si>
    <t>Hawke's Bay Region, New Zealand</t>
  </si>
  <si>
    <t>Dundee, Scotland (for now)</t>
  </si>
  <si>
    <t>East coast of Lancashire</t>
  </si>
  <si>
    <t>Retweets not endorsements</t>
  </si>
  <si>
    <t>NE England</t>
  </si>
  <si>
    <t>Petersfield, Hants</t>
  </si>
  <si>
    <t>The path of most #Resistance</t>
  </si>
  <si>
    <t>Galway</t>
  </si>
  <si>
    <t>Northwich / Manchester</t>
  </si>
  <si>
    <t>surrey uk</t>
  </si>
  <si>
    <t>Northern Hemisphere</t>
  </si>
  <si>
    <t>Yorkshire, God's own county</t>
  </si>
  <si>
    <t>\xdcT: 54.674449,-1.825059</t>
  </si>
  <si>
    <t>welsh wales</t>
  </si>
  <si>
    <t>Ghent</t>
  </si>
  <si>
    <t>oakland</t>
  </si>
  <si>
    <t>East Yorkshire</t>
  </si>
  <si>
    <t>Crowthorne, Berkshire, UK (51.</t>
  </si>
  <si>
    <t>D A D Z O N E</t>
  </si>
  <si>
    <t xml:space="preserve">Newcastle upon Tyne </t>
  </si>
  <si>
    <t>Canada- West Coast</t>
  </si>
  <si>
    <t>London E17</t>
  </si>
  <si>
    <t>Hammersmith, Greater London (5</t>
  </si>
  <si>
    <t>\U0001f5d1</t>
  </si>
  <si>
    <t>Bonny Ecosse!</t>
  </si>
  <si>
    <t xml:space="preserve">Wellingborough </t>
  </si>
  <si>
    <t>T1D Delhi Airport</t>
  </si>
  <si>
    <t>Lochaber, Highlands, Scotland</t>
  </si>
  <si>
    <t>Mayo, Ireland</t>
  </si>
  <si>
    <t>Lochaber</t>
  </si>
  <si>
    <t>Annwn</t>
  </si>
  <si>
    <t>Staffordshire Moorlands</t>
  </si>
  <si>
    <t>isle of lewis, scotland</t>
  </si>
  <si>
    <t>Jockistan apparently.</t>
  </si>
  <si>
    <t>Huron County, Ontario</t>
  </si>
  <si>
    <t xml:space="preserve">Wales U.K. </t>
  </si>
  <si>
    <t>Bournville</t>
  </si>
  <si>
    <t>Staffordshire Moorlands, UK</t>
  </si>
  <si>
    <t>St Helens North Libraries</t>
  </si>
  <si>
    <t>most probably in the kitchen</t>
  </si>
  <si>
    <t>Eugene, OR</t>
  </si>
  <si>
    <t>N4</t>
  </si>
  <si>
    <t>iPhone: 51.452015,-0.978019</t>
  </si>
  <si>
    <t>Kill, Kildare, Ireland</t>
  </si>
  <si>
    <t>Bandon, Cork, Ireland</t>
  </si>
  <si>
    <t>Bessacarr, England</t>
  </si>
  <si>
    <t>Gryffindor Common Room</t>
  </si>
  <si>
    <t>Hastings, East Sussex, UK</t>
  </si>
  <si>
    <t>You aint seen me, right?</t>
  </si>
  <si>
    <t>Bognor Regis, United Kingdom</t>
  </si>
  <si>
    <t>Upon this blasted heath</t>
  </si>
  <si>
    <t xml:space="preserve">M-to-the-K-to-the-E </t>
  </si>
  <si>
    <t>Cambridge (Massachusetts)</t>
  </si>
  <si>
    <t>LAish</t>
  </si>
  <si>
    <t>essex</t>
  </si>
  <si>
    <t>Hilversum, Netherlands</t>
  </si>
  <si>
    <t>Fulham</t>
  </si>
  <si>
    <t>Alva, Scotland</t>
  </si>
  <si>
    <t>#Brunei via Essex</t>
  </si>
  <si>
    <t>UK &amp; Australia, mostly</t>
  </si>
  <si>
    <t>Bowling Green, OH</t>
  </si>
  <si>
    <t>That there London</t>
  </si>
  <si>
    <t>DC-ish</t>
  </si>
  <si>
    <t>Nowhere much</t>
  </si>
  <si>
    <t>Stansted Mountfitchet, Essex</t>
  </si>
  <si>
    <t>Saffron Walden</t>
  </si>
  <si>
    <t>Have passport.  Will travel.</t>
  </si>
  <si>
    <t>Chiswick,London</t>
  </si>
  <si>
    <t>Richfield, MN</t>
  </si>
  <si>
    <t>Boreham Wood</t>
  </si>
  <si>
    <t>Madison, WI</t>
  </si>
  <si>
    <t>Letchworth Garden City</t>
  </si>
  <si>
    <t>Kitchener</t>
  </si>
  <si>
    <t xml:space="preserve">Assynt </t>
  </si>
  <si>
    <t>*Look it up</t>
  </si>
  <si>
    <t>Hebden Bridge</t>
  </si>
  <si>
    <t xml:space="preserve">Qaqortoq </t>
  </si>
  <si>
    <t>Velanne, Rhone-Alpes, France</t>
  </si>
  <si>
    <t xml:space="preserve">Aberdeenshire </t>
  </si>
  <si>
    <t>Denbigh, North Wales</t>
  </si>
  <si>
    <t>Berkeley, CA</t>
  </si>
  <si>
    <t>Probably buried under a pile of books...</t>
  </si>
  <si>
    <t>every planet has a north</t>
  </si>
  <si>
    <t>Barcelona, Catalunya</t>
  </si>
  <si>
    <t>I live next to my neighbours!</t>
  </si>
  <si>
    <t>Springfield MA</t>
  </si>
  <si>
    <t>163 Goldsmith Avenue, Southsea</t>
  </si>
  <si>
    <t>Barcelona</t>
  </si>
  <si>
    <t>Paris  London</t>
  </si>
  <si>
    <t>Wanstead Flats</t>
  </si>
  <si>
    <t>Citoyen du monde</t>
  </si>
  <si>
    <t>Belo Horizonte, Brasil</t>
  </si>
  <si>
    <t>Britain</t>
  </si>
  <si>
    <t>Jamestown, New York</t>
  </si>
  <si>
    <t>West Middlesex, just north of the Thames, south of the Brent.</t>
  </si>
  <si>
    <t xml:space="preserve">Dublin </t>
  </si>
  <si>
    <t>Eggleston, Virginia</t>
  </si>
  <si>
    <t>Celso, Planet of Zidonian &amp; New Boston, Ruins of US</t>
  </si>
  <si>
    <t>Livingston Manor, NY</t>
  </si>
  <si>
    <t>Herzogenrath, Deutschland</t>
  </si>
  <si>
    <t xml:space="preserve">Sometimes NY Sometimes LA </t>
  </si>
  <si>
    <t>Danville, IL</t>
  </si>
  <si>
    <t>Newington, Connecticut</t>
  </si>
  <si>
    <t>London &amp; Elsewhere</t>
  </si>
  <si>
    <t>St. Marys, Ontario</t>
  </si>
  <si>
    <t>Paducah, KY</t>
  </si>
  <si>
    <t>North Perth, Ontario</t>
  </si>
  <si>
    <t>1901 E. 20th St, Joplin, MO</t>
  </si>
  <si>
    <t>Fairfield, CT</t>
  </si>
  <si>
    <t>Bairnsdale, Australia</t>
  </si>
  <si>
    <t>Cymru / Wales</t>
  </si>
  <si>
    <t>Lund, Sweden</t>
  </si>
  <si>
    <t>Tarn-et-Garonne, Midi-Pyr\xe9n\xe9es</t>
  </si>
  <si>
    <t>Hamilton, Scotland</t>
  </si>
  <si>
    <t>Skelmersdale, UK</t>
  </si>
  <si>
    <t>Melbourne Australia</t>
  </si>
  <si>
    <t>UK, USA, NZ</t>
  </si>
  <si>
    <t>Scanning news for your benefit</t>
  </si>
  <si>
    <t>Newcastle Upon Tyne, UK</t>
  </si>
  <si>
    <t>Holm, Scotland</t>
  </si>
  <si>
    <t>Worcestershire/London</t>
  </si>
  <si>
    <t>Centennial, Colorado</t>
  </si>
  <si>
    <t>Broad Street, Oxford, UK</t>
  </si>
  <si>
    <t>Lerwick, Shetland</t>
  </si>
  <si>
    <t>Lewes, England</t>
  </si>
  <si>
    <t>Hemsworth, England</t>
  </si>
  <si>
    <t>Chipping Campden</t>
  </si>
  <si>
    <t>Reigate, Surrey</t>
  </si>
  <si>
    <t>A bright red pillar-box</t>
  </si>
  <si>
    <t>Kissimmee, FL</t>
  </si>
  <si>
    <t>Multan, Pakistan</t>
  </si>
  <si>
    <t>Isle of Harris</t>
  </si>
  <si>
    <t>Wrexham, Wales</t>
  </si>
  <si>
    <t>Niflheim</t>
  </si>
  <si>
    <t>Eday, Orkney</t>
  </si>
  <si>
    <t>Ledbury | London | NYC</t>
  </si>
  <si>
    <t xml:space="preserve">#Heavenbound #Boomer #ayiti </t>
  </si>
  <si>
    <t>Gilbert, AZ</t>
  </si>
  <si>
    <t>Under the Iron Sea</t>
  </si>
  <si>
    <t>South Aussie</t>
  </si>
  <si>
    <t xml:space="preserve">Buenos Aires, Argentina </t>
  </si>
  <si>
    <t>The World at Large</t>
  </si>
  <si>
    <t>Quito</t>
  </si>
  <si>
    <t>Kalmar, Sweden</t>
  </si>
  <si>
    <t>On an adventure</t>
  </si>
  <si>
    <t>Apollo, PA</t>
  </si>
  <si>
    <t>Third-floor corridor, Hogwarts</t>
  </si>
  <si>
    <t>Halifax, NS</t>
  </si>
  <si>
    <t>Muscat, Oman</t>
  </si>
  <si>
    <t xml:space="preserve">Thurso,Caithness  </t>
  </si>
  <si>
    <t>T.A.R.D.I.S.</t>
  </si>
  <si>
    <t>Ramos Mej\xeda. Pcia. de BA. Ar.</t>
  </si>
  <si>
    <t>Argentina</t>
  </si>
  <si>
    <t>Dubbo, New South Wales</t>
  </si>
  <si>
    <t>Perfidious Albion</t>
  </si>
  <si>
    <t>Chipping Campden, UK</t>
  </si>
  <si>
    <t>Muttenz, Schweiz</t>
  </si>
  <si>
    <t>Conwy North Wales</t>
  </si>
  <si>
    <t>NYC/Outer Hebrides</t>
  </si>
  <si>
    <t>Paraparaumu Beach, NZ</t>
  </si>
  <si>
    <t xml:space="preserve">Dublin. </t>
  </si>
  <si>
    <t>Off World</t>
  </si>
  <si>
    <t>Surrey, UK, EU</t>
  </si>
  <si>
    <t>Various</t>
  </si>
  <si>
    <t xml:space="preserve">melvich </t>
  </si>
  <si>
    <t>Accrington, Lancashire, UK</t>
  </si>
  <si>
    <t>Seacoast, NH</t>
  </si>
  <si>
    <t>Orkney/London</t>
  </si>
  <si>
    <t>manchester//mynydd isa</t>
  </si>
  <si>
    <t>Newport</t>
  </si>
  <si>
    <t>Kihei, Hawaii</t>
  </si>
  <si>
    <t>Scotland, Europe</t>
  </si>
  <si>
    <t>leicester</t>
  </si>
  <si>
    <t>Kirkintilloch</t>
  </si>
  <si>
    <t>planet Earth</t>
  </si>
  <si>
    <t>Mega City 1</t>
  </si>
  <si>
    <t>Lewes UK</t>
  </si>
  <si>
    <t>Upton, MA</t>
  </si>
  <si>
    <t>Carmarthen</t>
  </si>
  <si>
    <t xml:space="preserve">Kirklees </t>
  </si>
  <si>
    <t>Evansville, Indiana</t>
  </si>
  <si>
    <t>n</t>
  </si>
  <si>
    <t>Orphir, Scotland</t>
  </si>
  <si>
    <t>Montreal,Qc</t>
  </si>
  <si>
    <t xml:space="preserve">Poets Corner, Paisley, </t>
  </si>
  <si>
    <t>Scotland: Nation of Lions</t>
  </si>
  <si>
    <t>Edinburgh/ Shetland</t>
  </si>
  <si>
    <t>Manchester &amp; Edinburgh</t>
  </si>
  <si>
    <t>St Andrews, Cayman, Everywhere</t>
  </si>
  <si>
    <t>Champaign, IL</t>
  </si>
  <si>
    <t>North Yorkshire,UK</t>
  </si>
  <si>
    <t>Dublin, Ireland.</t>
  </si>
  <si>
    <t>Belgia</t>
  </si>
  <si>
    <t>Sidcup, United Kingdom</t>
  </si>
  <si>
    <t>Canberra, Australia</t>
  </si>
  <si>
    <t>\u273f:\xa6:\u2764-\u2022:*\u01b8\u0335\u0321\u04dc\u0335\u0328\u0304\u01b7*:\u2022-\u2764:\xa6:\u273f</t>
  </si>
  <si>
    <t>Smyle City - MT</t>
  </si>
  <si>
    <t>\xdcT: 33.67771,-95.562732</t>
  </si>
  <si>
    <t>Orlando</t>
  </si>
  <si>
    <t>The North Way (Norway)</t>
  </si>
  <si>
    <t xml:space="preserve">Baltimore </t>
  </si>
  <si>
    <t xml:space="preserve">Isle of Skye/Glasgow </t>
  </si>
  <si>
    <t>West end</t>
  </si>
  <si>
    <t>Winford, England</t>
  </si>
  <si>
    <t>Drummuir, Scotland</t>
  </si>
  <si>
    <t>Rochester</t>
  </si>
  <si>
    <t>Fremont, US</t>
  </si>
  <si>
    <t>Chiddingstone</t>
  </si>
  <si>
    <t xml:space="preserve">Upper Coll, Back, Isle of Lewis, Scotland </t>
  </si>
  <si>
    <t>Sheffield / Leeds</t>
  </si>
  <si>
    <t>University of New England</t>
  </si>
  <si>
    <t>Enfield, London</t>
  </si>
  <si>
    <t>Ponders End, Enfield</t>
  </si>
  <si>
    <t>Third Realm on the Left</t>
  </si>
  <si>
    <t>Birmingham &amp; the world</t>
  </si>
  <si>
    <t>Mount Vernon, Ohio</t>
  </si>
  <si>
    <t>Hayes Valley, San Francisco</t>
  </si>
  <si>
    <t>EN3</t>
  </si>
  <si>
    <t>RT =/= agreement</t>
  </si>
  <si>
    <t>Vi\xf1a del Mar, Chile</t>
  </si>
  <si>
    <t>North Texas, USA</t>
  </si>
  <si>
    <t>Roseville, CA</t>
  </si>
  <si>
    <t>stockport</t>
  </si>
  <si>
    <t>Edmonton, London</t>
  </si>
  <si>
    <t>Your dad's house</t>
  </si>
  <si>
    <t>Peckham</t>
  </si>
  <si>
    <t>Pogles Wood</t>
  </si>
  <si>
    <t>Dundonald, Scotland</t>
  </si>
  <si>
    <t>Perranuthnoe, Cornwall</t>
  </si>
  <si>
    <t>\xdcT: -37.825891,144.951656</t>
  </si>
  <si>
    <t>Wiltshire / Bristol</t>
  </si>
  <si>
    <t>Edinburgh and Melbourne</t>
  </si>
  <si>
    <t>An leth-chruinne a deas</t>
  </si>
  <si>
    <t>Trondheim, Norge</t>
  </si>
  <si>
    <t>wolves</t>
  </si>
  <si>
    <t>Outer Hebrides</t>
  </si>
  <si>
    <t>Herston, South Ronaldsay.</t>
  </si>
  <si>
    <t>The Past</t>
  </si>
  <si>
    <t>An Bhruis\xe9il &amp; Strasbourg</t>
  </si>
  <si>
    <t>Kolkata, India</t>
  </si>
  <si>
    <t>Davenport, IA</t>
  </si>
  <si>
    <t>Stavanger, Norge</t>
  </si>
  <si>
    <t>Pacific Grove, CA</t>
  </si>
  <si>
    <t>North Lincolnshire Wolds</t>
  </si>
  <si>
    <t>MIDWEST</t>
  </si>
  <si>
    <t>Read Age of Dawn to find out</t>
  </si>
  <si>
    <t>\u30de\u30c8\u30ea\u30c3\u30af\u30b9</t>
  </si>
  <si>
    <t>Brunswick, Lower Saxony</t>
  </si>
  <si>
    <t>Finstown, Orkney</t>
  </si>
  <si>
    <t>Toronto, Ontario (Canada)</t>
  </si>
  <si>
    <t>Austfold</t>
  </si>
  <si>
    <t>Probably by the food...</t>
  </si>
  <si>
    <t>Online</t>
  </si>
  <si>
    <t>In the Stacks</t>
  </si>
  <si>
    <t>South Arm Tasmania</t>
  </si>
  <si>
    <t>Airdrie</t>
  </si>
  <si>
    <t>Laurencekirk, Scotland</t>
  </si>
  <si>
    <t>Reading, England</t>
  </si>
  <si>
    <t>Amesbury, England</t>
  </si>
  <si>
    <t>Quebec, Canada</t>
  </si>
  <si>
    <t>Channel Islands</t>
  </si>
  <si>
    <t>Penzance</t>
  </si>
  <si>
    <t>Hong Kong</t>
  </si>
  <si>
    <t>SW1P via NE3 from TD6</t>
  </si>
  <si>
    <t>\u5317\u4eac, \u4e2d\u534e\u4eba\u6c11\u5171\u548c\u56fd</t>
  </si>
  <si>
    <t>Victoria, BC. Canada</t>
  </si>
  <si>
    <t>The peripheries of London</t>
  </si>
  <si>
    <t>North London</t>
  </si>
  <si>
    <t>Just north of That London.</t>
  </si>
  <si>
    <t>Richmond, North Yorkshire</t>
  </si>
  <si>
    <t>Borrowash, Derbyshire</t>
  </si>
  <si>
    <t>Varies 'tween North &amp; South</t>
  </si>
  <si>
    <t>Peoria, AZ</t>
  </si>
  <si>
    <t>Oxford/London/Istanbul</t>
  </si>
  <si>
    <t>Ormskirk, United Kingdom</t>
  </si>
  <si>
    <t>iPhone: 51.269920,-2.918844</t>
  </si>
  <si>
    <t>Saline, MI</t>
  </si>
  <si>
    <t>West Watty Grotti</t>
  </si>
  <si>
    <t>Streatham, South London</t>
  </si>
  <si>
    <t>Concord, NC</t>
  </si>
  <si>
    <t>Saint Clairsville, Ohio</t>
  </si>
  <si>
    <t>South Woodham Ferrers</t>
  </si>
  <si>
    <t>on a boat</t>
  </si>
  <si>
    <t>Heybridge, East</t>
  </si>
  <si>
    <t>Armadale, West Lothian</t>
  </si>
  <si>
    <t>Guelph, Ontario</t>
  </si>
  <si>
    <t>Upstate NY</t>
  </si>
  <si>
    <t>Beetlejeuse</t>
  </si>
  <si>
    <t xml:space="preserve">Haringey, London </t>
  </si>
  <si>
    <t>North Somerset, UK</t>
  </si>
  <si>
    <t>Walthamstow</t>
  </si>
  <si>
    <t>Bromsgrove</t>
  </si>
  <si>
    <t>Stockport/Edinburgh</t>
  </si>
  <si>
    <t>Safff London!!!</t>
  </si>
  <si>
    <t>In the belly of the beast</t>
  </si>
  <si>
    <t>Edinburgh (via Dundee)</t>
  </si>
  <si>
    <t>Chorlton-cum-Hardy</t>
  </si>
  <si>
    <t>Cromarty, Scotland</t>
  </si>
  <si>
    <t>Durham/Hertfordshire</t>
  </si>
  <si>
    <t>Waterbeach</t>
  </si>
  <si>
    <t>Frankfurt, Germany</t>
  </si>
  <si>
    <t>Gro\xdfbritannien</t>
  </si>
  <si>
    <t>Australia's Capital...Canberra</t>
  </si>
  <si>
    <t>Black Isle</t>
  </si>
  <si>
    <t>K\xf6ln, Deutschland</t>
  </si>
  <si>
    <t>East Bay, CA</t>
  </si>
  <si>
    <t>51 Road to Nowhere</t>
  </si>
  <si>
    <t>Edwinstowe, England</t>
  </si>
  <si>
    <t>Tooting</t>
  </si>
  <si>
    <t>Hartford, CT</t>
  </si>
  <si>
    <t xml:space="preserve">Scotland/Sussex/London </t>
  </si>
  <si>
    <t>Brighton and London, UK</t>
  </si>
  <si>
    <t>Kotka - Finland</t>
  </si>
  <si>
    <t>Rendall Orkney</t>
  </si>
  <si>
    <t>Lower Rhine</t>
  </si>
  <si>
    <t>Urbana, IL</t>
  </si>
  <si>
    <t>Ahmadabad City, India</t>
  </si>
  <si>
    <t>Johnson City, TN</t>
  </si>
  <si>
    <t>Sherman/Kerrville/Edinburgh</t>
  </si>
  <si>
    <t>Liminal space / Sheffield</t>
  </si>
  <si>
    <t>Ankara, T\xfcrkiye</t>
  </si>
  <si>
    <t>Bangalore</t>
  </si>
  <si>
    <t>North of Boston</t>
  </si>
  <si>
    <t>Edmonton, Canada</t>
  </si>
  <si>
    <t>Between here and there</t>
  </si>
  <si>
    <t>Geelong, Victoria, Australia</t>
  </si>
  <si>
    <t xml:space="preserve"> Glasgow</t>
  </si>
  <si>
    <t>Araraquara, Brasil</t>
  </si>
  <si>
    <t>London, Soho</t>
  </si>
  <si>
    <t>Wake Forest, NC</t>
  </si>
  <si>
    <t>Finstoon</t>
  </si>
  <si>
    <t>Farnham</t>
  </si>
  <si>
    <t>Bergen, Norway</t>
  </si>
  <si>
    <t>Falkirk.</t>
  </si>
  <si>
    <t>UK (south east)</t>
  </si>
  <si>
    <t>Leigh-on-Sea, Essex innit</t>
  </si>
  <si>
    <t>International Man of Misery</t>
  </si>
  <si>
    <t>Lincolnshire UK</t>
  </si>
  <si>
    <t>Sheffield, Uk</t>
  </si>
  <si>
    <t>North Dakota</t>
  </si>
  <si>
    <t>Land of Mishti Doi + Sandesh</t>
  </si>
  <si>
    <t xml:space="preserve">Hogwarts School of Witchcraft </t>
  </si>
  <si>
    <t>1000 NE Colbern Road</t>
  </si>
  <si>
    <t xml:space="preserve">Shetland </t>
  </si>
  <si>
    <t>Auburn, CA</t>
  </si>
  <si>
    <t>Hobart | Australia</t>
  </si>
  <si>
    <t>Gloucester, UK</t>
  </si>
  <si>
    <t>Stonehouse Glos</t>
  </si>
  <si>
    <t xml:space="preserve">Derbyshire, UK     </t>
  </si>
  <si>
    <t xml:space="preserve">Broadstairs </t>
  </si>
  <si>
    <t>London/ somewhere naturey</t>
  </si>
  <si>
    <t>Netherlands</t>
  </si>
  <si>
    <t>arbroath, Scotland.</t>
  </si>
  <si>
    <t>European citizen - sense estat</t>
  </si>
  <si>
    <t>Ipswich, England</t>
  </si>
  <si>
    <t>West Coast US</t>
  </si>
  <si>
    <t>Pacific Quay, Glasgow</t>
  </si>
  <si>
    <t xml:space="preserve"> Queen Victoria School</t>
  </si>
  <si>
    <t>Cymru</t>
  </si>
  <si>
    <t>A fine city</t>
  </si>
  <si>
    <t xml:space="preserve">uk </t>
  </si>
  <si>
    <t>yorkshire</t>
  </si>
  <si>
    <t>Guess!</t>
  </si>
  <si>
    <t>Bolwarra Heights</t>
  </si>
  <si>
    <t>Paisley/Glasgow/Scotland</t>
  </si>
  <si>
    <t>Polska</t>
  </si>
  <si>
    <t>\xdcT: 55.960706,-4.028721</t>
  </si>
  <si>
    <t>sunderland</t>
  </si>
  <si>
    <t>China</t>
  </si>
  <si>
    <t>iPhone: -33.881344,151.202461</t>
  </si>
  <si>
    <t>Riverview, FL</t>
  </si>
  <si>
    <t>Partick</t>
  </si>
  <si>
    <t>Flint, Wales</t>
  </si>
  <si>
    <t xml:space="preserve">London, UK </t>
  </si>
  <si>
    <t>Mostly Edinburgh</t>
  </si>
  <si>
    <t>Wishaw, Scotland</t>
  </si>
  <si>
    <t>Brora, Scotland</t>
  </si>
  <si>
    <t>St. John's, NL</t>
  </si>
  <si>
    <t>Kildare, Ireland</t>
  </si>
  <si>
    <t xml:space="preserve">From Lancashire. </t>
  </si>
  <si>
    <t>Westminster and across the UK</t>
  </si>
  <si>
    <t>Vermont</t>
  </si>
  <si>
    <t>Caistor, England</t>
  </si>
  <si>
    <t>Beirut, LEBANON</t>
  </si>
  <si>
    <t>Xenophobialand</t>
  </si>
  <si>
    <t>Philadelphia,  PA</t>
  </si>
  <si>
    <t>Brighton, Great Britain</t>
  </si>
  <si>
    <t>Brighton/Glasgow</t>
  </si>
  <si>
    <t>Vancouver, B.C.</t>
  </si>
  <si>
    <t>Valdosta, GA</t>
  </si>
  <si>
    <t>Leeds. United Kingdom</t>
  </si>
  <si>
    <t>NY &amp; ...MY LUVE PLACES</t>
  </si>
  <si>
    <t>My imagination</t>
  </si>
  <si>
    <t>Girona, Spain</t>
  </si>
  <si>
    <t xml:space="preserve">Auld Dundee </t>
  </si>
  <si>
    <t>Helmsdale</t>
  </si>
  <si>
    <t>Mainly Ludlow but London too</t>
  </si>
  <si>
    <t>Bromborough, England</t>
  </si>
  <si>
    <t>Adelaide</t>
  </si>
  <si>
    <t>JR</t>
  </si>
  <si>
    <t xml:space="preserve">York/Telford </t>
  </si>
  <si>
    <t>Bury, UK</t>
  </si>
  <si>
    <t>In the fab Kent countryside!</t>
  </si>
  <si>
    <t>Marske-by-the-Sea, England</t>
  </si>
  <si>
    <t>The Hebridean Sea</t>
  </si>
  <si>
    <t>Emberton, England</t>
  </si>
  <si>
    <t>Sardinia</t>
  </si>
  <si>
    <t>Chichester, England</t>
  </si>
  <si>
    <t>a bit nomadic - Spain, UK</t>
  </si>
  <si>
    <t>Shetlander in Edinburgh</t>
  </si>
  <si>
    <t>LondonUK</t>
  </si>
  <si>
    <t>Brisbane + Mullumbimby</t>
  </si>
  <si>
    <t>Leith | Edinburgh | Scotland</t>
  </si>
  <si>
    <t>Shetland islands</t>
  </si>
  <si>
    <t>Beckenham</t>
  </si>
  <si>
    <t>Chester, UK</t>
  </si>
  <si>
    <t>Oxford, Shetland or Warwick</t>
  </si>
  <si>
    <t>out with the dogs</t>
  </si>
  <si>
    <t>Ciudad de M\xe9xico</t>
  </si>
  <si>
    <t>Fochabers, Scotland</t>
  </si>
  <si>
    <t>Thane, India</t>
  </si>
  <si>
    <t xml:space="preserve">Staffordshire </t>
  </si>
  <si>
    <t>University of Calgary, Calgary</t>
  </si>
  <si>
    <t>Dounby, Orkney</t>
  </si>
  <si>
    <t>Elsewhere</t>
  </si>
  <si>
    <t>Pune, India</t>
  </si>
  <si>
    <t>Indonesia , Makassar</t>
  </si>
  <si>
    <t>Clapham</t>
  </si>
  <si>
    <t>Swindon, England</t>
  </si>
  <si>
    <t>South Australia</t>
  </si>
  <si>
    <t>Lakeland, FL</t>
  </si>
  <si>
    <t>Richmond, London</t>
  </si>
  <si>
    <t>Stirling, UK</t>
  </si>
  <si>
    <t>Kirk of wall</t>
  </si>
  <si>
    <t>Somewhere south_west Scotland</t>
  </si>
  <si>
    <t>Islands</t>
  </si>
  <si>
    <t xml:space="preserve">Manchester, UK. </t>
  </si>
  <si>
    <t>Roermond</t>
  </si>
  <si>
    <t xml:space="preserve">Campbellsville, KY </t>
  </si>
  <si>
    <t>pattoki</t>
  </si>
  <si>
    <t xml:space="preserve">Birmingham, AL </t>
  </si>
  <si>
    <t>L.A.</t>
  </si>
  <si>
    <t>Arkansas</t>
  </si>
  <si>
    <t>Genzano di Roma, Lazio</t>
  </si>
  <si>
    <t>Orkney and elsewhere</t>
  </si>
  <si>
    <t>Medford, MA</t>
  </si>
  <si>
    <t>Waltham, MA</t>
  </si>
  <si>
    <t>Brisbane, California, USA</t>
  </si>
  <si>
    <t>Malden, MA</t>
  </si>
  <si>
    <t>Cambridge, MA</t>
  </si>
  <si>
    <t>Edmonton, Alberta, CANADA</t>
  </si>
  <si>
    <t>find me</t>
  </si>
  <si>
    <t>010 Rocks!</t>
  </si>
  <si>
    <t>Scotland and Florida</t>
  </si>
  <si>
    <t>Odense/York/Ottawa</t>
  </si>
  <si>
    <t>Nova Scotia</t>
  </si>
  <si>
    <t xml:space="preserve">Tors Cove, Newfoundland </t>
  </si>
  <si>
    <t>elsewhere</t>
  </si>
  <si>
    <t>Espoo</t>
  </si>
  <si>
    <t>Welsh &amp; Cetic Aberyswyth Uni</t>
  </si>
  <si>
    <t>Lornty, Scotland</t>
  </si>
  <si>
    <t>Southend-on-sea, UK</t>
  </si>
  <si>
    <t>Hobart, Tasmania</t>
  </si>
  <si>
    <t>Ontario</t>
  </si>
  <si>
    <t>10.000 Resim 75 TL</t>
  </si>
  <si>
    <t>Singapore \u2022 London</t>
  </si>
  <si>
    <t>Swindon, UK</t>
  </si>
  <si>
    <t>Ilkley, England</t>
  </si>
  <si>
    <t>Peterborough, Ontario, Canada</t>
  </si>
  <si>
    <t>North Wales, United Kingdom</t>
  </si>
  <si>
    <t>Iowa City, Iowa</t>
  </si>
  <si>
    <t>Dublin Ireland, London England</t>
  </si>
  <si>
    <t xml:space="preserve">Italy / U.S.A. </t>
  </si>
  <si>
    <t>London &amp; Bristol</t>
  </si>
  <si>
    <t>Shapinsay, Scotland</t>
  </si>
  <si>
    <t>Kenmore, NY</t>
  </si>
  <si>
    <t>Orlando, Florida</t>
  </si>
  <si>
    <t>Long Live The Queen</t>
  </si>
  <si>
    <t>Hebden Bridge, The North.</t>
  </si>
  <si>
    <t>New South Wales, Bullaburra\n</t>
  </si>
  <si>
    <t>Sydney, Aust</t>
  </si>
  <si>
    <t>NZ</t>
  </si>
  <si>
    <t>Southend-on-sea</t>
  </si>
  <si>
    <t>Africa</t>
  </si>
  <si>
    <t>East Sussex, UK</t>
  </si>
  <si>
    <t xml:space="preserve">Lancashire, UK </t>
  </si>
  <si>
    <t>Bodleian Library</t>
  </si>
  <si>
    <t>Northants, Bucks &amp; Leics UK</t>
  </si>
  <si>
    <t xml:space="preserve">North Yorkshire </t>
  </si>
  <si>
    <t>Middlewich &amp; London, UK &amp; EU</t>
  </si>
  <si>
    <t>Everywhere and nowhere.</t>
  </si>
  <si>
    <t xml:space="preserve">Cumbernauld Theatre </t>
  </si>
  <si>
    <t>Gloucestershire, England</t>
  </si>
  <si>
    <t>Lewis/Ayrshire/Aberdeen</t>
  </si>
  <si>
    <t>New York City +Brooklyn+ LIC</t>
  </si>
  <si>
    <t>Bucure\u015fti, Rom\xe2nia</t>
  </si>
  <si>
    <t>Las Vegas</t>
  </si>
  <si>
    <t>Wichita (Lineman)</t>
  </si>
  <si>
    <t>Wiesbaden, Deutschland</t>
  </si>
  <si>
    <t>Hyderabad, Andhra Pradesh</t>
  </si>
  <si>
    <t>Trussville, AL</t>
  </si>
  <si>
    <t>Duluth, MN</t>
  </si>
  <si>
    <t>Thornbury, England</t>
  </si>
  <si>
    <t>http://www.wxkph.info/</t>
  </si>
  <si>
    <t>douteurinternational@gmail.com</t>
  </si>
  <si>
    <t>Ellesmere port</t>
  </si>
  <si>
    <t>Hexham and Darlington</t>
  </si>
  <si>
    <t>GAZA</t>
  </si>
  <si>
    <t>1431 Bathurst Street</t>
  </si>
  <si>
    <t>Barnstaple, North Devon</t>
  </si>
  <si>
    <t>Greenville, SC</t>
  </si>
  <si>
    <t>Portland Oregon</t>
  </si>
  <si>
    <t>West Midlands, United Kingdom</t>
  </si>
  <si>
    <t>Aberdeen and Shetland</t>
  </si>
  <si>
    <t xml:space="preserve">Orkney Islands </t>
  </si>
  <si>
    <t>Brae, Shetland, Scotland, UK</t>
  </si>
  <si>
    <t>Location: the Happy Place</t>
  </si>
  <si>
    <t>Rio de Janeiro, Brasil</t>
  </si>
  <si>
    <t>the moon</t>
  </si>
  <si>
    <t>Oxford and Edinburgh</t>
  </si>
  <si>
    <t>Aberdeen Children's Hospital</t>
  </si>
  <si>
    <t>Danmark - K\xf8ge</t>
  </si>
  <si>
    <t>Sydney-ish, Australia</t>
  </si>
  <si>
    <t>Port Saint Mary, Isle of Man</t>
  </si>
  <si>
    <t>Malta</t>
  </si>
  <si>
    <t>Ayr</t>
  </si>
  <si>
    <t>Arbroath</t>
  </si>
  <si>
    <t>Western Isles or Angus</t>
  </si>
  <si>
    <t>Edinburgh + Austria</t>
  </si>
  <si>
    <t xml:space="preserve">World wide </t>
  </si>
  <si>
    <t>Downtown, Vancouver</t>
  </si>
  <si>
    <t>Next to the big pile of books</t>
  </si>
  <si>
    <t>Not always where I wish to be</t>
  </si>
  <si>
    <t>Chimichanga</t>
  </si>
  <si>
    <t>cbr</t>
  </si>
  <si>
    <t>Shelburne, Nova Scotia</t>
  </si>
  <si>
    <t>South Manchester</t>
  </si>
  <si>
    <t>St Neots</t>
  </si>
  <si>
    <t>Freckleton, Lancashire, UK</t>
  </si>
  <si>
    <t>Walnut Creek</t>
  </si>
  <si>
    <t>Sammamish, WA</t>
  </si>
  <si>
    <t>Southbourne, England</t>
  </si>
  <si>
    <t>Galway via Cork via Galway</t>
  </si>
  <si>
    <t>North Weald</t>
  </si>
  <si>
    <t>Misssissippi</t>
  </si>
  <si>
    <t>Seattle, Cascadia</t>
  </si>
  <si>
    <t>Hobbiton/Wales/England</t>
  </si>
  <si>
    <t>Kilbarchan</t>
  </si>
  <si>
    <t>Gourdon, Aberdeenshire</t>
  </si>
  <si>
    <t>Lincoln, NE</t>
  </si>
  <si>
    <t>Everywhere and nowhere, baby.</t>
  </si>
  <si>
    <t>Overton, Hampshire</t>
  </si>
  <si>
    <t>North by East mainly</t>
  </si>
  <si>
    <t>Klerksdorp, South Africa</t>
  </si>
  <si>
    <t>London/Singapore</t>
  </si>
  <si>
    <t>Manny/Lanny</t>
  </si>
  <si>
    <t>Southampton, UK</t>
  </si>
  <si>
    <t>Kirkwall Orkney islands</t>
  </si>
  <si>
    <t>London.</t>
  </si>
  <si>
    <t>Reading/Exeter</t>
  </si>
  <si>
    <t>Brooklyn</t>
  </si>
  <si>
    <t xml:space="preserve">neverland </t>
  </si>
  <si>
    <t>West Midlands</t>
  </si>
  <si>
    <t>Tara, Queensland</t>
  </si>
  <si>
    <t>Devon/Cornwall Boarder</t>
  </si>
  <si>
    <t>TO, Ontario</t>
  </si>
  <si>
    <t>Faw Kirk</t>
  </si>
  <si>
    <t>Londinium, Britannia</t>
  </si>
  <si>
    <t>Texas to Orkney</t>
  </si>
  <si>
    <t>England, UK</t>
  </si>
  <si>
    <t>East coast of Scotland</t>
  </si>
  <si>
    <t>instagram.com/bobbys.story</t>
  </si>
  <si>
    <t>Wherever the road takes me!</t>
  </si>
  <si>
    <t>Bangalore, India</t>
  </si>
  <si>
    <t>South West England</t>
  </si>
  <si>
    <t>Madison, New Jersey</t>
  </si>
  <si>
    <t>Cleveland Ohio</t>
  </si>
  <si>
    <t>Puebla, M\xe9xico</t>
  </si>
  <si>
    <t>Taos</t>
  </si>
  <si>
    <t>West Lothian, Scotland</t>
  </si>
  <si>
    <t>Mesquite, TX</t>
  </si>
  <si>
    <t>Jersey Shore, NJ</t>
  </si>
  <si>
    <t>\xc1th Cliath/Dub</t>
  </si>
  <si>
    <t>OrkneyPolice\xa0\xa0</t>
  </si>
  <si>
    <t>Late twenties in London</t>
  </si>
  <si>
    <t>Milwaukee, WI</t>
  </si>
  <si>
    <t>Orkney Islands, UK</t>
  </si>
  <si>
    <t>Newcastle, York and Sheffield</t>
  </si>
  <si>
    <t>O'Fallon, IL</t>
  </si>
  <si>
    <t>Ardfern, Scotland</t>
  </si>
  <si>
    <t>Europe (a state of mind)</t>
  </si>
  <si>
    <t>Northumberland, England</t>
  </si>
  <si>
    <t>huston, NY</t>
  </si>
  <si>
    <t>World Citizen</t>
  </si>
  <si>
    <t>University of Sydney</t>
  </si>
  <si>
    <t>Ottawa, ON</t>
  </si>
  <si>
    <t>Ilkley, West Yorkshire, UK</t>
  </si>
  <si>
    <t>Glasgow and the world</t>
  </si>
  <si>
    <t xml:space="preserve">Coimbatore </t>
  </si>
  <si>
    <t>Frankston, Australia</t>
  </si>
  <si>
    <t>Leith Walk, Edinburgh</t>
  </si>
  <si>
    <t>Massagno, Switzerland</t>
  </si>
  <si>
    <t>York, UK (usually)</t>
  </si>
  <si>
    <t>Jaipur, Rajasthan</t>
  </si>
  <si>
    <t>Eastbourne</t>
  </si>
  <si>
    <t xml:space="preserve">Printing from the cloud. </t>
  </si>
  <si>
    <t>Zagreb, Croatia</t>
  </si>
  <si>
    <t>Zwolle, Nederland</t>
  </si>
  <si>
    <t xml:space="preserve">Detroit,  MI </t>
  </si>
  <si>
    <t>Aberdare/London</t>
  </si>
  <si>
    <t>Alkmaar, The Netherlands</t>
  </si>
  <si>
    <t>Catalunya</t>
  </si>
  <si>
    <t>Kilmarnock, Scotland</t>
  </si>
  <si>
    <t>Hamilton / Cincinnati</t>
  </si>
  <si>
    <t xml:space="preserve">Edmonton, AB </t>
  </si>
  <si>
    <t>Tallaght, Dublin, Ireland 24</t>
  </si>
  <si>
    <t xml:space="preserve">halishahar, chittagong </t>
  </si>
  <si>
    <t>Praha, \u010cesk\xe1 republika</t>
  </si>
  <si>
    <t>Hove, Sussex UK</t>
  </si>
  <si>
    <t xml:space="preserve">Oxfordshire </t>
  </si>
  <si>
    <t>Cannock, Staffordshire</t>
  </si>
  <si>
    <t>Lviv UKRAINE</t>
  </si>
  <si>
    <t>Bari/Trieste</t>
  </si>
  <si>
    <t>madipakkam, chennai ,India</t>
  </si>
  <si>
    <t>Lafayette, La.   USA</t>
  </si>
  <si>
    <t>Inverness / Glasgow</t>
  </si>
  <si>
    <t>Milky Way</t>
  </si>
  <si>
    <t>~Winterfell~ Spain</t>
  </si>
  <si>
    <t>UK, Cambridgeshire, Upwood</t>
  </si>
  <si>
    <t>Tooting, London</t>
  </si>
  <si>
    <t>Torre\xf3n, Coahuila de Zaragoza</t>
  </si>
  <si>
    <t>ZZ9 Plural Z Alpha</t>
  </si>
  <si>
    <t>UK, World</t>
  </si>
  <si>
    <t>Finavon Castle, Scotland</t>
  </si>
  <si>
    <t>Suisse</t>
  </si>
  <si>
    <t>In my unknown and lonely world</t>
  </si>
  <si>
    <t>sydney australia</t>
  </si>
  <si>
    <t>Edinburgh University Library</t>
  </si>
  <si>
    <t xml:space="preserve">Clexa of the five towns </t>
  </si>
  <si>
    <t>Hogwarts.</t>
  </si>
  <si>
    <t xml:space="preserve">Nottingham England </t>
  </si>
  <si>
    <t>Your bird feeder, Midlands, UK</t>
  </si>
  <si>
    <t>Milton Keynes, or Edgeley Park</t>
  </si>
  <si>
    <t xml:space="preserve">Bristol/Farnborough. England </t>
  </si>
  <si>
    <t>Mystery Bay, NSW</t>
  </si>
  <si>
    <t>M\xe9xico</t>
  </si>
  <si>
    <t>Fucking Catalina Wine Mixer</t>
  </si>
  <si>
    <t>Stafforshire</t>
  </si>
  <si>
    <t>London/Scotland</t>
  </si>
  <si>
    <t>Clestrain, Scotland</t>
  </si>
  <si>
    <t>Roma</t>
  </si>
  <si>
    <t>UK &amp; Ireland, \U0001f3e1Edinburgh</t>
  </si>
  <si>
    <t>London Town</t>
  </si>
  <si>
    <t>Inwood aka Upstate Manhattan</t>
  </si>
  <si>
    <t>The Golden Mile 1977</t>
  </si>
  <si>
    <t>Dundee, City of Dreams</t>
  </si>
  <si>
    <t>In front of a TV, most likely.</t>
  </si>
  <si>
    <t>Marshfield, WI</t>
  </si>
  <si>
    <t>Caerwent, Wales</t>
  </si>
  <si>
    <t>Bankstown Aerodrome, Sydney</t>
  </si>
  <si>
    <t>Germany, USA, Worldwide</t>
  </si>
  <si>
    <t>Troms\xf8</t>
  </si>
  <si>
    <t>b</t>
  </si>
  <si>
    <t>Kirkwall, Orkney.</t>
  </si>
  <si>
    <t>Over here</t>
  </si>
  <si>
    <t>Holywell, Wales</t>
  </si>
  <si>
    <t>Wales, mostly</t>
  </si>
  <si>
    <t>Scalloway, Shetland Islands</t>
  </si>
  <si>
    <t>iPhone: 55.861228,-4.286985</t>
  </si>
  <si>
    <t>Brixton via Manchester via UAE</t>
  </si>
  <si>
    <t>Edinburgh and Toronto</t>
  </si>
  <si>
    <t>nash, tennessee</t>
  </si>
  <si>
    <t>Banbury, UK</t>
  </si>
  <si>
    <t>Stromness, Orkney, Scotland</t>
  </si>
  <si>
    <t>Alness, Highlands of Scotland</t>
  </si>
  <si>
    <t xml:space="preserve">Oregon and on the road </t>
  </si>
  <si>
    <t>Linlithgow, Scotland, UK</t>
  </si>
  <si>
    <t>Aberdour, Fife</t>
  </si>
  <si>
    <t>Caribbean</t>
  </si>
  <si>
    <t>\u267b</t>
  </si>
  <si>
    <t>Slovenia</t>
  </si>
  <si>
    <t>Vancouver, BC, Canada</t>
  </si>
  <si>
    <t>Toronto, Turtle Island</t>
  </si>
  <si>
    <t>Fair Haven, NJ</t>
  </si>
  <si>
    <t>Nellysford, Virginia and Porto</t>
  </si>
  <si>
    <t>Schweiz</t>
  </si>
  <si>
    <t>Penarth, Kembra/Cymru/Wales</t>
  </si>
  <si>
    <t>Gariahat Shambala N16/E8</t>
  </si>
  <si>
    <t>Birmingham, United Kingdom</t>
  </si>
  <si>
    <t xml:space="preserve">Bath, England </t>
  </si>
  <si>
    <t>Stratford-Upon-Avon, England</t>
  </si>
  <si>
    <t>West Coast of Ireland</t>
  </si>
  <si>
    <t>Land of the bolero-ing outlaws</t>
  </si>
  <si>
    <t>Edinburgh/Cambridge/Berlin</t>
  </si>
  <si>
    <t>Cape Town</t>
  </si>
  <si>
    <t>Watford</t>
  </si>
  <si>
    <t>Horrabridge Dartmoor Devon UK</t>
  </si>
  <si>
    <t>Hong Kong/Beijing</t>
  </si>
  <si>
    <t>kadampuzha</t>
  </si>
  <si>
    <t>Orkney, Scotland, UK</t>
  </si>
  <si>
    <t>gustavo@kidsoncomputers.org</t>
  </si>
  <si>
    <t>La Garriga, Espa\xf1a</t>
  </si>
  <si>
    <t>Tona</t>
  </si>
  <si>
    <t>In orbit around a yellow dwarf</t>
  </si>
  <si>
    <t>Pallakad, Kerala</t>
  </si>
  <si>
    <t>In suburbia North Yorkshire</t>
  </si>
  <si>
    <t>Sterling, VA</t>
  </si>
  <si>
    <t>Orkney Islands Scotland</t>
  </si>
  <si>
    <t>Birsay, Orkney</t>
  </si>
  <si>
    <t>Cambridge, UK or Bloomsbury</t>
  </si>
  <si>
    <t>Right here, right now</t>
  </si>
  <si>
    <t>South Devon, UK</t>
  </si>
  <si>
    <t>Shanghai, People's Republic of China</t>
  </si>
  <si>
    <t>Akita, Japan</t>
  </si>
  <si>
    <t>Dudley, England</t>
  </si>
  <si>
    <t>northerly direction England,UK</t>
  </si>
  <si>
    <t>\xdcT: 55.851381,-4.308032</t>
  </si>
  <si>
    <t>Chelmsford, England</t>
  </si>
  <si>
    <t>warwick</t>
  </si>
  <si>
    <t>Callander</t>
  </si>
  <si>
    <t>Warleggan</t>
  </si>
  <si>
    <t>London-ish</t>
  </si>
  <si>
    <t>Yorkshire (But not right now)</t>
  </si>
  <si>
    <t>Your moms ass</t>
  </si>
  <si>
    <t>Borve, Isle of Lewis, Scotland</t>
  </si>
  <si>
    <t xml:space="preserve">Sunshine Coast, Australia </t>
  </si>
  <si>
    <t xml:space="preserve">Malta </t>
  </si>
  <si>
    <t>highland</t>
  </si>
  <si>
    <t>Kent, England</t>
  </si>
  <si>
    <t>\u0412\u043e\u0440\u043e\u043d\u0435\u0436</t>
  </si>
  <si>
    <t>7361 Spanish Fort Blvd.</t>
  </si>
  <si>
    <t>SX // LDN</t>
  </si>
  <si>
    <t>Points East</t>
  </si>
  <si>
    <t>Hull, City of Culture 2017</t>
  </si>
  <si>
    <t>#Norwich</t>
  </si>
  <si>
    <t>\u30d8\u30c3\u30bb\u30f3\u5dde</t>
  </si>
  <si>
    <t>Wild West</t>
  </si>
  <si>
    <t>L'Alf\xe0s del Pi, Spain</t>
  </si>
  <si>
    <t>Yorkshire Dales</t>
  </si>
  <si>
    <t>Pakistan</t>
  </si>
  <si>
    <t>Thurso</t>
  </si>
  <si>
    <t>Toronto / London</t>
  </si>
  <si>
    <t>Waterbury, Connecticut.</t>
  </si>
  <si>
    <t xml:space="preserve">Ellan Vannin - Isle of Man </t>
  </si>
  <si>
    <t>Mannin - Isle of Man</t>
  </si>
  <si>
    <t xml:space="preserve">St. John's, Ellan Vannin </t>
  </si>
  <si>
    <t>Fingal, Ireland</t>
  </si>
  <si>
    <t>a land far, far away</t>
  </si>
  <si>
    <t>@fionascottpatrick</t>
  </si>
  <si>
    <t>Hampton Hill, SW London</t>
  </si>
  <si>
    <t>The Cronx</t>
  </si>
  <si>
    <t>Jaipur</t>
  </si>
  <si>
    <t>Evesham, England</t>
  </si>
  <si>
    <t>Tasmania</t>
  </si>
  <si>
    <t>Roade, Northants, England</t>
  </si>
  <si>
    <t>Glasgow and Fife</t>
  </si>
  <si>
    <t>Knightsbridge</t>
  </si>
  <si>
    <t>Huntingdon</t>
  </si>
  <si>
    <t xml:space="preserve"> Kirkwall orkney isles </t>
  </si>
  <si>
    <t>United Kingdom \U000fe4ea</t>
  </si>
  <si>
    <t>Charleston, SC</t>
  </si>
  <si>
    <t>Northwich, Cheshire</t>
  </si>
  <si>
    <t>Sofia, Bulgaria</t>
  </si>
  <si>
    <t>St. Charles, IL</t>
  </si>
  <si>
    <t>London, Ruthin &amp; Wrexham</t>
  </si>
  <si>
    <t>www.compass-ips.london</t>
  </si>
  <si>
    <t>Lake District, Cumbria</t>
  </si>
  <si>
    <t>Newtown, Pa., USA</t>
  </si>
  <si>
    <t>Foothills of Mt. Level</t>
  </si>
  <si>
    <t>Narnia sub Mordor</t>
  </si>
  <si>
    <t>A Flock of Tweeting Birds</t>
  </si>
  <si>
    <t>Glasgow - Scotland</t>
  </si>
  <si>
    <t>Clitheroe</t>
  </si>
  <si>
    <t>Edinburgh/D\xf9n \xc8ideann/Auld R..</t>
  </si>
  <si>
    <t>London - except when not</t>
  </si>
  <si>
    <t>University of Reading</t>
  </si>
  <si>
    <t xml:space="preserve">Planet Earth </t>
  </si>
  <si>
    <t>North Ronaldsay, Orkney</t>
  </si>
  <si>
    <t>Sandy Ego, Ca</t>
  </si>
  <si>
    <t>Maghera and Randalstown</t>
  </si>
  <si>
    <t>Montrose, CO</t>
  </si>
  <si>
    <t>we share one side</t>
  </si>
  <si>
    <t>London/Bristol</t>
  </si>
  <si>
    <t>127.0.0.1</t>
  </si>
  <si>
    <t>Sheffield, Elsewhere</t>
  </si>
  <si>
    <t>Paradise</t>
  </si>
  <si>
    <t>K\xf8benhavn K</t>
  </si>
  <si>
    <t>Winnipeg, Manitoba, Canada</t>
  </si>
  <si>
    <t>iPhone: 0.000000,0.000000</t>
  </si>
  <si>
    <t>Worcester County, Maryland</t>
  </si>
  <si>
    <t>Kelty, Scotland</t>
  </si>
  <si>
    <t>Hampton, London</t>
  </si>
  <si>
    <t>Stoke Newington</t>
  </si>
  <si>
    <t>Bangkok</t>
  </si>
  <si>
    <t>Ashford</t>
  </si>
  <si>
    <t xml:space="preserve">80 Ocean Avenue, Malverne, NY </t>
  </si>
  <si>
    <t>All over the UK</t>
  </si>
  <si>
    <t>Seoul, Republic of Korea</t>
  </si>
  <si>
    <t>Dorking/Fulham/Portland Oregon</t>
  </si>
  <si>
    <t>Logie Coldstone, Scotland</t>
  </si>
  <si>
    <t xml:space="preserve"> A pool </t>
  </si>
  <si>
    <t>Oh Canada!</t>
  </si>
  <si>
    <t>East Coast (Yup), USA</t>
  </si>
  <si>
    <t>PDX</t>
  </si>
  <si>
    <t>Glasgow/London</t>
  </si>
  <si>
    <t>Leith, or a train</t>
  </si>
  <si>
    <t>Leeds Brighton Cornwall</t>
  </si>
  <si>
    <t>Ramgarh,Ranchi,Jharkhand,India</t>
  </si>
  <si>
    <t>Glasgow/Edinburgh</t>
  </si>
  <si>
    <t>Zambia | Scotland</t>
  </si>
  <si>
    <t>Mississauga</t>
  </si>
  <si>
    <t>Trafalgar Square, London</t>
  </si>
  <si>
    <t>Edmonton, AB, Canada</t>
  </si>
  <si>
    <t>Cleveland, Ohio</t>
  </si>
  <si>
    <t>Edinburgh and Hanoi</t>
  </si>
  <si>
    <t>Cambridge via Yorkshire!</t>
  </si>
  <si>
    <t>Birmingham/London/Shrewsbury</t>
  </si>
  <si>
    <t>Bolton UK</t>
  </si>
  <si>
    <t>Uni of Adelaide, Australia</t>
  </si>
  <si>
    <t>shetland, uk</t>
  </si>
  <si>
    <t>Ely, UK</t>
  </si>
  <si>
    <t>Montgomery, Powys</t>
  </si>
  <si>
    <t>far beyond scotland</t>
  </si>
  <si>
    <t>Boise, ID</t>
  </si>
  <si>
    <t>Edmonton</t>
  </si>
  <si>
    <t>Waterford, CT</t>
  </si>
  <si>
    <t xml:space="preserve">The OC/NYC </t>
  </si>
  <si>
    <t>Sioux city Iowa</t>
  </si>
  <si>
    <t>Leslieville, Toronto</t>
  </si>
  <si>
    <t>Lumiose City, Kalos</t>
  </si>
  <si>
    <t>Edmonton, Alberta, Canada</t>
  </si>
  <si>
    <t>Arboretum Place, Edinburgh</t>
  </si>
  <si>
    <t>Somewhere North West of Europe</t>
  </si>
  <si>
    <t>Frome, Somerset</t>
  </si>
  <si>
    <t>RMD ON</t>
  </si>
  <si>
    <t xml:space="preserve">ELLON </t>
  </si>
  <si>
    <t>52.931237,-1.492006</t>
  </si>
  <si>
    <t>Scotland &amp; London</t>
  </si>
  <si>
    <t>Montreal.QC</t>
  </si>
  <si>
    <t xml:space="preserve">orkney </t>
  </si>
  <si>
    <t>Where to buy my books:</t>
  </si>
  <si>
    <t>at the bar or buffet table</t>
  </si>
  <si>
    <t>on the high seas</t>
  </si>
  <si>
    <t>CR: The Boleyn Inheritance</t>
  </si>
  <si>
    <t>Azerbaijan</t>
  </si>
  <si>
    <t>London &amp; Michigan</t>
  </si>
  <si>
    <t>shetland // dundee</t>
  </si>
  <si>
    <t>cardiff, south wales</t>
  </si>
  <si>
    <t>Leeds Teaching Hospitals NHS</t>
  </si>
  <si>
    <t>A North Western area somewhere</t>
  </si>
  <si>
    <t>South Coast - UK</t>
  </si>
  <si>
    <t>Clackmannanshire</t>
  </si>
  <si>
    <t>Europa!</t>
  </si>
  <si>
    <t>North West UK.</t>
  </si>
  <si>
    <t>With Carmen Sandiego</t>
  </si>
  <si>
    <t>Lamlash, Scotland</t>
  </si>
  <si>
    <t>Dorset, UK</t>
  </si>
  <si>
    <t>1303 Queen St. West, Toronto</t>
  </si>
  <si>
    <t>kilmarnock/crosshouse</t>
  </si>
  <si>
    <t>The Overlook, Sidewinder</t>
  </si>
  <si>
    <t>Grangetown, Cardiff</t>
  </si>
  <si>
    <t>Oshawa, Ontario</t>
  </si>
  <si>
    <t>united kingdom\n</t>
  </si>
  <si>
    <t>Pickering, Ontario, Canada</t>
  </si>
  <si>
    <t>Kirk of Shotts, Scotland</t>
  </si>
  <si>
    <t>Cardiff Metropolitan Uni</t>
  </si>
  <si>
    <t>co.sligo/scotland</t>
  </si>
  <si>
    <t>Binghamton, NY</t>
  </si>
  <si>
    <t>Sydenham, London</t>
  </si>
  <si>
    <t>Beechworth, Vic, Australia</t>
  </si>
  <si>
    <t>Grand Falls Windsor NL</t>
  </si>
  <si>
    <t>York UK</t>
  </si>
  <si>
    <t>Farnham/London</t>
  </si>
  <si>
    <t>Manchester, United Kingdom</t>
  </si>
  <si>
    <t>University of Hull</t>
  </si>
  <si>
    <t>Tamworth, UK</t>
  </si>
  <si>
    <t>London/Durham</t>
  </si>
  <si>
    <t>Blaenau Ffestiniog - PantLlwyd</t>
  </si>
  <si>
    <t>my bed, Glasgow</t>
  </si>
  <si>
    <t>Olomouc, CZE</t>
  </si>
  <si>
    <t>Hawaii, USA</t>
  </si>
  <si>
    <t>Bracknell, Berkshire</t>
  </si>
  <si>
    <t>Oxon, Berks, Bucks</t>
  </si>
  <si>
    <t>Exeter, Devon</t>
  </si>
  <si>
    <t xml:space="preserve">Scotland. </t>
  </si>
  <si>
    <t>Forres/Glasgow</t>
  </si>
  <si>
    <t>Rust Belt, Ohio</t>
  </si>
  <si>
    <t>Never been to me</t>
  </si>
  <si>
    <t>A World Of My Own</t>
  </si>
  <si>
    <t>Lyneham, England</t>
  </si>
  <si>
    <t>Johannesburg</t>
  </si>
  <si>
    <t>Yorkshire/Fife</t>
  </si>
  <si>
    <t>The waterways of London</t>
  </si>
  <si>
    <t xml:space="preserve"> Blackpool</t>
  </si>
  <si>
    <t>Deal, England</t>
  </si>
  <si>
    <t xml:space="preserve">Souff East England </t>
  </si>
  <si>
    <t>Reading</t>
  </si>
  <si>
    <t>our green &amp; pleasant land...</t>
  </si>
  <si>
    <t>Dublin via Cymru</t>
  </si>
  <si>
    <t>Kent, United Kingdom</t>
  </si>
  <si>
    <t>London with Scottish bias</t>
  </si>
  <si>
    <t xml:space="preserve">North Bedfordshire </t>
  </si>
  <si>
    <t>Ottawa, ON, CA</t>
  </si>
  <si>
    <t>Victoria, Canada</t>
  </si>
  <si>
    <t>x\u02b7m\u0259\u03b8k\u02b7\u0259y\u0313\u0259m lands / Vancouver</t>
  </si>
  <si>
    <t>11 S Bridge St, Somerville, NJ</t>
  </si>
  <si>
    <t>Brussels, London &amp; Osnabr\xfcck</t>
  </si>
  <si>
    <t>East Anglia, UK</t>
  </si>
  <si>
    <t>West End, London, England</t>
  </si>
  <si>
    <t>Keith</t>
  </si>
  <si>
    <t>Stoke Newington, London</t>
  </si>
  <si>
    <t>Flotta, Orkney.</t>
  </si>
  <si>
    <t>newport/warwick/rouen/geordie?</t>
  </si>
  <si>
    <t>Glasgow Caledonian University</t>
  </si>
  <si>
    <t>E17, UK</t>
  </si>
  <si>
    <t xml:space="preserve">Isle of Wight </t>
  </si>
  <si>
    <t>north melbourne, australia.</t>
  </si>
  <si>
    <t>brasil</t>
  </si>
  <si>
    <t>Your Nearest Shelter</t>
  </si>
  <si>
    <t>Halifax, Nova Scotia, Canada</t>
  </si>
  <si>
    <t>SEA &amp; ISL</t>
  </si>
  <si>
    <t>West Sussex/Hampshire</t>
  </si>
  <si>
    <t>Manchester, Donegal</t>
  </si>
  <si>
    <t>East Midlands, UK</t>
  </si>
  <si>
    <t>England (exiled Scot)</t>
  </si>
  <si>
    <t>Yukon Territory, Canada</t>
  </si>
  <si>
    <t>Prescott, AZ</t>
  </si>
  <si>
    <t>Leicester, UK</t>
  </si>
  <si>
    <t>Hillsboro, Oregon</t>
  </si>
  <si>
    <t>Wild West Country</t>
  </si>
  <si>
    <t>Anchorage Alaska</t>
  </si>
  <si>
    <t>Electric Avenue</t>
  </si>
  <si>
    <t xml:space="preserve">scotland </t>
  </si>
  <si>
    <t>Newark</t>
  </si>
  <si>
    <t>Location: NEW HOUSE!!!!!</t>
  </si>
  <si>
    <t>Dingwall</t>
  </si>
  <si>
    <t xml:space="preserve">The Lamp Post, Narnia </t>
  </si>
  <si>
    <t>Glendale, CA</t>
  </si>
  <si>
    <t>Red Clydeside</t>
  </si>
  <si>
    <t xml:space="preserve">In transit. </t>
  </si>
  <si>
    <t xml:space="preserve">Paisley/Hebrides </t>
  </si>
  <si>
    <t>Illinois</t>
  </si>
  <si>
    <t>Devon, Liverpool&amp;the High Peak</t>
  </si>
  <si>
    <t>Galloway</t>
  </si>
  <si>
    <t>Liverpool / London</t>
  </si>
  <si>
    <t>Waltham Abbey EN9</t>
  </si>
  <si>
    <t xml:space="preserve">Kinloch &amp; Co. </t>
  </si>
  <si>
    <t>Great Missenden, UK.</t>
  </si>
  <si>
    <t>London (via Aberdeen)</t>
  </si>
  <si>
    <t>Under the cat.</t>
  </si>
  <si>
    <t>Oslo, Norway</t>
  </si>
  <si>
    <t>London, SE1 8QW</t>
  </si>
  <si>
    <t xml:space="preserve">People's republic of Glasgow </t>
  </si>
  <si>
    <t>Great Britain</t>
  </si>
  <si>
    <t>Northallerton, England</t>
  </si>
  <si>
    <t>Uig, Scotland</t>
  </si>
  <si>
    <t>Arbroath/Dundee</t>
  </si>
  <si>
    <t>Salford/Sheffield</t>
  </si>
  <si>
    <t>North Yorkshire, England</t>
  </si>
  <si>
    <t>London NW1 2DB</t>
  </si>
  <si>
    <t>West Hampstead, London NW6</t>
  </si>
  <si>
    <t>Dunblane, Scotland</t>
  </si>
  <si>
    <t>Yorkshire and The Humber, Engl</t>
  </si>
  <si>
    <t>Bridgwater, England</t>
  </si>
  <si>
    <t>Somewhere</t>
  </si>
  <si>
    <t>Scotland (the hilly bit)</t>
  </si>
  <si>
    <t>Somewhere in Time and Space</t>
  </si>
  <si>
    <t>Alba</t>
  </si>
  <si>
    <t xml:space="preserve">Citizen of the Whirled </t>
  </si>
  <si>
    <t>High Wycombe &amp; Cambridge</t>
  </si>
  <si>
    <t>Tasmania and H\xe4lsingland</t>
  </si>
  <si>
    <t>Croydon</t>
  </si>
  <si>
    <t>EG | UK</t>
  </si>
  <si>
    <t>Crieff, Scotland</t>
  </si>
  <si>
    <t>Lonmay Scotland United Kingdom</t>
  </si>
  <si>
    <t>Maryhill, Glasgow</t>
  </si>
  <si>
    <t>Wivenhoe, Colchester CO7 9BE</t>
  </si>
  <si>
    <t>Dennistoun, Glasgow</t>
  </si>
  <si>
    <t xml:space="preserve"> Woodhall Spa</t>
  </si>
  <si>
    <t>Liverpool / Manchester</t>
  </si>
  <si>
    <t>Putaruru, New Zealand</t>
  </si>
  <si>
    <t>Aberdeen &amp; the North East</t>
  </si>
  <si>
    <t>Bacchus Marsh, Victoria</t>
  </si>
  <si>
    <t>Wigtown, Scotland</t>
  </si>
  <si>
    <t>Sussex and Hampshire, UK</t>
  </si>
  <si>
    <t>Blighty</t>
  </si>
  <si>
    <t>Glossop, Derbyshire</t>
  </si>
  <si>
    <t>Normally Norfolk</t>
  </si>
  <si>
    <t xml:space="preserve">In a book or on a bike. </t>
  </si>
  <si>
    <t>Highlander in the Steel City</t>
  </si>
  <si>
    <t>Newtongrange, Scotland</t>
  </si>
  <si>
    <t>Edinburgh / London</t>
  </si>
  <si>
    <t>Edgbaston Home for Bewildered</t>
  </si>
  <si>
    <t>The shire</t>
  </si>
  <si>
    <t>Old Portsmouth</t>
  </si>
  <si>
    <t>martin.belam@theguardian.com</t>
  </si>
  <si>
    <t>San Francisco</t>
  </si>
  <si>
    <t>Den Haag NL</t>
  </si>
  <si>
    <t>Provincia di Bergamo</t>
  </si>
  <si>
    <t>lerwick &amp; Kirkwall</t>
  </si>
  <si>
    <t>Figueres</t>
  </si>
  <si>
    <t>Mansfield, England</t>
  </si>
  <si>
    <t>scotland 1743, Usa</t>
  </si>
  <si>
    <t>Kenilworth, Warwickshire</t>
  </si>
  <si>
    <t>Nelson, New Zealand</t>
  </si>
  <si>
    <t xml:space="preserve">Edinburgh / Isle of Man </t>
  </si>
  <si>
    <t>London E1, United Kingdom</t>
  </si>
  <si>
    <t xml:space="preserve">A chaise in Lewes </t>
  </si>
  <si>
    <t>Sydney NSW</t>
  </si>
  <si>
    <t>Egypt</t>
  </si>
  <si>
    <t>Madeira</t>
  </si>
  <si>
    <t>scottland</t>
  </si>
  <si>
    <t>Hebron, CT www.hebronct.com</t>
  </si>
  <si>
    <t>Gloucester, MA &amp; Salem, MA</t>
  </si>
  <si>
    <t>,sindh</t>
  </si>
  <si>
    <t>Fort William, Scotland</t>
  </si>
  <si>
    <t>Port Harcourt</t>
  </si>
  <si>
    <t>Toronto. Canada</t>
  </si>
  <si>
    <t xml:space="preserve">Toronto </t>
  </si>
  <si>
    <t>South coast</t>
  </si>
  <si>
    <t>Young, New South Wales</t>
  </si>
  <si>
    <t>Cecil Court, London</t>
  </si>
  <si>
    <t>North Wales \u2764\ufe0f</t>
  </si>
  <si>
    <t>West Kirby, Wirral</t>
  </si>
  <si>
    <t>UCC, Cork</t>
  </si>
  <si>
    <t>Zionsville, IN</t>
  </si>
  <si>
    <t>Edinburgh &amp; New Haven</t>
  </si>
  <si>
    <t>55406</t>
  </si>
  <si>
    <t>FEATHERMUCKER</t>
  </si>
  <si>
    <t>Evie, Orkney</t>
  </si>
  <si>
    <t>Durham, North Carolina</t>
  </si>
  <si>
    <t xml:space="preserve">london &amp; canterbury </t>
  </si>
  <si>
    <t>Newton Le Willows UK</t>
  </si>
  <si>
    <t>Fife. Scotland.</t>
  </si>
  <si>
    <t>1310 W Allen Ave, Fort Worth</t>
  </si>
  <si>
    <t>Whittiford</t>
  </si>
  <si>
    <t>South of France</t>
  </si>
  <si>
    <t>Southampton UK</t>
  </si>
  <si>
    <t>Camberwell</t>
  </si>
  <si>
    <t>West Coast Of Scotlaaand</t>
  </si>
  <si>
    <t>Cheshire, somewhere</t>
  </si>
  <si>
    <t>west midlands</t>
  </si>
  <si>
    <t xml:space="preserve"> Dalgety Bay/Edinburgh</t>
  </si>
  <si>
    <t>Shoreditch, England</t>
  </si>
  <si>
    <t>North Kessock Nr Inverness</t>
  </si>
  <si>
    <t>Gourock, Scotland</t>
  </si>
  <si>
    <t>Joensuu, Finland</t>
  </si>
  <si>
    <t>Fitzroy 3065</t>
  </si>
  <si>
    <t>York / Buxton</t>
  </si>
  <si>
    <t>Edge of nowhere...</t>
  </si>
  <si>
    <t>Platteville, WI</t>
  </si>
  <si>
    <t>Alcanar</t>
  </si>
  <si>
    <t>Corbera de Llobregat, Catalunya</t>
  </si>
  <si>
    <t>Davis, CA</t>
  </si>
  <si>
    <t>Roquetes</t>
  </si>
  <si>
    <t xml:space="preserve">Rochester, UK </t>
  </si>
  <si>
    <t>Martorelles, Pa\xefsos Catalans</t>
  </si>
  <si>
    <t>Burwell, England</t>
  </si>
  <si>
    <t xml:space="preserve">Spokane, Washington </t>
  </si>
  <si>
    <t>Glasgow, UK or Nor. California</t>
  </si>
  <si>
    <t>Farthest North.</t>
  </si>
  <si>
    <t>Currie, Edinburgh</t>
  </si>
  <si>
    <t>Frankfurt am Main, Hessen</t>
  </si>
  <si>
    <t>Republic of Leather (People's)</t>
  </si>
  <si>
    <t>Les Cases d'Alcanar, TARRAGONA</t>
  </si>
  <si>
    <t>Ulldecona</t>
  </si>
  <si>
    <t>South Liverpool</t>
  </si>
  <si>
    <t xml:space="preserve"> Yorkshire.</t>
  </si>
  <si>
    <t>Treviglio, Lombardia</t>
  </si>
  <si>
    <t>Falset</t>
  </si>
  <si>
    <t>Wilmslow</t>
  </si>
  <si>
    <t>LONDON</t>
  </si>
  <si>
    <t>Limmat- &amp; Landwasser- Tal \U0001f1e8\U0001f1ed</t>
  </si>
  <si>
    <t xml:space="preserve">Here, there and everywhere </t>
  </si>
  <si>
    <t xml:space="preserve">Roquetes, Terres de l'Ebre </t>
  </si>
  <si>
    <t>Tortosa</t>
  </si>
  <si>
    <t>Terres de l'Ebre</t>
  </si>
  <si>
    <t>Tarragona</t>
  </si>
  <si>
    <t>Easton, PA</t>
  </si>
  <si>
    <t>Bromley, Kent, BR1 2TW England</t>
  </si>
  <si>
    <t xml:space="preserve">Nr. Lucozade Thermometer </t>
  </si>
  <si>
    <t xml:space="preserve">Brighton </t>
  </si>
  <si>
    <t>Newcastle University</t>
  </si>
  <si>
    <t>Roswell, GA</t>
  </si>
  <si>
    <t>K\xf6ln</t>
  </si>
  <si>
    <t>Kuala Terengganu, Terengganu</t>
  </si>
  <si>
    <t>Somewhere over the rainbow</t>
  </si>
  <si>
    <t>Guildford, United Kingdom</t>
  </si>
  <si>
    <t>At Home in the World</t>
  </si>
  <si>
    <t>Weybridge, UK</t>
  </si>
  <si>
    <t>Lillehammer-sur-Mer</t>
  </si>
  <si>
    <t>Aotearoa/New Zealand</t>
  </si>
  <si>
    <t>Sydney, Aus</t>
  </si>
  <si>
    <t>Canberra ACT Australia</t>
  </si>
  <si>
    <t>Anglesey, North Wales</t>
  </si>
  <si>
    <t>Berlin &amp; London</t>
  </si>
  <si>
    <t>Eaglesham, Scotland</t>
  </si>
  <si>
    <t>Probably on a train</t>
  </si>
  <si>
    <t>Centreville,  MI</t>
  </si>
  <si>
    <t>second star to the right</t>
  </si>
  <si>
    <t>Blumenau, Santa Catarina</t>
  </si>
  <si>
    <t>Book Reviews Ed. The LATCHKEY</t>
  </si>
  <si>
    <t>Singapore</t>
  </si>
  <si>
    <t>Fair Isle, Shetland</t>
  </si>
  <si>
    <t xml:space="preserve">Swaffham Prior &amp; Bristol </t>
  </si>
  <si>
    <t>Ellijay, GA</t>
  </si>
  <si>
    <t>Sligo, Rep of Ireland</t>
  </si>
  <si>
    <t>Garthdee Campus, Aberdeen</t>
  </si>
  <si>
    <t>Norwich Norfolk</t>
  </si>
  <si>
    <t>Penrith/Cardiff</t>
  </si>
  <si>
    <t>Heart Attack &amp; Vine</t>
  </si>
  <si>
    <t>Armagh, Northern Ireland</t>
  </si>
  <si>
    <t>Reading, United Kingdom</t>
  </si>
  <si>
    <t>Google+</t>
  </si>
  <si>
    <t>Invergowrie, Scotland</t>
  </si>
  <si>
    <t>Ireland/Luxembourg</t>
  </si>
  <si>
    <t>Belfast sometimes Coleraine</t>
  </si>
  <si>
    <t>Thessaloniki</t>
  </si>
  <si>
    <t>#HighforaHigh - make a change!</t>
  </si>
  <si>
    <t xml:space="preserve">Belfast, Northern Ireland </t>
  </si>
  <si>
    <t>Thunder Bay, Canada</t>
  </si>
  <si>
    <t>Berlin, Glasgow</t>
  </si>
  <si>
    <t xml:space="preserve">Planet Sunshine </t>
  </si>
  <si>
    <t>The Black Country</t>
  </si>
  <si>
    <t>Widjabal | Bundjalung Country</t>
  </si>
  <si>
    <t>St. John's, NL / Cambridge, UK</t>
  </si>
  <si>
    <t xml:space="preserve"> Co Derry, Ireland</t>
  </si>
  <si>
    <t>Kininch, Highlands, Scotland</t>
  </si>
  <si>
    <t>Achnasheen, Scotland</t>
  </si>
  <si>
    <t>London/Tumblr</t>
  </si>
  <si>
    <t>Ptuj, Slovenija</t>
  </si>
  <si>
    <t>People's Republic of China</t>
  </si>
  <si>
    <t>House of Commons</t>
  </si>
  <si>
    <t>North Carolina</t>
  </si>
  <si>
    <t>Erie, PA</t>
  </si>
  <si>
    <t>The gender neutral toilets</t>
  </si>
  <si>
    <t>deep deep underground</t>
  </si>
  <si>
    <t>Padstow Cornwall</t>
  </si>
  <si>
    <t>Lichfield, England</t>
  </si>
  <si>
    <t>Piau\xed, Brasil</t>
  </si>
  <si>
    <t>2nd Flr Union House, Melb Uni</t>
  </si>
  <si>
    <t>Hogwarts, Rio de Janeiro</t>
  </si>
  <si>
    <t>Harrisonburg, VA</t>
  </si>
  <si>
    <t>Baku, Azerbaijan</t>
  </si>
  <si>
    <t>Chiclana de la frontera,CADIZ!</t>
  </si>
  <si>
    <t>Winnipeg, MB</t>
  </si>
  <si>
    <t xml:space="preserve">Camelot </t>
  </si>
  <si>
    <t>Brasil.</t>
  </si>
  <si>
    <t>Rio de Janeiro, Brazil</t>
  </si>
  <si>
    <t>Curitiba / PR</t>
  </si>
  <si>
    <t>Essex, England</t>
  </si>
  <si>
    <t>N Yorkshire</t>
  </si>
  <si>
    <t>Foothills West of Denver</t>
  </si>
  <si>
    <t>va &amp; dc // oxford &amp; london</t>
  </si>
  <si>
    <t>London via Joburg</t>
  </si>
  <si>
    <t>Leer, Ostfriesland, Germany, E</t>
  </si>
  <si>
    <t>Mooloolaba Australia</t>
  </si>
  <si>
    <t>Surrey, England, UK</t>
  </si>
  <si>
    <t>Aberdeenshire Scotland</t>
  </si>
  <si>
    <t>Bombay, Maharashtra</t>
  </si>
  <si>
    <t>The Realm Eternal</t>
  </si>
  <si>
    <t>East, England</t>
  </si>
  <si>
    <t>Idaho</t>
  </si>
  <si>
    <t>sydney Australia</t>
  </si>
  <si>
    <t>Here, There, Everywhere</t>
  </si>
  <si>
    <t>Holbrook, NY</t>
  </si>
  <si>
    <t xml:space="preserve">Ynys Mon </t>
  </si>
  <si>
    <t>Marwick, Scotland</t>
  </si>
  <si>
    <t>Storybrooke</t>
  </si>
  <si>
    <t>Dundee, UK</t>
  </si>
  <si>
    <t>Green.TV</t>
  </si>
  <si>
    <t>State College, PA</t>
  </si>
  <si>
    <t>mnpls mn</t>
  </si>
  <si>
    <t>Freo, West Coast of Oz</t>
  </si>
  <si>
    <t>Bathgate, Scotland</t>
  </si>
  <si>
    <t>Runcorn, Cheshire</t>
  </si>
  <si>
    <t>Ledbury, Herefordshire, UK</t>
  </si>
  <si>
    <t>Tacoma, WA</t>
  </si>
  <si>
    <t>Where I need to be.</t>
  </si>
  <si>
    <t>Sydney, NSW, Australia</t>
  </si>
  <si>
    <t>Where am I???</t>
  </si>
  <si>
    <t xml:space="preserve">Gold Coast Queensland </t>
  </si>
  <si>
    <t>Deep within a forest of books</t>
  </si>
  <si>
    <t>But above all, a humor lover!</t>
  </si>
  <si>
    <t>Hertfordshire/London</t>
  </si>
  <si>
    <t>Slingsby. North Riding</t>
  </si>
  <si>
    <t>Bay Area</t>
  </si>
  <si>
    <t>PhD candidate U. Toledo, Ohio</t>
  </si>
  <si>
    <t>Sultry South</t>
  </si>
  <si>
    <t>Hattiesburg, MS</t>
  </si>
  <si>
    <t>Hemel Hempstead</t>
  </si>
  <si>
    <t>British Columbia</t>
  </si>
  <si>
    <t>Phoenix, Arizona, USA</t>
  </si>
  <si>
    <t>Devil Gate Drive</t>
  </si>
  <si>
    <t xml:space="preserve">Hogwarts </t>
  </si>
  <si>
    <t>C.O. high desert</t>
  </si>
  <si>
    <t>\xdcT: 42.292972,-71.17664</t>
  </si>
  <si>
    <t>Texas</t>
  </si>
  <si>
    <t>MARSTRAND</t>
  </si>
  <si>
    <t>Dundonium</t>
  </si>
  <si>
    <t>Citizen of the world.</t>
  </si>
  <si>
    <t xml:space="preserve"> New York</t>
  </si>
  <si>
    <t>The Observatory</t>
  </si>
  <si>
    <t>Creative | Art Director - Edinburgh</t>
  </si>
  <si>
    <t>East Dulwich, London, UK</t>
  </si>
  <si>
    <t>Highland</t>
  </si>
  <si>
    <t>Geneva</t>
  </si>
  <si>
    <t>Vancouver, B.C. Canada</t>
  </si>
  <si>
    <t>Delaware</t>
  </si>
  <si>
    <t>Surrey, White Rock &amp; Langley</t>
  </si>
  <si>
    <t xml:space="preserve">Ferngill Republic </t>
  </si>
  <si>
    <t>Auckland NZ</t>
  </si>
  <si>
    <t>around the corner</t>
  </si>
  <si>
    <t>your mum</t>
  </si>
  <si>
    <t>Cuernavaca, Mexico</t>
  </si>
  <si>
    <t>Wiltshire/Somerset</t>
  </si>
  <si>
    <t>Frederick, MD</t>
  </si>
  <si>
    <t>Sollentuna</t>
  </si>
  <si>
    <t>New Rochelle, NY</t>
  </si>
  <si>
    <t>Bradford UK</t>
  </si>
  <si>
    <t>under the thumb</t>
  </si>
  <si>
    <t>Sydney, NSW Australia</t>
  </si>
  <si>
    <t>Sacramento</t>
  </si>
  <si>
    <t>Santander, Spain</t>
  </si>
  <si>
    <t>Cork ,like.</t>
  </si>
  <si>
    <t>Hamilton, New Zealand</t>
  </si>
  <si>
    <t>3rd rock from the sun</t>
  </si>
  <si>
    <t>Napa Valley, California</t>
  </si>
  <si>
    <t>within a mile of my sofa</t>
  </si>
  <si>
    <t>Somewhere, GB</t>
  </si>
  <si>
    <t xml:space="preserve">London + Cambridge </t>
  </si>
  <si>
    <t>West Hollywood</t>
  </si>
  <si>
    <t>Washington, D.C.</t>
  </si>
  <si>
    <t>Kansas City, MO</t>
  </si>
  <si>
    <t>Wasteland of Really Bad Ideas</t>
  </si>
  <si>
    <t xml:space="preserve"> Portsmouth  &amp; Liverpool etc.</t>
  </si>
  <si>
    <t xml:space="preserve">Leeds, Yorkshire </t>
  </si>
  <si>
    <t>NYC/Edinburgh</t>
  </si>
  <si>
    <t>A hedge~hermitage by the sea</t>
  </si>
  <si>
    <t>Gothenburg, Sweden</t>
  </si>
  <si>
    <t>Alexandria, VA</t>
  </si>
  <si>
    <t xml:space="preserve">great lakes </t>
  </si>
  <si>
    <t>Los Angeles County, California</t>
  </si>
  <si>
    <t>Rexel 4.</t>
  </si>
  <si>
    <t>Metairie, LA</t>
  </si>
  <si>
    <t>Gaithersburg, MD</t>
  </si>
  <si>
    <t>Belfast via The Moy</t>
  </si>
  <si>
    <t>Baldock, England</t>
  </si>
  <si>
    <t>Winter Park, FL</t>
  </si>
  <si>
    <t>\xdcT: 51.47371,-2.565147</t>
  </si>
  <si>
    <t>Graceville, FL</t>
  </si>
  <si>
    <t>Westray, Orkney</t>
  </si>
  <si>
    <t xml:space="preserve">Tweets may be scheduled.  </t>
  </si>
  <si>
    <t>SW London</t>
  </si>
  <si>
    <t>marilynmountford@mail.com</t>
  </si>
  <si>
    <t>Scotland, not 'Scaaatland'</t>
  </si>
  <si>
    <t>Rutland</t>
  </si>
  <si>
    <t>Cork,Ireland</t>
  </si>
  <si>
    <t>On a sofa near you</t>
  </si>
  <si>
    <t>Papa Westray</t>
  </si>
  <si>
    <t>Somewhere in great Britain</t>
  </si>
  <si>
    <t>Alcorn Close, Sutton, SM3 9PX</t>
  </si>
  <si>
    <t>Summerhall, Edinburgh</t>
  </si>
  <si>
    <t>ID-Paris-NYC-Cbus</t>
  </si>
  <si>
    <t>Santa Marta, Colombia</t>
  </si>
  <si>
    <t>At sea in a sieve.</t>
  </si>
  <si>
    <t>Juneau, AK</t>
  </si>
  <si>
    <t>los angeles, ca\n</t>
  </si>
  <si>
    <t>I'm right here.</t>
  </si>
  <si>
    <t>norway</t>
  </si>
  <si>
    <t>Currently aboard the great ship Boaty Mcboatface</t>
  </si>
  <si>
    <t>Adelaide, South Aus.</t>
  </si>
  <si>
    <t>University of Ottawa</t>
  </si>
  <si>
    <t>Juneau, Alaska</t>
  </si>
  <si>
    <t xml:space="preserve">Edison, NJ  |  Philadelphia </t>
  </si>
  <si>
    <t>Central Maine</t>
  </si>
  <si>
    <t>CT, London, West Cork, Kenyon</t>
  </si>
  <si>
    <t>under the sea</t>
  </si>
  <si>
    <t>Los Angeles &amp; Joshua Tree, CA</t>
  </si>
  <si>
    <t>Windsor Ontario</t>
  </si>
  <si>
    <t>Somewhere on I64</t>
  </si>
  <si>
    <t>London, Ontario CANADA</t>
  </si>
  <si>
    <t>NYC</t>
  </si>
  <si>
    <t>Shoalhaven, South Coast NSW</t>
  </si>
  <si>
    <t>\xdcT: 51.4710418,-0.0629543</t>
  </si>
  <si>
    <t>Near Salisbury</t>
  </si>
  <si>
    <t>wellcome aboard</t>
  </si>
  <si>
    <t>sherwood park, ab</t>
  </si>
  <si>
    <t>Livermore CA 94550</t>
  </si>
  <si>
    <t>Colourful Colorado</t>
  </si>
  <si>
    <t xml:space="preserve">Brixton </t>
  </si>
  <si>
    <t>Biggleswade, Bedfordshire</t>
  </si>
  <si>
    <t>Tampico</t>
  </si>
  <si>
    <t xml:space="preserve">The kitchen </t>
  </si>
  <si>
    <t>York/Leeds</t>
  </si>
  <si>
    <t>Castlerock</t>
  </si>
  <si>
    <t>Sunny Gilroy, CA</t>
  </si>
  <si>
    <t>Red Deer, Alberta</t>
  </si>
  <si>
    <t>Winona, MN</t>
  </si>
  <si>
    <t>Dublin,Ireland &amp; Oviedo,Spain</t>
  </si>
  <si>
    <t>Lancashire UK</t>
  </si>
  <si>
    <t>digitalbritain</t>
  </si>
  <si>
    <t>St. Louis, MO</t>
  </si>
  <si>
    <t>Hazel Grove</t>
  </si>
  <si>
    <t>Ft Wright, KY</t>
  </si>
  <si>
    <t>Uptable</t>
  </si>
  <si>
    <t>Next to Carmen Sandiego</t>
  </si>
  <si>
    <t>Manchester, NH, USA</t>
  </si>
  <si>
    <t xml:space="preserve">Hertfordshire, heart@Gower! </t>
  </si>
  <si>
    <t>Calgary</t>
  </si>
  <si>
    <t>Bombay</t>
  </si>
  <si>
    <t>yaafield shetland</t>
  </si>
  <si>
    <t>Royal Oak, MI</t>
  </si>
  <si>
    <t>Newport News, VA</t>
  </si>
  <si>
    <t>Susquehanna University</t>
  </si>
  <si>
    <t>Glasgow/Orkney/othergoodplaces</t>
  </si>
  <si>
    <t>Pretending I'm Lizzie Bennet</t>
  </si>
  <si>
    <t>EDINBURGH | LONDON</t>
  </si>
  <si>
    <t>gofundme.com/ArtistResidencyMB</t>
  </si>
  <si>
    <t>Powhatan, VA</t>
  </si>
  <si>
    <t>next to YOU ;)</t>
  </si>
  <si>
    <t>Former NPR &amp; BBC correspondent</t>
  </si>
  <si>
    <t xml:space="preserve">Behind you. </t>
  </si>
  <si>
    <t>University Center, MI</t>
  </si>
  <si>
    <t>sp3 hybrid orbital</t>
  </si>
  <si>
    <t>Kettering, OH</t>
  </si>
  <si>
    <t>Blue Planet, (Sol), Milky Way</t>
  </si>
  <si>
    <t>Over here.</t>
  </si>
  <si>
    <t>NH, USA</t>
  </si>
  <si>
    <t>East Gwillimbury, Ontario</t>
  </si>
  <si>
    <t>Belleville, Ontario, Canada</t>
  </si>
  <si>
    <t>Paris</t>
  </si>
  <si>
    <t>Durham, NC</t>
  </si>
  <si>
    <t>Good Old Blighty</t>
  </si>
  <si>
    <t>Puerto Rico, USA</t>
  </si>
  <si>
    <t xml:space="preserve">W2 </t>
  </si>
  <si>
    <t>Stillwater, Minnesota</t>
  </si>
  <si>
    <t>Austin, TX &amp; Central Coast, CA</t>
  </si>
  <si>
    <t>Here, or there.</t>
  </si>
  <si>
    <t>LDN</t>
  </si>
  <si>
    <t>Summoner's Rift</t>
  </si>
  <si>
    <t>St. Augustin, Germany</t>
  </si>
  <si>
    <t>East Campus, Huskerville</t>
  </si>
  <si>
    <t>Covina, CA</t>
  </si>
  <si>
    <t>Syracuse, NY</t>
  </si>
  <si>
    <t>New Hampshire</t>
  </si>
  <si>
    <t>\xdcT: 39.838674,-104.95764</t>
  </si>
  <si>
    <t>Victorville, CA</t>
  </si>
  <si>
    <t>Scotland-wide</t>
  </si>
  <si>
    <t>Goshen, OH</t>
  </si>
  <si>
    <t>Mississippi, y'all</t>
  </si>
  <si>
    <t>NC</t>
  </si>
  <si>
    <t>Fontenay-aux-Roses, France</t>
  </si>
  <si>
    <t>Racib\xf3rz, woj. \u015bl\u0105skie</t>
  </si>
  <si>
    <t>Olyesti, Gallifrey</t>
  </si>
  <si>
    <t>DF, M\xe9xico</t>
  </si>
  <si>
    <t>239</t>
  </si>
  <si>
    <t>Regina, Saskatchewan</t>
  </si>
  <si>
    <t>Rhode Island</t>
  </si>
  <si>
    <t>Bawstin</t>
  </si>
  <si>
    <t>Fayetteville</t>
  </si>
  <si>
    <t>Kansai, Japan</t>
  </si>
  <si>
    <t>Baton Rouge, LA</t>
  </si>
  <si>
    <t>N 55\xb043' 0'' / E 37\xb032' 0''</t>
  </si>
  <si>
    <t>Royton,Oldham, UK</t>
  </si>
  <si>
    <t>Clearwater, FL</t>
  </si>
  <si>
    <t>south London</t>
  </si>
  <si>
    <t>Hudson, NY</t>
  </si>
  <si>
    <t>Boston, Lincolnshire</t>
  </si>
  <si>
    <t>Midlothian, Scotland, UK</t>
  </si>
  <si>
    <t>Sunny Kilburn, London</t>
  </si>
  <si>
    <t>Musselburgh,Scotland.</t>
  </si>
  <si>
    <t>Coatbridge, Glasgow, UK, Earth</t>
  </si>
  <si>
    <t>Derbyshire, UK</t>
  </si>
  <si>
    <t>Polk County, FL</t>
  </si>
  <si>
    <t>PH</t>
  </si>
  <si>
    <t>London/Orkney</t>
  </si>
  <si>
    <t>New England</t>
  </si>
  <si>
    <t>Bishop Auckland</t>
  </si>
  <si>
    <t>Ind Rep of Scotland</t>
  </si>
  <si>
    <t>Addison &amp; Clark</t>
  </si>
  <si>
    <t>Louisville, Kentucky, USA</t>
  </si>
  <si>
    <t>Right where I need to be.</t>
  </si>
  <si>
    <t>Munich</t>
  </si>
  <si>
    <t xml:space="preserve">From Bradford, in London. </t>
  </si>
  <si>
    <t xml:space="preserve">South Ayrshire </t>
  </si>
  <si>
    <t>Sussex, United Kingdom</t>
  </si>
  <si>
    <t>Staffordshire via Glamorgan</t>
  </si>
  <si>
    <t>Antipodes, mostly mimsy</t>
  </si>
  <si>
    <t>YORKSHIRE</t>
  </si>
  <si>
    <t>Leeds/New Delhi</t>
  </si>
  <si>
    <t>Midwest Coast OKest Coast</t>
  </si>
  <si>
    <t>G\xf6ttingen, Germany</t>
  </si>
  <si>
    <t>Abernethy, Perth, Scotland</t>
  </si>
  <si>
    <t>Mountain View, CA</t>
  </si>
  <si>
    <t>London,UK</t>
  </si>
  <si>
    <t>Leeds (often Scotland) UK</t>
  </si>
  <si>
    <t>M\xfcnchen, Bayern</t>
  </si>
  <si>
    <t>Deutschland</t>
  </si>
  <si>
    <t>Crowthorne, England</t>
  </si>
  <si>
    <t>Oundle, England</t>
  </si>
  <si>
    <t>Bonn</t>
  </si>
  <si>
    <t>Towcester.</t>
  </si>
  <si>
    <t>North of the Netherlands :)</t>
  </si>
  <si>
    <t>My House</t>
  </si>
  <si>
    <t>Provence-Alpes-C\xf4te d'Azur</t>
  </si>
  <si>
    <t>Tehran</t>
  </si>
  <si>
    <t>\u0130stanbul, T\xfcrkiye</t>
  </si>
  <si>
    <t>Living the dream in Scotland</t>
  </si>
  <si>
    <t>#Survivor #WeCanBeatCancer</t>
  </si>
  <si>
    <t>Coleraine, NI</t>
  </si>
  <si>
    <t>MidWest</t>
  </si>
  <si>
    <t>Waynesboro, TN</t>
  </si>
  <si>
    <t>North Vancouver</t>
  </si>
  <si>
    <t>Planet X</t>
  </si>
  <si>
    <t>Carman, Manitoba</t>
  </si>
  <si>
    <t>Chicago Area</t>
  </si>
  <si>
    <t>Emporia, KS</t>
  </si>
  <si>
    <t>Greater Vancouver, British Col</t>
  </si>
  <si>
    <t>Wick, Scotland</t>
  </si>
  <si>
    <t>Charlotte, NC</t>
  </si>
  <si>
    <t>Hungary</t>
  </si>
  <si>
    <t>Currently: SoCal</t>
  </si>
  <si>
    <t>Coastal Southern Delaware</t>
  </si>
  <si>
    <t>durham nc</t>
  </si>
  <si>
    <t>Minneapolis (mostly)</t>
  </si>
  <si>
    <t>Springboro, OH</t>
  </si>
  <si>
    <t>Ecuador</t>
  </si>
  <si>
    <t xml:space="preserve">Boston, Massachusetts </t>
  </si>
  <si>
    <t>NO\u20a9ONS\u2122</t>
  </si>
  <si>
    <t>Beavercreek, OH</t>
  </si>
  <si>
    <t>Arkham, Mass</t>
  </si>
  <si>
    <t>Oregon</t>
  </si>
  <si>
    <t>Beijing, People's Republic of China</t>
  </si>
  <si>
    <t>Simister</t>
  </si>
  <si>
    <t>Fremantle/Aus &amp; Havelock NZ</t>
  </si>
  <si>
    <t>Niagara Falls</t>
  </si>
  <si>
    <t>Woodstock, IL</t>
  </si>
  <si>
    <t>London. LA. NY</t>
  </si>
  <si>
    <t>Beijing</t>
  </si>
  <si>
    <t xml:space="preserve">usa </t>
  </si>
  <si>
    <t>Portland OR</t>
  </si>
  <si>
    <t>Heinrich-Roller-Str. 8, Berlin</t>
  </si>
  <si>
    <t>Woodbridge,  CT</t>
  </si>
  <si>
    <t>Missouri</t>
  </si>
  <si>
    <t>773</t>
  </si>
  <si>
    <t>White Plains, NY</t>
  </si>
  <si>
    <t>Wallingford, Connecticut</t>
  </si>
  <si>
    <t>North and south.</t>
  </si>
  <si>
    <t>So Cal</t>
  </si>
  <si>
    <t>Bristol, South-west England</t>
  </si>
  <si>
    <t>amsterdam</t>
  </si>
  <si>
    <t>GW at the Mount Vernon Campus</t>
  </si>
  <si>
    <t>Riyadh, Saudi Arabia</t>
  </si>
  <si>
    <t>New Milton, Hampshire</t>
  </si>
  <si>
    <t>Salt Lake City, Utah</t>
  </si>
  <si>
    <t>Peak District</t>
  </si>
  <si>
    <t>Work/Megabus/gig/Asda/home</t>
  </si>
  <si>
    <t>Cumnock</t>
  </si>
  <si>
    <t>Greater London</t>
  </si>
  <si>
    <t>NZL | LDN</t>
  </si>
  <si>
    <t xml:space="preserve"> Scotland</t>
  </si>
  <si>
    <t>Anglesey</t>
  </si>
  <si>
    <t>South side Dublin... via CPH</t>
  </si>
  <si>
    <t>Near Glasgow, UK</t>
  </si>
  <si>
    <t>hong kong // london // sydney</t>
  </si>
  <si>
    <t>Carlisle/Liverpool</t>
  </si>
  <si>
    <t>Napoli / Naples, Italy</t>
  </si>
  <si>
    <t>Lynbrook, NY</t>
  </si>
  <si>
    <t>Harlem, NY</t>
  </si>
  <si>
    <t>Dun Laoghaire</t>
  </si>
  <si>
    <t>Cardiff, WALES</t>
  </si>
  <si>
    <t>Portales, NM</t>
  </si>
  <si>
    <t xml:space="preserve">North London </t>
  </si>
  <si>
    <t>Kirkby-in-Furness, Cumbria</t>
  </si>
  <si>
    <t>San Diego</t>
  </si>
  <si>
    <t>New Orleans</t>
  </si>
  <si>
    <t xml:space="preserve">Calgary </t>
  </si>
  <si>
    <t>ubiquitous</t>
  </si>
  <si>
    <t>Albert Square, Walford</t>
  </si>
  <si>
    <t xml:space="preserve">NW Florida Outlander fans </t>
  </si>
  <si>
    <t>shrewsbury</t>
  </si>
  <si>
    <t xml:space="preserve">Chicago, IL </t>
  </si>
  <si>
    <t>Kendal, Cumbria, UK</t>
  </si>
  <si>
    <t>Cheadle, Staffordshire</t>
  </si>
  <si>
    <t>North Kingstown, RI</t>
  </si>
  <si>
    <t>Rib Cage</t>
  </si>
  <si>
    <t>Winnipeg</t>
  </si>
  <si>
    <t>Ayrshire Scotland</t>
  </si>
  <si>
    <t>duncanpwiles@gmail.com</t>
  </si>
  <si>
    <t>239 College Street, Toronto</t>
  </si>
  <si>
    <t>Krak\xf3w</t>
  </si>
  <si>
    <t>Great Falls, VA</t>
  </si>
  <si>
    <t>Barry, South Wales, UK</t>
  </si>
  <si>
    <t>Nose in a book</t>
  </si>
  <si>
    <t>New Brunswick, NJ</t>
  </si>
  <si>
    <t>London, Europe</t>
  </si>
  <si>
    <t>Peebles, Scottish Borders</t>
  </si>
  <si>
    <t>Kinlochleven, Scotland</t>
  </si>
  <si>
    <t>Tufnell Park, London</t>
  </si>
  <si>
    <t>Scottie land</t>
  </si>
  <si>
    <t>elitist icebox</t>
  </si>
  <si>
    <t xml:space="preserve">tumblr </t>
  </si>
  <si>
    <t>Cambridge/Leeds</t>
  </si>
  <si>
    <t xml:space="preserve">Lancashire </t>
  </si>
  <si>
    <t>Aberdeen via Lincolnshire</t>
  </si>
  <si>
    <t>Okanagan, BC</t>
  </si>
  <si>
    <t>4465 I-55 N Jackson, MS 39206</t>
  </si>
  <si>
    <t xml:space="preserve">Cleveland, TN </t>
  </si>
  <si>
    <t xml:space="preserve">Earth  </t>
  </si>
  <si>
    <t>Portmouth, UK</t>
  </si>
  <si>
    <t>212 W. 83rd St. NY, NY 10024</t>
  </si>
  <si>
    <t>Peterborough/London/Luxor</t>
  </si>
  <si>
    <t>Texas Hill Country</t>
  </si>
  <si>
    <t xml:space="preserve"> Scottish Highlands</t>
  </si>
  <si>
    <t>dundee</t>
  </si>
  <si>
    <t>north shore massachusetts, usa</t>
  </si>
  <si>
    <t xml:space="preserve"> Glasgow, Glasgow City G11 6</t>
  </si>
  <si>
    <t>1 Mary Wilbanks Ave</t>
  </si>
  <si>
    <t>Au nord, c'\xe9tait les Corons !</t>
  </si>
  <si>
    <t xml:space="preserve">Dunstable, Bedfordshire </t>
  </si>
  <si>
    <t>Congleton, Cheshire, UK</t>
  </si>
  <si>
    <t>Basel-Stadt/M\xfcnchen</t>
  </si>
  <si>
    <t>USA (Chicago, IL)</t>
  </si>
  <si>
    <t>Cornwall &amp; Isles of Scilly</t>
  </si>
  <si>
    <t>Tunnel sous la Manche</t>
  </si>
  <si>
    <t>Burley, Leeds, UK</t>
  </si>
  <si>
    <t>London mostly &amp; Edinburgh too</t>
  </si>
  <si>
    <t>Preston Lancashire UK</t>
  </si>
  <si>
    <t>Land of the Giants</t>
  </si>
  <si>
    <t xml:space="preserve"> Ontario, Canada</t>
  </si>
  <si>
    <t>Salisbury, UK</t>
  </si>
  <si>
    <t>London / Essex</t>
  </si>
  <si>
    <t>The School of St Jude</t>
  </si>
  <si>
    <t>9 Half Moon Lane, Herne Hill</t>
  </si>
  <si>
    <t>Dartmouth, NS</t>
  </si>
  <si>
    <t>Belfast NI</t>
  </si>
  <si>
    <t>Gymternet</t>
  </si>
  <si>
    <t>Albuquerque, NM</t>
  </si>
  <si>
    <t xml:space="preserve">Buckingham </t>
  </si>
  <si>
    <t>Knutsford, UK</t>
  </si>
  <si>
    <t>Aan de rand van de moshpit</t>
  </si>
  <si>
    <t>Near Bath</t>
  </si>
  <si>
    <t>Claridge's Bar, London,ideally</t>
  </si>
  <si>
    <t>Karachi</t>
  </si>
  <si>
    <t>Princeton NJ</t>
  </si>
  <si>
    <t>Brompton Cemetery, London</t>
  </si>
  <si>
    <t>Harrogate, England</t>
  </si>
  <si>
    <t>A Land of Mountains &amp; Culture</t>
  </si>
  <si>
    <t>Corte Madera, California</t>
  </si>
  <si>
    <t>Concepcion, Chile</t>
  </si>
  <si>
    <t>Inspired by Iceland</t>
  </si>
  <si>
    <t>Chester &amp; Edinburgh</t>
  </si>
  <si>
    <t>Royston, Herts</t>
  </si>
  <si>
    <t>West Sacramento</t>
  </si>
  <si>
    <t>Greater Lodon</t>
  </si>
  <si>
    <t>northumberland. uk.</t>
  </si>
  <si>
    <t>Cambridge | Hastings</t>
  </si>
  <si>
    <t>South London via Scotland</t>
  </si>
  <si>
    <t>Allentown, PA</t>
  </si>
  <si>
    <t>Saaremaa, Estonia</t>
  </si>
  <si>
    <t>Eglwysbach</t>
  </si>
  <si>
    <t>413, massachusetts</t>
  </si>
  <si>
    <t>All Around</t>
  </si>
  <si>
    <t>Bwlch, Wales</t>
  </si>
  <si>
    <t>a hill in sheffield</t>
  </si>
  <si>
    <t>Warszawa</t>
  </si>
  <si>
    <t>Nantes</t>
  </si>
  <si>
    <t>Berkshire UK &amp; Murcia Spain</t>
  </si>
  <si>
    <t>L\xfcbeck</t>
  </si>
  <si>
    <t>Kirksville, MO</t>
  </si>
  <si>
    <t xml:space="preserve">orkney scotland </t>
  </si>
  <si>
    <t>Great Malvern, England</t>
  </si>
  <si>
    <t>Dreaming of Middleham</t>
  </si>
  <si>
    <t>South Devon</t>
  </si>
  <si>
    <t>Glasgow, Yr Hen Ogledd.</t>
  </si>
  <si>
    <t>mostly Edinburgh</t>
  </si>
  <si>
    <t>sunny Durham</t>
  </si>
  <si>
    <t>IsleofLewis|Edinburgh|Glasgow</t>
  </si>
  <si>
    <t>London, UK and Worldwide</t>
  </si>
  <si>
    <t>Brighton/Lewes</t>
  </si>
  <si>
    <t>the great outdoors</t>
  </si>
  <si>
    <t xml:space="preserve">Suffolk </t>
  </si>
  <si>
    <t>San Francisco / Burton</t>
  </si>
  <si>
    <t>Columbus, OH</t>
  </si>
  <si>
    <t>Ewrop / Cymru | Europe / Wales</t>
  </si>
  <si>
    <t>Rampantly, in all directions.</t>
  </si>
  <si>
    <t>Gay HQ</t>
  </si>
  <si>
    <t>Shores of Hell (Watford, UK)</t>
  </si>
  <si>
    <t>the winter of our discontent</t>
  </si>
  <si>
    <t>Lima</t>
  </si>
  <si>
    <t>Kirkby Lonsdale</t>
  </si>
  <si>
    <t>Caracas</t>
  </si>
  <si>
    <t>Deep in the heart of Texas</t>
  </si>
  <si>
    <t>Tunbridge wells</t>
  </si>
  <si>
    <t>Lodz, Poland</t>
  </si>
  <si>
    <t>North and South Britain \u2708\ufe0f</t>
  </si>
  <si>
    <t>gateshead</t>
  </si>
  <si>
    <t>Carnoustie, Scotland</t>
  </si>
  <si>
    <t>New York State</t>
  </si>
  <si>
    <t>Dubai</t>
  </si>
  <si>
    <t>STANDING ROCK</t>
  </si>
  <si>
    <t>Greater Belfast</t>
  </si>
  <si>
    <t>Northern NJ / NYC, USA</t>
  </si>
  <si>
    <t xml:space="preserve">New BH &amp; by the Bosphorus </t>
  </si>
  <si>
    <t xml:space="preserve">Atlanta, Georgia </t>
  </si>
  <si>
    <t>Kelso, Scotland</t>
  </si>
  <si>
    <t>London/Cambridge, UK</t>
  </si>
  <si>
    <t>Earf</t>
  </si>
  <si>
    <t>Miami</t>
  </si>
  <si>
    <t>M25 via HU5 and J25 of the M1</t>
  </si>
  <si>
    <t>77 Jefferson St.</t>
  </si>
  <si>
    <t>Mesa County, Colorado</t>
  </si>
  <si>
    <t>By Dnepr: + beer, sans skittles</t>
  </si>
  <si>
    <t>Weston super Mare, UK</t>
  </si>
  <si>
    <t>Sunny South Coast</t>
  </si>
  <si>
    <t>Leicester Forest</t>
  </si>
  <si>
    <t>Long Preston, England</t>
  </si>
  <si>
    <t>W1A</t>
  </si>
  <si>
    <t>Stowupland, England</t>
  </si>
  <si>
    <t>Regina, Saskatchewan, Canada</t>
  </si>
  <si>
    <t>on the couch or by the fridge</t>
  </si>
  <si>
    <t>Yorkshire - UK</t>
  </si>
  <si>
    <t>Manchester England, England</t>
  </si>
  <si>
    <t>New York NY</t>
  </si>
  <si>
    <t>Southport, UK</t>
  </si>
  <si>
    <t>Manchester // Shropshire</t>
  </si>
  <si>
    <t>the seven seas</t>
  </si>
  <si>
    <t>Wolverley</t>
  </si>
  <si>
    <t>Easingwold, England</t>
  </si>
  <si>
    <t>Milngavie, Scotland</t>
  </si>
  <si>
    <t>Alto Monferrato, Italy</t>
  </si>
  <si>
    <t>1 AU</t>
  </si>
  <si>
    <t>Stars Hollow</t>
  </si>
  <si>
    <t>aberdeen</t>
  </si>
  <si>
    <t>Location: Probably near food</t>
  </si>
  <si>
    <t>Ulverston, Cumbria</t>
  </si>
  <si>
    <t>Dar es Salaam, Tanzania</t>
  </si>
  <si>
    <t>brooklynoid in edinburgh</t>
  </si>
  <si>
    <t>West End, Edinburgh</t>
  </si>
  <si>
    <t xml:space="preserve">Kettu Talo, Leicestershire </t>
  </si>
  <si>
    <t>Magdeburg</t>
  </si>
  <si>
    <t xml:space="preserve"> Bromley, London BR3 1JF</t>
  </si>
  <si>
    <t>Glasgow Scotland</t>
  </si>
  <si>
    <t>Marsh Gibbon, Bicester</t>
  </si>
  <si>
    <t>Watford, England</t>
  </si>
  <si>
    <t>SW of Benham Bank, Benham Rise</t>
  </si>
  <si>
    <t>probably in a forest somewhere</t>
  </si>
  <si>
    <t>Rutland\n</t>
  </si>
  <si>
    <t>Greece</t>
  </si>
  <si>
    <t>Crowthorne</t>
  </si>
  <si>
    <t>Bounds Green, London</t>
  </si>
  <si>
    <t>Fairford, England</t>
  </si>
  <si>
    <t xml:space="preserve">52 degrees North. </t>
  </si>
  <si>
    <t>The Essex, UK.</t>
  </si>
  <si>
    <t>Faversham</t>
  </si>
  <si>
    <t>aberdeen, scotland</t>
  </si>
  <si>
    <t>\xc5rhus, Midtjylland</t>
  </si>
  <si>
    <t>Stirling/Northern Ireland</t>
  </si>
  <si>
    <t>Head of Muir, Scotland, UK</t>
  </si>
  <si>
    <t>Billigheim-Ingenheim</t>
  </si>
  <si>
    <t>UWG</t>
  </si>
  <si>
    <t>Napa, CA</t>
  </si>
  <si>
    <t>Mexico City, Mexico.</t>
  </si>
  <si>
    <t>Lostock Hall</t>
  </si>
  <si>
    <t>Montecosaro</t>
  </si>
  <si>
    <t>Darkest Surrey - shame on me.</t>
  </si>
  <si>
    <t xml:space="preserve">Should be in London </t>
  </si>
  <si>
    <t>Yorkshire,England</t>
  </si>
  <si>
    <t>Belmont, NC</t>
  </si>
  <si>
    <t>blvd of broken dreams :)</t>
  </si>
  <si>
    <t>Milky Way Galaxy</t>
  </si>
  <si>
    <t>lyness, UK</t>
  </si>
  <si>
    <t>World-Wide</t>
  </si>
  <si>
    <t>The Lochans</t>
  </si>
  <si>
    <t>anywhere but here</t>
  </si>
  <si>
    <t>Brighton and Hove</t>
  </si>
  <si>
    <t>Ashby-de-la-Zouch, UK</t>
  </si>
  <si>
    <t>Cray Valley East</t>
  </si>
  <si>
    <t>Carlisle &amp; Hexham</t>
  </si>
  <si>
    <t>Santa Maria, California.</t>
  </si>
  <si>
    <t>Sombeke, BE - Mohammedia, MA</t>
  </si>
  <si>
    <t>University of Warwick</t>
  </si>
  <si>
    <t>Yafo haAtika, Israel</t>
  </si>
  <si>
    <t>Clapham, London</t>
  </si>
  <si>
    <t>Shawn Mendes's home</t>
  </si>
  <si>
    <t>Killie</t>
  </si>
  <si>
    <t>Glasgow/Aberdeen/Lossiemouth</t>
  </si>
  <si>
    <t>Tollcross, Edinburgh, Scotland</t>
  </si>
  <si>
    <t>Chesterfield, Derbyshire</t>
  </si>
  <si>
    <t>UK SOUTH COAST</t>
  </si>
  <si>
    <t>West Lothian</t>
  </si>
  <si>
    <t>in Scotland from California</t>
  </si>
  <si>
    <t>Bellshill, Lanarkshire</t>
  </si>
  <si>
    <t>55.182314,-1.567728</t>
  </si>
  <si>
    <t>Valenzuela City</t>
  </si>
  <si>
    <t>Hersham or Waterloo</t>
  </si>
  <si>
    <t>the TARDIS</t>
  </si>
  <si>
    <t>The Moon</t>
  </si>
  <si>
    <t>Inside my own imagination.</t>
  </si>
  <si>
    <t>Nowere</t>
  </si>
  <si>
    <t>Gateshead, UK</t>
  </si>
  <si>
    <t>Pocklington</t>
  </si>
  <si>
    <t>Edmonton, Alberta, Treaty Six</t>
  </si>
  <si>
    <t>N 57\xb07' 0'' / W 2\xb051' 0''</t>
  </si>
  <si>
    <t>Hamburg, Germany</t>
  </si>
  <si>
    <t>There</t>
  </si>
  <si>
    <t>Zuhause in Deutschland</t>
  </si>
  <si>
    <t>S W England</t>
  </si>
  <si>
    <t>the burrow with the twins</t>
  </si>
  <si>
    <t>6 inches in your mum</t>
  </si>
  <si>
    <t>Bath and North East Somerset</t>
  </si>
  <si>
    <t>back in the beloved North</t>
  </si>
  <si>
    <t>Helensville, Auckland</t>
  </si>
  <si>
    <t>Parna\xedba, Piau\xed,Brasil</t>
  </si>
  <si>
    <t>Kannapolis, NC</t>
  </si>
  <si>
    <t>Devizes, Wiltshire. UK\n</t>
  </si>
  <si>
    <t>Cardiff, United Kingdom</t>
  </si>
  <si>
    <t>Charlie Lake B.C. Canada</t>
  </si>
  <si>
    <t>Hitchin, Hertfordshire, UK</t>
  </si>
  <si>
    <t>paradise</t>
  </si>
  <si>
    <t>Friday Harbor, Washington</t>
  </si>
  <si>
    <t>Oxford, UK.</t>
  </si>
  <si>
    <t>\xdcT: 51.58288,-0.227491</t>
  </si>
  <si>
    <t>GLEBE</t>
  </si>
  <si>
    <t>NEW DONK CITY</t>
  </si>
  <si>
    <t>Under my desk</t>
  </si>
  <si>
    <t>Hogsmeade</t>
  </si>
  <si>
    <t>messing about by the river</t>
  </si>
  <si>
    <t>Glasgow/Orkney</t>
  </si>
  <si>
    <t>strawberry fields forever \u2665\ufe0f</t>
  </si>
  <si>
    <t>Tockwith, York</t>
  </si>
  <si>
    <t>Russia</t>
  </si>
  <si>
    <t>North West UK</t>
  </si>
  <si>
    <t>w/ @RossHQuinn, North Wales</t>
  </si>
  <si>
    <t>N 55\ufffd 54' 0'' / W 3\ufffd 8' 0''</t>
  </si>
  <si>
    <t>Costa Rica</t>
  </si>
  <si>
    <t>Hampton Hill, England</t>
  </si>
  <si>
    <t>M\xe9rida, Yucat\xe1n</t>
  </si>
  <si>
    <t>table 11</t>
  </si>
  <si>
    <t xml:space="preserve">Exiled in Derry </t>
  </si>
  <si>
    <t>The Purple Palace</t>
  </si>
  <si>
    <t>Lombard, Illinois</t>
  </si>
  <si>
    <t xml:space="preserve">Canterbury </t>
  </si>
  <si>
    <t>Shoreham by Sea, England</t>
  </si>
  <si>
    <t xml:space="preserve">Sheffield City Region </t>
  </si>
  <si>
    <t>San Francisco Bay Area</t>
  </si>
  <si>
    <t>silicon valley, california</t>
  </si>
  <si>
    <t>england / wales</t>
  </si>
  <si>
    <t>pittsburgh</t>
  </si>
  <si>
    <t>New Forest UK</t>
  </si>
  <si>
    <t>203-206 Piccadilly, London</t>
  </si>
  <si>
    <t>Saint Albans, England</t>
  </si>
  <si>
    <t>Hoooo-stun, Tex-ass</t>
  </si>
  <si>
    <t>earth</t>
  </si>
  <si>
    <t>LATITUDE N51:30:57 or London</t>
  </si>
  <si>
    <t>Continent of Wild Endeavour</t>
  </si>
  <si>
    <t>South Cerney, Gloucestershire</t>
  </si>
  <si>
    <t>Ruddington</t>
  </si>
  <si>
    <t>London &amp; Miami</t>
  </si>
  <si>
    <t>Dalston</t>
  </si>
  <si>
    <t>Hamilton City, New Zealand</t>
  </si>
  <si>
    <t>solon, OH</t>
  </si>
  <si>
    <t>Winnipeg, Manitoba</t>
  </si>
  <si>
    <t>Wherever there's jazz.</t>
  </si>
  <si>
    <t>New Orleans, LA</t>
  </si>
  <si>
    <t>Maplesville, Alabama</t>
  </si>
  <si>
    <t>Pau</t>
  </si>
  <si>
    <t>Hull, by the Tide of Humber</t>
  </si>
  <si>
    <t>Hitchin UK</t>
  </si>
  <si>
    <t xml:space="preserve">London, via Glasgow. </t>
  </si>
  <si>
    <t>Salisbury....</t>
  </si>
  <si>
    <t>@wien24</t>
  </si>
  <si>
    <t>Gujranwala, Pakistan</t>
  </si>
  <si>
    <t>Londres</t>
  </si>
  <si>
    <t>Carmel + Pebble Beach</t>
  </si>
  <si>
    <t>new Iceland</t>
  </si>
  <si>
    <t>London, Scotland, elsewhere...</t>
  </si>
  <si>
    <t>Kirkwall,Orkney</t>
  </si>
  <si>
    <t>Annan</t>
  </si>
  <si>
    <t>England/UK</t>
  </si>
  <si>
    <t xml:space="preserve">Aberdeen, Scotland </t>
  </si>
  <si>
    <t>Usually Glasgow</t>
  </si>
  <si>
    <t>Somewhere in Neverland</t>
  </si>
  <si>
    <t>Shetland, Scotland</t>
  </si>
  <si>
    <t>kirkwall</t>
  </si>
  <si>
    <t>Burnside</t>
  </si>
  <si>
    <t xml:space="preserve"> Glasgow, Lanarkshire G1 1RE</t>
  </si>
  <si>
    <t>\u6771\u4eac\u90fd\u6c5f\u6238\u5ddd\u533a\u5e73\u4e95</t>
  </si>
  <si>
    <t>Somewhere in the world</t>
  </si>
  <si>
    <t xml:space="preserve">Lungsod ng Taguig, Pambansang </t>
  </si>
  <si>
    <t>Cadishead, Manchester</t>
  </si>
  <si>
    <t>East Coast of Scotland.</t>
  </si>
  <si>
    <t>Risca</t>
  </si>
  <si>
    <t>'Norn Iron'</t>
  </si>
  <si>
    <t>Cotswolds, U.K.</t>
  </si>
  <si>
    <t>221b, Baker Street-London</t>
  </si>
  <si>
    <t>Westgate on Sea</t>
  </si>
  <si>
    <t>De Pere, Wisconsin, USA</t>
  </si>
  <si>
    <t>NE Scotland</t>
  </si>
  <si>
    <t xml:space="preserve">Scotland, Europe </t>
  </si>
  <si>
    <t>Glasgow and Edinburgh</t>
  </si>
  <si>
    <t>Starlit Ford of the Night</t>
  </si>
  <si>
    <t>Tamaki Makaurau, Aotearoa</t>
  </si>
  <si>
    <t>Mas Postius (Osona)</t>
  </si>
  <si>
    <t>Deep in the Heart of Texas</t>
  </si>
  <si>
    <t>turriff</t>
  </si>
  <si>
    <t>Minnetonka, Minnesota</t>
  </si>
  <si>
    <t>United States of America</t>
  </si>
  <si>
    <t>Olympia, West London</t>
  </si>
  <si>
    <t>UK &amp; Worldwide</t>
  </si>
  <si>
    <t>Cass County Missouri</t>
  </si>
  <si>
    <t>glasgowland</t>
  </si>
  <si>
    <t>Valh\xf6ll Hall of the Slain</t>
  </si>
  <si>
    <t>Jackson Hole, Wyoming</t>
  </si>
  <si>
    <t>Carlow, Ireland</t>
  </si>
  <si>
    <t>Harray, Orkney</t>
  </si>
  <si>
    <t>Whangarei, New Zealand</t>
  </si>
  <si>
    <t>Oley, PA</t>
  </si>
  <si>
    <t>Newcastle/Sydney</t>
  </si>
  <si>
    <t>SE1 and Hackney, London</t>
  </si>
  <si>
    <t>East Renfrewshire, Scotland</t>
  </si>
  <si>
    <t>Greenwich, England</t>
  </si>
  <si>
    <t>Makassar - South Sulawesi -INA</t>
  </si>
  <si>
    <t>Bishopstown,Cork, Ireland</t>
  </si>
  <si>
    <t>Melrose, Scotland</t>
  </si>
  <si>
    <t>Tbilisi / Georgia / WORLDwide</t>
  </si>
  <si>
    <t>U.K.</t>
  </si>
  <si>
    <t xml:space="preserve">Barnsley </t>
  </si>
  <si>
    <t>angus</t>
  </si>
  <si>
    <t>Alness</t>
  </si>
  <si>
    <t>Austria</t>
  </si>
  <si>
    <t>India, Raipur</t>
  </si>
  <si>
    <t>Stockton, CA</t>
  </si>
  <si>
    <t>Brescia, Lombardia</t>
  </si>
  <si>
    <t>Pistoia, Toscana</t>
  </si>
  <si>
    <t>Happily situated</t>
  </si>
  <si>
    <t>Maynooth Ireland</t>
  </si>
  <si>
    <t>Yorkshire and The Humber, England</t>
  </si>
  <si>
    <t>Richmond, CA</t>
  </si>
  <si>
    <t>District of Columbia, USA</t>
  </si>
  <si>
    <t>Fairfield County, CT</t>
  </si>
  <si>
    <t>720 Pequot Ave., Southport, CT</t>
  </si>
  <si>
    <t>S</t>
  </si>
  <si>
    <t>Highlands</t>
  </si>
  <si>
    <t>NSFW tumblr</t>
  </si>
  <si>
    <t>Nirvana</t>
  </si>
  <si>
    <t>Cassville, MO</t>
  </si>
  <si>
    <t>NEO</t>
  </si>
  <si>
    <t>Leeds/London</t>
  </si>
  <si>
    <t>Middletown, Pennsylvania</t>
  </si>
  <si>
    <t>Northeastern Ohio, USA</t>
  </si>
  <si>
    <t>West Wales</t>
  </si>
  <si>
    <t>Bonn, Deutschland</t>
  </si>
  <si>
    <t>Guisborough N53.5359 W1.05105</t>
  </si>
  <si>
    <t>Bedroom</t>
  </si>
  <si>
    <t>Dorset/Edinburgh</t>
  </si>
  <si>
    <t>Hampshire UK</t>
  </si>
  <si>
    <t>Hurstbridge, Australia</t>
  </si>
  <si>
    <t>on the couch</t>
  </si>
  <si>
    <t>Wirral, UK</t>
  </si>
  <si>
    <t>UK via Canada</t>
  </si>
  <si>
    <t>Ayrshire, Scotland U.K.</t>
  </si>
  <si>
    <t>New York London Munich  Paris</t>
  </si>
  <si>
    <t xml:space="preserve">Burnage Manchester </t>
  </si>
  <si>
    <t>Eye, Cambridgeshire</t>
  </si>
  <si>
    <t>Gregor\u010di\u010deva 1, 4000 Kranj</t>
  </si>
  <si>
    <t>Dinan, France</t>
  </si>
  <si>
    <t>London SE21, UK</t>
  </si>
  <si>
    <t>Scotland, Ununited Kingdom</t>
  </si>
  <si>
    <t xml:space="preserve">Rutherglen, Scotland. </t>
  </si>
  <si>
    <t>Northop, North Wales</t>
  </si>
  <si>
    <t>Ontario, Canada.</t>
  </si>
  <si>
    <t>pdx</t>
  </si>
  <si>
    <t>Lake Forest, California</t>
  </si>
  <si>
    <t>Crouch End</t>
  </si>
  <si>
    <t>Peripatetic</t>
  </si>
  <si>
    <t>Cloud Cuckoo Land</t>
  </si>
  <si>
    <t>Prince George, BC, Canada</t>
  </si>
  <si>
    <t>Comrie</t>
  </si>
  <si>
    <t>Pussy grabber</t>
  </si>
  <si>
    <t>Charlottesville, VA</t>
  </si>
  <si>
    <t>Camas Chros, Sl\xe8ibhte</t>
  </si>
  <si>
    <t>Across Northern Ireland</t>
  </si>
  <si>
    <t>Mind &amp; body in separate places</t>
  </si>
  <si>
    <t>Sherfield on Loddon</t>
  </si>
  <si>
    <t>Grimsby,Brigg and inbetween</t>
  </si>
  <si>
    <t>Exiled Scot in Yorkshire</t>
  </si>
  <si>
    <t>The Ivory Tower of Snark</t>
  </si>
  <si>
    <t>local/national/global</t>
  </si>
  <si>
    <t>All over the World</t>
  </si>
  <si>
    <t>UK wide</t>
  </si>
  <si>
    <t>Corbridge, Northumberland</t>
  </si>
  <si>
    <t>Scotland/Manchester</t>
  </si>
  <si>
    <t>Manchester Center, Vermont</t>
  </si>
  <si>
    <t>Walsall. Oh, the shame.</t>
  </si>
  <si>
    <t xml:space="preserve">Idonesia </t>
  </si>
  <si>
    <t xml:space="preserve">Brussels/London/Pokhara </t>
  </si>
  <si>
    <t>High Peak Derbyshire</t>
  </si>
  <si>
    <t>A Californian in London</t>
  </si>
  <si>
    <t>Lancaster University</t>
  </si>
  <si>
    <t>In a library somewhere...</t>
  </si>
  <si>
    <t>just over there</t>
  </si>
  <si>
    <t>Cardiff Wales</t>
  </si>
  <si>
    <t>Edinburgh, mostly</t>
  </si>
  <si>
    <t>Glasgow\n</t>
  </si>
  <si>
    <t>Orkney,  Scotland</t>
  </si>
  <si>
    <t>Western Bergen County, NJ</t>
  </si>
  <si>
    <t>Land of a Thousand Words</t>
  </si>
  <si>
    <t>Abbotsford, BC, Canada</t>
  </si>
  <si>
    <t xml:space="preserve">Aberdeen </t>
  </si>
  <si>
    <t>Kings Heath, Birmingham</t>
  </si>
  <si>
    <t>Newdelhi</t>
  </si>
  <si>
    <t>neverland</t>
  </si>
  <si>
    <t>Villanova, PA</t>
  </si>
  <si>
    <t>Scotland and beyond</t>
  </si>
  <si>
    <t>London / Glasgow</t>
  </si>
  <si>
    <t>Almere, the Netherlands</t>
  </si>
  <si>
    <t>italia</t>
  </si>
  <si>
    <t>Elyria, OH</t>
  </si>
  <si>
    <t>VA Beach</t>
  </si>
  <si>
    <t>MA, USA</t>
  </si>
  <si>
    <t>Ingerlund</t>
  </si>
  <si>
    <t>London via Sheffield</t>
  </si>
  <si>
    <t>Scotland A Divided Kingdom</t>
  </si>
  <si>
    <t>Milngavie</t>
  </si>
  <si>
    <t>Elmhurst, Illinois</t>
  </si>
  <si>
    <t>Bristol/Bulgaria</t>
  </si>
  <si>
    <t>Ribble Valley, England</t>
  </si>
  <si>
    <t>Middlesbrough, UK</t>
  </si>
  <si>
    <t>Johannesburg, London, Suffolk</t>
  </si>
  <si>
    <t>Stonehaven, Ecosse</t>
  </si>
  <si>
    <t>Mostly country, sometimes city. UK/EU</t>
  </si>
  <si>
    <t>Republic of Aberdonia</t>
  </si>
  <si>
    <t>belfastglasgowlondon</t>
  </si>
  <si>
    <t>north east</t>
  </si>
  <si>
    <t>30,000 feet and climbing</t>
  </si>
  <si>
    <t>puta que te pariu</t>
  </si>
  <si>
    <t>Kinghorn, Scotland</t>
  </si>
  <si>
    <t>Pembrokeshire &amp; Walthamstow</t>
  </si>
  <si>
    <t>#UTB</t>
  </si>
  <si>
    <t>Coppull, Lancashire</t>
  </si>
  <si>
    <t>BookAdvertisements@gmail.com</t>
  </si>
  <si>
    <t>Tasmania, AUSTRALIA</t>
  </si>
  <si>
    <t>Corner of Franklin and Maple</t>
  </si>
  <si>
    <t>San Luis Valley, Colorado</t>
  </si>
  <si>
    <t xml:space="preserve"> York U.K</t>
  </si>
  <si>
    <t>People's Republic of Scotland</t>
  </si>
  <si>
    <t xml:space="preserve">west mercia </t>
  </si>
  <si>
    <t>By there, Wales</t>
  </si>
  <si>
    <t xml:space="preserve">glasgow </t>
  </si>
  <si>
    <t>North Glasgow-ish; send help.</t>
  </si>
  <si>
    <t>tewkesbury</t>
  </si>
  <si>
    <t>Mail sorting centre</t>
  </si>
  <si>
    <t>London, Ontario, Canada</t>
  </si>
  <si>
    <t>Austin, Tx</t>
  </si>
  <si>
    <t>cape town South Africa</t>
  </si>
  <si>
    <t>Elgin, IL</t>
  </si>
  <si>
    <t>Jacksonville Beach, FL</t>
  </si>
  <si>
    <t>M20</t>
  </si>
  <si>
    <t>Coventry, UK</t>
  </si>
  <si>
    <t>Land of ideas</t>
  </si>
  <si>
    <t>Shetland &amp; Sweden</t>
  </si>
  <si>
    <t>Kirkcaldy</t>
  </si>
  <si>
    <t>Jebrovia</t>
  </si>
  <si>
    <t>Kuppe Palayam, Coimbatore 107</t>
  </si>
  <si>
    <t>wakefield, uk</t>
  </si>
  <si>
    <t>north east coast</t>
  </si>
  <si>
    <t>London United Kingdom</t>
  </si>
  <si>
    <t>London &amp; Loughton</t>
  </si>
  <si>
    <t>Harrold</t>
  </si>
  <si>
    <t>Medway, Kent. United Kingdom</t>
  </si>
  <si>
    <t>iPhone: 55.850700,-4.505452</t>
  </si>
  <si>
    <t>Knebworth</t>
  </si>
  <si>
    <t>Istanbul-Glasgow</t>
  </si>
  <si>
    <t>UCL, London</t>
  </si>
  <si>
    <t>Nelson, South Wales</t>
  </si>
  <si>
    <t>Dublin - West Norwood, London</t>
  </si>
  <si>
    <t>London/ Edinburgh</t>
  </si>
  <si>
    <t>Malvern, Worcestershire</t>
  </si>
  <si>
    <t>Cardiff, UK.</t>
  </si>
  <si>
    <t>in a rocketship</t>
  </si>
  <si>
    <t>The Workshop!</t>
  </si>
  <si>
    <t>Stromness, Orkney, UK</t>
  </si>
  <si>
    <t>Islas Baleares, Espa\xf1a</t>
  </si>
  <si>
    <t>Planet earth</t>
  </si>
  <si>
    <t xml:space="preserve">micheal rosen </t>
  </si>
  <si>
    <t>Luxembourg</t>
  </si>
  <si>
    <t>ministerofchance.com</t>
  </si>
  <si>
    <t>Nantwich, Cheshire, UK</t>
  </si>
  <si>
    <t xml:space="preserve">Beaminster, Dorset </t>
  </si>
  <si>
    <t>Regina. SK</t>
  </si>
  <si>
    <t>Sanford, Fl</t>
  </si>
  <si>
    <t>Oklahoma City</t>
  </si>
  <si>
    <t>Stirling/Edinburgh</t>
  </si>
  <si>
    <t>The very fast lane</t>
  </si>
  <si>
    <t>Lithonia, Georgia</t>
  </si>
  <si>
    <t>Australia &amp; beyond</t>
  </si>
  <si>
    <t>Birdwell, England</t>
  </si>
  <si>
    <t>caratinga MG</t>
  </si>
  <si>
    <t>I don't only like books.</t>
  </si>
  <si>
    <t>Arkansas, USA</t>
  </si>
  <si>
    <t>Perth Amboy, NJ</t>
  </si>
  <si>
    <t>Northern Scotland</t>
  </si>
  <si>
    <t>Apeldoorn</t>
  </si>
  <si>
    <t>Davenport, Iowa</t>
  </si>
  <si>
    <t>My views only, obviously</t>
  </si>
  <si>
    <t>Sydney | QLD | Scotland</t>
  </si>
  <si>
    <t>Budapest, Hungary</t>
  </si>
  <si>
    <t>Inverness, mostly...</t>
  </si>
  <si>
    <t>Close proximity</t>
  </si>
  <si>
    <t>East Vancouver</t>
  </si>
  <si>
    <t xml:space="preserve">New Zealand </t>
  </si>
  <si>
    <t>Rochford, Essex</t>
  </si>
  <si>
    <t xml:space="preserve">everywhere </t>
  </si>
  <si>
    <t>Derbyshires</t>
  </si>
  <si>
    <t>The Hague</t>
  </si>
  <si>
    <t>Ballyboe</t>
  </si>
  <si>
    <t>muthill, scotland</t>
  </si>
  <si>
    <t>sitting down</t>
  </si>
  <si>
    <t>Hibernia - Albion</t>
  </si>
  <si>
    <t xml:space="preserve">London via Limerick </t>
  </si>
  <si>
    <t>never land</t>
  </si>
  <si>
    <t>Barcelona, Spain</t>
  </si>
  <si>
    <t>Menstrie, Clacks</t>
  </si>
  <si>
    <t>Caerphilly Library Service</t>
  </si>
  <si>
    <t>Outer Heaven</t>
  </si>
  <si>
    <t>Hopewell, NJ</t>
  </si>
  <si>
    <t>Teignmouth, Devon, UK</t>
  </si>
  <si>
    <t>battlemaster.org</t>
  </si>
  <si>
    <t>Ravenna, Nebraska</t>
  </si>
  <si>
    <t>Greater Sudbury, Ontario</t>
  </si>
  <si>
    <t>Boynton Beach, FL</t>
  </si>
  <si>
    <t xml:space="preserve">NE Scotland </t>
  </si>
  <si>
    <t>Amethi, India</t>
  </si>
  <si>
    <t>Colchester, UK</t>
  </si>
  <si>
    <t>Teddington</t>
  </si>
  <si>
    <t>Wales and Croydon</t>
  </si>
  <si>
    <t xml:space="preserve">Above the glass ceiling </t>
  </si>
  <si>
    <t>Body:AUSTRALIA Soul:SANTORINI</t>
  </si>
  <si>
    <t>Xuzhou-China</t>
  </si>
  <si>
    <t>Three Counties Asylum</t>
  </si>
  <si>
    <t xml:space="preserve">constantly portal jumping </t>
  </si>
  <si>
    <t>Cape town</t>
  </si>
  <si>
    <t>Udupi/Manipal/Bangalore, India</t>
  </si>
  <si>
    <t>Alaska, USA</t>
  </si>
  <si>
    <t xml:space="preserve">coventry </t>
  </si>
  <si>
    <t>Northumberland, Ontario</t>
  </si>
  <si>
    <t>OH-IO</t>
  </si>
  <si>
    <t>Waukesha, WI</t>
  </si>
  <si>
    <t>Monticello, NY</t>
  </si>
  <si>
    <t>Treinta y Tres, Uruguay</t>
  </si>
  <si>
    <t>Worthing, England</t>
  </si>
  <si>
    <t>Up the Wrekin, empty flask</t>
  </si>
  <si>
    <t>Sorocaba, S\xe3o Paulo</t>
  </si>
  <si>
    <t>Katy, Texas</t>
  </si>
  <si>
    <t>Hull/Wensleydale/Doncaster</t>
  </si>
  <si>
    <t>gloucestershire</t>
  </si>
  <si>
    <t>Cali, baby!</t>
  </si>
  <si>
    <t>yvr</t>
  </si>
  <si>
    <t>Cottonopolis</t>
  </si>
  <si>
    <t>Sunnyvale, CA</t>
  </si>
  <si>
    <t>This world is not my home.</t>
  </si>
  <si>
    <t>Essex. Don't judge me!</t>
  </si>
  <si>
    <t>Detroit, MI</t>
  </si>
  <si>
    <t>Bronkers, NY</t>
  </si>
  <si>
    <t>Glasgow / Long Beach, CA</t>
  </si>
  <si>
    <t>PNW</t>
  </si>
  <si>
    <t>Clydebank</t>
  </si>
  <si>
    <t>Here, there and everywhere</t>
  </si>
  <si>
    <t>Provo, UT</t>
  </si>
  <si>
    <t>WNY</t>
  </si>
  <si>
    <t>East Nicolaus, California</t>
  </si>
  <si>
    <t>Workshop at Saxby, Leics.</t>
  </si>
  <si>
    <t>Rosario, Argentina</t>
  </si>
  <si>
    <t>South GA</t>
  </si>
  <si>
    <t>Sunrise, FL</t>
  </si>
  <si>
    <t>\xdcT: 25.739107,-80.384705</t>
  </si>
  <si>
    <t xml:space="preserve">Derry &amp; London. </t>
  </si>
  <si>
    <t>Midgard, Birmingham</t>
  </si>
  <si>
    <t>Jonesboro, AR</t>
  </si>
  <si>
    <t>Mossley</t>
  </si>
  <si>
    <t>San Jose - Golden State</t>
  </si>
  <si>
    <t>Blackridge/Lancashire</t>
  </si>
  <si>
    <t>South West</t>
  </si>
  <si>
    <t>earthling</t>
  </si>
  <si>
    <t>slytherin</t>
  </si>
  <si>
    <t>Armagh Heart, Belfast Soul</t>
  </si>
  <si>
    <t>all your base</t>
  </si>
  <si>
    <t>8B, Idaho</t>
  </si>
  <si>
    <t>West Norwood</t>
  </si>
  <si>
    <t>Tweets by CH, CT, DK &amp; GH</t>
  </si>
  <si>
    <t xml:space="preserve">London mostly. </t>
  </si>
  <si>
    <t>High Wycombe</t>
  </si>
  <si>
    <t>At the nearest caffeine source</t>
  </si>
  <si>
    <t>MMMX</t>
  </si>
  <si>
    <t>Leipzig</t>
  </si>
  <si>
    <t>Edinburgh and St Andrews</t>
  </si>
  <si>
    <t>Austin, Texas</t>
  </si>
  <si>
    <t>Chelmsford, Essex, UK</t>
  </si>
  <si>
    <t>Dunkeld, Scotland</t>
  </si>
  <si>
    <t>Ottery St Catchpole</t>
  </si>
  <si>
    <t>Shrewsbury</t>
  </si>
  <si>
    <t xml:space="preserve">Glas-vegas </t>
  </si>
  <si>
    <t xml:space="preserve">Oxford ish. </t>
  </si>
  <si>
    <t>nova scotia, canada</t>
  </si>
  <si>
    <t>N 55\xb050' 0'' / E 10\xb033' 0''</t>
  </si>
  <si>
    <t>N 40\xb044' 0'' / W 73\xb059' 0''</t>
  </si>
  <si>
    <t>Workington, England</t>
  </si>
  <si>
    <t>York, SC</t>
  </si>
  <si>
    <t>MI</t>
  </si>
  <si>
    <t>dream land</t>
  </si>
  <si>
    <t>London/Manchester</t>
  </si>
  <si>
    <t>SE18</t>
  </si>
  <si>
    <t>The Frozen Great White North</t>
  </si>
  <si>
    <t>Abington Pigotts, England</t>
  </si>
  <si>
    <t xml:space="preserve">Salamanca </t>
  </si>
  <si>
    <t>Leeds, Yorkshire</t>
  </si>
  <si>
    <t>Dundee.</t>
  </si>
  <si>
    <t>By Yon Bonnie Banks, Scotland</t>
  </si>
  <si>
    <t>North, but not of 60</t>
  </si>
  <si>
    <t>Manaus</t>
  </si>
  <si>
    <t>Quispamsis, NB</t>
  </si>
  <si>
    <t>NY</t>
  </si>
  <si>
    <t>inkskinned.tumblr.com</t>
  </si>
  <si>
    <t>19th Century, mostly</t>
  </si>
  <si>
    <t>Tobermory, Scotland</t>
  </si>
  <si>
    <t>Wilmington, DE</t>
  </si>
  <si>
    <t>'Tyrannical'mandu</t>
  </si>
  <si>
    <t>St. Helens, Merseyside</t>
  </si>
  <si>
    <t>Bristol, Glos, Somerset, BANES</t>
  </si>
  <si>
    <t>North of the Border</t>
  </si>
  <si>
    <t>Okinawa, Japan</t>
  </si>
  <si>
    <t>Malm\xf6</t>
  </si>
  <si>
    <t>In a comfy chair with a book.</t>
  </si>
  <si>
    <t>barcelona | sabadell</t>
  </si>
  <si>
    <t>suffolk</t>
  </si>
  <si>
    <t>Antigonish, Nova Scotia</t>
  </si>
  <si>
    <t>3rd Rock from the Sun</t>
  </si>
  <si>
    <t>Garstang</t>
  </si>
  <si>
    <t>Bournemouth, Dorset</t>
  </si>
  <si>
    <t>Warren, MI</t>
  </si>
  <si>
    <t>Sussex and South East London</t>
  </si>
  <si>
    <t>North West</t>
  </si>
  <si>
    <t>Charente Maritime/Suffolk</t>
  </si>
  <si>
    <t>Lambeth</t>
  </si>
  <si>
    <t>Stirling University</t>
  </si>
  <si>
    <t>Fort William</t>
  </si>
  <si>
    <t xml:space="preserve">East London </t>
  </si>
  <si>
    <t>Tranent, East Lothian</t>
  </si>
  <si>
    <t xml:space="preserve">Melbourne, </t>
  </si>
  <si>
    <t>Congleton, Cheshire</t>
  </si>
  <si>
    <t>Derry</t>
  </si>
  <si>
    <t>Hampshire.</t>
  </si>
  <si>
    <t>22 Redbank, Manchester, M4 4HF</t>
  </si>
  <si>
    <t>Scotland/USA</t>
  </si>
  <si>
    <t>Worcestershire, UK</t>
  </si>
  <si>
    <t>London, Genf, Munich, \u6771\u4eac, Z\xfcri</t>
  </si>
  <si>
    <t>Ahmedabad</t>
  </si>
  <si>
    <t>Ardmore, OK</t>
  </si>
  <si>
    <t>Essex - UK</t>
  </si>
  <si>
    <t>Cheltenham, U.K.</t>
  </si>
  <si>
    <t>Germany Cologne</t>
  </si>
  <si>
    <t>Crystal Palace Park, London, U</t>
  </si>
  <si>
    <t>CASTLETOWN</t>
  </si>
  <si>
    <t>Cowes, Isle of wight, PO31 7AD</t>
  </si>
  <si>
    <t>Kettletoft, Scotland</t>
  </si>
  <si>
    <t>The bathroom floor</t>
  </si>
  <si>
    <t>Oakland, California, USA, 94609-1117</t>
  </si>
  <si>
    <t>Bak\u0131rk\xf6y, \u0130stanbul</t>
  </si>
  <si>
    <t>on the train, getting in soon</t>
  </si>
  <si>
    <t>Standish</t>
  </si>
  <si>
    <t>Caracas, Distrito Capital</t>
  </si>
  <si>
    <t>Clique</t>
  </si>
  <si>
    <t>GA, USA</t>
  </si>
  <si>
    <t>Skewen</t>
  </si>
  <si>
    <t>Penetanguishene, Ontario</t>
  </si>
  <si>
    <t>Herne Hill, London</t>
  </si>
  <si>
    <t xml:space="preserve">Western Isles / Angus </t>
  </si>
  <si>
    <t>Newcastle UK</t>
  </si>
  <si>
    <t>London and North Bucks</t>
  </si>
  <si>
    <t xml:space="preserve">Atlantic Highlands, NJ </t>
  </si>
  <si>
    <t>Abertawe / Swansea</t>
  </si>
  <si>
    <t>Montreal, Quebec, Canada</t>
  </si>
  <si>
    <t>Morecambe</t>
  </si>
  <si>
    <t>Inverness, Scotland, UK</t>
  </si>
  <si>
    <t>Portsmouth, England</t>
  </si>
  <si>
    <t>Londonish.</t>
  </si>
  <si>
    <t>Kilmarnock</t>
  </si>
  <si>
    <t>Yemen</t>
  </si>
  <si>
    <t>9091 Rt. 22, Hillsdale, NY</t>
  </si>
  <si>
    <t>Godalming, Surrey</t>
  </si>
  <si>
    <t>12 Lower Marsh Waterloo London</t>
  </si>
  <si>
    <t>kaduna_nigeria 08022176607</t>
  </si>
  <si>
    <t xml:space="preserve">Norfolk </t>
  </si>
  <si>
    <t>Not with you</t>
  </si>
  <si>
    <t>Hiding beind that beer</t>
  </si>
  <si>
    <t>Kirriemuir</t>
  </si>
  <si>
    <t>Perth &amp; Kinross</t>
  </si>
  <si>
    <t>Gauldry, Scotland</t>
  </si>
  <si>
    <t xml:space="preserve">CDMX </t>
  </si>
  <si>
    <t>Waterloo, ON</t>
  </si>
  <si>
    <t>New delhi , Delhi , India</t>
  </si>
  <si>
    <t>Pariaman</t>
  </si>
  <si>
    <t>clarkson, mississauga</t>
  </si>
  <si>
    <t>High Wycombe, England</t>
  </si>
  <si>
    <t>http://amzn.to/1GI9u6c</t>
  </si>
  <si>
    <t>Taffs Well</t>
  </si>
  <si>
    <t>BN1 3HF</t>
  </si>
  <si>
    <t>seoul, south-korea</t>
  </si>
  <si>
    <t>chennai</t>
  </si>
  <si>
    <t>Canmore, Alberta</t>
  </si>
  <si>
    <t>Rockton, Ontario</t>
  </si>
  <si>
    <t>Carmel, Indiana</t>
  </si>
  <si>
    <t>Manchester and Liverpool, UK</t>
  </si>
  <si>
    <t>London via Dublin &amp; Leitrim</t>
  </si>
  <si>
    <t>West Yorkshire, UK</t>
  </si>
  <si>
    <t>Next to Edinburgh</t>
  </si>
  <si>
    <t>Outside of the male gaze</t>
  </si>
  <si>
    <t>KAMPANGPHET THAILAND</t>
  </si>
  <si>
    <t>Nottingham, UK.</t>
  </si>
  <si>
    <t xml:space="preserve"> All views my own.</t>
  </si>
  <si>
    <t>Yoker, Glasgow, UK</t>
  </si>
  <si>
    <t>my kids childhood home UP</t>
  </si>
  <si>
    <t>Indonesia</t>
  </si>
  <si>
    <t>Willenhall Westmidlands</t>
  </si>
  <si>
    <t>Suffolk, Virginia</t>
  </si>
  <si>
    <t>South of the Thames, north of the Tyne</t>
  </si>
  <si>
    <t>Beautiful Orkney</t>
  </si>
  <si>
    <t>Bristol, UK, Europe</t>
  </si>
  <si>
    <t>KW172QU</t>
  </si>
  <si>
    <t>Walsall, West Midlands, UK</t>
  </si>
  <si>
    <t>Beauly, Scotland</t>
  </si>
  <si>
    <t>West Riding</t>
  </si>
  <si>
    <t>The Hague,The Netherlands</t>
  </si>
  <si>
    <t>Dhaka,Bangladesh</t>
  </si>
  <si>
    <t>Orkney\n</t>
  </si>
  <si>
    <t>ESSEX</t>
  </si>
  <si>
    <t>\xdcT: 43.832219,10.491895</t>
  </si>
  <si>
    <t>Shropshire England</t>
  </si>
  <si>
    <t>Shrewsbury Shropshire</t>
  </si>
  <si>
    <t>Chiltern, Victoria</t>
  </si>
  <si>
    <t>Uig, Isle of Lewis, Scotland.</t>
  </si>
  <si>
    <t>Wien, \xd6sterreich</t>
  </si>
  <si>
    <t>Buckingham, England</t>
  </si>
  <si>
    <t>no longer in London</t>
  </si>
  <si>
    <t>West Scotland</t>
  </si>
  <si>
    <t>Bristol.  London.</t>
  </si>
  <si>
    <t>Forest of Dean</t>
  </si>
  <si>
    <t>Pueblo, Colorado</t>
  </si>
  <si>
    <t>Northants/London/touring</t>
  </si>
  <si>
    <t>Dartmouth, Devon UK</t>
  </si>
  <si>
    <t>Gosport, Hampshire</t>
  </si>
  <si>
    <t>Oban, Argyll, Scotland, U.K.</t>
  </si>
  <si>
    <t>London / Isle of Wight</t>
  </si>
  <si>
    <t>Edinburgh - or the train</t>
  </si>
  <si>
    <t xml:space="preserve">Scottish Highlands </t>
  </si>
  <si>
    <t>Mannar</t>
  </si>
  <si>
    <t>North East</t>
  </si>
  <si>
    <t>Culloden, Scotland</t>
  </si>
  <si>
    <t>Pierowall, Westray, Orkney, KW17 2BZ</t>
  </si>
  <si>
    <t>Brookline, NH</t>
  </si>
  <si>
    <t>mexico</t>
  </si>
  <si>
    <t>Brixton</t>
  </si>
  <si>
    <t>Pimlico. Surrey. On a train.</t>
  </si>
  <si>
    <t>1/1A Low Ousegate, York.</t>
  </si>
  <si>
    <t>Medell\xedn, Antioquia</t>
  </si>
  <si>
    <t>Southington, Connecticut</t>
  </si>
  <si>
    <t>Norwich, Norfolk.</t>
  </si>
  <si>
    <t>Malang</t>
  </si>
  <si>
    <t>Doncaster, UK</t>
  </si>
  <si>
    <t>iPhone: 60.136139,-1.174088</t>
  </si>
  <si>
    <t>Kosovo</t>
  </si>
  <si>
    <t>Southern Gloucestershire</t>
  </si>
  <si>
    <t>Manila, Philippines</t>
  </si>
  <si>
    <t>Glasgow | Shetland</t>
  </si>
  <si>
    <t>In your dreams, the good ones.</t>
  </si>
  <si>
    <t>Lafayette, Indiana</t>
  </si>
  <si>
    <t>Saint Albans, East</t>
  </si>
  <si>
    <t>Melbourne/Beverly Hills/London</t>
  </si>
  <si>
    <t>London,  England, UK</t>
  </si>
  <si>
    <t>London, Belfast, UK</t>
  </si>
  <si>
    <t>A fine city in Nelson's county</t>
  </si>
  <si>
    <t>California / Edinburgh</t>
  </si>
  <si>
    <t>Cardiff, of course</t>
  </si>
  <si>
    <t>Central City</t>
  </si>
  <si>
    <t>East Stirlingshire, Scotland.</t>
  </si>
  <si>
    <t>argyll scotland</t>
  </si>
  <si>
    <t>Rutherglen</t>
  </si>
  <si>
    <t>Lothians</t>
  </si>
  <si>
    <t>Stroud</t>
  </si>
  <si>
    <t>Clare, Ireland</t>
  </si>
  <si>
    <t>Here and there, with a view.</t>
  </si>
  <si>
    <t>Montreal, Canada</t>
  </si>
  <si>
    <t>W Yorks (usually)</t>
  </si>
  <si>
    <t>No fixed abode</t>
  </si>
  <si>
    <t>Ross Vegas</t>
  </si>
  <si>
    <t xml:space="preserve">Berlin </t>
  </si>
  <si>
    <t>Avoiding Traffic</t>
  </si>
  <si>
    <t>Here in mind, body elsewhere</t>
  </si>
  <si>
    <t>All the oceans of the World</t>
  </si>
  <si>
    <t>North Berwick, near Edinburgh</t>
  </si>
  <si>
    <t>Kelvin Hall, Glasgow, Scotland</t>
  </si>
  <si>
    <t xml:space="preserve">Northumbrian exiled in Leeds </t>
  </si>
  <si>
    <t>Sofia</t>
  </si>
  <si>
    <t>Newton-le-Willows, Merseyside</t>
  </si>
  <si>
    <t xml:space="preserve">Stoke Newington </t>
  </si>
  <si>
    <t>Dingwall, Scotland</t>
  </si>
  <si>
    <t>Helsinki Finland</t>
  </si>
  <si>
    <t>Iraq, Kurdistan</t>
  </si>
  <si>
    <t>Isle of Wight UK</t>
  </si>
  <si>
    <t>Adelaide, Australia</t>
  </si>
  <si>
    <t>Hampshire, Portsmouth</t>
  </si>
  <si>
    <t>Los Angeles/Scotland</t>
  </si>
  <si>
    <t>Lagos</t>
  </si>
  <si>
    <t>Highbury N5, London</t>
  </si>
  <si>
    <t>in the ether</t>
  </si>
  <si>
    <t>Shapinsay</t>
  </si>
  <si>
    <t xml:space="preserve">in the middle of nowhere </t>
  </si>
  <si>
    <t>Toes in the water</t>
  </si>
  <si>
    <t xml:space="preserve">renfrewshire riviera </t>
  </si>
  <si>
    <t>hackney</t>
  </si>
  <si>
    <t>Olympia, WA</t>
  </si>
  <si>
    <t>Los Angeles / NYC / ATL</t>
  </si>
  <si>
    <t>Walkerburn</t>
  </si>
  <si>
    <t>Argyll and the Isles, Scotland</t>
  </si>
  <si>
    <t>Dundee,UK</t>
  </si>
  <si>
    <t>Space, Massachusetts.</t>
  </si>
  <si>
    <t>Oz</t>
  </si>
  <si>
    <t>iPhone: 37.775555,-122.419022</t>
  </si>
  <si>
    <t>montreal</t>
  </si>
  <si>
    <t>las vegas, nevada</t>
  </si>
  <si>
    <t>\xdcT: 51.528187,-0.133096</t>
  </si>
  <si>
    <t>kurdistan-iran</t>
  </si>
  <si>
    <t>Sydney, Australia mostly</t>
  </si>
  <si>
    <t>Louth, Lincolnshire, UK</t>
  </si>
  <si>
    <t>Shrewsbury/Glasgow</t>
  </si>
  <si>
    <t>Hammonton, NJ</t>
  </si>
  <si>
    <t>london, usually</t>
  </si>
  <si>
    <t>Teesside. ish.</t>
  </si>
  <si>
    <t>London, elsewhere</t>
  </si>
  <si>
    <t>Ho-Ho-Kus, NJ</t>
  </si>
  <si>
    <t>East Texas</t>
  </si>
  <si>
    <t>Bo'ness and Edinburgh</t>
  </si>
  <si>
    <t>brian_redwood@outlook.com</t>
  </si>
  <si>
    <t>Highlands of Scotland</t>
  </si>
  <si>
    <t>Waterloo, ON, Canada</t>
  </si>
  <si>
    <t>Three Rivers, MI</t>
  </si>
  <si>
    <t>Goddard, Kansas</t>
  </si>
  <si>
    <t>Port Talbot</t>
  </si>
  <si>
    <t xml:space="preserve">Bishopbriggs </t>
  </si>
  <si>
    <t>New Haven, Connecticut, USA</t>
  </si>
  <si>
    <t>Odessa, TX</t>
  </si>
  <si>
    <t>Where am I?</t>
  </si>
  <si>
    <t>Ithaca, NY</t>
  </si>
  <si>
    <t>Traverse City, MI</t>
  </si>
  <si>
    <t>Orland Park, IL</t>
  </si>
  <si>
    <t>Columbia, Tennessee</t>
  </si>
  <si>
    <t>Searching for Brains</t>
  </si>
  <si>
    <t>Rouken Glen</t>
  </si>
  <si>
    <t>Edinburgh and Up North</t>
  </si>
  <si>
    <t>Northcote VIC</t>
  </si>
  <si>
    <t>New York, Tokyo, Paris</t>
  </si>
  <si>
    <t>NSW</t>
  </si>
  <si>
    <t>Bungay, Suffolk</t>
  </si>
  <si>
    <t>Lancashire, NW England</t>
  </si>
  <si>
    <t>Untied Kingdom</t>
  </si>
  <si>
    <t>Lost</t>
  </si>
  <si>
    <t>Devizes, England</t>
  </si>
  <si>
    <t>Wisley, England</t>
  </si>
  <si>
    <t>Willesden Green, London</t>
  </si>
  <si>
    <t>Europe and Himalayas</t>
  </si>
  <si>
    <t>\u5c71\u5f62\u770c\u5c71\u5f62\u5e02</t>
  </si>
  <si>
    <t>Macclesfield Cheshire</t>
  </si>
  <si>
    <t>Clydebank Scotland</t>
  </si>
  <si>
    <t>Ely</t>
  </si>
  <si>
    <t>Rural Northumberland/London</t>
  </si>
  <si>
    <t>Moffat, Dumfries and Galloway</t>
  </si>
  <si>
    <t>WC2H 8AG</t>
  </si>
  <si>
    <t>Lahore, Pakistan.</t>
  </si>
  <si>
    <t>Sag harbor - Shelter island</t>
  </si>
  <si>
    <t>Balfron High School</t>
  </si>
  <si>
    <t>East Rand</t>
  </si>
  <si>
    <t>Cara\u015f-Severin, Rom\xe2nia</t>
  </si>
  <si>
    <t>Central PA</t>
  </si>
  <si>
    <t>Berkshire, England</t>
  </si>
  <si>
    <t>Oakenshaw</t>
  </si>
  <si>
    <t>Lakehood</t>
  </si>
  <si>
    <t>Orkney.....Sanday</t>
  </si>
  <si>
    <t>Cape Coral, FL</t>
  </si>
  <si>
    <t>Llamedos</t>
  </si>
  <si>
    <t>Saskatchewan, Canada</t>
  </si>
  <si>
    <t>Fullerton, California</t>
  </si>
  <si>
    <t>Jamaica</t>
  </si>
  <si>
    <t>Gabriel Street, St Ives</t>
  </si>
  <si>
    <t>Artist-Baker-Candlestick maker</t>
  </si>
  <si>
    <t>Whitley Bay</t>
  </si>
  <si>
    <t>Glossop/Manchester</t>
  </si>
  <si>
    <t>Newry, Northern Ireland</t>
  </si>
  <si>
    <t>Cromarty, Highlands</t>
  </si>
  <si>
    <t>In a mammal, NYC</t>
  </si>
  <si>
    <t>Tonbridge</t>
  </si>
  <si>
    <t>Scarborough, UK</t>
  </si>
  <si>
    <t>Cambridge, UK. Where else?</t>
  </si>
  <si>
    <t>Broken Arrow, OK</t>
  </si>
  <si>
    <t>Somerset / Basingstoke</t>
  </si>
  <si>
    <t>55.869411,-4.309326</t>
  </si>
  <si>
    <t>Cloud-based \U0001f1ec\U0001f1e7</t>
  </si>
  <si>
    <t>Georgina, Ontario CANADA</t>
  </si>
  <si>
    <t>Felixstowe, Suffolk</t>
  </si>
  <si>
    <t xml:space="preserve">Bloomington, Indiana </t>
  </si>
  <si>
    <t>Stromness + Kirkwall,Orkney</t>
  </si>
  <si>
    <t>South Coast' Cornwall, England</t>
  </si>
  <si>
    <t>Minas Gerais, Brasil</t>
  </si>
  <si>
    <t>Glen Ord Distillery</t>
  </si>
  <si>
    <t>Waycross GA, USA</t>
  </si>
  <si>
    <t>St Andrews, Scotland, UK</t>
  </si>
  <si>
    <t>The EU</t>
  </si>
  <si>
    <t>New Zanada - its a thing!</t>
  </si>
  <si>
    <t>the space between .....</t>
  </si>
  <si>
    <t>London SW2</t>
  </si>
  <si>
    <t>Aotearoa</t>
  </si>
  <si>
    <t>Leith, Scotland</t>
  </si>
  <si>
    <t>south west england</t>
  </si>
  <si>
    <t>California, US</t>
  </si>
  <si>
    <t>Floating around the cosmos.</t>
  </si>
  <si>
    <t>Yorkshire. England</t>
  </si>
  <si>
    <t xml:space="preserve">brooklyn </t>
  </si>
  <si>
    <t>Kauai Native \u21a3 UT Resident</t>
  </si>
  <si>
    <t xml:space="preserve">Aveyron </t>
  </si>
  <si>
    <t>Fulham, London, England, UK</t>
  </si>
  <si>
    <t>59 Newington Green Rd N1 4QU</t>
  </si>
  <si>
    <t>Solar system</t>
  </si>
  <si>
    <t>Cambodia</t>
  </si>
  <si>
    <t>Bangor, N.I.</t>
  </si>
  <si>
    <t>North Lincolnshire, England</t>
  </si>
  <si>
    <t>Somerset UK</t>
  </si>
  <si>
    <t>Westray, Orkney, Scotland</t>
  </si>
  <si>
    <t>Wizarding World</t>
  </si>
  <si>
    <t>Total Gridlock</t>
  </si>
  <si>
    <t>around</t>
  </si>
  <si>
    <t>Glasgow - Orkney</t>
  </si>
  <si>
    <t>Cork Ireland</t>
  </si>
  <si>
    <t>Peterborough, England</t>
  </si>
  <si>
    <t>Utah</t>
  </si>
  <si>
    <t>Pune</t>
  </si>
  <si>
    <t>paisley</t>
  </si>
  <si>
    <t>Crystal Palace south London</t>
  </si>
  <si>
    <t>Etwall, Derbyshire UK</t>
  </si>
  <si>
    <t>Flagstaff, AZ</t>
  </si>
  <si>
    <t xml:space="preserve">North Ronaldsay, Orkney </t>
  </si>
  <si>
    <t>UK US</t>
  </si>
  <si>
    <t>Ayr, Ayrshire</t>
  </si>
  <si>
    <t>Scottish outcast in England</t>
  </si>
  <si>
    <t>utopia</t>
  </si>
  <si>
    <t>Ullapool, Scotland</t>
  </si>
  <si>
    <t>UK/Brazil, depending on season</t>
  </si>
  <si>
    <t>Midlands and London</t>
  </si>
  <si>
    <t>mobile.twiter.com</t>
  </si>
  <si>
    <t>Leeds and London</t>
  </si>
  <si>
    <t>Sydney / Northumberland</t>
  </si>
  <si>
    <t>Crystal Lake, IL</t>
  </si>
  <si>
    <t>Cuntsville</t>
  </si>
  <si>
    <t>Muswell Hill</t>
  </si>
  <si>
    <t>Strathroy, Ontario</t>
  </si>
  <si>
    <t>the big cornfield, ontario</t>
  </si>
  <si>
    <t>Great Torrington, North Devon</t>
  </si>
  <si>
    <t xml:space="preserve">ur heart </t>
  </si>
  <si>
    <t>Waterford, Ireland</t>
  </si>
  <si>
    <t xml:space="preserve">Portland, OR </t>
  </si>
  <si>
    <t>Gorleston, England</t>
  </si>
  <si>
    <t>Britain/Germany</t>
  </si>
  <si>
    <t>Too far from The Sea</t>
  </si>
  <si>
    <t>The Wool Exchange, BD1 1BL, UK</t>
  </si>
  <si>
    <t>summerset</t>
  </si>
  <si>
    <t>Flintshire, North Wales</t>
  </si>
  <si>
    <t>Isle of Mull</t>
  </si>
  <si>
    <t>belfast</t>
  </si>
  <si>
    <t>Ballincollig, Cork.</t>
  </si>
  <si>
    <t>Aultbea, Wester Ross, IV22 2HX</t>
  </si>
  <si>
    <t>Martinique</t>
  </si>
  <si>
    <t>Philippines</t>
  </si>
  <si>
    <t>Aberdeen, Scotland, UK</t>
  </si>
  <si>
    <t>Tempe, AZ</t>
  </si>
  <si>
    <t>Windang</t>
  </si>
  <si>
    <t>Morpeth, England</t>
  </si>
  <si>
    <t>Kinross, Perthshire, Scotland</t>
  </si>
  <si>
    <t>Canterbury Region, New Zealand</t>
  </si>
  <si>
    <t>Dunbar, Scotland</t>
  </si>
  <si>
    <t>Vancouver Island</t>
  </si>
  <si>
    <t>Llanbedr Pont Steffan/Lampeter</t>
  </si>
  <si>
    <t>Oakland</t>
  </si>
  <si>
    <t>Minnesota, US</t>
  </si>
  <si>
    <t>Clacks via Dundee, Scotland</t>
  </si>
  <si>
    <t>Romania</t>
  </si>
  <si>
    <t>aberdeenshire</t>
  </si>
  <si>
    <t>Kincardineshire, Scotland</t>
  </si>
  <si>
    <t>Portobello</t>
  </si>
  <si>
    <t>tadley</t>
  </si>
  <si>
    <t>https://picklish.bandcamp.com</t>
  </si>
  <si>
    <t>London and Mallorca</t>
  </si>
  <si>
    <t>The Dark Lands beyond the Wall</t>
  </si>
  <si>
    <t>Leamington Spa</t>
  </si>
  <si>
    <t>Pitlochry</t>
  </si>
  <si>
    <t>Hiding in the bracken</t>
  </si>
  <si>
    <t>Not telling</t>
  </si>
  <si>
    <t>Strathaven, Scotland</t>
  </si>
  <si>
    <t>fields of steel</t>
  </si>
  <si>
    <t>Moffat, Scotland</t>
  </si>
  <si>
    <t>Aldersbrook, E.London</t>
  </si>
  <si>
    <t>Bergen</t>
  </si>
  <si>
    <t>Central NY</t>
  </si>
  <si>
    <t>Marlborough, New Zealand</t>
  </si>
  <si>
    <t>Red Hackney</t>
  </si>
  <si>
    <t>Bethlem Royal Hospital, London</t>
  </si>
  <si>
    <t xml:space="preserve">In the ether </t>
  </si>
  <si>
    <t>humberside</t>
  </si>
  <si>
    <t>panjpai balochistan</t>
  </si>
  <si>
    <t>Dumfries and Galloway</t>
  </si>
  <si>
    <t>Warrington, Cheshire, UK</t>
  </si>
  <si>
    <t>Aberdeen/North East Scotland</t>
  </si>
  <si>
    <t>Yr Hen Ogledd.</t>
  </si>
  <si>
    <t xml:space="preserve"> Harthill / Wick</t>
  </si>
  <si>
    <t>orkney \u2022 inverness \u2022 aberdeen</t>
  </si>
  <si>
    <t>Norman Park, Georgia</t>
  </si>
  <si>
    <t>Here.         Sometimes there.</t>
  </si>
  <si>
    <t>Kilburn Ghetto, London.</t>
  </si>
  <si>
    <t>rotterdam,nederland</t>
  </si>
  <si>
    <t>\u9759\u5ca1\u770c \u9759\u5ca1\u5e02</t>
  </si>
  <si>
    <t xml:space="preserve">melbourne </t>
  </si>
  <si>
    <t>tokyo</t>
  </si>
  <si>
    <t>\u65e5\u672c\u306e\u3069\u3063\u304b</t>
  </si>
  <si>
    <t>\u30d1\u30bd\u30b3\u30f3\u306e\u524d</t>
  </si>
  <si>
    <t>\u5343\u8449\u770c</t>
  </si>
  <si>
    <t>Fort Erie</t>
  </si>
  <si>
    <t>Up north</t>
  </si>
  <si>
    <t>Sunny Sussex, UK</t>
  </si>
  <si>
    <t>\u9ad8\u677e\u5e02\u725f\u793c\u753a</t>
  </si>
  <si>
    <t>\u3055\u304f\u3089\u5e02</t>
  </si>
  <si>
    <t>\u6771\u4eac\u90fd\u4e2d\u91ce\u533a</t>
  </si>
  <si>
    <t>\u5317\u6d77\u9053\u672d\u5e4c\u5e02</t>
  </si>
  <si>
    <t>\u795e\u5948\u5ddd</t>
  </si>
  <si>
    <t>\u57fc\u7389\u770c</t>
  </si>
  <si>
    <t>\u843d\u82b1\u751f</t>
  </si>
  <si>
    <t>\u3053\u306e\u4e16\u306e\u3069\u3063\u304b\u3002</t>
  </si>
  <si>
    <t>\u611b\u77e5\u770c\u5ca1\u5d0e\u5e02</t>
  </si>
  <si>
    <t>iphone:24.378286,124.194887\n</t>
  </si>
  <si>
    <t>\u718a\u672c\u5e02</t>
  </si>
  <si>
    <t>Falmouth, MA</t>
  </si>
  <si>
    <t>Sudbury</t>
  </si>
  <si>
    <t>Australia + UK</t>
  </si>
  <si>
    <t>Auckland New Zealand</t>
  </si>
  <si>
    <t>Layham, England</t>
  </si>
  <si>
    <t>\u5ddd\u5d0e\u5e02</t>
  </si>
  <si>
    <t>Trondheim</t>
  </si>
  <si>
    <t>Central Coast, NSW, Australia</t>
  </si>
  <si>
    <t>\uc9d1</t>
  </si>
  <si>
    <t>East Ayrshire, Scotland</t>
  </si>
  <si>
    <t>Anywhere else but here today.</t>
  </si>
  <si>
    <t>in the flicker</t>
  </si>
  <si>
    <t>Harwich, England</t>
  </si>
  <si>
    <t>\u795e\u5948\u5ddd\u770c\u539a\u6728\u5e02</t>
  </si>
  <si>
    <t>Anglesey/Dublin</t>
  </si>
  <si>
    <t>London and South UK</t>
  </si>
  <si>
    <t>Timbuktu</t>
  </si>
  <si>
    <t>Romford</t>
  </si>
  <si>
    <t>#DearneValley S.Yorkshire - UK</t>
  </si>
  <si>
    <t>\u30e9\u30b0\u9bd6</t>
  </si>
  <si>
    <t>\u795e\u5948\u5ddd\u770c\u8db3\u67c4\u4e0b\u90e1</t>
  </si>
  <si>
    <t>\u6771\u5927\u962a</t>
  </si>
  <si>
    <t>\u5357\u306e\u65b9</t>
  </si>
  <si>
    <t>\u611b\u5a9b</t>
  </si>
  <si>
    <t>\u6771\u6d77\u5730\u65b9\u306e\u3042\u305f\u308a</t>
  </si>
  <si>
    <t>\u5bae\u57ce\u770c</t>
  </si>
  <si>
    <t>\u6771\u4eac\u90fd\u6749\u4e26\u533a</t>
  </si>
  <si>
    <t>\u5c71\u5f62</t>
  </si>
  <si>
    <t>\u5cf6\u6839\u770c</t>
  </si>
  <si>
    <t>\u6771\u5927\u962a\u5e02</t>
  </si>
  <si>
    <t>Lismore, New South Wales</t>
  </si>
  <si>
    <t>\u5922\u306e\u56fd</t>
  </si>
  <si>
    <t xml:space="preserve"> \u6771\u4eac\u90fd\u65b0\u5bbf\u533a\u897f\u65b0\u5bbf6-5-1\u3000\u65b0\u5bbf\u30a2\u30a4\u30e9\u30f3\u30c9\u30bf\u30ef\u30fc</t>
  </si>
  <si>
    <t>Tokyo,Japan</t>
  </si>
  <si>
    <t>\u4ed9\u53f0</t>
  </si>
  <si>
    <t>\u57fc\u7389\u770c\u6625\u65e5\u90e8\u5e02</t>
  </si>
  <si>
    <t>TOKYO JAPAN</t>
  </si>
  <si>
    <t>\u5927\u962a</t>
  </si>
  <si>
    <t>\u6771\u4eac\u90fd</t>
  </si>
  <si>
    <t>yokosuka</t>
  </si>
  <si>
    <t>\u5927\u962a\u5e02</t>
  </si>
  <si>
    <t>\u5175\u5eab\u770c</t>
  </si>
  <si>
    <t>\u6771\u4eac</t>
  </si>
  <si>
    <t>\u57fc\u7389</t>
  </si>
  <si>
    <t>\u58a8\u7530\u533a</t>
  </si>
  <si>
    <t>Orkney, Scotland.</t>
  </si>
  <si>
    <t>London - Vienna - Winnipeg</t>
  </si>
  <si>
    <t>Dryden,MI</t>
  </si>
  <si>
    <t>Blanchester, Ohio</t>
  </si>
  <si>
    <t>\u5317\u6d77\u9053</t>
  </si>
  <si>
    <t xml:space="preserve">chofu city\u3000in Tokyo </t>
  </si>
  <si>
    <t>Edinburgh &amp; Midlothian</t>
  </si>
  <si>
    <t>\u5357\u9752\u5c71</t>
  </si>
  <si>
    <t>\u30c0\u30f3\u30dc\u30fc\u30eb\u306e\u4e2d</t>
  </si>
  <si>
    <t>Rousay, Orkney, Scotland</t>
  </si>
  <si>
    <t>15011 Circle Dr,Victorville,Ca</t>
  </si>
  <si>
    <t>Berlin manchmal Scotland</t>
  </si>
  <si>
    <t>Behind you....</t>
  </si>
  <si>
    <t>British Library, London</t>
  </si>
  <si>
    <t>London, Glasgow</t>
  </si>
  <si>
    <t>The 1970s</t>
  </si>
  <si>
    <t xml:space="preserve">Dundalk </t>
  </si>
  <si>
    <t>T\u0101maki Makaurau, Aotearoa</t>
  </si>
  <si>
    <t>Sleaford</t>
  </si>
  <si>
    <t>Birkbeck, University of London</t>
  </si>
  <si>
    <t>London via Norfolk</t>
  </si>
  <si>
    <t>caroline.molloy@opendemocracy</t>
  </si>
  <si>
    <t>Austin + SF</t>
  </si>
  <si>
    <t>Leics, UK</t>
  </si>
  <si>
    <t>Middle England</t>
  </si>
  <si>
    <t>Orkhole</t>
  </si>
  <si>
    <t>The countryside</t>
  </si>
  <si>
    <t>Sunny Southsea</t>
  </si>
  <si>
    <t>Saddler st, Durham</t>
  </si>
  <si>
    <t>LSTC-Chicago</t>
  </si>
  <si>
    <t>Stonehave  n</t>
  </si>
  <si>
    <t>pnw</t>
  </si>
  <si>
    <t>Devon, England</t>
  </si>
  <si>
    <t>Southern Maine</t>
  </si>
  <si>
    <t xml:space="preserve"> on the Somerset Levels</t>
  </si>
  <si>
    <t>In a cardigan in Staffordshire</t>
  </si>
  <si>
    <t>Kensal Rise</t>
  </si>
  <si>
    <t xml:space="preserve">post-industrial village </t>
  </si>
  <si>
    <t>Chicago, Beacon Terra One</t>
  </si>
  <si>
    <t>Alloa / Kinross / Pub</t>
  </si>
  <si>
    <t>TheEtherealDreamscape/Cardiff</t>
  </si>
  <si>
    <t>Clayton, MO</t>
  </si>
  <si>
    <t>London, Bath, Taree</t>
  </si>
  <si>
    <t>Trollh\xe4ttan, Sweden</t>
  </si>
  <si>
    <t>Madrid de los Austeros, Espa\xf1a</t>
  </si>
  <si>
    <t>TEXAS</t>
  </si>
  <si>
    <t>Kelvedon Hatch, East</t>
  </si>
  <si>
    <t>New Zealand, Aotearoa</t>
  </si>
  <si>
    <t>ronneby</t>
  </si>
  <si>
    <t>Brasil - S\xe3o Paulo - S\xe3o Paulo</t>
  </si>
  <si>
    <t>Brampton Bryan, Herefordshire</t>
  </si>
  <si>
    <t>Gelsenkirchen</t>
  </si>
  <si>
    <t>Senegal</t>
  </si>
  <si>
    <t>All around the islands</t>
  </si>
  <si>
    <t xml:space="preserve">Los Angeles, California </t>
  </si>
  <si>
    <t>Paisley.</t>
  </si>
  <si>
    <t>@rutherfinder</t>
  </si>
  <si>
    <t>Ipswich, Suffolk, UK</t>
  </si>
  <si>
    <t>vienna, aut</t>
  </si>
  <si>
    <t>BAFTA, FIPRESCI, CriticsCircle</t>
  </si>
  <si>
    <t>DC / Lexington, VA / NYC</t>
  </si>
  <si>
    <t>Dundee/Falkirk</t>
  </si>
  <si>
    <t>ned.donovan@mailonsunday.co.uk</t>
  </si>
  <si>
    <t>London Bridge</t>
  </si>
  <si>
    <t xml:space="preserve">Ipswich &amp; Bath, UK </t>
  </si>
  <si>
    <t>Wirksworth &amp; Stoke-on-Trent</t>
  </si>
  <si>
    <t>Romiley &amp; throughout the NW</t>
  </si>
  <si>
    <t>Brighton &amp; Hove, East Sussex, UK</t>
  </si>
  <si>
    <t>Moray/Aberdeen City</t>
  </si>
  <si>
    <t>IJmond</t>
  </si>
  <si>
    <t>Quorn, East Midlands</t>
  </si>
  <si>
    <t xml:space="preserve">Scottish Borders </t>
  </si>
  <si>
    <t>wapkhttps://mobile.twitter.com</t>
  </si>
  <si>
    <t xml:space="preserve">7 Riverside Drive, Okotoks </t>
  </si>
  <si>
    <t>Trinity College Cambridge</t>
  </si>
  <si>
    <t>Londonderry</t>
  </si>
  <si>
    <t>North Devon, England</t>
  </si>
  <si>
    <t>The Kingdom of Fife</t>
  </si>
  <si>
    <t>EdinburghGlasgowDundeeAberdeen</t>
  </si>
  <si>
    <t>Stoke, England</t>
  </si>
  <si>
    <t>\xdcT: 58.983538,-2.959696</t>
  </si>
  <si>
    <t>Stenness, Scotland</t>
  </si>
  <si>
    <t xml:space="preserve"> Tokyo / Glasgow </t>
  </si>
  <si>
    <t>Lydney</t>
  </si>
  <si>
    <t>William Patrick Library</t>
  </si>
  <si>
    <t>bratstvo i jedinstvo</t>
  </si>
  <si>
    <t>colchester//cambridge</t>
  </si>
  <si>
    <t>colombia</t>
  </si>
  <si>
    <t>Roma, Lazio</t>
  </si>
  <si>
    <t>Roehampton and Royal Holloway</t>
  </si>
  <si>
    <t>Trinidad and Tobago</t>
  </si>
  <si>
    <t>West Virginia, USA</t>
  </si>
  <si>
    <t>Saffron Walden, Essex, UK</t>
  </si>
  <si>
    <t>Dunstable</t>
  </si>
  <si>
    <t>Moderation Statement</t>
  </si>
  <si>
    <t>London N16</t>
  </si>
  <si>
    <t>Buriti Alegre, Goi\xe1s</t>
  </si>
  <si>
    <t>Lincolnshire/Denbighshire</t>
  </si>
  <si>
    <t>Ann Arbor, MI  USA</t>
  </si>
  <si>
    <t>Cuba</t>
  </si>
  <si>
    <t>world</t>
  </si>
  <si>
    <t>People's Republic of Teesside</t>
  </si>
  <si>
    <t>Western Scotland</t>
  </si>
  <si>
    <t>Cardigan</t>
  </si>
  <si>
    <t>Here, there, everywhere...</t>
  </si>
  <si>
    <t>Cambridge/London</t>
  </si>
  <si>
    <t>Bermondsey, South London</t>
  </si>
  <si>
    <t>i live at garhwa (jharkhand)</t>
  </si>
  <si>
    <t>Bridge of Don, Aberdeen</t>
  </si>
  <si>
    <t>Bedfordshire, United Kingdom</t>
  </si>
  <si>
    <t>Enschede, Nederland</t>
  </si>
  <si>
    <t>Kent, London</t>
  </si>
  <si>
    <t>Spacetime</t>
  </si>
  <si>
    <t>Hill of Tara, Ireland</t>
  </si>
  <si>
    <t>Offices all over the UK</t>
  </si>
  <si>
    <t>Fort Wayne, IN</t>
  </si>
  <si>
    <t>Hyderabad,Telangana</t>
  </si>
  <si>
    <t>London England United Kingdom</t>
  </si>
  <si>
    <t>Floor 0, Brunel Library</t>
  </si>
  <si>
    <t>Peterhead</t>
  </si>
  <si>
    <t>Land's End</t>
  </si>
  <si>
    <t>Shop Now \u2192</t>
  </si>
  <si>
    <t>Halifax West Yorkshire</t>
  </si>
  <si>
    <t>East Ham/Telford</t>
  </si>
  <si>
    <t>Long Island, New York</t>
  </si>
  <si>
    <t>wishing I was in Scotland</t>
  </si>
  <si>
    <t>City University, London</t>
  </si>
  <si>
    <t>Innerleithen, Scotland</t>
  </si>
  <si>
    <t xml:space="preserve">LONDON </t>
  </si>
  <si>
    <t>Poplar, London</t>
  </si>
  <si>
    <t>Washington Hill, Baltimore</t>
  </si>
  <si>
    <t xml:space="preserve"> Houston, USA</t>
  </si>
  <si>
    <t>ayrshire</t>
  </si>
  <si>
    <t xml:space="preserve">Salt , Jordan </t>
  </si>
  <si>
    <t>Alpha Quandrant</t>
  </si>
  <si>
    <t>\xc9ire</t>
  </si>
  <si>
    <t>south shields</t>
  </si>
  <si>
    <t>@univofstandrews</t>
  </si>
  <si>
    <t>A big grey concrete building</t>
  </si>
  <si>
    <t>Orgemont</t>
  </si>
  <si>
    <t>Somewhere austere</t>
  </si>
  <si>
    <t>The Suffolks , Cheltenham</t>
  </si>
  <si>
    <t>norwich : over the water</t>
  </si>
  <si>
    <t xml:space="preserve">Ghost world </t>
  </si>
  <si>
    <t>Boyd,Tx</t>
  </si>
  <si>
    <t>Portsmouth, Ohio</t>
  </si>
  <si>
    <t>National Library of Wales</t>
  </si>
  <si>
    <t>Scotland!</t>
  </si>
  <si>
    <t>Dunkeld</t>
  </si>
  <si>
    <t>DC / Paris</t>
  </si>
  <si>
    <t>Levenshulme</t>
  </si>
  <si>
    <t>new york</t>
  </si>
  <si>
    <t>orkney, scotland</t>
  </si>
  <si>
    <t>Western Isles</t>
  </si>
  <si>
    <t>DUBLIN and THE WORLD UNITED</t>
  </si>
  <si>
    <t>near Carlisle, Cumbria</t>
  </si>
  <si>
    <t>The Maine to DC connection</t>
  </si>
  <si>
    <t>Amiens</t>
  </si>
  <si>
    <t>Frisco, Texas</t>
  </si>
  <si>
    <t>Middlesbrough, England</t>
  </si>
  <si>
    <t>The Villa of Ormen</t>
  </si>
  <si>
    <t>Exeter (Roman Gate branch), UK</t>
  </si>
  <si>
    <t>Charleston, WV</t>
  </si>
  <si>
    <t>NL, Canada</t>
  </si>
  <si>
    <t>Newfoundland and Labrador, Canada</t>
  </si>
  <si>
    <t>36 Craven St London</t>
  </si>
  <si>
    <t>Mostly London.</t>
  </si>
  <si>
    <t>Parramatta, Sydney</t>
  </si>
  <si>
    <t>Kern County California</t>
  </si>
  <si>
    <t>AP</t>
  </si>
  <si>
    <t>57.6000 N, 7.3333 W</t>
  </si>
  <si>
    <t>Isle of Lewis/Kilwinning/7seas</t>
  </si>
  <si>
    <t xml:space="preserve">En la casa de tu jefa. </t>
  </si>
  <si>
    <t>Utah, USA</t>
  </si>
  <si>
    <t>Dublin via Washington</t>
  </si>
  <si>
    <t>Canterbury UK</t>
  </si>
  <si>
    <t>Brighton/Norwich</t>
  </si>
  <si>
    <t>In Quietude.</t>
  </si>
  <si>
    <t>muswell hill</t>
  </si>
  <si>
    <t>Lahore,Pakistan</t>
  </si>
  <si>
    <t>East London; not the hip part.</t>
  </si>
  <si>
    <t>hell, apparently</t>
  </si>
  <si>
    <t>Sunny Southwest Scotland</t>
  </si>
  <si>
    <t xml:space="preserve">Sheltering from the storm </t>
  </si>
  <si>
    <t xml:space="preserve">Aberdeen/Las Vegas </t>
  </si>
  <si>
    <t>New Forest</t>
  </si>
  <si>
    <t>London and Cambridge, England</t>
  </si>
  <si>
    <t>suffragette city</t>
  </si>
  <si>
    <t>South Pasadena, CA</t>
  </si>
  <si>
    <t>Stanford University</t>
  </si>
  <si>
    <t>St Albans, United Kingdom</t>
  </si>
  <si>
    <t>South Cumbria.</t>
  </si>
  <si>
    <t>Glasgow &amp; Ayrshire</t>
  </si>
  <si>
    <t xml:space="preserve">South East, UK. </t>
  </si>
  <si>
    <t>Niter\xf3i</t>
  </si>
  <si>
    <t>Bridgend, Wales</t>
  </si>
  <si>
    <t>Pulborough and other places</t>
  </si>
  <si>
    <t>Helsinki, but London mostly.</t>
  </si>
  <si>
    <t>Parkhead CAB Glasgow Scotland</t>
  </si>
  <si>
    <t>nz</t>
  </si>
  <si>
    <t>Folkestone, UK</t>
  </si>
  <si>
    <t>Queenstown</t>
  </si>
  <si>
    <t>Maracana\xfa , Cear\xe1 , Brasil</t>
  </si>
  <si>
    <t>Fredericksburg, Viriginia</t>
  </si>
  <si>
    <t>Syosset, NY</t>
  </si>
  <si>
    <t>Woolwich, London, UK</t>
  </si>
  <si>
    <t>Biggleswade, England</t>
  </si>
  <si>
    <t>Coyoac\xe1n, Distrito Federal</t>
  </si>
  <si>
    <t>Istanbul, Turkey</t>
  </si>
  <si>
    <t xml:space="preserve">regional South Australia </t>
  </si>
  <si>
    <t>Hamilton, NZ</t>
  </si>
  <si>
    <t>Berlin and worldwide Virtually</t>
  </si>
  <si>
    <t>Broxburn, Dundee</t>
  </si>
  <si>
    <t xml:space="preserve">Shrewsbury </t>
  </si>
  <si>
    <t>Ottawa ON, Canada</t>
  </si>
  <si>
    <t>Adventureland</t>
  </si>
  <si>
    <t>In Between</t>
  </si>
  <si>
    <t>SE Michigan, NW Ohio</t>
  </si>
  <si>
    <t>Spalding, UK</t>
  </si>
  <si>
    <t xml:space="preserve"> Hebrides, Scotland</t>
  </si>
  <si>
    <t>Kemnay, Aberdeenshire</t>
  </si>
  <si>
    <t>NW2</t>
  </si>
  <si>
    <t>Gartcosh, Scotland</t>
  </si>
  <si>
    <t>Tazewell, VA</t>
  </si>
  <si>
    <t>London/Bath</t>
  </si>
  <si>
    <t>Hertford</t>
  </si>
  <si>
    <t>bangalore</t>
  </si>
  <si>
    <t>Palos Park, IL</t>
  </si>
  <si>
    <t>Carmelite House, London</t>
  </si>
  <si>
    <t>In the shadows of Westminster</t>
  </si>
  <si>
    <t>Oxford, England OX1 3BQ</t>
  </si>
  <si>
    <t>Chorleywood, Herts</t>
  </si>
  <si>
    <t>Lincoln.</t>
  </si>
  <si>
    <t>Buckinghamshire, England</t>
  </si>
  <si>
    <t>Purmerend, Nederland</t>
  </si>
  <si>
    <t>In the dark</t>
  </si>
  <si>
    <t>Taipei, Taiwan</t>
  </si>
  <si>
    <t>planet snooze</t>
  </si>
  <si>
    <t>Leepvogel is gelukkig geringd.</t>
  </si>
  <si>
    <t>St Albans / London</t>
  </si>
  <si>
    <t>Naples, FL</t>
  </si>
  <si>
    <t>Bhubaneswar,INDIA</t>
  </si>
  <si>
    <t>Fateh Maidan, Hyderabad</t>
  </si>
  <si>
    <t>Nairn, Highland</t>
  </si>
  <si>
    <t xml:space="preserve">NE/Scotland/Norway </t>
  </si>
  <si>
    <t>Essex Hinterland</t>
  </si>
  <si>
    <t>Harrogate, UK</t>
  </si>
  <si>
    <t xml:space="preserve">London, U.K. </t>
  </si>
  <si>
    <t>Wombwell, England</t>
  </si>
  <si>
    <t>Location: Wherever there's tea</t>
  </si>
  <si>
    <t>St Louis</t>
  </si>
  <si>
    <t>Pale Blue Dot (Dorset)</t>
  </si>
  <si>
    <t>Dhaka</t>
  </si>
  <si>
    <t>ubique</t>
  </si>
  <si>
    <t>The Oxford Bar</t>
  </si>
  <si>
    <t>the deep end</t>
  </si>
  <si>
    <t>Ottawa-Gatineau</t>
  </si>
  <si>
    <t>Carronshore, Falkirk</t>
  </si>
  <si>
    <t xml:space="preserve">Somewhere out there. </t>
  </si>
  <si>
    <t>You have to find me first.</t>
  </si>
  <si>
    <t xml:space="preserve">en el \xfaltimo libro que le\xed. </t>
  </si>
  <si>
    <t>Sattelite</t>
  </si>
  <si>
    <t>SE15</t>
  </si>
  <si>
    <t xml:space="preserve">Goi\xe2nia - GO </t>
  </si>
  <si>
    <t>Btw my Books and my Fic Chars</t>
  </si>
  <si>
    <t>AHS,Coven</t>
  </si>
  <si>
    <t>ever changing</t>
  </si>
  <si>
    <t>Chittagong</t>
  </si>
  <si>
    <t>Mission, TX</t>
  </si>
  <si>
    <t>Panic town\u2122</t>
  </si>
  <si>
    <t>Somewhere, Over the Rainbow</t>
  </si>
  <si>
    <t>Deep State</t>
  </si>
  <si>
    <t xml:space="preserve">Kerala </t>
  </si>
  <si>
    <t>Bruceton, TN</t>
  </si>
  <si>
    <t xml:space="preserve">Londonland </t>
  </si>
  <si>
    <t>Modesto, CA</t>
  </si>
  <si>
    <t>En mi usshak ^^</t>
  </si>
  <si>
    <t>Camp Halfblood</t>
  </si>
  <si>
    <t>Camden Town, London</t>
  </si>
  <si>
    <t>Ugh... wherever</t>
  </si>
  <si>
    <t>L.A.-CA-USA</t>
  </si>
  <si>
    <t>Lugar Nenhum</t>
  </si>
  <si>
    <t>Delhi, India</t>
  </si>
  <si>
    <t>planet earth...mostly Vic</t>
  </si>
  <si>
    <t>Yonder heath of Chadwell</t>
  </si>
  <si>
    <t>live NCL, work DHM, always BHM</t>
  </si>
  <si>
    <t>Padova, Italy</t>
  </si>
  <si>
    <t>Mumbai</t>
  </si>
  <si>
    <t>An Asgaard state of mind...</t>
  </si>
  <si>
    <t>Piacenza, Emilia Romagna</t>
  </si>
  <si>
    <t>Sete Lagoas, Minas Gerais</t>
  </si>
  <si>
    <t>Hogwarts, Pigfarts</t>
  </si>
  <si>
    <t>Musselburgh</t>
  </si>
  <si>
    <t>Logan, UT</t>
  </si>
  <si>
    <t>Brighton/Belfast</t>
  </si>
  <si>
    <t>Muncie, IN</t>
  </si>
  <si>
    <t>South Ealing, London, UK</t>
  </si>
  <si>
    <t>Glenrothes, Scotland</t>
  </si>
  <si>
    <t>#DoncasterIsGreat</t>
  </si>
  <si>
    <t>In Trouble At Toff Towers</t>
  </si>
  <si>
    <t>Seaholme, Australia</t>
  </si>
  <si>
    <t>Orkney / the internet</t>
  </si>
  <si>
    <t>Cambridge, Waipa District</t>
  </si>
  <si>
    <t>Caledonian Republic of Enfield</t>
  </si>
  <si>
    <t>Owensboro KY</t>
  </si>
  <si>
    <t>Glasgow and Shetland</t>
  </si>
  <si>
    <t xml:space="preserve">Probably spiralling somewhere </t>
  </si>
  <si>
    <t>Pondicherry, India</t>
  </si>
  <si>
    <t>Sunny Scotland</t>
  </si>
  <si>
    <t>La Jolla, CA 92037</t>
  </si>
  <si>
    <t xml:space="preserve">Irvine town. </t>
  </si>
  <si>
    <t>In my slanket, West Midlands.</t>
  </si>
  <si>
    <t>Elko, NV</t>
  </si>
  <si>
    <t>Orkney (top of Scotland!)</t>
  </si>
  <si>
    <t>Mesa, Arizona</t>
  </si>
  <si>
    <t>Kolkata, West Bengal</t>
  </si>
  <si>
    <t xml:space="preserve">United States </t>
  </si>
  <si>
    <t>Sheffield.</t>
  </si>
  <si>
    <t>Sheffield or thereabouts</t>
  </si>
  <si>
    <t>Bath &amp; London</t>
  </si>
  <si>
    <t>Lansdowne, PA</t>
  </si>
  <si>
    <t>RNIB</t>
  </si>
  <si>
    <t>Mullingar,Ireland</t>
  </si>
  <si>
    <t>Kilkenny Rd, Carlow.</t>
  </si>
  <si>
    <t xml:space="preserve">Kew, UK </t>
  </si>
  <si>
    <t>San Jos\xe9, Costa Rica</t>
  </si>
  <si>
    <t xml:space="preserve">A bookshop, a bike or a bar. </t>
  </si>
  <si>
    <t>RNCM, Manchester</t>
  </si>
  <si>
    <t>Cambridge UK</t>
  </si>
  <si>
    <t xml:space="preserve">formosa Goi\xe1s </t>
  </si>
  <si>
    <t>Somewhere picture perfect</t>
  </si>
  <si>
    <t xml:space="preserve">3055  Vic  The Island </t>
  </si>
  <si>
    <t>Suffragette City</t>
  </si>
  <si>
    <t>North of The Wall</t>
  </si>
  <si>
    <t>Scotland &amp; Nederland</t>
  </si>
  <si>
    <t>13.815331,100.690486</t>
  </si>
  <si>
    <t>In a Hobbit Hole</t>
  </si>
  <si>
    <t>Halesworth, Suffolk</t>
  </si>
  <si>
    <t>Birmingham. England</t>
  </si>
  <si>
    <t>Camp Hill, PA</t>
  </si>
  <si>
    <t>london, unfortunately | she / they</t>
  </si>
  <si>
    <t>Dublin/Manchester</t>
  </si>
  <si>
    <t>Somerset, England</t>
  </si>
  <si>
    <t>@the_kleptocrats</t>
  </si>
  <si>
    <t>Monroeville, PA 15146</t>
  </si>
  <si>
    <t>USDA Zone 9a</t>
  </si>
  <si>
    <t>Manitoba, Canada</t>
  </si>
  <si>
    <t>London via Swansea</t>
  </si>
  <si>
    <t>Denbighshire</t>
  </si>
  <si>
    <t xml:space="preserve"> The Humber</t>
  </si>
  <si>
    <t xml:space="preserve">En el Corazon de Jos </t>
  </si>
  <si>
    <t>Kiama, New South Wales</t>
  </si>
  <si>
    <t>IN MY DREAMS: Edinburgh</t>
  </si>
  <si>
    <t xml:space="preserve">Somewhere on planet Earth </t>
  </si>
  <si>
    <t>South coast, UK</t>
  </si>
  <si>
    <t>The planet Sqibbldyda 5</t>
  </si>
  <si>
    <t>Orkney/Edinburgh</t>
  </si>
  <si>
    <t>Amid thousands of loose photos</t>
  </si>
  <si>
    <t>Shrewsbury &amp; Leeds</t>
  </si>
  <si>
    <t>Dom. Rep. and UK</t>
  </si>
  <si>
    <t>Anderson, SC</t>
  </si>
  <si>
    <t>Upstate, SC</t>
  </si>
  <si>
    <t>Waterloo, Ontario, Canada</t>
  </si>
  <si>
    <t>Orpington, Kent</t>
  </si>
  <si>
    <t>fintry, scotland</t>
  </si>
  <si>
    <t>Inglewood, California</t>
  </si>
  <si>
    <t>Mill Creek, WA</t>
  </si>
  <si>
    <t>Usually London</t>
  </si>
  <si>
    <t>Bowling Green, Kentucky, USA</t>
  </si>
  <si>
    <t>Dunfermline</t>
  </si>
  <si>
    <t xml:space="preserve">Melbourne. </t>
  </si>
  <si>
    <t>Esplanade Road, Portishead</t>
  </si>
  <si>
    <t>ShawlandsYT</t>
  </si>
  <si>
    <t>Kirkwall/ Edinburgh / G\xf6teborg</t>
  </si>
  <si>
    <t>Skipton, Yorkshire</t>
  </si>
  <si>
    <t>Southeast, America</t>
  </si>
  <si>
    <t>Millbay, Islandmagee</t>
  </si>
  <si>
    <t>Ferguson, MO</t>
  </si>
  <si>
    <t>london~surbiton~leigh-on-sea</t>
  </si>
  <si>
    <t>Home</t>
  </si>
  <si>
    <t>OH</t>
  </si>
  <si>
    <t xml:space="preserve">Here, there and everywhere. </t>
  </si>
  <si>
    <t>Louisville, KY</t>
  </si>
  <si>
    <t>San Nicol\xe1s de los Arroyos</t>
  </si>
  <si>
    <t xml:space="preserve">Stromness </t>
  </si>
  <si>
    <t>Northampton UK</t>
  </si>
  <si>
    <t>Northern Scotland,  UK</t>
  </si>
  <si>
    <t>Marysville, WA</t>
  </si>
  <si>
    <t>Orkney|Aberdeen</t>
  </si>
  <si>
    <t xml:space="preserve">Kirkwall &amp; Edinburgh </t>
  </si>
  <si>
    <t>Albany, CA, USA</t>
  </si>
  <si>
    <t>st albans</t>
  </si>
  <si>
    <t>bristol and barnsley uk</t>
  </si>
  <si>
    <t>Cheltenham, Gloucestershire</t>
  </si>
  <si>
    <t>In stunning but windy Orkney</t>
  </si>
  <si>
    <t>The City of Joy (Kolkata)</t>
  </si>
  <si>
    <t>Tenby, Wales</t>
  </si>
  <si>
    <t>Edmonton, AB</t>
  </si>
  <si>
    <t>Florian\xf3polis</t>
  </si>
  <si>
    <t>Earth, Milky Way, Laniakea</t>
  </si>
  <si>
    <t>Rol\xe2ndia, Paran\xe1</t>
  </si>
  <si>
    <t>Phoenix/M\xe1laga</t>
  </si>
  <si>
    <t>Ankeny Iowa</t>
  </si>
  <si>
    <t>Hogwarts is my home</t>
  </si>
  <si>
    <t>Glasgow City, Glasgow</t>
  </si>
  <si>
    <t>Hufflepuff Common Room</t>
  </si>
  <si>
    <t>Ravenclaw Common Room (TARDIS)</t>
  </si>
  <si>
    <t>Sarasota, Florida</t>
  </si>
  <si>
    <t>Lahore, Pakistan</t>
  </si>
  <si>
    <t>Bod\xf8, Norway</t>
  </si>
  <si>
    <t>Puerto Rico</t>
  </si>
  <si>
    <t>South Yarmouth, MA</t>
  </si>
  <si>
    <t>Kinloss and Edinburgh</t>
  </si>
  <si>
    <t>Maidstone Kent UK</t>
  </si>
  <si>
    <t>Stratford-upon-Avon - kes.net</t>
  </si>
  <si>
    <t>Sunshine Coast hinterland</t>
  </si>
  <si>
    <t>South East Wales/National City</t>
  </si>
  <si>
    <t>4 High Street, Conwy</t>
  </si>
  <si>
    <t xml:space="preserve">An evening of redness </t>
  </si>
  <si>
    <t xml:space="preserve">Hertfordshire </t>
  </si>
  <si>
    <t>The Polar Bear Archipelago</t>
  </si>
  <si>
    <t>Kirklees</t>
  </si>
  <si>
    <t>http://www.amazon.com/dp/B00UU</t>
  </si>
  <si>
    <t>South Yorkshire, England</t>
  </si>
  <si>
    <t>Rocky River, OH</t>
  </si>
  <si>
    <t>Tierra de Utes</t>
  </si>
  <si>
    <t>se5</t>
  </si>
  <si>
    <t>Somewhere in the UK</t>
  </si>
  <si>
    <t>Penge, London</t>
  </si>
  <si>
    <t>Montreal/Ottawa</t>
  </si>
  <si>
    <t>Mollystan, Ayrshire</t>
  </si>
  <si>
    <t>Haddington Scotlannd</t>
  </si>
  <si>
    <t xml:space="preserve">Independent Scotland ( soon)  </t>
  </si>
  <si>
    <t xml:space="preserve">near liverpool uk </t>
  </si>
  <si>
    <t>Inside my head</t>
  </si>
  <si>
    <t>#yyj</t>
  </si>
  <si>
    <t>Essex CT - Deschapelles Haiti</t>
  </si>
  <si>
    <t xml:space="preserve">London, peripatetic </t>
  </si>
  <si>
    <t>Fife, Scotland.</t>
  </si>
  <si>
    <t>Wicklow Town, Ireland</t>
  </si>
  <si>
    <t>The New Forest</t>
  </si>
  <si>
    <t>The MungTent, Cheshire</t>
  </si>
  <si>
    <t>Fraserburgh</t>
  </si>
  <si>
    <t>Newcastle / London</t>
  </si>
  <si>
    <t>Dundee Scotland</t>
  </si>
  <si>
    <t>Lyon, Rh\xf4ne-Alpes</t>
  </si>
  <si>
    <t>Inverurie</t>
  </si>
  <si>
    <t xml:space="preserve">Liverpool, UK </t>
  </si>
  <si>
    <t>The Black lodge</t>
  </si>
  <si>
    <t>buckinghamshire</t>
  </si>
  <si>
    <t>Wiltshire,UK</t>
  </si>
  <si>
    <t>Lamar, CO</t>
  </si>
  <si>
    <t xml:space="preserve"> Scottish Labour &amp; Cooperative</t>
  </si>
  <si>
    <t>Dunbar</t>
  </si>
  <si>
    <t>Merseyside, UK</t>
  </si>
  <si>
    <t>The north</t>
  </si>
  <si>
    <t>Orkney Islands &amp; Inverness</t>
  </si>
  <si>
    <t>Yorkshire, Argentina, Wales</t>
  </si>
  <si>
    <t>York, London</t>
  </si>
  <si>
    <t>Copenhagen</t>
  </si>
  <si>
    <t xml:space="preserve">Edinburgh, UK </t>
  </si>
  <si>
    <t xml:space="preserve"> #Scotland</t>
  </si>
  <si>
    <t>Kelowna, BC, Canada</t>
  </si>
  <si>
    <t>London, ON</t>
  </si>
  <si>
    <t>West Coast of BC, Canada</t>
  </si>
  <si>
    <t>Prince George, BC</t>
  </si>
  <si>
    <t>Dale &amp; Chrisney, IN</t>
  </si>
  <si>
    <t>Iowa</t>
  </si>
  <si>
    <t>Worcs, UK</t>
  </si>
  <si>
    <t>Auchinleck/Edinburgh/London</t>
  </si>
  <si>
    <t>UK Tour</t>
  </si>
  <si>
    <t>Red Hook, NY</t>
  </si>
  <si>
    <t>SW15 2SH</t>
  </si>
  <si>
    <t xml:space="preserve">Munich/Bavaria </t>
  </si>
  <si>
    <t>By the dark harbour wall</t>
  </si>
  <si>
    <t>Bag Enderby, England</t>
  </si>
  <si>
    <t>Fordyce, Scotland</t>
  </si>
  <si>
    <t>Kent, England, UK</t>
  </si>
  <si>
    <t>London / Delhi</t>
  </si>
  <si>
    <t>Low Fell, Gateshead, NE9 6HT</t>
  </si>
  <si>
    <t>brisbane</t>
  </si>
  <si>
    <t xml:space="preserve">Whitley Bay </t>
  </si>
  <si>
    <t>Andover, MA</t>
  </si>
  <si>
    <t>Earth Citizen</t>
  </si>
  <si>
    <t>North Berwick, Scotland</t>
  </si>
  <si>
    <t>Gateshead, England</t>
  </si>
  <si>
    <t xml:space="preserve">Djibouti </t>
  </si>
  <si>
    <t>Rendall, Orkney</t>
  </si>
  <si>
    <t>Still Here</t>
  </si>
  <si>
    <t>Montreal, QC</t>
  </si>
  <si>
    <t>Columbia, SC, USA</t>
  </si>
  <si>
    <t>Edinburgh &amp; Orkney</t>
  </si>
  <si>
    <t>Toronto, ON, Canada</t>
  </si>
  <si>
    <t>Emilia-Romagna, Italy</t>
  </si>
  <si>
    <t>Rural S Warwickshire</t>
  </si>
  <si>
    <t>Ardgour, Scotland</t>
  </si>
  <si>
    <t>Pittsburgh. Or Minnesota.</t>
  </si>
  <si>
    <t>Mirfield, West Yorkshire</t>
  </si>
  <si>
    <t>Fremantle, Australia</t>
  </si>
  <si>
    <t>tokelau</t>
  </si>
  <si>
    <t>the pool</t>
  </si>
  <si>
    <t>Columbia, Missouri</t>
  </si>
  <si>
    <t xml:space="preserve">Taking it up Lakey Hill </t>
  </si>
  <si>
    <t>London/ Brighton</t>
  </si>
  <si>
    <t>hertfordshire</t>
  </si>
  <si>
    <t>Sugartown</t>
  </si>
  <si>
    <t>East of the Bann</t>
  </si>
  <si>
    <t>Asgard</t>
  </si>
  <si>
    <t>Topsham, ME</t>
  </si>
  <si>
    <t>Drammen, Norway</t>
  </si>
  <si>
    <t>Forest of Dean, UK</t>
  </si>
  <si>
    <t>Across the UK</t>
  </si>
  <si>
    <t xml:space="preserve">Satakunta, Finland </t>
  </si>
  <si>
    <t>Jackson, MS</t>
  </si>
  <si>
    <t>Massapequa, NY</t>
  </si>
  <si>
    <t>Maidstone, Kent</t>
  </si>
  <si>
    <t>Oslo</t>
  </si>
  <si>
    <t>In Deepest Montgomeryshire</t>
  </si>
  <si>
    <t>Manchester / Edinburgh / Cork</t>
  </si>
  <si>
    <t>New York, NY &amp; Minneapolis, MN</t>
  </si>
  <si>
    <t>Brussel, Belgi\xeb</t>
  </si>
  <si>
    <t>Guisborough</t>
  </si>
  <si>
    <t>Thornham, Norfolk</t>
  </si>
  <si>
    <t>St. Andrews</t>
  </si>
  <si>
    <t>Grimsby, Ontario</t>
  </si>
  <si>
    <t>Scotchland</t>
  </si>
  <si>
    <t>LIVERPOOL</t>
  </si>
  <si>
    <t xml:space="preserve">Fife, Scotland, Europe. </t>
  </si>
  <si>
    <t>In front of the telly.</t>
  </si>
  <si>
    <t>Kuwait</t>
  </si>
  <si>
    <t>Belgrade</t>
  </si>
  <si>
    <t>Henderson, NV</t>
  </si>
  <si>
    <t>Elmswell, England</t>
  </si>
  <si>
    <t xml:space="preserve">Yorkshire, UK. </t>
  </si>
  <si>
    <t>Guisborough, England</t>
  </si>
  <si>
    <t>KCMO</t>
  </si>
  <si>
    <t xml:space="preserve">Right here! </t>
  </si>
  <si>
    <t>Dubuque, IA</t>
  </si>
  <si>
    <t>QC, Canada</t>
  </si>
  <si>
    <t>La France profonde</t>
  </si>
  <si>
    <t>Oxfordshire, U.K.</t>
  </si>
  <si>
    <t>West Berkshire England UK.</t>
  </si>
  <si>
    <t>Fife, Scotland - nr Edinburgh</t>
  </si>
  <si>
    <t>Edinburgh via Notts/Wimbledon</t>
  </si>
  <si>
    <t>BA,GradDipAppScLIM,AssocDipLIS</t>
  </si>
  <si>
    <t xml:space="preserve">Clapham, London </t>
  </si>
  <si>
    <t>Dunblane,  Scotland</t>
  </si>
  <si>
    <t>ZanmiLasante Campus,CangeHaiti</t>
  </si>
  <si>
    <t>Leics</t>
  </si>
  <si>
    <t>Westerville, OH</t>
  </si>
  <si>
    <t>Aith, Scotland</t>
  </si>
  <si>
    <t>The Wild Woods</t>
  </si>
  <si>
    <t>Basingstoke via Cork</t>
  </si>
  <si>
    <t>Yeovil, Somerset</t>
  </si>
  <si>
    <t>Campbelltown, Australia</t>
  </si>
  <si>
    <t xml:space="preserve">Melbourne </t>
  </si>
  <si>
    <t>19/05/2012</t>
  </si>
  <si>
    <t>Kirkwall Orkney Islands</t>
  </si>
  <si>
    <t>London or Surrey</t>
  </si>
  <si>
    <t>North Wales UK</t>
  </si>
  <si>
    <t>Sussex, UK</t>
  </si>
  <si>
    <t>peterhead</t>
  </si>
  <si>
    <t>Mission Control</t>
  </si>
  <si>
    <t>East London</t>
  </si>
  <si>
    <t>Solihull, Birmingham</t>
  </si>
  <si>
    <t>Welwyn Garden City, England</t>
  </si>
  <si>
    <t>ullapool . scotland</t>
  </si>
  <si>
    <t>South-East Suburbia</t>
  </si>
  <si>
    <t>unthank, europe.</t>
  </si>
  <si>
    <t>Boliqueime, Algarve, Portugal</t>
  </si>
  <si>
    <t>Edinburgh, GB</t>
  </si>
  <si>
    <t>Northumberland and Sunderland</t>
  </si>
  <si>
    <t>Oxford University Press</t>
  </si>
  <si>
    <t>GMV, London</t>
  </si>
  <si>
    <t>Kent &amp; spreading wings fast!</t>
  </si>
  <si>
    <t>Mansfield, Victoria, Australia</t>
  </si>
  <si>
    <t>Hampton,  Middx</t>
  </si>
  <si>
    <t>Tulse Hill/West Norwood</t>
  </si>
  <si>
    <t>London/Glasgow/Honley</t>
  </si>
  <si>
    <t>Axminster</t>
  </si>
  <si>
    <t>@FaberChildrens</t>
  </si>
  <si>
    <t>St. Annes-on-Sea, UK</t>
  </si>
  <si>
    <t>West Dulwich, London</t>
  </si>
  <si>
    <t>carmelite house</t>
  </si>
  <si>
    <t>Ipswich. UK</t>
  </si>
  <si>
    <t>West Sussex, England</t>
  </si>
  <si>
    <t>Arrakis, Dune, Desert Planet</t>
  </si>
  <si>
    <t xml:space="preserve">Hampshire Healthcare Library </t>
  </si>
  <si>
    <t>Imigration is Beautiful</t>
  </si>
  <si>
    <t>From Japan</t>
  </si>
  <si>
    <t>Sanday,Orkney</t>
  </si>
  <si>
    <t>Lake District, England</t>
  </si>
  <si>
    <t xml:space="preserve">Den Haag, Netherlands </t>
  </si>
  <si>
    <t>Glendale, California</t>
  </si>
  <si>
    <t>Waitati</t>
  </si>
  <si>
    <t>70 Stamford Road, Singapore</t>
  </si>
  <si>
    <t>Newbattle, Scotland</t>
  </si>
  <si>
    <t>Cherry Hill, NJ</t>
  </si>
  <si>
    <t>3rd floor, Kings Place, London</t>
  </si>
  <si>
    <t>St Davids</t>
  </si>
  <si>
    <t>University of Bristol</t>
  </si>
  <si>
    <t>Burgess Hill</t>
  </si>
  <si>
    <t>Southampton, United Kingdom</t>
  </si>
  <si>
    <t>England/Korea</t>
  </si>
  <si>
    <t xml:space="preserve">Bucks </t>
  </si>
  <si>
    <t xml:space="preserve">Derby, Derbyshire - UK </t>
  </si>
  <si>
    <t>Scotland. I'm an invader.</t>
  </si>
  <si>
    <t>Maidenhead, Berkshire</t>
  </si>
  <si>
    <t>Eindhoven</t>
  </si>
  <si>
    <t>far far away in the midlands</t>
  </si>
  <si>
    <t xml:space="preserve">Dublin, Ireland </t>
  </si>
  <si>
    <t>Glasgow, Scotland. UK</t>
  </si>
  <si>
    <t>In a spin but on a roll</t>
  </si>
  <si>
    <t>Roseburg, OR</t>
  </si>
  <si>
    <t>Kr\xe5kstad, Ski, Norway</t>
  </si>
  <si>
    <t>Giza, Egypt</t>
  </si>
  <si>
    <t>Salford, Greater Manchester</t>
  </si>
  <si>
    <t xml:space="preserve">Torino </t>
  </si>
  <si>
    <t>Hurkle-durkle land</t>
  </si>
  <si>
    <t>Shropshire, England</t>
  </si>
  <si>
    <t>Halifax Nova Scotia Canada</t>
  </si>
  <si>
    <t>Lincoln, Ontario, Canada</t>
  </si>
  <si>
    <t>South-Western Ontario, Canada</t>
  </si>
  <si>
    <t>Dryden</t>
  </si>
  <si>
    <t>Surrey - fanar fanar</t>
  </si>
  <si>
    <t>London/Devon</t>
  </si>
  <si>
    <t>Smith Terrace, Thurso, Caithne</t>
  </si>
  <si>
    <t>Isle of Colonsay</t>
  </si>
  <si>
    <t>Onward and Downward</t>
  </si>
  <si>
    <t xml:space="preserve">Highlands </t>
  </si>
  <si>
    <t>Head England, heart Scotland</t>
  </si>
  <si>
    <t>71 Fenchurch Street, London</t>
  </si>
  <si>
    <t>Just off the A900</t>
  </si>
  <si>
    <t>Darkest Northest Ayrshire</t>
  </si>
  <si>
    <t>London, the Square Mile</t>
  </si>
  <si>
    <t>The Lothians</t>
  </si>
  <si>
    <t>Plymouth, Devon.</t>
  </si>
  <si>
    <t>Oxford\u23aaVancouver</t>
  </si>
  <si>
    <t>London, more or less</t>
  </si>
  <si>
    <t>West Yorkshire, England</t>
  </si>
  <si>
    <t>USA,California,San Jose</t>
  </si>
  <si>
    <t>drowning in yarn!</t>
  </si>
  <si>
    <t>Jackson, Mississippi</t>
  </si>
  <si>
    <t>North Norfolk</t>
  </si>
  <si>
    <t>London / Bedfordshire</t>
  </si>
  <si>
    <t>Epworth</t>
  </si>
  <si>
    <t>Calgary/San Diego/Themyscira</t>
  </si>
  <si>
    <t>Edinburgh Law School</t>
  </si>
  <si>
    <t>East Chicago, IN</t>
  </si>
  <si>
    <t xml:space="preserve">East London, mostly </t>
  </si>
  <si>
    <t>North Lincolnshire</t>
  </si>
  <si>
    <t>Brentwood, Essex / London</t>
  </si>
  <si>
    <t>Ottery St Mary, Devon</t>
  </si>
  <si>
    <t>Lichfield, Staffordshire</t>
  </si>
  <si>
    <t>Leicester + St. Petersburg</t>
  </si>
  <si>
    <t>Church Hill, Orpington BR6 0HH</t>
  </si>
  <si>
    <t>Rijssen</t>
  </si>
  <si>
    <t>'A North East Coast Town'</t>
  </si>
  <si>
    <t>Klerksdorp South Africa</t>
  </si>
  <si>
    <t>http://www.canterbury.ac.uk/so</t>
  </si>
  <si>
    <t xml:space="preserve">Cambridgeshire </t>
  </si>
  <si>
    <t>Deal</t>
  </si>
  <si>
    <t xml:space="preserve">Cambridge / London </t>
  </si>
  <si>
    <t>West Sussex, UK</t>
  </si>
  <si>
    <t>Saffron Walden, Essex</t>
  </si>
  <si>
    <t>Newcastle upon-Tyne</t>
  </si>
  <si>
    <t>Burnley</t>
  </si>
  <si>
    <t>UK -Somerset Coast</t>
  </si>
  <si>
    <t>Wotton-under-Edge, Glos</t>
  </si>
  <si>
    <t>New Hall, BOC, @chiuni</t>
  </si>
  <si>
    <t>Moulton, Northamptonshire</t>
  </si>
  <si>
    <t>St.Ives</t>
  </si>
  <si>
    <t>N. Wales</t>
  </si>
  <si>
    <t>Northants... UK</t>
  </si>
  <si>
    <t>Scotland &amp; NZ</t>
  </si>
  <si>
    <t xml:space="preserve">Beckenham </t>
  </si>
  <si>
    <t>Roslin, Midlothian, Scotland</t>
  </si>
  <si>
    <t>Westminster, London</t>
  </si>
  <si>
    <t>North</t>
  </si>
  <si>
    <t>Topsham, Maine</t>
  </si>
  <si>
    <t xml:space="preserve">Miscarriage of Justice - UK </t>
  </si>
  <si>
    <t>people's republic of streatham</t>
  </si>
  <si>
    <t>Eger</t>
  </si>
  <si>
    <t>Bridge of Earn, Perthshire.</t>
  </si>
  <si>
    <t>Musselburgh, Scotland</t>
  </si>
  <si>
    <t>Amenia, NY</t>
  </si>
  <si>
    <t xml:space="preserve">From Scotland </t>
  </si>
  <si>
    <t>Dublin - Ireland</t>
  </si>
  <si>
    <t>Witney, England</t>
  </si>
  <si>
    <t>Stroud, Glos</t>
  </si>
  <si>
    <t>All UHI Sites</t>
  </si>
  <si>
    <t>Vancouver,BC</t>
  </si>
  <si>
    <t>Lambeth Palace &amp; Canterbury</t>
  </si>
  <si>
    <t>Rio Grande Valley, TX</t>
  </si>
  <si>
    <t xml:space="preserve">The dark North: with cats </t>
  </si>
  <si>
    <t>Brum</t>
  </si>
  <si>
    <t>Alba | Scotland</t>
  </si>
  <si>
    <t>On the road again...</t>
  </si>
  <si>
    <t>Nantwich, England</t>
  </si>
  <si>
    <t>Edinburgh, Bonny Scotland</t>
  </si>
  <si>
    <t>Glossop, England</t>
  </si>
  <si>
    <t>Huddersfield UK</t>
  </si>
  <si>
    <t>Helford, Cornwall</t>
  </si>
  <si>
    <t>Bishop's Stortford, England</t>
  </si>
  <si>
    <t>Malpas, Cheshire</t>
  </si>
  <si>
    <t>Scotland (Highland &amp; Lowland)</t>
  </si>
  <si>
    <t>Alkmaar, Purmerend</t>
  </si>
  <si>
    <t>Stratford-Upon-Avon</t>
  </si>
  <si>
    <t xml:space="preserve">edinburgh </t>
  </si>
  <si>
    <t>London N15 4RX</t>
  </si>
  <si>
    <t xml:space="preserve">The Frozen North </t>
  </si>
  <si>
    <t>Loch Ness</t>
  </si>
  <si>
    <t>Coalville, Leicestershire, UK</t>
  </si>
  <si>
    <t xml:space="preserve">Stranger in a strange land. </t>
  </si>
  <si>
    <t>North Texas</t>
  </si>
  <si>
    <t>NCL,LDN,RIBA,REVO,NE1Space2</t>
  </si>
  <si>
    <t>Midlands</t>
  </si>
  <si>
    <t>mi . usa</t>
  </si>
  <si>
    <t>London/Edinburgh, UK</t>
  </si>
  <si>
    <t>Dilli</t>
  </si>
  <si>
    <t>The coast of Maine</t>
  </si>
  <si>
    <t>rosmuc &amp; limerick, ireland</t>
  </si>
  <si>
    <t>United Kingdom &amp; Ireland</t>
  </si>
  <si>
    <t>The British Library, London</t>
  </si>
  <si>
    <t>Zuid-west Utrecht</t>
  </si>
  <si>
    <t xml:space="preserve">Dublin City, Ireland </t>
  </si>
  <si>
    <t>Oost-Achterhoek</t>
  </si>
  <si>
    <t>N 51\xb055' 0'' / E 6\xb02' 0''</t>
  </si>
  <si>
    <t>London SE8</t>
  </si>
  <si>
    <t>Pollokshields, Glasgow</t>
  </si>
  <si>
    <t>Newport (South Wales)</t>
  </si>
  <si>
    <t>Claydon Estate, Bucks, UK</t>
  </si>
  <si>
    <t>Hitchin, UK SG4 9TS</t>
  </si>
  <si>
    <t>At sea</t>
  </si>
  <si>
    <t>London, Brighton, Purgatory</t>
  </si>
  <si>
    <t>Fettes College</t>
  </si>
  <si>
    <t>Location: my house/your radio</t>
  </si>
  <si>
    <t>in my attic usually</t>
  </si>
  <si>
    <t>TORIES UKIP &amp; TRUMP ARE VERMIN</t>
  </si>
  <si>
    <t>Southern Finger Lakes NY</t>
  </si>
  <si>
    <t>Occasionally @Severndroog</t>
  </si>
  <si>
    <t>East Coast of Bonnie Scotland</t>
  </si>
  <si>
    <t>Never give up.</t>
  </si>
  <si>
    <t>collace</t>
  </si>
  <si>
    <t>Dunsyre, South Lanarkshire</t>
  </si>
  <si>
    <t>Portsmouth UK</t>
  </si>
  <si>
    <t xml:space="preserve">roaming freespirit/half crazy </t>
  </si>
  <si>
    <t>Norden</t>
  </si>
  <si>
    <t>Bonnie Dundee, Scotland</t>
  </si>
  <si>
    <t>classroom, garden or skysports</t>
  </si>
  <si>
    <t>Byres Road, Glasgow</t>
  </si>
  <si>
    <t>Falkirk, Stirlingshire, UK</t>
  </si>
  <si>
    <t>Banchory, Scotland</t>
  </si>
  <si>
    <t>The back of beyond...</t>
  </si>
  <si>
    <t>Cumbernauld, North Lanarkshire</t>
  </si>
  <si>
    <t>Eddleston, near Peebles</t>
  </si>
  <si>
    <t>Various places, Scotland</t>
  </si>
  <si>
    <t>South Aberdeenshire</t>
  </si>
  <si>
    <t xml:space="preserve">Glasgow Southside </t>
  </si>
  <si>
    <t>Midlothian, Scotland</t>
  </si>
  <si>
    <t>Dowanhill, Glasgow</t>
  </si>
  <si>
    <t>Lockerbie</t>
  </si>
  <si>
    <t>Creag Longairt and Paris</t>
  </si>
  <si>
    <t>Scotland (of course)</t>
  </si>
  <si>
    <t>Highlands, but now Glasgow</t>
  </si>
  <si>
    <t>wemyss bay</t>
  </si>
  <si>
    <t>kilmarnock</t>
  </si>
  <si>
    <t>isle of man</t>
  </si>
  <si>
    <t>Kingdom of Fife</t>
  </si>
  <si>
    <t>Aberdeen, City and Shire</t>
  </si>
  <si>
    <t>East Kilbride and Hungary</t>
  </si>
  <si>
    <t>north berwick</t>
  </si>
  <si>
    <t>Melbourne, Victoria, Australia</t>
  </si>
  <si>
    <t>Kingston Upon Thames</t>
  </si>
  <si>
    <t>Hidden under books</t>
  </si>
  <si>
    <t>Rivendell, Middle Earth</t>
  </si>
  <si>
    <t>Manchester/Hackney</t>
  </si>
  <si>
    <t>Scotland most of the time</t>
  </si>
  <si>
    <t>Reading/Manchester</t>
  </si>
  <si>
    <t>Nottinghamshire, UK</t>
  </si>
  <si>
    <t>Newcastle, NSW, Australia</t>
  </si>
  <si>
    <t>Shaker Heights, Ohio</t>
  </si>
  <si>
    <t>Pittsburgh</t>
  </si>
  <si>
    <t>Reigate</t>
  </si>
  <si>
    <t>Staunton, Virginia</t>
  </si>
  <si>
    <t>Guildford, Surrey, UK</t>
  </si>
  <si>
    <t>chelt-glas-brum-dub</t>
  </si>
  <si>
    <t>Hounslow, London</t>
  </si>
  <si>
    <t>Falmouth, Cornwall</t>
  </si>
  <si>
    <t>Edale, Derbyshire</t>
  </si>
  <si>
    <t>Edmonton AB Canada</t>
  </si>
  <si>
    <t>St Louis city</t>
  </si>
  <si>
    <t>Penzance UK</t>
  </si>
  <si>
    <t>Sunny Saltcoats</t>
  </si>
  <si>
    <t>Corduff, Dublin 15</t>
  </si>
  <si>
    <t>Brandesburton, England</t>
  </si>
  <si>
    <t>Dublin Ireland</t>
  </si>
  <si>
    <t>prentiss, ms.</t>
  </si>
  <si>
    <t>The nation's capital</t>
  </si>
  <si>
    <t>Edinburgh and everywhere</t>
  </si>
  <si>
    <t>Fifer living in Mid Wales</t>
  </si>
  <si>
    <t>Warsaw, Indiana</t>
  </si>
  <si>
    <t>Bed or bath. Eastbourne, UK</t>
  </si>
  <si>
    <t>On set or at Coconut Shelly's</t>
  </si>
  <si>
    <t>In my office/Coconut Shelly's</t>
  </si>
  <si>
    <t>Macclesfield, England</t>
  </si>
  <si>
    <t>Bygone Books</t>
  </si>
  <si>
    <t>Manchester - UK</t>
  </si>
  <si>
    <t>Bolton Central Library</t>
  </si>
  <si>
    <t>Yesnaby, Orkney</t>
  </si>
  <si>
    <t>St. Helena, CA</t>
  </si>
  <si>
    <t>Accra, Ghana</t>
  </si>
  <si>
    <t>Normal, IL</t>
  </si>
  <si>
    <t>Soltau</t>
  </si>
  <si>
    <t>Bothwell</t>
  </si>
  <si>
    <t>Ludlow</t>
  </si>
  <si>
    <t>West Cork, Ireland</t>
  </si>
  <si>
    <t>Ellesmere Port, U.K</t>
  </si>
  <si>
    <t>EH6</t>
  </si>
  <si>
    <t>Everett, Washington, USA</t>
  </si>
  <si>
    <t>Oudewater</t>
  </si>
  <si>
    <t>Neverland</t>
  </si>
  <si>
    <t>MELBOURNE</t>
  </si>
  <si>
    <t>Duesseldorf, Europe</t>
  </si>
  <si>
    <t>my bed</t>
  </si>
  <si>
    <t>Floating</t>
  </si>
  <si>
    <t>West London, UK</t>
  </si>
  <si>
    <t>90 miles from everywhere</t>
  </si>
  <si>
    <t>Rural library in Connecticut</t>
  </si>
  <si>
    <t>Angus Scotland</t>
  </si>
  <si>
    <t>70 Whitehall, London</t>
  </si>
  <si>
    <t>Crawley</t>
  </si>
  <si>
    <t>Deepest Darkest Devon</t>
  </si>
  <si>
    <t>Gillingham, United Kingdom</t>
  </si>
  <si>
    <t>Tramanda\xed, Brasil</t>
  </si>
  <si>
    <t>Blackpool, Lancs, UK</t>
  </si>
  <si>
    <t>London: West End &amp; South West</t>
  </si>
  <si>
    <t>Kimbolton, England</t>
  </si>
  <si>
    <t>glasgow/edinburgh</t>
  </si>
  <si>
    <t>Helensburgh</t>
  </si>
  <si>
    <t>Western Australia</t>
  </si>
  <si>
    <t>Yorkshire via Paris &amp; Scotland</t>
  </si>
  <si>
    <t>Echuca</t>
  </si>
  <si>
    <t>Armidale, New South Wales</t>
  </si>
  <si>
    <t>South Wonston, England</t>
  </si>
  <si>
    <t>Framingham, MA</t>
  </si>
  <si>
    <t xml:space="preserve">North Ayrshire </t>
  </si>
  <si>
    <t>Banchory</t>
  </si>
  <si>
    <t>Adirondack Mountains</t>
  </si>
  <si>
    <t>East Central Minnesota</t>
  </si>
  <si>
    <t>London and eek Kente</t>
  </si>
  <si>
    <t>Lytham St Annes</t>
  </si>
  <si>
    <t>Belgi\xeb</t>
  </si>
  <si>
    <t>WR2 6AJ</t>
  </si>
  <si>
    <t>Plumpton</t>
  </si>
  <si>
    <t>the Dark Satanic Hills</t>
  </si>
  <si>
    <t>fly on the wall</t>
  </si>
  <si>
    <t>Charlottetown, PE, Canada</t>
  </si>
  <si>
    <t>University of Reading, UK</t>
  </si>
  <si>
    <t>Heeley City Farm Sheffield</t>
  </si>
  <si>
    <t>Dunoon, Argyll, Scotland</t>
  </si>
  <si>
    <t>Exmoor National Park</t>
  </si>
  <si>
    <t>Runcorn</t>
  </si>
  <si>
    <t>Box</t>
  </si>
  <si>
    <t>Gateshead</t>
  </si>
  <si>
    <t>Tyendinaga ON Canada</t>
  </si>
  <si>
    <t>Westray</t>
  </si>
  <si>
    <t>Netherton</t>
  </si>
  <si>
    <t>in the Shire</t>
  </si>
  <si>
    <t>Penryn, Cornwall, UK</t>
  </si>
  <si>
    <t>\xdcT: 55.833554,-4.419309</t>
  </si>
  <si>
    <t>Pretty far to the left.</t>
  </si>
  <si>
    <t>Lincoln,UK</t>
  </si>
  <si>
    <t>Hillegom</t>
  </si>
  <si>
    <t>Tampa FL</t>
  </si>
  <si>
    <t>Yarm, England</t>
  </si>
  <si>
    <t>Barkingside</t>
  </si>
  <si>
    <t xml:space="preserve">USA </t>
  </si>
  <si>
    <t>Brussel</t>
  </si>
  <si>
    <t>Voorburg</t>
  </si>
  <si>
    <t>Mostly in Warwick, UK</t>
  </si>
  <si>
    <t xml:space="preserve">Laaaaaaaandan </t>
  </si>
  <si>
    <t>Never where I want to be</t>
  </si>
  <si>
    <t xml:space="preserve">Scotland UK </t>
  </si>
  <si>
    <t>Ieper</t>
  </si>
  <si>
    <t>Breda</t>
  </si>
  <si>
    <t>The House Jack Kerouac Built.</t>
  </si>
  <si>
    <t>London SE1</t>
  </si>
  <si>
    <t>London Towne</t>
  </si>
  <si>
    <t>Dorset but home is South Wales</t>
  </si>
  <si>
    <t>DNS, Dublin, Ireland</t>
  </si>
  <si>
    <t>ASIA TENGGARA</t>
  </si>
  <si>
    <t>Olongapo City, Central Luzon</t>
  </si>
  <si>
    <t>MANCHESTER</t>
  </si>
  <si>
    <t>Blackheath, London SE3, UK</t>
  </si>
  <si>
    <t>Pembrokeshire, Wales</t>
  </si>
  <si>
    <t>St Helens, Lancashire</t>
  </si>
  <si>
    <t>U.S.</t>
  </si>
  <si>
    <t>Moffat, Dumfries and Galloway.</t>
  </si>
  <si>
    <t>NORTH NORFOLK</t>
  </si>
  <si>
    <t>Edinburgh, Seville and St Vaury</t>
  </si>
  <si>
    <t>Coldingham</t>
  </si>
  <si>
    <t>Battersea, London</t>
  </si>
  <si>
    <t>England, United Kingdom, EU</t>
  </si>
  <si>
    <t>Mukwonago, Wisconsin</t>
  </si>
  <si>
    <t xml:space="preserve">just out side festival city </t>
  </si>
  <si>
    <t>UK, NW Europe</t>
  </si>
  <si>
    <t>Gibraltar</t>
  </si>
  <si>
    <t>Dunshalt</t>
  </si>
  <si>
    <t>Lovely Yorkshire Dales</t>
  </si>
  <si>
    <t>Czech Republic</t>
  </si>
  <si>
    <t>Bundaberg, Qld, Australia</t>
  </si>
  <si>
    <t>Lake District and Central Scot</t>
  </si>
  <si>
    <t>Boulder</t>
  </si>
  <si>
    <t>Brant, Ontario</t>
  </si>
  <si>
    <t>Planet LV-223, Scotland</t>
  </si>
  <si>
    <t>Westwood, MA</t>
  </si>
  <si>
    <t>East of East St. Louis</t>
  </si>
  <si>
    <t>Leigh-on-Sea</t>
  </si>
  <si>
    <t>Cumbria/Lancashire</t>
  </si>
  <si>
    <t>Prunedale, CA</t>
  </si>
  <si>
    <t>Stirlingshire &amp; Cornwall</t>
  </si>
  <si>
    <t xml:space="preserve">Glasgow-ish </t>
  </si>
  <si>
    <t>Cropredy, Oxfordshire</t>
  </si>
  <si>
    <t>\u6771\u30c6\u30cd\u30b7\u30fc\u5dde\u306e\u7530\u820e</t>
  </si>
  <si>
    <t>Ealing/Cornwall</t>
  </si>
  <si>
    <t>Coventry</t>
  </si>
  <si>
    <t>In the library.</t>
  </si>
  <si>
    <t>W9, 8th arron., elsewhere</t>
  </si>
  <si>
    <t>L-space</t>
  </si>
  <si>
    <t>Dunfermline &amp; NewtownArds</t>
  </si>
  <si>
    <t>Black Isle, Scotland</t>
  </si>
  <si>
    <t>Leicester and Stirling</t>
  </si>
  <si>
    <t>Surf Coast, Australia</t>
  </si>
  <si>
    <t>Beadnell &amp; Whitley Bay</t>
  </si>
  <si>
    <t>University of Worcester</t>
  </si>
  <si>
    <t>Northside BIRSAY Orkney KW17 2</t>
  </si>
  <si>
    <t>Wanroij, Noord Brabant, NL</t>
  </si>
  <si>
    <t>Verona, WI, USA</t>
  </si>
  <si>
    <t>Bucharest, Bucure\u015fti</t>
  </si>
  <si>
    <t>jonathan.savage@bbc.co.uk</t>
  </si>
  <si>
    <t>Minnesota, PNW, dreams</t>
  </si>
  <si>
    <t>London, The World</t>
  </si>
  <si>
    <t>Newton-le-Willows, Lancashire</t>
  </si>
  <si>
    <t>Hastings\n</t>
  </si>
  <si>
    <t>In the Water</t>
  </si>
  <si>
    <t>Sel\xe7uklu, Konya</t>
  </si>
  <si>
    <t>53.402852,-2.225015</t>
  </si>
  <si>
    <t>Scouser in Fife</t>
  </si>
  <si>
    <t>Scumbernauld</t>
  </si>
  <si>
    <t>Probably reclining</t>
  </si>
  <si>
    <t>London (ex Peterhead/Aberdeen)</t>
  </si>
  <si>
    <t>Malvern</t>
  </si>
  <si>
    <t>shanghai china</t>
  </si>
  <si>
    <t>Texas Baby!</t>
  </si>
  <si>
    <t>UK, Europe, The World</t>
  </si>
  <si>
    <t>Deale, MD</t>
  </si>
  <si>
    <t>Rauland</t>
  </si>
  <si>
    <t>Anywhere Is</t>
  </si>
  <si>
    <t>Stirling Scotland</t>
  </si>
  <si>
    <t>Entfarm, New Zealand</t>
  </si>
  <si>
    <t>Rhuthun, Sir Ddinbych</t>
  </si>
  <si>
    <t>10 The Grove, Ilkley, LS29 9EG</t>
  </si>
  <si>
    <t>Here, there, and anywhere.</t>
  </si>
  <si>
    <t>Wigan, Lancashire</t>
  </si>
  <si>
    <t>Paris / London</t>
  </si>
  <si>
    <t>Parkes NSW Australia</t>
  </si>
  <si>
    <t>Deerness, Orkney, Scotland</t>
  </si>
  <si>
    <t xml:space="preserve">Ferry crossing </t>
  </si>
  <si>
    <t>Nantgarw</t>
  </si>
  <si>
    <t>North West Coast UK</t>
  </si>
  <si>
    <t>edinburgh, scotland</t>
  </si>
  <si>
    <t>Manetheren</t>
  </si>
  <si>
    <t>Sunny Dundee/Newport-on-Tay</t>
  </si>
  <si>
    <t>Wetteren, Belgium</t>
  </si>
  <si>
    <t>Port Credit Ontario</t>
  </si>
  <si>
    <t>Mauku</t>
  </si>
  <si>
    <t>Pre: 38.2327973,-86.138616</t>
  </si>
  <si>
    <t>A riverbank</t>
  </si>
  <si>
    <t>Leeds, Yorkshire, UK</t>
  </si>
  <si>
    <t>\u672d\u5e4c\u5e02</t>
  </si>
  <si>
    <t>sierra leone</t>
  </si>
  <si>
    <t>Te Awa Kairangi, Aotearoa</t>
  </si>
  <si>
    <t>Edinburgh | London | New York</t>
  </si>
  <si>
    <t>mumbai</t>
  </si>
  <si>
    <t>Bucharest</t>
  </si>
  <si>
    <t>Alnwick</t>
  </si>
  <si>
    <t>Inverness &amp; Sao Carlos</t>
  </si>
  <si>
    <t>Cranfield University</t>
  </si>
  <si>
    <t>Wankers Corner, OR</t>
  </si>
  <si>
    <t>The Anthropocene</t>
  </si>
  <si>
    <t>Planet La La</t>
  </si>
  <si>
    <t>Somerset, NJ</t>
  </si>
  <si>
    <t>Burray, Orkney</t>
  </si>
  <si>
    <t>Brisbane,Queensland, Australia</t>
  </si>
  <si>
    <t>South Woodford</t>
  </si>
  <si>
    <t xml:space="preserve">Melbourne, Florida </t>
  </si>
  <si>
    <t>Where the lobby gobblers are.</t>
  </si>
  <si>
    <t>Montrose</t>
  </si>
  <si>
    <t>University of York</t>
  </si>
  <si>
    <t>California or the UK</t>
  </si>
  <si>
    <t>Assam</t>
  </si>
  <si>
    <t>www.lrstageworks.com</t>
  </si>
  <si>
    <t>188 Herne Hill Road, SE24 0AG</t>
  </si>
  <si>
    <t>Dursley, Gloucestershire, UK</t>
  </si>
  <si>
    <t>Lahti, Finland</t>
  </si>
  <si>
    <t>Lewes</t>
  </si>
  <si>
    <t>Norfolk and London</t>
  </si>
  <si>
    <t>Ossett</t>
  </si>
  <si>
    <t>London (England)</t>
  </si>
  <si>
    <t>40 Main St., Charlton, MA</t>
  </si>
  <si>
    <t>under the bed</t>
  </si>
  <si>
    <t>Netanya, Israel</t>
  </si>
  <si>
    <t>The Design House Inverness</t>
  </si>
  <si>
    <t>Glenmore, Scotland</t>
  </si>
  <si>
    <t>Bath, England, UK</t>
  </si>
  <si>
    <t>Brest Litovsk</t>
  </si>
  <si>
    <t xml:space="preserve">#international </t>
  </si>
  <si>
    <t>Poole, UK</t>
  </si>
  <si>
    <t>Penge</t>
  </si>
  <si>
    <t>Dunf/Kirky/Wolves</t>
  </si>
  <si>
    <t>West Midlands, UK</t>
  </si>
  <si>
    <t>Pontypridd, Wales</t>
  </si>
  <si>
    <t>Barnard Castle. Co. Durham,</t>
  </si>
  <si>
    <t>Chester-le-Street, Co. Durham,</t>
  </si>
  <si>
    <t>Mayfield, East Sussex</t>
  </si>
  <si>
    <t>North of the Moor</t>
  </si>
  <si>
    <t>Newfoundland</t>
  </si>
  <si>
    <t>br3</t>
  </si>
  <si>
    <t>pierre's study</t>
  </si>
  <si>
    <t>London/Glasgow</t>
  </si>
  <si>
    <t>7 Terrace Walk, Bath BA1 1LN</t>
  </si>
  <si>
    <t>Wexford. Ireland</t>
  </si>
  <si>
    <t>University of Athens</t>
  </si>
  <si>
    <t>Birsay</t>
  </si>
  <si>
    <t>Te Aroha, New Zealand</t>
  </si>
  <si>
    <t>bournemouth</t>
  </si>
  <si>
    <t>Basildon - Essex - UK</t>
  </si>
  <si>
    <t>Basildon, Essex</t>
  </si>
  <si>
    <t>Baton Rouge</t>
  </si>
  <si>
    <t>Belper, England</t>
  </si>
  <si>
    <t>Lake Wales, Florida</t>
  </si>
  <si>
    <t>North west UK</t>
  </si>
  <si>
    <t>Southsea, Hampshire</t>
  </si>
  <si>
    <t>Wem</t>
  </si>
  <si>
    <t>Universal</t>
  </si>
  <si>
    <t>In the kitchen...</t>
  </si>
  <si>
    <t>Edinburgh/Skye</t>
  </si>
  <si>
    <t>Craiglockhart Edinburgh</t>
  </si>
  <si>
    <t>Fingal North County Dublin</t>
  </si>
  <si>
    <t xml:space="preserve">Belfast </t>
  </si>
  <si>
    <t>Lake Macquarie NSW</t>
  </si>
  <si>
    <t>Buckie</t>
  </si>
  <si>
    <t>Vernon Mill, Stockport</t>
  </si>
  <si>
    <t>North East England</t>
  </si>
  <si>
    <t>OX4</t>
  </si>
  <si>
    <t>West Hollywood, CA</t>
  </si>
  <si>
    <t>The Outer Europes</t>
  </si>
  <si>
    <t>North Somerset &amp; Hay-on-Wye</t>
  </si>
  <si>
    <t>Fauldhouse/Edinburgh</t>
  </si>
  <si>
    <t>Queensland</t>
  </si>
  <si>
    <t>Hurstville, Sydney, Australia</t>
  </si>
  <si>
    <t>Dover, OH</t>
  </si>
  <si>
    <t>Oyyy</t>
  </si>
  <si>
    <t>Stanton Saint Quintin, England</t>
  </si>
  <si>
    <t>Ontario, CA</t>
  </si>
  <si>
    <t>Somers, NY</t>
  </si>
  <si>
    <t>Coalville Library</t>
  </si>
  <si>
    <t>Dundee...mainly</t>
  </si>
  <si>
    <t>Guernsey, Channel Islands</t>
  </si>
  <si>
    <t>My heart is in Ahuimanu.</t>
  </si>
  <si>
    <t>City of Canada Bay</t>
  </si>
  <si>
    <t>Sinney, Straya</t>
  </si>
  <si>
    <t>Waco, TX</t>
  </si>
  <si>
    <t>Aberdeen, Grampian, Scotland</t>
  </si>
  <si>
    <t>University of Edinburgh</t>
  </si>
  <si>
    <t>Austin</t>
  </si>
  <si>
    <t>The Village, G67</t>
  </si>
  <si>
    <t>Muskegon, MI</t>
  </si>
  <si>
    <t>Sedgefield</t>
  </si>
  <si>
    <t>Tukwila, WA</t>
  </si>
  <si>
    <t>Ushaw Moor, Durham, UK</t>
  </si>
  <si>
    <t>Nottinghamshire, England</t>
  </si>
  <si>
    <t>In ur AO, booming ur portals.</t>
  </si>
  <si>
    <t>Bradford College Old Building</t>
  </si>
  <si>
    <t>Bogor</t>
  </si>
  <si>
    <t>99 High Street, Old Aberdeen</t>
  </si>
  <si>
    <t xml:space="preserve">Wigan, Oop North, England </t>
  </si>
  <si>
    <t>The road from Omelas</t>
  </si>
  <si>
    <t>All Over</t>
  </si>
  <si>
    <t xml:space="preserve">United Kingdom &amp; Ireland </t>
  </si>
  <si>
    <t>West Staffordshire</t>
  </si>
  <si>
    <t xml:space="preserve">County Cork </t>
  </si>
  <si>
    <t>Manchester / Liverpool</t>
  </si>
  <si>
    <t xml:space="preserve">UAE - Australia </t>
  </si>
  <si>
    <t>Llanymynech</t>
  </si>
  <si>
    <t xml:space="preserve">Eastbourne </t>
  </si>
  <si>
    <t>Surrey/Port Erin</t>
  </si>
  <si>
    <t>North Wales\n</t>
  </si>
  <si>
    <t>Newark, OH</t>
  </si>
  <si>
    <t>United Kingdom- London</t>
  </si>
  <si>
    <t>Wild West Fife</t>
  </si>
  <si>
    <t>London/Gloucestershire</t>
  </si>
  <si>
    <t>The wilds of Mercia</t>
  </si>
  <si>
    <t>Aylesbury, UK</t>
  </si>
  <si>
    <t>Fort Worth, Texas</t>
  </si>
  <si>
    <t>Parramatta</t>
  </si>
  <si>
    <t>Aix-en-Provence - Marseille</t>
  </si>
  <si>
    <t>Sunshine State</t>
  </si>
  <si>
    <t>Waunakee, Wisconsin</t>
  </si>
  <si>
    <t xml:space="preserve">Dundee Born and Bred </t>
  </si>
  <si>
    <t>Bolton, UK</t>
  </si>
  <si>
    <t>Kew</t>
  </si>
  <si>
    <t>St. John's, Newfoundland</t>
  </si>
  <si>
    <t>Defiance (formerly St Louis)</t>
  </si>
  <si>
    <t>Never really sure</t>
  </si>
  <si>
    <t>Melbourne Common</t>
  </si>
  <si>
    <t>SELondon</t>
  </si>
  <si>
    <t>Galveston, Texas</t>
  </si>
  <si>
    <t>Greenville, SC USA</t>
  </si>
  <si>
    <t>london, ontario</t>
  </si>
  <si>
    <t>wishaw</t>
  </si>
  <si>
    <t>Cymru fach</t>
  </si>
  <si>
    <t>Whittington, Shropshire UK</t>
  </si>
  <si>
    <t xml:space="preserve">smokey moutains tennessee </t>
  </si>
  <si>
    <t>Inverness, Scottish highlands</t>
  </si>
  <si>
    <t>Darlo/ Boro/ Europe</t>
  </si>
  <si>
    <t xml:space="preserve">North of Cynicsville </t>
  </si>
  <si>
    <t>\u0414\u043d\u0435\u043f\u0440\u043e\u043f\u0435\u0442\u0440\u043e\u0432\u0441\u043a</t>
  </si>
  <si>
    <t>Ullswater, Lake District</t>
  </si>
  <si>
    <t>Wherever there is chocolate</t>
  </si>
  <si>
    <t>That</t>
  </si>
  <si>
    <t>UK and US</t>
  </si>
  <si>
    <t>Wrexham, North-East Wales</t>
  </si>
  <si>
    <t>Manchester England</t>
  </si>
  <si>
    <t>Chapel Hill, NC</t>
  </si>
  <si>
    <t>#HebdenBridge, #Todmorden, UK</t>
  </si>
  <si>
    <t>Brick Lane</t>
  </si>
  <si>
    <t>London, England, Europe</t>
  </si>
  <si>
    <t>Union Square, Keele University</t>
  </si>
  <si>
    <t>50-51 High Holborn</t>
  </si>
  <si>
    <t>Made in Scotland</t>
  </si>
  <si>
    <t>Chaucer Building, Goldsmith St</t>
  </si>
  <si>
    <t>in a happy place</t>
  </si>
  <si>
    <t>Birchington, Kent</t>
  </si>
  <si>
    <t>Jock's Celtic Calamity</t>
  </si>
  <si>
    <t>Tir-Na-Nog</t>
  </si>
  <si>
    <t>Our Hope Is A Boat (And It's Sinking): Act IV</t>
  </si>
  <si>
    <t>The Place Between Worlds</t>
  </si>
  <si>
    <t>Orillia, Ontario, Canada</t>
  </si>
  <si>
    <t>Rangitikei, New Zealand</t>
  </si>
  <si>
    <t>Abbey Foregate, ShrewsburyUK</t>
  </si>
  <si>
    <t>Bristol Based, Global Reach</t>
  </si>
  <si>
    <t>Cheshire. UK</t>
  </si>
  <si>
    <t>Winscombe, Somerset</t>
  </si>
  <si>
    <t>Neenah, WI</t>
  </si>
  <si>
    <t>Kansas</t>
  </si>
  <si>
    <t>luceo non uro</t>
  </si>
  <si>
    <t xml:space="preserve">Glasgow/Aberdeen </t>
  </si>
  <si>
    <t>Shhhcotland</t>
  </si>
  <si>
    <t>Glagow</t>
  </si>
  <si>
    <t>britain</t>
  </si>
  <si>
    <t>Goffstown New Hampshire</t>
  </si>
  <si>
    <t>Everett, WA</t>
  </si>
  <si>
    <t>Newtown, CT</t>
  </si>
  <si>
    <t>Sunny South London</t>
  </si>
  <si>
    <t>Lisacul</t>
  </si>
  <si>
    <t>Adlington, Lancashire, UK</t>
  </si>
  <si>
    <t>Tunbridge Wells, Kent, UK</t>
  </si>
  <si>
    <t>Burbia</t>
  </si>
  <si>
    <t>Tigard, Oregon</t>
  </si>
  <si>
    <t>In a book</t>
  </si>
  <si>
    <t xml:space="preserve">South West Coast of Scotland </t>
  </si>
  <si>
    <t>Birmingham, Alabama,USA</t>
  </si>
  <si>
    <t>Peckham SE15</t>
  </si>
  <si>
    <t>In Development, Cardiff</t>
  </si>
  <si>
    <t>Troy, North Carolina</t>
  </si>
  <si>
    <t xml:space="preserve">Kingston Upon Thames </t>
  </si>
  <si>
    <t xml:space="preserve">Manchester, England </t>
  </si>
  <si>
    <t>St. Augustine</t>
  </si>
  <si>
    <t>Mostly Manchester</t>
  </si>
  <si>
    <t>En route</t>
  </si>
  <si>
    <t>Vale of York</t>
  </si>
  <si>
    <t>Montreal/Edinburgh/Donaghadee</t>
  </si>
  <si>
    <t>Atlanta, Ga</t>
  </si>
  <si>
    <t>AKR/CLE</t>
  </si>
  <si>
    <t>Malahide</t>
  </si>
  <si>
    <t>Party City, where I belong</t>
  </si>
  <si>
    <t>Perth College UHI, Perth</t>
  </si>
  <si>
    <t>West Kilbride, Scotland</t>
  </si>
  <si>
    <t>Mangawhai New Zealand</t>
  </si>
  <si>
    <t>Thirsk</t>
  </si>
  <si>
    <t>173 Queen Street Colac   3250</t>
  </si>
  <si>
    <t xml:space="preserve">Ukiyo </t>
  </si>
  <si>
    <t>Glebe, Sydney</t>
  </si>
  <si>
    <t>Pontefract</t>
  </si>
  <si>
    <t>Dundee, Scotland, UK</t>
  </si>
  <si>
    <t>Fattahead, Scotland</t>
  </si>
  <si>
    <t>Inbhir Nis/Skye</t>
  </si>
  <si>
    <t>Crouch End, London</t>
  </si>
  <si>
    <t>Chirk, Wales</t>
  </si>
  <si>
    <t>\xdcT: 44.256051,-76.574091</t>
  </si>
  <si>
    <t>Fazak</t>
  </si>
  <si>
    <t>Wiltshire and Orkney</t>
  </si>
  <si>
    <t>Inishowen, Co. Donegal</t>
  </si>
  <si>
    <t>South Atlantic Ocean &amp; Wales</t>
  </si>
  <si>
    <t>London &amp; Kent. UK</t>
  </si>
  <si>
    <t>Somewhere in Scotland</t>
  </si>
  <si>
    <t>Calne, Wiltshire, UK</t>
  </si>
  <si>
    <t>Solihull, Birmingham, London</t>
  </si>
  <si>
    <t>Lincs</t>
  </si>
  <si>
    <t xml:space="preserve">Dukeries, Hull, England. </t>
  </si>
  <si>
    <t>Lancing by the sea</t>
  </si>
  <si>
    <t>Lethbridge, Alberta</t>
  </si>
  <si>
    <t>www.blidetrust.org.uk</t>
  </si>
  <si>
    <t xml:space="preserve">Stotfold </t>
  </si>
  <si>
    <t>University of East London</t>
  </si>
  <si>
    <t xml:space="preserve">Nottingham, UK, </t>
  </si>
  <si>
    <t>Chorlton, Manchester</t>
  </si>
  <si>
    <t>Tetbury &amp; Nailsworth, UK</t>
  </si>
  <si>
    <t>Southend on sea</t>
  </si>
  <si>
    <t>Edinburgh via Alg/Berlin/Paris</t>
  </si>
  <si>
    <t>Moss Side, Manchester</t>
  </si>
  <si>
    <t>North-east Scotland</t>
  </si>
  <si>
    <t xml:space="preserve">Hamilton / Kirikiriroa NZ </t>
  </si>
  <si>
    <t xml:space="preserve">usually Glasgow </t>
  </si>
  <si>
    <t>Blantyre Scotland</t>
  </si>
  <si>
    <t>East East East London</t>
  </si>
  <si>
    <t>Es Castell, Menorca, Spain</t>
  </si>
  <si>
    <t>London/Surrey</t>
  </si>
  <si>
    <t>Welwyn UK</t>
  </si>
  <si>
    <t>East Sussex, England</t>
  </si>
  <si>
    <t>Gaspe, Quebec, Canada</t>
  </si>
  <si>
    <t>Thruxton, Hampshire, England</t>
  </si>
  <si>
    <t>Louisiana</t>
  </si>
  <si>
    <t>Hatfield Broad Oak</t>
  </si>
  <si>
    <t>the USA subtropics</t>
  </si>
  <si>
    <t>Wells Somerset</t>
  </si>
  <si>
    <t>Sevenoaks</t>
  </si>
  <si>
    <t>Potters Bar, Hertfordshire</t>
  </si>
  <si>
    <t>North by Northwest</t>
  </si>
  <si>
    <t>Hastings, UK</t>
  </si>
  <si>
    <t>Scotland, Scotland</t>
  </si>
  <si>
    <t>West Norfolk</t>
  </si>
  <si>
    <t>bournemouth UK</t>
  </si>
  <si>
    <t xml:space="preserve"> Liverpool UK</t>
  </si>
  <si>
    <t>Letham Grange, Scotland</t>
  </si>
  <si>
    <t>Clevedon, England</t>
  </si>
  <si>
    <t>Hucknall</t>
  </si>
  <si>
    <t xml:space="preserve">Bolton, The North </t>
  </si>
  <si>
    <t xml:space="preserve">South Wales </t>
  </si>
  <si>
    <t>Towcester</t>
  </si>
  <si>
    <t>https://www.justgiving.com/fundraising/notgb17</t>
  </si>
  <si>
    <t>http://ninetothrive.net/</t>
  </si>
  <si>
    <t>Lymington</t>
  </si>
  <si>
    <t xml:space="preserve">Manchester United </t>
  </si>
  <si>
    <t>Cloud Cuckoo Land, UK</t>
  </si>
  <si>
    <t>East London outta East Yorks</t>
  </si>
  <si>
    <t>Brizzle</t>
  </si>
  <si>
    <t xml:space="preserve">manchester </t>
  </si>
  <si>
    <t>crawley west sussex</t>
  </si>
  <si>
    <t xml:space="preserve">Pill,  Bristol </t>
  </si>
  <si>
    <t>lancashire uk</t>
  </si>
  <si>
    <t>Lost in North Sutherland</t>
  </si>
  <si>
    <t>buckfastleigh, Devon, UK</t>
  </si>
  <si>
    <t>S\xe3o Paulo, Brazil</t>
  </si>
  <si>
    <t>Retroland</t>
  </si>
  <si>
    <t xml:space="preserve">Costa del Lancing </t>
  </si>
  <si>
    <t>Ashby de la Zouch</t>
  </si>
  <si>
    <t>Lincoln UK +44 (0)1522 886123</t>
  </si>
  <si>
    <t>greta bridge</t>
  </si>
  <si>
    <t>Staffordshire - Cambridge</t>
  </si>
  <si>
    <t>Retford, UK</t>
  </si>
  <si>
    <t>Oakham</t>
  </si>
  <si>
    <t>worldwide UK based</t>
  </si>
  <si>
    <t>North Antrim NI</t>
  </si>
  <si>
    <t xml:space="preserve">Nailsworth Gloucestershire </t>
  </si>
  <si>
    <t>Holt, Norfolk</t>
  </si>
  <si>
    <t>South Wales and Bristol</t>
  </si>
  <si>
    <t>Crowborough, England</t>
  </si>
  <si>
    <t xml:space="preserve">Al Qurum Complex, Muscat. </t>
  </si>
  <si>
    <t>7770 52nd Street N</t>
  </si>
  <si>
    <t>Citizen of the World</t>
  </si>
  <si>
    <t>Presteigne, Radnorshire</t>
  </si>
  <si>
    <t>Great Chesterford</t>
  </si>
  <si>
    <t>The North, UK</t>
  </si>
  <si>
    <t>Tarves, Scotland</t>
  </si>
  <si>
    <t>Brackley, UK</t>
  </si>
  <si>
    <t>Carlisle, Cumbria, UK</t>
  </si>
  <si>
    <t>Whittlebury, Northamptonshire</t>
  </si>
  <si>
    <t>North Weald, Essex</t>
  </si>
  <si>
    <t>Hull.</t>
  </si>
  <si>
    <t>Cwmbran</t>
  </si>
  <si>
    <t>London/Norwich</t>
  </si>
  <si>
    <t>Purley, London</t>
  </si>
  <si>
    <t>Staffordshire, England</t>
  </si>
  <si>
    <t>UAE</t>
  </si>
  <si>
    <t>Rattlesden, Suffolk, England</t>
  </si>
  <si>
    <t>London/KY/Toronto/Mojave</t>
  </si>
  <si>
    <t xml:space="preserve">N53 25.977   W1 59.600 </t>
  </si>
  <si>
    <t>Santiago de Compostela</t>
  </si>
  <si>
    <t>Sussex UK</t>
  </si>
  <si>
    <t>Cambrian Mountains</t>
  </si>
  <si>
    <t>near London, UK</t>
  </si>
  <si>
    <t>Brooklyn, New York</t>
  </si>
  <si>
    <t xml:space="preserve">Berkshire </t>
  </si>
  <si>
    <t>Isle of Anglesey, Wales</t>
  </si>
  <si>
    <t>Near Cardiff, UK</t>
  </si>
  <si>
    <t>Old Town, Hastings, UK</t>
  </si>
  <si>
    <t>#WeAreRemainians</t>
  </si>
  <si>
    <t>Bwlchyddar, Montgomeryshire</t>
  </si>
  <si>
    <t>On a Sussex-to-Victoria train</t>
  </si>
  <si>
    <t>Exmoor England</t>
  </si>
  <si>
    <t>Surrey, United Kingdom</t>
  </si>
  <si>
    <t>Poynton, England</t>
  </si>
  <si>
    <t>Toronto, Verona</t>
  </si>
  <si>
    <t>Rochester, England</t>
  </si>
  <si>
    <t>S\xe3o Paulo, ex-Harpenden</t>
  </si>
  <si>
    <t>Holmfirth</t>
  </si>
  <si>
    <t>just about here</t>
  </si>
  <si>
    <t>Herts/Middx</t>
  </si>
  <si>
    <t>west london</t>
  </si>
  <si>
    <t>Eaton Bishop, Herefordshire</t>
  </si>
  <si>
    <t>UCL London</t>
  </si>
  <si>
    <t>Warwick &amp; London</t>
  </si>
  <si>
    <t>cleethorpes</t>
  </si>
  <si>
    <t>Godalming</t>
  </si>
  <si>
    <t xml:space="preserve">Lochaber </t>
  </si>
  <si>
    <t>UK and Worldwide</t>
  </si>
  <si>
    <t>Dubai United Arab Emirates</t>
  </si>
  <si>
    <t>Washington DC USA London UK</t>
  </si>
  <si>
    <t>Keighley, Yorkshire, UK</t>
  </si>
  <si>
    <t>Tinseltown</t>
  </si>
  <si>
    <t xml:space="preserve">Auckland </t>
  </si>
  <si>
    <t>Cotswolds &amp; London</t>
  </si>
  <si>
    <t xml:space="preserve">behind you </t>
  </si>
  <si>
    <t>A house in Berkshire</t>
  </si>
  <si>
    <t>West Malling, Kent, England</t>
  </si>
  <si>
    <t>Ludlow, Shropshire</t>
  </si>
  <si>
    <t>Herts, UK</t>
  </si>
  <si>
    <t>Cyberspace</t>
  </si>
  <si>
    <t xml:space="preserve"> village in the country</t>
  </si>
  <si>
    <t>The Great White North</t>
  </si>
  <si>
    <t>St. Martin French West Indies</t>
  </si>
  <si>
    <t>Newport Shropshire  England</t>
  </si>
  <si>
    <t>Novelist.Screenwriter.Director</t>
  </si>
  <si>
    <t>Te Motu Kairangi, Aotearoa.</t>
  </si>
  <si>
    <t>Peak District, UK</t>
  </si>
  <si>
    <t xml:space="preserve"> Pontypridd, Wales. U.K.</t>
  </si>
  <si>
    <t>Fife, Scotland, UK</t>
  </si>
  <si>
    <t>Christchurch NZ - Limerick Ire</t>
  </si>
  <si>
    <t>Redhill, Surrey</t>
  </si>
  <si>
    <t>Corsham</t>
  </si>
  <si>
    <t>st.helens\n</t>
  </si>
  <si>
    <t>Jerusalem</t>
  </si>
  <si>
    <t>Tiverton, Devon, UK</t>
  </si>
  <si>
    <t>Horley, South East</t>
  </si>
  <si>
    <t>Tiberias</t>
  </si>
  <si>
    <t>Builth Wells</t>
  </si>
  <si>
    <t xml:space="preserve">Waunfawr, Caernarfon </t>
  </si>
  <si>
    <t>N. Yorkshire</t>
  </si>
  <si>
    <t>Llandinam</t>
  </si>
  <si>
    <t>Leodis</t>
  </si>
  <si>
    <t>Merton, London</t>
  </si>
  <si>
    <t>Near the top of England</t>
  </si>
  <si>
    <t>Carmarthen, Wales</t>
  </si>
  <si>
    <t>Piedwarbler1</t>
  </si>
  <si>
    <t>UK based, global perspective.</t>
  </si>
  <si>
    <t>Wrexham, UK.</t>
  </si>
  <si>
    <t>The Old Corn Mill , Honley</t>
  </si>
  <si>
    <t>Busan, Republic of Korea</t>
  </si>
  <si>
    <t>Brent</t>
  </si>
  <si>
    <t>The Greenway, London E15 2PJ</t>
  </si>
  <si>
    <t>Smash Digital</t>
  </si>
  <si>
    <t>Ross on Wye, Herefordshire</t>
  </si>
  <si>
    <t>Head in Kernow Heart in Sydney</t>
  </si>
  <si>
    <t>Thornton, Bradford</t>
  </si>
  <si>
    <t>island in the North Atlantic</t>
  </si>
  <si>
    <t>Powell River, BC, Canada</t>
  </si>
  <si>
    <t>http://about.me/libbyanson</t>
  </si>
  <si>
    <t>Collapsed Catholic. med ethics</t>
  </si>
  <si>
    <t>Bristol and London</t>
  </si>
  <si>
    <t>Canterbury, Kent</t>
  </si>
  <si>
    <t xml:space="preserve">Bargoed </t>
  </si>
  <si>
    <t>The Fens</t>
  </si>
  <si>
    <t>South Morvan Burgundy France</t>
  </si>
  <si>
    <t>UCL</t>
  </si>
  <si>
    <t>The Windswept East Of England</t>
  </si>
  <si>
    <t>Exmouth in Devon</t>
  </si>
  <si>
    <t>\xdcT: 51.518005,-0.150168</t>
  </si>
  <si>
    <t>Praha, \u010cesk\xe1 Republika</t>
  </si>
  <si>
    <t>Lancashire, England. UK</t>
  </si>
  <si>
    <t>Ipswich IP4</t>
  </si>
  <si>
    <t>Western hemisphere</t>
  </si>
  <si>
    <t>Es Castell, Menorca</t>
  </si>
  <si>
    <t>Lyon France</t>
  </si>
  <si>
    <t>South Brent, Dartmoor</t>
  </si>
  <si>
    <t>Dungarvan, Waterford</t>
  </si>
  <si>
    <t>Liverpool UK</t>
  </si>
  <si>
    <t>Shaftesbury</t>
  </si>
  <si>
    <t>Derby Derbyshire</t>
  </si>
  <si>
    <t>Brighton &amp; Hove UK</t>
  </si>
  <si>
    <t>Paris ....yeah, life's a bitch</t>
  </si>
  <si>
    <t>mostly up north - England</t>
  </si>
  <si>
    <t>Bradford-in-Glasgow</t>
  </si>
  <si>
    <t xml:space="preserve">Nottingham </t>
  </si>
  <si>
    <t>North East UK</t>
  </si>
  <si>
    <t>Now by the sea in N Yorks</t>
  </si>
  <si>
    <t>Galloway, SW Scotland.</t>
  </si>
  <si>
    <t>Rolling hills of Yokelshire UK</t>
  </si>
  <si>
    <t>Birkenhead, Merseyside</t>
  </si>
  <si>
    <t>Cove, Argyll</t>
  </si>
  <si>
    <t>Hull England</t>
  </si>
  <si>
    <t>Newcastle under Lyme</t>
  </si>
  <si>
    <t>Midlands UK</t>
  </si>
  <si>
    <t>Gresford, Wrexham</t>
  </si>
  <si>
    <t>Tobermory, Isle of Mull.</t>
  </si>
  <si>
    <t xml:space="preserve">Nestled in green nowhere. </t>
  </si>
  <si>
    <t>Tewkesbury, UK</t>
  </si>
  <si>
    <t>Walton-on-the-Naze</t>
  </si>
  <si>
    <t>Alston, UK</t>
  </si>
  <si>
    <t xml:space="preserve"> in the fracking UK  </t>
  </si>
  <si>
    <t xml:space="preserve">London, </t>
  </si>
  <si>
    <t>Northern Soul - #GetNorth2018</t>
  </si>
  <si>
    <t>LND/NYC/LA</t>
  </si>
  <si>
    <t>Belford, Northumberland.</t>
  </si>
  <si>
    <t>by Tarves,Ellon, Aberdeenshire</t>
  </si>
  <si>
    <t xml:space="preserve">Ellesmere </t>
  </si>
  <si>
    <t>Wales via MCR/GA/LDN</t>
  </si>
  <si>
    <t>Middelburg, Zeeland</t>
  </si>
  <si>
    <t>Chesterfield</t>
  </si>
  <si>
    <t>Globals</t>
  </si>
  <si>
    <t>World Wide</t>
  </si>
  <si>
    <t>Brantford, Ontario, Canada</t>
  </si>
  <si>
    <t xml:space="preserve"> Yorkshire</t>
  </si>
  <si>
    <t xml:space="preserve">Gourock, Scotland </t>
  </si>
  <si>
    <t>Wessex</t>
  </si>
  <si>
    <t>USA, France, UK</t>
  </si>
  <si>
    <t>The British Isles</t>
  </si>
  <si>
    <t>On me arse in a Throne.</t>
  </si>
  <si>
    <t>Qu\xe9bec, QC</t>
  </si>
  <si>
    <t>rural Perthshire</t>
  </si>
  <si>
    <t>The Midlands, UK</t>
  </si>
  <si>
    <t>Hackney E8, London</t>
  </si>
  <si>
    <t>Hull (via Glasgow)</t>
  </si>
  <si>
    <t>Highland Scotland</t>
  </si>
  <si>
    <t>Tr\xe9vron, France</t>
  </si>
  <si>
    <t>North of England</t>
  </si>
  <si>
    <t>south yorks</t>
  </si>
  <si>
    <t>I'm a #YorkshireDog</t>
  </si>
  <si>
    <t>KY11 3BZ</t>
  </si>
  <si>
    <t>STL and/or CoMO</t>
  </si>
  <si>
    <t>Westbourne</t>
  </si>
  <si>
    <t>University City, MO</t>
  </si>
  <si>
    <t>London/Cambridge</t>
  </si>
  <si>
    <t>Quoyloo, Orkney</t>
  </si>
  <si>
    <t>Edinburgh, Athens, Venice, NYC</t>
  </si>
  <si>
    <t>Pensacola, FL</t>
  </si>
  <si>
    <t>Kitchener, Ontario, Canada</t>
  </si>
  <si>
    <t>Whatstandwell, England</t>
  </si>
  <si>
    <t>Inverness, Cairngorms, Moray</t>
  </si>
  <si>
    <t>evanston,il</t>
  </si>
  <si>
    <t>International</t>
  </si>
  <si>
    <t>Halifax, Nova Scotia Canada</t>
  </si>
  <si>
    <t>Herts/ London</t>
  </si>
  <si>
    <t>Tampa</t>
  </si>
  <si>
    <t>Annapolis Valley, NS</t>
  </si>
  <si>
    <t>S Wales and Europe</t>
  </si>
  <si>
    <t>Irn-Bru</t>
  </si>
  <si>
    <t xml:space="preserve">Swansea /Carmarthenshire </t>
  </si>
  <si>
    <t>Saanich BC</t>
  </si>
  <si>
    <t>Scottsdale, AZ</t>
  </si>
  <si>
    <t>Urbana, Illinois</t>
  </si>
  <si>
    <t>Chestermere, Alberta</t>
  </si>
  <si>
    <t>bulawayo ,zimbabwe,africa</t>
  </si>
  <si>
    <t>Bearsden, Scotland</t>
  </si>
  <si>
    <t xml:space="preserve">Pyongyang </t>
  </si>
  <si>
    <t>Florian\xf3polis, Brasil</t>
  </si>
  <si>
    <t>Ferring,  West Sussex</t>
  </si>
  <si>
    <t>By the sea</t>
  </si>
  <si>
    <t>surrounded by fields &amp; sheep</t>
  </si>
  <si>
    <t>Bangor, Maine, USA</t>
  </si>
  <si>
    <t>of Glasgow</t>
  </si>
  <si>
    <t>Orkney, KW172LU</t>
  </si>
  <si>
    <t>Southern California, USA</t>
  </si>
  <si>
    <t>HOU</t>
  </si>
  <si>
    <t>Solon, Iowa</t>
  </si>
  <si>
    <t>Modena NY</t>
  </si>
  <si>
    <t>Kilburn, London</t>
  </si>
  <si>
    <t>Scandiano R.E.</t>
  </si>
  <si>
    <t>Zurich, Switzerland</t>
  </si>
  <si>
    <t>Madrid, Spain</t>
  </si>
  <si>
    <t>In my Liverpool home.</t>
  </si>
  <si>
    <t>Everywhere !</t>
  </si>
  <si>
    <t>North Shore, MA, USA</t>
  </si>
  <si>
    <t>Harlington, Bedfordshire, UK</t>
  </si>
  <si>
    <t>W. Scotland; NW Ireland</t>
  </si>
  <si>
    <t>Southern Coast of Oregon</t>
  </si>
  <si>
    <t>Alba/Scotland in Europe</t>
  </si>
  <si>
    <t>place</t>
  </si>
  <si>
    <t>Live in Wonderful Wales</t>
  </si>
  <si>
    <t>St Madoes near Perth, Scotland</t>
  </si>
  <si>
    <t>Coatbridge</t>
  </si>
  <si>
    <t>Comrie, Scotland</t>
  </si>
  <si>
    <t>Burghausen, Deutschland</t>
  </si>
  <si>
    <t>Stenhousemuir</t>
  </si>
  <si>
    <t xml:space="preserve">Castle Spangila </t>
  </si>
  <si>
    <t>Alloway Scotland</t>
  </si>
  <si>
    <t>154 Hope St, Glaagow</t>
  </si>
  <si>
    <t>Barlaston. Staffordshire. UK</t>
  </si>
  <si>
    <t xml:space="preserve">Manchester/London/Salford </t>
  </si>
  <si>
    <t>The Shed</t>
  </si>
  <si>
    <t>Leeds/York</t>
  </si>
  <si>
    <t xml:space="preserve">Carlow man, Dublin based </t>
  </si>
  <si>
    <t>Lundun</t>
  </si>
  <si>
    <t>Brentwood, UK</t>
  </si>
  <si>
    <t xml:space="preserve">Birmingham, West Midlands </t>
  </si>
  <si>
    <t>Englandshire.</t>
  </si>
  <si>
    <t>Glasgow | Argyll &amp; Bute</t>
  </si>
  <si>
    <t xml:space="preserve">Underwater </t>
  </si>
  <si>
    <t>Deventer</t>
  </si>
  <si>
    <t>Halifax, Canada</t>
  </si>
  <si>
    <t>Belgium, Scotland, USA</t>
  </si>
  <si>
    <t>Sutherland, Scotland</t>
  </si>
  <si>
    <t>Sutherland</t>
  </si>
  <si>
    <t xml:space="preserve">Red Morningside </t>
  </si>
  <si>
    <t>everywhereandnowherebaby</t>
  </si>
  <si>
    <t>West Didsbury, Manchester</t>
  </si>
  <si>
    <t>Glasgow wish I was in Nimes!</t>
  </si>
  <si>
    <t>Over the hills and far away</t>
  </si>
  <si>
    <t>-edinburgh-</t>
  </si>
  <si>
    <t>IOW, UK</t>
  </si>
  <si>
    <t>Edinburgh and Winchburgh</t>
  </si>
  <si>
    <t>Ealing</t>
  </si>
  <si>
    <t>Darlington.</t>
  </si>
  <si>
    <t>EUROPE 48%</t>
  </si>
  <si>
    <t>Scotland &amp; Wirral</t>
  </si>
  <si>
    <t>Ventura County, CA</t>
  </si>
  <si>
    <t>Chipping Sodbury, England</t>
  </si>
  <si>
    <t>Somewhere near Heathrow</t>
  </si>
  <si>
    <t>Delightful city of Bath</t>
  </si>
  <si>
    <t>N 51\xb051' 0'' / W 2\xb012' 0''</t>
  </si>
  <si>
    <t>158-16 Balgreen Road Edinburgh</t>
  </si>
  <si>
    <t>East Dulwich, London</t>
  </si>
  <si>
    <t>dhaka</t>
  </si>
  <si>
    <t>Wisconsin,USA</t>
  </si>
  <si>
    <t>Royal Hospital</t>
  </si>
  <si>
    <t>London-Edinburgh</t>
  </si>
  <si>
    <t>West Yorkshire - UK</t>
  </si>
  <si>
    <t>\u0421\u0430\u043d\u043a\u0442-\u041f\u0435\u0442\u0435\u0440\u0431\u0443\u0440\u0433(\u0433.\u0412\u0441\u0435\u0432\u043e\u043b\u043e\u0436\u0441\u043a)</t>
  </si>
  <si>
    <t xml:space="preserve">Lucca, Tuscany </t>
  </si>
  <si>
    <t xml:space="preserve"> Edinburgh </t>
  </si>
  <si>
    <t>Gold Coast, Australia</t>
  </si>
  <si>
    <t>Bassendean, WA</t>
  </si>
  <si>
    <t>Have laptop, will travel.</t>
  </si>
  <si>
    <t>Mt. Vernon, Texas</t>
  </si>
  <si>
    <t>Northants</t>
  </si>
  <si>
    <t>Orkney | Aberdeen | Edinburgh</t>
  </si>
  <si>
    <t>Applecross, Scotland, Europe</t>
  </si>
  <si>
    <t>Gold Coast</t>
  </si>
  <si>
    <t>1595 Burns St, West Linn, OR</t>
  </si>
  <si>
    <t>Marsden, West Yorkshire</t>
  </si>
  <si>
    <t>Cheshire and Wirral</t>
  </si>
  <si>
    <t>Fox Hollow</t>
  </si>
  <si>
    <t>Birmingham Museums Trust</t>
  </si>
  <si>
    <t>Trumpton</t>
  </si>
  <si>
    <t>Bundaberg</t>
  </si>
  <si>
    <t>Beautiful West Sussex on sea</t>
  </si>
  <si>
    <t>Boardman, Ohio</t>
  </si>
  <si>
    <t>glasgow-venice-melbourne-etc.</t>
  </si>
  <si>
    <t>Bristol/London</t>
  </si>
  <si>
    <t>Aberdeen/Orkney</t>
  </si>
  <si>
    <t>Edinburgh/Dublin/elsewhere</t>
  </si>
  <si>
    <t>Blossom Hill</t>
  </si>
  <si>
    <t>Papworth Everard</t>
  </si>
  <si>
    <t>Regions Caesar never knew</t>
  </si>
  <si>
    <t>SW UK. U sure UK?  K.</t>
  </si>
  <si>
    <t>N 54\xb050' 0'' / W 1\xb048' 0''</t>
  </si>
  <si>
    <t>The Midlands UK</t>
  </si>
  <si>
    <t xml:space="preserve">just where you left me </t>
  </si>
  <si>
    <t>Bedford, UK</t>
  </si>
  <si>
    <t>Gloucester England GL1 1SF</t>
  </si>
  <si>
    <t>Orkney Islands / Aberdeen</t>
  </si>
  <si>
    <t>Wellington Aotearoa NZ</t>
  </si>
  <si>
    <t>Nr.Bristol, UK.</t>
  </si>
  <si>
    <t>Church Eaton</t>
  </si>
  <si>
    <t>Houston, Tx</t>
  </si>
  <si>
    <t>Taunton, UK</t>
  </si>
  <si>
    <t>DC Metro</t>
  </si>
  <si>
    <t>Bakewell, Derbyshire</t>
  </si>
  <si>
    <t>Bluffton, Ohio</t>
  </si>
  <si>
    <t>birmingham</t>
  </si>
  <si>
    <t>Halstock, Dorset</t>
  </si>
  <si>
    <t>Yeovil</t>
  </si>
  <si>
    <t>51.351408,0.121631</t>
  </si>
  <si>
    <t>Dublin.</t>
  </si>
  <si>
    <t>Lochgilphead, Scotland</t>
  </si>
  <si>
    <t>Tyne and Wear</t>
  </si>
  <si>
    <t>BRIGHTON SCUM CITY</t>
  </si>
  <si>
    <t>London/Glasgow/Edinburgh</t>
  </si>
  <si>
    <t>the island of Manhattan</t>
  </si>
  <si>
    <t>Near The Toon (aka Newcastle)</t>
  </si>
  <si>
    <t xml:space="preserve">Canberra </t>
  </si>
  <si>
    <t>Mull of Kintyre, Argyll</t>
  </si>
  <si>
    <t xml:space="preserve">Bogot\xe1, Colombia. </t>
  </si>
  <si>
    <t xml:space="preserve">Seaford, Delaware USA </t>
  </si>
  <si>
    <t>Hastings by the sea</t>
  </si>
  <si>
    <t>Jersey/London/Aztec Zone</t>
  </si>
  <si>
    <t>Norwalk, CT</t>
  </si>
  <si>
    <t>Scotland, Dubai, Malaysia</t>
  </si>
  <si>
    <t>Prince William County, VA, US</t>
  </si>
  <si>
    <t>Bonny Scotland</t>
  </si>
  <si>
    <t>bloomington, in</t>
  </si>
  <si>
    <t>Kirkby Stephen - Walthamstow</t>
  </si>
  <si>
    <t>Lafayette, IN</t>
  </si>
  <si>
    <t>Lodi, California</t>
  </si>
  <si>
    <t>Northampton, MA</t>
  </si>
  <si>
    <t>Wausau, WI</t>
  </si>
  <si>
    <t>Southern Alberta</t>
  </si>
  <si>
    <t>Orlando FL</t>
  </si>
  <si>
    <t>Woodstock IL USA</t>
  </si>
  <si>
    <t>Somerset &amp; London</t>
  </si>
  <si>
    <t>Surrey and Kent</t>
  </si>
  <si>
    <t>Roermond, Nederland</t>
  </si>
  <si>
    <t xml:space="preserve">STL </t>
  </si>
  <si>
    <t>St Albans, UK</t>
  </si>
  <si>
    <t>Leeds (&amp; Ambridge, obvs).</t>
  </si>
  <si>
    <t>Falkirk + Glasgow UK</t>
  </si>
  <si>
    <t>Brentwood, Essex</t>
  </si>
  <si>
    <t>Glasgow/Greenock</t>
  </si>
  <si>
    <t>newcastle</t>
  </si>
  <si>
    <t>Peterborough, UK</t>
  </si>
  <si>
    <t xml:space="preserve">London &amp; France </t>
  </si>
  <si>
    <t>NYC, NY</t>
  </si>
  <si>
    <t>Thorn House, 5 Rose Street, Edinburgh, EH2 2PR, Scotland</t>
  </si>
  <si>
    <t xml:space="preserve">SWDC </t>
  </si>
  <si>
    <t xml:space="preserve">Sydney </t>
  </si>
  <si>
    <t>Maryhill and Possilpark</t>
  </si>
  <si>
    <t>Elmira, NY</t>
  </si>
  <si>
    <t>North America</t>
  </si>
  <si>
    <t>Clarkston, Glasgow, Scotland</t>
  </si>
  <si>
    <t>Haringey</t>
  </si>
  <si>
    <t>London and Herts</t>
  </si>
  <si>
    <t>North Hollywood, CA</t>
  </si>
  <si>
    <t>727 London Road, Glasgow.</t>
  </si>
  <si>
    <t>That There England</t>
  </si>
  <si>
    <t>Ilson, Derbyshire, England</t>
  </si>
  <si>
    <t>Colorado, U.S.</t>
  </si>
  <si>
    <t>Anywhere, USA</t>
  </si>
  <si>
    <t>London - UK</t>
  </si>
  <si>
    <t>100 W Millard St, JoCy, TN</t>
  </si>
  <si>
    <t>Wellington, Shropshire</t>
  </si>
  <si>
    <t xml:space="preserve">Tampa </t>
  </si>
  <si>
    <t>Edinburgh &amp; Odense</t>
  </si>
  <si>
    <t>Barrow-in-Furness</t>
  </si>
  <si>
    <t>The Anglosphere</t>
  </si>
  <si>
    <t>Throughout Scotland</t>
  </si>
  <si>
    <t>Europe &amp; USA</t>
  </si>
  <si>
    <t>East Lothian, Scotland, UK</t>
  </si>
  <si>
    <t>bristol</t>
  </si>
  <si>
    <t>Outer Glasgow</t>
  </si>
  <si>
    <t>Birmingham, Al.</t>
  </si>
  <si>
    <t>Encuentra un equilibrio</t>
  </si>
  <si>
    <t>Villa Park, IL 60181</t>
  </si>
  <si>
    <t>Usually on my bike</t>
  </si>
  <si>
    <t>London, or abroad</t>
  </si>
  <si>
    <t>Aylesbury</t>
  </si>
  <si>
    <t>Cabot Cove</t>
  </si>
  <si>
    <t>san francisco</t>
  </si>
  <si>
    <t>\u0421\u0430\u043d\u043a\u0442-\u041f\u0435\u0442\u0435\u0440\u0431\u0443\u0440\u0433, \u0420\u043e\u0441\u0441\u0438\u044f</t>
  </si>
  <si>
    <t xml:space="preserve"> Back on the North Shore!</t>
  </si>
  <si>
    <t>Libraryland</t>
  </si>
  <si>
    <t>Portsmouth, New Hampshire, USA</t>
  </si>
  <si>
    <t>Athens, Ga</t>
  </si>
  <si>
    <t>Jackson County Oregon</t>
  </si>
  <si>
    <t>Taff's Well, Wales</t>
  </si>
  <si>
    <t>New York, New York</t>
  </si>
  <si>
    <t>Ramatuelle, France</t>
  </si>
  <si>
    <t xml:space="preserve">East Bay. Where else? </t>
  </si>
  <si>
    <t>Ocean Park, ME</t>
  </si>
  <si>
    <t xml:space="preserve">Los Angeles </t>
  </si>
  <si>
    <t>Clarksville, TN</t>
  </si>
  <si>
    <t>Birmingham, AL</t>
  </si>
  <si>
    <t>Cary, Illinois, USA</t>
  </si>
  <si>
    <t>Leysin, Switzerland</t>
  </si>
  <si>
    <t>London via Scotland+Australia</t>
  </si>
  <si>
    <t>Narrowsburg, NY</t>
  </si>
  <si>
    <t>Redmond</t>
  </si>
  <si>
    <t>Indoors, Burnaby, Canada</t>
  </si>
  <si>
    <t>Halifax, 115 Burke Buliding</t>
  </si>
  <si>
    <t>A Winter Heterotopia (UK)</t>
  </si>
  <si>
    <t xml:space="preserve"> Australia</t>
  </si>
  <si>
    <t>South London, England</t>
  </si>
  <si>
    <t>Lansing, MI</t>
  </si>
  <si>
    <t>Holyport, Berks</t>
  </si>
  <si>
    <t>FL</t>
  </si>
  <si>
    <t>Ashland, WI</t>
  </si>
  <si>
    <t>Hereford, UK</t>
  </si>
  <si>
    <t>West Midlands, UK.</t>
  </si>
  <si>
    <t>Stoke On Trent</t>
  </si>
  <si>
    <t>Southeast CT</t>
  </si>
  <si>
    <t>long island</t>
  </si>
  <si>
    <t>Edinburgh / Shetland</t>
  </si>
  <si>
    <t>kirkwall / orkney</t>
  </si>
  <si>
    <t>Middletown, PA</t>
  </si>
  <si>
    <t>Sens, Burgundy</t>
  </si>
  <si>
    <t>South-west England</t>
  </si>
  <si>
    <t>pembrokeshire</t>
  </si>
  <si>
    <t>West kilbride</t>
  </si>
  <si>
    <t>Redwood Shores, CA</t>
  </si>
  <si>
    <t>Scotland. (mostly)</t>
  </si>
  <si>
    <t>Milford, Ontario, Canada</t>
  </si>
  <si>
    <t>Hutton Rudby</t>
  </si>
  <si>
    <t xml:space="preserve">Cheshire, England - UK </t>
  </si>
  <si>
    <t>Nottingham me duck!</t>
  </si>
  <si>
    <t>South Downs, England</t>
  </si>
  <si>
    <t>bath</t>
  </si>
  <si>
    <t>Hay-on-Wye</t>
  </si>
  <si>
    <t>Golspie, Sutherland, Scotland</t>
  </si>
  <si>
    <t>Hampshire/Sussex</t>
  </si>
  <si>
    <t>Somewhere up North!</t>
  </si>
  <si>
    <t>Chatham</t>
  </si>
  <si>
    <t>by the sea</t>
  </si>
  <si>
    <t>North, UK</t>
  </si>
  <si>
    <t>papamoa, new zealand\n</t>
  </si>
  <si>
    <t>Rushden, Northamptonshire, UK</t>
  </si>
  <si>
    <t>North Lincs</t>
  </si>
  <si>
    <t>Petts Wood</t>
  </si>
  <si>
    <t xml:space="preserve">UK / South Africa </t>
  </si>
  <si>
    <t>The sea.</t>
  </si>
  <si>
    <t xml:space="preserve">Twinkie Town </t>
  </si>
  <si>
    <t>Surrey, England.</t>
  </si>
  <si>
    <t>West of scotland</t>
  </si>
  <si>
    <t>Earth, mostly</t>
  </si>
  <si>
    <t>Dewsbury, England</t>
  </si>
  <si>
    <t>somewhere where I shouldn't be</t>
  </si>
  <si>
    <t>Blakeney, North Norfolk</t>
  </si>
  <si>
    <t>dewsbury, west yorkshire</t>
  </si>
  <si>
    <t>Cayman Islands</t>
  </si>
  <si>
    <t>Haverfordwest, Wales</t>
  </si>
  <si>
    <t xml:space="preserve">Warwickshire </t>
  </si>
  <si>
    <t>Sheringham/Sheffield</t>
  </si>
  <si>
    <t>iPhone: 55.944046,-3.069321</t>
  </si>
  <si>
    <t>settee</t>
  </si>
  <si>
    <t>malaria</t>
  </si>
  <si>
    <t>Llandudno, Wales UK</t>
  </si>
  <si>
    <t>Inbhir Nis</t>
  </si>
  <si>
    <t>In front of a small building</t>
  </si>
  <si>
    <t>Brussels - Birmingham - Paris</t>
  </si>
  <si>
    <t>Margate, UK</t>
  </si>
  <si>
    <t>Bradford/York</t>
  </si>
  <si>
    <t>GB</t>
  </si>
  <si>
    <t>Kingstanding</t>
  </si>
  <si>
    <t>Orkney Cornwall Sabah Durham</t>
  </si>
  <si>
    <t>Rossendale, Lancashire, Uk</t>
  </si>
  <si>
    <t>Tywyn</t>
  </si>
  <si>
    <t>Iver Bucks</t>
  </si>
  <si>
    <t>Hull, East Yorkshire, England</t>
  </si>
  <si>
    <t>Henley-on-Thames, England</t>
  </si>
  <si>
    <t xml:space="preserve">Yorkshire. </t>
  </si>
  <si>
    <t>Nitshill, Glasgow, Scotland</t>
  </si>
  <si>
    <t>Midwest</t>
  </si>
  <si>
    <t>Edinburgh/Orkney</t>
  </si>
  <si>
    <t>Edinburgh, 56n</t>
  </si>
  <si>
    <t>Oxford UK</t>
  </si>
  <si>
    <t xml:space="preserve"> UK</t>
  </si>
  <si>
    <t>London / Suffolk / Essex</t>
  </si>
  <si>
    <t xml:space="preserve"> Sheffield   UK </t>
  </si>
  <si>
    <t>Sussex or Crete</t>
  </si>
  <si>
    <t>Wotton-under-Edge, England</t>
  </si>
  <si>
    <t>London, usually</t>
  </si>
  <si>
    <t>From EK Glasgow, Great Britain</t>
  </si>
  <si>
    <t>Tokyo and London</t>
  </si>
  <si>
    <t>Didsbury</t>
  </si>
  <si>
    <t>Inverlussa, Isle of Jura</t>
  </si>
  <si>
    <t>In my head? Iceland.</t>
  </si>
  <si>
    <t>Ribble Valley, Uk</t>
  </si>
  <si>
    <t>near Cambridge, UK</t>
  </si>
  <si>
    <t>New South Wales</t>
  </si>
  <si>
    <t>st davids</t>
  </si>
  <si>
    <t>Reddingmuirhead, Scotland</t>
  </si>
  <si>
    <t>Land of the Long White Cloud</t>
  </si>
  <si>
    <t>kitchener, ontario</t>
  </si>
  <si>
    <t>the South</t>
  </si>
  <si>
    <t>Monument, CO</t>
  </si>
  <si>
    <t>Bridge of Allan</t>
  </si>
  <si>
    <t>Bend, Oregon</t>
  </si>
  <si>
    <t>Friesland</t>
  </si>
  <si>
    <t>Dearborn, MI</t>
  </si>
  <si>
    <t>Sioux Falls, SD</t>
  </si>
  <si>
    <t>Raynes Park</t>
  </si>
  <si>
    <t>Appalachian Foothills</t>
  </si>
  <si>
    <t>Somewhere in London</t>
  </si>
  <si>
    <t>Friendswood, TX</t>
  </si>
  <si>
    <t>Aberdeen Scotland</t>
  </si>
  <si>
    <t>Somerville, MA</t>
  </si>
  <si>
    <t>London / Friendzone</t>
  </si>
  <si>
    <t>Huddersfield, Leeds, Halifax</t>
  </si>
  <si>
    <t>Carmarthenshire</t>
  </si>
  <si>
    <t>somewhere in englandshire</t>
  </si>
  <si>
    <t xml:space="preserve">Southampton, Hampshire, UK </t>
  </si>
  <si>
    <t>there's a hole in my dreams</t>
  </si>
  <si>
    <t>Perth Australia</t>
  </si>
  <si>
    <t>Danbury, CT</t>
  </si>
  <si>
    <t>Blue Mountains NSW Australia</t>
  </si>
  <si>
    <t>Cymru/in a hedge</t>
  </si>
  <si>
    <t>Australia and New Zealand</t>
  </si>
  <si>
    <t>Stettler, AB</t>
  </si>
  <si>
    <t>Reno</t>
  </si>
  <si>
    <t>Lancaster, PA</t>
  </si>
  <si>
    <t>Buffalo, NY USA</t>
  </si>
  <si>
    <t>Johnson County, Kansas</t>
  </si>
  <si>
    <t>El Dorado, KS</t>
  </si>
  <si>
    <t>Chester, Vermont</t>
  </si>
  <si>
    <t>Novi, MI</t>
  </si>
  <si>
    <t>Bournville, UK</t>
  </si>
  <si>
    <t>outside Chicago</t>
  </si>
  <si>
    <t>Urbana, OH</t>
  </si>
  <si>
    <t>Rock Island</t>
  </si>
  <si>
    <t>Port Elgin, Ontario</t>
  </si>
  <si>
    <t>Probably at the library.</t>
  </si>
  <si>
    <t>Slough</t>
  </si>
  <si>
    <t>Reading/Oxford</t>
  </si>
  <si>
    <t xml:space="preserve">Box fort. </t>
  </si>
  <si>
    <t>Scranton, PA</t>
  </si>
  <si>
    <t>The DMV (not the car one)</t>
  </si>
  <si>
    <t>Selly Oak, Birmingham, UK</t>
  </si>
  <si>
    <t>Meridiani Planum</t>
  </si>
  <si>
    <t>Kitchener, Ontario</t>
  </si>
  <si>
    <t>Waterloo, Ontario</t>
  </si>
  <si>
    <t>Here &amp; there, but mainly Essex</t>
  </si>
  <si>
    <t>Kitchener, ON, Canada</t>
  </si>
  <si>
    <t>Eastbourne and London</t>
  </si>
  <si>
    <t>Nomadic, currently Chiang Mai.</t>
  </si>
  <si>
    <t>Hoswick, Shetland</t>
  </si>
  <si>
    <t>Townsville</t>
  </si>
  <si>
    <t>Chicagoland</t>
  </si>
  <si>
    <t>Portland, Victoria, Australia</t>
  </si>
  <si>
    <t>Dorchester, MA</t>
  </si>
  <si>
    <t>Winton, Southland</t>
  </si>
  <si>
    <t>Speedway, IN</t>
  </si>
  <si>
    <t>Petersham</t>
  </si>
  <si>
    <t>Woodbridge, VA</t>
  </si>
  <si>
    <t>TBay, NWO, Canada</t>
  </si>
  <si>
    <t>on the shelf</t>
  </si>
  <si>
    <t xml:space="preserve"> Wicklow Ireland</t>
  </si>
  <si>
    <t>Invercargill</t>
  </si>
  <si>
    <t>Stuttgart</t>
  </si>
  <si>
    <t>Crediton, Devon, UK</t>
  </si>
  <si>
    <t>Baltimore, USA</t>
  </si>
  <si>
    <t>Belmont, MA</t>
  </si>
  <si>
    <t>Stocksbridge, South Yorkshire</t>
  </si>
  <si>
    <t>Billings, MT USA</t>
  </si>
  <si>
    <t xml:space="preserve">wherever the foods at </t>
  </si>
  <si>
    <t>Brandon, Manitoba</t>
  </si>
  <si>
    <t>Fayetteville, NC</t>
  </si>
  <si>
    <t>Fredericksburg, VA</t>
  </si>
  <si>
    <t>Cape May Court House, NJ</t>
  </si>
  <si>
    <t>\xdcT: 38.694986,-75.219998</t>
  </si>
  <si>
    <t>Columbia, MO</t>
  </si>
  <si>
    <t>Columbus, Ohio, U.S.A.</t>
  </si>
  <si>
    <t>Brunchville</t>
  </si>
  <si>
    <t>Washington County, Oregon, USA</t>
  </si>
  <si>
    <t>maryland</t>
  </si>
  <si>
    <t>London &amp; Winchester, England</t>
  </si>
  <si>
    <t>Des Moines, IA</t>
  </si>
  <si>
    <t>Somewhere in the Midwest</t>
  </si>
  <si>
    <t>Dayton, Ohio</t>
  </si>
  <si>
    <t>Toledo, OH and Findlay, OH</t>
  </si>
  <si>
    <t>Toronto Reference Library</t>
  </si>
  <si>
    <t>Warwick Museum, UK</t>
  </si>
  <si>
    <t>Dictionopolis</t>
  </si>
  <si>
    <t>Flitwick &amp; MK &amp; Midlands</t>
  </si>
  <si>
    <t>B Spa</t>
  </si>
  <si>
    <t>Brisbane / Edinburgh / Jundah</t>
  </si>
  <si>
    <t>Brighton (home) /London (work)</t>
  </si>
  <si>
    <t>Swainsboro, GA</t>
  </si>
  <si>
    <t>Karlstad</t>
  </si>
  <si>
    <t>Dundee SCOTLAND &amp; Hudson NY</t>
  </si>
  <si>
    <t>New Mills, High Peak</t>
  </si>
  <si>
    <t>Central Queensland</t>
  </si>
  <si>
    <t>Wealdstone</t>
  </si>
  <si>
    <t>scottish highlands</t>
  </si>
  <si>
    <t>Br\xfcssel, Belgien</t>
  </si>
  <si>
    <t>iPhone: 40.743584,-73.985138</t>
  </si>
  <si>
    <t>The first city to see the sun</t>
  </si>
  <si>
    <t>Melbourne, Victoria, Aust</t>
  </si>
  <si>
    <t>Mentone, Australia</t>
  </si>
  <si>
    <t>Denver, Colorado &amp; Iowa</t>
  </si>
  <si>
    <t>Dunedin, NZ</t>
  </si>
  <si>
    <t>SF Bay Area, CA</t>
  </si>
  <si>
    <t>Fauquier County, VA</t>
  </si>
  <si>
    <t>Merrick, NY</t>
  </si>
  <si>
    <t>Gisborne, New Zealand</t>
  </si>
  <si>
    <t>South Carolina</t>
  </si>
  <si>
    <t>Zihuatanejo</t>
  </si>
  <si>
    <t>Douglas, AZ</t>
  </si>
  <si>
    <t>Melbourne, Florida</t>
  </si>
  <si>
    <t>Toowoomba, Queensland</t>
  </si>
  <si>
    <t>Scotland | Brooklyn</t>
  </si>
  <si>
    <t>Tarpon Springs</t>
  </si>
  <si>
    <t>NESCBWI Member</t>
  </si>
  <si>
    <t>Indiana</t>
  </si>
  <si>
    <t>Cathcart, Glasgow</t>
  </si>
  <si>
    <t>Ballarat, Victoria, Australia</t>
  </si>
  <si>
    <t>Naperville, IL</t>
  </si>
  <si>
    <t>The Motion Poets</t>
  </si>
  <si>
    <t>Boulder, Colorado</t>
  </si>
  <si>
    <t>Coral Springs, FL</t>
  </si>
  <si>
    <t>Georgetown, Texas</t>
  </si>
  <si>
    <t>Bubbleology probably</t>
  </si>
  <si>
    <t>Honolulu, HI</t>
  </si>
  <si>
    <t>Chattanooga, TN</t>
  </si>
  <si>
    <t>Santa Clara County, CA, USA</t>
  </si>
  <si>
    <t>Manchester and Reggio Emilia</t>
  </si>
  <si>
    <t>Multnomah County, Oregon</t>
  </si>
  <si>
    <t>Highland, NY</t>
  </si>
  <si>
    <t>St. Louis</t>
  </si>
  <si>
    <t>Dunedin, N.Z.</t>
  </si>
  <si>
    <t>Westchester, IL</t>
  </si>
  <si>
    <t>Berkshire / Manchester</t>
  </si>
  <si>
    <t>Daytona Beach, FL</t>
  </si>
  <si>
    <t>Phoenix, Arizona</t>
  </si>
  <si>
    <t>Rochester, IL</t>
  </si>
  <si>
    <t>Haskell, OK</t>
  </si>
  <si>
    <t>Bend, OR</t>
  </si>
  <si>
    <t>Junction City, Kansas</t>
  </si>
  <si>
    <t>InverYess</t>
  </si>
  <si>
    <t>Earth, Probably</t>
  </si>
  <si>
    <t>Schaumburg Township</t>
  </si>
  <si>
    <t>Mentor, Ohio</t>
  </si>
  <si>
    <t>Whittier, CA</t>
  </si>
  <si>
    <t>Staines</t>
  </si>
  <si>
    <t>Sanditon, California</t>
  </si>
  <si>
    <t>Hinterlands of CT</t>
  </si>
  <si>
    <t>Kollum</t>
  </si>
  <si>
    <t>Houston Metroplex</t>
  </si>
  <si>
    <t>cheadle hulme</t>
  </si>
  <si>
    <t xml:space="preserve">Northbrook, IL </t>
  </si>
  <si>
    <t>BC Southern Interior</t>
  </si>
  <si>
    <t>Dayton, OH</t>
  </si>
  <si>
    <t>Mancos, CO</t>
  </si>
  <si>
    <t>East Liverpool, Ohio</t>
  </si>
  <si>
    <t>Odenton, MD</t>
  </si>
  <si>
    <t>Anchorage, AK</t>
  </si>
  <si>
    <t>Clinton, CT</t>
  </si>
  <si>
    <t>Virginia</t>
  </si>
  <si>
    <t>North Huntingdon, PA</t>
  </si>
  <si>
    <t>Glenside, PA</t>
  </si>
  <si>
    <t>Oakmont, PA 15139</t>
  </si>
  <si>
    <t>Algonquin, Illinois</t>
  </si>
  <si>
    <t>Port Royal, SC</t>
  </si>
  <si>
    <t>wahpeton, nd</t>
  </si>
  <si>
    <t>Kent &amp; Columbus, OH, &amp; online</t>
  </si>
  <si>
    <t>Westchester County, NY</t>
  </si>
  <si>
    <t>\xdcT: 57.149989,-2.093903</t>
  </si>
  <si>
    <t>Downingtown, PA</t>
  </si>
  <si>
    <t>Dallas, GA</t>
  </si>
  <si>
    <t>Soon to be Lanexa, Virginia</t>
  </si>
  <si>
    <t>Caltech Library System</t>
  </si>
  <si>
    <t>Middlebury, VT</t>
  </si>
  <si>
    <t>Syracuse (and Boston)</t>
  </si>
  <si>
    <t>Whitby, Ontario, Canada</t>
  </si>
  <si>
    <t>moving</t>
  </si>
  <si>
    <t>PDX / SFO</t>
  </si>
  <si>
    <t>north pole</t>
  </si>
  <si>
    <t>Yorkshire and Orkney</t>
  </si>
  <si>
    <t>Cranston, RI</t>
  </si>
  <si>
    <t>Santa Fe</t>
  </si>
  <si>
    <t>Claremont, CA</t>
  </si>
  <si>
    <t>Lerwick</t>
  </si>
  <si>
    <t>near Bristol</t>
  </si>
  <si>
    <t>Sam Francesco</t>
  </si>
  <si>
    <t>Orkney/Aberdeen</t>
  </si>
  <si>
    <t>London town, baby</t>
  </si>
  <si>
    <t xml:space="preserve">minnesota </t>
  </si>
  <si>
    <t xml:space="preserve">snow </t>
  </si>
  <si>
    <t>A485</t>
  </si>
  <si>
    <t>Istanbul Turkey</t>
  </si>
  <si>
    <t>Columbia SC</t>
  </si>
  <si>
    <t>close to the water, I hope</t>
  </si>
  <si>
    <t>St. John's</t>
  </si>
  <si>
    <t>Cam, Gloucestershire</t>
  </si>
  <si>
    <t>Hamburg</t>
  </si>
  <si>
    <t xml:space="preserve">Kentucky </t>
  </si>
  <si>
    <t>huddersfield dewsbury kirklees</t>
  </si>
  <si>
    <t>University of Oxford, UK</t>
  </si>
  <si>
    <t>\xdcT: 25.760059,-80.367142</t>
  </si>
  <si>
    <t>Eisenstadt, Austria</t>
  </si>
  <si>
    <t>Link\xf6ping</t>
  </si>
  <si>
    <t>St. Paul, MN, US, Earth</t>
  </si>
  <si>
    <t>Stromness Orkney</t>
  </si>
  <si>
    <t xml:space="preserve">Elgin </t>
  </si>
  <si>
    <t>near Glasgow</t>
  </si>
  <si>
    <t>Ipswich, QLD, Australia</t>
  </si>
  <si>
    <t>Perth, WA</t>
  </si>
  <si>
    <t>Northern Territory, Australia</t>
  </si>
  <si>
    <t xml:space="preserve">Nairn </t>
  </si>
  <si>
    <t>Port Glasgow</t>
  </si>
  <si>
    <t>Goshen, IN</t>
  </si>
  <si>
    <t>Katrineholm</t>
  </si>
  <si>
    <t>Drumnadrochit, Scotland</t>
  </si>
  <si>
    <t>Scotland, mostly</t>
  </si>
  <si>
    <t>Huddersfield, Yorkshire</t>
  </si>
  <si>
    <t>98 Huddersfield Road, HD9 3AX</t>
  </si>
  <si>
    <t>Lonson</t>
  </si>
  <si>
    <t>Elderslie</t>
  </si>
  <si>
    <t xml:space="preserve">Huddersfield </t>
  </si>
  <si>
    <t>Tunbridge Wells, Kent</t>
  </si>
  <si>
    <t>Where the wild things are</t>
  </si>
  <si>
    <t>Nelson</t>
  </si>
  <si>
    <t>Saint Albans</t>
  </si>
  <si>
    <t>Sydney, NYC, Cambridge</t>
  </si>
  <si>
    <t>Off the fence.</t>
  </si>
  <si>
    <t>Oslo, Norge</t>
  </si>
  <si>
    <t>UKIP HQ **location not found**</t>
  </si>
  <si>
    <t>Ulvsunda, Bromma</t>
  </si>
  <si>
    <t>Georgia</t>
  </si>
  <si>
    <t>Mebourne, Australia</t>
  </si>
  <si>
    <t>Trowbridge, Wiltshire</t>
  </si>
  <si>
    <t>Zimbabwe | Scotland</t>
  </si>
  <si>
    <t>North and South</t>
  </si>
  <si>
    <t>Earth...that round blue ball!</t>
  </si>
  <si>
    <t>N London</t>
  </si>
  <si>
    <t xml:space="preserve">Australia </t>
  </si>
  <si>
    <t>Coburg. It's almost Brunswick.</t>
  </si>
  <si>
    <t>melbourne</t>
  </si>
  <si>
    <t>Dulwich Hill, NSW, Australia</t>
  </si>
  <si>
    <t>Goldfields, Victoria</t>
  </si>
  <si>
    <t>Central Coast, NSW</t>
  </si>
  <si>
    <t xml:space="preserve"> Bay of Plenty, New Zealand</t>
  </si>
  <si>
    <t>Palafrugell</t>
  </si>
  <si>
    <t>Alford Aberdeenshire</t>
  </si>
  <si>
    <t>Cleveland!</t>
  </si>
  <si>
    <t>Region of Peel, Ontario</t>
  </si>
  <si>
    <t>Launceston, Tasmania</t>
  </si>
  <si>
    <t>Geelong, Victoria</t>
  </si>
  <si>
    <t>Kansas City, KS</t>
  </si>
  <si>
    <t>District #1 Doniphan County</t>
  </si>
  <si>
    <t>Eastport, NY</t>
  </si>
  <si>
    <t>State of Denial</t>
  </si>
  <si>
    <t>Winston Salem NC</t>
  </si>
  <si>
    <t>VA</t>
  </si>
  <si>
    <t>Svalbard, Norge</t>
  </si>
  <si>
    <t>South Portland, ME</t>
  </si>
  <si>
    <t>\xdcT: 57.144395,-2.175488</t>
  </si>
  <si>
    <t>Now=Columbia, SC; Home=KS</t>
  </si>
  <si>
    <t>Toronto/Calgary</t>
  </si>
  <si>
    <t>Darien, CT</t>
  </si>
  <si>
    <t>Birmingham/Paris/Liverpool</t>
  </si>
  <si>
    <t>Berlin Maryland</t>
  </si>
  <si>
    <t>New Westminster, BC</t>
  </si>
  <si>
    <t>Chester Springs, PA</t>
  </si>
  <si>
    <t>Witney</t>
  </si>
  <si>
    <t>Portrush, NI</t>
  </si>
  <si>
    <t>Ldn, Rdg or on the train</t>
  </si>
  <si>
    <t>K\xf8benhavn</t>
  </si>
  <si>
    <t>Evanston, Illinois, USA</t>
  </si>
  <si>
    <t>Chesterfield, UK</t>
  </si>
  <si>
    <t>On the edge of London</t>
  </si>
  <si>
    <t>Auburn, Ala.</t>
  </si>
  <si>
    <t>London Edinburgh Helsinki</t>
  </si>
  <si>
    <t xml:space="preserve">Wakefield </t>
  </si>
  <si>
    <t>Cloquet, MN</t>
  </si>
  <si>
    <t>Alliance, OH</t>
  </si>
  <si>
    <t>Repped by The Story Factory</t>
  </si>
  <si>
    <t>Birmingham, AL; Farmville, VA</t>
  </si>
  <si>
    <t>Holland, MI</t>
  </si>
  <si>
    <t>Buckie, Scotland</t>
  </si>
  <si>
    <t>Stockbridge, Edinburgh</t>
  </si>
  <si>
    <t>Dinosaur Isle</t>
  </si>
  <si>
    <t>140 Grahams Road, Falkirk, UK</t>
  </si>
  <si>
    <t>middlesbrough\n</t>
  </si>
  <si>
    <t>Richmond, VA</t>
  </si>
  <si>
    <t>Slagelse, Danmark</t>
  </si>
  <si>
    <t>Tidworth</t>
  </si>
  <si>
    <t>Newton Mearns, Scotland</t>
  </si>
  <si>
    <t>University of Lincoln.</t>
  </si>
  <si>
    <t>Baltimore,MD</t>
  </si>
  <si>
    <t>London, UK.</t>
  </si>
  <si>
    <t>Scalloway, Shetland Isles</t>
  </si>
  <si>
    <t>Haarlem</t>
  </si>
  <si>
    <t>Rothes, Moray.</t>
  </si>
  <si>
    <t xml:space="preserve">Saint Augustine FL </t>
  </si>
  <si>
    <t>Prestwich, Manchester</t>
  </si>
  <si>
    <t>Paignton</t>
  </si>
  <si>
    <t>Newark, NJ</t>
  </si>
  <si>
    <t xml:space="preserve"> Denbighshire North Wales</t>
  </si>
  <si>
    <t>Morpeth</t>
  </si>
  <si>
    <t>Greater Manchester UK</t>
  </si>
  <si>
    <t>Michigan City, Indiana</t>
  </si>
  <si>
    <t>Orrington, ME</t>
  </si>
  <si>
    <t>iPhone: 54.225037,-1.484818</t>
  </si>
  <si>
    <t>Tampa Bay, Florida</t>
  </si>
  <si>
    <t xml:space="preserve">~ right where i want to be  </t>
  </si>
  <si>
    <t>Near Cambridge</t>
  </si>
  <si>
    <t>I can't, I have hockey</t>
  </si>
  <si>
    <t>Edge of the Nth Yorks Moors</t>
  </si>
  <si>
    <t>Stockon, California</t>
  </si>
  <si>
    <t>Todmorden &amp; Manchester</t>
  </si>
  <si>
    <t>Moorhead, MN</t>
  </si>
  <si>
    <t>Cedar Falls, Iowa</t>
  </si>
  <si>
    <t>iPhone: 56.185753,-3.054288</t>
  </si>
  <si>
    <t>Rural idyll, North Lancashire.</t>
  </si>
  <si>
    <t>St Helens, Merseyside</t>
  </si>
  <si>
    <t>Abu Dhabi, UAE</t>
  </si>
  <si>
    <t>the ever exciting Netherlands</t>
  </si>
  <si>
    <t>Banbury</t>
  </si>
  <si>
    <t xml:space="preserve">Manchester, Pale Blue Dot </t>
  </si>
  <si>
    <t>gallifrey</t>
  </si>
  <si>
    <t>Eccles, Salford.</t>
  </si>
  <si>
    <t>Mercia</t>
  </si>
  <si>
    <t>SJ NB</t>
  </si>
  <si>
    <t>Piqua, OH</t>
  </si>
  <si>
    <t>London/Kent/NZ</t>
  </si>
  <si>
    <t>Lanarkshire, Scotland</t>
  </si>
  <si>
    <t>kirkwall , orkney</t>
  </si>
  <si>
    <t>College Station, TX</t>
  </si>
  <si>
    <t>Wellesbourne, Warwicks, UK</t>
  </si>
  <si>
    <t>36-40 Edge St, MCR M4 1HN</t>
  </si>
  <si>
    <t>666</t>
  </si>
  <si>
    <t>Decatur, GA</t>
  </si>
  <si>
    <t>Den Haag</t>
  </si>
  <si>
    <t>Omaha, NE</t>
  </si>
  <si>
    <t>Walney, Barrow in Furness</t>
  </si>
  <si>
    <t>Oxford, MS</t>
  </si>
  <si>
    <t>Bristol/ Bath/ Cardiff UK</t>
  </si>
  <si>
    <t>Bucksburn</t>
  </si>
  <si>
    <t>raised GA, lives AK. USA.</t>
  </si>
  <si>
    <t>New London, CT</t>
  </si>
  <si>
    <t>Not Elgin anymore</t>
  </si>
  <si>
    <t>Reedsburg, Wisconsin</t>
  </si>
  <si>
    <t>Capistrano Beach, CA</t>
  </si>
  <si>
    <t>Weirton, WV</t>
  </si>
  <si>
    <t>The Deen</t>
  </si>
  <si>
    <t>upstate New York</t>
  </si>
  <si>
    <t>Fort Collins, CO</t>
  </si>
  <si>
    <t>Gallifrey</t>
  </si>
  <si>
    <t>Churt, England</t>
  </si>
  <si>
    <t>Bournemouth/Aberdeenshire</t>
  </si>
  <si>
    <t>Waterbeach, Cambridge. UK</t>
  </si>
  <si>
    <t>Argyll,  Scotland</t>
  </si>
  <si>
    <t>Jackson, TN</t>
  </si>
  <si>
    <t xml:space="preserve">Mansfield, Ohio </t>
  </si>
  <si>
    <t>Corvallis, OR, USA</t>
  </si>
  <si>
    <t>Dodge City, KS</t>
  </si>
  <si>
    <t xml:space="preserve">TX | London calling </t>
  </si>
  <si>
    <t>May Subd Geog</t>
  </si>
  <si>
    <t>Hogsmeade Village</t>
  </si>
  <si>
    <t>Dounby</t>
  </si>
  <si>
    <t>N\xe6stved, Sj\xe6lland</t>
  </si>
  <si>
    <t>Wakefield, UK</t>
  </si>
  <si>
    <t>Melbourne, AU</t>
  </si>
  <si>
    <t>Kilmore, Scotland</t>
  </si>
  <si>
    <t>San Jose, California</t>
  </si>
  <si>
    <t>Corntown</t>
  </si>
  <si>
    <t xml:space="preserve">Bristol Blatently </t>
  </si>
  <si>
    <t>Salt Lake City</t>
  </si>
  <si>
    <t>East Dunbartonshire, Scotland</t>
  </si>
  <si>
    <t>maroc</t>
  </si>
  <si>
    <t>Brechin, Scotland</t>
  </si>
  <si>
    <t>Park City, KY</t>
  </si>
  <si>
    <t>Indianapolis, IN, USA</t>
  </si>
  <si>
    <t>\xdcT: 41.521343,-71.318977</t>
  </si>
  <si>
    <t>Kiltland</t>
  </si>
  <si>
    <t>153-157 Sauchiehall St.</t>
  </si>
  <si>
    <t>Olean, NY</t>
  </si>
  <si>
    <t>I'm a simple Nothern Irish gal</t>
  </si>
  <si>
    <t>London/Newcastle</t>
  </si>
  <si>
    <t>Where indeed?</t>
  </si>
  <si>
    <t>Greater Seattle area</t>
  </si>
  <si>
    <t>OR, CA, DC</t>
  </si>
  <si>
    <t xml:space="preserve">Toronto, ON </t>
  </si>
  <si>
    <t>Portland, ME</t>
  </si>
  <si>
    <t xml:space="preserve">Nowhere in particular </t>
  </si>
  <si>
    <t>Bishops Stortford, Herts UK</t>
  </si>
  <si>
    <t>Eureka, IL</t>
  </si>
  <si>
    <t>GTA, Canada \U0001f1e8\U0001f1e6</t>
  </si>
  <si>
    <t xml:space="preserve">Kitchener Public Library </t>
  </si>
  <si>
    <t>Ayrshire, Scotland.</t>
  </si>
  <si>
    <t>Chessington/ North Sea</t>
  </si>
  <si>
    <t>Reno NV</t>
  </si>
  <si>
    <t>Portlethen, Scotland</t>
  </si>
  <si>
    <t>Belfast Motor City</t>
  </si>
  <si>
    <t>Troy</t>
  </si>
  <si>
    <t>Helsinki</t>
  </si>
  <si>
    <t>A tiny island across the sea</t>
  </si>
  <si>
    <t>In front of a computer</t>
  </si>
  <si>
    <t>Munster, IN</t>
  </si>
  <si>
    <t>Bowmanville, Ontario</t>
  </si>
  <si>
    <t>CA Technologies California</t>
  </si>
  <si>
    <t>The OC</t>
  </si>
  <si>
    <t>Manhattan, Kansas 66502</t>
  </si>
  <si>
    <t>\xdcT: 38.852815,-77.025277</t>
  </si>
  <si>
    <t>west bloomington, minnesota</t>
  </si>
  <si>
    <t>The Great Frozen Tundra</t>
  </si>
  <si>
    <t>Owatonna, Minnesota</t>
  </si>
  <si>
    <t>Instagram: @Indie_Thinking</t>
  </si>
  <si>
    <t>Tuscaloosa, AL</t>
  </si>
  <si>
    <t xml:space="preserve">seattle \u2022 boston </t>
  </si>
  <si>
    <t>Guelph, Ontario, Canada</t>
  </si>
  <si>
    <t>California, MD</t>
  </si>
  <si>
    <t>Knight of Sufferlandria</t>
  </si>
  <si>
    <t>right here, but not right now</t>
  </si>
  <si>
    <t>Cincinnati</t>
  </si>
  <si>
    <t>Salt Lake City/New York City</t>
  </si>
  <si>
    <t>Ottawa -- Toronto</t>
  </si>
  <si>
    <t>Bangor, ME</t>
  </si>
  <si>
    <t>Manchester, NH</t>
  </si>
  <si>
    <t>Wimbledon, United Kingdom</t>
  </si>
  <si>
    <t>Jefferson County, Alabama</t>
  </si>
  <si>
    <t>Right place, right time</t>
  </si>
  <si>
    <t>chicago metro</t>
  </si>
  <si>
    <t>New Cross</t>
  </si>
  <si>
    <t>Riyadh</t>
  </si>
  <si>
    <t>Rochdale &amp; Leeds</t>
  </si>
  <si>
    <t>Uranus</t>
  </si>
  <si>
    <t>Frankfort, KY</t>
  </si>
  <si>
    <t>Greater Denver Metro Area</t>
  </si>
  <si>
    <t>Australia/Scotland</t>
  </si>
  <si>
    <t>Alton</t>
  </si>
  <si>
    <t>Orkney//Edinburgh</t>
  </si>
  <si>
    <t>Glasgow, Cambridge</t>
  </si>
  <si>
    <t>MK and everywhere</t>
  </si>
  <si>
    <t>SLC</t>
  </si>
  <si>
    <t>Cary, NC</t>
  </si>
  <si>
    <t>Florence, AL</t>
  </si>
  <si>
    <t>Birmingham, Alabama</t>
  </si>
  <si>
    <t>Tucker, GA</t>
  </si>
  <si>
    <t xml:space="preserve"> 89200 Tuaran, Sabah</t>
  </si>
  <si>
    <t>mostly en angleterre</t>
  </si>
  <si>
    <t>Uppsala</t>
  </si>
  <si>
    <t>BOA</t>
  </si>
  <si>
    <t>Mobile, AL</t>
  </si>
  <si>
    <t>winnipeg</t>
  </si>
  <si>
    <t>Westdale Secondary School</t>
  </si>
  <si>
    <t>Laramie, WY</t>
  </si>
  <si>
    <t>CT\u27a1NJ\u27a1France\u27a1DC\u27a1Boston</t>
  </si>
  <si>
    <t>Brighton, East Sussex</t>
  </si>
  <si>
    <t>cornwalldreamingLondonliving</t>
  </si>
  <si>
    <t>Dublin by way of Toronto</t>
  </si>
  <si>
    <t>Stratford - Upon -Avon</t>
  </si>
  <si>
    <t>Vancouver/London</t>
  </si>
  <si>
    <t>Utrecht, the Netherlands</t>
  </si>
  <si>
    <t>under the bed.</t>
  </si>
  <si>
    <t>Pollokshields</t>
  </si>
  <si>
    <t>Nebraska</t>
  </si>
  <si>
    <t>Didcot</t>
  </si>
  <si>
    <t>Winston-Salem, NC</t>
  </si>
  <si>
    <t>Bancroft</t>
  </si>
  <si>
    <t>Florida USA</t>
  </si>
  <si>
    <t>Suva, Fiji</t>
  </si>
  <si>
    <t>Somewhere in England</t>
  </si>
  <si>
    <t xml:space="preserve">ORKNEY </t>
  </si>
  <si>
    <t>Oop Nerth.</t>
  </si>
  <si>
    <t>Douglas, Isle of Man</t>
  </si>
  <si>
    <t>Blackpool and Manchester</t>
  </si>
  <si>
    <t>wherever</t>
  </si>
  <si>
    <t>Around the World</t>
  </si>
  <si>
    <t>Auburn, NY</t>
  </si>
  <si>
    <t xml:space="preserve">london </t>
  </si>
  <si>
    <t xml:space="preserve">Isle of Skye </t>
  </si>
  <si>
    <t>CA, Best Coast</t>
  </si>
  <si>
    <t>the world</t>
  </si>
  <si>
    <t>Vantaa, Helsinki</t>
  </si>
  <si>
    <t>Cymru/Wales</t>
  </si>
  <si>
    <t>Woodstock, GA</t>
  </si>
  <si>
    <t>Casablanca</t>
  </si>
  <si>
    <t xml:space="preserve">Right where I should be! </t>
  </si>
  <si>
    <t>Yorkshire, work nationwide</t>
  </si>
  <si>
    <t>\xdcT: 51.511395,-0.123741</t>
  </si>
  <si>
    <t>North essex</t>
  </si>
  <si>
    <t>Geneva / London</t>
  </si>
  <si>
    <t>Scotland (nearer than u think)</t>
  </si>
  <si>
    <t>Cushendall, Northern Ireland</t>
  </si>
  <si>
    <t>UK \u2708\ufe0f NL</t>
  </si>
  <si>
    <t>Meath</t>
  </si>
  <si>
    <t>Newcastle/Oxford/London</t>
  </si>
  <si>
    <t>Legacy HS, Bismarck, ND</t>
  </si>
  <si>
    <t>Dundee/Kilmarnock</t>
  </si>
  <si>
    <t>Was Nottingham, now not (SW9)</t>
  </si>
  <si>
    <t>Home, and sometimes Manchester</t>
  </si>
  <si>
    <t>Pella, IA</t>
  </si>
  <si>
    <t>Manchester and Salford</t>
  </si>
  <si>
    <t>London E1 &amp; Folkestone</t>
  </si>
  <si>
    <t>Bristol, United Kingdom</t>
  </si>
  <si>
    <t>N Wales, Manchester</t>
  </si>
  <si>
    <t>Harrogate/Leeds</t>
  </si>
  <si>
    <t>Bristol &amp; Bath</t>
  </si>
  <si>
    <t>Stevenage via Ldn via Lincoln</t>
  </si>
  <si>
    <t>EC2/Ingatestone</t>
  </si>
  <si>
    <t>London and Kent</t>
  </si>
  <si>
    <t>Southport / London / Bracknell</t>
  </si>
  <si>
    <t>A boat, somewhere in England</t>
  </si>
  <si>
    <t>Get a Warrant</t>
  </si>
  <si>
    <t>Suprasternal Notch</t>
  </si>
  <si>
    <t>London taaan</t>
  </si>
  <si>
    <t>Alaska Grown</t>
  </si>
  <si>
    <t>Hitchin</t>
  </si>
  <si>
    <t>Upper Yarra Valley, Australia</t>
  </si>
  <si>
    <t>Brighton, actually.</t>
  </si>
  <si>
    <t>Here....or maybe there.</t>
  </si>
  <si>
    <t>Liverpool, Manchester, London</t>
  </si>
  <si>
    <t xml:space="preserve"> \u2735 \u2742 \u2740 \u2743 \u2741</t>
  </si>
  <si>
    <t>Not in Hell anymore</t>
  </si>
  <si>
    <t>Cleveleys, UK</t>
  </si>
  <si>
    <t>the naughty step</t>
  </si>
  <si>
    <t>North West, Lancashire</t>
  </si>
  <si>
    <t>Coventry UK</t>
  </si>
  <si>
    <t>Rochester, Kent.</t>
  </si>
  <si>
    <t>Barton-Upon-Humber, England</t>
  </si>
  <si>
    <t>Marseille, France</t>
  </si>
  <si>
    <t>London/Yorkshire</t>
  </si>
  <si>
    <t>Dunedin. New Zealand</t>
  </si>
  <si>
    <t>Clapton, London</t>
  </si>
  <si>
    <t>Kenilworth, England</t>
  </si>
  <si>
    <t>London, via Newcastle</t>
  </si>
  <si>
    <t>right over here!</t>
  </si>
  <si>
    <t>Bolton. Lancashire. England.</t>
  </si>
  <si>
    <t>Link\xf6ping, Sverige</t>
  </si>
  <si>
    <t>land of oompa loompas</t>
  </si>
  <si>
    <t>Under The Southern Cross</t>
  </si>
  <si>
    <t>Reston Regional Library</t>
  </si>
  <si>
    <t>Aix-en-Provence, France</t>
  </si>
  <si>
    <t>montreuil - #bib2paris</t>
  </si>
  <si>
    <t>Draper, UT</t>
  </si>
  <si>
    <t>Milano</t>
  </si>
  <si>
    <t>Newmarket, Ontario</t>
  </si>
  <si>
    <t>Bodleian Library, Oxford</t>
  </si>
  <si>
    <t>Cambridge, United Kingdom</t>
  </si>
  <si>
    <t>Kuching, Sarawak, Malaysia</t>
  </si>
  <si>
    <t>Camp \u2022 Cruise \u2022 Petting Zoo</t>
  </si>
  <si>
    <t>Leicester, GBR</t>
  </si>
  <si>
    <t>Somewhere...</t>
  </si>
  <si>
    <t>Calgary, AB, Canada</t>
  </si>
  <si>
    <t>Ainsdale, Southport</t>
  </si>
  <si>
    <t>Crofton Downs, Te Whanganui-a-Tara, Aotearoa/Piripane</t>
  </si>
  <si>
    <t>Bracknell, UK</t>
  </si>
  <si>
    <t>Bristol/London/quiet carriage</t>
  </si>
  <si>
    <t>St Andrews and Forres</t>
  </si>
  <si>
    <t>Denby</t>
  </si>
  <si>
    <t>Hebden Bridge, Via Crystal Palace, via Hull</t>
  </si>
  <si>
    <t>Neath</t>
  </si>
  <si>
    <t xml:space="preserve">aberdream </t>
  </si>
  <si>
    <t xml:space="preserve">Edinburgh, Europe </t>
  </si>
  <si>
    <t>The Clyde Valley</t>
  </si>
  <si>
    <t>Here, there and Europe</t>
  </si>
  <si>
    <t>Somewhere Scottish</t>
  </si>
  <si>
    <t>McCloud Ganj, India</t>
  </si>
  <si>
    <t>Duvet, Car, Stage, Car, Duvet.</t>
  </si>
  <si>
    <t>Near Cardiff</t>
  </si>
  <si>
    <t>Mount Fairy, New South Wales</t>
  </si>
  <si>
    <t>Blue Mountains, Australia</t>
  </si>
  <si>
    <t>Chan's noodle bar</t>
  </si>
  <si>
    <t>Academy in Sunderland</t>
  </si>
  <si>
    <t>Ely, Cambs.</t>
  </si>
  <si>
    <t>London via Doncaster</t>
  </si>
  <si>
    <t>Locations vary.</t>
  </si>
  <si>
    <t>The Mighty WAH! Liverpool</t>
  </si>
  <si>
    <t>Laxay, Isle of Lewis</t>
  </si>
  <si>
    <t>Oop North</t>
  </si>
  <si>
    <t>Divisive, Indyrefshire</t>
  </si>
  <si>
    <t>T\xfcbingen, Deutschland</t>
  </si>
  <si>
    <t>London and Brighton</t>
  </si>
  <si>
    <t>London/Ely/Hiraeth</t>
  </si>
  <si>
    <t>seattle Wa</t>
  </si>
  <si>
    <t>Hampshire-London</t>
  </si>
  <si>
    <t>Jamaica Inn, Edinburgh</t>
  </si>
  <si>
    <t>London and the internet</t>
  </si>
  <si>
    <t>Argyll and Bute</t>
  </si>
  <si>
    <t>Pale Blue Dot</t>
  </si>
  <si>
    <t>Kippax, Leeds</t>
  </si>
  <si>
    <t>Lost in information</t>
  </si>
  <si>
    <t>Putten, The Netherlands</t>
  </si>
  <si>
    <t>Bearland, Canada</t>
  </si>
  <si>
    <t>Oxon.</t>
  </si>
  <si>
    <t>Worcester UK</t>
  </si>
  <si>
    <t>Everything Wiltshire.</t>
  </si>
  <si>
    <t>North of the Watford Gap</t>
  </si>
  <si>
    <t>St.Catharines, Ontario</t>
  </si>
  <si>
    <t>St. Catharines, ON, Canada</t>
  </si>
  <si>
    <t>mainer in ri</t>
  </si>
  <si>
    <t>Douglas, IOM</t>
  </si>
  <si>
    <t>northumberland</t>
  </si>
  <si>
    <t>Osaka/Glasgow</t>
  </si>
  <si>
    <t>Edinburgh, Glasgow &amp; Newcastle</t>
  </si>
  <si>
    <t>Fort William  Scotland</t>
  </si>
  <si>
    <t>Isle of Lewis</t>
  </si>
  <si>
    <t>Bellshill &amp; Liverpool</t>
  </si>
  <si>
    <t xml:space="preserve">Rosyth </t>
  </si>
  <si>
    <t>Libraries, mostly</t>
  </si>
  <si>
    <t>pollokshields</t>
  </si>
  <si>
    <t>Proud Scot, London based</t>
  </si>
  <si>
    <t>SCOTLAND // EARTH</t>
  </si>
  <si>
    <t>Stornoway, Scotland</t>
  </si>
  <si>
    <t>Stonehaven, Aberdeenshire</t>
  </si>
  <si>
    <t xml:space="preserve">Scotland, here and there. </t>
  </si>
  <si>
    <t>Helmsdale, Scotland</t>
  </si>
  <si>
    <t>Bootle</t>
  </si>
  <si>
    <t>Benin</t>
  </si>
  <si>
    <t>Avalon, NJ</t>
  </si>
  <si>
    <t>Fury Road, Edinburgh</t>
  </si>
  <si>
    <t>Stafford, VA</t>
  </si>
  <si>
    <t>shenzhen (china mainland)</t>
  </si>
  <si>
    <t>Tobermory, Isle of Mull</t>
  </si>
  <si>
    <t>Y Groeslon, Caernarfon</t>
  </si>
  <si>
    <t>Bearsden, Glasgow\n</t>
  </si>
  <si>
    <t>Manchester &amp; Birmingham mainly</t>
  </si>
  <si>
    <t>Northallerton, EU</t>
  </si>
  <si>
    <t>Guildford (sometimes Hull)</t>
  </si>
  <si>
    <t>Chelsea, QC, Ottawa ON</t>
  </si>
  <si>
    <t>Strathglass</t>
  </si>
  <si>
    <t>Leven, Fife</t>
  </si>
  <si>
    <t>Bondi</t>
  </si>
  <si>
    <t>Matakana, near Auckland</t>
  </si>
  <si>
    <t>Emerald City, Oz</t>
  </si>
  <si>
    <t>Bedfordshire, England</t>
  </si>
  <si>
    <t>A red county near you</t>
  </si>
  <si>
    <t>Somewhere on the road.</t>
  </si>
  <si>
    <t>North Edinburgh</t>
  </si>
  <si>
    <t>Wantage, Oxfordshire.</t>
  </si>
  <si>
    <t>merseyside</t>
  </si>
  <si>
    <t>Wollongong</t>
  </si>
  <si>
    <t>Throughout the UK</t>
  </si>
  <si>
    <t>Lancaster &amp; Skipton</t>
  </si>
  <si>
    <t>Scouse / North Freo, Australia</t>
  </si>
  <si>
    <t>Planet 3, Sol System</t>
  </si>
  <si>
    <t>Vic, Australia</t>
  </si>
  <si>
    <t>Forres, Moray</t>
  </si>
  <si>
    <t>Edinburgh,Scotland</t>
  </si>
  <si>
    <t>The Thames</t>
  </si>
  <si>
    <t>Not as far away as you think!</t>
  </si>
  <si>
    <t>Loughborough</t>
  </si>
  <si>
    <t>North Wales, UK</t>
  </si>
  <si>
    <t>Tasmania via Scotland</t>
  </si>
  <si>
    <t xml:space="preserve">Manchester, UK </t>
  </si>
  <si>
    <t>Ally Pally, Londinium</t>
  </si>
  <si>
    <t>Bude</t>
  </si>
  <si>
    <t>hull</t>
  </si>
  <si>
    <t>\xdcT: 55.759651,-4.037014</t>
  </si>
  <si>
    <t>Embo</t>
  </si>
  <si>
    <t>Within whiff of Charleston</t>
  </si>
  <si>
    <t>Christchurch, NZ</t>
  </si>
  <si>
    <t>73 Blythe Road, London W14 0PH</t>
  </si>
  <si>
    <t>Wollongong, Australia</t>
  </si>
  <si>
    <t>Moray, UK</t>
  </si>
  <si>
    <t>\xdcT: 56.479437,-2.825074</t>
  </si>
  <si>
    <t>Where You At</t>
  </si>
  <si>
    <t>Aberdeen/Edinburgh</t>
  </si>
  <si>
    <t>Prestwich Manchester UK</t>
  </si>
  <si>
    <t>Annan, Dumfriesshire, Scotland</t>
  </si>
  <si>
    <t>South Glasgow, Scotland</t>
  </si>
  <si>
    <t>Aabenraa, Danmark</t>
  </si>
  <si>
    <t>E17</t>
  </si>
  <si>
    <t>Stourbridge, UK</t>
  </si>
  <si>
    <t>Location? Close.</t>
  </si>
  <si>
    <t>Dudley, UK</t>
  </si>
  <si>
    <t>boston ma</t>
  </si>
  <si>
    <t>Holt, Norfolk, UK</t>
  </si>
  <si>
    <t>Edinburgh &amp; London</t>
  </si>
  <si>
    <t>Miami, Fla.</t>
  </si>
  <si>
    <t>Italia, Eesti, dreams</t>
  </si>
  <si>
    <t>Macon, Georgia</t>
  </si>
  <si>
    <t>Dorchester, New Brunswick</t>
  </si>
  <si>
    <t>Roslindale, MA</t>
  </si>
  <si>
    <t>On your bookshelf</t>
  </si>
  <si>
    <t>Cairns QLD</t>
  </si>
  <si>
    <t>somewhere in the world</t>
  </si>
  <si>
    <t>Croydon and Orkney</t>
  </si>
  <si>
    <t>Kirkwall, Orkney Islands.</t>
  </si>
  <si>
    <t>Falmouth</t>
  </si>
  <si>
    <t>Far in the Northern Hills</t>
  </si>
  <si>
    <t>Durham lass, wherever I may be</t>
  </si>
  <si>
    <t>Burghead, Scotland</t>
  </si>
  <si>
    <t>Wasdale, English Lake District</t>
  </si>
  <si>
    <t>Porlamar, Isla Margarita</t>
  </si>
  <si>
    <t>Out Of This World</t>
  </si>
  <si>
    <t>Weston Road, Canford Cliffs</t>
  </si>
  <si>
    <t>Piraeus, Greece</t>
  </si>
  <si>
    <t>waveney valley, hentet</t>
  </si>
  <si>
    <t>Underneath London</t>
  </si>
  <si>
    <t>Hastings, East Sussex</t>
  </si>
  <si>
    <t>A field, Cheshire</t>
  </si>
  <si>
    <t>Edison, New Jersey</t>
  </si>
  <si>
    <t>stanford le hope</t>
  </si>
  <si>
    <t>Music City, Tennessee, USA</t>
  </si>
  <si>
    <t>SE SW</t>
  </si>
  <si>
    <t>Bee Cave, Texas 78738</t>
  </si>
  <si>
    <t>France / Scotland</t>
  </si>
  <si>
    <t>Vaksdal</t>
  </si>
  <si>
    <t>Brooklyn, NY, USA</t>
  </si>
  <si>
    <t>Black Isle/A9/Glasgow</t>
  </si>
  <si>
    <t>Tongue, Scotland</t>
  </si>
  <si>
    <t>Bruce County, Ontario</t>
  </si>
  <si>
    <t>Ventura, CA  93003</t>
  </si>
  <si>
    <t>Cook, Minnesota</t>
  </si>
  <si>
    <t>Edwardsville, IL</t>
  </si>
  <si>
    <t xml:space="preserve">somewhere else </t>
  </si>
  <si>
    <t>NY / NJ / PA - the tri state</t>
  </si>
  <si>
    <t>Warwickshire &amp; Oxford, England</t>
  </si>
  <si>
    <t>London and Liverpool</t>
  </si>
  <si>
    <t>South England</t>
  </si>
  <si>
    <t>London via Burnley #Chadsian</t>
  </si>
  <si>
    <t>Ayrshire/Glasgow</t>
  </si>
  <si>
    <t>Can't spell Clovelly w/o love</t>
  </si>
  <si>
    <t>Sligo, Ireland</t>
  </si>
  <si>
    <t>Blue Mts, Sydney, Australia</t>
  </si>
  <si>
    <t>Geelong, Australia</t>
  </si>
  <si>
    <t>Macon, GA</t>
  </si>
  <si>
    <t>Kingston</t>
  </si>
  <si>
    <t>Midlothian and Shetland</t>
  </si>
  <si>
    <t>Suspended Animation</t>
  </si>
  <si>
    <t>Sacramento, CA; Vancouver, BC</t>
  </si>
  <si>
    <t>hackney, london</t>
  </si>
  <si>
    <t>Philly</t>
  </si>
  <si>
    <t>Ireland/London</t>
  </si>
  <si>
    <t>Sutton on Sea, Lincolnshire</t>
  </si>
  <si>
    <t xml:space="preserve">West Country/London </t>
  </si>
  <si>
    <t>Former UK</t>
  </si>
  <si>
    <t>South Coast, England</t>
  </si>
  <si>
    <t>Glasgow and London</t>
  </si>
  <si>
    <t>\xdcT: 52.717568,-2.751488</t>
  </si>
  <si>
    <t>Thurgoona Australia</t>
  </si>
  <si>
    <t>Flash</t>
  </si>
  <si>
    <t>Table Top Australia</t>
  </si>
  <si>
    <t>Glamilton, Glamilzonia</t>
  </si>
  <si>
    <t>UK/HUNGARY/USA</t>
  </si>
  <si>
    <t>Sunny Swindon</t>
  </si>
  <si>
    <t>Garmouth</t>
  </si>
  <si>
    <t>The arse-end of Derbyshire</t>
  </si>
  <si>
    <t>Taibach, Port Talbot</t>
  </si>
  <si>
    <t>London SW15</t>
  </si>
  <si>
    <t>Tottington, Bury</t>
  </si>
  <si>
    <t>London / Cambridge</t>
  </si>
  <si>
    <t>St Ola, Orkney</t>
  </si>
  <si>
    <t>10 mins away</t>
  </si>
  <si>
    <t>49 Belmont Street, Aberdeen</t>
  </si>
  <si>
    <t>Cannes, France</t>
  </si>
  <si>
    <t>Pretending to drive the DLR</t>
  </si>
  <si>
    <t>Caerphilly, Wales, UK</t>
  </si>
  <si>
    <t>N 52\xb010' 0'' / E 0\xb059' 0''</t>
  </si>
  <si>
    <t>Applecross, Wester Ross</t>
  </si>
  <si>
    <t>S. Aberdeenshire &amp; London SE1</t>
  </si>
  <si>
    <t>Cotham Hill, Bristol</t>
  </si>
  <si>
    <t xml:space="preserve">London. </t>
  </si>
  <si>
    <t>Glasgow, Scotlandshire</t>
  </si>
  <si>
    <t>Windsor</t>
  </si>
  <si>
    <t>Hereford</t>
  </si>
  <si>
    <t>Northern Virginia</t>
  </si>
  <si>
    <t>Finland / Texas</t>
  </si>
  <si>
    <t>Soho, london</t>
  </si>
  <si>
    <t>Yarra Valley, Australia</t>
  </si>
  <si>
    <t>Victoria, AUSTRALIA</t>
  </si>
  <si>
    <t>At the Gate, with Barbarians</t>
  </si>
  <si>
    <t>Melbourne, Au</t>
  </si>
  <si>
    <t>Surrey / London</t>
  </si>
  <si>
    <t>Akranes, West Iceland</t>
  </si>
  <si>
    <t>Peterborough, NH</t>
  </si>
  <si>
    <t>Wimbledon</t>
  </si>
  <si>
    <t>Sedgefield,  Co Durham</t>
  </si>
  <si>
    <t>Fort William | Skye</t>
  </si>
  <si>
    <t>Dubai, UAE</t>
  </si>
  <si>
    <t>Melksham, England</t>
  </si>
  <si>
    <t>Bishopton</t>
  </si>
  <si>
    <t>Edinburgh/Glasgow</t>
  </si>
  <si>
    <t>Bearwood, West Midlands</t>
  </si>
  <si>
    <t>Burbank, CA</t>
  </si>
  <si>
    <t>invernesian in donegal</t>
  </si>
  <si>
    <t>Srathaigh, North Scotland</t>
  </si>
  <si>
    <t>Reading / London, UK</t>
  </si>
  <si>
    <t xml:space="preserve">Shetland via Kent </t>
  </si>
  <si>
    <t>Devon UK</t>
  </si>
  <si>
    <t>Overthink Central</t>
  </si>
  <si>
    <t>Merewether Heights</t>
  </si>
  <si>
    <t>Northern NSW</t>
  </si>
  <si>
    <t xml:space="preserve">Gla/Edin curious </t>
  </si>
  <si>
    <t xml:space="preserve">up north surrounded by books </t>
  </si>
  <si>
    <t>Groombridge</t>
  </si>
  <si>
    <t>Kingston-upon-Hull</t>
  </si>
  <si>
    <t>Capable, connected, inspiring</t>
  </si>
  <si>
    <t>Exeter, United Kingdom</t>
  </si>
  <si>
    <t>Barton Mills, Suffolk, UK.</t>
  </si>
  <si>
    <t>valdeorras-Ourense</t>
  </si>
  <si>
    <t>Derbyshire. Usually.</t>
  </si>
  <si>
    <t>Mendocino county, California</t>
  </si>
  <si>
    <t>Huddersfield, UK</t>
  </si>
  <si>
    <t>Hull, UK City of Culture 2017</t>
  </si>
  <si>
    <t>Dudley and Birmingham (UK)</t>
  </si>
  <si>
    <t>wolverhampton, UK</t>
  </si>
  <si>
    <t>NYC via London</t>
  </si>
  <si>
    <t>MediaCity, Salford</t>
  </si>
  <si>
    <t xml:space="preserve">Plymouth </t>
  </si>
  <si>
    <t>London - Paris - Wherever</t>
  </si>
  <si>
    <t>my world, looking out</t>
  </si>
  <si>
    <t>Grantown-on-Spey, Scotland</t>
  </si>
  <si>
    <t>Carlisle, North West England</t>
  </si>
  <si>
    <t>chichester</t>
  </si>
  <si>
    <t>Northleach, England</t>
  </si>
  <si>
    <t>CHALET WEEK IS SACRED</t>
  </si>
  <si>
    <t>Leicestershire, UK.</t>
  </si>
  <si>
    <t>Cheshire.</t>
  </si>
  <si>
    <t>14 Bury Place, London, UK</t>
  </si>
  <si>
    <t>bucks, uk</t>
  </si>
  <si>
    <t>Lovecraft's Pocket, Lancs.</t>
  </si>
  <si>
    <t>Saint Ives, England</t>
  </si>
  <si>
    <t>I get about</t>
  </si>
  <si>
    <t>Fowey</t>
  </si>
  <si>
    <t>The pavement</t>
  </si>
  <si>
    <t>Bodmin, Cornwall</t>
  </si>
  <si>
    <t>Orkney. Mostly.</t>
  </si>
  <si>
    <t>#Canberra ACT</t>
  </si>
  <si>
    <t>Salford/Norfolk</t>
  </si>
  <si>
    <t>Ormskirk, Lancs.</t>
  </si>
  <si>
    <t>West Coast, Canada</t>
  </si>
  <si>
    <t>Kent, Orkney &amp; points between</t>
  </si>
  <si>
    <t>Barrow in Furness</t>
  </si>
  <si>
    <t>somewhere new, always</t>
  </si>
  <si>
    <t>The Big City</t>
  </si>
  <si>
    <t>Lismore NSW Australia</t>
  </si>
  <si>
    <t>Streatham</t>
  </si>
  <si>
    <t>Dulwich Village, London</t>
  </si>
  <si>
    <t>Otautahi, Aotearoa</t>
  </si>
  <si>
    <t>Halifax, UK</t>
  </si>
  <si>
    <t>London via Oldham</t>
  </si>
  <si>
    <t>land of lochs and mountains</t>
  </si>
  <si>
    <t>Mostly Bow</t>
  </si>
  <si>
    <t>Nowhere</t>
  </si>
  <si>
    <t>out</t>
  </si>
  <si>
    <t>Coastal Connecticut</t>
  </si>
  <si>
    <t>Philadelphia PA</t>
  </si>
  <si>
    <t>#Orkney, United Kingdom</t>
  </si>
  <si>
    <t>Washington_UK</t>
  </si>
  <si>
    <t>Glasgow &amp; London</t>
  </si>
  <si>
    <t>Yorkshire &amp; London</t>
  </si>
  <si>
    <t>In the library. Glasgow.</t>
  </si>
  <si>
    <t>ashburton nz</t>
  </si>
  <si>
    <t>\xdcT: -26.163267,27.926273</t>
  </si>
  <si>
    <t>With Scottish kids at heart!</t>
  </si>
  <si>
    <t>Halifax, West Yorkshire</t>
  </si>
  <si>
    <t>Across Scotland in 2014</t>
  </si>
  <si>
    <t>Soho, London</t>
  </si>
  <si>
    <t>North East Scotland, Aberdeens</t>
  </si>
  <si>
    <t xml:space="preserve">Cotswolds - Made in England </t>
  </si>
  <si>
    <t>Tayside, Scotland, UK</t>
  </si>
  <si>
    <t>Black Isler in Glasgow</t>
  </si>
  <si>
    <t>Mitcham</t>
  </si>
  <si>
    <t>Aberystwyth, Wales, UK</t>
  </si>
  <si>
    <t>The Wildcat of Scotland</t>
  </si>
  <si>
    <t>Cleckheaton</t>
  </si>
  <si>
    <t>The Highlands and Islands</t>
  </si>
  <si>
    <t>Marlborough Wiltshire UK</t>
  </si>
  <si>
    <t>Adelaide, SA</t>
  </si>
  <si>
    <t>Gartly, Aberdeenshire</t>
  </si>
  <si>
    <t>Scottish Highlands, UK</t>
  </si>
  <si>
    <t>Caerdydd-Cardiff  - Est.1994</t>
  </si>
  <si>
    <t>black isle</t>
  </si>
  <si>
    <t>Tottington</t>
  </si>
  <si>
    <t>warrington</t>
  </si>
  <si>
    <t>Cheltenham, UK</t>
  </si>
  <si>
    <t>Islington, England</t>
  </si>
  <si>
    <t>Cowdenbeath &amp; Orkney</t>
  </si>
  <si>
    <t>St Ola, Orkney KW15 1SF</t>
  </si>
  <si>
    <t>Fareham/Portsmouth, England</t>
  </si>
  <si>
    <t>Milbury</t>
  </si>
  <si>
    <t>Wolverhampton, West Midlands.</t>
  </si>
  <si>
    <t>Leeds/W Yorks</t>
  </si>
  <si>
    <t>oxford</t>
  </si>
  <si>
    <t>Melrose</t>
  </si>
  <si>
    <t>London n\xe9e Leeds</t>
  </si>
  <si>
    <t>Various spaces, sunny Leith</t>
  </si>
  <si>
    <t>Newmarket, UK</t>
  </si>
  <si>
    <t>Wilmington, NC</t>
  </si>
  <si>
    <t>Ardrossan</t>
  </si>
  <si>
    <t>Reading &amp; London, UK</t>
  </si>
  <si>
    <t>Yorkshire &amp; Humberside</t>
  </si>
  <si>
    <t>Palmerston North, New Zealand</t>
  </si>
  <si>
    <t>Pelham Street, Brighton</t>
  </si>
  <si>
    <t>Shropshire UK</t>
  </si>
  <si>
    <t>Scotland, Ireland, and beyond!</t>
  </si>
  <si>
    <t xml:space="preserve">Oxford, UK </t>
  </si>
  <si>
    <t>Innsbruck</t>
  </si>
  <si>
    <t>Edinburgh, Otago and Hull</t>
  </si>
  <si>
    <t>Was Glasgow, now in exile in Edinburgh</t>
  </si>
  <si>
    <t>london and gloucestershire</t>
  </si>
  <si>
    <t>north yorks</t>
  </si>
  <si>
    <t>Northern Suburbs of Melbourne</t>
  </si>
  <si>
    <t>Stourbridge, West Midlands</t>
  </si>
  <si>
    <t>Westcliff-on-Sea.</t>
  </si>
  <si>
    <t>Marlow, UK</t>
  </si>
  <si>
    <t>London and Canterbury</t>
  </si>
  <si>
    <t>Brockley / Hereford</t>
  </si>
  <si>
    <t xml:space="preserve">Location? Never really sure! </t>
  </si>
  <si>
    <t>London/York</t>
  </si>
  <si>
    <t>Under Fenland skies</t>
  </si>
  <si>
    <t>London, SW</t>
  </si>
  <si>
    <t>\U0001f3e0 London    \U0001f3e2 Brussels</t>
  </si>
  <si>
    <t>Somersetshire</t>
  </si>
  <si>
    <t>London via Scotland</t>
  </si>
  <si>
    <t>Kew &amp; Norway mostly</t>
  </si>
  <si>
    <t>The Princesspality</t>
  </si>
  <si>
    <t>norwich, norfolk</t>
  </si>
  <si>
    <t>getting closer to Leeds....</t>
  </si>
  <si>
    <t>London, United Kingdomland</t>
  </si>
  <si>
    <t>Around and about the place.</t>
  </si>
  <si>
    <t>Shrewsbury, Shropshire</t>
  </si>
  <si>
    <t>Bermuda</t>
  </si>
  <si>
    <t>Greater Perthshire</t>
  </si>
  <si>
    <t>Blocked by Jim Murphy</t>
  </si>
  <si>
    <t>Spanish City</t>
  </si>
  <si>
    <t>London / Aberdeen</t>
  </si>
  <si>
    <t>Ullapool, NW Scotland.</t>
  </si>
  <si>
    <t>Bernardsville, New Jersey, USA</t>
  </si>
  <si>
    <t>opinions my own</t>
  </si>
  <si>
    <t>Orkney / Glasgow</t>
  </si>
  <si>
    <t>\xdcT: 53.530151,-2.275379</t>
  </si>
  <si>
    <t>The Mel-Bin</t>
  </si>
  <si>
    <t>Oslo. Usually.</t>
  </si>
  <si>
    <t>Hiding from responsibilities</t>
  </si>
  <si>
    <t>Holmfirth, UK</t>
  </si>
  <si>
    <t>Cambridge &amp; London</t>
  </si>
  <si>
    <t>West Lothian, Scotland.</t>
  </si>
  <si>
    <t>Boston, MA and Oxford, UK</t>
  </si>
  <si>
    <t>Lanarkshire</t>
  </si>
  <si>
    <t>Regno Unito</t>
  </si>
  <si>
    <t>Christmas Steps, Bristol, UK</t>
  </si>
  <si>
    <t>Richmond-upon-Thames, UK</t>
  </si>
  <si>
    <t>the 'Burgh</t>
  </si>
  <si>
    <t>Orkney, UK</t>
  </si>
  <si>
    <t>In the cloud</t>
  </si>
  <si>
    <t>Colchester, Essex</t>
  </si>
  <si>
    <t>Shapinsay, Orkney</t>
  </si>
  <si>
    <t>Thurso, Caithness, Scotland</t>
  </si>
  <si>
    <t>Kedah, Malaysia ~ Scotland</t>
  </si>
  <si>
    <t>Delaware, USA</t>
  </si>
  <si>
    <t>West Yorkshire.</t>
  </si>
  <si>
    <t>Halesworth - worth visiting!</t>
  </si>
  <si>
    <t>Roslin, Scotland.</t>
  </si>
  <si>
    <t>City Centre &amp; Leith, Edinburgh</t>
  </si>
  <si>
    <t>Fife, Queensferry,Corstorphine</t>
  </si>
  <si>
    <t>alberta, Canada</t>
  </si>
  <si>
    <t>Piney Flats Tennessee</t>
  </si>
  <si>
    <t>Copenhagen, Capital Region of Denmark</t>
  </si>
  <si>
    <t>Prestwick</t>
  </si>
  <si>
    <t>Bonnie Caledonia</t>
  </si>
  <si>
    <t>deerness, orkney</t>
  </si>
  <si>
    <t>Walking on the moon</t>
  </si>
  <si>
    <t>Newport-on-Tay, Scotland</t>
  </si>
  <si>
    <t>Bettyhill, Sutherland, KW147SS</t>
  </si>
  <si>
    <t>Nation wide</t>
  </si>
  <si>
    <t>Forest of Dean Gloucestershire</t>
  </si>
  <si>
    <t>Victoria Concordia Crescit</t>
  </si>
  <si>
    <t>Brunswick forever!!</t>
  </si>
  <si>
    <t>Tamworth</t>
  </si>
  <si>
    <t>Moscow/London</t>
  </si>
  <si>
    <t>Pierowall</t>
  </si>
  <si>
    <t>North Ronaldsay</t>
  </si>
  <si>
    <t>Derby, Mercia</t>
  </si>
  <si>
    <t>Kinloss, Scotland</t>
  </si>
  <si>
    <t>ranelagh</t>
  </si>
  <si>
    <t>Inside a box of bergamot tea</t>
  </si>
  <si>
    <t>Beijing, China</t>
  </si>
  <si>
    <t xml:space="preserve"> United Kingdom</t>
  </si>
  <si>
    <t>London. Los Angeles, MARGATE.</t>
  </si>
  <si>
    <t>Orkney and Shetland, Scotland</t>
  </si>
  <si>
    <t xml:space="preserve">Weald of Kent </t>
  </si>
  <si>
    <t>Glasgow/Belfast</t>
  </si>
  <si>
    <t>Isle of Lewis / Glasgow</t>
  </si>
  <si>
    <t>Manchester, usually</t>
  </si>
  <si>
    <t>Brighton / London</t>
  </si>
  <si>
    <t>cork</t>
  </si>
  <si>
    <t>Cornwall UK</t>
  </si>
  <si>
    <t>Napoli (Naples)</t>
  </si>
  <si>
    <t>Aarhus, Denmark</t>
  </si>
  <si>
    <t>Cambridge. From Whitehaven.</t>
  </si>
  <si>
    <t>HHHQ, Newcastle UK</t>
  </si>
  <si>
    <t>A mystic isle...</t>
  </si>
  <si>
    <t>Scarborough</t>
  </si>
  <si>
    <t>Scotland, EU</t>
  </si>
  <si>
    <t>Bray-on-Thames, UK</t>
  </si>
  <si>
    <t>Blackpool, UK</t>
  </si>
  <si>
    <t>Wrexham \n</t>
  </si>
  <si>
    <t>Augsburg</t>
  </si>
  <si>
    <t>Also at @giving_world</t>
  </si>
  <si>
    <t>The Beautiful Orkney Isles</t>
  </si>
  <si>
    <t>Carshalton</t>
  </si>
  <si>
    <t>Londonish, ex Reykjav\xedk</t>
  </si>
  <si>
    <t>Cushendall</t>
  </si>
  <si>
    <t xml:space="preserve">Haw! Scotland!! </t>
  </si>
  <si>
    <t>Waterlooville, UK</t>
  </si>
  <si>
    <t>Laramie,Wyoming,United States</t>
  </si>
  <si>
    <t>\ud1a0\ud1a0</t>
  </si>
  <si>
    <t>Somewhere in the Trees! Oregon</t>
  </si>
  <si>
    <t>Stonehaven</t>
  </si>
  <si>
    <t>hamburg</t>
  </si>
  <si>
    <t>Liddle South Ronaldsay Orkney</t>
  </si>
  <si>
    <t>Babson Park,Massachusetts</t>
  </si>
  <si>
    <t>Fife via a rich, varied route</t>
  </si>
  <si>
    <t>Prestwich</t>
  </si>
  <si>
    <t>Embra</t>
  </si>
  <si>
    <t>North Somerset and Devon</t>
  </si>
  <si>
    <t xml:space="preserve"> Sidoarjo</t>
  </si>
  <si>
    <t>Shropshire, Telford &amp; Wrekin</t>
  </si>
  <si>
    <t>thurso, caithness</t>
  </si>
  <si>
    <t xml:space="preserve"> \u10e6 Union &amp; Phillip Island \u10e6</t>
  </si>
  <si>
    <t>Edinburgh and Shetland</t>
  </si>
  <si>
    <t xml:space="preserve"> Bath, Avon BA1</t>
  </si>
  <si>
    <t>Sky 156 | Virgin 208 | TT 329</t>
  </si>
  <si>
    <t>Here and there.</t>
  </si>
  <si>
    <t>Bridgeton, Glasgow</t>
  </si>
  <si>
    <t>A Highlander near Edinburgh</t>
  </si>
  <si>
    <t>orkney\n</t>
  </si>
  <si>
    <t>highlands of scotland</t>
  </si>
  <si>
    <t>York and Sheffield, UK</t>
  </si>
  <si>
    <t>Livermore, CA</t>
  </si>
  <si>
    <t>Jakarta, Indonesia</t>
  </si>
  <si>
    <t>Guatemala</t>
  </si>
  <si>
    <t>159 Causewayside, Edinburgh</t>
  </si>
  <si>
    <t>Scotland's gorgeous west coast</t>
  </si>
  <si>
    <t>Carfin</t>
  </si>
  <si>
    <t>Glossop/Narbonne</t>
  </si>
  <si>
    <t>County Durham</t>
  </si>
  <si>
    <t>Norfolk (obviously!)</t>
  </si>
  <si>
    <t>Philly 'burbs</t>
  </si>
  <si>
    <t>London, Lagos, Joburg, Accra</t>
  </si>
  <si>
    <t>S******d</t>
  </si>
  <si>
    <t>South Lanarkshire, Scotland</t>
  </si>
  <si>
    <t>Dollis Hill, naturally</t>
  </si>
  <si>
    <t>Bath and sometimes London</t>
  </si>
  <si>
    <t>Harveytown. U.K</t>
  </si>
  <si>
    <t>Thanet, UKIP Land</t>
  </si>
  <si>
    <t>Leeds UK</t>
  </si>
  <si>
    <t>Deerness, Orkney</t>
  </si>
  <si>
    <t>People's Republic of Cumbria</t>
  </si>
  <si>
    <t xml:space="preserve"> melbin</t>
  </si>
  <si>
    <t>Hebden Bridge, UK</t>
  </si>
  <si>
    <t>sinderella</t>
  </si>
  <si>
    <t>Epsom, Surrey, UK</t>
  </si>
  <si>
    <t>Lewes, 1265</t>
  </si>
  <si>
    <t>Here and occasionally There</t>
  </si>
  <si>
    <t>Larkhall, Bath</t>
  </si>
  <si>
    <t>santa coloma de gramenet</t>
  </si>
  <si>
    <t>ORKNEY</t>
  </si>
  <si>
    <t>Dursley.</t>
  </si>
  <si>
    <t>Glossop Derbyshire</t>
  </si>
  <si>
    <t>84 Union Street, Oldham.</t>
  </si>
  <si>
    <t xml:space="preserve">Beneath the Milky Way </t>
  </si>
  <si>
    <t>Los Amgeles California</t>
  </si>
  <si>
    <t xml:space="preserve">Spiral arm of the Milky Way. </t>
  </si>
  <si>
    <t xml:space="preserve">Reading a book. </t>
  </si>
  <si>
    <t>fae Scotland</t>
  </si>
  <si>
    <t>London actually</t>
  </si>
  <si>
    <t>Sion, Switzerland</t>
  </si>
  <si>
    <t>Glasgow (Scotland) and Italy</t>
  </si>
  <si>
    <t>Twatt, #Orkney</t>
  </si>
  <si>
    <t>Racine &amp; Ladysmith, WI</t>
  </si>
  <si>
    <t>Boston, Massachusetts</t>
  </si>
  <si>
    <t>@YorkExplore, York, UK</t>
  </si>
  <si>
    <t>Hollywood City</t>
  </si>
  <si>
    <t>Meadowbank, Kirkwall KW15, UK</t>
  </si>
  <si>
    <t>Milton, Cambridge</t>
  </si>
  <si>
    <t xml:space="preserve">Antwerp, Belgium </t>
  </si>
  <si>
    <t>Newcastle on Tyne</t>
  </si>
  <si>
    <t>r</t>
  </si>
  <si>
    <t>Shaftesbury, Dorset, England</t>
  </si>
  <si>
    <t>Durban</t>
  </si>
  <si>
    <t>Here, there, everywhere. \U0001f531</t>
  </si>
  <si>
    <t>Based in Somerset</t>
  </si>
  <si>
    <t>\U0001f3d4\U0001f30d\U0001f30b</t>
  </si>
  <si>
    <t>Pencaitland</t>
  </si>
  <si>
    <t>The North East of England</t>
  </si>
  <si>
    <t>ooooop north</t>
  </si>
  <si>
    <t>UK sentrul sowf cowst</t>
  </si>
  <si>
    <t>Worldwide Cat Blog</t>
  </si>
  <si>
    <t>glasvegas</t>
  </si>
  <si>
    <t>Zwolle, Overijssel</t>
  </si>
  <si>
    <t>Udny Station</t>
  </si>
  <si>
    <t xml:space="preserve">Cheboksary, Chuvash Republic, </t>
  </si>
  <si>
    <t>Niagara Region</t>
  </si>
  <si>
    <t>Rothesay, Scotland</t>
  </si>
  <si>
    <t>#Somerville #MA</t>
  </si>
  <si>
    <t>Hexagon Sun, Sheffield</t>
  </si>
  <si>
    <t>Lancs, England</t>
  </si>
  <si>
    <t>Edinburgh based, works UK-wide</t>
  </si>
  <si>
    <t>Tankerness, Orkney</t>
  </si>
  <si>
    <t>155 Cypress St, Fort Bragg, CA</t>
  </si>
  <si>
    <t>Lamb Holm Orkney</t>
  </si>
  <si>
    <t>Greater Weegie Land</t>
  </si>
  <si>
    <t>Scotland &amp; Wales</t>
  </si>
  <si>
    <t>Swansea/Victoriana</t>
  </si>
  <si>
    <t>w(h)ales</t>
  </si>
  <si>
    <t>The Short Laundry</t>
  </si>
  <si>
    <t>North East of England</t>
  </si>
  <si>
    <t>Mountain lair, UK</t>
  </si>
  <si>
    <t>St. Helens, Oregon</t>
  </si>
  <si>
    <t>Wherev @librarian resides i b</t>
  </si>
  <si>
    <t>Current location: NZ</t>
  </si>
  <si>
    <t>London (from Orkney)</t>
  </si>
  <si>
    <t>Dundonald, Ayrshire, Scotland</t>
  </si>
  <si>
    <t>hereabouts</t>
  </si>
  <si>
    <t>iPhone: 25.749085,-80.259094</t>
  </si>
  <si>
    <t>Edinburgh &amp; West Lothian</t>
  </si>
  <si>
    <t>Palm Beach, FL, USA</t>
  </si>
  <si>
    <t>Port-au-Prince</t>
  </si>
  <si>
    <t>Edgware</t>
  </si>
  <si>
    <t>UK &amp; Global</t>
  </si>
  <si>
    <t>Liverpool University</t>
  </si>
  <si>
    <t>Pattingham, Staffordshire</t>
  </si>
  <si>
    <t>Hands off Sunderland libraries</t>
  </si>
  <si>
    <t>Jerry's Tree</t>
  </si>
  <si>
    <t>King William IV, Cottingham</t>
  </si>
  <si>
    <t>Europe. Still.</t>
  </si>
  <si>
    <t>Ithaca NY</t>
  </si>
  <si>
    <t>South East England</t>
  </si>
  <si>
    <t>London N4, N16 and N15</t>
  </si>
  <si>
    <t>Expat Southerner</t>
  </si>
  <si>
    <t>Salvador Bahia Brasil</t>
  </si>
  <si>
    <t>Kirkcaldy, Fife</t>
  </si>
  <si>
    <t>56.180682,-3.970259</t>
  </si>
  <si>
    <t>Blantyre, Malawi</t>
  </si>
  <si>
    <t xml:space="preserve">Leicestershire &amp; Orkney </t>
  </si>
  <si>
    <t>Paisley, Renfrewshire</t>
  </si>
  <si>
    <t>G65 0QH</t>
  </si>
  <si>
    <t>Lewes, East Sussex</t>
  </si>
  <si>
    <t>Longford, Rep.of Ireland</t>
  </si>
  <si>
    <t>Oamaru, New Zealand</t>
  </si>
  <si>
    <t>Birstall Leicester</t>
  </si>
  <si>
    <t>Glesga, Scotland</t>
  </si>
  <si>
    <t>#Pershore College</t>
  </si>
  <si>
    <t>S. England</t>
  </si>
  <si>
    <t xml:space="preserve">UK - Solihull </t>
  </si>
  <si>
    <t>Latest SF/Horror Thrillers:</t>
  </si>
  <si>
    <t>Dyce, Aberdeen</t>
  </si>
  <si>
    <t>tropical archipelago of orkney</t>
  </si>
  <si>
    <t>Chicago | Los Angeles</t>
  </si>
  <si>
    <t>Berkeley, California</t>
  </si>
  <si>
    <t>Bristol | Berlin</t>
  </si>
  <si>
    <t>I'm usually in that London</t>
  </si>
  <si>
    <t>Orkney / 58.825760 degrees N</t>
  </si>
  <si>
    <t>Central Library, Manchester</t>
  </si>
  <si>
    <t>Admin for @PeopleofNZ</t>
  </si>
  <si>
    <t>\u2022\u2022\u2661\u2661\u2022\u2022</t>
  </si>
  <si>
    <t xml:space="preserve"> NY</t>
  </si>
  <si>
    <t>Cuddlesfield</t>
  </si>
  <si>
    <t>Stromness, Orkney Islands</t>
  </si>
  <si>
    <t>Manchester (usually)</t>
  </si>
  <si>
    <t>Benson, Oxfordshire</t>
  </si>
  <si>
    <t>Festival: 18th-22nd Oct</t>
  </si>
  <si>
    <t>Petaling Jaya/Nilai</t>
  </si>
  <si>
    <t>Cairns. Queensland, Australia</t>
  </si>
  <si>
    <t>Warrenton, VA/Night Court</t>
  </si>
  <si>
    <t>Middlesbrough, Teesside</t>
  </si>
  <si>
    <t>South West UK</t>
  </si>
  <si>
    <t>crewe</t>
  </si>
  <si>
    <t>North West Province</t>
  </si>
  <si>
    <t>Bovington, Dorset</t>
  </si>
  <si>
    <t>Frankfurt DE / Orkney SCO</t>
  </si>
  <si>
    <t>GUNNERETIC, FINSPARK, LONDON</t>
  </si>
  <si>
    <t>Kirkcudbright</t>
  </si>
  <si>
    <t>Stevenage</t>
  </si>
  <si>
    <t>devon</t>
  </si>
  <si>
    <t>Lagos Nigeria</t>
  </si>
  <si>
    <t>TN</t>
  </si>
  <si>
    <t xml:space="preserve">Scotland and England </t>
  </si>
  <si>
    <t>iPhone: 53.980434,-1.562508</t>
  </si>
  <si>
    <t>Greenville, NC</t>
  </si>
  <si>
    <t>London and Essex, UK</t>
  </si>
  <si>
    <t>Manchester &amp; London, UK</t>
  </si>
  <si>
    <t>Mirfield, West Yorkshire, UK.</t>
  </si>
  <si>
    <t>Cupar, FIfe</t>
  </si>
  <si>
    <t>Radcliffe, Manchester</t>
  </si>
  <si>
    <t>Scotland or Sweden</t>
  </si>
  <si>
    <t>Kirkwall, Orkney/Muscat, Oman</t>
  </si>
  <si>
    <t>Ballina, Mayo, Ireland.</t>
  </si>
  <si>
    <t>SW England</t>
  </si>
  <si>
    <t>barnsley</t>
  </si>
  <si>
    <t>Woodland Hills, CA</t>
  </si>
  <si>
    <t>across the UK</t>
  </si>
  <si>
    <t>Anguillara Sabazia (RM)</t>
  </si>
  <si>
    <t>Fauldhouse, Scotland</t>
  </si>
  <si>
    <t>Motherwell, Scotland, UK</t>
  </si>
  <si>
    <t>Dunbar, East Lothian, Scotland</t>
  </si>
  <si>
    <t>Somewhere special ...</t>
  </si>
  <si>
    <t>Devizes</t>
  </si>
  <si>
    <t>London/UK</t>
  </si>
  <si>
    <t>Lowestoft</t>
  </si>
  <si>
    <t>From  England to Calcutta</t>
  </si>
  <si>
    <t xml:space="preserve">Kilcreggan Glasgow Scotland </t>
  </si>
  <si>
    <t>Hailsham, England</t>
  </si>
  <si>
    <t>sooth</t>
  </si>
  <si>
    <t>Coventry &amp; London</t>
  </si>
  <si>
    <t xml:space="preserve">London and Scotland </t>
  </si>
  <si>
    <t>Lisboa</t>
  </si>
  <si>
    <t>Beulah Beach, OH</t>
  </si>
  <si>
    <t>Lurking in the book shop</t>
  </si>
  <si>
    <t>4720 Jones Creek,Baton Rouge</t>
  </si>
  <si>
    <t>Caterham, United Kingdom</t>
  </si>
  <si>
    <t>Nashville, Tennessee</t>
  </si>
  <si>
    <t>Mayo Ireland</t>
  </si>
  <si>
    <t>Leuven Belgium</t>
  </si>
  <si>
    <t>20 Green Wrythe Lane, SM5-2DW</t>
  </si>
  <si>
    <t>Northleach</t>
  </si>
  <si>
    <t>Exiled in Manchester</t>
  </si>
  <si>
    <t xml:space="preserve">Brussels, Belgium </t>
  </si>
  <si>
    <t>Henley-on-Thames</t>
  </si>
  <si>
    <t>\u03ba\u03bf\u03c3\u03bc\u03bf\u03c0\u03bf\u03bb\u03af\u03c4\u03b7\u03c2</t>
  </si>
  <si>
    <t>Toronto-Oakville</t>
  </si>
  <si>
    <t>Kirkwall, Orkney Islands</t>
  </si>
  <si>
    <t>2424 Forest Ridge Drive</t>
  </si>
  <si>
    <t xml:space="preserve">Falkirk, Scotland. </t>
  </si>
  <si>
    <t xml:space="preserve">Waterford City, Ireland </t>
  </si>
  <si>
    <t>Hassocks / Brighton</t>
  </si>
  <si>
    <t>Orkney &amp; Shetland Scotland UK</t>
  </si>
  <si>
    <t>Beauly, Edinburgh, Falkirk</t>
  </si>
  <si>
    <t>Southern Ireland</t>
  </si>
  <si>
    <t>God's own Manchester and Wales</t>
  </si>
  <si>
    <t>Sunderland, UK</t>
  </si>
  <si>
    <t>Tamworth Staffordshire UK</t>
  </si>
  <si>
    <t>With you on your IM journey</t>
  </si>
  <si>
    <t>England.</t>
  </si>
  <si>
    <t>West Fife</t>
  </si>
  <si>
    <t>Stronsay</t>
  </si>
  <si>
    <t>Edinburgh/Glasgow/London</t>
  </si>
  <si>
    <t>NY, SF, LA, DC</t>
  </si>
  <si>
    <t>Edinburgh/ Dundee</t>
  </si>
  <si>
    <t>Aberdeenshire,Scotland</t>
  </si>
  <si>
    <t>Stirlingshire</t>
  </si>
  <si>
    <t>north connel</t>
  </si>
  <si>
    <t>1305 Second Ave, Cumberland</t>
  </si>
  <si>
    <t>Views my own</t>
  </si>
  <si>
    <t>Italy/Worldwide</t>
  </si>
  <si>
    <t>Ryeford, Ross-on-Wye</t>
  </si>
  <si>
    <t>Hoy Orkney</t>
  </si>
  <si>
    <t xml:space="preserve">living in books </t>
  </si>
  <si>
    <t>Columbus, TX, USA</t>
  </si>
  <si>
    <t>London E2</t>
  </si>
  <si>
    <t>Peel, Isle of Man</t>
  </si>
  <si>
    <t>libraryland</t>
  </si>
  <si>
    <t>Leith, Edinburgh. Scotland</t>
  </si>
  <si>
    <t>Oxford, England, UK</t>
  </si>
  <si>
    <t>Hawick</t>
  </si>
  <si>
    <t>Houghton, South Africa</t>
  </si>
  <si>
    <t>ISTAME</t>
  </si>
  <si>
    <t>Glitz Lit HQ</t>
  </si>
  <si>
    <t>Keynsham/Bristol/Bath</t>
  </si>
  <si>
    <t xml:space="preserve">Burnside Farm, Stromness, </t>
  </si>
  <si>
    <t>Stenness, Orkney Islands</t>
  </si>
  <si>
    <t>Greater Atlanta Area</t>
  </si>
  <si>
    <t>Aberdeen (Head Office)</t>
  </si>
  <si>
    <t>Guarulhos, S\xe3o Paulo</t>
  </si>
  <si>
    <t>MADRID-ESPA\xd1A</t>
  </si>
  <si>
    <t>Eureka, CA, USA</t>
  </si>
  <si>
    <t>Dundalk</t>
  </si>
  <si>
    <t>Alpes</t>
  </si>
  <si>
    <t>A beautiful wee island..Orkney</t>
  </si>
  <si>
    <t xml:space="preserve">Kirkwall and Thurso </t>
  </si>
  <si>
    <t>In My Mind LA In Real UK .</t>
  </si>
  <si>
    <t>Brecon Beacons</t>
  </si>
  <si>
    <t xml:space="preserve">Derry, Ireland </t>
  </si>
  <si>
    <t>UK &amp; Republic of Ireland</t>
  </si>
  <si>
    <t>kirkwall, orkney</t>
  </si>
  <si>
    <t>new Delhi,  India</t>
  </si>
  <si>
    <t>Warrington, Cheshire, Shetland</t>
  </si>
  <si>
    <t>Wherever there's wool</t>
  </si>
  <si>
    <t>Newcastle upon Tyne UK</t>
  </si>
  <si>
    <t>Just outside the M25</t>
  </si>
  <si>
    <t>u.k.</t>
  </si>
  <si>
    <t>Springholm, Scotland</t>
  </si>
  <si>
    <t>kathmandu, Nepal</t>
  </si>
  <si>
    <t>Bexleyheath</t>
  </si>
  <si>
    <t>Widnes</t>
  </si>
  <si>
    <t>The Big Time</t>
  </si>
  <si>
    <t>Surrey.</t>
  </si>
  <si>
    <t>Repped by @MediaSmartGuy</t>
  </si>
  <si>
    <t>Callander, Central Scotland.</t>
  </si>
  <si>
    <t>Nethy Bridge, Scotland</t>
  </si>
  <si>
    <t>D\xfan Laoghaire-Rathdown, Dublin</t>
  </si>
  <si>
    <t>The Back Garden (of life)</t>
  </si>
  <si>
    <t xml:space="preserve">14 auction mart Haddington </t>
  </si>
  <si>
    <t>Macclesfield,  Cheshire, UK</t>
  </si>
  <si>
    <t>On the sofa</t>
  </si>
  <si>
    <t>The Berra</t>
  </si>
  <si>
    <t>N 51\xb027' 0'' / W 0\xb058' 0''</t>
  </si>
  <si>
    <t>Northbrook, IL</t>
  </si>
  <si>
    <t>Vancouver!</t>
  </si>
  <si>
    <t>ldn</t>
  </si>
  <si>
    <t>Grumpyin</t>
  </si>
  <si>
    <t>Scotland/UK/Global</t>
  </si>
  <si>
    <t>U.K</t>
  </si>
  <si>
    <t>Dounby, Scotland</t>
  </si>
  <si>
    <t>Heaven on Earth</t>
  </si>
  <si>
    <t>Holloway hobo</t>
  </si>
  <si>
    <t>Manchester City Centre</t>
  </si>
  <si>
    <t>103 Victoria Street, Stromness</t>
  </si>
  <si>
    <t>Barnsley</t>
  </si>
  <si>
    <t>Kirkwall Bay or Sunshine Coast</t>
  </si>
  <si>
    <t>Poised</t>
  </si>
  <si>
    <t>Finstown</t>
  </si>
  <si>
    <t>Tobermory</t>
  </si>
  <si>
    <t>EVERYWHERE</t>
  </si>
  <si>
    <t>London / Lahore / Online</t>
  </si>
  <si>
    <t>St Leonards &amp; London, UK</t>
  </si>
  <si>
    <t>3 Blake Street, York</t>
  </si>
  <si>
    <t>www.tekoforlife.co.uk</t>
  </si>
  <si>
    <t>Edinburgh | London</t>
  </si>
  <si>
    <t>East</t>
  </si>
  <si>
    <t>City College Norwich</t>
  </si>
  <si>
    <t xml:space="preserve">near Leeds </t>
  </si>
  <si>
    <t>...m\xe9jicodefe</t>
  </si>
  <si>
    <t>Fife, but happy to travel.</t>
  </si>
  <si>
    <t>Lausanne, Switzerland</t>
  </si>
  <si>
    <t>#Berkshire, #Glasgow</t>
  </si>
  <si>
    <t>Kirriemuir, Angus, UK</t>
  </si>
  <si>
    <t>London Town | UK</t>
  </si>
  <si>
    <t>Usually somewhere cold/wet</t>
  </si>
  <si>
    <t>The grim north!</t>
  </si>
  <si>
    <t>Dundizzle</t>
  </si>
  <si>
    <t>Stroud Green</t>
  </si>
  <si>
    <t>now living in Boston, USA</t>
  </si>
  <si>
    <t xml:space="preserve">Stafford and Ilam </t>
  </si>
  <si>
    <t>Hinter Wonderland</t>
  </si>
  <si>
    <t>depends</t>
  </si>
  <si>
    <t>Billericay, Essex, UK</t>
  </si>
  <si>
    <t>Scotland and Italy</t>
  </si>
  <si>
    <t xml:space="preserve">Nationwide, UK </t>
  </si>
  <si>
    <t>Northampton and Reading</t>
  </si>
  <si>
    <t>I'm Omni-Present</t>
  </si>
  <si>
    <t>Kirkwall,  Orkney, Scotland</t>
  </si>
  <si>
    <t>Culture Perth and Kinross</t>
  </si>
  <si>
    <t xml:space="preserve">Linlithgow, Scotland </t>
  </si>
  <si>
    <t>Reigate, UK</t>
  </si>
  <si>
    <t>somewhere reading something</t>
  </si>
  <si>
    <t>Northeast, USA</t>
  </si>
  <si>
    <t>Clarkston/Glasgow</t>
  </si>
  <si>
    <t>Manchester, rescuing people...</t>
  </si>
  <si>
    <t>in my head</t>
  </si>
  <si>
    <t>Nottingham, United Kingdom</t>
  </si>
  <si>
    <t>Wick, Caithness, Scotland</t>
  </si>
  <si>
    <t>Cape Cod, MA</t>
  </si>
  <si>
    <t>Bekasi, Indonesia</t>
  </si>
  <si>
    <t>The Far, Far (ish) North</t>
  </si>
  <si>
    <t>#Bristol #Bath #nationwide</t>
  </si>
  <si>
    <t>aberdeenshire, scotland</t>
  </si>
  <si>
    <t>Vadodara, Gujarat, India</t>
  </si>
  <si>
    <t>Crinan canal Argyll, Scotland</t>
  </si>
  <si>
    <t xml:space="preserve">Lasanod </t>
  </si>
  <si>
    <t>Above in the digs</t>
  </si>
  <si>
    <t>Muscatine, Iowa, United States</t>
  </si>
  <si>
    <t>In the tape library...</t>
  </si>
  <si>
    <t xml:space="preserve">Cumbria, U.K. </t>
  </si>
  <si>
    <t>the netherlands</t>
  </si>
  <si>
    <t>Ume\xe5, Sweden</t>
  </si>
  <si>
    <t>RVA</t>
  </si>
  <si>
    <t>Bourne End, Bucks</t>
  </si>
  <si>
    <t>\xdcT: 59.3729165,18.0653021</t>
  </si>
  <si>
    <t xml:space="preserve">Tallahassee, FL </t>
  </si>
  <si>
    <t>Nacka, Stockholm</t>
  </si>
  <si>
    <t>Londrina</t>
  </si>
  <si>
    <t>London/Firenze/Other</t>
  </si>
  <si>
    <t>North Canterbury, New Zealand</t>
  </si>
  <si>
    <t>orkney scotland</t>
  </si>
  <si>
    <t xml:space="preserve">xianyang, China </t>
  </si>
  <si>
    <t>County Kildare</t>
  </si>
  <si>
    <t>East London &amp; Margate UK</t>
  </si>
  <si>
    <t>Edinburgh/Kirkwall</t>
  </si>
  <si>
    <t>still in hiding</t>
  </si>
  <si>
    <t>W5 (for the time being)</t>
  </si>
  <si>
    <t>unit 1 Belgard sq. Tallaght</t>
  </si>
  <si>
    <t>Hopefully America</t>
  </si>
  <si>
    <t>Scotland, Caithness</t>
  </si>
  <si>
    <t>Dounby, Orkney KW17 2HN</t>
  </si>
  <si>
    <t>Penarth, Wales (mostly)</t>
  </si>
  <si>
    <t>Blacksburg, VA</t>
  </si>
  <si>
    <t>Bury, England</t>
  </si>
  <si>
    <t>BC, Canada</t>
  </si>
  <si>
    <t>Soho Avenue, B18 5LB</t>
  </si>
  <si>
    <t>Shoreham By Sea West Sussex</t>
  </si>
  <si>
    <t>a place the size of Wales</t>
  </si>
  <si>
    <t>Yer heid</t>
  </si>
  <si>
    <t>Lerwick / Edinburgh</t>
  </si>
  <si>
    <t>Lerwick, Shetland.</t>
  </si>
  <si>
    <t>\U0001f340 Paradise \U0001f340</t>
  </si>
  <si>
    <t>Near Glossop</t>
  </si>
  <si>
    <t>Bishop's Stortford/London</t>
  </si>
  <si>
    <t>Lost in a Scottish field</t>
  </si>
  <si>
    <t>Our Nations Capital</t>
  </si>
  <si>
    <t>canada</t>
  </si>
  <si>
    <t>The Oratory School, Woodcote</t>
  </si>
  <si>
    <t>Trentham</t>
  </si>
  <si>
    <t>Notting Hill \u2022 L.A</t>
  </si>
  <si>
    <t>Bulkington, Warwickshire, Eng</t>
  </si>
  <si>
    <t xml:space="preserve">Here and there </t>
  </si>
  <si>
    <t>52.3662,4.8961</t>
  </si>
  <si>
    <t>Southwold</t>
  </si>
  <si>
    <t>wherever I am, there I am..</t>
  </si>
  <si>
    <t>SE London/Kent/Sussex</t>
  </si>
  <si>
    <t>Usually Cardiff</t>
  </si>
  <si>
    <t>Bridgeville, DE</t>
  </si>
  <si>
    <t xml:space="preserve">Tacoma, WA </t>
  </si>
  <si>
    <t>Co Durham uk</t>
  </si>
  <si>
    <t>Being Boring</t>
  </si>
  <si>
    <t>Adelaide Sth Australia</t>
  </si>
  <si>
    <t xml:space="preserve">San Antonio Texas </t>
  </si>
  <si>
    <t>Aberdeen/ Orkney</t>
  </si>
  <si>
    <t xml:space="preserve">New Jersey, Camden County </t>
  </si>
  <si>
    <t>Essex, London, Liverpool</t>
  </si>
  <si>
    <t>Bernicia thrives</t>
  </si>
  <si>
    <t>Orkney, UK.</t>
  </si>
  <si>
    <t>Near the Spectacle Ee</t>
  </si>
  <si>
    <t>IN, USA</t>
  </si>
  <si>
    <t>Greenwich and Lincoln</t>
  </si>
  <si>
    <t>566, Kings Road, London, UK</t>
  </si>
  <si>
    <t>Bangkok Thailand</t>
  </si>
  <si>
    <t>N. Ireland</t>
  </si>
  <si>
    <t>Melbourne library near you</t>
  </si>
  <si>
    <t>SW1P 3AD</t>
  </si>
  <si>
    <t>Mansewood, Scotland</t>
  </si>
  <si>
    <t>Blah Blah Land.</t>
  </si>
  <si>
    <t>Stratford upon Avon</t>
  </si>
  <si>
    <t>industrial landscape</t>
  </si>
  <si>
    <t>Nr the sea at the wrong side o</t>
  </si>
  <si>
    <t>Airth, Scotland</t>
  </si>
  <si>
    <t>Edin/Dundee/Orkney (Hoy lass)</t>
  </si>
  <si>
    <t>National</t>
  </si>
  <si>
    <t>NSW, Australia</t>
  </si>
  <si>
    <t>Southwestern Ontario, Canada</t>
  </si>
  <si>
    <t>in your heart</t>
  </si>
  <si>
    <t>Staten Island, NY</t>
  </si>
  <si>
    <t>Acre Valley</t>
  </si>
  <si>
    <t>fe | they/them | nb lesbian</t>
  </si>
  <si>
    <t>Derbyshire, England</t>
  </si>
  <si>
    <t>Colby, Isle of Man</t>
  </si>
  <si>
    <t>Clovenfords, Scotland</t>
  </si>
  <si>
    <t>Hawthorn, County Durham</t>
  </si>
  <si>
    <t>PETA Theater Center</t>
  </si>
  <si>
    <t>Aotearoa New Zealand</t>
  </si>
  <si>
    <t>UiTM Shah Alam</t>
  </si>
  <si>
    <t>Paducah, Kentucky</t>
  </si>
  <si>
    <t>Argentina \u270c</t>
  </si>
  <si>
    <t>London, Caversham, Scotland</t>
  </si>
  <si>
    <t>Crewe, Cheshire, UK</t>
  </si>
  <si>
    <t>Scotland &amp; South Africa</t>
  </si>
  <si>
    <t>Cardiff or London.</t>
  </si>
  <si>
    <t>London/Warks</t>
  </si>
  <si>
    <t>asia</t>
  </si>
  <si>
    <t>Banff and Buchan</t>
  </si>
  <si>
    <t>Black Country, UK</t>
  </si>
  <si>
    <t>Edinburgh/Teesside</t>
  </si>
  <si>
    <t>Eyemouth, Scottish Borders</t>
  </si>
  <si>
    <t>Haridwar, India</t>
  </si>
  <si>
    <t>Leafy north London</t>
  </si>
  <si>
    <t>Wrexham County Borough Council</t>
  </si>
  <si>
    <t>Bishop Burton, East Yorkshire</t>
  </si>
  <si>
    <t>near Newcastle, UK</t>
  </si>
  <si>
    <t xml:space="preserve">Up t'valley. Or not. </t>
  </si>
  <si>
    <t xml:space="preserve">Henderson </t>
  </si>
  <si>
    <t>Margaret River, Australia</t>
  </si>
  <si>
    <t>in transit</t>
  </si>
  <si>
    <t>Balintore, Highlands</t>
  </si>
  <si>
    <t>Scotland/Namibia</t>
  </si>
  <si>
    <t xml:space="preserve">Cloud Cuckoo Land </t>
  </si>
  <si>
    <t>Blairgowrie</t>
  </si>
  <si>
    <t>Hollywood</t>
  </si>
  <si>
    <t>Meterikseweg 153, Horst</t>
  </si>
  <si>
    <t xml:space="preserve"> East Lothian. (Scotland)</t>
  </si>
  <si>
    <t>Union-Link, Perth College, SCO</t>
  </si>
  <si>
    <t>Whitstable, Kent</t>
  </si>
  <si>
    <t xml:space="preserve"> Margate</t>
  </si>
  <si>
    <t>New York, Hudson Valley</t>
  </si>
  <si>
    <t>A Pagan Place</t>
  </si>
  <si>
    <t>catbinfever.wordpress.com</t>
  </si>
  <si>
    <t>Here and There</t>
  </si>
  <si>
    <t>Dependent on the weather...</t>
  </si>
  <si>
    <t xml:space="preserve">Devon </t>
  </si>
  <si>
    <t>Brewood England</t>
  </si>
  <si>
    <t>central London</t>
  </si>
  <si>
    <t>55.83672,-4.28024</t>
  </si>
  <si>
    <t xml:space="preserve">Renfrew, Glasgow </t>
  </si>
  <si>
    <t>Leith (Edinburgh), Scotland</t>
  </si>
  <si>
    <t>Highland, Thurso</t>
  </si>
  <si>
    <t>We're a long way from home...</t>
  </si>
  <si>
    <t>Shawlands, Glasgow</t>
  </si>
  <si>
    <t>KOI</t>
  </si>
  <si>
    <t>Minneapolis, MN, USA</t>
  </si>
  <si>
    <t>Parry Sound District</t>
  </si>
  <si>
    <t>Several places in Devon!</t>
  </si>
  <si>
    <t>Jeddah/Boston</t>
  </si>
  <si>
    <t>Prolly on the m90</t>
  </si>
  <si>
    <t>under a pizza box</t>
  </si>
  <si>
    <t>Market Harborough</t>
  </si>
  <si>
    <t>London/Buckinghamshire</t>
  </si>
  <si>
    <t>Scotland, The Cosmos</t>
  </si>
  <si>
    <t>Broughty Ferry, Scotland</t>
  </si>
  <si>
    <t>Brighton East Sussex</t>
  </si>
  <si>
    <t>Tied to the kitchen sink</t>
  </si>
  <si>
    <t>Huntly, Aberdeenshire</t>
  </si>
  <si>
    <t xml:space="preserve">Musselburgh, East Lothian  </t>
  </si>
  <si>
    <t>Timnath, Colorado, USA</t>
  </si>
  <si>
    <t>Austin, Texas USA</t>
  </si>
  <si>
    <t>Chipping, Lancashire</t>
  </si>
  <si>
    <t>Filey, North Yorkshire</t>
  </si>
  <si>
    <t>group study room F</t>
  </si>
  <si>
    <t>Bristol (mostly)</t>
  </si>
  <si>
    <t>saarf engerlaand, UK</t>
  </si>
  <si>
    <t>kirkwall city</t>
  </si>
  <si>
    <t>Usually on a Train</t>
  </si>
  <si>
    <t>Worthing, UK</t>
  </si>
  <si>
    <t>Oakenshaw, UK</t>
  </si>
  <si>
    <t>Nunhead, London</t>
  </si>
  <si>
    <t xml:space="preserve">Scottish Borders  </t>
  </si>
  <si>
    <t>Stornoway/Outer Hebrides</t>
  </si>
  <si>
    <t>Zone 5</t>
  </si>
  <si>
    <t>57.126237,-2.093891</t>
  </si>
  <si>
    <t>Nairn, Scotland.</t>
  </si>
  <si>
    <t>Norn Iron</t>
  </si>
  <si>
    <t>Somewhere in Leicestershire</t>
  </si>
  <si>
    <t>Cardiff &amp; London</t>
  </si>
  <si>
    <t>Gananoque, ON</t>
  </si>
  <si>
    <t>in Staffordshire</t>
  </si>
  <si>
    <t>Dorking</t>
  </si>
  <si>
    <t xml:space="preserve">Ashington, Northumberland </t>
  </si>
  <si>
    <t>Moosonee, Ontario</t>
  </si>
  <si>
    <t>north west</t>
  </si>
  <si>
    <t>Chawton, England</t>
  </si>
  <si>
    <t>Califoria, Dallas, Tennessee</t>
  </si>
  <si>
    <t>Buckingham Palace, London</t>
  </si>
  <si>
    <t>\xdcT: 51.451204,-2.574814</t>
  </si>
  <si>
    <t xml:space="preserve">East Kent </t>
  </si>
  <si>
    <t>British Columbia Canada</t>
  </si>
  <si>
    <t>Derbyshire, East Midlands, UK</t>
  </si>
  <si>
    <t>Nr Glasgow</t>
  </si>
  <si>
    <t>Super Slam Milwaukee, WI</t>
  </si>
  <si>
    <t>Swimming against the tide.</t>
  </si>
  <si>
    <t>South Ronaldsay, Orkney</t>
  </si>
  <si>
    <t>Gloucs/Devon/Derbys</t>
  </si>
  <si>
    <t>N Somerset</t>
  </si>
  <si>
    <t xml:space="preserve">Edgewater NJ </t>
  </si>
  <si>
    <t>Cairns, Queensland</t>
  </si>
  <si>
    <t xml:space="preserve">Prosecco </t>
  </si>
  <si>
    <t>By the fridge door, eating ham</t>
  </si>
  <si>
    <t xml:space="preserve">London. Mainly. </t>
  </si>
  <si>
    <t>\xdcT: 37.135511,-4.736238</t>
  </si>
  <si>
    <t>Puerto de Mazarr\xf3n, Spain</t>
  </si>
  <si>
    <t>River Thames</t>
  </si>
  <si>
    <t>Democratic Republic of Haster</t>
  </si>
  <si>
    <t>Lost, do not follow...</t>
  </si>
  <si>
    <t>Sutton in Ashfield</t>
  </si>
  <si>
    <t>Hong Kong/Manchester</t>
  </si>
  <si>
    <t xml:space="preserve">Up North. Near Kendal. </t>
  </si>
  <si>
    <t>Noo-cassel</t>
  </si>
  <si>
    <t>N15 / WC1N / HP7</t>
  </si>
  <si>
    <t>West Berkshire, England</t>
  </si>
  <si>
    <t xml:space="preserve">Oxenhope </t>
  </si>
  <si>
    <t>London/Leeds</t>
  </si>
  <si>
    <t>Dorchester, Dorset</t>
  </si>
  <si>
    <t>London,</t>
  </si>
  <si>
    <t>Whitwick</t>
  </si>
  <si>
    <t>back home</t>
  </si>
  <si>
    <t xml:space="preserve"> Isle of Man</t>
  </si>
  <si>
    <t xml:space="preserve"> Midlands, UK</t>
  </si>
  <si>
    <t>Republic of Shabbington</t>
  </si>
  <si>
    <t>Merthyr\U0001f697Merseyside</t>
  </si>
  <si>
    <t>The dry side up north</t>
  </si>
  <si>
    <t>Bristly</t>
  </si>
  <si>
    <t xml:space="preserve">Leyton </t>
  </si>
  <si>
    <t>South of Tud</t>
  </si>
  <si>
    <t>Teviot Row House, Edinburgh</t>
  </si>
  <si>
    <t>Horwich</t>
  </si>
  <si>
    <t>North Shields</t>
  </si>
  <si>
    <t>Robin Hood country</t>
  </si>
  <si>
    <t>#Wiltshire #Huntingdon</t>
  </si>
  <si>
    <t>Yorkshire, Scotland, London</t>
  </si>
  <si>
    <t>location location</t>
  </si>
  <si>
    <t>Leafy suburbs WD3.</t>
  </si>
  <si>
    <t>Milngavie, Glasgow, Scotland</t>
  </si>
  <si>
    <t>Missionary work in Glasgow</t>
  </si>
  <si>
    <t>Usually Liverpool</t>
  </si>
  <si>
    <t>Edinburgh (off &amp; on)</t>
  </si>
  <si>
    <t>Eternia</t>
  </si>
  <si>
    <t>nowhere</t>
  </si>
  <si>
    <t>Schiedam</t>
  </si>
  <si>
    <t>Sheffield, South Yorkshire.</t>
  </si>
  <si>
    <t>Leicestershire, England</t>
  </si>
  <si>
    <t>Biggleswade, United Kingdom</t>
  </si>
  <si>
    <t>Livingston, UK</t>
  </si>
  <si>
    <t>Belfast ulster</t>
  </si>
  <si>
    <t>The Langtoun, Fife, Scotland</t>
  </si>
  <si>
    <t>Chicago / Scotland</t>
  </si>
  <si>
    <t>Covering the UK and Ireland</t>
  </si>
  <si>
    <t xml:space="preserve">Wherever you are </t>
  </si>
  <si>
    <t xml:space="preserve">glasgow scotland </t>
  </si>
  <si>
    <t>Beside the Seaside</t>
  </si>
  <si>
    <t xml:space="preserve"> Launceston, Cornwall.</t>
  </si>
  <si>
    <t>Sunshine Coast, Australia</t>
  </si>
  <si>
    <t>Warwickshire United Kingdom</t>
  </si>
  <si>
    <t>Engelbert</t>
  </si>
  <si>
    <t>liverpool\n</t>
  </si>
  <si>
    <t>Beside the seaside.</t>
  </si>
  <si>
    <t>London, United Kimgdom</t>
  </si>
  <si>
    <t>Hobart, Australia</t>
  </si>
  <si>
    <t>Philly Mind Houston Life</t>
  </si>
  <si>
    <t>Immigrant in The Netherlands</t>
  </si>
  <si>
    <t>Winterpeg</t>
  </si>
  <si>
    <t>Middle of America</t>
  </si>
  <si>
    <t>Saskatoon, SK</t>
  </si>
  <si>
    <t>Hill of Fearn, Highlands</t>
  </si>
  <si>
    <t>Brookfield, Ambridge</t>
  </si>
  <si>
    <t>New Milton *OR* Applecross, UK</t>
  </si>
  <si>
    <t>\u0627\u0644\u0627\u0633\u0643\u0646\u062f\u0631\u064a\u0629</t>
  </si>
  <si>
    <t>La Jolla, CA</t>
  </si>
  <si>
    <t>Sheffield UK - QRZ M0USV</t>
  </si>
  <si>
    <t>Kilwinning</t>
  </si>
  <si>
    <t>Ulaanbaatar</t>
  </si>
  <si>
    <t>Auburn Hills, MI</t>
  </si>
  <si>
    <t>Goostrey, Cheshire</t>
  </si>
  <si>
    <t>Yorks/Lancs/London &amp; Wherever</t>
  </si>
  <si>
    <t>Edinburgh-Scotland, UK</t>
  </si>
  <si>
    <t>Weston on Trent</t>
  </si>
  <si>
    <t>Carlton, Melbourne, Australia.</t>
  </si>
  <si>
    <t>Mali</t>
  </si>
  <si>
    <t>On your skin</t>
  </si>
  <si>
    <t>Oeiras</t>
  </si>
  <si>
    <t>Brunswick, Victoria</t>
  </si>
  <si>
    <t>Location: (hey young) LONDON</t>
  </si>
  <si>
    <t>Preston, Lancashire, The North</t>
  </si>
  <si>
    <t>Digbeth, Birmingham, UK</t>
  </si>
  <si>
    <t>facebook.com/TorBooksUK</t>
  </si>
  <si>
    <t xml:space="preserve">UK - Lancashire and London </t>
  </si>
  <si>
    <t>the wilds of Perthshire</t>
  </si>
  <si>
    <t xml:space="preserve">cambridgeshire </t>
  </si>
  <si>
    <t>\xdcT: 51.414988,-0.403521</t>
  </si>
  <si>
    <t>Borgholm</t>
  </si>
  <si>
    <t xml:space="preserve">helensburgh </t>
  </si>
  <si>
    <t>Aberdeen, Scotland, Europe</t>
  </si>
  <si>
    <t>My house, or elsewhere.</t>
  </si>
  <si>
    <t>Reddingmuirhead</t>
  </si>
  <si>
    <t>Tunbridge Wells, Kent/London.</t>
  </si>
  <si>
    <t>Herne Hill, SE24 0AG, London</t>
  </si>
  <si>
    <t>Highbury, London</t>
  </si>
  <si>
    <t>Colmenar, M\xe1laga</t>
  </si>
  <si>
    <t>Bubbles in the Stream</t>
  </si>
  <si>
    <t>Outer-suburban feminazi</t>
  </si>
  <si>
    <t>Royal Holloway, Egham, UK</t>
  </si>
  <si>
    <t>Ciudad Aut\xf3noma de Buenos Aires, Argentina</t>
  </si>
  <si>
    <t>Aberdeenshire, Scotland.</t>
  </si>
  <si>
    <t>UG</t>
  </si>
  <si>
    <t>Ned Potter</t>
  </si>
  <si>
    <t>Orkney Islands Council</t>
  </si>
  <si>
    <t>Los Gatos, California</t>
  </si>
  <si>
    <t>The Surrey Hills</t>
  </si>
  <si>
    <t>GNM Hancock</t>
  </si>
  <si>
    <t>Glasgow / Lyon</t>
  </si>
  <si>
    <t>\u041c\u043e\u0441\u043a\u0432\u0430</t>
  </si>
  <si>
    <t>Edinburgh, sunny Scotland</t>
  </si>
  <si>
    <t>Between the Ruhr and the Weser</t>
  </si>
  <si>
    <t>Epsom, Surrey</t>
  </si>
  <si>
    <t>Melbourne, Straya (approx)</t>
  </si>
  <si>
    <t>N 57\xb054' 0'' / W 5\xb09' 0''</t>
  </si>
  <si>
    <t>Tijuana, B. C., Mexico</t>
  </si>
  <si>
    <t>London, England, UK, Europe</t>
  </si>
  <si>
    <t>Chester - North West UK</t>
  </si>
  <si>
    <t>South West/Wales</t>
  </si>
  <si>
    <t>London, mostly.</t>
  </si>
  <si>
    <t>yo nado</t>
  </si>
  <si>
    <t>north by north west</t>
  </si>
  <si>
    <t>barnsley south yorkshire</t>
  </si>
  <si>
    <t>kings Heath, Birmingham, UK</t>
  </si>
  <si>
    <t>se16</t>
  </si>
  <si>
    <t>Washington, DC area</t>
  </si>
  <si>
    <t>Wigan/Sheffield</t>
  </si>
  <si>
    <t>Hicksville</t>
  </si>
  <si>
    <t>Steep, Hampshire, UK</t>
  </si>
  <si>
    <t>Berlin-Lond\xf6n</t>
  </si>
  <si>
    <t>Turriff/Leeds</t>
  </si>
  <si>
    <t>Princetown (mostly)</t>
  </si>
  <si>
    <t>Ashland, Oregon</t>
  </si>
  <si>
    <t>Rimutaka Park, SL</t>
  </si>
  <si>
    <t>North Wales &amp; Manchester</t>
  </si>
  <si>
    <t>Around and about</t>
  </si>
  <si>
    <t>\xdcT: 51.305147,-0.743826</t>
  </si>
  <si>
    <t>51.478198,-3.176056</t>
  </si>
  <si>
    <t>Saffa in LDN, NCL</t>
  </si>
  <si>
    <t>London, E17</t>
  </si>
  <si>
    <t>Pyjamas</t>
  </si>
  <si>
    <t>Cambridge, Europe</t>
  </si>
  <si>
    <t>Mum,India</t>
  </si>
  <si>
    <t>Brighton-London-World</t>
  </si>
  <si>
    <t>Scotia</t>
  </si>
  <si>
    <t>Scotland/England</t>
  </si>
  <si>
    <t>Langdon Hills / Leigh-on-Sea</t>
  </si>
  <si>
    <t>London &amp; Vancouver</t>
  </si>
  <si>
    <t>Shropshire, United Kingdom</t>
  </si>
  <si>
    <t>In a dark wood wandering</t>
  </si>
  <si>
    <t>St. Andrews, Scotland</t>
  </si>
  <si>
    <t>Duns, Berwickshire, Scotland</t>
  </si>
  <si>
    <t>Weymouth</t>
  </si>
  <si>
    <t>Domum est Isca Silurum</t>
  </si>
  <si>
    <t>Vauxhall, SW8</t>
  </si>
  <si>
    <t>South (a bit with hills)</t>
  </si>
  <si>
    <t>Vung Tau, St Helens &amp; Bangkok</t>
  </si>
  <si>
    <t>Tokyo</t>
  </si>
  <si>
    <t>Evesham</t>
  </si>
  <si>
    <t>London, Ontario Canada</t>
  </si>
  <si>
    <t>Hildenborough</t>
  </si>
  <si>
    <t>TTHHEE PPAARRTTYY</t>
  </si>
  <si>
    <t>the ghetto</t>
  </si>
  <si>
    <t>Rossland, BC</t>
  </si>
  <si>
    <t xml:space="preserve">Nairn, Highlands, Scotland </t>
  </si>
  <si>
    <t>the World</t>
  </si>
  <si>
    <t>County Kerry</t>
  </si>
  <si>
    <t>Gateshead, Birtley and Blaydon</t>
  </si>
  <si>
    <t>Penrith</t>
  </si>
  <si>
    <t>Colorado</t>
  </si>
  <si>
    <t>Ravenclaw Tower</t>
  </si>
  <si>
    <t>Surrey UK</t>
  </si>
  <si>
    <t>London / Middlesex</t>
  </si>
  <si>
    <t>Global citizen</t>
  </si>
  <si>
    <t>State College, Pennsylvania</t>
  </si>
  <si>
    <t xml:space="preserve">Fen Edge, Cambs </t>
  </si>
  <si>
    <t>Peterborough, England, UK</t>
  </si>
  <si>
    <t>Orkney London</t>
  </si>
  <si>
    <t>Spain-Costa Rica-United States</t>
  </si>
  <si>
    <t>Washington Office HQ</t>
  </si>
  <si>
    <t>Aberdoom, Scotland</t>
  </si>
  <si>
    <t>Greater Toronto Area | Canada</t>
  </si>
  <si>
    <t>London, Kew</t>
  </si>
  <si>
    <t>Kaposv\xe1r</t>
  </si>
  <si>
    <t>LEWES</t>
  </si>
  <si>
    <t>https://www.airbnb.co.uk/rooms</t>
  </si>
  <si>
    <t>Upstate of South Carolina</t>
  </si>
  <si>
    <t>Galway Ireland</t>
  </si>
  <si>
    <t>Darlington</t>
  </si>
  <si>
    <t>Leek Staffordshire</t>
  </si>
  <si>
    <t>Brixton / Holborn</t>
  </si>
  <si>
    <t>Lives in Dublin City</t>
  </si>
  <si>
    <t>Northern Illinois</t>
  </si>
  <si>
    <t>shetland isles</t>
  </si>
  <si>
    <t>Westport, Connecticut</t>
  </si>
  <si>
    <t>raasay &amp; beyond</t>
  </si>
  <si>
    <t>San Francisco, CA &amp; Global</t>
  </si>
  <si>
    <t>Weston, CT</t>
  </si>
  <si>
    <t>Deepest, darkest Hertfordshire</t>
  </si>
  <si>
    <t>Miami-Dade b/ 2920 W 115th St.</t>
  </si>
  <si>
    <t>Hanwell</t>
  </si>
  <si>
    <t>Peregrinating</t>
  </si>
  <si>
    <t xml:space="preserve">Hackney </t>
  </si>
  <si>
    <t>Rutherglen, Scotland</t>
  </si>
  <si>
    <t>Clarkston, East Renfrewshire</t>
  </si>
  <si>
    <t>Grimsby - UK</t>
  </si>
  <si>
    <t>Addison, Texas, USA</t>
  </si>
  <si>
    <t>Baia Mare</t>
  </si>
  <si>
    <t>Crosshill, Scotland</t>
  </si>
  <si>
    <t xml:space="preserve">Bury, Lancashire </t>
  </si>
  <si>
    <t>We are nowhere and it's now</t>
  </si>
  <si>
    <t xml:space="preserve">By the Sea </t>
  </si>
  <si>
    <t>An anaesthetic room near you</t>
  </si>
  <si>
    <t>SE London &amp; Folkestone</t>
  </si>
  <si>
    <t>Crying on the bathroom floor</t>
  </si>
  <si>
    <t>Holm, Orkney</t>
  </si>
  <si>
    <t>Fort McMurray, Alberta</t>
  </si>
  <si>
    <t>An Taobh Tuath, Isle of Harris</t>
  </si>
  <si>
    <t>Gbg</t>
  </si>
  <si>
    <t xml:space="preserve">St Andrews, Fife </t>
  </si>
  <si>
    <t>Stroud, Gloucestershire, UK</t>
  </si>
  <si>
    <t>London &amp; S.Coast England</t>
  </si>
  <si>
    <t>Here be dragons.</t>
  </si>
  <si>
    <t>Jutish diaspora</t>
  </si>
  <si>
    <t>newcastle-upon-tyne</t>
  </si>
  <si>
    <t>North East Lincolnshire</t>
  </si>
  <si>
    <t>Tallaght, Dublin, Ireland</t>
  </si>
  <si>
    <t>Edinburgh!</t>
  </si>
  <si>
    <t>Anor Londo, Surrey</t>
  </si>
  <si>
    <t>At home or work</t>
  </si>
  <si>
    <t>Slaughtneil, Co. Derry</t>
  </si>
  <si>
    <t>Quinton, Birmingham. UK</t>
  </si>
  <si>
    <t xml:space="preserve">Washington DC London </t>
  </si>
  <si>
    <t>Between London and Lewis</t>
  </si>
  <si>
    <t>Chester &amp; Liverpool</t>
  </si>
  <si>
    <t>Onchan, Isle of Man</t>
  </si>
  <si>
    <t>Saint-Gilles, BE.</t>
  </si>
  <si>
    <t>PDX/NCL</t>
  </si>
  <si>
    <t>@Lifetime</t>
  </si>
  <si>
    <t>Bruxelles, Belgium \U0001f1ea\U0001f1fa</t>
  </si>
  <si>
    <t>Hayle, Cornwall</t>
  </si>
  <si>
    <t>Nottingham, England, The World</t>
  </si>
  <si>
    <t>Meath, Ireland</t>
  </si>
  <si>
    <t>Still me; just incognito</t>
  </si>
  <si>
    <t>Wrecsam</t>
  </si>
  <si>
    <t>Snobby rural Worcestershire</t>
  </si>
  <si>
    <t>Dundee-Shetland-Nunavut(2018)</t>
  </si>
  <si>
    <t xml:space="preserve">Mcr, Westeros. </t>
  </si>
  <si>
    <t>Chelsea, London</t>
  </si>
  <si>
    <t>rousay, orkney</t>
  </si>
  <si>
    <t>Manitou, MB</t>
  </si>
  <si>
    <t>Putney Vale Cemetery</t>
  </si>
  <si>
    <t>375, Upper Richmond Rd. SW14</t>
  </si>
  <si>
    <t>Western Oregon, USA</t>
  </si>
  <si>
    <t>near Edinburgh</t>
  </si>
  <si>
    <t>Hertfordshire, Great Britain</t>
  </si>
  <si>
    <t>Syracuse, New York</t>
  </si>
  <si>
    <t>the stacks, nyc</t>
  </si>
  <si>
    <t>Orkney - Mostly</t>
  </si>
  <si>
    <t>Plymouth, Nh</t>
  </si>
  <si>
    <t>Chippenham, Wiltshire</t>
  </si>
  <si>
    <t>The Toon</t>
  </si>
  <si>
    <t>London town</t>
  </si>
  <si>
    <t>\xdcT: 51.165805,-2.531469</t>
  </si>
  <si>
    <t>Kongsberg, Norge</t>
  </si>
  <si>
    <t>Dallas      Texas</t>
  </si>
  <si>
    <t>Glasgow &amp; Edinburgh</t>
  </si>
  <si>
    <t>North of Scotland</t>
  </si>
  <si>
    <t>Running over your foot at high speed</t>
  </si>
  <si>
    <t>West Midlands. UK</t>
  </si>
  <si>
    <t>BBC Radio Scotland</t>
  </si>
  <si>
    <t>East Grinstead</t>
  </si>
  <si>
    <t>EmidsUK</t>
  </si>
  <si>
    <t>Somewhere south of Portland</t>
  </si>
  <si>
    <t>Anywhere useful.</t>
  </si>
  <si>
    <t xml:space="preserve">Brechin,Scotland </t>
  </si>
  <si>
    <t>Erskine Scotland</t>
  </si>
  <si>
    <t>50c St Ninians Road 16-03-2003</t>
  </si>
  <si>
    <t>Sunderland, Tyne and Wear</t>
  </si>
  <si>
    <t>Upstate New York</t>
  </si>
  <si>
    <t>Eilean a' Cheo</t>
  </si>
  <si>
    <t>Islandia</t>
  </si>
  <si>
    <t>worcester</t>
  </si>
  <si>
    <t>N 51\xb031' 0'' / W 0\xb08' 0''</t>
  </si>
  <si>
    <t>Kilmartin, Argyll</t>
  </si>
  <si>
    <t xml:space="preserve">Reykjav\xedk, Iceland </t>
  </si>
  <si>
    <t>South Tyneside, GB</t>
  </si>
  <si>
    <t>Kirkintilloch &amp; Cumbernauld</t>
  </si>
  <si>
    <t xml:space="preserve">Morpeth, Northumberland </t>
  </si>
  <si>
    <t>Barnes, London SW13</t>
  </si>
  <si>
    <t>Lapford</t>
  </si>
  <si>
    <t>Paris / Edinburgh / Orkney</t>
  </si>
  <si>
    <t>St Mary Mead</t>
  </si>
  <si>
    <t>SE24 (hours of darkness only)</t>
  </si>
  <si>
    <t>Moe</t>
  </si>
  <si>
    <t xml:space="preserve"> Sunny Ca. desert</t>
  </si>
  <si>
    <t>NewcastleGateshead</t>
  </si>
  <si>
    <t>Londonista</t>
  </si>
  <si>
    <t>Far North of Scotland</t>
  </si>
  <si>
    <t>Stockwell</t>
  </si>
  <si>
    <t>Holywood, NI</t>
  </si>
  <si>
    <t xml:space="preserve"> Bristol</t>
  </si>
  <si>
    <t>Ennis, Co Clare, IRELAND</t>
  </si>
  <si>
    <t>Deal, Kent beside the sea....</t>
  </si>
  <si>
    <t>Dad's Corner</t>
  </si>
  <si>
    <t>Yorkshire, England</t>
  </si>
  <si>
    <t>Warwick, UK</t>
  </si>
  <si>
    <t>office@carouselguide.co.uk</t>
  </si>
  <si>
    <t>Cairnbulg</t>
  </si>
  <si>
    <t>Stn Rd, Cambridge CB1 2LA, UK</t>
  </si>
  <si>
    <t>on the sofa or in bed</t>
  </si>
  <si>
    <t>North Midlands</t>
  </si>
  <si>
    <t>North Warwickshire</t>
  </si>
  <si>
    <t>London Borough of Sutton</t>
  </si>
  <si>
    <t>Alice Springs</t>
  </si>
  <si>
    <t>Under the sea</t>
  </si>
  <si>
    <t>Stirling and Orkney</t>
  </si>
  <si>
    <t>Sydney,Australia</t>
  </si>
  <si>
    <t>Brent, London</t>
  </si>
  <si>
    <t>Norfolk and Suffolk</t>
  </si>
  <si>
    <t>Northwest N.I</t>
  </si>
  <si>
    <t>Cranbrook, BC</t>
  </si>
  <si>
    <t>Where hungry librarians gather</t>
  </si>
  <si>
    <t>Dewsbury</t>
  </si>
  <si>
    <t>The Great Pacific Northwest</t>
  </si>
  <si>
    <t>Lewes, UK</t>
  </si>
  <si>
    <t>Kyogle, NSW, Australia</t>
  </si>
  <si>
    <t>kamptee</t>
  </si>
  <si>
    <t>Oxford / London</t>
  </si>
  <si>
    <t>Isle of Sanday, Orkney</t>
  </si>
  <si>
    <t xml:space="preserve">Sunny Scotland                </t>
  </si>
  <si>
    <t>Lochgelly, Fife</t>
  </si>
  <si>
    <t>Kansas City, MO Metro Area</t>
  </si>
  <si>
    <t xml:space="preserve">Felixstowe </t>
  </si>
  <si>
    <t>Kirkwall, ORKNEY</t>
  </si>
  <si>
    <t>Camden &amp; Narellan, NSW</t>
  </si>
  <si>
    <t>www.bookeventsforschools.co.uk</t>
  </si>
  <si>
    <t>Outside Space</t>
  </si>
  <si>
    <t>Zurich | Switzerland</t>
  </si>
  <si>
    <t>Leamore, Walsall</t>
  </si>
  <si>
    <t>Abu Dhabi, United Arab Emirates</t>
  </si>
  <si>
    <t>Bailiwick of Jersey</t>
  </si>
  <si>
    <t>Bradford on Avon</t>
  </si>
  <si>
    <t xml:space="preserve">Stronsay </t>
  </si>
  <si>
    <t>E102</t>
  </si>
  <si>
    <t>india(maharashtra)</t>
  </si>
  <si>
    <t>ParkTown Johannesburg</t>
  </si>
  <si>
    <t>Val Fleuri</t>
  </si>
  <si>
    <t>Selhurst Park, obviously.</t>
  </si>
  <si>
    <t>middleengland (birmingham)</t>
  </si>
  <si>
    <t>East of Edinburgh</t>
  </si>
  <si>
    <t>Kenya</t>
  </si>
  <si>
    <t>Stenness, Orkney</t>
  </si>
  <si>
    <t>malaysia</t>
  </si>
  <si>
    <t>on a beach in scotland</t>
  </si>
  <si>
    <t>ex-London, now in deepest Kent</t>
  </si>
  <si>
    <t>curled up on the settee</t>
  </si>
  <si>
    <t>Wherever my arse is.</t>
  </si>
  <si>
    <t>UK/Ireland</t>
  </si>
  <si>
    <t>Amham</t>
  </si>
  <si>
    <t xml:space="preserve">Sultanahmet </t>
  </si>
  <si>
    <t>Cumbria, Scotland, London etc.</t>
  </si>
  <si>
    <t>The Somerset-Devon border</t>
  </si>
  <si>
    <t>Brixton mainly</t>
  </si>
  <si>
    <t>South West, England.</t>
  </si>
  <si>
    <t>richardbenson.com</t>
  </si>
  <si>
    <t>America</t>
  </si>
  <si>
    <t>Castle Donington</t>
  </si>
  <si>
    <t>UK-wide</t>
  </si>
  <si>
    <t>english</t>
  </si>
  <si>
    <t>Stromness Orkney UK</t>
  </si>
  <si>
    <t>Koog</t>
  </si>
  <si>
    <t>Malaysia</t>
  </si>
  <si>
    <t>Nevermore.</t>
  </si>
  <si>
    <t>North of the wall</t>
  </si>
  <si>
    <t xml:space="preserve">Orkney, Scotland. </t>
  </si>
  <si>
    <t>West Dover, HRM, NS</t>
  </si>
  <si>
    <t>GLA-INV-FOR-POR-WIC-LER-SCO</t>
  </si>
  <si>
    <t>Glasgow + Shetland, Scotland</t>
  </si>
  <si>
    <t>Banchory Scotland</t>
  </si>
  <si>
    <t>On the water somewhere, UK</t>
  </si>
  <si>
    <t>Upper Hutt, New Zealand</t>
  </si>
  <si>
    <t>midwest</t>
  </si>
  <si>
    <t>in or under van, in the saddle</t>
  </si>
  <si>
    <t>60 Degrees North</t>
  </si>
  <si>
    <t>Melbourne, VIC</t>
  </si>
  <si>
    <t>Warners Bay NSW</t>
  </si>
  <si>
    <t>there and back again</t>
  </si>
  <si>
    <t>Raynes Park, London</t>
  </si>
  <si>
    <t>Oxford University</t>
  </si>
  <si>
    <t>LIBRARY!</t>
  </si>
  <si>
    <t>Ruth the librarian</t>
  </si>
  <si>
    <t>St. Paul/Mpls, MN</t>
  </si>
  <si>
    <t xml:space="preserve">Durham UK </t>
  </si>
  <si>
    <t>Brighton, usually</t>
  </si>
  <si>
    <t>Rainy Wales</t>
  </si>
  <si>
    <t>Kernow</t>
  </si>
  <si>
    <t>Connaught, Eire</t>
  </si>
  <si>
    <t>Newtonhill</t>
  </si>
  <si>
    <t>Finstown, Orkney, Scotland, UK</t>
  </si>
  <si>
    <t>St. Cloud, MN</t>
  </si>
  <si>
    <t xml:space="preserve">Suffolk, VA </t>
  </si>
  <si>
    <t>Portsmouth GB</t>
  </si>
  <si>
    <t>Unaustralia</t>
  </si>
  <si>
    <t>Parker, CO.</t>
  </si>
  <si>
    <t>Thornton, England</t>
  </si>
  <si>
    <t>Giffnock, Glasgow</t>
  </si>
  <si>
    <t>Missoula, MT</t>
  </si>
  <si>
    <t xml:space="preserve">hull in </t>
  </si>
  <si>
    <t>Co Durham, England</t>
  </si>
  <si>
    <t>Weird field</t>
  </si>
  <si>
    <t>Ambleside, England</t>
  </si>
  <si>
    <t>Shallowest Lightest Cheshire</t>
  </si>
  <si>
    <t>Glebe, NSW</t>
  </si>
  <si>
    <t>Grampian</t>
  </si>
  <si>
    <t>Palermo</t>
  </si>
  <si>
    <t>Holby</t>
  </si>
  <si>
    <t>ORKNEY :O</t>
  </si>
  <si>
    <t>iPhone: 53.388401,-1.527131</t>
  </si>
  <si>
    <t xml:space="preserve"> Bucks, Beds, Herts</t>
  </si>
  <si>
    <t xml:space="preserve">MCR / LON </t>
  </si>
  <si>
    <t>County Cork</t>
  </si>
  <si>
    <t xml:space="preserve">in between </t>
  </si>
  <si>
    <t>Avalon (i.e., Glastonbury)</t>
  </si>
  <si>
    <t>london e17</t>
  </si>
  <si>
    <t>Writ large twixt life's pages</t>
  </si>
  <si>
    <t>BLACKPOOL</t>
  </si>
  <si>
    <t>Lausanne &amp; Morges (Suisse)</t>
  </si>
  <si>
    <t>Glorious North Yorkshire, UK</t>
  </si>
  <si>
    <t>Chicago, IL, USA</t>
  </si>
  <si>
    <t>Wherever I lay one of my hats</t>
  </si>
  <si>
    <t xml:space="preserve">Durham </t>
  </si>
  <si>
    <t>University of York, UK</t>
  </si>
  <si>
    <t>North of Hadrian's Wall</t>
  </si>
  <si>
    <t>Castle Douglas</t>
  </si>
  <si>
    <t>Harehills</t>
  </si>
  <si>
    <t>Keswick,  Cumbria</t>
  </si>
  <si>
    <t>Newbury</t>
  </si>
  <si>
    <t>Sunderland, The North</t>
  </si>
  <si>
    <t>Kingsley &amp; Liverpool</t>
  </si>
  <si>
    <t>Sunderland / Gateshead</t>
  </si>
  <si>
    <t>Albany,NY</t>
  </si>
  <si>
    <t>Fleet, UK</t>
  </si>
  <si>
    <t>Hitchin, UK</t>
  </si>
  <si>
    <t>Nadiad, Gujarat</t>
  </si>
  <si>
    <t>Near Glasgow</t>
  </si>
  <si>
    <t>In the middle of the UK</t>
  </si>
  <si>
    <t>Dundee (via Norn Irn)</t>
  </si>
  <si>
    <t>Mostly in the 18th Century</t>
  </si>
  <si>
    <t>San Francisco and London</t>
  </si>
  <si>
    <t>Stokes Croft</t>
  </si>
  <si>
    <t xml:space="preserve"> www.alexchisholm.org </t>
  </si>
  <si>
    <t>AZ,USA</t>
  </si>
  <si>
    <t>deepest darkest Norfolk, UK</t>
  </si>
  <si>
    <t>California, Falkirk</t>
  </si>
  <si>
    <t>Orlando,FL</t>
  </si>
  <si>
    <t>Somewhere in Australia</t>
  </si>
  <si>
    <t>Home: Kent - Work: Nationwide</t>
  </si>
  <si>
    <t>Down South,  UK</t>
  </si>
  <si>
    <t>Ga</t>
  </si>
  <si>
    <t>the Lancastrian planes</t>
  </si>
  <si>
    <t>U.S. Midwest</t>
  </si>
  <si>
    <t>The Orkney Islands</t>
  </si>
  <si>
    <t>LS4</t>
  </si>
  <si>
    <t>London/Weybridge</t>
  </si>
  <si>
    <t>Weiler</t>
  </si>
  <si>
    <t>Crail, Scotland</t>
  </si>
  <si>
    <t>The garden of England</t>
  </si>
  <si>
    <t>49 Madbury Rd, Durham NH</t>
  </si>
  <si>
    <t>TEL AVIV ISrael</t>
  </si>
  <si>
    <t>East Ayrshire</t>
  </si>
  <si>
    <t>Blokker</t>
  </si>
  <si>
    <t>Poughkeepsie, NY</t>
  </si>
  <si>
    <t xml:space="preserve">Deptford, London SE8 </t>
  </si>
  <si>
    <t xml:space="preserve"> Cambridge</t>
  </si>
  <si>
    <t>Colne, Lancashire, England</t>
  </si>
  <si>
    <t>iPhone: 51.100044,-2.522159</t>
  </si>
  <si>
    <t>Ipswich, Brisbane</t>
  </si>
  <si>
    <t>Gravesend in Kent, UK</t>
  </si>
  <si>
    <t>SE london</t>
  </si>
  <si>
    <t>Birmingham Archives &amp; Heritage</t>
  </si>
  <si>
    <t>0\xb000\u2032N 102\xb000\u2032E</t>
  </si>
  <si>
    <t>Tbilisi, Georgia</t>
  </si>
  <si>
    <t>Sunny Hawke's Bay, New Zealand</t>
  </si>
  <si>
    <t>Cumbernauld</t>
  </si>
  <si>
    <t>Amazingstoke, Hampshire, UK</t>
  </si>
  <si>
    <t>morley, leeds</t>
  </si>
  <si>
    <t>Dublin 2, Ireland</t>
  </si>
  <si>
    <t>Vineyard, UT</t>
  </si>
  <si>
    <t>London Borough of Camden</t>
  </si>
  <si>
    <t>egypt</t>
  </si>
  <si>
    <t>Westminster, CA</t>
  </si>
  <si>
    <t>Toronto &amp; Ottawa</t>
  </si>
  <si>
    <t>Aviary Hall, sometimes.</t>
  </si>
  <si>
    <t>penultima thule</t>
  </si>
  <si>
    <t>Ancona</t>
  </si>
  <si>
    <t>Littlerock, WA</t>
  </si>
  <si>
    <t>Controversial Yale Feline Studies Lab</t>
  </si>
  <si>
    <t>Out of the way places</t>
  </si>
  <si>
    <t>iPhone: 51.514007,-0.198268</t>
  </si>
  <si>
    <t>West Central Scotland</t>
  </si>
  <si>
    <t>Devonshire</t>
  </si>
  <si>
    <t>Port Erin, Isle of Man</t>
  </si>
  <si>
    <t>P\xe9rigord</t>
  </si>
  <si>
    <t>Loughton</t>
  </si>
  <si>
    <t>...is reading</t>
  </si>
  <si>
    <t>19-20 Tottenham Court Road W1T</t>
  </si>
  <si>
    <t>Cairo</t>
  </si>
  <si>
    <t>New Jersey \t</t>
  </si>
  <si>
    <t>Westminster, London, UK</t>
  </si>
  <si>
    <t>Central Coast NSW Australia</t>
  </si>
  <si>
    <t>Castle Douglas, Scotland</t>
  </si>
  <si>
    <t>Wentworth Falls NSW, AU</t>
  </si>
  <si>
    <t>London/Cork/Galway</t>
  </si>
  <si>
    <t>somewhere between here &amp; there</t>
  </si>
  <si>
    <t>Brooklyn now Harris soon</t>
  </si>
  <si>
    <t>Upstairs, or in my cellar</t>
  </si>
  <si>
    <t>County Mayo, Ireland</t>
  </si>
  <si>
    <t>Guam</t>
  </si>
  <si>
    <t>Flitwick Bedfordshire England</t>
  </si>
  <si>
    <t xml:space="preserve">a wee town in england </t>
  </si>
  <si>
    <t>Bangor, NI</t>
  </si>
  <si>
    <t>Olney, Buckinghamshire, UK</t>
  </si>
  <si>
    <t>Harborne, Birmingham, UK</t>
  </si>
  <si>
    <t>RDG (body), NCL (soul)</t>
  </si>
  <si>
    <t>Hayfield, High Peak, UK.</t>
  </si>
  <si>
    <t>St. Boswells, Scottish Borders</t>
  </si>
  <si>
    <t>iPhone: 48.859993,2.402229</t>
  </si>
  <si>
    <t>castle in spain</t>
  </si>
  <si>
    <t>Edinburgh Zoo</t>
  </si>
  <si>
    <t>gresik</t>
  </si>
  <si>
    <t>UK - USA</t>
  </si>
  <si>
    <t>Ottawa. Canada</t>
  </si>
  <si>
    <t>Bearpark, uk</t>
  </si>
  <si>
    <t>cairo  egypt</t>
  </si>
  <si>
    <t>North Uist</t>
  </si>
  <si>
    <t>Windsor, CA</t>
  </si>
  <si>
    <t>london via glasgow</t>
  </si>
  <si>
    <t>Tottenham, London.</t>
  </si>
  <si>
    <t xml:space="preserve">Crouch End </t>
  </si>
  <si>
    <t>London, probably.</t>
  </si>
  <si>
    <t>ABDN, Scotland, United Kingdom</t>
  </si>
  <si>
    <t>Hong Kong, Singapore &amp; USA</t>
  </si>
  <si>
    <t>Cumbria, UK</t>
  </si>
  <si>
    <t>Whitwell, Herts</t>
  </si>
  <si>
    <t>not where i dream of being</t>
  </si>
  <si>
    <t>Glasgow!</t>
  </si>
  <si>
    <t>Edinburgo</t>
  </si>
  <si>
    <t>The Home of Metal</t>
  </si>
  <si>
    <t>Stratford, Ontario, Canada</t>
  </si>
  <si>
    <t>Montgomery County, MD</t>
  </si>
  <si>
    <t>Northern N.J.</t>
  </si>
  <si>
    <t>Minneapolis / St. Paul, MN</t>
  </si>
  <si>
    <t>Thrapston, East Northants, UK</t>
  </si>
  <si>
    <t>Valencia</t>
  </si>
  <si>
    <t>La-La-Londinium</t>
  </si>
  <si>
    <t>Providence, Rhode Island</t>
  </si>
  <si>
    <t>Seaford, East Sussex, England</t>
  </si>
  <si>
    <t>Formerly 42 Degrees South</t>
  </si>
  <si>
    <t>LlGC / NLW, Cymru / Wales</t>
  </si>
  <si>
    <t>alabama</t>
  </si>
  <si>
    <t>eReader Land</t>
  </si>
  <si>
    <t>Hartford CT</t>
  </si>
  <si>
    <t>Seoul, South Korea</t>
  </si>
  <si>
    <t>Occupied Geordieland.</t>
  </si>
  <si>
    <t>57.548232,-2.453222</t>
  </si>
  <si>
    <t>Greensboro Winston-Salem</t>
  </si>
  <si>
    <t>In the countryside</t>
  </si>
  <si>
    <t>Melbourne, FL 32940</t>
  </si>
  <si>
    <t>central australia</t>
  </si>
  <si>
    <t>33.653137,130.436640</t>
  </si>
  <si>
    <t>West Calder</t>
  </si>
  <si>
    <t>315 10th Ave, Menomonie, WI</t>
  </si>
  <si>
    <t>GHS Media Center</t>
  </si>
  <si>
    <t>Abu Dhabi</t>
  </si>
  <si>
    <t>Stirling, Stirlingshire GB</t>
  </si>
  <si>
    <t>Atlanta, Georgia</t>
  </si>
  <si>
    <t>si,slc,gso,hrva,oxfwi,dtpa</t>
  </si>
  <si>
    <t>Southeastern Iowa</t>
  </si>
  <si>
    <t>iPhone: 53.217098,-2.882452</t>
  </si>
  <si>
    <t>UNITED KINGDOM</t>
  </si>
  <si>
    <t>Everywhere.</t>
  </si>
  <si>
    <t>Acton, MA | Peru, VT</t>
  </si>
  <si>
    <t>South Cumbria</t>
  </si>
  <si>
    <t>South Queensferry, Scotland</t>
  </si>
  <si>
    <t>Dublin &amp; Donegal</t>
  </si>
  <si>
    <t>Chiswick, London</t>
  </si>
  <si>
    <t>10 Bloomsbury Street, London</t>
  </si>
  <si>
    <t>West London, W4, W11 or W12</t>
  </si>
  <si>
    <t xml:space="preserve">Glasgow or a train </t>
  </si>
  <si>
    <t>SW England &amp; Bayeux, France.</t>
  </si>
  <si>
    <t>Manati, Puerto Rico</t>
  </si>
  <si>
    <t>Leith, Edinburgh, Scotland</t>
  </si>
  <si>
    <t>Bedfordshire &amp; Cambridgeshire</t>
  </si>
  <si>
    <t>Gales Ferry, CT</t>
  </si>
  <si>
    <t>North Berwick  Scotland</t>
  </si>
  <si>
    <t>University of Glasgow Library</t>
  </si>
  <si>
    <t>Saddleworth</t>
  </si>
  <si>
    <t>Menomonie, WI</t>
  </si>
  <si>
    <t>Often West of Paddington</t>
  </si>
  <si>
    <t>Hertsmere</t>
  </si>
  <si>
    <t>Chester, PA</t>
  </si>
  <si>
    <t>Woodbridge, Suffolk</t>
  </si>
  <si>
    <t>Altadena, CA</t>
  </si>
  <si>
    <t>Sunny Birmingham, UK</t>
  </si>
  <si>
    <t>Nottingham/Derby</t>
  </si>
  <si>
    <t>Newport, Gwent</t>
  </si>
  <si>
    <t>Wales UK</t>
  </si>
  <si>
    <t>Peregrino da Alvorada</t>
  </si>
  <si>
    <t>Melbourne &amp; UK</t>
  </si>
  <si>
    <t>Sdyney, Australia</t>
  </si>
  <si>
    <t>Hartlepool U.K.</t>
  </si>
  <si>
    <t>Smethwick</t>
  </si>
  <si>
    <t>Wolverhampton, West Midlands</t>
  </si>
  <si>
    <t>Jen's Gardyn, Bristol, UK.</t>
  </si>
  <si>
    <t>Michigan and all over</t>
  </si>
  <si>
    <t>Leeds/Huddersfield, UK</t>
  </si>
  <si>
    <t>In the wardrobe.</t>
  </si>
  <si>
    <t>Daily War of the Roses</t>
  </si>
  <si>
    <t>Near Winchester</t>
  </si>
  <si>
    <t>Warrington, Cheshire</t>
  </si>
  <si>
    <t>Speyside, Scotland</t>
  </si>
  <si>
    <t>Westray, Orkney Islands</t>
  </si>
  <si>
    <t>Lake Macquarie, NSW, Australia</t>
  </si>
  <si>
    <t>University of Aberdeen, UK</t>
  </si>
  <si>
    <t>The Chalk</t>
  </si>
  <si>
    <t>in Limbo</t>
  </si>
  <si>
    <t>1st fl of the union building</t>
  </si>
  <si>
    <t>I live in a barn in Essex</t>
  </si>
  <si>
    <t>Leics.</t>
  </si>
  <si>
    <t>Eoforwic</t>
  </si>
  <si>
    <t>Oxford (near)</t>
  </si>
  <si>
    <t>San Francisco CA 94110</t>
  </si>
  <si>
    <t>Surabaya - Indonesia</t>
  </si>
  <si>
    <t>Crouch End, London, UK</t>
  </si>
  <si>
    <t>Beckenham and often elsewhere</t>
  </si>
  <si>
    <t>Fairbanks, AK</t>
  </si>
  <si>
    <t>Orpington</t>
  </si>
  <si>
    <t>Utica, NE</t>
  </si>
  <si>
    <t>Fort Lauderdale, Florida, USA</t>
  </si>
  <si>
    <t>Kirbister, Stromness, Orkney</t>
  </si>
  <si>
    <t>HH (Hamburg), Germany</t>
  </si>
  <si>
    <t>At home, hiding.</t>
  </si>
  <si>
    <t xml:space="preserve">wellston, Oklahoma </t>
  </si>
  <si>
    <t>Edinburgh (sometimes)</t>
  </si>
  <si>
    <t>Loggerheads, UK</t>
  </si>
  <si>
    <t>Stretford</t>
  </si>
  <si>
    <t>Rawdon, Leeds</t>
  </si>
  <si>
    <t>Middlesex, UK</t>
  </si>
  <si>
    <t>Lockyer Valley</t>
  </si>
  <si>
    <t>Pietarsaari, Finland</t>
  </si>
  <si>
    <t>UK / Mallorca</t>
  </si>
  <si>
    <t>Nr Ashby de la Zouch, Leics.</t>
  </si>
  <si>
    <t>was Dublin, now New York</t>
  </si>
  <si>
    <t>Berlin Tyskland, yo.</t>
  </si>
  <si>
    <t xml:space="preserve">Longridge Lancashire PR3 </t>
  </si>
  <si>
    <t>Glenrothes</t>
  </si>
  <si>
    <t>Where the wild things aren't</t>
  </si>
  <si>
    <t>USA/Newyork</t>
  </si>
  <si>
    <t>Monifieth</t>
  </si>
  <si>
    <t>Though it be not written down, yet forget not that I am an ass.</t>
  </si>
  <si>
    <t>Stirlingshire, Bonnybridge</t>
  </si>
  <si>
    <t>Right here.</t>
  </si>
  <si>
    <t>Bury St Edmunds</t>
  </si>
  <si>
    <t>Leeds/Bradford</t>
  </si>
  <si>
    <t>Toronto, ON Canada</t>
  </si>
  <si>
    <t>By the fire</t>
  </si>
  <si>
    <t>Margate</t>
  </si>
  <si>
    <t>Stockwell, London</t>
  </si>
  <si>
    <t>Cox Green</t>
  </si>
  <si>
    <t>Somerset, UK.</t>
  </si>
  <si>
    <t>Hull, East Riding of Yorkshire</t>
  </si>
  <si>
    <t>Tonbridge, South East</t>
  </si>
  <si>
    <t>Stevenson House, N4 London</t>
  </si>
  <si>
    <t>Cardiff (via Derbyshire)</t>
  </si>
  <si>
    <t>the shire</t>
  </si>
  <si>
    <t>Bristol mostly</t>
  </si>
  <si>
    <t>20 Mary St, Cygnet, Tasmania</t>
  </si>
  <si>
    <t>Marin County Ca USA</t>
  </si>
  <si>
    <t>Kent &amp; London</t>
  </si>
  <si>
    <t>Hackney, United Kingdom</t>
  </si>
  <si>
    <t xml:space="preserve">Cap Cana </t>
  </si>
  <si>
    <t>under the floorboards, Glasgow</t>
  </si>
  <si>
    <t>San Deigo, CA</t>
  </si>
  <si>
    <t>Lund, Sverige</t>
  </si>
  <si>
    <t xml:space="preserve">St kitts </t>
  </si>
  <si>
    <t>Bogot\xe1, D.C., Colombia</t>
  </si>
  <si>
    <t>Perth Scotland</t>
  </si>
  <si>
    <t>Wagstaffe, NSW, Australia</t>
  </si>
  <si>
    <t>\xc5lesund, Norway</t>
  </si>
  <si>
    <t>London, King's Cross</t>
  </si>
  <si>
    <t>Trieste</t>
  </si>
  <si>
    <t>lantana, Fl</t>
  </si>
  <si>
    <t>Richmond, Va</t>
  </si>
  <si>
    <t>castle cakepan, ca</t>
  </si>
  <si>
    <t xml:space="preserve">Canada. India. The World. </t>
  </si>
  <si>
    <t>Wootton Bassett, Wiltshire</t>
  </si>
  <si>
    <t>Torquay</t>
  </si>
  <si>
    <t>Castle Bromwich, England</t>
  </si>
  <si>
    <t>Ubud - Bali - Indonesia</t>
  </si>
  <si>
    <t>In a Kitchen Near You</t>
  </si>
  <si>
    <t>Cape Canaveral, Florida</t>
  </si>
  <si>
    <t xml:space="preserve">BFD </t>
  </si>
  <si>
    <t>Wells-next-the-Sea</t>
  </si>
  <si>
    <t>Itta Bena, MS</t>
  </si>
  <si>
    <t>Jeffersonville, IN</t>
  </si>
  <si>
    <t xml:space="preserve"> Cambridge &amp; Edinburgh</t>
  </si>
  <si>
    <t>Fragrant Heights of Highgate</t>
  </si>
  <si>
    <t>\xdcT: 52.984175,-1.177332</t>
  </si>
  <si>
    <t>Holkham Norfolk</t>
  </si>
  <si>
    <t>Edale &amp; Glasgow</t>
  </si>
  <si>
    <t>Utterly Peripheral</t>
  </si>
  <si>
    <t>Forest Hill, London</t>
  </si>
  <si>
    <t>Fife, Edinburgh &amp; roving</t>
  </si>
  <si>
    <t>The Garden of England</t>
  </si>
  <si>
    <t>London/Edinburgh</t>
  </si>
  <si>
    <t>Hatton of Fintray</t>
  </si>
  <si>
    <t>Caithness/Glasgow/Aberdeen</t>
  </si>
  <si>
    <t>whitstable</t>
  </si>
  <si>
    <t>West Midlands.</t>
  </si>
  <si>
    <t>Salisbury, Wiltshire, England</t>
  </si>
  <si>
    <t>N 41\xb041' 0'' / W 72\xb050' 0''</t>
  </si>
  <si>
    <t>Exiled Exonian.</t>
  </si>
  <si>
    <t>Northern Quarter, Manchester</t>
  </si>
  <si>
    <t>Corby and surrounding Villages</t>
  </si>
  <si>
    <t>Palo Alto, CA</t>
  </si>
  <si>
    <t xml:space="preserve">Ribble Valley </t>
  </si>
  <si>
    <t>Hackney via Manchester</t>
  </si>
  <si>
    <t>Cardiff Bay</t>
  </si>
  <si>
    <t>A village in Kent</t>
  </si>
  <si>
    <t>Thailand, Phuket</t>
  </si>
  <si>
    <t>Suburbia</t>
  </si>
  <si>
    <t>London and Kent GB</t>
  </si>
  <si>
    <t>Salisbury, Wiltshire, UK</t>
  </si>
  <si>
    <t>\uc778\ucc9c\uad11\uc5ed\uc2dc \uc911\uad6c \uc728\ubaa9\ub3d9</t>
  </si>
  <si>
    <t>Strafforth</t>
  </si>
  <si>
    <t>Melbourne, Vic, Australia</t>
  </si>
  <si>
    <t>in my own little world</t>
  </si>
  <si>
    <t>My own special headspace..</t>
  </si>
  <si>
    <t>Lamar County, MS</t>
  </si>
  <si>
    <t>The North (Mid-West?)</t>
  </si>
  <si>
    <t>West Wittering, England</t>
  </si>
  <si>
    <t>Ottawa, ON, Canada</t>
  </si>
  <si>
    <t>middle lands, around &amp; about</t>
  </si>
  <si>
    <t>Random-on-Sea</t>
  </si>
  <si>
    <t>Rogano Oyster Bar, Glasgow</t>
  </si>
  <si>
    <t>Vernon Library Supplies</t>
  </si>
  <si>
    <t xml:space="preserve">Barrhead, Glasgow </t>
  </si>
  <si>
    <t>Dorset, England</t>
  </si>
  <si>
    <t>Fife and Aviemore</t>
  </si>
  <si>
    <t>Shoreham-by-Sea, UK</t>
  </si>
  <si>
    <t>East Kilbride, United Kingdom</t>
  </si>
  <si>
    <t>This broken hill</t>
  </si>
  <si>
    <t>Arse End, Wilds Of Scotland</t>
  </si>
  <si>
    <t>UK Derbyshire</t>
  </si>
  <si>
    <t>Brownstown road KW16 3JN</t>
  </si>
  <si>
    <t>london / cardiff</t>
  </si>
  <si>
    <t>Bridgend, Wales, See</t>
  </si>
  <si>
    <t>Margate, England</t>
  </si>
  <si>
    <t>Chesapeake Bay</t>
  </si>
  <si>
    <t>Sofa</t>
  </si>
  <si>
    <t>someplace I don't recommend</t>
  </si>
  <si>
    <t>Brighton AND Hove</t>
  </si>
  <si>
    <t>Wheatland, WY</t>
  </si>
  <si>
    <t>St Leonards on Sea</t>
  </si>
  <si>
    <t>Solihull, UK</t>
  </si>
  <si>
    <t>Westray Orkney</t>
  </si>
  <si>
    <t>i'll be back in a minute</t>
  </si>
  <si>
    <t xml:space="preserve">Angertown, Europe </t>
  </si>
  <si>
    <t>Lingfield, England</t>
  </si>
  <si>
    <t>South Coast, England.</t>
  </si>
  <si>
    <t>London and Chesterfield</t>
  </si>
  <si>
    <t>Hatton Garden, EC1N 8JS</t>
  </si>
  <si>
    <t>Oklahoma City, Oklahoma</t>
  </si>
  <si>
    <t>Qu\xe9bec, Canada</t>
  </si>
  <si>
    <t>Crewe</t>
  </si>
  <si>
    <t>Edinburgh :Portobello</t>
  </si>
  <si>
    <t>Near Fort William or Edinburgh</t>
  </si>
  <si>
    <t>A comfy settee Oop North</t>
  </si>
  <si>
    <t>Glasgow/Ireland</t>
  </si>
  <si>
    <t>Merston, nr. Chichester</t>
  </si>
  <si>
    <t>you are here</t>
  </si>
  <si>
    <t>longtown,cumbria</t>
  </si>
  <si>
    <t>New Auck City, NZ</t>
  </si>
  <si>
    <t>Chichester, South Coast, UK</t>
  </si>
  <si>
    <t>Inverness, UK</t>
  </si>
  <si>
    <t>Crystal Palace, buses, trains</t>
  </si>
  <si>
    <t>Melrose, Scottish Borders</t>
  </si>
  <si>
    <t>London / Niederrhein</t>
  </si>
  <si>
    <t>North Fife, Scotland.</t>
  </si>
  <si>
    <t>N 51\xb034' 0'' / W 0\xb021' 0''</t>
  </si>
  <si>
    <t>MetroCentre Gateshead</t>
  </si>
  <si>
    <t>The Country</t>
  </si>
  <si>
    <t>New Delhi (India)</t>
  </si>
  <si>
    <t>Leeds/Glasgow</t>
  </si>
  <si>
    <t>New Delhi (INDIA)</t>
  </si>
  <si>
    <t>where I am</t>
  </si>
  <si>
    <t>AB45, EH6</t>
  </si>
  <si>
    <t>Perthshire, Scotland, UK</t>
  </si>
  <si>
    <t>Lurgan</t>
  </si>
  <si>
    <t>Black Country</t>
  </si>
  <si>
    <t>Downtown Winnipeg</t>
  </si>
  <si>
    <t xml:space="preserve"> A sleeply little town</t>
  </si>
  <si>
    <t>Yorkshire, United Kingdom</t>
  </si>
  <si>
    <t>Tirana, Albania</t>
  </si>
  <si>
    <t>Rickety Towers</t>
  </si>
  <si>
    <t>The great and mighty London</t>
  </si>
  <si>
    <t>Liverpool/Manchester/London</t>
  </si>
  <si>
    <t>Nottingham, England.</t>
  </si>
  <si>
    <t>Crowborough, UK</t>
  </si>
  <si>
    <t>Scotland's Islands</t>
  </si>
  <si>
    <t>52 Knatchbull Road, SE5 9QY</t>
  </si>
  <si>
    <t>Desk in London Heart in Kernow</t>
  </si>
  <si>
    <t>San Antonio</t>
  </si>
  <si>
    <t>Much Wenlock, Shropshire, UK</t>
  </si>
  <si>
    <t>Northern</t>
  </si>
  <si>
    <t xml:space="preserve">Cardiff Bay </t>
  </si>
  <si>
    <t>freecodecamp.com/gretchenmanco</t>
  </si>
  <si>
    <t>UK &amp; Ireland</t>
  </si>
  <si>
    <t>South Uist, Western Isles</t>
  </si>
  <si>
    <t>In a bookshop (probably)</t>
  </si>
  <si>
    <t>darkest, northest Essex</t>
  </si>
  <si>
    <t>N 50\xb041' 0'' / W 4\xb041' 0''</t>
  </si>
  <si>
    <t>Catania, Sicilia</t>
  </si>
  <si>
    <t>Bradford-on-Avon</t>
  </si>
  <si>
    <t>Near the Sea</t>
  </si>
  <si>
    <t>Airstrip One</t>
  </si>
  <si>
    <t>Hills Shire, Sydney, Australia</t>
  </si>
  <si>
    <t>head in clouds, mind in gutter</t>
  </si>
  <si>
    <t xml:space="preserve">Leicester UK </t>
  </si>
  <si>
    <t>Sutton Coldfield, UK</t>
  </si>
  <si>
    <t>Between Brum and Shoreditch</t>
  </si>
  <si>
    <t>Kidderminster, England</t>
  </si>
  <si>
    <t xml:space="preserve">Singapore </t>
  </si>
  <si>
    <t>busan korea</t>
  </si>
  <si>
    <t>Stirling. Glasgow.</t>
  </si>
  <si>
    <t>acedia</t>
  </si>
  <si>
    <t>At my writing desk...</t>
  </si>
  <si>
    <t>Herefordshire UK</t>
  </si>
  <si>
    <t>Auxerre, France</t>
  </si>
  <si>
    <t>Sandwick. Shetland</t>
  </si>
  <si>
    <t>N 57\xb033' 0'' / W 3\xb057' 0''</t>
  </si>
  <si>
    <t>Salford/Manchester/On a bus</t>
  </si>
  <si>
    <t>S\xe8vres</t>
  </si>
  <si>
    <t>London above</t>
  </si>
  <si>
    <t>Lipa City, Batangas Philippine</t>
  </si>
  <si>
    <t>Vancouver BC</t>
  </si>
  <si>
    <t>London, England.</t>
  </si>
  <si>
    <t>Edinburgh mostly</t>
  </si>
  <si>
    <t>Mongolia</t>
  </si>
  <si>
    <t>County Place, Perth, PH2 8EE.</t>
  </si>
  <si>
    <t>Toab, Orkney</t>
  </si>
  <si>
    <t>USA and Canada</t>
  </si>
  <si>
    <t>Oban on Scotland's west coast</t>
  </si>
  <si>
    <t xml:space="preserve">Leith Edinburgh </t>
  </si>
  <si>
    <t>Wivenhoe, UK</t>
  </si>
  <si>
    <t>Isle Of Wight, UK</t>
  </si>
  <si>
    <t>Crook, UK</t>
  </si>
  <si>
    <t>Skegness, England</t>
  </si>
  <si>
    <t>In a world of my own</t>
  </si>
  <si>
    <t>Bit of an enigma</t>
  </si>
  <si>
    <t>Groningen, Netherlands</t>
  </si>
  <si>
    <t>Txolja, Ixim tx'otx'</t>
  </si>
  <si>
    <t>#Denver</t>
  </si>
  <si>
    <t>Kenilworth, UK</t>
  </si>
  <si>
    <t>G1: 51.4888, -0.2298</t>
  </si>
  <si>
    <t>Hertfordshire, Hemel Hempstead</t>
  </si>
  <si>
    <t>London/Leeds/Ottawa.</t>
  </si>
  <si>
    <t>West Palm Beach</t>
  </si>
  <si>
    <t>Glasgow, mostly</t>
  </si>
  <si>
    <t xml:space="preserve">Orkney Scotland </t>
  </si>
  <si>
    <t>Glasgow (ish)</t>
  </si>
  <si>
    <t>59.526697,-1.63004</t>
  </si>
  <si>
    <t>Fifeshire</t>
  </si>
  <si>
    <t>Glasgow(ish)</t>
  </si>
  <si>
    <t>maine</t>
  </si>
  <si>
    <t>Stromness &amp; Kirkwall</t>
  </si>
  <si>
    <t>World Wide Web</t>
  </si>
  <si>
    <t>Free Word Centre, London</t>
  </si>
  <si>
    <t>Edinburgh and Boston</t>
  </si>
  <si>
    <t>kuwait</t>
  </si>
  <si>
    <t>BALDOCK</t>
  </si>
  <si>
    <t>Fort Lauderdale FL</t>
  </si>
  <si>
    <t>Edinburgh and Glasgow.</t>
  </si>
  <si>
    <t xml:space="preserve">Wherever culture happens. </t>
  </si>
  <si>
    <t>Glaschu, Alba</t>
  </si>
  <si>
    <t>Up</t>
  </si>
  <si>
    <t>Melbourne / Berlin</t>
  </si>
  <si>
    <t>deepest darkest wiltshire</t>
  </si>
  <si>
    <t>Horndean, Hampshire</t>
  </si>
  <si>
    <t>Easingwold,North Yorkshire</t>
  </si>
  <si>
    <t>Summerland, BC, Canada</t>
  </si>
  <si>
    <t>Labrador</t>
  </si>
  <si>
    <t>Wokingham, England</t>
  </si>
  <si>
    <t>CR6, UK</t>
  </si>
  <si>
    <t>\xdcT: 51.185279,-2.543107</t>
  </si>
  <si>
    <t>between Vancouver and Edmonton</t>
  </si>
  <si>
    <t>Kent, Just outside London</t>
  </si>
  <si>
    <t>always the last place you look</t>
  </si>
  <si>
    <t>Central/East Scotland</t>
  </si>
  <si>
    <t>Somewhere in NE UK...</t>
  </si>
  <si>
    <t>Musselburgh, Edinburgh</t>
  </si>
  <si>
    <t>Rio, Wisconsin</t>
  </si>
  <si>
    <t>Eday</t>
  </si>
  <si>
    <t>sunset and camden</t>
  </si>
  <si>
    <t>Towcester, Northamptonshire</t>
  </si>
  <si>
    <t>boundary Italy/Austria</t>
  </si>
  <si>
    <t>Deep in the Swedish Forests</t>
  </si>
  <si>
    <t>London &amp; South East</t>
  </si>
  <si>
    <t>Kettering</t>
  </si>
  <si>
    <t>The Glorious South West</t>
  </si>
  <si>
    <t>Wokingham, UK</t>
  </si>
  <si>
    <t>Scotland, Edinburgh</t>
  </si>
  <si>
    <t>breakin through bending spoons</t>
  </si>
  <si>
    <t>Newcastle-Upon-Tyne</t>
  </si>
  <si>
    <t xml:space="preserve">London, Wales, N. Ireland </t>
  </si>
  <si>
    <t xml:space="preserve">Is this map the right way up? </t>
  </si>
  <si>
    <t>52.395601,-2.233893</t>
  </si>
  <si>
    <t>Muscat</t>
  </si>
  <si>
    <t xml:space="preserve"> east sussex England</t>
  </si>
  <si>
    <t xml:space="preserve">Wiltshire/Pembrokeshire </t>
  </si>
  <si>
    <t>Lewes/Brighton, UK</t>
  </si>
  <si>
    <t>17 Gough Square, London</t>
  </si>
  <si>
    <t>Nr London</t>
  </si>
  <si>
    <t>on the up escalator going down</t>
  </si>
  <si>
    <t>Elliot Lake, Canada</t>
  </si>
  <si>
    <t xml:space="preserve">Anywhere we can get to </t>
  </si>
  <si>
    <t>Freelance journalist &amp; author: York after Orkney</t>
  </si>
  <si>
    <t>Glenview, IL</t>
  </si>
  <si>
    <t>in the Sound of Harris</t>
  </si>
  <si>
    <t>East of Eden</t>
  </si>
  <si>
    <t>Phoenix, AZ, USA</t>
  </si>
  <si>
    <t>N 55\xb056' 0'' / W 3\xb011' 0''</t>
  </si>
  <si>
    <t>Crossmaglen/Mullaghban</t>
  </si>
  <si>
    <t>Romford, Essex</t>
  </si>
  <si>
    <t>Lubbock, TX</t>
  </si>
  <si>
    <t>LON | EDI | AMS | AKL | ZQN</t>
  </si>
  <si>
    <t xml:space="preserve">Dundee via Glasgow </t>
  </si>
  <si>
    <t>Christchurch New Zealand</t>
  </si>
  <si>
    <t>______________________________</t>
  </si>
  <si>
    <t>Aylesbury, Bucks, UK</t>
  </si>
  <si>
    <t>Londonish</t>
  </si>
  <si>
    <t>WORLDWIDE</t>
  </si>
  <si>
    <t>Portstewart via N.Shields&amp;Hull</t>
  </si>
  <si>
    <t>Time and Space</t>
  </si>
  <si>
    <t>Not in Luxembourg, sadly</t>
  </si>
  <si>
    <t>Cambridge, U.K</t>
  </si>
  <si>
    <t>SK5, SK3, M6, M1, N15, NW11</t>
  </si>
  <si>
    <t>Dundee, Scotland DD1 4XA</t>
  </si>
  <si>
    <t>South Hampshire</t>
  </si>
  <si>
    <t>Atlanta Georgia</t>
  </si>
  <si>
    <t>West Cumbria</t>
  </si>
  <si>
    <t>Dole office Tuesdays</t>
  </si>
  <si>
    <t>East Lothian, scotland</t>
  </si>
  <si>
    <t>Inverness, FL</t>
  </si>
  <si>
    <t>315 W. Oak Ave, Jonesboro, AR</t>
  </si>
  <si>
    <t>IDTPP</t>
  </si>
  <si>
    <t xml:space="preserve">London,  </t>
  </si>
  <si>
    <t>Whitstable, Kent, UK</t>
  </si>
  <si>
    <t>Lambeth, London, UK</t>
  </si>
  <si>
    <t>Londonium</t>
  </si>
  <si>
    <t>Carmarthenshire, Wales</t>
  </si>
  <si>
    <t>Sucre, Bolivia</t>
  </si>
  <si>
    <t>That Sussex, UK</t>
  </si>
  <si>
    <t>The Elephant &amp; Castle, London</t>
  </si>
  <si>
    <t>Sandvika</t>
  </si>
  <si>
    <t>Murika</t>
  </si>
  <si>
    <t>Deptford</t>
  </si>
  <si>
    <t>Ontariariario!</t>
  </si>
  <si>
    <t>Aldridge</t>
  </si>
  <si>
    <t>Stoke-On-Trent, UK</t>
  </si>
  <si>
    <t xml:space="preserve">London/Essex </t>
  </si>
  <si>
    <t>Billericay</t>
  </si>
  <si>
    <t>Drammen, Norge</t>
  </si>
  <si>
    <t>Worthing Town</t>
  </si>
  <si>
    <t>Sydney | London</t>
  </si>
  <si>
    <t>Newport-on-Sea, The Badlands</t>
  </si>
  <si>
    <t>Alloway, Ayrshire, Scotland</t>
  </si>
  <si>
    <t>usually my house</t>
  </si>
  <si>
    <t>Budapest, B\xedr\xf3 Mih\xe1ly utca 7.</t>
  </si>
  <si>
    <t>London, NW1 2DB, UK</t>
  </si>
  <si>
    <t xml:space="preserve">Yeovil. Somerset </t>
  </si>
  <si>
    <t>In court, London</t>
  </si>
  <si>
    <t>just arrived at Panic Station</t>
  </si>
  <si>
    <t>Christchurch</t>
  </si>
  <si>
    <t>Alton, UK</t>
  </si>
  <si>
    <t>red tiled town on the beach</t>
  </si>
  <si>
    <t>Gillingham, Kent</t>
  </si>
  <si>
    <t>Mississauga, ON, Canada</t>
  </si>
  <si>
    <t>Perth, United Kingdom</t>
  </si>
  <si>
    <t>In the Antipodes. \n</t>
  </si>
  <si>
    <t>iPhone: 51.953884,-1.307931</t>
  </si>
  <si>
    <t>L*w*s</t>
  </si>
  <si>
    <t>Tree</t>
  </si>
  <si>
    <t>Minneapolis-St. Paul</t>
  </si>
  <si>
    <t>Minneapolis, Minnesota, USA</t>
  </si>
  <si>
    <t>Layton, Utah</t>
  </si>
  <si>
    <t>Farnham, Surrey</t>
  </si>
  <si>
    <t>Heidelberg, Germany</t>
  </si>
  <si>
    <t>usually online</t>
  </si>
  <si>
    <t>kettering</t>
  </si>
  <si>
    <t>Out in the sticks</t>
  </si>
  <si>
    <t>North West of England</t>
  </si>
  <si>
    <t>Williamsport, PA</t>
  </si>
  <si>
    <t>Santa Cruz, CA</t>
  </si>
  <si>
    <t xml:space="preserve">1030 Old York Road, Abington, </t>
  </si>
  <si>
    <t>Fife / Malaysia</t>
  </si>
  <si>
    <t>West Virginia</t>
  </si>
  <si>
    <t xml:space="preserve">@ImpactHubBrum, Birmingham </t>
  </si>
  <si>
    <t>Todmorden</t>
  </si>
  <si>
    <t>17th Century London</t>
  </si>
  <si>
    <t>Not in Town</t>
  </si>
  <si>
    <t>Woodbridge, Suffolk, UK</t>
  </si>
  <si>
    <t>Saltaire, West Yorkshire</t>
  </si>
  <si>
    <t>The DDR of R&amp;B</t>
  </si>
  <si>
    <t>BirmINgham</t>
  </si>
  <si>
    <t>Bristol (Manchester: Oct '17)</t>
  </si>
  <si>
    <t>Wylye, Warminster</t>
  </si>
  <si>
    <t>Albuquerque</t>
  </si>
  <si>
    <t>London mostly</t>
  </si>
  <si>
    <t xml:space="preserve">Scottish Highlands &amp; Islands </t>
  </si>
  <si>
    <t>FunkyChunk Farms, EARTH</t>
  </si>
  <si>
    <t>UAE, Dubai, Sharjah, Abu Dhabi</t>
  </si>
  <si>
    <t>Essex,  UK</t>
  </si>
  <si>
    <t>Swansea, South Wales</t>
  </si>
  <si>
    <t>\xdcT: 58.965908,-2.94267</t>
  </si>
  <si>
    <t>UK,Earth,7.940\xb1420 parsecs</t>
  </si>
  <si>
    <t>Llanon</t>
  </si>
  <si>
    <t>Ultima Thule</t>
  </si>
  <si>
    <t xml:space="preserve">Alabama </t>
  </si>
  <si>
    <t>Visby, SE</t>
  </si>
  <si>
    <t>The 'nock in the 'shire</t>
  </si>
  <si>
    <t>Blackheath, London</t>
  </si>
  <si>
    <t>Edinburgh, Scotland, UK, EU</t>
  </si>
  <si>
    <t>The Cotswolds</t>
  </si>
  <si>
    <t>Telford, Shropshire, UK</t>
  </si>
  <si>
    <t>Edinburgh | Cambridge</t>
  </si>
  <si>
    <t xml:space="preserve">Stafford, England </t>
  </si>
  <si>
    <t>cumbria</t>
  </si>
  <si>
    <t>G\xf6ttingen</t>
  </si>
  <si>
    <t>Kidderminster, Worcs</t>
  </si>
  <si>
    <t>Near London</t>
  </si>
  <si>
    <t>Wick, Caithness, Scotland.</t>
  </si>
  <si>
    <t>Gers, France</t>
  </si>
  <si>
    <t>running somewhere</t>
  </si>
  <si>
    <t>in the hills above manchester</t>
  </si>
  <si>
    <t>Auchentogle</t>
  </si>
  <si>
    <t>iPhone: 57.482681,-4.204506</t>
  </si>
  <si>
    <t>iPhone: 54.289257,-1.671463</t>
  </si>
  <si>
    <t>Eaton, Norwich, Norfolk</t>
  </si>
  <si>
    <t>88 Lothian Road, Edinburgh</t>
  </si>
  <si>
    <t>New Brighton</t>
  </si>
  <si>
    <t>Lnodnon</t>
  </si>
  <si>
    <t>Liverpool, formerly Somerton.</t>
  </si>
  <si>
    <t>\xdcT: 37.7732039,-122.2840353</t>
  </si>
  <si>
    <t>West Wales and Midlands</t>
  </si>
  <si>
    <t>\xdcT: 51.062519,-1.31611</t>
  </si>
  <si>
    <t>www.elizabethandrewswrites.com</t>
  </si>
  <si>
    <t>Calgary, AB</t>
  </si>
  <si>
    <t>UK in USA</t>
  </si>
  <si>
    <t>the middle</t>
  </si>
  <si>
    <t>nowhere special</t>
  </si>
  <si>
    <t xml:space="preserve">High altitudes </t>
  </si>
  <si>
    <t>Sheffield,uk</t>
  </si>
  <si>
    <t>South to North</t>
  </si>
  <si>
    <t>Lancs</t>
  </si>
  <si>
    <t>Aberdour</t>
  </si>
  <si>
    <t>Stocksbridge</t>
  </si>
  <si>
    <t>Kapiti Coast, New Zealand</t>
  </si>
  <si>
    <t>Stroud, UK</t>
  </si>
  <si>
    <t>...in the murky corner!</t>
  </si>
  <si>
    <t>Northants, UK</t>
  </si>
  <si>
    <t>Mullingar, Westmeath (53.52384</t>
  </si>
  <si>
    <t>Wistah, MA</t>
  </si>
  <si>
    <t>Cambridgeshire England</t>
  </si>
  <si>
    <t>In a galaxy far, far away \u2728</t>
  </si>
  <si>
    <t>Reading in England</t>
  </si>
  <si>
    <t>Roslin</t>
  </si>
  <si>
    <t>Vicious patella I hear ? (6)</t>
  </si>
  <si>
    <t>Broward County Public Schools</t>
  </si>
  <si>
    <t>Pershore, England</t>
  </si>
  <si>
    <t>6 Salem Road, London, W2 4BU</t>
  </si>
  <si>
    <t>Plano , TX</t>
  </si>
  <si>
    <t>Townsville, Australia</t>
  </si>
  <si>
    <t>Musquodoboit Harbour</t>
  </si>
  <si>
    <t>North Shields, UK</t>
  </si>
  <si>
    <t>Dallas, Texas</t>
  </si>
  <si>
    <t>Stourbridge UK</t>
  </si>
  <si>
    <t>Edinburgh and Fife</t>
  </si>
  <si>
    <t>An Undisclosed Location</t>
  </si>
  <si>
    <t>A factory, not a circus</t>
  </si>
  <si>
    <t>Sparta MI</t>
  </si>
  <si>
    <t>Inside a Bear, Canada.</t>
  </si>
  <si>
    <t>Southam, England</t>
  </si>
  <si>
    <t>St Andrews, Fife, Scotland, UK</t>
  </si>
  <si>
    <t xml:space="preserve">Midwest </t>
  </si>
  <si>
    <t>Fantasy World</t>
  </si>
  <si>
    <t>Dunbeath, Caithness, Scotland</t>
  </si>
  <si>
    <t>Brecon, Powys, LD3 9AD</t>
  </si>
  <si>
    <t>London and Birmingham</t>
  </si>
  <si>
    <t>At the Spa Mermaid Posing!</t>
  </si>
  <si>
    <t>Baja Sur, Mexico</t>
  </si>
  <si>
    <t>Under Artificial Light</t>
  </si>
  <si>
    <t xml:space="preserve">On a train </t>
  </si>
  <si>
    <t>Little Rock, AR</t>
  </si>
  <si>
    <t>Leigh-on-Sea, Essex</t>
  </si>
  <si>
    <t>East Hanney</t>
  </si>
  <si>
    <t>london, UK</t>
  </si>
  <si>
    <t>slightly north, slightly west</t>
  </si>
  <si>
    <t>the sea, the sea</t>
  </si>
  <si>
    <t>iPhone: 52.465958,-2.257095</t>
  </si>
  <si>
    <t>Stourbridge, West Midlands, UK</t>
  </si>
  <si>
    <t>South Padre Island, TX</t>
  </si>
  <si>
    <t>Nottingham &amp; Leicester UK</t>
  </si>
  <si>
    <t>Swansea, UK</t>
  </si>
  <si>
    <t>Inverness-shire, Scotland</t>
  </si>
  <si>
    <t>Asphodel</t>
  </si>
  <si>
    <t xml:space="preserve">Swansea </t>
  </si>
  <si>
    <t>Eccles, Manchester, UK</t>
  </si>
  <si>
    <t>Boerne, Texas</t>
  </si>
  <si>
    <t>Caversham, UK</t>
  </si>
  <si>
    <t>Thames Valley</t>
  </si>
  <si>
    <t>Deep in the woods, Scotland</t>
  </si>
  <si>
    <t>Hawarden, North Wales</t>
  </si>
  <si>
    <t>\u6771\u4eac\u90fd\u6749\u4e26\u533a\u897f\u837b\u7aaa\u306b\u4f4f\u3093\u3067\u3044\u308b\u30a4\u30ae\u30ea\u30b9\u4eba\u3002\u3002\u3002</t>
  </si>
  <si>
    <t>Kelso, Scottish Borders</t>
  </si>
  <si>
    <t>Oxford and New York City</t>
  </si>
  <si>
    <t>Shropshire, UK via USA</t>
  </si>
  <si>
    <t>Pelago (Firenze) Italy</t>
  </si>
  <si>
    <t>mid wales</t>
  </si>
  <si>
    <t>West Jordan, Utah</t>
  </si>
  <si>
    <t>Here or there</t>
  </si>
  <si>
    <t>In a forest.</t>
  </si>
  <si>
    <t>Brighton/London</t>
  </si>
  <si>
    <t>The desert</t>
  </si>
  <si>
    <t>Pontypridd &amp; Newport</t>
  </si>
  <si>
    <t>Dry Dock</t>
  </si>
  <si>
    <t>Higland Utah</t>
  </si>
  <si>
    <t>Fife via Orkney and Yorkshire</t>
  </si>
  <si>
    <t>bhandup , mumbai</t>
  </si>
  <si>
    <t>Scotland, always</t>
  </si>
  <si>
    <t>Edinburgh &amp; Central France</t>
  </si>
  <si>
    <t>3rd rock out</t>
  </si>
  <si>
    <t>UK (somewhere in the middle)</t>
  </si>
  <si>
    <t>Stenness, STROMNESS</t>
  </si>
  <si>
    <t>Yorkshire Yorkshire Yorkshire.</t>
  </si>
  <si>
    <t>Queensferry, Scotland</t>
  </si>
  <si>
    <t>Dagenham, Essex</t>
  </si>
  <si>
    <t>Asda House, Leeds</t>
  </si>
  <si>
    <t>Haggerston, London</t>
  </si>
  <si>
    <t>Upper Hutt, NZ</t>
  </si>
  <si>
    <t>Tottenham</t>
  </si>
  <si>
    <t>Tenants Harbor ME and NYC</t>
  </si>
  <si>
    <t>Edinburgh South Bridge</t>
  </si>
  <si>
    <t>All over the place</t>
  </si>
  <si>
    <t>delhi/edinburgh</t>
  </si>
  <si>
    <t>Wellington region, NZ</t>
  </si>
  <si>
    <t>tinyurl.com/n49rafz</t>
  </si>
  <si>
    <t>Sunny Devon</t>
  </si>
  <si>
    <t>Northampton uk</t>
  </si>
  <si>
    <t>Winchester/London, Europe</t>
  </si>
  <si>
    <t>SF Bay Area</t>
  </si>
  <si>
    <t>London. The greatest city</t>
  </si>
  <si>
    <t>iPhone: 51.501381,-0.008644</t>
  </si>
  <si>
    <t>Usually London.</t>
  </si>
  <si>
    <t>Loughborough UK</t>
  </si>
  <si>
    <t>Hiding, in Holland</t>
  </si>
  <si>
    <t>Gateshead, Tyne &amp;amp; Wear</t>
  </si>
  <si>
    <t>Castletown, Isle of Man</t>
  </si>
  <si>
    <t>Tallinn / Shrewsbury</t>
  </si>
  <si>
    <t>PA, USA</t>
  </si>
  <si>
    <t>Southwark, London</t>
  </si>
  <si>
    <t>Cardiff | Bristol</t>
  </si>
  <si>
    <t xml:space="preserve">Edinburgh/South Queensferry  </t>
  </si>
  <si>
    <t>South Ruislip</t>
  </si>
  <si>
    <t xml:space="preserve">Wiltshire &amp; Jerusalem </t>
  </si>
  <si>
    <t>Good old Sussex by the Sea</t>
  </si>
  <si>
    <t xml:space="preserve">North Yorkshire - just. </t>
  </si>
  <si>
    <t>\xdcT: 51.548301,-0.055124</t>
  </si>
  <si>
    <t>SW Scotland</t>
  </si>
  <si>
    <t>UK - Scotland</t>
  </si>
  <si>
    <t>By the north sea</t>
  </si>
  <si>
    <t>Hatston, Kirkwall, Orkney</t>
  </si>
  <si>
    <t>55.9530690,-3.1775340</t>
  </si>
  <si>
    <t>Interwebs</t>
  </si>
  <si>
    <t>Undercover in Orkney</t>
  </si>
  <si>
    <t>Seoul &amp; Suwon</t>
  </si>
  <si>
    <t>Long Bennington</t>
  </si>
  <si>
    <t>Woking, UK</t>
  </si>
  <si>
    <t>London,UK.</t>
  </si>
  <si>
    <t>\xdcT: 56.353523,-2.931198</t>
  </si>
  <si>
    <t>Lawrence, Kansas</t>
  </si>
  <si>
    <t xml:space="preserve">Deepest South London </t>
  </si>
  <si>
    <t>Still in Orkney for now</t>
  </si>
  <si>
    <t>East Ham, London</t>
  </si>
  <si>
    <t>Northumberland/Orkney</t>
  </si>
  <si>
    <t>Glasgow via Orkney</t>
  </si>
  <si>
    <t>Scotland | Alba</t>
  </si>
  <si>
    <t>New York City, baby!</t>
  </si>
  <si>
    <t>Glasgow UK</t>
  </si>
  <si>
    <t>Orkney UK</t>
  </si>
  <si>
    <t>Brooklyn, NY. United States</t>
  </si>
  <si>
    <t xml:space="preserve">International </t>
  </si>
  <si>
    <t>Outer Hebrides / Edinburgh</t>
  </si>
  <si>
    <t>58.912813,-2.97086</t>
  </si>
  <si>
    <t>Hertford, Hertfordshire</t>
  </si>
  <si>
    <t>Grooming my moustache</t>
  </si>
  <si>
    <t>London, New York</t>
  </si>
  <si>
    <t>RightSideUp</t>
  </si>
  <si>
    <t>Customer service 0844 844 1351</t>
  </si>
  <si>
    <t>Internetland</t>
  </si>
  <si>
    <t>St Margaret's Hope, Orkney</t>
  </si>
  <si>
    <t>\xdcT: 55.878041,-4.338501</t>
  </si>
  <si>
    <t xml:space="preserve">Traveling the world for you! </t>
  </si>
  <si>
    <t>Bamff, Perthshire, Scotland</t>
  </si>
  <si>
    <t>the frozen north</t>
  </si>
  <si>
    <t>Stoke and Orkney</t>
  </si>
  <si>
    <t>The Far North</t>
  </si>
  <si>
    <t>Yellow libraries were those selected for interview</t>
  </si>
  <si>
    <t>Element of account which was changed</t>
  </si>
  <si>
    <t>Location on Twitter Account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</si>
</sst>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[$-F400]h:mm:ss\ AM/PM"/>
  </numFmts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</font>
    <font>
      <sz val="11"/>
      <color rgb="FF323232"/>
      <name val="Arial"/>
      <family val="2"/>
    </font>
    <font>
      <b/>
      <sz val="11"/>
      <color theme="0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rgb="FF323232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1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0" fillId="3" borderId="3" xfId="0" applyFill="1" applyBorder="1" applyAlignment="1">
      <alignment horizontal="left" vertical="center" wrapText="1"/>
    </xf>
    <xf numFmtId="14" fontId="0" fillId="0" borderId="4" xfId="0" applyNumberFormat="1" applyBorder="1" applyAlignment="1">
      <alignment horizontal="center" vertical="center" wrapText="1"/>
    </xf>
    <xf numFmtId="14" fontId="0" fillId="3" borderId="4" xfId="0" applyNumberForma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14" fontId="2" fillId="2" borderId="6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8" xfId="0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 wrapText="1"/>
    </xf>
    <xf numFmtId="14" fontId="0" fillId="0" borderId="9" xfId="0" applyNumberForma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right" vertical="center" wrapText="1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3" fontId="7" fillId="0" borderId="0" xfId="0" applyNumberFormat="1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165" fontId="0" fillId="0" borderId="0" xfId="0" applyNumberForma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65" fontId="3" fillId="0" borderId="0" xfId="0" applyNumberFormat="1" applyFont="1" applyAlignment="1">
      <alignment horizontal="center" vertical="center"/>
    </xf>
    <xf numFmtId="165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vertical="center"/>
    </xf>
    <xf numFmtId="0" fontId="0" fillId="3" borderId="0" xfId="0" applyFill="1" applyAlignment="1">
      <alignment vertical="center" wrapText="1"/>
    </xf>
    <xf numFmtId="0" fontId="0" fillId="3" borderId="4" xfId="0" applyFill="1" applyBorder="1" applyAlignment="1">
      <alignment vertical="center"/>
    </xf>
    <xf numFmtId="0" fontId="0" fillId="3" borderId="10" xfId="0" applyFill="1" applyBorder="1" applyAlignment="1">
      <alignment vertical="center" wrapText="1"/>
    </xf>
    <xf numFmtId="0" fontId="0" fillId="3" borderId="3" xfId="0" applyFill="1" applyBorder="1" applyAlignment="1">
      <alignment vertical="center" wrapText="1"/>
    </xf>
    <xf numFmtId="0" fontId="5" fillId="0" borderId="0" xfId="0" applyFont="1" applyAlignment="1">
      <alignment horizontal="right" vertical="center" wrapText="1"/>
    </xf>
    <xf numFmtId="0" fontId="2" fillId="2" borderId="0" xfId="0" applyFont="1" applyFill="1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21" fontId="0" fillId="0" borderId="0" xfId="0" applyNumberFormat="1" applyAlignment="1">
      <alignment horizontal="left" vertical="center" wrapText="1"/>
    </xf>
    <xf numFmtId="165" fontId="0" fillId="0" borderId="0" xfId="0" applyNumberFormat="1" applyAlignment="1">
      <alignment horizontal="left" vertical="center" wrapText="1"/>
    </xf>
    <xf numFmtId="14" fontId="0" fillId="0" borderId="0" xfId="0" applyNumberFormat="1" applyAlignment="1">
      <alignment vertical="center"/>
    </xf>
    <xf numFmtId="0" fontId="11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0" fillId="0" borderId="0" xfId="0" applyFont="1" applyAlignment="1">
      <alignment vertical="center"/>
    </xf>
  </cellXfs>
  <cellStyles count="1">
    <cellStyle name="Normal" xfId="0" builtinId="0"/>
  </cellStyles>
  <dxfs count="52">
    <dxf>
      <font>
        <b val="0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auto="1"/>
        </left>
        <top style="thin">
          <color auto="1"/>
        </top>
      </border>
    </dxf>
    <dxf>
      <font>
        <b val="0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1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fill>
        <patternFill patternType="solid">
          <fgColor indexed="64"/>
          <bgColor rgb="FF0070C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[$-F400]h:mm:ss\ AM/PM"/>
      <alignment horizontal="center" vertical="center" textRotation="0" wrapText="1" indent="0" justifyLastLine="0" shrinkToFit="0" readingOrder="0"/>
    </dxf>
    <dxf>
      <numFmt numFmtId="165" formatCode="[$-F400]h:mm:ss\ AM/PM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</dxf>
    <dxf>
      <numFmt numFmtId="164" formatCode="[$-F800]dddd\,\ mmmm\ dd\,\ 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[$-F400]h:mm:ss\ AM/PM"/>
      <alignment horizontal="center" vertical="center" textRotation="0" wrapText="0" indent="0" justifyLastLine="0" shrinkToFit="0" readingOrder="0"/>
    </dxf>
    <dxf>
      <numFmt numFmtId="165" formatCode="[$-F400]h:mm:ss\ AM/P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</dxf>
    <dxf>
      <numFmt numFmtId="164" formatCode="[$-F800]dddd\,\ mmmm\ dd\,\ 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border outline="0">
        <top style="thin">
          <color auto="1"/>
        </top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fill>
        <patternFill patternType="solid">
          <fgColor indexed="64"/>
          <bgColor rgb="FF0070C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4" displayName="Table4" ref="A1:M1425" totalsRowCount="1" headerRowDxfId="51" dataDxfId="49" totalsRowDxfId="47" headerRowBorderDxfId="50" tableBorderDxfId="48">
  <autoFilter ref="A1:M1424" xr:uid="{00000000-0009-0000-0100-000004000000}"/>
  <tableColumns count="13">
    <tableColumn id="1" xr3:uid="{00000000-0010-0000-0000-000001000000}" name="Type" dataDxfId="46" totalsRowDxfId="45"/>
    <tableColumn id="2" xr3:uid="{00000000-0010-0000-0000-000002000000}" name="Twitter Handle" dataDxfId="44" totalsRowDxfId="43"/>
    <tableColumn id="3" xr3:uid="{00000000-0010-0000-0000-000003000000}" name="Name" dataDxfId="42" totalsRowDxfId="41"/>
    <tableColumn id="4" xr3:uid="{00000000-0010-0000-0000-000004000000}" name="Location" dataDxfId="40" totalsRowDxfId="39"/>
    <tableColumn id="5" xr3:uid="{00000000-0010-0000-0000-000005000000}" name="Description" dataDxfId="38" totalsRowDxfId="37"/>
    <tableColumn id="6" xr3:uid="{00000000-0010-0000-0000-000006000000}" name="Following" dataDxfId="36" totalsRowDxfId="35"/>
    <tableColumn id="7" xr3:uid="{00000000-0010-0000-0000-000007000000}" name="Followers" dataDxfId="34" totalsRowDxfId="33"/>
    <tableColumn id="8" xr3:uid="{00000000-0010-0000-0000-000008000000}" name="Tweets" dataDxfId="32" totalsRowDxfId="31"/>
    <tableColumn id="9" xr3:uid="{00000000-0010-0000-0000-000009000000}" name="Likes" dataDxfId="30" totalsRowDxfId="29"/>
    <tableColumn id="10" xr3:uid="{00000000-0010-0000-0000-00000A000000}" name="Creation Date" dataDxfId="28" totalsRowDxfId="27"/>
    <tableColumn id="11" xr3:uid="{00000000-0010-0000-0000-00000B000000}" name="Creation Time" dataDxfId="26" totalsRowDxfId="25"/>
    <tableColumn id="12" xr3:uid="{00000000-0010-0000-0000-00000C000000}" name="Last Tweet Date" dataDxfId="24" totalsRowDxfId="23"/>
    <tableColumn id="13" xr3:uid="{00000000-0010-0000-0000-00000D000000}" name="Last Tweet Time" dataDxfId="22" totalsRowDxfId="21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1000000}" name="Table6" displayName="Table6" ref="A1:J53" totalsRowShown="0" headerRowDxfId="20" dataDxfId="18" headerRowBorderDxfId="19" tableBorderDxfId="17" totalsRowBorderDxfId="16">
  <autoFilter ref="A1:J53" xr:uid="{00000000-0009-0000-0100-000006000000}"/>
  <tableColumns count="10">
    <tableColumn id="1" xr3:uid="{00000000-0010-0000-0100-000001000000}" name="Type" dataDxfId="15"/>
    <tableColumn id="2" xr3:uid="{00000000-0010-0000-0100-000002000000}" name="Twitter Handle" dataDxfId="14"/>
    <tableColumn id="3" xr3:uid="{00000000-0010-0000-0100-000003000000}" name="Name" dataDxfId="13"/>
    <tableColumn id="4" xr3:uid="{00000000-0010-0000-0100-000004000000}" name="Location" dataDxfId="12"/>
    <tableColumn id="5" xr3:uid="{00000000-0010-0000-0100-000005000000}" name="Following" dataDxfId="11"/>
    <tableColumn id="6" xr3:uid="{00000000-0010-0000-0100-000006000000}" name="Followers" dataDxfId="10"/>
    <tableColumn id="7" xr3:uid="{00000000-0010-0000-0100-000007000000}" name="Tweets" dataDxfId="9"/>
    <tableColumn id="8" xr3:uid="{00000000-0010-0000-0100-000008000000}" name="Likes" dataDxfId="8"/>
    <tableColumn id="9" xr3:uid="{00000000-0010-0000-0100-000009000000}" name="Creation Date" dataDxfId="7"/>
    <tableColumn id="10" xr3:uid="{00000000-0010-0000-0100-00000A000000}" name="Last Tweet Date" dataDxfId="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able13" displayName="Table13" ref="A1:B35204" totalsRowShown="0" headerRowDxfId="5" dataDxfId="3" headerRowBorderDxfId="4" tableBorderDxfId="2">
  <autoFilter ref="A1:B35204" xr:uid="{00000000-0009-0000-0100-000001000000}"/>
  <tableColumns count="2">
    <tableColumn id="1" xr3:uid="{00000000-0010-0000-0200-000001000000}" name="Twitter Handle" dataDxfId="1"/>
    <tableColumn id="3" xr3:uid="{00000000-0010-0000-0200-000003000000}" name="Location on Twitter Account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363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3.42578125" style="3" customWidth="1"/>
    <col min="2" max="2" width="21.140625" style="45" customWidth="1"/>
    <col min="3" max="3" width="31" style="45" customWidth="1"/>
    <col min="4" max="4" width="101.42578125" style="46" customWidth="1"/>
    <col min="5" max="5" width="13.42578125" style="3" bestFit="1" customWidth="1"/>
    <col min="6" max="6" width="10.140625" style="3" customWidth="1"/>
    <col min="7" max="8" width="9.140625" style="3"/>
    <col min="9" max="9" width="14.85546875" style="9" customWidth="1"/>
    <col min="10" max="10" width="9.140625" style="47"/>
    <col min="11" max="16384" width="9.140625" style="45"/>
  </cols>
  <sheetData>
    <row r="1" spans="1:16" x14ac:dyDescent="0.25">
      <c r="A1" s="1" t="s">
        <v>0</v>
      </c>
      <c r="B1" s="1" t="s">
        <v>1</v>
      </c>
      <c r="C1" s="1" t="s">
        <v>2</v>
      </c>
      <c r="D1" s="43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44" t="s">
        <v>8</v>
      </c>
      <c r="J1" s="44" t="s">
        <v>9</v>
      </c>
    </row>
    <row r="2" spans="1:16" ht="30" x14ac:dyDescent="0.25">
      <c r="A2" s="3" t="s">
        <v>14</v>
      </c>
      <c r="B2" s="45" t="s">
        <v>15</v>
      </c>
      <c r="C2" s="45" t="s">
        <v>16</v>
      </c>
      <c r="D2" s="46" t="s">
        <v>17</v>
      </c>
      <c r="E2" s="3">
        <v>1633</v>
      </c>
      <c r="F2" s="3">
        <v>40385</v>
      </c>
      <c r="G2" s="3">
        <v>13793</v>
      </c>
      <c r="H2" s="3">
        <v>2091</v>
      </c>
      <c r="I2" s="9">
        <v>39848</v>
      </c>
      <c r="J2" s="47">
        <v>0.68056712962962962</v>
      </c>
    </row>
    <row r="3" spans="1:16" ht="30" x14ac:dyDescent="0.25">
      <c r="A3" s="3" t="s">
        <v>14</v>
      </c>
      <c r="B3" s="45" t="s">
        <v>26</v>
      </c>
      <c r="C3" s="45" t="s">
        <v>27</v>
      </c>
      <c r="D3" s="46" t="s">
        <v>28</v>
      </c>
      <c r="E3" s="3">
        <v>801</v>
      </c>
      <c r="F3" s="3">
        <v>31582</v>
      </c>
      <c r="G3" s="3">
        <v>14309</v>
      </c>
      <c r="H3" s="3">
        <v>6330</v>
      </c>
      <c r="I3" s="9">
        <v>39934</v>
      </c>
      <c r="J3" s="47">
        <v>0.56892361111111112</v>
      </c>
      <c r="K3" s="48"/>
      <c r="L3" s="48"/>
      <c r="M3" s="48"/>
      <c r="N3" s="48"/>
      <c r="O3" s="48"/>
      <c r="P3" s="49"/>
    </row>
    <row r="4" spans="1:16" x14ac:dyDescent="0.25">
      <c r="A4" s="3" t="s">
        <v>14</v>
      </c>
      <c r="B4" s="45" t="s">
        <v>32</v>
      </c>
      <c r="C4" s="45" t="s">
        <v>33</v>
      </c>
      <c r="D4" s="46" t="s">
        <v>34</v>
      </c>
      <c r="E4" s="3">
        <v>566</v>
      </c>
      <c r="F4" s="3">
        <v>28864</v>
      </c>
      <c r="G4" s="3">
        <v>8999</v>
      </c>
      <c r="H4" s="3">
        <v>554</v>
      </c>
      <c r="I4" s="9">
        <v>41605</v>
      </c>
      <c r="J4" s="47">
        <v>0.59653935185185192</v>
      </c>
    </row>
    <row r="5" spans="1:16" x14ac:dyDescent="0.25">
      <c r="A5" s="3" t="s">
        <v>14</v>
      </c>
      <c r="B5" s="45" t="s">
        <v>38</v>
      </c>
      <c r="C5" s="45" t="s">
        <v>39</v>
      </c>
      <c r="D5" s="46" t="s">
        <v>40</v>
      </c>
      <c r="E5" s="3">
        <v>703</v>
      </c>
      <c r="F5" s="3">
        <v>26270</v>
      </c>
      <c r="G5" s="3">
        <v>14599</v>
      </c>
      <c r="H5" s="3">
        <v>2986</v>
      </c>
      <c r="I5" s="9">
        <v>39947</v>
      </c>
      <c r="J5" s="47">
        <v>0.89050925925925928</v>
      </c>
    </row>
    <row r="6" spans="1:16" s="49" customFormat="1" ht="30" x14ac:dyDescent="0.25">
      <c r="A6" s="3" t="s">
        <v>14</v>
      </c>
      <c r="B6" s="45" t="s">
        <v>43</v>
      </c>
      <c r="C6" s="45" t="s">
        <v>44</v>
      </c>
      <c r="D6" s="46" t="s">
        <v>45</v>
      </c>
      <c r="E6" s="3">
        <v>1337</v>
      </c>
      <c r="F6" s="3">
        <v>19844</v>
      </c>
      <c r="G6" s="3">
        <v>16840</v>
      </c>
      <c r="H6" s="3">
        <v>4083</v>
      </c>
      <c r="I6" s="9">
        <v>39987</v>
      </c>
      <c r="J6" s="50">
        <v>0.94385416666666666</v>
      </c>
      <c r="K6" s="45"/>
      <c r="L6" s="45"/>
      <c r="M6" s="45"/>
      <c r="N6" s="45"/>
      <c r="O6" s="45"/>
      <c r="P6" s="45"/>
    </row>
    <row r="7" spans="1:16" ht="30" x14ac:dyDescent="0.25">
      <c r="A7" s="3" t="s">
        <v>14</v>
      </c>
      <c r="B7" s="45" t="s">
        <v>63</v>
      </c>
      <c r="C7" s="45" t="s">
        <v>64</v>
      </c>
      <c r="D7" s="46" t="s">
        <v>65</v>
      </c>
      <c r="E7" s="3">
        <v>1995</v>
      </c>
      <c r="F7" s="3">
        <v>12709</v>
      </c>
      <c r="G7" s="3">
        <v>3669</v>
      </c>
      <c r="H7" s="3">
        <v>944</v>
      </c>
      <c r="I7" s="9">
        <v>39751</v>
      </c>
      <c r="J7" s="47">
        <v>0.35192129629629632</v>
      </c>
    </row>
    <row r="8" spans="1:16" ht="30" x14ac:dyDescent="0.25">
      <c r="A8" s="3" t="s">
        <v>14</v>
      </c>
      <c r="B8" s="45" t="s">
        <v>82</v>
      </c>
      <c r="C8" s="45" t="s">
        <v>33</v>
      </c>
      <c r="D8" s="46" t="s">
        <v>83</v>
      </c>
      <c r="E8" s="3">
        <v>941</v>
      </c>
      <c r="F8" s="3">
        <v>10602</v>
      </c>
      <c r="G8" s="3">
        <v>6444</v>
      </c>
      <c r="H8" s="3">
        <v>2937</v>
      </c>
      <c r="I8" s="9">
        <v>41018</v>
      </c>
      <c r="J8" s="47">
        <v>0.55106481481481484</v>
      </c>
    </row>
    <row r="9" spans="1:16" ht="30" x14ac:dyDescent="0.25">
      <c r="A9" s="3" t="s">
        <v>14</v>
      </c>
      <c r="B9" s="45" t="s">
        <v>90</v>
      </c>
      <c r="C9" s="45" t="s">
        <v>33</v>
      </c>
      <c r="D9" s="46" t="s">
        <v>91</v>
      </c>
      <c r="E9" s="3">
        <v>583</v>
      </c>
      <c r="F9" s="3">
        <v>9912</v>
      </c>
      <c r="G9" s="3">
        <v>7171</v>
      </c>
      <c r="H9" s="3">
        <v>1585</v>
      </c>
      <c r="I9" s="9">
        <v>39856</v>
      </c>
      <c r="J9" s="47">
        <v>0.48675925925925928</v>
      </c>
    </row>
    <row r="10" spans="1:16" x14ac:dyDescent="0.25">
      <c r="A10" s="3" t="s">
        <v>14</v>
      </c>
      <c r="B10" s="45" t="s">
        <v>101</v>
      </c>
      <c r="C10" s="45" t="s">
        <v>102</v>
      </c>
      <c r="D10" s="46" t="s">
        <v>103</v>
      </c>
      <c r="E10" s="3">
        <v>1283</v>
      </c>
      <c r="F10" s="3">
        <v>9208</v>
      </c>
      <c r="G10" s="3">
        <v>28893</v>
      </c>
      <c r="H10" s="3">
        <v>10757</v>
      </c>
      <c r="I10" s="9">
        <v>40032</v>
      </c>
      <c r="J10" s="47">
        <v>0.49121527777777779</v>
      </c>
    </row>
    <row r="11" spans="1:16" x14ac:dyDescent="0.25">
      <c r="A11" s="3" t="s">
        <v>14</v>
      </c>
      <c r="B11" s="45" t="s">
        <v>104</v>
      </c>
      <c r="C11" s="45" t="s">
        <v>105</v>
      </c>
      <c r="D11" s="46" t="s">
        <v>106</v>
      </c>
      <c r="E11" s="3">
        <v>1701</v>
      </c>
      <c r="F11" s="3">
        <v>9183</v>
      </c>
      <c r="G11" s="3">
        <v>13209</v>
      </c>
      <c r="H11" s="3">
        <v>1805</v>
      </c>
      <c r="I11" s="9">
        <v>39980</v>
      </c>
      <c r="J11" s="47">
        <v>0.40782407407407412</v>
      </c>
    </row>
    <row r="12" spans="1:16" ht="30" x14ac:dyDescent="0.25">
      <c r="A12" s="3" t="s">
        <v>14</v>
      </c>
      <c r="B12" s="45" t="s">
        <v>107</v>
      </c>
      <c r="C12" s="45" t="s">
        <v>36</v>
      </c>
      <c r="D12" s="46" t="s">
        <v>108</v>
      </c>
      <c r="E12" s="3">
        <v>127</v>
      </c>
      <c r="F12" s="3">
        <v>8985</v>
      </c>
      <c r="G12" s="3">
        <v>6431</v>
      </c>
      <c r="H12" s="3">
        <v>301</v>
      </c>
      <c r="I12" s="9">
        <v>39933</v>
      </c>
      <c r="J12" s="47">
        <v>0.65144675925925932</v>
      </c>
    </row>
    <row r="13" spans="1:16" ht="30" x14ac:dyDescent="0.25">
      <c r="A13" s="3" t="s">
        <v>14</v>
      </c>
      <c r="B13" s="45" t="s">
        <v>117</v>
      </c>
      <c r="C13" s="45" t="s">
        <v>118</v>
      </c>
      <c r="D13" s="46" t="s">
        <v>119</v>
      </c>
      <c r="E13" s="3">
        <v>1704</v>
      </c>
      <c r="F13" s="3">
        <v>7837</v>
      </c>
      <c r="G13" s="3">
        <v>7982</v>
      </c>
      <c r="H13" s="3">
        <v>4734</v>
      </c>
      <c r="I13" s="9">
        <v>39902</v>
      </c>
      <c r="J13" s="47">
        <v>0.51570601851851849</v>
      </c>
    </row>
    <row r="14" spans="1:16" ht="30" x14ac:dyDescent="0.25">
      <c r="A14" s="3" t="s">
        <v>14</v>
      </c>
      <c r="B14" s="45" t="s">
        <v>123</v>
      </c>
      <c r="C14" s="45" t="s">
        <v>36</v>
      </c>
      <c r="D14" s="46" t="s">
        <v>124</v>
      </c>
      <c r="E14" s="3">
        <v>3028</v>
      </c>
      <c r="F14" s="3">
        <v>7318</v>
      </c>
      <c r="G14" s="3">
        <v>3288</v>
      </c>
      <c r="H14" s="3">
        <v>188</v>
      </c>
      <c r="I14" s="9">
        <v>39920</v>
      </c>
      <c r="J14" s="47">
        <v>0.66435185185185186</v>
      </c>
    </row>
    <row r="15" spans="1:16" ht="30" x14ac:dyDescent="0.25">
      <c r="A15" s="3" t="s">
        <v>14</v>
      </c>
      <c r="B15" s="45" t="s">
        <v>165</v>
      </c>
      <c r="C15" s="45" t="s">
        <v>166</v>
      </c>
      <c r="D15" s="46" t="s">
        <v>167</v>
      </c>
      <c r="E15" s="3">
        <v>1381</v>
      </c>
      <c r="F15" s="3">
        <v>6107</v>
      </c>
      <c r="G15" s="3">
        <v>3586</v>
      </c>
      <c r="H15" s="3">
        <v>349</v>
      </c>
      <c r="I15" s="9">
        <v>39835</v>
      </c>
      <c r="J15" s="47">
        <v>0.70616898148148144</v>
      </c>
    </row>
    <row r="16" spans="1:16" ht="30" x14ac:dyDescent="0.25">
      <c r="A16" s="3" t="s">
        <v>14</v>
      </c>
      <c r="B16" s="45" t="s">
        <v>174</v>
      </c>
      <c r="C16" s="45" t="s">
        <v>175</v>
      </c>
      <c r="D16" s="46" t="s">
        <v>176</v>
      </c>
      <c r="E16" s="3">
        <v>871</v>
      </c>
      <c r="F16" s="3">
        <v>5982</v>
      </c>
      <c r="G16" s="3">
        <v>7169</v>
      </c>
      <c r="H16" s="3">
        <v>2233</v>
      </c>
      <c r="I16" s="9">
        <v>40561</v>
      </c>
      <c r="J16" s="47">
        <v>0.67937499999999995</v>
      </c>
    </row>
    <row r="17" spans="1:10" ht="30" x14ac:dyDescent="0.25">
      <c r="A17" s="3" t="s">
        <v>14</v>
      </c>
      <c r="B17" s="45" t="s">
        <v>177</v>
      </c>
      <c r="C17" s="45" t="s">
        <v>138</v>
      </c>
      <c r="D17" s="46" t="s">
        <v>178</v>
      </c>
      <c r="E17" s="3">
        <v>1054</v>
      </c>
      <c r="F17" s="3">
        <v>5822</v>
      </c>
      <c r="G17" s="3">
        <v>8314</v>
      </c>
      <c r="H17" s="3">
        <v>4034</v>
      </c>
      <c r="I17" s="9">
        <v>39960</v>
      </c>
      <c r="J17" s="47">
        <v>0.58598379629629627</v>
      </c>
    </row>
    <row r="18" spans="1:10" ht="45" x14ac:dyDescent="0.25">
      <c r="A18" s="3" t="s">
        <v>14</v>
      </c>
      <c r="B18" s="45" t="s">
        <v>179</v>
      </c>
      <c r="C18" s="45" t="s">
        <v>180</v>
      </c>
      <c r="D18" s="46" t="s">
        <v>181</v>
      </c>
      <c r="E18" s="3">
        <v>2502</v>
      </c>
      <c r="F18" s="3">
        <v>5797</v>
      </c>
      <c r="G18" s="3">
        <v>18407</v>
      </c>
      <c r="H18" s="3">
        <v>1815</v>
      </c>
      <c r="I18" s="9">
        <v>39891</v>
      </c>
      <c r="J18" s="47">
        <v>0.37995370370370374</v>
      </c>
    </row>
    <row r="19" spans="1:10" x14ac:dyDescent="0.25">
      <c r="A19" s="3" t="s">
        <v>14</v>
      </c>
      <c r="B19" s="45" t="s">
        <v>194</v>
      </c>
      <c r="C19" s="45" t="s">
        <v>195</v>
      </c>
      <c r="D19" s="46" t="s">
        <v>196</v>
      </c>
      <c r="E19" s="3">
        <v>1875</v>
      </c>
      <c r="F19" s="3">
        <v>5372</v>
      </c>
      <c r="G19" s="3">
        <v>6940</v>
      </c>
      <c r="H19" s="3">
        <v>666</v>
      </c>
      <c r="I19" s="9">
        <v>39876</v>
      </c>
      <c r="J19" s="47">
        <v>0.43797453703703698</v>
      </c>
    </row>
    <row r="20" spans="1:10" ht="30" x14ac:dyDescent="0.25">
      <c r="A20" s="3" t="s">
        <v>14</v>
      </c>
      <c r="B20" s="45" t="s">
        <v>205</v>
      </c>
      <c r="C20" s="45" t="s">
        <v>206</v>
      </c>
      <c r="D20" s="46" t="s">
        <v>207</v>
      </c>
      <c r="E20" s="3">
        <v>2081</v>
      </c>
      <c r="F20" s="3">
        <v>4761</v>
      </c>
      <c r="G20" s="3">
        <v>9113</v>
      </c>
      <c r="H20" s="3">
        <v>1280</v>
      </c>
      <c r="I20" s="9">
        <v>39841</v>
      </c>
      <c r="J20" s="47">
        <v>0.69537037037037042</v>
      </c>
    </row>
    <row r="21" spans="1:10" ht="45" x14ac:dyDescent="0.25">
      <c r="A21" s="3" t="s">
        <v>14</v>
      </c>
      <c r="B21" s="45" t="s">
        <v>208</v>
      </c>
      <c r="C21" s="45" t="s">
        <v>110</v>
      </c>
      <c r="D21" s="46" t="s">
        <v>209</v>
      </c>
      <c r="E21" s="3">
        <v>394</v>
      </c>
      <c r="F21" s="3">
        <v>4761</v>
      </c>
      <c r="G21" s="3">
        <v>6774</v>
      </c>
      <c r="H21" s="3">
        <v>831</v>
      </c>
      <c r="I21" s="9">
        <v>40065</v>
      </c>
      <c r="J21" s="47">
        <v>0.52685185185185179</v>
      </c>
    </row>
    <row r="22" spans="1:10" ht="30" x14ac:dyDescent="0.25">
      <c r="A22" s="3" t="s">
        <v>14</v>
      </c>
      <c r="B22" s="45" t="s">
        <v>213</v>
      </c>
      <c r="C22" s="45" t="s">
        <v>214</v>
      </c>
      <c r="D22" s="46" t="s">
        <v>215</v>
      </c>
      <c r="E22" s="3">
        <v>282</v>
      </c>
      <c r="F22" s="3">
        <v>4714</v>
      </c>
      <c r="G22" s="3">
        <v>16443</v>
      </c>
      <c r="H22" s="3">
        <v>890</v>
      </c>
      <c r="I22" s="9">
        <v>39295</v>
      </c>
      <c r="J22" s="47">
        <v>0.57594907407407414</v>
      </c>
    </row>
    <row r="23" spans="1:10" x14ac:dyDescent="0.25">
      <c r="A23" s="3" t="s">
        <v>14</v>
      </c>
      <c r="B23" s="45" t="s">
        <v>216</v>
      </c>
      <c r="C23" s="45" t="s">
        <v>36</v>
      </c>
      <c r="D23" s="46" t="s">
        <v>217</v>
      </c>
      <c r="E23" s="3">
        <v>359</v>
      </c>
      <c r="F23" s="3">
        <v>4659</v>
      </c>
      <c r="G23" s="3">
        <v>6515</v>
      </c>
      <c r="H23" s="3">
        <v>1832</v>
      </c>
      <c r="I23" s="9">
        <v>39909</v>
      </c>
      <c r="J23" s="47">
        <v>0.4283912037037037</v>
      </c>
    </row>
    <row r="24" spans="1:10" x14ac:dyDescent="0.25">
      <c r="A24" s="3" t="s">
        <v>14</v>
      </c>
      <c r="B24" s="45" t="s">
        <v>218</v>
      </c>
      <c r="C24" s="45" t="s">
        <v>219</v>
      </c>
      <c r="D24" s="46" t="s">
        <v>220</v>
      </c>
      <c r="E24" s="3">
        <v>37</v>
      </c>
      <c r="F24" s="3">
        <v>4645</v>
      </c>
      <c r="G24" s="3">
        <v>6366</v>
      </c>
      <c r="H24" s="3">
        <v>1166</v>
      </c>
      <c r="I24" s="9">
        <v>39863</v>
      </c>
      <c r="J24" s="47">
        <v>0.65241898148148147</v>
      </c>
    </row>
    <row r="25" spans="1:10" ht="30" x14ac:dyDescent="0.25">
      <c r="A25" s="3" t="s">
        <v>14</v>
      </c>
      <c r="B25" s="45" t="s">
        <v>229</v>
      </c>
      <c r="C25" s="45" t="s">
        <v>36</v>
      </c>
      <c r="D25" s="46" t="s">
        <v>230</v>
      </c>
      <c r="E25" s="3">
        <v>615</v>
      </c>
      <c r="F25" s="3">
        <v>4426</v>
      </c>
      <c r="G25" s="3">
        <v>3938</v>
      </c>
      <c r="H25" s="3">
        <v>120</v>
      </c>
      <c r="I25" s="9">
        <v>40287</v>
      </c>
      <c r="J25" s="47">
        <v>0.78646990740740741</v>
      </c>
    </row>
    <row r="26" spans="1:10" x14ac:dyDescent="0.25">
      <c r="A26" s="3" t="s">
        <v>14</v>
      </c>
      <c r="B26" s="45" t="s">
        <v>256</v>
      </c>
      <c r="C26" s="45" t="s">
        <v>257</v>
      </c>
      <c r="D26" s="46" t="s">
        <v>258</v>
      </c>
      <c r="E26" s="3">
        <v>471</v>
      </c>
      <c r="F26" s="3">
        <v>4027</v>
      </c>
      <c r="G26" s="3">
        <v>8715</v>
      </c>
      <c r="H26" s="3">
        <v>1474</v>
      </c>
      <c r="I26" s="9">
        <v>40442</v>
      </c>
      <c r="J26" s="47">
        <v>0.61381944444444447</v>
      </c>
    </row>
    <row r="27" spans="1:10" x14ac:dyDescent="0.25">
      <c r="A27" s="3" t="s">
        <v>14</v>
      </c>
      <c r="B27" s="45" t="s">
        <v>269</v>
      </c>
      <c r="C27" s="45" t="s">
        <v>270</v>
      </c>
      <c r="D27" s="46" t="s">
        <v>271</v>
      </c>
      <c r="E27" s="3">
        <v>1275</v>
      </c>
      <c r="F27" s="3">
        <v>3896</v>
      </c>
      <c r="G27" s="3">
        <v>13356</v>
      </c>
      <c r="H27" s="3">
        <v>1248</v>
      </c>
      <c r="I27" s="9">
        <v>40967</v>
      </c>
      <c r="J27" s="47">
        <v>0.69240740740740747</v>
      </c>
    </row>
    <row r="28" spans="1:10" ht="30" x14ac:dyDescent="0.25">
      <c r="A28" s="3" t="s">
        <v>14</v>
      </c>
      <c r="B28" s="45" t="s">
        <v>275</v>
      </c>
      <c r="C28" s="45" t="s">
        <v>276</v>
      </c>
      <c r="D28" s="46" t="s">
        <v>277</v>
      </c>
      <c r="E28" s="3">
        <v>350</v>
      </c>
      <c r="F28" s="3">
        <v>3870</v>
      </c>
      <c r="G28" s="3">
        <v>3820</v>
      </c>
      <c r="H28" s="3">
        <v>247</v>
      </c>
      <c r="I28" s="9">
        <v>39727</v>
      </c>
      <c r="J28" s="47">
        <v>0.38342592592592589</v>
      </c>
    </row>
    <row r="29" spans="1:10" ht="30" x14ac:dyDescent="0.25">
      <c r="A29" s="3" t="s">
        <v>14</v>
      </c>
      <c r="B29" s="45" t="s">
        <v>278</v>
      </c>
      <c r="C29" s="45" t="s">
        <v>279</v>
      </c>
      <c r="D29" s="46" t="s">
        <v>280</v>
      </c>
      <c r="E29" s="3">
        <v>1527</v>
      </c>
      <c r="F29" s="3">
        <v>3838</v>
      </c>
      <c r="G29" s="3">
        <v>6000</v>
      </c>
      <c r="H29" s="3">
        <v>1733</v>
      </c>
      <c r="I29" s="9">
        <v>40899</v>
      </c>
      <c r="J29" s="47">
        <v>0.50215277777777778</v>
      </c>
    </row>
    <row r="30" spans="1:10" ht="30" x14ac:dyDescent="0.25">
      <c r="A30" s="3" t="s">
        <v>14</v>
      </c>
      <c r="B30" s="45" t="s">
        <v>286</v>
      </c>
      <c r="C30" s="45" t="s">
        <v>287</v>
      </c>
      <c r="D30" s="46" t="s">
        <v>288</v>
      </c>
      <c r="E30" s="3">
        <v>425</v>
      </c>
      <c r="F30" s="3">
        <v>3698</v>
      </c>
      <c r="G30" s="3">
        <v>3029</v>
      </c>
      <c r="H30" s="3">
        <v>172</v>
      </c>
      <c r="I30" s="9">
        <v>39841</v>
      </c>
      <c r="J30" s="47">
        <v>0.44413194444444443</v>
      </c>
    </row>
    <row r="31" spans="1:10" x14ac:dyDescent="0.25">
      <c r="A31" s="3" t="s">
        <v>14</v>
      </c>
      <c r="B31" s="45" t="s">
        <v>289</v>
      </c>
      <c r="C31" s="45" t="s">
        <v>290</v>
      </c>
      <c r="D31" s="46" t="s">
        <v>291</v>
      </c>
      <c r="E31" s="3">
        <v>1761</v>
      </c>
      <c r="F31" s="3">
        <v>3666</v>
      </c>
      <c r="G31" s="3">
        <v>9561</v>
      </c>
      <c r="H31" s="3">
        <v>752</v>
      </c>
      <c r="I31" s="9">
        <v>40626</v>
      </c>
      <c r="J31" s="47">
        <v>0.42304398148148148</v>
      </c>
    </row>
    <row r="32" spans="1:10" ht="30" x14ac:dyDescent="0.25">
      <c r="A32" s="3" t="s">
        <v>14</v>
      </c>
      <c r="B32" s="45" t="s">
        <v>304</v>
      </c>
      <c r="C32" s="45" t="s">
        <v>36</v>
      </c>
      <c r="D32" s="46" t="s">
        <v>305</v>
      </c>
      <c r="E32" s="3">
        <v>196</v>
      </c>
      <c r="F32" s="3">
        <v>3566</v>
      </c>
      <c r="G32" s="3">
        <v>4537</v>
      </c>
      <c r="H32" s="3">
        <v>672</v>
      </c>
      <c r="I32" s="9">
        <v>39881</v>
      </c>
      <c r="J32" s="47">
        <v>0.78645833333333337</v>
      </c>
    </row>
    <row r="33" spans="1:10" ht="30" x14ac:dyDescent="0.25">
      <c r="A33" s="3" t="s">
        <v>14</v>
      </c>
      <c r="B33" s="45" t="s">
        <v>309</v>
      </c>
      <c r="C33" s="45" t="s">
        <v>310</v>
      </c>
      <c r="D33" s="46" t="s">
        <v>311</v>
      </c>
      <c r="E33" s="3">
        <v>265</v>
      </c>
      <c r="F33" s="3">
        <v>3540</v>
      </c>
      <c r="G33" s="3">
        <v>2622</v>
      </c>
      <c r="H33" s="3">
        <v>1044</v>
      </c>
      <c r="I33" s="9">
        <v>39827</v>
      </c>
      <c r="J33" s="47">
        <v>0.44771990740740741</v>
      </c>
    </row>
    <row r="34" spans="1:10" ht="30" x14ac:dyDescent="0.25">
      <c r="A34" s="3" t="s">
        <v>14</v>
      </c>
      <c r="B34" s="45" t="s">
        <v>317</v>
      </c>
      <c r="C34" s="45" t="s">
        <v>318</v>
      </c>
      <c r="D34" s="46" t="s">
        <v>319</v>
      </c>
      <c r="E34" s="3">
        <v>1669</v>
      </c>
      <c r="F34" s="3">
        <v>3450</v>
      </c>
      <c r="G34" s="3">
        <v>4260</v>
      </c>
      <c r="H34" s="3">
        <v>916</v>
      </c>
      <c r="I34" s="9">
        <v>40858</v>
      </c>
      <c r="J34" s="47">
        <v>0.39178240740740744</v>
      </c>
    </row>
    <row r="35" spans="1:10" ht="30" x14ac:dyDescent="0.25">
      <c r="A35" s="3" t="s">
        <v>14</v>
      </c>
      <c r="B35" s="45" t="s">
        <v>351</v>
      </c>
      <c r="C35" s="45" t="s">
        <v>352</v>
      </c>
      <c r="D35" s="46" t="s">
        <v>353</v>
      </c>
      <c r="E35" s="3">
        <v>1016</v>
      </c>
      <c r="F35" s="3">
        <v>3177</v>
      </c>
      <c r="G35" s="3">
        <v>7660</v>
      </c>
      <c r="H35" s="3">
        <v>287</v>
      </c>
      <c r="I35" s="9">
        <v>40527</v>
      </c>
      <c r="J35" s="47">
        <v>0.51488425925925929</v>
      </c>
    </row>
    <row r="36" spans="1:10" ht="30" x14ac:dyDescent="0.25">
      <c r="A36" s="3" t="s">
        <v>14</v>
      </c>
      <c r="B36" s="45" t="s">
        <v>360</v>
      </c>
      <c r="C36" s="45" t="s">
        <v>361</v>
      </c>
      <c r="D36" s="46" t="s">
        <v>362</v>
      </c>
      <c r="E36" s="3">
        <v>467</v>
      </c>
      <c r="F36" s="3">
        <v>3071</v>
      </c>
      <c r="G36" s="3">
        <v>29907</v>
      </c>
      <c r="H36" s="3">
        <v>2944</v>
      </c>
      <c r="I36" s="9">
        <v>40247</v>
      </c>
      <c r="J36" s="47">
        <v>0.63377314814814811</v>
      </c>
    </row>
    <row r="37" spans="1:10" ht="30" x14ac:dyDescent="0.25">
      <c r="A37" s="3" t="s">
        <v>14</v>
      </c>
      <c r="B37" s="45" t="s">
        <v>374</v>
      </c>
      <c r="C37" s="45" t="s">
        <v>375</v>
      </c>
      <c r="D37" s="46" t="s">
        <v>376</v>
      </c>
      <c r="E37" s="3">
        <v>435</v>
      </c>
      <c r="F37" s="3">
        <v>2991</v>
      </c>
      <c r="G37" s="3">
        <v>8309</v>
      </c>
      <c r="H37" s="3">
        <v>1370</v>
      </c>
      <c r="I37" s="9">
        <v>39968</v>
      </c>
      <c r="J37" s="47">
        <v>0.67181712962962958</v>
      </c>
    </row>
    <row r="38" spans="1:10" x14ac:dyDescent="0.25">
      <c r="A38" s="3" t="s">
        <v>14</v>
      </c>
      <c r="B38" s="45" t="s">
        <v>377</v>
      </c>
      <c r="C38" s="45" t="s">
        <v>378</v>
      </c>
      <c r="D38" s="46" t="s">
        <v>379</v>
      </c>
      <c r="E38" s="3">
        <v>84</v>
      </c>
      <c r="F38" s="3">
        <v>2974</v>
      </c>
      <c r="G38" s="3">
        <v>2244</v>
      </c>
      <c r="H38" s="3">
        <v>56</v>
      </c>
      <c r="I38" s="9">
        <v>40946</v>
      </c>
      <c r="J38" s="47">
        <v>0.75494212962962959</v>
      </c>
    </row>
    <row r="39" spans="1:10" ht="45" x14ac:dyDescent="0.25">
      <c r="A39" s="3" t="s">
        <v>14</v>
      </c>
      <c r="B39" s="45" t="s">
        <v>386</v>
      </c>
      <c r="C39" s="45" t="s">
        <v>387</v>
      </c>
      <c r="D39" s="46" t="s">
        <v>388</v>
      </c>
      <c r="E39" s="3">
        <v>614</v>
      </c>
      <c r="F39" s="3">
        <v>2937</v>
      </c>
      <c r="G39" s="3">
        <v>5644</v>
      </c>
      <c r="H39" s="3">
        <v>357</v>
      </c>
      <c r="I39" s="9">
        <v>39891</v>
      </c>
      <c r="J39" s="47">
        <v>0.6150578703703703</v>
      </c>
    </row>
    <row r="40" spans="1:10" ht="30" x14ac:dyDescent="0.25">
      <c r="A40" s="3" t="s">
        <v>14</v>
      </c>
      <c r="B40" s="45" t="s">
        <v>389</v>
      </c>
      <c r="C40" s="45" t="s">
        <v>390</v>
      </c>
      <c r="D40" s="46" t="s">
        <v>391</v>
      </c>
      <c r="E40" s="3">
        <v>953</v>
      </c>
      <c r="F40" s="3">
        <v>2911</v>
      </c>
      <c r="G40" s="3">
        <v>5219</v>
      </c>
      <c r="H40" s="3">
        <v>585</v>
      </c>
      <c r="I40" s="9">
        <v>40297</v>
      </c>
      <c r="J40" s="47">
        <v>0.79820601851851858</v>
      </c>
    </row>
    <row r="41" spans="1:10" ht="30" x14ac:dyDescent="0.25">
      <c r="A41" s="3" t="s">
        <v>14</v>
      </c>
      <c r="B41" s="45" t="s">
        <v>395</v>
      </c>
      <c r="C41" s="45" t="s">
        <v>396</v>
      </c>
      <c r="D41" s="46" t="s">
        <v>397</v>
      </c>
      <c r="E41" s="3">
        <v>1926</v>
      </c>
      <c r="F41" s="3">
        <v>2893</v>
      </c>
      <c r="G41" s="3">
        <v>5920</v>
      </c>
      <c r="H41" s="3">
        <v>551</v>
      </c>
      <c r="I41" s="9">
        <v>40358</v>
      </c>
      <c r="J41" s="47">
        <v>0.53640046296296295</v>
      </c>
    </row>
    <row r="42" spans="1:10" ht="30" x14ac:dyDescent="0.25">
      <c r="A42" s="3" t="s">
        <v>14</v>
      </c>
      <c r="B42" s="45" t="s">
        <v>398</v>
      </c>
      <c r="D42" s="46" t="s">
        <v>399</v>
      </c>
      <c r="E42" s="3">
        <v>235</v>
      </c>
      <c r="F42" s="3">
        <v>2878</v>
      </c>
      <c r="G42" s="3">
        <v>1383</v>
      </c>
      <c r="H42" s="3">
        <v>169</v>
      </c>
      <c r="I42" s="9">
        <v>39962</v>
      </c>
      <c r="J42" s="47">
        <v>0.531712962962963</v>
      </c>
    </row>
    <row r="43" spans="1:10" ht="30" x14ac:dyDescent="0.25">
      <c r="A43" s="3" t="s">
        <v>14</v>
      </c>
      <c r="B43" s="45" t="s">
        <v>426</v>
      </c>
      <c r="C43" s="45" t="s">
        <v>427</v>
      </c>
      <c r="D43" s="46" t="s">
        <v>428</v>
      </c>
      <c r="E43" s="3">
        <v>718</v>
      </c>
      <c r="F43" s="3">
        <v>2757</v>
      </c>
      <c r="G43" s="3">
        <v>7567</v>
      </c>
      <c r="H43" s="3">
        <v>2505</v>
      </c>
      <c r="I43" s="9">
        <v>40793</v>
      </c>
      <c r="J43" s="47">
        <v>0.43004629629629632</v>
      </c>
    </row>
    <row r="44" spans="1:10" ht="30" x14ac:dyDescent="0.25">
      <c r="A44" s="3" t="s">
        <v>14</v>
      </c>
      <c r="B44" s="45" t="s">
        <v>435</v>
      </c>
      <c r="C44" s="45" t="s">
        <v>436</v>
      </c>
      <c r="D44" s="46" t="s">
        <v>437</v>
      </c>
      <c r="E44" s="3">
        <v>489</v>
      </c>
      <c r="F44" s="3">
        <v>2734</v>
      </c>
      <c r="G44" s="3">
        <v>6781</v>
      </c>
      <c r="H44" s="3">
        <v>385</v>
      </c>
      <c r="I44" s="9">
        <v>40100</v>
      </c>
      <c r="J44" s="47">
        <v>0.56315972222222221</v>
      </c>
    </row>
    <row r="45" spans="1:10" ht="30" x14ac:dyDescent="0.25">
      <c r="A45" s="3" t="s">
        <v>14</v>
      </c>
      <c r="B45" s="45" t="s">
        <v>458</v>
      </c>
      <c r="C45" s="45" t="s">
        <v>459</v>
      </c>
      <c r="D45" s="46" t="s">
        <v>460</v>
      </c>
      <c r="E45" s="3">
        <v>272</v>
      </c>
      <c r="F45" s="3">
        <v>2653</v>
      </c>
      <c r="G45" s="3">
        <v>10388</v>
      </c>
      <c r="H45" s="3">
        <v>314</v>
      </c>
      <c r="I45" s="9">
        <v>40170</v>
      </c>
      <c r="J45" s="47">
        <v>0.44023148148148145</v>
      </c>
    </row>
    <row r="46" spans="1:10" ht="30" x14ac:dyDescent="0.25">
      <c r="A46" s="3" t="s">
        <v>14</v>
      </c>
      <c r="B46" s="45" t="s">
        <v>464</v>
      </c>
      <c r="C46" s="45" t="s">
        <v>102</v>
      </c>
      <c r="D46" s="46" t="s">
        <v>465</v>
      </c>
      <c r="E46" s="3">
        <v>588</v>
      </c>
      <c r="F46" s="3">
        <v>2637</v>
      </c>
      <c r="G46" s="3">
        <v>4581</v>
      </c>
      <c r="H46" s="3">
        <v>367</v>
      </c>
      <c r="I46" s="9">
        <v>40373</v>
      </c>
      <c r="J46" s="47">
        <v>0.5848726851851852</v>
      </c>
    </row>
    <row r="47" spans="1:10" ht="30" x14ac:dyDescent="0.25">
      <c r="A47" s="3" t="s">
        <v>14</v>
      </c>
      <c r="B47" s="45" t="s">
        <v>466</v>
      </c>
      <c r="C47" s="45" t="s">
        <v>467</v>
      </c>
      <c r="D47" s="46" t="s">
        <v>468</v>
      </c>
      <c r="E47" s="3">
        <v>1310</v>
      </c>
      <c r="F47" s="3">
        <v>2631</v>
      </c>
      <c r="G47" s="3">
        <v>7112</v>
      </c>
      <c r="H47" s="3">
        <v>3248</v>
      </c>
      <c r="I47" s="9">
        <v>40185</v>
      </c>
      <c r="J47" s="47">
        <v>0.701238425925926</v>
      </c>
    </row>
    <row r="48" spans="1:10" x14ac:dyDescent="0.25">
      <c r="A48" s="3" t="s">
        <v>14</v>
      </c>
      <c r="B48" s="45" t="s">
        <v>472</v>
      </c>
      <c r="C48" s="45" t="s">
        <v>138</v>
      </c>
      <c r="D48" s="46" t="s">
        <v>473</v>
      </c>
      <c r="E48" s="3">
        <v>1288</v>
      </c>
      <c r="F48" s="3">
        <v>2613</v>
      </c>
      <c r="G48" s="3">
        <v>4919</v>
      </c>
      <c r="H48" s="3">
        <v>495</v>
      </c>
      <c r="I48" s="9">
        <v>39969</v>
      </c>
      <c r="J48" s="47">
        <v>0.38974537037037038</v>
      </c>
    </row>
    <row r="49" spans="1:10" ht="30" x14ac:dyDescent="0.25">
      <c r="A49" s="3" t="s">
        <v>14</v>
      </c>
      <c r="B49" s="45" t="s">
        <v>479</v>
      </c>
      <c r="C49" s="45" t="s">
        <v>480</v>
      </c>
      <c r="D49" s="46" t="s">
        <v>481</v>
      </c>
      <c r="E49" s="3">
        <v>553</v>
      </c>
      <c r="F49" s="3">
        <v>2535</v>
      </c>
      <c r="G49" s="3">
        <v>5535</v>
      </c>
      <c r="H49" s="3">
        <v>523</v>
      </c>
      <c r="I49" s="9">
        <v>40872</v>
      </c>
      <c r="J49" s="47">
        <v>0.5917824074074074</v>
      </c>
    </row>
    <row r="50" spans="1:10" ht="30" x14ac:dyDescent="0.25">
      <c r="A50" s="3" t="s">
        <v>14</v>
      </c>
      <c r="B50" s="45" t="s">
        <v>482</v>
      </c>
      <c r="C50" s="45" t="s">
        <v>225</v>
      </c>
      <c r="D50" s="46" t="s">
        <v>483</v>
      </c>
      <c r="E50" s="3">
        <v>919</v>
      </c>
      <c r="F50" s="3">
        <v>2531</v>
      </c>
      <c r="G50" s="3">
        <v>4925</v>
      </c>
      <c r="H50" s="3">
        <v>540</v>
      </c>
      <c r="I50" s="9">
        <v>41094</v>
      </c>
      <c r="J50" s="47">
        <v>0.54940972222222217</v>
      </c>
    </row>
    <row r="51" spans="1:10" ht="30" x14ac:dyDescent="0.25">
      <c r="A51" s="3" t="s">
        <v>14</v>
      </c>
      <c r="B51" s="45" t="s">
        <v>484</v>
      </c>
      <c r="C51" s="45" t="s">
        <v>427</v>
      </c>
      <c r="D51" s="46" t="s">
        <v>485</v>
      </c>
      <c r="E51" s="3">
        <v>181</v>
      </c>
      <c r="F51" s="3">
        <v>2529</v>
      </c>
      <c r="G51" s="3">
        <v>3964</v>
      </c>
      <c r="H51" s="3">
        <v>238</v>
      </c>
      <c r="I51" s="9">
        <v>40763</v>
      </c>
      <c r="J51" s="47">
        <v>0.63680555555555551</v>
      </c>
    </row>
    <row r="52" spans="1:10" ht="30" x14ac:dyDescent="0.25">
      <c r="A52" s="3" t="s">
        <v>14</v>
      </c>
      <c r="B52" s="45" t="s">
        <v>495</v>
      </c>
      <c r="C52" s="45" t="s">
        <v>496</v>
      </c>
      <c r="D52" s="46" t="s">
        <v>497</v>
      </c>
      <c r="E52" s="3">
        <v>449</v>
      </c>
      <c r="F52" s="3">
        <v>2492</v>
      </c>
      <c r="G52" s="3">
        <v>3037</v>
      </c>
      <c r="H52" s="3">
        <v>350</v>
      </c>
      <c r="I52" s="9">
        <v>40156</v>
      </c>
      <c r="J52" s="47">
        <v>0.39773148148148146</v>
      </c>
    </row>
    <row r="53" spans="1:10" ht="30" x14ac:dyDescent="0.25">
      <c r="A53" s="3" t="s">
        <v>14</v>
      </c>
      <c r="B53" s="45" t="s">
        <v>501</v>
      </c>
      <c r="C53" s="45" t="s">
        <v>502</v>
      </c>
      <c r="D53" s="46" t="s">
        <v>503</v>
      </c>
      <c r="E53" s="3">
        <v>1397</v>
      </c>
      <c r="F53" s="3">
        <v>2472</v>
      </c>
      <c r="G53" s="3">
        <v>8541</v>
      </c>
      <c r="H53" s="3">
        <v>4135</v>
      </c>
      <c r="I53" s="9">
        <v>40145</v>
      </c>
      <c r="J53" s="47">
        <v>0.59453703703703698</v>
      </c>
    </row>
    <row r="54" spans="1:10" x14ac:dyDescent="0.25">
      <c r="A54" s="3" t="s">
        <v>14</v>
      </c>
      <c r="B54" s="45" t="s">
        <v>513</v>
      </c>
      <c r="C54" s="45" t="s">
        <v>514</v>
      </c>
      <c r="D54" s="46" t="s">
        <v>515</v>
      </c>
      <c r="E54" s="3">
        <v>450</v>
      </c>
      <c r="F54" s="3">
        <v>2436</v>
      </c>
      <c r="G54" s="3">
        <v>6784</v>
      </c>
      <c r="H54" s="3">
        <v>732</v>
      </c>
      <c r="I54" s="9">
        <v>41405</v>
      </c>
      <c r="J54" s="47">
        <v>0.39309027777777777</v>
      </c>
    </row>
    <row r="55" spans="1:10" x14ac:dyDescent="0.25">
      <c r="A55" s="3" t="s">
        <v>14</v>
      </c>
      <c r="B55" s="45" t="s">
        <v>519</v>
      </c>
      <c r="C55" s="45" t="s">
        <v>520</v>
      </c>
      <c r="D55" s="46" t="s">
        <v>521</v>
      </c>
      <c r="E55" s="3">
        <v>2359</v>
      </c>
      <c r="F55" s="3">
        <v>2412</v>
      </c>
      <c r="G55" s="3">
        <v>7650</v>
      </c>
      <c r="H55" s="3">
        <v>1347</v>
      </c>
      <c r="I55" s="9">
        <v>40193</v>
      </c>
      <c r="J55" s="47">
        <v>0.42681712962962964</v>
      </c>
    </row>
    <row r="56" spans="1:10" ht="30" x14ac:dyDescent="0.25">
      <c r="A56" s="3" t="s">
        <v>14</v>
      </c>
      <c r="B56" s="45" t="s">
        <v>531</v>
      </c>
      <c r="C56" s="45" t="s">
        <v>532</v>
      </c>
      <c r="D56" s="46" t="s">
        <v>533</v>
      </c>
      <c r="E56" s="3">
        <v>259</v>
      </c>
      <c r="F56" s="3">
        <v>2378</v>
      </c>
      <c r="G56" s="3">
        <v>3786</v>
      </c>
      <c r="H56" s="3">
        <v>614</v>
      </c>
      <c r="I56" s="9">
        <v>41373</v>
      </c>
      <c r="J56" s="47">
        <v>0.40052083333333338</v>
      </c>
    </row>
    <row r="57" spans="1:10" x14ac:dyDescent="0.25">
      <c r="A57" s="3" t="s">
        <v>14</v>
      </c>
      <c r="B57" s="45" t="s">
        <v>534</v>
      </c>
      <c r="C57" s="45" t="s">
        <v>535</v>
      </c>
      <c r="D57" s="46" t="s">
        <v>536</v>
      </c>
      <c r="E57" s="3">
        <v>252</v>
      </c>
      <c r="F57" s="3">
        <v>2373</v>
      </c>
      <c r="G57" s="3">
        <v>2511</v>
      </c>
      <c r="H57" s="3">
        <v>485</v>
      </c>
      <c r="I57" s="9">
        <v>39931</v>
      </c>
      <c r="J57" s="47">
        <v>0.58255787037037032</v>
      </c>
    </row>
    <row r="58" spans="1:10" ht="30" x14ac:dyDescent="0.25">
      <c r="A58" s="3" t="s">
        <v>14</v>
      </c>
      <c r="B58" s="45" t="s">
        <v>542</v>
      </c>
      <c r="C58" s="45" t="s">
        <v>543</v>
      </c>
      <c r="D58" s="46" t="s">
        <v>544</v>
      </c>
      <c r="E58" s="3">
        <v>1074</v>
      </c>
      <c r="F58" s="3">
        <v>2359</v>
      </c>
      <c r="G58" s="3">
        <v>8100</v>
      </c>
      <c r="H58" s="3">
        <v>2400</v>
      </c>
      <c r="I58" s="9">
        <v>39839</v>
      </c>
      <c r="J58" s="47">
        <v>0.40078703703703705</v>
      </c>
    </row>
    <row r="59" spans="1:10" ht="30" x14ac:dyDescent="0.25">
      <c r="A59" s="3" t="s">
        <v>14</v>
      </c>
      <c r="B59" s="45" t="s">
        <v>553</v>
      </c>
      <c r="C59" s="45" t="s">
        <v>554</v>
      </c>
      <c r="D59" s="46" t="s">
        <v>555</v>
      </c>
      <c r="E59" s="3">
        <v>1128</v>
      </c>
      <c r="F59" s="3">
        <v>2329</v>
      </c>
      <c r="G59" s="3">
        <v>4342</v>
      </c>
      <c r="H59" s="3">
        <v>1144</v>
      </c>
      <c r="I59" s="9">
        <v>41397</v>
      </c>
      <c r="J59" s="47">
        <v>0.53849537037037043</v>
      </c>
    </row>
    <row r="60" spans="1:10" ht="30" x14ac:dyDescent="0.25">
      <c r="A60" s="3" t="s">
        <v>14</v>
      </c>
      <c r="B60" s="45" t="s">
        <v>550</v>
      </c>
      <c r="C60" s="45" t="s">
        <v>551</v>
      </c>
      <c r="D60" s="46" t="s">
        <v>552</v>
      </c>
      <c r="E60" s="3">
        <v>484</v>
      </c>
      <c r="F60" s="3">
        <v>2329</v>
      </c>
      <c r="G60" s="3">
        <v>6510</v>
      </c>
      <c r="H60" s="3">
        <v>524</v>
      </c>
      <c r="I60" s="9">
        <v>40185</v>
      </c>
      <c r="J60" s="47">
        <v>0.57668981481481485</v>
      </c>
    </row>
    <row r="61" spans="1:10" ht="30" x14ac:dyDescent="0.25">
      <c r="A61" s="3" t="s">
        <v>14</v>
      </c>
      <c r="B61" s="45" t="s">
        <v>568</v>
      </c>
      <c r="C61" s="45" t="s">
        <v>569</v>
      </c>
      <c r="D61" s="46" t="s">
        <v>570</v>
      </c>
      <c r="E61" s="3">
        <v>181</v>
      </c>
      <c r="F61" s="3">
        <v>2274</v>
      </c>
      <c r="G61" s="3">
        <v>1460</v>
      </c>
      <c r="H61" s="3">
        <v>194</v>
      </c>
      <c r="I61" s="9">
        <v>39866</v>
      </c>
      <c r="J61" s="47">
        <v>0.59121527777777783</v>
      </c>
    </row>
    <row r="62" spans="1:10" ht="30" x14ac:dyDescent="0.25">
      <c r="A62" s="3" t="s">
        <v>14</v>
      </c>
      <c r="B62" s="45" t="s">
        <v>577</v>
      </c>
      <c r="C62" s="45" t="s">
        <v>578</v>
      </c>
      <c r="D62" s="46" t="s">
        <v>579</v>
      </c>
      <c r="E62" s="3">
        <v>859</v>
      </c>
      <c r="F62" s="3">
        <v>2237</v>
      </c>
      <c r="G62" s="3">
        <v>5729</v>
      </c>
      <c r="H62" s="3">
        <v>669</v>
      </c>
      <c r="I62" s="9">
        <v>40521</v>
      </c>
      <c r="J62" s="47">
        <v>0.48101851851851851</v>
      </c>
    </row>
    <row r="63" spans="1:10" x14ac:dyDescent="0.25">
      <c r="A63" s="3" t="s">
        <v>14</v>
      </c>
      <c r="B63" s="45" t="s">
        <v>580</v>
      </c>
      <c r="C63" s="45" t="s">
        <v>581</v>
      </c>
      <c r="D63" s="46" t="s">
        <v>582</v>
      </c>
      <c r="E63" s="3">
        <v>206</v>
      </c>
      <c r="F63" s="3">
        <v>2227</v>
      </c>
      <c r="G63" s="3">
        <v>2632</v>
      </c>
      <c r="H63" s="3">
        <v>382</v>
      </c>
      <c r="I63" s="9">
        <v>39879</v>
      </c>
      <c r="J63" s="47">
        <v>0.75054398148148149</v>
      </c>
    </row>
    <row r="64" spans="1:10" ht="30" x14ac:dyDescent="0.25">
      <c r="A64" s="3" t="s">
        <v>14</v>
      </c>
      <c r="B64" s="45" t="s">
        <v>595</v>
      </c>
      <c r="C64" s="45" t="s">
        <v>427</v>
      </c>
      <c r="D64" s="46" t="s">
        <v>596</v>
      </c>
      <c r="E64" s="3">
        <v>297</v>
      </c>
      <c r="F64" s="3">
        <v>2191</v>
      </c>
      <c r="G64" s="3">
        <v>3615</v>
      </c>
      <c r="H64" s="3">
        <v>459</v>
      </c>
      <c r="I64" s="9">
        <v>40814</v>
      </c>
      <c r="J64" s="47">
        <v>0.43584490740740739</v>
      </c>
    </row>
    <row r="65" spans="1:10" ht="30" x14ac:dyDescent="0.25">
      <c r="A65" s="3" t="s">
        <v>14</v>
      </c>
      <c r="B65" s="45" t="s">
        <v>600</v>
      </c>
      <c r="C65" s="45" t="s">
        <v>601</v>
      </c>
      <c r="D65" s="46" t="s">
        <v>602</v>
      </c>
      <c r="E65" s="3">
        <v>558</v>
      </c>
      <c r="F65" s="3">
        <v>2184</v>
      </c>
      <c r="G65" s="3">
        <v>4433</v>
      </c>
      <c r="H65" s="3">
        <v>701</v>
      </c>
      <c r="I65" s="9">
        <v>40504</v>
      </c>
      <c r="J65" s="47">
        <v>0.44937500000000002</v>
      </c>
    </row>
    <row r="66" spans="1:10" ht="45" x14ac:dyDescent="0.25">
      <c r="A66" s="3" t="s">
        <v>14</v>
      </c>
      <c r="B66" s="45" t="s">
        <v>603</v>
      </c>
      <c r="C66" s="45" t="s">
        <v>604</v>
      </c>
      <c r="D66" s="46" t="s">
        <v>605</v>
      </c>
      <c r="E66" s="3">
        <v>765</v>
      </c>
      <c r="F66" s="3">
        <v>2183</v>
      </c>
      <c r="G66" s="3">
        <v>9285</v>
      </c>
      <c r="H66" s="3">
        <v>298</v>
      </c>
      <c r="I66" s="9">
        <v>40719</v>
      </c>
      <c r="J66" s="47">
        <v>0.50449074074074074</v>
      </c>
    </row>
    <row r="67" spans="1:10" ht="30" x14ac:dyDescent="0.25">
      <c r="A67" s="3" t="s">
        <v>14</v>
      </c>
      <c r="B67" s="45" t="s">
        <v>606</v>
      </c>
      <c r="C67" s="45" t="s">
        <v>607</v>
      </c>
      <c r="D67" s="46" t="s">
        <v>608</v>
      </c>
      <c r="E67" s="3">
        <v>704</v>
      </c>
      <c r="F67" s="3">
        <v>2180</v>
      </c>
      <c r="G67" s="3">
        <v>3286</v>
      </c>
      <c r="H67" s="3">
        <v>1164</v>
      </c>
      <c r="I67" s="9">
        <v>40058</v>
      </c>
      <c r="J67" s="47">
        <v>0.40496527777777774</v>
      </c>
    </row>
    <row r="68" spans="1:10" ht="30" x14ac:dyDescent="0.25">
      <c r="A68" s="3" t="s">
        <v>14</v>
      </c>
      <c r="B68" s="45" t="s">
        <v>623</v>
      </c>
      <c r="C68" s="45" t="s">
        <v>624</v>
      </c>
      <c r="D68" s="46" t="s">
        <v>625</v>
      </c>
      <c r="E68" s="3">
        <v>110</v>
      </c>
      <c r="F68" s="3">
        <v>2136</v>
      </c>
      <c r="G68" s="3">
        <v>3290</v>
      </c>
      <c r="H68" s="3">
        <v>285</v>
      </c>
      <c r="I68" s="9">
        <v>39997</v>
      </c>
      <c r="J68" s="47">
        <v>0.49483796296296295</v>
      </c>
    </row>
    <row r="69" spans="1:10" x14ac:dyDescent="0.25">
      <c r="A69" s="3" t="s">
        <v>14</v>
      </c>
      <c r="B69" s="45" t="s">
        <v>629</v>
      </c>
      <c r="C69" s="45" t="s">
        <v>630</v>
      </c>
      <c r="D69" s="46" t="s">
        <v>631</v>
      </c>
      <c r="E69" s="3">
        <v>59</v>
      </c>
      <c r="F69" s="3">
        <v>2118</v>
      </c>
      <c r="G69" s="3">
        <v>2408</v>
      </c>
      <c r="H69" s="3">
        <v>31</v>
      </c>
      <c r="I69" s="9">
        <v>40135</v>
      </c>
      <c r="J69" s="47">
        <v>0.66736111111111107</v>
      </c>
    </row>
    <row r="70" spans="1:10" ht="30" x14ac:dyDescent="0.25">
      <c r="A70" s="3" t="s">
        <v>14</v>
      </c>
      <c r="B70" s="45" t="s">
        <v>647</v>
      </c>
      <c r="C70" s="45" t="s">
        <v>526</v>
      </c>
      <c r="D70" s="46" t="s">
        <v>648</v>
      </c>
      <c r="E70" s="3">
        <v>579</v>
      </c>
      <c r="F70" s="3">
        <v>2048</v>
      </c>
      <c r="G70" s="3">
        <v>5957</v>
      </c>
      <c r="H70" s="3">
        <v>1324</v>
      </c>
      <c r="I70" s="9">
        <v>41895</v>
      </c>
      <c r="J70" s="47">
        <v>0.35478009259259258</v>
      </c>
    </row>
    <row r="71" spans="1:10" ht="30" x14ac:dyDescent="0.25">
      <c r="A71" s="3" t="s">
        <v>14</v>
      </c>
      <c r="B71" s="45" t="s">
        <v>651</v>
      </c>
      <c r="C71" s="45" t="s">
        <v>652</v>
      </c>
      <c r="D71" s="46" t="s">
        <v>653</v>
      </c>
      <c r="E71" s="3">
        <v>324</v>
      </c>
      <c r="F71" s="3">
        <v>2031</v>
      </c>
      <c r="G71" s="3">
        <v>7834</v>
      </c>
      <c r="H71" s="3">
        <v>831</v>
      </c>
      <c r="I71" s="9">
        <v>40305</v>
      </c>
      <c r="J71" s="47">
        <v>0.39144675925925926</v>
      </c>
    </row>
    <row r="72" spans="1:10" ht="30" x14ac:dyDescent="0.25">
      <c r="A72" s="3" t="s">
        <v>14</v>
      </c>
      <c r="B72" s="45" t="s">
        <v>657</v>
      </c>
      <c r="C72" s="45" t="s">
        <v>67</v>
      </c>
      <c r="D72" s="46" t="s">
        <v>658</v>
      </c>
      <c r="E72" s="3">
        <v>1170</v>
      </c>
      <c r="F72" s="3">
        <v>2004</v>
      </c>
      <c r="G72" s="3">
        <v>2558</v>
      </c>
      <c r="H72" s="3">
        <v>651</v>
      </c>
      <c r="I72" s="9">
        <v>41506</v>
      </c>
      <c r="J72" s="47">
        <v>0.61243055555555559</v>
      </c>
    </row>
    <row r="73" spans="1:10" x14ac:dyDescent="0.25">
      <c r="A73" s="3" t="s">
        <v>14</v>
      </c>
      <c r="B73" s="45" t="s">
        <v>659</v>
      </c>
      <c r="C73" s="45" t="s">
        <v>660</v>
      </c>
      <c r="D73" s="46" t="s">
        <v>661</v>
      </c>
      <c r="E73" s="3">
        <v>777</v>
      </c>
      <c r="F73" s="3">
        <v>2002</v>
      </c>
      <c r="G73" s="3">
        <v>4159</v>
      </c>
      <c r="H73" s="3">
        <v>223</v>
      </c>
      <c r="I73" s="9">
        <v>39864</v>
      </c>
      <c r="J73" s="47">
        <v>0.50070601851851848</v>
      </c>
    </row>
    <row r="74" spans="1:10" ht="30" x14ac:dyDescent="0.25">
      <c r="A74" s="3" t="s">
        <v>14</v>
      </c>
      <c r="B74" s="45" t="s">
        <v>672</v>
      </c>
      <c r="C74" s="45" t="s">
        <v>36</v>
      </c>
      <c r="D74" s="46" t="s">
        <v>673</v>
      </c>
      <c r="E74" s="3">
        <v>430</v>
      </c>
      <c r="F74" s="3">
        <v>1965</v>
      </c>
      <c r="G74" s="3">
        <v>2902</v>
      </c>
      <c r="H74" s="3">
        <v>196</v>
      </c>
      <c r="I74" s="9">
        <v>40254</v>
      </c>
      <c r="J74" s="47">
        <v>0.78151620370370367</v>
      </c>
    </row>
    <row r="75" spans="1:10" ht="30" x14ac:dyDescent="0.25">
      <c r="A75" s="3" t="s">
        <v>14</v>
      </c>
      <c r="B75" s="45" t="s">
        <v>704</v>
      </c>
      <c r="C75" s="45" t="s">
        <v>705</v>
      </c>
      <c r="D75" s="46" t="s">
        <v>706</v>
      </c>
      <c r="E75" s="3">
        <v>1224</v>
      </c>
      <c r="F75" s="3">
        <v>1878</v>
      </c>
      <c r="G75" s="3">
        <v>6924</v>
      </c>
      <c r="H75" s="3">
        <v>1835</v>
      </c>
      <c r="I75" s="9">
        <v>40515</v>
      </c>
      <c r="J75" s="47">
        <v>0.5882060185185185</v>
      </c>
    </row>
    <row r="76" spans="1:10" ht="30" x14ac:dyDescent="0.25">
      <c r="A76" s="3" t="s">
        <v>14</v>
      </c>
      <c r="B76" s="45" t="s">
        <v>722</v>
      </c>
      <c r="C76" s="45" t="s">
        <v>110</v>
      </c>
      <c r="D76" s="46" t="s">
        <v>723</v>
      </c>
      <c r="E76" s="3">
        <v>829</v>
      </c>
      <c r="F76" s="3">
        <v>1813</v>
      </c>
      <c r="G76" s="3">
        <v>1003</v>
      </c>
      <c r="H76" s="3">
        <v>525</v>
      </c>
      <c r="I76" s="9">
        <v>40638</v>
      </c>
      <c r="J76" s="47">
        <v>0.42107638888888888</v>
      </c>
    </row>
    <row r="77" spans="1:10" ht="30" x14ac:dyDescent="0.25">
      <c r="A77" s="3" t="s">
        <v>14</v>
      </c>
      <c r="B77" s="45" t="s">
        <v>724</v>
      </c>
      <c r="C77" s="45" t="s">
        <v>725</v>
      </c>
      <c r="D77" s="46" t="s">
        <v>726</v>
      </c>
      <c r="E77" s="3">
        <v>978</v>
      </c>
      <c r="F77" s="3">
        <v>1809</v>
      </c>
      <c r="G77" s="3">
        <v>1593</v>
      </c>
      <c r="H77" s="3">
        <v>2671</v>
      </c>
      <c r="I77" s="9">
        <v>40758</v>
      </c>
      <c r="J77" s="47">
        <v>0.45599537037037036</v>
      </c>
    </row>
    <row r="78" spans="1:10" ht="30" x14ac:dyDescent="0.25">
      <c r="A78" s="3" t="s">
        <v>14</v>
      </c>
      <c r="B78" s="45" t="s">
        <v>727</v>
      </c>
      <c r="C78" s="45" t="s">
        <v>24</v>
      </c>
      <c r="D78" s="46" t="s">
        <v>728</v>
      </c>
      <c r="E78" s="3">
        <v>1797</v>
      </c>
      <c r="F78" s="3">
        <v>1794</v>
      </c>
      <c r="G78" s="3">
        <v>10710</v>
      </c>
      <c r="H78" s="3">
        <v>359</v>
      </c>
      <c r="I78" s="9">
        <v>39958</v>
      </c>
      <c r="J78" s="47">
        <v>0.66049768518518526</v>
      </c>
    </row>
    <row r="79" spans="1:10" x14ac:dyDescent="0.25">
      <c r="A79" s="3" t="s">
        <v>14</v>
      </c>
      <c r="B79" s="45" t="s">
        <v>735</v>
      </c>
      <c r="C79" s="45" t="s">
        <v>736</v>
      </c>
      <c r="D79" s="46" t="s">
        <v>737</v>
      </c>
      <c r="E79" s="3">
        <v>57</v>
      </c>
      <c r="F79" s="3">
        <v>1773</v>
      </c>
      <c r="G79" s="3">
        <v>3829</v>
      </c>
      <c r="H79" s="3">
        <v>19</v>
      </c>
      <c r="I79" s="9">
        <v>40085</v>
      </c>
      <c r="J79" s="47">
        <v>0.33899305555555559</v>
      </c>
    </row>
    <row r="80" spans="1:10" ht="30" x14ac:dyDescent="0.25">
      <c r="A80" s="3" t="s">
        <v>14</v>
      </c>
      <c r="B80" s="45" t="s">
        <v>741</v>
      </c>
      <c r="C80" s="45" t="s">
        <v>36</v>
      </c>
      <c r="D80" s="46" t="s">
        <v>742</v>
      </c>
      <c r="E80" s="3">
        <v>318</v>
      </c>
      <c r="F80" s="3">
        <v>1745</v>
      </c>
      <c r="G80" s="3">
        <v>250</v>
      </c>
      <c r="H80" s="3">
        <v>3</v>
      </c>
      <c r="I80" s="9">
        <v>40590</v>
      </c>
      <c r="J80" s="47">
        <v>0.66407407407407404</v>
      </c>
    </row>
    <row r="81" spans="1:10" ht="30" x14ac:dyDescent="0.25">
      <c r="A81" s="3" t="s">
        <v>14</v>
      </c>
      <c r="B81" s="45" t="s">
        <v>745</v>
      </c>
      <c r="C81" s="45" t="s">
        <v>746</v>
      </c>
      <c r="D81" s="46" t="s">
        <v>747</v>
      </c>
      <c r="E81" s="3">
        <v>323</v>
      </c>
      <c r="F81" s="3">
        <v>1721</v>
      </c>
      <c r="G81" s="3">
        <v>5045</v>
      </c>
      <c r="H81" s="3">
        <v>1132</v>
      </c>
      <c r="I81" s="9">
        <v>40549</v>
      </c>
      <c r="J81" s="47">
        <v>0.46729166666666666</v>
      </c>
    </row>
    <row r="82" spans="1:10" ht="30" x14ac:dyDescent="0.25">
      <c r="A82" s="3" t="s">
        <v>14</v>
      </c>
      <c r="B82" s="45" t="s">
        <v>753</v>
      </c>
      <c r="C82" s="45" t="s">
        <v>754</v>
      </c>
      <c r="D82" s="46" t="s">
        <v>755</v>
      </c>
      <c r="E82" s="3">
        <v>748</v>
      </c>
      <c r="F82" s="3">
        <v>1706</v>
      </c>
      <c r="G82" s="3">
        <v>2955</v>
      </c>
      <c r="H82" s="3">
        <v>988</v>
      </c>
      <c r="I82" s="9">
        <v>41025</v>
      </c>
      <c r="J82" s="47">
        <v>0.54189814814814818</v>
      </c>
    </row>
    <row r="83" spans="1:10" ht="30" x14ac:dyDescent="0.25">
      <c r="A83" s="3" t="s">
        <v>14</v>
      </c>
      <c r="B83" s="45" t="s">
        <v>756</v>
      </c>
      <c r="C83" s="45" t="s">
        <v>757</v>
      </c>
      <c r="D83" s="46" t="s">
        <v>758</v>
      </c>
      <c r="E83" s="3">
        <v>120</v>
      </c>
      <c r="F83" s="3">
        <v>1705</v>
      </c>
      <c r="G83" s="3">
        <v>3242</v>
      </c>
      <c r="H83" s="3">
        <v>334</v>
      </c>
      <c r="I83" s="9">
        <v>41086</v>
      </c>
      <c r="J83" s="47">
        <v>0.44321759259259258</v>
      </c>
    </row>
    <row r="84" spans="1:10" ht="30" x14ac:dyDescent="0.25">
      <c r="A84" s="3" t="s">
        <v>14</v>
      </c>
      <c r="B84" s="45" t="s">
        <v>761</v>
      </c>
      <c r="C84" s="45" t="s">
        <v>762</v>
      </c>
      <c r="D84" s="46" t="s">
        <v>763</v>
      </c>
      <c r="E84" s="3">
        <v>478</v>
      </c>
      <c r="F84" s="3">
        <v>1694</v>
      </c>
      <c r="G84" s="3">
        <v>4057</v>
      </c>
      <c r="H84" s="3">
        <v>1210</v>
      </c>
      <c r="I84" s="9">
        <v>41178</v>
      </c>
      <c r="J84" s="47">
        <v>0.63141203703703697</v>
      </c>
    </row>
    <row r="85" spans="1:10" ht="30" x14ac:dyDescent="0.25">
      <c r="A85" s="3" t="s">
        <v>14</v>
      </c>
      <c r="B85" s="45" t="s">
        <v>764</v>
      </c>
      <c r="C85" s="45" t="s">
        <v>36</v>
      </c>
      <c r="D85" s="46" t="s">
        <v>765</v>
      </c>
      <c r="E85" s="3">
        <v>585</v>
      </c>
      <c r="F85" s="3">
        <v>1690</v>
      </c>
      <c r="G85" s="3">
        <v>5367</v>
      </c>
      <c r="H85" s="3">
        <v>324</v>
      </c>
      <c r="I85" s="9">
        <v>40715</v>
      </c>
      <c r="J85" s="47">
        <v>0.3919212962962963</v>
      </c>
    </row>
    <row r="86" spans="1:10" ht="30" x14ac:dyDescent="0.25">
      <c r="A86" s="3" t="s">
        <v>14</v>
      </c>
      <c r="B86" s="45" t="s">
        <v>766</v>
      </c>
      <c r="C86" s="45" t="s">
        <v>767</v>
      </c>
      <c r="D86" s="46" t="s">
        <v>768</v>
      </c>
      <c r="E86" s="3">
        <v>107</v>
      </c>
      <c r="F86" s="3">
        <v>1680</v>
      </c>
      <c r="G86" s="3">
        <v>4552</v>
      </c>
      <c r="H86" s="3">
        <v>1335</v>
      </c>
      <c r="I86" s="9">
        <v>40437</v>
      </c>
      <c r="J86" s="47">
        <v>0.63814814814814813</v>
      </c>
    </row>
    <row r="87" spans="1:10" ht="30" x14ac:dyDescent="0.25">
      <c r="A87" s="3" t="s">
        <v>14</v>
      </c>
      <c r="B87" s="45" t="s">
        <v>778</v>
      </c>
      <c r="C87" s="45" t="s">
        <v>779</v>
      </c>
      <c r="D87" s="46" t="s">
        <v>780</v>
      </c>
      <c r="E87" s="3">
        <v>948</v>
      </c>
      <c r="F87" s="3">
        <v>1661</v>
      </c>
      <c r="G87" s="3">
        <v>2345</v>
      </c>
      <c r="H87" s="3">
        <v>1556</v>
      </c>
      <c r="I87" s="9">
        <v>41241</v>
      </c>
      <c r="J87" s="47">
        <v>0.46072916666666663</v>
      </c>
    </row>
    <row r="88" spans="1:10" ht="30" x14ac:dyDescent="0.25">
      <c r="A88" s="3" t="s">
        <v>14</v>
      </c>
      <c r="B88" s="45" t="s">
        <v>795</v>
      </c>
      <c r="C88" s="45" t="s">
        <v>361</v>
      </c>
      <c r="D88" s="46" t="s">
        <v>796</v>
      </c>
      <c r="E88" s="3">
        <v>836</v>
      </c>
      <c r="F88" s="3">
        <v>1611</v>
      </c>
      <c r="G88" s="3">
        <v>3632</v>
      </c>
      <c r="H88" s="3">
        <v>1747</v>
      </c>
      <c r="I88" s="9">
        <v>41045</v>
      </c>
      <c r="J88" s="47">
        <v>0.37664351851851857</v>
      </c>
    </row>
    <row r="89" spans="1:10" ht="30" x14ac:dyDescent="0.25">
      <c r="A89" s="3" t="s">
        <v>14</v>
      </c>
      <c r="B89" s="45" t="s">
        <v>800</v>
      </c>
      <c r="C89" s="45" t="s">
        <v>487</v>
      </c>
      <c r="D89" s="46" t="s">
        <v>801</v>
      </c>
      <c r="E89" s="3">
        <v>405</v>
      </c>
      <c r="F89" s="3">
        <v>1606</v>
      </c>
      <c r="G89" s="3">
        <v>2812</v>
      </c>
      <c r="H89" s="3">
        <v>405</v>
      </c>
      <c r="I89" s="9">
        <v>41884</v>
      </c>
      <c r="J89" s="47">
        <v>0.65</v>
      </c>
    </row>
    <row r="90" spans="1:10" ht="30" x14ac:dyDescent="0.25">
      <c r="A90" s="3" t="s">
        <v>14</v>
      </c>
      <c r="B90" s="45" t="s">
        <v>802</v>
      </c>
      <c r="C90" s="45" t="s">
        <v>725</v>
      </c>
      <c r="D90" s="46" t="s">
        <v>803</v>
      </c>
      <c r="E90" s="3">
        <v>428</v>
      </c>
      <c r="F90" s="3">
        <v>1603</v>
      </c>
      <c r="G90" s="3">
        <v>7074</v>
      </c>
      <c r="H90" s="3">
        <v>255</v>
      </c>
      <c r="I90" s="9">
        <v>40070</v>
      </c>
      <c r="J90" s="47">
        <v>0.56212962962962965</v>
      </c>
    </row>
    <row r="91" spans="1:10" x14ac:dyDescent="0.25">
      <c r="A91" s="3" t="s">
        <v>14</v>
      </c>
      <c r="B91" s="45" t="s">
        <v>804</v>
      </c>
      <c r="C91" s="45" t="s">
        <v>805</v>
      </c>
      <c r="D91" s="46" t="s">
        <v>806</v>
      </c>
      <c r="E91" s="3">
        <v>145</v>
      </c>
      <c r="F91" s="3">
        <v>1597</v>
      </c>
      <c r="G91" s="3">
        <v>2136</v>
      </c>
      <c r="H91" s="3">
        <v>338</v>
      </c>
      <c r="I91" s="9">
        <v>40632</v>
      </c>
      <c r="J91" s="47">
        <v>0.54017361111111117</v>
      </c>
    </row>
    <row r="92" spans="1:10" x14ac:dyDescent="0.25">
      <c r="A92" s="3" t="s">
        <v>14</v>
      </c>
      <c r="B92" s="45" t="s">
        <v>807</v>
      </c>
      <c r="C92" s="45" t="s">
        <v>808</v>
      </c>
      <c r="D92" s="46" t="s">
        <v>809</v>
      </c>
      <c r="E92" s="3">
        <v>839</v>
      </c>
      <c r="F92" s="3">
        <v>1596</v>
      </c>
      <c r="G92" s="3">
        <v>1997</v>
      </c>
      <c r="H92" s="3">
        <v>451</v>
      </c>
      <c r="I92" s="9">
        <v>40140</v>
      </c>
      <c r="J92" s="47">
        <v>0.79364583333333327</v>
      </c>
    </row>
    <row r="93" spans="1:10" ht="30" x14ac:dyDescent="0.25">
      <c r="A93" s="3" t="s">
        <v>14</v>
      </c>
      <c r="B93" s="45" t="s">
        <v>814</v>
      </c>
      <c r="C93" s="45" t="s">
        <v>36</v>
      </c>
      <c r="D93" s="46" t="s">
        <v>815</v>
      </c>
      <c r="E93" s="3">
        <v>400</v>
      </c>
      <c r="F93" s="3">
        <v>1587</v>
      </c>
      <c r="G93" s="3">
        <v>8123</v>
      </c>
      <c r="H93" s="3">
        <v>587</v>
      </c>
      <c r="I93" s="9">
        <v>41156</v>
      </c>
      <c r="J93" s="47">
        <v>0.57674768518518515</v>
      </c>
    </row>
    <row r="94" spans="1:10" ht="30" x14ac:dyDescent="0.25">
      <c r="A94" s="3" t="s">
        <v>14</v>
      </c>
      <c r="B94" s="45" t="s">
        <v>821</v>
      </c>
      <c r="C94" s="45" t="s">
        <v>822</v>
      </c>
      <c r="D94" s="46" t="s">
        <v>823</v>
      </c>
      <c r="E94" s="3">
        <v>380</v>
      </c>
      <c r="F94" s="3">
        <v>1576</v>
      </c>
      <c r="G94" s="3">
        <v>2035</v>
      </c>
      <c r="H94" s="3">
        <v>976</v>
      </c>
      <c r="I94" s="9">
        <v>41854</v>
      </c>
      <c r="J94" s="47">
        <v>0.8386689814814815</v>
      </c>
    </row>
    <row r="95" spans="1:10" ht="30" x14ac:dyDescent="0.25">
      <c r="A95" s="3" t="s">
        <v>14</v>
      </c>
      <c r="B95" s="45" t="s">
        <v>842</v>
      </c>
      <c r="C95" s="45" t="s">
        <v>808</v>
      </c>
      <c r="D95" s="46" t="s">
        <v>843</v>
      </c>
      <c r="E95" s="3">
        <v>444</v>
      </c>
      <c r="F95" s="3">
        <v>1525</v>
      </c>
      <c r="G95" s="3">
        <v>1053</v>
      </c>
      <c r="H95" s="3">
        <v>415</v>
      </c>
      <c r="I95" s="9">
        <v>41177</v>
      </c>
      <c r="J95" s="47">
        <v>0.60385416666666669</v>
      </c>
    </row>
    <row r="96" spans="1:10" ht="30" x14ac:dyDescent="0.25">
      <c r="A96" s="3" t="s">
        <v>14</v>
      </c>
      <c r="B96" s="45" t="s">
        <v>847</v>
      </c>
      <c r="C96" s="45" t="s">
        <v>848</v>
      </c>
      <c r="D96" s="46" t="s">
        <v>849</v>
      </c>
      <c r="E96" s="3">
        <v>149</v>
      </c>
      <c r="F96" s="3">
        <v>1507</v>
      </c>
      <c r="G96" s="3">
        <v>2832</v>
      </c>
      <c r="H96" s="3">
        <v>650</v>
      </c>
      <c r="I96" s="9">
        <v>41262</v>
      </c>
      <c r="J96" s="47">
        <v>0.59437499999999999</v>
      </c>
    </row>
    <row r="97" spans="1:10" ht="30" x14ac:dyDescent="0.25">
      <c r="A97" s="3" t="s">
        <v>14</v>
      </c>
      <c r="B97" s="45" t="s">
        <v>865</v>
      </c>
      <c r="C97" s="45" t="s">
        <v>514</v>
      </c>
      <c r="D97" s="46" t="s">
        <v>866</v>
      </c>
      <c r="E97" s="3">
        <v>754</v>
      </c>
      <c r="F97" s="3">
        <v>1472</v>
      </c>
      <c r="G97" s="3">
        <v>3935</v>
      </c>
      <c r="H97" s="3">
        <v>621</v>
      </c>
      <c r="I97" s="9">
        <v>41053</v>
      </c>
      <c r="J97" s="47">
        <v>0.37702546296296297</v>
      </c>
    </row>
    <row r="98" spans="1:10" ht="30" x14ac:dyDescent="0.25">
      <c r="A98" s="3" t="s">
        <v>14</v>
      </c>
      <c r="B98" s="45" t="s">
        <v>867</v>
      </c>
      <c r="C98" s="45" t="s">
        <v>868</v>
      </c>
      <c r="D98" s="46" t="s">
        <v>869</v>
      </c>
      <c r="E98" s="3">
        <v>523</v>
      </c>
      <c r="F98" s="3">
        <v>1465</v>
      </c>
      <c r="G98" s="3">
        <v>2847</v>
      </c>
      <c r="H98" s="3">
        <v>27</v>
      </c>
      <c r="I98" s="9">
        <v>39939</v>
      </c>
      <c r="J98" s="47">
        <v>0.59342592592592591</v>
      </c>
    </row>
    <row r="99" spans="1:10" ht="30" x14ac:dyDescent="0.25">
      <c r="A99" s="3" t="s">
        <v>14</v>
      </c>
      <c r="B99" s="45" t="s">
        <v>873</v>
      </c>
      <c r="C99" s="45" t="s">
        <v>874</v>
      </c>
      <c r="D99" s="46" t="s">
        <v>875</v>
      </c>
      <c r="E99" s="3">
        <v>160</v>
      </c>
      <c r="F99" s="3">
        <v>1458</v>
      </c>
      <c r="G99" s="3">
        <v>1724</v>
      </c>
      <c r="H99" s="3">
        <v>184</v>
      </c>
      <c r="I99" s="9">
        <v>41309</v>
      </c>
      <c r="J99" s="47">
        <v>0.61598379629629629</v>
      </c>
    </row>
    <row r="100" spans="1:10" ht="30" x14ac:dyDescent="0.25">
      <c r="A100" s="3" t="s">
        <v>14</v>
      </c>
      <c r="B100" s="45" t="s">
        <v>876</v>
      </c>
      <c r="C100" s="45" t="s">
        <v>877</v>
      </c>
      <c r="D100" s="46" t="s">
        <v>878</v>
      </c>
      <c r="E100" s="3">
        <v>355</v>
      </c>
      <c r="F100" s="3">
        <v>1456</v>
      </c>
      <c r="G100" s="3">
        <v>4613</v>
      </c>
      <c r="H100" s="3">
        <v>2330</v>
      </c>
      <c r="I100" s="9">
        <v>40231</v>
      </c>
      <c r="J100" s="47">
        <v>0.40282407407407406</v>
      </c>
    </row>
    <row r="101" spans="1:10" ht="30" x14ac:dyDescent="0.25">
      <c r="A101" s="3" t="s">
        <v>14</v>
      </c>
      <c r="B101" s="45" t="s">
        <v>901</v>
      </c>
      <c r="C101" s="45" t="s">
        <v>902</v>
      </c>
      <c r="D101" s="46" t="s">
        <v>903</v>
      </c>
      <c r="E101" s="3">
        <v>359</v>
      </c>
      <c r="F101" s="3">
        <v>1435</v>
      </c>
      <c r="G101" s="3">
        <v>1961</v>
      </c>
      <c r="H101" s="3">
        <v>16</v>
      </c>
      <c r="I101" s="9">
        <v>40084</v>
      </c>
      <c r="J101" s="47">
        <v>0.37091435185185184</v>
      </c>
    </row>
    <row r="102" spans="1:10" x14ac:dyDescent="0.25">
      <c r="A102" s="3" t="s">
        <v>14</v>
      </c>
      <c r="B102" s="45" t="s">
        <v>909</v>
      </c>
      <c r="C102" s="45" t="s">
        <v>138</v>
      </c>
      <c r="D102" s="46" t="s">
        <v>910</v>
      </c>
      <c r="E102" s="3">
        <v>323</v>
      </c>
      <c r="F102" s="3">
        <v>1419</v>
      </c>
      <c r="G102" s="3">
        <v>3779</v>
      </c>
      <c r="H102" s="3">
        <v>362</v>
      </c>
      <c r="I102" s="9">
        <v>40794</v>
      </c>
      <c r="J102" s="47">
        <v>0.6974421296296297</v>
      </c>
    </row>
    <row r="103" spans="1:10" x14ac:dyDescent="0.25">
      <c r="A103" s="3" t="s">
        <v>14</v>
      </c>
      <c r="B103" s="45" t="s">
        <v>917</v>
      </c>
      <c r="C103" s="45" t="s">
        <v>427</v>
      </c>
      <c r="D103" s="46" t="s">
        <v>918</v>
      </c>
      <c r="E103" s="3">
        <v>374</v>
      </c>
      <c r="F103" s="3">
        <v>1393</v>
      </c>
      <c r="G103" s="3">
        <v>827</v>
      </c>
      <c r="H103" s="3">
        <v>69</v>
      </c>
      <c r="I103" s="9">
        <v>40310</v>
      </c>
      <c r="J103" s="47">
        <v>0.55600694444444443</v>
      </c>
    </row>
    <row r="104" spans="1:10" x14ac:dyDescent="0.25">
      <c r="A104" s="3" t="s">
        <v>14</v>
      </c>
      <c r="B104" s="45" t="s">
        <v>925</v>
      </c>
      <c r="C104" s="45" t="s">
        <v>926</v>
      </c>
      <c r="D104" s="46" t="s">
        <v>927</v>
      </c>
      <c r="E104" s="3">
        <v>477</v>
      </c>
      <c r="F104" s="3">
        <v>1361</v>
      </c>
      <c r="G104" s="3">
        <v>1951</v>
      </c>
      <c r="H104" s="3">
        <v>360</v>
      </c>
      <c r="I104" s="9">
        <v>39888</v>
      </c>
      <c r="J104" s="47">
        <v>0.62547453703703704</v>
      </c>
    </row>
    <row r="105" spans="1:10" ht="120" x14ac:dyDescent="0.25">
      <c r="A105" s="3" t="s">
        <v>14</v>
      </c>
      <c r="B105" s="45" t="s">
        <v>941</v>
      </c>
      <c r="D105" s="46" t="s">
        <v>942</v>
      </c>
      <c r="E105" s="3">
        <v>205</v>
      </c>
      <c r="F105" s="3">
        <v>1344</v>
      </c>
      <c r="G105" s="3">
        <v>1994</v>
      </c>
      <c r="H105" s="3">
        <v>535</v>
      </c>
      <c r="I105" s="9">
        <v>40274</v>
      </c>
      <c r="J105" s="47">
        <v>0.32925925925925925</v>
      </c>
    </row>
    <row r="106" spans="1:10" x14ac:dyDescent="0.25">
      <c r="A106" s="3" t="s">
        <v>14</v>
      </c>
      <c r="B106" s="45" t="s">
        <v>943</v>
      </c>
      <c r="C106" s="45" t="s">
        <v>944</v>
      </c>
      <c r="D106" s="46" t="s">
        <v>945</v>
      </c>
      <c r="E106" s="3">
        <v>742</v>
      </c>
      <c r="F106" s="3">
        <v>1330</v>
      </c>
      <c r="G106" s="3">
        <v>4920</v>
      </c>
      <c r="H106" s="3">
        <v>983</v>
      </c>
      <c r="I106" s="9">
        <v>40492</v>
      </c>
      <c r="J106" s="47">
        <v>0.58542824074074074</v>
      </c>
    </row>
    <row r="107" spans="1:10" x14ac:dyDescent="0.25">
      <c r="A107" s="3" t="s">
        <v>14</v>
      </c>
      <c r="B107" s="45" t="s">
        <v>957</v>
      </c>
      <c r="C107" s="45" t="s">
        <v>36</v>
      </c>
      <c r="D107" s="46" t="s">
        <v>958</v>
      </c>
      <c r="E107" s="3">
        <v>304</v>
      </c>
      <c r="F107" s="3">
        <v>1323</v>
      </c>
      <c r="G107" s="3">
        <v>2527</v>
      </c>
      <c r="H107" s="3">
        <v>116</v>
      </c>
      <c r="I107" s="9">
        <v>39976</v>
      </c>
      <c r="J107" s="47">
        <v>0.42420138888888892</v>
      </c>
    </row>
    <row r="108" spans="1:10" x14ac:dyDescent="0.25">
      <c r="A108" s="3" t="s">
        <v>14</v>
      </c>
      <c r="B108" s="45" t="s">
        <v>966</v>
      </c>
      <c r="C108" s="45" t="s">
        <v>967</v>
      </c>
      <c r="D108" s="46" t="s">
        <v>968</v>
      </c>
      <c r="E108" s="3">
        <v>407</v>
      </c>
      <c r="F108" s="3">
        <v>1294</v>
      </c>
      <c r="G108" s="3">
        <v>2248</v>
      </c>
      <c r="H108" s="3">
        <v>465</v>
      </c>
      <c r="I108" s="9">
        <v>39983</v>
      </c>
      <c r="J108" s="47">
        <v>0.62692129629629634</v>
      </c>
    </row>
    <row r="109" spans="1:10" ht="30" x14ac:dyDescent="0.25">
      <c r="A109" s="3" t="s">
        <v>14</v>
      </c>
      <c r="B109" s="45" t="s">
        <v>978</v>
      </c>
      <c r="C109" s="45" t="s">
        <v>979</v>
      </c>
      <c r="D109" s="46" t="s">
        <v>980</v>
      </c>
      <c r="E109" s="3">
        <v>1526</v>
      </c>
      <c r="F109" s="3">
        <v>1277</v>
      </c>
      <c r="G109" s="3">
        <v>4326</v>
      </c>
      <c r="H109" s="3">
        <v>40</v>
      </c>
      <c r="I109" s="9">
        <v>40290</v>
      </c>
      <c r="J109" s="47">
        <v>0.57196759259259256</v>
      </c>
    </row>
    <row r="110" spans="1:10" ht="30" x14ac:dyDescent="0.25">
      <c r="A110" s="3" t="s">
        <v>14</v>
      </c>
      <c r="B110" s="45" t="s">
        <v>987</v>
      </c>
      <c r="C110" s="45" t="s">
        <v>988</v>
      </c>
      <c r="D110" s="46" t="s">
        <v>989</v>
      </c>
      <c r="E110" s="3">
        <v>248</v>
      </c>
      <c r="F110" s="3">
        <v>1272</v>
      </c>
      <c r="G110" s="3">
        <v>3879</v>
      </c>
      <c r="H110" s="3">
        <v>498</v>
      </c>
      <c r="I110" s="9">
        <v>40929</v>
      </c>
      <c r="J110" s="47">
        <v>0.50428240740740737</v>
      </c>
    </row>
    <row r="111" spans="1:10" ht="30" x14ac:dyDescent="0.25">
      <c r="A111" s="3" t="s">
        <v>14</v>
      </c>
      <c r="B111" s="45" t="s">
        <v>990</v>
      </c>
      <c r="C111" s="45" t="s">
        <v>24</v>
      </c>
      <c r="D111" s="46" t="s">
        <v>991</v>
      </c>
      <c r="E111" s="3">
        <v>1035</v>
      </c>
      <c r="F111" s="3">
        <v>1269</v>
      </c>
      <c r="G111" s="3">
        <v>2764</v>
      </c>
      <c r="H111" s="3">
        <v>75</v>
      </c>
      <c r="I111" s="9">
        <v>40436</v>
      </c>
      <c r="J111" s="47">
        <v>0.74550925925925926</v>
      </c>
    </row>
    <row r="112" spans="1:10" ht="30" x14ac:dyDescent="0.25">
      <c r="A112" s="3" t="s">
        <v>14</v>
      </c>
      <c r="B112" s="45" t="s">
        <v>997</v>
      </c>
      <c r="D112" s="46" t="s">
        <v>998</v>
      </c>
      <c r="E112" s="3">
        <v>387</v>
      </c>
      <c r="F112" s="3">
        <v>1263</v>
      </c>
      <c r="G112" s="3">
        <v>1637</v>
      </c>
      <c r="H112" s="3">
        <v>283</v>
      </c>
      <c r="I112" s="9">
        <v>41312</v>
      </c>
      <c r="J112" s="47">
        <v>0.61706018518518524</v>
      </c>
    </row>
    <row r="113" spans="1:10" ht="30" x14ac:dyDescent="0.25">
      <c r="A113" s="3" t="s">
        <v>14</v>
      </c>
      <c r="B113" s="45" t="s">
        <v>1027</v>
      </c>
      <c r="C113" s="45" t="s">
        <v>189</v>
      </c>
      <c r="D113" s="46" t="s">
        <v>1028</v>
      </c>
      <c r="E113" s="3">
        <v>717</v>
      </c>
      <c r="F113" s="3">
        <v>1220</v>
      </c>
      <c r="G113" s="3">
        <v>10262</v>
      </c>
      <c r="H113" s="3">
        <v>707</v>
      </c>
      <c r="I113" s="9">
        <v>40078</v>
      </c>
      <c r="J113" s="47">
        <v>0.33770833333333333</v>
      </c>
    </row>
    <row r="114" spans="1:10" ht="30" x14ac:dyDescent="0.25">
      <c r="A114" s="3" t="s">
        <v>14</v>
      </c>
      <c r="B114" s="45" t="s">
        <v>1038</v>
      </c>
      <c r="C114" s="45" t="s">
        <v>336</v>
      </c>
      <c r="D114" s="46" t="s">
        <v>1039</v>
      </c>
      <c r="E114" s="3">
        <v>1156</v>
      </c>
      <c r="F114" s="3">
        <v>1213</v>
      </c>
      <c r="G114" s="3">
        <v>1983</v>
      </c>
      <c r="H114" s="3">
        <v>285</v>
      </c>
      <c r="I114" s="9">
        <v>40551</v>
      </c>
      <c r="J114" s="47">
        <v>0.86844907407407401</v>
      </c>
    </row>
    <row r="115" spans="1:10" x14ac:dyDescent="0.25">
      <c r="A115" s="3" t="s">
        <v>14</v>
      </c>
      <c r="B115" s="45" t="s">
        <v>1048</v>
      </c>
      <c r="C115" s="45" t="s">
        <v>1049</v>
      </c>
      <c r="D115" s="46" t="s">
        <v>1050</v>
      </c>
      <c r="E115" s="3">
        <v>370</v>
      </c>
      <c r="F115" s="3">
        <v>1197</v>
      </c>
      <c r="G115" s="3">
        <v>2572</v>
      </c>
      <c r="H115" s="3">
        <v>152</v>
      </c>
      <c r="I115" s="9">
        <v>39765</v>
      </c>
      <c r="J115" s="47">
        <v>0.61565972222222221</v>
      </c>
    </row>
    <row r="116" spans="1:10" ht="30" x14ac:dyDescent="0.25">
      <c r="A116" s="3" t="s">
        <v>14</v>
      </c>
      <c r="B116" s="45" t="s">
        <v>1051</v>
      </c>
      <c r="C116" s="45" t="s">
        <v>1052</v>
      </c>
      <c r="D116" s="46" t="s">
        <v>1053</v>
      </c>
      <c r="E116" s="3">
        <v>148</v>
      </c>
      <c r="F116" s="3">
        <v>1190</v>
      </c>
      <c r="G116" s="3">
        <v>4220</v>
      </c>
      <c r="H116" s="3">
        <v>159</v>
      </c>
      <c r="I116" s="9">
        <v>40190</v>
      </c>
      <c r="J116" s="47">
        <v>0.6928819444444444</v>
      </c>
    </row>
    <row r="117" spans="1:10" x14ac:dyDescent="0.25">
      <c r="A117" s="3" t="s">
        <v>14</v>
      </c>
      <c r="B117" s="45" t="s">
        <v>1083</v>
      </c>
      <c r="C117" s="45" t="s">
        <v>1084</v>
      </c>
      <c r="D117" s="46" t="s">
        <v>1085</v>
      </c>
      <c r="E117" s="3">
        <v>1469</v>
      </c>
      <c r="F117" s="3">
        <v>1130</v>
      </c>
      <c r="G117" s="3">
        <v>6591</v>
      </c>
      <c r="H117" s="3">
        <v>1987</v>
      </c>
      <c r="I117" s="9">
        <v>40324</v>
      </c>
      <c r="J117" s="47">
        <v>0.6005787037037037</v>
      </c>
    </row>
    <row r="118" spans="1:10" x14ac:dyDescent="0.25">
      <c r="A118" s="3" t="s">
        <v>14</v>
      </c>
      <c r="B118" s="45" t="s">
        <v>1097</v>
      </c>
      <c r="C118" s="45" t="s">
        <v>1098</v>
      </c>
      <c r="D118" s="46" t="s">
        <v>1099</v>
      </c>
      <c r="E118" s="3">
        <v>184</v>
      </c>
      <c r="F118" s="3">
        <v>1111</v>
      </c>
      <c r="G118" s="3">
        <v>2011</v>
      </c>
      <c r="H118" s="3">
        <v>125</v>
      </c>
      <c r="I118" s="9">
        <v>40728</v>
      </c>
      <c r="J118" s="47">
        <v>0.53204861111111112</v>
      </c>
    </row>
    <row r="119" spans="1:10" x14ac:dyDescent="0.25">
      <c r="A119" s="3" t="s">
        <v>14</v>
      </c>
      <c r="B119" s="45" t="s">
        <v>1100</v>
      </c>
      <c r="D119" s="46" t="s">
        <v>1101</v>
      </c>
      <c r="E119" s="3">
        <v>493</v>
      </c>
      <c r="F119" s="3">
        <v>1111</v>
      </c>
      <c r="G119" s="3">
        <v>912</v>
      </c>
      <c r="H119" s="3">
        <v>392</v>
      </c>
      <c r="I119" s="9">
        <v>41345</v>
      </c>
      <c r="J119" s="47">
        <v>0.7053356481481482</v>
      </c>
    </row>
    <row r="120" spans="1:10" x14ac:dyDescent="0.25">
      <c r="A120" s="3" t="s">
        <v>14</v>
      </c>
      <c r="B120" s="45" t="s">
        <v>1109</v>
      </c>
      <c r="C120" s="45" t="s">
        <v>364</v>
      </c>
      <c r="D120" s="46" t="s">
        <v>1110</v>
      </c>
      <c r="E120" s="3">
        <v>409</v>
      </c>
      <c r="F120" s="3">
        <v>1104</v>
      </c>
      <c r="G120" s="3">
        <v>5871</v>
      </c>
      <c r="H120" s="3">
        <v>775</v>
      </c>
      <c r="I120" s="9">
        <v>41836</v>
      </c>
      <c r="J120" s="47">
        <v>0.31987268518518519</v>
      </c>
    </row>
    <row r="121" spans="1:10" ht="30" x14ac:dyDescent="0.25">
      <c r="A121" s="3" t="s">
        <v>14</v>
      </c>
      <c r="B121" s="45" t="s">
        <v>1117</v>
      </c>
      <c r="C121" s="45" t="s">
        <v>1118</v>
      </c>
      <c r="D121" s="46" t="s">
        <v>1119</v>
      </c>
      <c r="E121" s="3">
        <v>481</v>
      </c>
      <c r="F121" s="3">
        <v>1102</v>
      </c>
      <c r="G121" s="3">
        <v>6158</v>
      </c>
      <c r="H121" s="3">
        <v>1089</v>
      </c>
      <c r="I121" s="9">
        <v>40609</v>
      </c>
      <c r="J121" s="47">
        <v>0.45315972222222217</v>
      </c>
    </row>
    <row r="122" spans="1:10" x14ac:dyDescent="0.25">
      <c r="A122" s="3" t="s">
        <v>14</v>
      </c>
      <c r="B122" s="45" t="s">
        <v>1123</v>
      </c>
      <c r="C122" s="45" t="s">
        <v>1124</v>
      </c>
      <c r="D122" s="46" t="s">
        <v>1125</v>
      </c>
      <c r="E122" s="3">
        <v>176</v>
      </c>
      <c r="F122" s="3">
        <v>1101</v>
      </c>
      <c r="G122" s="3">
        <v>1988</v>
      </c>
      <c r="H122" s="3">
        <v>412</v>
      </c>
      <c r="I122" s="9">
        <v>39449</v>
      </c>
      <c r="J122" s="47">
        <v>0.42480324074074072</v>
      </c>
    </row>
    <row r="123" spans="1:10" ht="30" x14ac:dyDescent="0.25">
      <c r="A123" s="3" t="s">
        <v>14</v>
      </c>
      <c r="B123" s="45" t="s">
        <v>1128</v>
      </c>
      <c r="C123" s="45" t="s">
        <v>1129</v>
      </c>
      <c r="D123" s="46" t="s">
        <v>1130</v>
      </c>
      <c r="E123" s="3">
        <v>375</v>
      </c>
      <c r="F123" s="3">
        <v>1082</v>
      </c>
      <c r="G123" s="3">
        <v>3553</v>
      </c>
      <c r="H123" s="3">
        <v>161</v>
      </c>
      <c r="I123" s="9">
        <v>40707</v>
      </c>
      <c r="J123" s="47">
        <v>0.44175925925925924</v>
      </c>
    </row>
    <row r="124" spans="1:10" ht="30" x14ac:dyDescent="0.25">
      <c r="A124" s="3" t="s">
        <v>14</v>
      </c>
      <c r="B124" s="45" t="s">
        <v>1145</v>
      </c>
      <c r="C124" s="45" t="s">
        <v>1146</v>
      </c>
      <c r="D124" s="46" t="s">
        <v>1147</v>
      </c>
      <c r="E124" s="3">
        <v>711</v>
      </c>
      <c r="F124" s="3">
        <v>1066</v>
      </c>
      <c r="G124" s="3">
        <v>6581</v>
      </c>
      <c r="H124" s="3">
        <v>587</v>
      </c>
      <c r="I124" s="9">
        <v>40751</v>
      </c>
      <c r="J124" s="47">
        <v>0.57553240740740741</v>
      </c>
    </row>
    <row r="125" spans="1:10" ht="30" x14ac:dyDescent="0.25">
      <c r="A125" s="3" t="s">
        <v>14</v>
      </c>
      <c r="B125" s="45" t="s">
        <v>1162</v>
      </c>
      <c r="C125" s="45" t="s">
        <v>1163</v>
      </c>
      <c r="D125" s="46" t="s">
        <v>1164</v>
      </c>
      <c r="E125" s="3">
        <v>475</v>
      </c>
      <c r="F125" s="3">
        <v>1055</v>
      </c>
      <c r="G125" s="3">
        <v>560</v>
      </c>
      <c r="H125" s="3">
        <v>225</v>
      </c>
      <c r="I125" s="9">
        <v>42402</v>
      </c>
      <c r="J125" s="47">
        <v>0.68341435185185195</v>
      </c>
    </row>
    <row r="126" spans="1:10" x14ac:dyDescent="0.25">
      <c r="A126" s="3" t="s">
        <v>14</v>
      </c>
      <c r="B126" s="45" t="s">
        <v>1174</v>
      </c>
      <c r="C126" s="45" t="s">
        <v>180</v>
      </c>
      <c r="D126" s="46" t="s">
        <v>1175</v>
      </c>
      <c r="E126" s="3">
        <v>454</v>
      </c>
      <c r="F126" s="3">
        <v>1041</v>
      </c>
      <c r="G126" s="3">
        <v>2871</v>
      </c>
      <c r="H126" s="3">
        <v>343</v>
      </c>
      <c r="I126" s="9">
        <v>41373</v>
      </c>
      <c r="J126" s="47">
        <v>0.44800925925925927</v>
      </c>
    </row>
    <row r="127" spans="1:10" ht="30" x14ac:dyDescent="0.25">
      <c r="A127" s="3" t="s">
        <v>14</v>
      </c>
      <c r="B127" s="45" t="s">
        <v>1191</v>
      </c>
      <c r="C127" s="45" t="s">
        <v>1192</v>
      </c>
      <c r="D127" s="46" t="s">
        <v>1193</v>
      </c>
      <c r="E127" s="3">
        <v>392</v>
      </c>
      <c r="F127" s="3">
        <v>1017</v>
      </c>
      <c r="G127" s="3">
        <v>6437</v>
      </c>
      <c r="H127" s="3">
        <v>985</v>
      </c>
      <c r="I127" s="9">
        <v>40150</v>
      </c>
      <c r="J127" s="47">
        <v>0.45844907407407409</v>
      </c>
    </row>
    <row r="128" spans="1:10" x14ac:dyDescent="0.25">
      <c r="A128" s="3" t="s">
        <v>14</v>
      </c>
      <c r="B128" s="45" t="s">
        <v>1197</v>
      </c>
      <c r="C128" s="45" t="s">
        <v>1198</v>
      </c>
      <c r="D128" s="46" t="s">
        <v>1199</v>
      </c>
      <c r="E128" s="3">
        <v>978</v>
      </c>
      <c r="F128" s="3">
        <v>1008</v>
      </c>
      <c r="G128" s="3">
        <v>4113</v>
      </c>
      <c r="H128" s="3">
        <v>216</v>
      </c>
      <c r="I128" s="9">
        <v>40322</v>
      </c>
      <c r="J128" s="47">
        <v>0.53478009259259263</v>
      </c>
    </row>
    <row r="129" spans="1:10" x14ac:dyDescent="0.25">
      <c r="A129" s="3" t="s">
        <v>14</v>
      </c>
      <c r="B129" s="45" t="s">
        <v>1200</v>
      </c>
      <c r="C129" s="45" t="s">
        <v>1201</v>
      </c>
      <c r="D129" s="46" t="s">
        <v>1202</v>
      </c>
      <c r="E129" s="3">
        <v>236</v>
      </c>
      <c r="F129" s="3">
        <v>1005</v>
      </c>
      <c r="G129" s="3">
        <v>2576</v>
      </c>
      <c r="H129" s="3">
        <v>689</v>
      </c>
      <c r="I129" s="9">
        <v>40205</v>
      </c>
      <c r="J129" s="47">
        <v>0.65296296296296297</v>
      </c>
    </row>
    <row r="130" spans="1:10" ht="30" x14ac:dyDescent="0.25">
      <c r="A130" s="3" t="s">
        <v>14</v>
      </c>
      <c r="B130" s="45" t="s">
        <v>1205</v>
      </c>
      <c r="C130" s="45" t="s">
        <v>427</v>
      </c>
      <c r="D130" s="46" t="s">
        <v>1206</v>
      </c>
      <c r="E130" s="3">
        <v>292</v>
      </c>
      <c r="F130" s="3">
        <v>1001</v>
      </c>
      <c r="G130" s="3">
        <v>2642</v>
      </c>
      <c r="H130" s="3">
        <v>290</v>
      </c>
      <c r="I130" s="9">
        <v>40092</v>
      </c>
      <c r="J130" s="47">
        <v>0.53362268518518519</v>
      </c>
    </row>
    <row r="131" spans="1:10" ht="30" x14ac:dyDescent="0.25">
      <c r="A131" s="3" t="s">
        <v>14</v>
      </c>
      <c r="B131" s="45" t="s">
        <v>1217</v>
      </c>
      <c r="C131" s="45" t="s">
        <v>1218</v>
      </c>
      <c r="D131" s="46" t="s">
        <v>1219</v>
      </c>
      <c r="E131" s="3">
        <v>223</v>
      </c>
      <c r="F131" s="3">
        <v>993</v>
      </c>
      <c r="G131" s="3">
        <v>3034</v>
      </c>
      <c r="H131" s="3">
        <v>1010</v>
      </c>
      <c r="I131" s="9">
        <v>40763</v>
      </c>
      <c r="J131" s="47">
        <v>0.64454861111111106</v>
      </c>
    </row>
    <row r="132" spans="1:10" x14ac:dyDescent="0.25">
      <c r="A132" s="3" t="s">
        <v>14</v>
      </c>
      <c r="B132" s="45" t="s">
        <v>1228</v>
      </c>
      <c r="C132" s="45" t="s">
        <v>219</v>
      </c>
      <c r="D132" s="46" t="s">
        <v>1229</v>
      </c>
      <c r="E132" s="3">
        <v>349</v>
      </c>
      <c r="F132" s="3">
        <v>985</v>
      </c>
      <c r="G132" s="3">
        <v>10810</v>
      </c>
      <c r="H132" s="3">
        <v>172</v>
      </c>
      <c r="I132" s="9">
        <v>40252</v>
      </c>
      <c r="J132" s="47">
        <v>0.53543981481481484</v>
      </c>
    </row>
    <row r="133" spans="1:10" x14ac:dyDescent="0.25">
      <c r="A133" s="3" t="s">
        <v>14</v>
      </c>
      <c r="B133" s="45" t="s">
        <v>1232</v>
      </c>
      <c r="C133" s="45" t="s">
        <v>296</v>
      </c>
      <c r="D133" s="46" t="s">
        <v>1233</v>
      </c>
      <c r="E133" s="3">
        <v>576</v>
      </c>
      <c r="F133" s="3">
        <v>982</v>
      </c>
      <c r="G133" s="3">
        <v>2358</v>
      </c>
      <c r="H133" s="3">
        <v>26</v>
      </c>
      <c r="I133" s="9">
        <v>40070</v>
      </c>
      <c r="J133" s="47">
        <v>0.42394675925925923</v>
      </c>
    </row>
    <row r="134" spans="1:10" x14ac:dyDescent="0.25">
      <c r="A134" s="3" t="s">
        <v>14</v>
      </c>
      <c r="B134" s="45" t="s">
        <v>1246</v>
      </c>
      <c r="C134" s="45" t="s">
        <v>1247</v>
      </c>
      <c r="D134" s="46" t="s">
        <v>1248</v>
      </c>
      <c r="E134" s="3">
        <v>330</v>
      </c>
      <c r="F134" s="3">
        <v>970</v>
      </c>
      <c r="G134" s="3">
        <v>4051</v>
      </c>
      <c r="H134" s="3">
        <v>611</v>
      </c>
      <c r="I134" s="9">
        <v>40122</v>
      </c>
      <c r="J134" s="47">
        <v>0.4173263888888889</v>
      </c>
    </row>
    <row r="135" spans="1:10" ht="30" x14ac:dyDescent="0.25">
      <c r="A135" s="3" t="s">
        <v>14</v>
      </c>
      <c r="B135" s="45" t="s">
        <v>842</v>
      </c>
      <c r="C135" s="45" t="s">
        <v>514</v>
      </c>
      <c r="D135" s="46" t="s">
        <v>1255</v>
      </c>
      <c r="E135" s="3">
        <v>670</v>
      </c>
      <c r="F135" s="3">
        <v>966</v>
      </c>
      <c r="G135" s="3">
        <v>1507</v>
      </c>
      <c r="H135" s="3">
        <v>954</v>
      </c>
      <c r="I135" s="9">
        <v>42090</v>
      </c>
      <c r="J135" s="47">
        <v>0.41035879629629629</v>
      </c>
    </row>
    <row r="136" spans="1:10" ht="30" x14ac:dyDescent="0.25">
      <c r="A136" s="3" t="s">
        <v>14</v>
      </c>
      <c r="B136" s="45" t="s">
        <v>1256</v>
      </c>
      <c r="C136" s="45" t="s">
        <v>36</v>
      </c>
      <c r="D136" s="46" t="s">
        <v>1257</v>
      </c>
      <c r="E136" s="3">
        <v>379</v>
      </c>
      <c r="F136" s="3">
        <v>963</v>
      </c>
      <c r="G136" s="3">
        <v>4985</v>
      </c>
      <c r="H136" s="3">
        <v>288</v>
      </c>
      <c r="I136" s="9">
        <v>40526</v>
      </c>
      <c r="J136" s="47">
        <v>0.70435185185185178</v>
      </c>
    </row>
    <row r="137" spans="1:10" x14ac:dyDescent="0.25">
      <c r="A137" s="3" t="s">
        <v>14</v>
      </c>
      <c r="B137" s="45" t="s">
        <v>1269</v>
      </c>
      <c r="C137" s="45" t="s">
        <v>708</v>
      </c>
      <c r="D137" s="46" t="s">
        <v>1270</v>
      </c>
      <c r="E137" s="3">
        <v>506</v>
      </c>
      <c r="F137" s="3">
        <v>945</v>
      </c>
      <c r="G137" s="3">
        <v>2050</v>
      </c>
      <c r="H137" s="3">
        <v>1184</v>
      </c>
      <c r="I137" s="9">
        <v>42067</v>
      </c>
      <c r="J137" s="47">
        <v>0.46416666666666667</v>
      </c>
    </row>
    <row r="138" spans="1:10" ht="30" x14ac:dyDescent="0.25">
      <c r="A138" s="3" t="s">
        <v>14</v>
      </c>
      <c r="B138" s="45" t="s">
        <v>1275</v>
      </c>
      <c r="C138" s="45" t="s">
        <v>496</v>
      </c>
      <c r="D138" s="46" t="s">
        <v>1276</v>
      </c>
      <c r="E138" s="3">
        <v>602</v>
      </c>
      <c r="F138" s="3">
        <v>938</v>
      </c>
      <c r="G138" s="3">
        <v>710</v>
      </c>
      <c r="H138" s="3">
        <v>318</v>
      </c>
      <c r="I138" s="9">
        <v>41547</v>
      </c>
      <c r="J138" s="47">
        <v>0.42579861111111111</v>
      </c>
    </row>
    <row r="139" spans="1:10" x14ac:dyDescent="0.25">
      <c r="A139" s="3" t="s">
        <v>14</v>
      </c>
      <c r="B139" s="45" t="s">
        <v>1277</v>
      </c>
      <c r="C139" s="45" t="s">
        <v>110</v>
      </c>
      <c r="D139" s="46" t="s">
        <v>1278</v>
      </c>
      <c r="E139" s="3">
        <v>1239</v>
      </c>
      <c r="F139" s="3">
        <v>937</v>
      </c>
      <c r="G139" s="3">
        <v>736</v>
      </c>
      <c r="H139" s="3">
        <v>119</v>
      </c>
      <c r="I139" s="9">
        <v>41261</v>
      </c>
      <c r="J139" s="47">
        <v>0.70135416666666661</v>
      </c>
    </row>
    <row r="140" spans="1:10" x14ac:dyDescent="0.25">
      <c r="A140" s="3" t="s">
        <v>14</v>
      </c>
      <c r="B140" s="45" t="s">
        <v>1282</v>
      </c>
      <c r="C140" s="45" t="s">
        <v>24</v>
      </c>
      <c r="D140" s="46" t="s">
        <v>1283</v>
      </c>
      <c r="E140" s="3">
        <v>528</v>
      </c>
      <c r="F140" s="3">
        <v>935</v>
      </c>
      <c r="G140" s="3">
        <v>2349</v>
      </c>
      <c r="H140" s="3">
        <v>582</v>
      </c>
      <c r="I140" s="9">
        <v>39861</v>
      </c>
      <c r="J140" s="47">
        <v>0.3628587962962963</v>
      </c>
    </row>
    <row r="141" spans="1:10" ht="30" x14ac:dyDescent="0.25">
      <c r="A141" s="3" t="s">
        <v>14</v>
      </c>
      <c r="B141" s="45" t="s">
        <v>1289</v>
      </c>
      <c r="C141" s="45" t="s">
        <v>1290</v>
      </c>
      <c r="D141" s="46" t="s">
        <v>1291</v>
      </c>
      <c r="E141" s="3">
        <v>618</v>
      </c>
      <c r="F141" s="3">
        <v>920</v>
      </c>
      <c r="G141" s="3">
        <v>1670</v>
      </c>
      <c r="H141" s="3">
        <v>327</v>
      </c>
      <c r="I141" s="9">
        <v>41250</v>
      </c>
      <c r="J141" s="47">
        <v>0.54642361111111104</v>
      </c>
    </row>
    <row r="142" spans="1:10" x14ac:dyDescent="0.25">
      <c r="A142" s="3" t="s">
        <v>14</v>
      </c>
      <c r="B142" s="45" t="s">
        <v>1297</v>
      </c>
      <c r="D142" s="46" t="s">
        <v>1298</v>
      </c>
      <c r="E142" s="3">
        <v>441</v>
      </c>
      <c r="F142" s="3">
        <v>913</v>
      </c>
      <c r="G142" s="3">
        <v>14701</v>
      </c>
      <c r="H142" s="3">
        <v>320</v>
      </c>
      <c r="I142" s="9">
        <v>40675</v>
      </c>
      <c r="J142" s="47">
        <v>0.56106481481481485</v>
      </c>
    </row>
    <row r="143" spans="1:10" ht="30" x14ac:dyDescent="0.25">
      <c r="A143" s="3" t="s">
        <v>14</v>
      </c>
      <c r="B143" s="45" t="s">
        <v>1299</v>
      </c>
      <c r="C143" s="45" t="s">
        <v>138</v>
      </c>
      <c r="D143" s="46" t="s">
        <v>1300</v>
      </c>
      <c r="E143" s="3">
        <v>254</v>
      </c>
      <c r="F143" s="3">
        <v>912</v>
      </c>
      <c r="G143" s="3">
        <v>1548</v>
      </c>
      <c r="H143" s="3">
        <v>927</v>
      </c>
      <c r="I143" s="9">
        <v>39854</v>
      </c>
      <c r="J143" s="47">
        <v>0.46802083333333333</v>
      </c>
    </row>
    <row r="144" spans="1:10" x14ac:dyDescent="0.25">
      <c r="A144" s="3" t="s">
        <v>14</v>
      </c>
      <c r="B144" s="45" t="s">
        <v>1318</v>
      </c>
      <c r="C144" s="45" t="s">
        <v>725</v>
      </c>
      <c r="E144" s="3">
        <v>1051</v>
      </c>
      <c r="F144" s="3">
        <v>881</v>
      </c>
      <c r="G144" s="3">
        <v>7012</v>
      </c>
      <c r="H144" s="3">
        <v>446</v>
      </c>
      <c r="I144" s="9">
        <v>39876</v>
      </c>
      <c r="J144" s="47">
        <v>0.46696759259259263</v>
      </c>
    </row>
    <row r="145" spans="1:10" ht="30" x14ac:dyDescent="0.25">
      <c r="A145" s="3" t="s">
        <v>14</v>
      </c>
      <c r="B145" s="45" t="s">
        <v>1330</v>
      </c>
      <c r="C145" s="45" t="s">
        <v>1331</v>
      </c>
      <c r="D145" s="46" t="s">
        <v>1332</v>
      </c>
      <c r="E145" s="3">
        <v>211</v>
      </c>
      <c r="F145" s="3">
        <v>869</v>
      </c>
      <c r="G145" s="3">
        <v>1920</v>
      </c>
      <c r="H145" s="3">
        <v>267</v>
      </c>
      <c r="I145" s="9">
        <v>40630</v>
      </c>
      <c r="J145" s="47">
        <v>0.57553240740740741</v>
      </c>
    </row>
    <row r="146" spans="1:10" ht="45" x14ac:dyDescent="0.25">
      <c r="A146" s="3" t="s">
        <v>14</v>
      </c>
      <c r="B146" s="45" t="s">
        <v>1352</v>
      </c>
      <c r="C146" s="45" t="s">
        <v>1353</v>
      </c>
      <c r="D146" s="46" t="s">
        <v>1354</v>
      </c>
      <c r="E146" s="3">
        <v>635</v>
      </c>
      <c r="F146" s="3">
        <v>856</v>
      </c>
      <c r="G146" s="3">
        <v>2241</v>
      </c>
      <c r="H146" s="3">
        <v>426</v>
      </c>
      <c r="I146" s="9">
        <v>39919</v>
      </c>
      <c r="J146" s="47">
        <v>0.38133101851851853</v>
      </c>
    </row>
    <row r="147" spans="1:10" ht="30" x14ac:dyDescent="0.25">
      <c r="A147" s="3" t="s">
        <v>14</v>
      </c>
      <c r="B147" s="45" t="s">
        <v>1370</v>
      </c>
      <c r="C147" s="45" t="s">
        <v>1371</v>
      </c>
      <c r="D147" s="46" t="s">
        <v>1372</v>
      </c>
      <c r="E147" s="3">
        <v>218</v>
      </c>
      <c r="F147" s="3">
        <v>847</v>
      </c>
      <c r="G147" s="3">
        <v>1618</v>
      </c>
      <c r="H147" s="3">
        <v>320</v>
      </c>
      <c r="I147" s="9">
        <v>40589</v>
      </c>
      <c r="J147" s="47">
        <v>0.68236111111111108</v>
      </c>
    </row>
    <row r="148" spans="1:10" x14ac:dyDescent="0.25">
      <c r="A148" s="3" t="s">
        <v>14</v>
      </c>
      <c r="B148" s="45" t="s">
        <v>1379</v>
      </c>
      <c r="C148" s="45" t="s">
        <v>1295</v>
      </c>
      <c r="D148" s="46" t="s">
        <v>1380</v>
      </c>
      <c r="E148" s="3">
        <v>1097</v>
      </c>
      <c r="F148" s="3">
        <v>842</v>
      </c>
      <c r="G148" s="3">
        <v>3285</v>
      </c>
      <c r="H148" s="3">
        <v>491</v>
      </c>
      <c r="I148" s="9">
        <v>40681</v>
      </c>
      <c r="J148" s="47">
        <v>0.67923611111111104</v>
      </c>
    </row>
    <row r="149" spans="1:10" ht="30" x14ac:dyDescent="0.25">
      <c r="A149" s="3" t="s">
        <v>14</v>
      </c>
      <c r="B149" s="45" t="s">
        <v>1384</v>
      </c>
      <c r="C149" s="45" t="s">
        <v>1385</v>
      </c>
      <c r="D149" s="46" t="s">
        <v>1386</v>
      </c>
      <c r="E149" s="3">
        <v>1028</v>
      </c>
      <c r="F149" s="3">
        <v>831</v>
      </c>
      <c r="G149" s="3">
        <v>2505</v>
      </c>
      <c r="H149" s="3">
        <v>114</v>
      </c>
      <c r="I149" s="9">
        <v>40333</v>
      </c>
      <c r="J149" s="47">
        <v>0.60329861111111105</v>
      </c>
    </row>
    <row r="150" spans="1:10" ht="30" x14ac:dyDescent="0.25">
      <c r="A150" s="3" t="s">
        <v>14</v>
      </c>
      <c r="B150" s="45" t="s">
        <v>1401</v>
      </c>
      <c r="C150" s="45" t="s">
        <v>1402</v>
      </c>
      <c r="D150" s="46" t="s">
        <v>1403</v>
      </c>
      <c r="E150" s="3">
        <v>386</v>
      </c>
      <c r="F150" s="3">
        <v>812</v>
      </c>
      <c r="G150" s="3">
        <v>1688</v>
      </c>
      <c r="H150" s="3">
        <v>200</v>
      </c>
      <c r="I150" s="9">
        <v>40973</v>
      </c>
      <c r="J150" s="47">
        <v>0.41340277777777779</v>
      </c>
    </row>
    <row r="151" spans="1:10" x14ac:dyDescent="0.25">
      <c r="A151" s="3" t="s">
        <v>14</v>
      </c>
      <c r="B151" s="45" t="s">
        <v>1427</v>
      </c>
      <c r="C151" s="45" t="s">
        <v>1428</v>
      </c>
      <c r="D151" s="46" t="s">
        <v>1429</v>
      </c>
      <c r="E151" s="3">
        <v>89</v>
      </c>
      <c r="F151" s="3">
        <v>787</v>
      </c>
      <c r="G151" s="3">
        <v>397</v>
      </c>
      <c r="H151" s="3">
        <v>25</v>
      </c>
      <c r="I151" s="9">
        <v>40770</v>
      </c>
      <c r="J151" s="47">
        <v>0.52756944444444442</v>
      </c>
    </row>
    <row r="152" spans="1:10" x14ac:dyDescent="0.25">
      <c r="A152" s="3" t="s">
        <v>14</v>
      </c>
      <c r="B152" s="45" t="s">
        <v>1433</v>
      </c>
      <c r="C152" s="45" t="s">
        <v>1434</v>
      </c>
      <c r="D152" s="46" t="s">
        <v>1435</v>
      </c>
      <c r="E152" s="3">
        <v>882</v>
      </c>
      <c r="F152" s="3">
        <v>785</v>
      </c>
      <c r="G152" s="3">
        <v>2046</v>
      </c>
      <c r="H152" s="3">
        <v>281</v>
      </c>
      <c r="I152" s="9">
        <v>41456</v>
      </c>
      <c r="J152" s="47">
        <v>0.59195601851851853</v>
      </c>
    </row>
    <row r="153" spans="1:10" x14ac:dyDescent="0.25">
      <c r="A153" s="3" t="s">
        <v>14</v>
      </c>
      <c r="B153" s="45" t="s">
        <v>1436</v>
      </c>
      <c r="C153" s="45" t="s">
        <v>33</v>
      </c>
      <c r="D153" s="46" t="s">
        <v>1437</v>
      </c>
      <c r="E153" s="3">
        <v>302</v>
      </c>
      <c r="F153" s="3">
        <v>784</v>
      </c>
      <c r="G153" s="3">
        <v>1699</v>
      </c>
      <c r="H153" s="3">
        <v>48</v>
      </c>
      <c r="I153" s="9">
        <v>41213</v>
      </c>
      <c r="J153" s="47">
        <v>0.65582175925925923</v>
      </c>
    </row>
    <row r="154" spans="1:10" ht="30" x14ac:dyDescent="0.25">
      <c r="A154" s="3" t="s">
        <v>14</v>
      </c>
      <c r="B154" s="45" t="s">
        <v>1297</v>
      </c>
      <c r="C154" s="45" t="s">
        <v>1438</v>
      </c>
      <c r="D154" s="46" t="s">
        <v>1439</v>
      </c>
      <c r="E154" s="3">
        <v>588</v>
      </c>
      <c r="F154" s="3">
        <v>783</v>
      </c>
      <c r="G154" s="3">
        <v>4066</v>
      </c>
      <c r="H154" s="3">
        <v>331</v>
      </c>
      <c r="I154" s="9">
        <v>39868</v>
      </c>
      <c r="J154" s="47">
        <v>0.83861111111111108</v>
      </c>
    </row>
    <row r="155" spans="1:10" x14ac:dyDescent="0.25">
      <c r="A155" s="3" t="s">
        <v>14</v>
      </c>
      <c r="B155" s="45" t="s">
        <v>1446</v>
      </c>
      <c r="C155" s="45" t="s">
        <v>1447</v>
      </c>
      <c r="D155" s="46" t="s">
        <v>1448</v>
      </c>
      <c r="E155" s="3">
        <v>128</v>
      </c>
      <c r="F155" s="3">
        <v>778</v>
      </c>
      <c r="G155" s="3">
        <v>1733</v>
      </c>
      <c r="H155" s="3">
        <v>59</v>
      </c>
      <c r="I155" s="9">
        <v>39568</v>
      </c>
      <c r="J155" s="47">
        <v>0.91447916666666673</v>
      </c>
    </row>
    <row r="156" spans="1:10" ht="30" x14ac:dyDescent="0.25">
      <c r="A156" s="3" t="s">
        <v>14</v>
      </c>
      <c r="B156" s="45" t="s">
        <v>1457</v>
      </c>
      <c r="C156" s="45" t="s">
        <v>36</v>
      </c>
      <c r="D156" s="46" t="s">
        <v>1458</v>
      </c>
      <c r="E156" s="3">
        <v>114</v>
      </c>
      <c r="F156" s="3">
        <v>772</v>
      </c>
      <c r="G156" s="3">
        <v>3542</v>
      </c>
      <c r="H156" s="3">
        <v>137</v>
      </c>
      <c r="I156" s="9">
        <v>39941</v>
      </c>
      <c r="J156" s="47">
        <v>0.60412037037037036</v>
      </c>
    </row>
    <row r="157" spans="1:10" ht="30" x14ac:dyDescent="0.25">
      <c r="A157" s="3" t="s">
        <v>14</v>
      </c>
      <c r="B157" s="45" t="s">
        <v>1476</v>
      </c>
      <c r="D157" s="46" t="s">
        <v>1477</v>
      </c>
      <c r="E157" s="3">
        <v>285</v>
      </c>
      <c r="F157" s="3">
        <v>751</v>
      </c>
      <c r="G157" s="3">
        <v>2729</v>
      </c>
      <c r="H157" s="3">
        <v>154</v>
      </c>
      <c r="I157" s="9">
        <v>41178</v>
      </c>
      <c r="J157" s="47">
        <v>0.41765046296296293</v>
      </c>
    </row>
    <row r="158" spans="1:10" ht="45" x14ac:dyDescent="0.25">
      <c r="A158" s="3" t="s">
        <v>14</v>
      </c>
      <c r="B158" s="45" t="s">
        <v>1481</v>
      </c>
      <c r="C158" s="45" t="s">
        <v>1482</v>
      </c>
      <c r="D158" s="46" t="s">
        <v>1483</v>
      </c>
      <c r="E158" s="3">
        <v>443</v>
      </c>
      <c r="F158" s="3">
        <v>750</v>
      </c>
      <c r="G158" s="3">
        <v>2242</v>
      </c>
      <c r="H158" s="3">
        <v>805</v>
      </c>
      <c r="I158" s="9">
        <v>40788</v>
      </c>
      <c r="J158" s="47">
        <v>0.45394675925925926</v>
      </c>
    </row>
    <row r="159" spans="1:10" ht="30" x14ac:dyDescent="0.25">
      <c r="A159" s="3" t="s">
        <v>14</v>
      </c>
      <c r="B159" s="45" t="s">
        <v>1504</v>
      </c>
      <c r="C159" s="45" t="s">
        <v>1505</v>
      </c>
      <c r="D159" s="46" t="s">
        <v>1506</v>
      </c>
      <c r="E159" s="3">
        <v>218</v>
      </c>
      <c r="F159" s="3">
        <v>735</v>
      </c>
      <c r="G159" s="3">
        <v>503</v>
      </c>
      <c r="H159" s="3">
        <v>0</v>
      </c>
      <c r="I159" s="9">
        <v>40337</v>
      </c>
      <c r="J159" s="47">
        <v>0.47846064814814815</v>
      </c>
    </row>
    <row r="160" spans="1:10" ht="30" x14ac:dyDescent="0.25">
      <c r="A160" s="3" t="s">
        <v>14</v>
      </c>
      <c r="B160" s="45" t="s">
        <v>1507</v>
      </c>
      <c r="C160" s="45" t="s">
        <v>1508</v>
      </c>
      <c r="D160" s="46" t="s">
        <v>1509</v>
      </c>
      <c r="E160" s="3">
        <v>1140</v>
      </c>
      <c r="F160" s="3">
        <v>734</v>
      </c>
      <c r="G160" s="3">
        <v>8114</v>
      </c>
      <c r="H160" s="3">
        <v>2211</v>
      </c>
      <c r="I160" s="9">
        <v>41173</v>
      </c>
      <c r="J160" s="47">
        <v>0.43472222222222223</v>
      </c>
    </row>
    <row r="161" spans="1:10" ht="30" x14ac:dyDescent="0.25">
      <c r="A161" s="3" t="s">
        <v>14</v>
      </c>
      <c r="B161" s="45" t="s">
        <v>1510</v>
      </c>
      <c r="C161" s="45" t="s">
        <v>1511</v>
      </c>
      <c r="D161" s="46" t="s">
        <v>1512</v>
      </c>
      <c r="E161" s="3">
        <v>266</v>
      </c>
      <c r="F161" s="3">
        <v>733</v>
      </c>
      <c r="G161" s="3">
        <v>616</v>
      </c>
      <c r="H161" s="3">
        <v>243</v>
      </c>
      <c r="I161" s="9">
        <v>40953</v>
      </c>
      <c r="J161" s="47">
        <v>0.65334490740740747</v>
      </c>
    </row>
    <row r="162" spans="1:10" ht="30" x14ac:dyDescent="0.25">
      <c r="A162" s="3" t="s">
        <v>14</v>
      </c>
      <c r="B162" s="45" t="s">
        <v>1519</v>
      </c>
      <c r="C162" s="45" t="s">
        <v>1520</v>
      </c>
      <c r="D162" s="46" t="s">
        <v>1521</v>
      </c>
      <c r="E162" s="3">
        <v>280</v>
      </c>
      <c r="F162" s="3">
        <v>726</v>
      </c>
      <c r="G162" s="3">
        <v>3899</v>
      </c>
      <c r="H162" s="3">
        <v>253</v>
      </c>
      <c r="I162" s="9">
        <v>41473</v>
      </c>
      <c r="J162" s="47">
        <v>0.53591435185185188</v>
      </c>
    </row>
    <row r="163" spans="1:10" ht="30" x14ac:dyDescent="0.25">
      <c r="A163" s="3" t="s">
        <v>14</v>
      </c>
      <c r="B163" s="45" t="s">
        <v>1516</v>
      </c>
      <c r="C163" s="45" t="s">
        <v>1517</v>
      </c>
      <c r="D163" s="46" t="s">
        <v>1518</v>
      </c>
      <c r="E163" s="3">
        <v>656</v>
      </c>
      <c r="F163" s="3">
        <v>726</v>
      </c>
      <c r="G163" s="3">
        <v>853</v>
      </c>
      <c r="H163" s="3">
        <v>5</v>
      </c>
      <c r="I163" s="9">
        <v>40430</v>
      </c>
      <c r="J163" s="47">
        <v>0.62349537037037039</v>
      </c>
    </row>
    <row r="164" spans="1:10" ht="30" x14ac:dyDescent="0.25">
      <c r="A164" s="3" t="s">
        <v>14</v>
      </c>
      <c r="B164" s="45" t="s">
        <v>1555</v>
      </c>
      <c r="C164" s="45" t="s">
        <v>1556</v>
      </c>
      <c r="D164" s="46" t="s">
        <v>1557</v>
      </c>
      <c r="E164" s="3">
        <v>314</v>
      </c>
      <c r="F164" s="3">
        <v>703</v>
      </c>
      <c r="G164" s="3">
        <v>1712</v>
      </c>
      <c r="H164" s="3">
        <v>110</v>
      </c>
      <c r="I164" s="9">
        <v>40325</v>
      </c>
      <c r="J164" s="47">
        <v>0.48074074074074075</v>
      </c>
    </row>
    <row r="165" spans="1:10" ht="45" x14ac:dyDescent="0.25">
      <c r="A165" s="3" t="s">
        <v>14</v>
      </c>
      <c r="B165" s="45" t="s">
        <v>1558</v>
      </c>
      <c r="C165" s="45" t="s">
        <v>1559</v>
      </c>
      <c r="D165" s="46" t="s">
        <v>1560</v>
      </c>
      <c r="E165" s="3">
        <v>539</v>
      </c>
      <c r="F165" s="3">
        <v>693</v>
      </c>
      <c r="G165" s="3">
        <v>3238</v>
      </c>
      <c r="H165" s="3">
        <v>78</v>
      </c>
      <c r="I165" s="9">
        <v>41453</v>
      </c>
      <c r="J165" s="47">
        <v>0.43916666666666665</v>
      </c>
    </row>
    <row r="166" spans="1:10" ht="30" x14ac:dyDescent="0.25">
      <c r="A166" s="3" t="s">
        <v>14</v>
      </c>
      <c r="B166" s="45" t="s">
        <v>1591</v>
      </c>
      <c r="C166" s="45" t="s">
        <v>1592</v>
      </c>
      <c r="D166" s="46" t="s">
        <v>1593</v>
      </c>
      <c r="E166" s="3">
        <v>447</v>
      </c>
      <c r="F166" s="3">
        <v>656</v>
      </c>
      <c r="G166" s="3">
        <v>2419</v>
      </c>
      <c r="H166" s="3">
        <v>381</v>
      </c>
      <c r="I166" s="9">
        <v>42027</v>
      </c>
      <c r="J166" s="47">
        <v>0.47754629629629625</v>
      </c>
    </row>
    <row r="167" spans="1:10" ht="30" x14ac:dyDescent="0.25">
      <c r="A167" s="3" t="s">
        <v>14</v>
      </c>
      <c r="B167" s="45" t="s">
        <v>1600</v>
      </c>
      <c r="C167" s="45" t="s">
        <v>1601</v>
      </c>
      <c r="D167" s="46" t="s">
        <v>1602</v>
      </c>
      <c r="E167" s="3">
        <v>175</v>
      </c>
      <c r="F167" s="3">
        <v>654</v>
      </c>
      <c r="G167" s="3">
        <v>1433</v>
      </c>
      <c r="H167" s="3">
        <v>107</v>
      </c>
      <c r="I167" s="9">
        <v>41043</v>
      </c>
      <c r="J167" s="47">
        <v>0.43960648148148151</v>
      </c>
    </row>
    <row r="168" spans="1:10" ht="30" x14ac:dyDescent="0.25">
      <c r="A168" s="3" t="s">
        <v>14</v>
      </c>
      <c r="B168" s="45" t="s">
        <v>1597</v>
      </c>
      <c r="C168" s="45" t="s">
        <v>1598</v>
      </c>
      <c r="D168" s="46" t="s">
        <v>1599</v>
      </c>
      <c r="E168" s="3">
        <v>114</v>
      </c>
      <c r="F168" s="3">
        <v>654</v>
      </c>
      <c r="G168" s="3">
        <v>1157</v>
      </c>
      <c r="H168" s="3">
        <v>22</v>
      </c>
      <c r="I168" s="9">
        <v>40514</v>
      </c>
      <c r="J168" s="47">
        <v>0.47364583333333332</v>
      </c>
    </row>
    <row r="169" spans="1:10" x14ac:dyDescent="0.25">
      <c r="A169" s="3" t="s">
        <v>14</v>
      </c>
      <c r="B169" s="45" t="s">
        <v>1606</v>
      </c>
      <c r="C169" s="45" t="s">
        <v>1607</v>
      </c>
      <c r="D169" s="46" t="s">
        <v>1608</v>
      </c>
      <c r="E169" s="3">
        <v>64</v>
      </c>
      <c r="F169" s="3">
        <v>650</v>
      </c>
      <c r="G169" s="3">
        <v>204</v>
      </c>
      <c r="H169" s="3">
        <v>3</v>
      </c>
      <c r="I169" s="9">
        <v>40919</v>
      </c>
      <c r="J169" s="47">
        <v>0.64403935185185179</v>
      </c>
    </row>
    <row r="170" spans="1:10" x14ac:dyDescent="0.25">
      <c r="A170" s="3" t="s">
        <v>14</v>
      </c>
      <c r="B170" s="45" t="s">
        <v>1619</v>
      </c>
      <c r="C170" s="45" t="s">
        <v>102</v>
      </c>
      <c r="D170" s="46" t="s">
        <v>1620</v>
      </c>
      <c r="E170" s="3">
        <v>652</v>
      </c>
      <c r="F170" s="3">
        <v>641</v>
      </c>
      <c r="G170" s="3">
        <v>4348</v>
      </c>
      <c r="H170" s="3">
        <v>65</v>
      </c>
      <c r="I170" s="9">
        <v>40745</v>
      </c>
      <c r="J170" s="47">
        <v>0.53369212962962964</v>
      </c>
    </row>
    <row r="171" spans="1:10" x14ac:dyDescent="0.25">
      <c r="A171" s="3" t="s">
        <v>14</v>
      </c>
      <c r="B171" s="45" t="s">
        <v>1645</v>
      </c>
      <c r="C171" s="45" t="s">
        <v>1646</v>
      </c>
      <c r="D171" s="46" t="s">
        <v>1647</v>
      </c>
      <c r="E171" s="3">
        <v>202</v>
      </c>
      <c r="F171" s="3">
        <v>619</v>
      </c>
      <c r="G171" s="3">
        <v>564</v>
      </c>
      <c r="H171" s="3">
        <v>52</v>
      </c>
      <c r="I171" s="9">
        <v>40661</v>
      </c>
      <c r="J171" s="47">
        <v>0.65565972222222224</v>
      </c>
    </row>
    <row r="172" spans="1:10" x14ac:dyDescent="0.25">
      <c r="A172" s="3" t="s">
        <v>14</v>
      </c>
      <c r="B172" s="45" t="s">
        <v>1653</v>
      </c>
      <c r="C172" s="45" t="s">
        <v>1654</v>
      </c>
      <c r="D172" s="46" t="s">
        <v>1655</v>
      </c>
      <c r="E172" s="3">
        <v>71</v>
      </c>
      <c r="F172" s="3">
        <v>616</v>
      </c>
      <c r="G172" s="3">
        <v>670</v>
      </c>
      <c r="H172" s="3">
        <v>49</v>
      </c>
      <c r="I172" s="9">
        <v>39856</v>
      </c>
      <c r="J172" s="47">
        <v>0.53822916666666665</v>
      </c>
    </row>
    <row r="173" spans="1:10" ht="30" x14ac:dyDescent="0.25">
      <c r="A173" s="3" t="s">
        <v>14</v>
      </c>
      <c r="B173" s="45" t="s">
        <v>1678</v>
      </c>
      <c r="C173" s="45" t="s">
        <v>1679</v>
      </c>
      <c r="D173" s="46" t="s">
        <v>1680</v>
      </c>
      <c r="E173" s="3">
        <v>447</v>
      </c>
      <c r="F173" s="3">
        <v>592</v>
      </c>
      <c r="G173" s="3">
        <v>2197</v>
      </c>
      <c r="H173" s="3">
        <v>106</v>
      </c>
      <c r="I173" s="9">
        <v>40616</v>
      </c>
      <c r="J173" s="47">
        <v>0.39245370370370369</v>
      </c>
    </row>
    <row r="174" spans="1:10" ht="30" x14ac:dyDescent="0.25">
      <c r="A174" s="3" t="s">
        <v>14</v>
      </c>
      <c r="B174" s="45" t="s">
        <v>1702</v>
      </c>
      <c r="C174" s="45" t="s">
        <v>1703</v>
      </c>
      <c r="D174" s="46" t="s">
        <v>1704</v>
      </c>
      <c r="E174" s="3">
        <v>575</v>
      </c>
      <c r="F174" s="3">
        <v>576</v>
      </c>
      <c r="G174" s="3">
        <v>2578</v>
      </c>
      <c r="H174" s="3">
        <v>1009</v>
      </c>
      <c r="I174" s="9">
        <v>40718</v>
      </c>
      <c r="J174" s="47">
        <v>0.84410879629629632</v>
      </c>
    </row>
    <row r="175" spans="1:10" ht="30" x14ac:dyDescent="0.25">
      <c r="A175" s="3" t="s">
        <v>14</v>
      </c>
      <c r="B175" s="45" t="s">
        <v>1769</v>
      </c>
      <c r="C175" s="45" t="s">
        <v>1770</v>
      </c>
      <c r="D175" s="46" t="s">
        <v>1771</v>
      </c>
      <c r="E175" s="3">
        <v>325</v>
      </c>
      <c r="F175" s="3">
        <v>516</v>
      </c>
      <c r="G175" s="3">
        <v>1126</v>
      </c>
      <c r="H175" s="3">
        <v>489</v>
      </c>
      <c r="I175" s="9">
        <v>41020</v>
      </c>
      <c r="J175" s="47">
        <v>0.61658564814814809</v>
      </c>
    </row>
    <row r="176" spans="1:10" ht="30" x14ac:dyDescent="0.25">
      <c r="A176" s="3" t="s">
        <v>14</v>
      </c>
      <c r="B176" s="45" t="s">
        <v>1804</v>
      </c>
      <c r="C176" s="45" t="s">
        <v>36</v>
      </c>
      <c r="D176" s="46" t="s">
        <v>1805</v>
      </c>
      <c r="E176" s="3">
        <v>375</v>
      </c>
      <c r="F176" s="3">
        <v>501</v>
      </c>
      <c r="G176" s="3">
        <v>288</v>
      </c>
      <c r="H176" s="3">
        <v>86</v>
      </c>
      <c r="I176" s="9">
        <v>41086</v>
      </c>
      <c r="J176" s="47">
        <v>0.43925925925925924</v>
      </c>
    </row>
    <row r="177" spans="1:10" x14ac:dyDescent="0.25">
      <c r="A177" s="3" t="s">
        <v>14</v>
      </c>
      <c r="B177" s="45" t="s">
        <v>1832</v>
      </c>
      <c r="C177" s="45" t="s">
        <v>1833</v>
      </c>
      <c r="D177" s="46" t="s">
        <v>1834</v>
      </c>
      <c r="E177" s="3">
        <v>660</v>
      </c>
      <c r="F177" s="3">
        <v>488</v>
      </c>
      <c r="G177" s="3">
        <v>973</v>
      </c>
      <c r="H177" s="3">
        <v>159</v>
      </c>
      <c r="I177" s="9">
        <v>40973</v>
      </c>
      <c r="J177" s="47">
        <v>0.48076388888888894</v>
      </c>
    </row>
    <row r="178" spans="1:10" x14ac:dyDescent="0.25">
      <c r="A178" s="3" t="s">
        <v>14</v>
      </c>
      <c r="B178" s="45" t="s">
        <v>1853</v>
      </c>
      <c r="D178" s="46" t="s">
        <v>1854</v>
      </c>
      <c r="E178" s="3">
        <v>608</v>
      </c>
      <c r="F178" s="3">
        <v>473</v>
      </c>
      <c r="G178" s="3">
        <v>828</v>
      </c>
      <c r="H178" s="3">
        <v>203</v>
      </c>
      <c r="I178" s="9">
        <v>41225</v>
      </c>
      <c r="J178" s="47">
        <v>0.66061342592592587</v>
      </c>
    </row>
    <row r="179" spans="1:10" ht="30" x14ac:dyDescent="0.25">
      <c r="A179" s="3" t="s">
        <v>14</v>
      </c>
      <c r="B179" s="45" t="s">
        <v>1857</v>
      </c>
      <c r="D179" s="46" t="s">
        <v>1858</v>
      </c>
      <c r="E179" s="3">
        <v>146</v>
      </c>
      <c r="F179" s="3">
        <v>465</v>
      </c>
      <c r="G179" s="3">
        <v>877</v>
      </c>
      <c r="H179" s="3">
        <v>59</v>
      </c>
      <c r="I179" s="9">
        <v>40882</v>
      </c>
      <c r="J179" s="47">
        <v>0.58572916666666663</v>
      </c>
    </row>
    <row r="180" spans="1:10" x14ac:dyDescent="0.25">
      <c r="A180" s="3" t="s">
        <v>14</v>
      </c>
      <c r="B180" s="45" t="s">
        <v>1881</v>
      </c>
      <c r="C180" s="45" t="s">
        <v>1882</v>
      </c>
      <c r="D180" s="46" t="s">
        <v>1883</v>
      </c>
      <c r="E180" s="3">
        <v>445</v>
      </c>
      <c r="F180" s="3">
        <v>454</v>
      </c>
      <c r="G180" s="3">
        <v>2011</v>
      </c>
      <c r="H180" s="3">
        <v>294</v>
      </c>
      <c r="I180" s="9">
        <v>40870</v>
      </c>
      <c r="J180" s="47">
        <v>0.36833333333333335</v>
      </c>
    </row>
    <row r="181" spans="1:10" ht="30" x14ac:dyDescent="0.25">
      <c r="A181" s="3" t="s">
        <v>14</v>
      </c>
      <c r="B181" s="45" t="s">
        <v>1926</v>
      </c>
      <c r="C181" s="45" t="s">
        <v>1927</v>
      </c>
      <c r="D181" s="46" t="s">
        <v>1928</v>
      </c>
      <c r="E181" s="3">
        <v>229</v>
      </c>
      <c r="F181" s="3">
        <v>432</v>
      </c>
      <c r="G181" s="3">
        <v>2163</v>
      </c>
      <c r="H181" s="3">
        <v>6</v>
      </c>
      <c r="I181" s="9">
        <v>41331</v>
      </c>
      <c r="J181" s="47">
        <v>0.42640046296296297</v>
      </c>
    </row>
    <row r="182" spans="1:10" x14ac:dyDescent="0.25">
      <c r="A182" s="3" t="s">
        <v>14</v>
      </c>
      <c r="B182" s="45" t="s">
        <v>1966</v>
      </c>
      <c r="C182" s="45" t="s">
        <v>1967</v>
      </c>
      <c r="D182" s="46" t="s">
        <v>1968</v>
      </c>
      <c r="E182" s="3">
        <v>606</v>
      </c>
      <c r="F182" s="3">
        <v>415</v>
      </c>
      <c r="G182" s="3">
        <v>239</v>
      </c>
      <c r="H182" s="3">
        <v>34</v>
      </c>
      <c r="I182" s="9">
        <v>40246</v>
      </c>
      <c r="J182" s="47">
        <v>0.67538194444444455</v>
      </c>
    </row>
    <row r="183" spans="1:10" x14ac:dyDescent="0.25">
      <c r="A183" s="3" t="s">
        <v>14</v>
      </c>
      <c r="B183" s="45" t="s">
        <v>1971</v>
      </c>
      <c r="C183" s="45" t="s">
        <v>36</v>
      </c>
      <c r="D183" s="46" t="s">
        <v>1972</v>
      </c>
      <c r="E183" s="3">
        <v>205</v>
      </c>
      <c r="F183" s="3">
        <v>413</v>
      </c>
      <c r="G183" s="3">
        <v>1754</v>
      </c>
      <c r="H183" s="3">
        <v>104</v>
      </c>
      <c r="I183" s="9">
        <v>39968</v>
      </c>
      <c r="J183" s="47">
        <v>0.65204861111111112</v>
      </c>
    </row>
    <row r="184" spans="1:10" ht="30" x14ac:dyDescent="0.25">
      <c r="A184" s="3" t="s">
        <v>14</v>
      </c>
      <c r="B184" s="45" t="s">
        <v>1979</v>
      </c>
      <c r="C184" s="45" t="s">
        <v>1980</v>
      </c>
      <c r="D184" s="46" t="s">
        <v>1981</v>
      </c>
      <c r="E184" s="3">
        <v>189</v>
      </c>
      <c r="F184" s="3">
        <v>412</v>
      </c>
      <c r="G184" s="3">
        <v>1693</v>
      </c>
      <c r="H184" s="3">
        <v>346</v>
      </c>
      <c r="I184" s="9">
        <v>41466</v>
      </c>
      <c r="J184" s="47">
        <v>0.54322916666666665</v>
      </c>
    </row>
    <row r="185" spans="1:10" ht="30" x14ac:dyDescent="0.25">
      <c r="A185" s="3" t="s">
        <v>14</v>
      </c>
      <c r="B185" s="45" t="s">
        <v>1987</v>
      </c>
      <c r="C185" s="45" t="s">
        <v>1988</v>
      </c>
      <c r="D185" s="46" t="s">
        <v>1989</v>
      </c>
      <c r="E185" s="3">
        <v>366</v>
      </c>
      <c r="F185" s="3">
        <v>411</v>
      </c>
      <c r="G185" s="3">
        <v>1276</v>
      </c>
      <c r="H185" s="3">
        <v>313</v>
      </c>
      <c r="I185" s="9">
        <v>41422</v>
      </c>
      <c r="J185" s="47">
        <v>0.57229166666666664</v>
      </c>
    </row>
    <row r="186" spans="1:10" x14ac:dyDescent="0.25">
      <c r="A186" s="3" t="s">
        <v>14</v>
      </c>
      <c r="B186" s="45" t="s">
        <v>2029</v>
      </c>
      <c r="C186" s="45" t="s">
        <v>2030</v>
      </c>
      <c r="D186" s="46" t="s">
        <v>2031</v>
      </c>
      <c r="E186" s="3">
        <v>65</v>
      </c>
      <c r="F186" s="3">
        <v>393</v>
      </c>
      <c r="G186" s="3">
        <v>545</v>
      </c>
      <c r="H186" s="3">
        <v>19</v>
      </c>
      <c r="I186" s="9">
        <v>40983</v>
      </c>
      <c r="J186" s="47">
        <v>0.60065972222222219</v>
      </c>
    </row>
    <row r="187" spans="1:10" ht="30" x14ac:dyDescent="0.25">
      <c r="A187" s="3" t="s">
        <v>14</v>
      </c>
      <c r="B187" s="45" t="s">
        <v>2077</v>
      </c>
      <c r="C187" s="45" t="s">
        <v>296</v>
      </c>
      <c r="D187" s="46" t="s">
        <v>2078</v>
      </c>
      <c r="E187" s="3">
        <v>295</v>
      </c>
      <c r="F187" s="3">
        <v>372</v>
      </c>
      <c r="G187" s="3">
        <v>2643</v>
      </c>
      <c r="H187" s="3">
        <v>41</v>
      </c>
      <c r="I187" s="9">
        <v>41141</v>
      </c>
      <c r="J187" s="47">
        <v>0.58627314814814813</v>
      </c>
    </row>
    <row r="188" spans="1:10" ht="30" x14ac:dyDescent="0.25">
      <c r="A188" s="3" t="s">
        <v>14</v>
      </c>
      <c r="B188" s="45" t="s">
        <v>2106</v>
      </c>
      <c r="C188" s="45" t="s">
        <v>2107</v>
      </c>
      <c r="D188" s="46" t="s">
        <v>2108</v>
      </c>
      <c r="E188" s="3">
        <v>182</v>
      </c>
      <c r="F188" s="3">
        <v>363</v>
      </c>
      <c r="G188" s="3">
        <v>846</v>
      </c>
      <c r="H188" s="3">
        <v>303</v>
      </c>
      <c r="I188" s="9">
        <v>42472</v>
      </c>
      <c r="J188" s="47">
        <v>0.36030092592592594</v>
      </c>
    </row>
    <row r="189" spans="1:10" x14ac:dyDescent="0.25">
      <c r="A189" s="3" t="s">
        <v>14</v>
      </c>
      <c r="B189" s="45" t="s">
        <v>2141</v>
      </c>
      <c r="C189" s="45" t="s">
        <v>2142</v>
      </c>
      <c r="D189" s="46" t="s">
        <v>2143</v>
      </c>
      <c r="E189" s="3">
        <v>146</v>
      </c>
      <c r="F189" s="3">
        <v>349</v>
      </c>
      <c r="G189" s="3">
        <v>982</v>
      </c>
      <c r="H189" s="3">
        <v>52</v>
      </c>
      <c r="I189" s="9">
        <v>39910</v>
      </c>
      <c r="J189" s="47">
        <v>0.50844907407407403</v>
      </c>
    </row>
    <row r="190" spans="1:10" ht="30" x14ac:dyDescent="0.25">
      <c r="A190" s="3" t="s">
        <v>14</v>
      </c>
      <c r="B190" s="45" t="s">
        <v>1539</v>
      </c>
      <c r="C190" s="45" t="s">
        <v>2197</v>
      </c>
      <c r="D190" s="46" t="s">
        <v>2198</v>
      </c>
      <c r="E190" s="3">
        <v>194</v>
      </c>
      <c r="F190" s="3">
        <v>328</v>
      </c>
      <c r="G190" s="3">
        <v>1568</v>
      </c>
      <c r="H190" s="3">
        <v>34</v>
      </c>
      <c r="I190" s="9">
        <v>40195</v>
      </c>
      <c r="J190" s="47">
        <v>0.75346064814814817</v>
      </c>
    </row>
    <row r="191" spans="1:10" x14ac:dyDescent="0.25">
      <c r="A191" s="3" t="s">
        <v>14</v>
      </c>
      <c r="B191" s="45" t="s">
        <v>2204</v>
      </c>
      <c r="C191" s="45" t="s">
        <v>427</v>
      </c>
      <c r="D191" s="46" t="s">
        <v>2205</v>
      </c>
      <c r="E191" s="3">
        <v>369</v>
      </c>
      <c r="F191" s="3">
        <v>323</v>
      </c>
      <c r="G191" s="3">
        <v>911</v>
      </c>
      <c r="H191" s="3">
        <v>360</v>
      </c>
      <c r="I191" s="9">
        <v>42215</v>
      </c>
      <c r="J191" s="47">
        <v>0.55577546296296299</v>
      </c>
    </row>
    <row r="192" spans="1:10" x14ac:dyDescent="0.25">
      <c r="A192" s="3" t="s">
        <v>14</v>
      </c>
      <c r="B192" s="45" t="s">
        <v>2317</v>
      </c>
      <c r="C192" s="45" t="s">
        <v>36</v>
      </c>
      <c r="D192" s="46" t="s">
        <v>2318</v>
      </c>
      <c r="E192" s="3">
        <v>220</v>
      </c>
      <c r="F192" s="3">
        <v>286</v>
      </c>
      <c r="G192" s="3">
        <v>715</v>
      </c>
      <c r="H192" s="3">
        <v>51</v>
      </c>
      <c r="I192" s="9">
        <v>42066</v>
      </c>
      <c r="J192" s="47">
        <v>0.42570601851851847</v>
      </c>
    </row>
    <row r="193" spans="1:10" x14ac:dyDescent="0.25">
      <c r="A193" s="3" t="s">
        <v>14</v>
      </c>
      <c r="B193" s="45" t="s">
        <v>2321</v>
      </c>
      <c r="C193" s="45" t="s">
        <v>2322</v>
      </c>
      <c r="D193" s="46" t="s">
        <v>2323</v>
      </c>
      <c r="E193" s="3">
        <v>134</v>
      </c>
      <c r="F193" s="3">
        <v>284</v>
      </c>
      <c r="G193" s="3">
        <v>1350</v>
      </c>
      <c r="H193" s="3">
        <v>173</v>
      </c>
      <c r="I193" s="9">
        <v>41099</v>
      </c>
      <c r="J193" s="47">
        <v>0.35099537037037037</v>
      </c>
    </row>
    <row r="194" spans="1:10" ht="30" x14ac:dyDescent="0.25">
      <c r="A194" s="3" t="s">
        <v>14</v>
      </c>
      <c r="B194" s="45" t="s">
        <v>2329</v>
      </c>
      <c r="C194" s="45" t="s">
        <v>477</v>
      </c>
      <c r="D194" s="46" t="s">
        <v>2330</v>
      </c>
      <c r="E194" s="3">
        <v>193</v>
      </c>
      <c r="F194" s="3">
        <v>283</v>
      </c>
      <c r="G194" s="3">
        <v>546</v>
      </c>
      <c r="H194" s="3">
        <v>184</v>
      </c>
      <c r="I194" s="9">
        <v>42433</v>
      </c>
      <c r="J194" s="47">
        <v>0.41711805555555559</v>
      </c>
    </row>
    <row r="195" spans="1:10" x14ac:dyDescent="0.25">
      <c r="A195" s="3" t="s">
        <v>14</v>
      </c>
      <c r="B195" s="45" t="s">
        <v>2331</v>
      </c>
      <c r="C195" s="45" t="s">
        <v>310</v>
      </c>
      <c r="D195" s="46" t="s">
        <v>2332</v>
      </c>
      <c r="E195" s="3">
        <v>144</v>
      </c>
      <c r="F195" s="3">
        <v>280</v>
      </c>
      <c r="G195" s="3">
        <v>443</v>
      </c>
      <c r="H195" s="3">
        <v>58</v>
      </c>
      <c r="I195" s="9">
        <v>40710</v>
      </c>
      <c r="J195" s="47">
        <v>0.34638888888888886</v>
      </c>
    </row>
    <row r="196" spans="1:10" x14ac:dyDescent="0.25">
      <c r="A196" s="3" t="s">
        <v>14</v>
      </c>
      <c r="B196" s="45" t="s">
        <v>2368</v>
      </c>
      <c r="C196" s="45" t="s">
        <v>2369</v>
      </c>
      <c r="D196" s="46" t="s">
        <v>2370</v>
      </c>
      <c r="E196" s="3">
        <v>0</v>
      </c>
      <c r="F196" s="3">
        <v>269</v>
      </c>
      <c r="G196" s="3">
        <v>186554</v>
      </c>
      <c r="H196" s="3">
        <v>0</v>
      </c>
      <c r="I196" s="9">
        <v>40004</v>
      </c>
      <c r="J196" s="47">
        <v>0.52483796296296303</v>
      </c>
    </row>
    <row r="197" spans="1:10" ht="30" x14ac:dyDescent="0.25">
      <c r="A197" s="3" t="s">
        <v>14</v>
      </c>
      <c r="B197" s="45" t="s">
        <v>2374</v>
      </c>
      <c r="D197" s="46" t="s">
        <v>2375</v>
      </c>
      <c r="E197" s="3">
        <v>415</v>
      </c>
      <c r="F197" s="3">
        <v>269</v>
      </c>
      <c r="G197" s="3">
        <v>374</v>
      </c>
      <c r="H197" s="3">
        <v>83</v>
      </c>
      <c r="I197" s="9">
        <v>42292</v>
      </c>
      <c r="J197" s="47">
        <v>0.62873842592592599</v>
      </c>
    </row>
    <row r="198" spans="1:10" ht="30" x14ac:dyDescent="0.25">
      <c r="A198" s="3" t="s">
        <v>14</v>
      </c>
      <c r="B198" s="45" t="s">
        <v>2488</v>
      </c>
      <c r="C198" s="45" t="s">
        <v>2489</v>
      </c>
      <c r="D198" s="46" t="s">
        <v>2490</v>
      </c>
      <c r="E198" s="3">
        <v>99</v>
      </c>
      <c r="F198" s="3">
        <v>245</v>
      </c>
      <c r="G198" s="3">
        <v>702</v>
      </c>
      <c r="H198" s="3">
        <v>33</v>
      </c>
      <c r="I198" s="9">
        <v>41155</v>
      </c>
      <c r="J198" s="47">
        <v>0.58812500000000001</v>
      </c>
    </row>
    <row r="199" spans="1:10" x14ac:dyDescent="0.25">
      <c r="A199" s="3" t="s">
        <v>14</v>
      </c>
      <c r="B199" s="45" t="s">
        <v>2574</v>
      </c>
      <c r="C199" s="45" t="s">
        <v>2575</v>
      </c>
      <c r="D199" s="46" t="s">
        <v>2576</v>
      </c>
      <c r="E199" s="3">
        <v>644</v>
      </c>
      <c r="F199" s="3">
        <v>218</v>
      </c>
      <c r="G199" s="3">
        <v>132</v>
      </c>
      <c r="H199" s="3">
        <v>56</v>
      </c>
      <c r="I199" s="9">
        <v>42692</v>
      </c>
      <c r="J199" s="47">
        <v>0.45098379629629631</v>
      </c>
    </row>
    <row r="200" spans="1:10" ht="30" x14ac:dyDescent="0.25">
      <c r="A200" s="3" t="s">
        <v>14</v>
      </c>
      <c r="B200" s="45" t="s">
        <v>2599</v>
      </c>
      <c r="D200" s="46" t="s">
        <v>2600</v>
      </c>
      <c r="E200" s="3">
        <v>206</v>
      </c>
      <c r="F200" s="3">
        <v>212</v>
      </c>
      <c r="G200" s="3">
        <v>657</v>
      </c>
      <c r="H200" s="3">
        <v>36</v>
      </c>
      <c r="I200" s="9">
        <v>41337</v>
      </c>
      <c r="J200" s="47">
        <v>0.61049768518518521</v>
      </c>
    </row>
    <row r="201" spans="1:10" ht="30" x14ac:dyDescent="0.25">
      <c r="A201" s="3" t="s">
        <v>14</v>
      </c>
      <c r="B201" s="45" t="s">
        <v>2655</v>
      </c>
      <c r="C201" s="45" t="s">
        <v>2656</v>
      </c>
      <c r="D201" s="46" t="s">
        <v>2657</v>
      </c>
      <c r="E201" s="3">
        <v>21</v>
      </c>
      <c r="F201" s="3">
        <v>201</v>
      </c>
      <c r="G201" s="3">
        <v>796</v>
      </c>
      <c r="H201" s="3">
        <v>23</v>
      </c>
      <c r="I201" s="9">
        <v>39876</v>
      </c>
      <c r="J201" s="47">
        <v>0.46994212962962961</v>
      </c>
    </row>
    <row r="202" spans="1:10" ht="60" x14ac:dyDescent="0.25">
      <c r="A202" s="3" t="s">
        <v>14</v>
      </c>
      <c r="B202" s="45" t="s">
        <v>2711</v>
      </c>
      <c r="C202" s="45" t="s">
        <v>2712</v>
      </c>
      <c r="D202" s="46" t="s">
        <v>2713</v>
      </c>
      <c r="E202" s="3">
        <v>68</v>
      </c>
      <c r="F202" s="3">
        <v>191</v>
      </c>
      <c r="G202" s="3">
        <v>195</v>
      </c>
      <c r="H202" s="3">
        <v>10</v>
      </c>
      <c r="I202" s="9">
        <v>39899</v>
      </c>
      <c r="J202" s="47">
        <v>0.48667824074074079</v>
      </c>
    </row>
    <row r="203" spans="1:10" ht="30" x14ac:dyDescent="0.25">
      <c r="A203" s="3" t="s">
        <v>14</v>
      </c>
      <c r="B203" s="45" t="s">
        <v>2724</v>
      </c>
      <c r="C203" s="45" t="s">
        <v>2725</v>
      </c>
      <c r="D203" s="46" t="s">
        <v>2726</v>
      </c>
      <c r="E203" s="3">
        <v>237</v>
      </c>
      <c r="F203" s="3">
        <v>190</v>
      </c>
      <c r="G203" s="3">
        <v>1139</v>
      </c>
      <c r="H203" s="3">
        <v>15</v>
      </c>
      <c r="I203" s="9">
        <v>42384</v>
      </c>
      <c r="J203" s="47">
        <v>0.62034722222222227</v>
      </c>
    </row>
    <row r="204" spans="1:10" ht="30" x14ac:dyDescent="0.25">
      <c r="A204" s="3" t="s">
        <v>14</v>
      </c>
      <c r="B204" s="45" t="s">
        <v>2727</v>
      </c>
      <c r="C204" s="45" t="s">
        <v>837</v>
      </c>
      <c r="D204" s="46" t="s">
        <v>2728</v>
      </c>
      <c r="E204" s="3">
        <v>540</v>
      </c>
      <c r="F204" s="3">
        <v>190</v>
      </c>
      <c r="G204" s="3">
        <v>138</v>
      </c>
      <c r="H204" s="3">
        <v>14</v>
      </c>
      <c r="I204" s="9">
        <v>42514</v>
      </c>
      <c r="J204" s="47">
        <v>0.45304398148148151</v>
      </c>
    </row>
    <row r="205" spans="1:10" ht="30" x14ac:dyDescent="0.25">
      <c r="A205" s="3" t="s">
        <v>14</v>
      </c>
      <c r="B205" s="45" t="s">
        <v>2789</v>
      </c>
      <c r="C205" s="45" t="s">
        <v>666</v>
      </c>
      <c r="D205" s="46" t="s">
        <v>2790</v>
      </c>
      <c r="E205" s="3">
        <v>316</v>
      </c>
      <c r="F205" s="3">
        <v>179</v>
      </c>
      <c r="G205" s="3">
        <v>2409</v>
      </c>
      <c r="H205" s="3">
        <v>12</v>
      </c>
      <c r="I205" s="9">
        <v>41897</v>
      </c>
      <c r="J205" s="47">
        <v>0.61693287037037037</v>
      </c>
    </row>
    <row r="206" spans="1:10" ht="30" x14ac:dyDescent="0.25">
      <c r="A206" s="3" t="s">
        <v>14</v>
      </c>
      <c r="B206" s="45" t="s">
        <v>1148</v>
      </c>
      <c r="C206" s="45" t="s">
        <v>1046</v>
      </c>
      <c r="D206" s="46" t="s">
        <v>2848</v>
      </c>
      <c r="E206" s="3">
        <v>14</v>
      </c>
      <c r="F206" s="3">
        <v>169</v>
      </c>
      <c r="G206" s="3">
        <v>231</v>
      </c>
      <c r="H206" s="3">
        <v>0</v>
      </c>
      <c r="I206" s="9">
        <v>39911</v>
      </c>
      <c r="J206" s="47">
        <v>0.57045138888888891</v>
      </c>
    </row>
    <row r="207" spans="1:10" x14ac:dyDescent="0.25">
      <c r="A207" s="3" t="s">
        <v>14</v>
      </c>
      <c r="B207" s="45" t="s">
        <v>2863</v>
      </c>
      <c r="C207" s="45" t="s">
        <v>2864</v>
      </c>
      <c r="D207" s="46" t="s">
        <v>2865</v>
      </c>
      <c r="E207" s="3">
        <v>154</v>
      </c>
      <c r="F207" s="3">
        <v>166</v>
      </c>
      <c r="G207" s="3">
        <v>503</v>
      </c>
      <c r="H207" s="3">
        <v>57</v>
      </c>
      <c r="I207" s="9">
        <v>42641</v>
      </c>
      <c r="J207" s="47">
        <v>0.62288194444444445</v>
      </c>
    </row>
    <row r="208" spans="1:10" x14ac:dyDescent="0.25">
      <c r="A208" s="3" t="s">
        <v>14</v>
      </c>
      <c r="B208" s="45" t="s">
        <v>2881</v>
      </c>
      <c r="C208" s="45" t="s">
        <v>135</v>
      </c>
      <c r="D208" s="46" t="s">
        <v>2882</v>
      </c>
      <c r="E208" s="3">
        <v>279</v>
      </c>
      <c r="F208" s="3">
        <v>163</v>
      </c>
      <c r="G208" s="3">
        <v>372</v>
      </c>
      <c r="H208" s="3">
        <v>54</v>
      </c>
      <c r="I208" s="9">
        <v>42600</v>
      </c>
      <c r="J208" s="47">
        <v>0.46194444444444444</v>
      </c>
    </row>
    <row r="209" spans="1:10" x14ac:dyDescent="0.25">
      <c r="A209" s="3" t="s">
        <v>14</v>
      </c>
      <c r="B209" s="45" t="s">
        <v>3012</v>
      </c>
      <c r="C209" s="45" t="s">
        <v>663</v>
      </c>
      <c r="D209" s="46" t="s">
        <v>3013</v>
      </c>
      <c r="E209" s="3">
        <v>102</v>
      </c>
      <c r="F209" s="3">
        <v>134</v>
      </c>
      <c r="G209" s="3">
        <v>321</v>
      </c>
      <c r="H209" s="3">
        <v>86</v>
      </c>
      <c r="I209" s="9">
        <v>42019</v>
      </c>
      <c r="J209" s="47">
        <v>0.38721064814814815</v>
      </c>
    </row>
    <row r="210" spans="1:10" ht="45" x14ac:dyDescent="0.25">
      <c r="A210" s="3" t="s">
        <v>14</v>
      </c>
      <c r="B210" s="45" t="s">
        <v>3113</v>
      </c>
      <c r="C210" s="45" t="s">
        <v>93</v>
      </c>
      <c r="D210" s="46" t="s">
        <v>3114</v>
      </c>
      <c r="E210" s="3">
        <v>203</v>
      </c>
      <c r="F210" s="3">
        <v>105</v>
      </c>
      <c r="G210" s="3">
        <v>555</v>
      </c>
      <c r="H210" s="3">
        <v>166</v>
      </c>
      <c r="I210" s="9">
        <v>42240</v>
      </c>
      <c r="J210" s="47">
        <v>0.58331018518518518</v>
      </c>
    </row>
    <row r="211" spans="1:10" x14ac:dyDescent="0.25">
      <c r="A211" s="3" t="s">
        <v>14</v>
      </c>
      <c r="B211" s="45" t="s">
        <v>3269</v>
      </c>
      <c r="C211" s="45" t="s">
        <v>135</v>
      </c>
      <c r="D211" s="46" t="s">
        <v>3270</v>
      </c>
      <c r="E211" s="3">
        <v>168</v>
      </c>
      <c r="F211" s="3">
        <v>70</v>
      </c>
      <c r="G211" s="3">
        <v>71</v>
      </c>
      <c r="H211" s="3">
        <v>50</v>
      </c>
      <c r="I211" s="9">
        <v>41022</v>
      </c>
      <c r="J211" s="47">
        <v>0.58556712962962965</v>
      </c>
    </row>
    <row r="212" spans="1:10" ht="30" x14ac:dyDescent="0.25">
      <c r="A212" s="3" t="s">
        <v>14</v>
      </c>
      <c r="B212" s="45" t="s">
        <v>3286</v>
      </c>
      <c r="C212" s="45" t="s">
        <v>3287</v>
      </c>
      <c r="D212" s="46" t="s">
        <v>3288</v>
      </c>
      <c r="E212" s="3">
        <v>141</v>
      </c>
      <c r="F212" s="3">
        <v>66</v>
      </c>
      <c r="G212" s="3">
        <v>82</v>
      </c>
      <c r="H212" s="3">
        <v>3</v>
      </c>
      <c r="I212" s="9">
        <v>40619</v>
      </c>
      <c r="J212" s="47">
        <v>0.61107638888888893</v>
      </c>
    </row>
    <row r="213" spans="1:10" x14ac:dyDescent="0.25">
      <c r="A213" s="3" t="s">
        <v>14</v>
      </c>
      <c r="B213" s="45" t="s">
        <v>3295</v>
      </c>
      <c r="C213" s="45" t="s">
        <v>3296</v>
      </c>
      <c r="D213" s="46" t="s">
        <v>3297</v>
      </c>
      <c r="E213" s="3">
        <v>2</v>
      </c>
      <c r="F213" s="3">
        <v>64</v>
      </c>
      <c r="G213" s="3">
        <v>12</v>
      </c>
      <c r="H213" s="3">
        <v>0</v>
      </c>
      <c r="I213" s="9">
        <v>39972</v>
      </c>
      <c r="J213" s="47">
        <v>0.57498842592592592</v>
      </c>
    </row>
    <row r="214" spans="1:10" x14ac:dyDescent="0.25">
      <c r="A214" s="3" t="s">
        <v>14</v>
      </c>
      <c r="B214" s="45" t="s">
        <v>3390</v>
      </c>
      <c r="D214" s="46" t="s">
        <v>3391</v>
      </c>
      <c r="E214" s="3">
        <v>48</v>
      </c>
      <c r="F214" s="3">
        <v>46</v>
      </c>
      <c r="G214" s="3">
        <v>79</v>
      </c>
      <c r="H214" s="3">
        <v>5</v>
      </c>
      <c r="I214" s="9">
        <v>42742</v>
      </c>
      <c r="J214" s="47">
        <v>0.68744212962962958</v>
      </c>
    </row>
    <row r="215" spans="1:10" x14ac:dyDescent="0.25">
      <c r="A215" s="3" t="s">
        <v>14</v>
      </c>
      <c r="B215" s="45" t="s">
        <v>3451</v>
      </c>
      <c r="C215" s="45" t="s">
        <v>180</v>
      </c>
      <c r="D215" s="46" t="s">
        <v>3452</v>
      </c>
      <c r="E215" s="3">
        <v>21</v>
      </c>
      <c r="F215" s="3">
        <v>27</v>
      </c>
      <c r="G215" s="3">
        <v>41</v>
      </c>
      <c r="H215" s="3">
        <v>0</v>
      </c>
      <c r="I215" s="9">
        <v>40093</v>
      </c>
      <c r="J215" s="47">
        <v>0.33159722222222221</v>
      </c>
    </row>
    <row r="216" spans="1:10" ht="30" x14ac:dyDescent="0.25">
      <c r="A216" s="3" t="s">
        <v>14</v>
      </c>
      <c r="B216" s="45" t="s">
        <v>3465</v>
      </c>
      <c r="C216" s="45" t="s">
        <v>3466</v>
      </c>
      <c r="D216" s="46" t="s">
        <v>3467</v>
      </c>
      <c r="E216" s="3">
        <v>105</v>
      </c>
      <c r="F216" s="3">
        <v>25</v>
      </c>
      <c r="G216" s="3">
        <v>75</v>
      </c>
      <c r="H216" s="3">
        <v>3</v>
      </c>
      <c r="I216" s="9">
        <v>41649</v>
      </c>
      <c r="J216" s="47">
        <v>0.98376157407407405</v>
      </c>
    </row>
    <row r="217" spans="1:10" ht="30" x14ac:dyDescent="0.25">
      <c r="A217" s="3" t="s">
        <v>14</v>
      </c>
      <c r="B217" s="45" t="s">
        <v>3500</v>
      </c>
      <c r="C217" s="45" t="s">
        <v>477</v>
      </c>
      <c r="D217" s="46" t="s">
        <v>3501</v>
      </c>
      <c r="E217" s="3">
        <v>40</v>
      </c>
      <c r="F217" s="3">
        <v>14</v>
      </c>
      <c r="G217" s="3">
        <v>78</v>
      </c>
      <c r="H217" s="3">
        <v>15</v>
      </c>
      <c r="I217" s="9">
        <v>42538</v>
      </c>
      <c r="J217" s="47">
        <v>0.40037037037037032</v>
      </c>
    </row>
    <row r="218" spans="1:10" ht="30" x14ac:dyDescent="0.25">
      <c r="A218" s="3" t="s">
        <v>72</v>
      </c>
      <c r="B218" s="45" t="s">
        <v>73</v>
      </c>
      <c r="C218" s="45" t="s">
        <v>74</v>
      </c>
      <c r="D218" s="46" t="s">
        <v>75</v>
      </c>
      <c r="E218" s="3">
        <v>772</v>
      </c>
      <c r="F218" s="3">
        <v>11615</v>
      </c>
      <c r="G218" s="3">
        <v>3794</v>
      </c>
      <c r="H218" s="3">
        <v>1008</v>
      </c>
      <c r="I218" s="9">
        <v>41228</v>
      </c>
      <c r="J218" s="47">
        <v>0.59995370370370371</v>
      </c>
    </row>
    <row r="219" spans="1:10" ht="30" x14ac:dyDescent="0.25">
      <c r="A219" s="3" t="s">
        <v>72</v>
      </c>
      <c r="B219" s="45" t="s">
        <v>134</v>
      </c>
      <c r="C219" s="45" t="s">
        <v>135</v>
      </c>
      <c r="D219" s="46" t="s">
        <v>136</v>
      </c>
      <c r="E219" s="3">
        <v>3286</v>
      </c>
      <c r="F219" s="3">
        <v>6972</v>
      </c>
      <c r="G219" s="3">
        <v>7689</v>
      </c>
      <c r="H219" s="3">
        <v>1826</v>
      </c>
      <c r="I219" s="9">
        <v>39888</v>
      </c>
      <c r="J219" s="47">
        <v>0.37116898148148153</v>
      </c>
    </row>
    <row r="220" spans="1:10" ht="30" x14ac:dyDescent="0.25">
      <c r="A220" s="3" t="s">
        <v>72</v>
      </c>
      <c r="B220" s="45" t="s">
        <v>320</v>
      </c>
      <c r="C220" s="45" t="s">
        <v>321</v>
      </c>
      <c r="D220" s="46" t="s">
        <v>322</v>
      </c>
      <c r="E220" s="3">
        <v>807</v>
      </c>
      <c r="F220" s="3">
        <v>3446</v>
      </c>
      <c r="G220" s="3">
        <v>2480</v>
      </c>
      <c r="H220" s="3">
        <v>310</v>
      </c>
      <c r="I220" s="9">
        <v>41129</v>
      </c>
      <c r="J220" s="47">
        <v>0.43403935185185188</v>
      </c>
    </row>
    <row r="221" spans="1:10" ht="30" x14ac:dyDescent="0.25">
      <c r="A221" s="3" t="s">
        <v>72</v>
      </c>
      <c r="B221" s="45" t="s">
        <v>450</v>
      </c>
      <c r="C221" s="45" t="s">
        <v>36</v>
      </c>
      <c r="D221" s="46" t="s">
        <v>451</v>
      </c>
      <c r="E221" s="3">
        <v>1294</v>
      </c>
      <c r="F221" s="3">
        <v>2686</v>
      </c>
      <c r="G221" s="3">
        <v>8299</v>
      </c>
      <c r="H221" s="3">
        <v>635</v>
      </c>
      <c r="I221" s="9">
        <v>40119</v>
      </c>
      <c r="J221" s="47">
        <v>0.76858796296296295</v>
      </c>
    </row>
    <row r="222" spans="1:10" ht="30" x14ac:dyDescent="0.25">
      <c r="A222" s="3" t="s">
        <v>72</v>
      </c>
      <c r="B222" s="45" t="s">
        <v>486</v>
      </c>
      <c r="C222" s="45" t="s">
        <v>487</v>
      </c>
      <c r="D222" s="46" t="s">
        <v>488</v>
      </c>
      <c r="E222" s="3">
        <v>1088</v>
      </c>
      <c r="F222" s="3">
        <v>2529</v>
      </c>
      <c r="G222" s="3">
        <v>891</v>
      </c>
      <c r="H222" s="3">
        <v>2280</v>
      </c>
      <c r="I222" s="9">
        <v>42221</v>
      </c>
      <c r="J222" s="47">
        <v>0.40785879629629629</v>
      </c>
    </row>
    <row r="223" spans="1:10" ht="30" x14ac:dyDescent="0.25">
      <c r="A223" s="3" t="s">
        <v>72</v>
      </c>
      <c r="B223" s="45" t="s">
        <v>507</v>
      </c>
      <c r="C223" s="45" t="s">
        <v>508</v>
      </c>
      <c r="D223" s="46" t="s">
        <v>509</v>
      </c>
      <c r="E223" s="3">
        <v>1304</v>
      </c>
      <c r="F223" s="3">
        <v>2437</v>
      </c>
      <c r="G223" s="3">
        <v>11619</v>
      </c>
      <c r="H223" s="3">
        <v>4455</v>
      </c>
      <c r="I223" s="9">
        <v>40457</v>
      </c>
      <c r="J223" s="47">
        <v>0.43092592592592593</v>
      </c>
    </row>
    <row r="224" spans="1:10" ht="30" x14ac:dyDescent="0.25">
      <c r="A224" s="3" t="s">
        <v>72</v>
      </c>
      <c r="B224" s="45" t="s">
        <v>556</v>
      </c>
      <c r="C224" s="45" t="s">
        <v>557</v>
      </c>
      <c r="D224" s="46" t="s">
        <v>558</v>
      </c>
      <c r="E224" s="3">
        <v>925</v>
      </c>
      <c r="F224" s="3">
        <v>2329</v>
      </c>
      <c r="G224" s="3">
        <v>3696</v>
      </c>
      <c r="H224" s="3">
        <v>2975</v>
      </c>
      <c r="I224" s="9">
        <v>42016</v>
      </c>
      <c r="J224" s="47">
        <v>0.39525462962962959</v>
      </c>
    </row>
    <row r="225" spans="1:10" ht="30" x14ac:dyDescent="0.25">
      <c r="A225" s="3" t="s">
        <v>72</v>
      </c>
      <c r="B225" s="45" t="s">
        <v>641</v>
      </c>
      <c r="C225" s="45" t="s">
        <v>642</v>
      </c>
      <c r="D225" s="46" t="s">
        <v>643</v>
      </c>
      <c r="E225" s="3">
        <v>2950</v>
      </c>
      <c r="F225" s="3">
        <v>2074</v>
      </c>
      <c r="G225" s="3">
        <v>13290</v>
      </c>
      <c r="H225" s="3">
        <v>14832</v>
      </c>
      <c r="I225" s="9">
        <v>40233</v>
      </c>
      <c r="J225" s="47">
        <v>0.47351851851851851</v>
      </c>
    </row>
    <row r="226" spans="1:10" x14ac:dyDescent="0.25">
      <c r="A226" s="3" t="s">
        <v>72</v>
      </c>
      <c r="B226" s="45" t="s">
        <v>662</v>
      </c>
      <c r="C226" s="45" t="s">
        <v>663</v>
      </c>
      <c r="D226" s="46" t="s">
        <v>664</v>
      </c>
      <c r="E226" s="3">
        <v>99</v>
      </c>
      <c r="F226" s="3">
        <v>1984</v>
      </c>
      <c r="G226" s="3">
        <v>1745</v>
      </c>
      <c r="H226" s="3">
        <v>12</v>
      </c>
      <c r="I226" s="9">
        <v>40147</v>
      </c>
      <c r="J226" s="47">
        <v>0.6831018518518519</v>
      </c>
    </row>
    <row r="227" spans="1:10" ht="30" x14ac:dyDescent="0.25">
      <c r="A227" s="3" t="s">
        <v>72</v>
      </c>
      <c r="B227" s="45" t="s">
        <v>818</v>
      </c>
      <c r="C227" s="45" t="s">
        <v>819</v>
      </c>
      <c r="D227" s="46" t="s">
        <v>820</v>
      </c>
      <c r="E227" s="3">
        <v>520</v>
      </c>
      <c r="F227" s="3">
        <v>1579</v>
      </c>
      <c r="G227" s="3">
        <v>12611</v>
      </c>
      <c r="H227" s="3">
        <v>1165</v>
      </c>
      <c r="I227" s="9">
        <v>40843</v>
      </c>
      <c r="J227" s="47">
        <v>0.50473379629629633</v>
      </c>
    </row>
    <row r="228" spans="1:10" x14ac:dyDescent="0.25">
      <c r="A228" s="3" t="s">
        <v>72</v>
      </c>
      <c r="B228" s="45" t="s">
        <v>1032</v>
      </c>
      <c r="C228" s="45" t="s">
        <v>1033</v>
      </c>
      <c r="D228" s="46" t="s">
        <v>1034</v>
      </c>
      <c r="E228" s="3">
        <v>1752</v>
      </c>
      <c r="F228" s="3">
        <v>1215</v>
      </c>
      <c r="G228" s="3">
        <v>10482</v>
      </c>
      <c r="H228" s="3">
        <v>1147</v>
      </c>
      <c r="I228" s="9">
        <v>40959</v>
      </c>
      <c r="J228" s="47">
        <v>0.45428240740740744</v>
      </c>
    </row>
    <row r="229" spans="1:10" ht="30" x14ac:dyDescent="0.25">
      <c r="A229" s="3" t="s">
        <v>72</v>
      </c>
      <c r="B229" s="45" t="s">
        <v>1060</v>
      </c>
      <c r="C229" s="45" t="s">
        <v>1061</v>
      </c>
      <c r="D229" s="46" t="s">
        <v>1062</v>
      </c>
      <c r="E229" s="3">
        <v>2282</v>
      </c>
      <c r="F229" s="3">
        <v>1174</v>
      </c>
      <c r="G229" s="3">
        <v>5936</v>
      </c>
      <c r="H229" s="3">
        <v>808</v>
      </c>
      <c r="I229" s="9">
        <v>41648</v>
      </c>
      <c r="J229" s="47">
        <v>0.64087962962962963</v>
      </c>
    </row>
    <row r="230" spans="1:10" ht="30" x14ac:dyDescent="0.25">
      <c r="A230" s="3" t="s">
        <v>72</v>
      </c>
      <c r="B230" s="45" t="s">
        <v>1143</v>
      </c>
      <c r="C230" s="45" t="s">
        <v>33</v>
      </c>
      <c r="D230" s="46" t="s">
        <v>1144</v>
      </c>
      <c r="E230" s="3">
        <v>808</v>
      </c>
      <c r="F230" s="3">
        <v>1076</v>
      </c>
      <c r="G230" s="3">
        <v>6857</v>
      </c>
      <c r="H230" s="3">
        <v>691</v>
      </c>
      <c r="I230" s="9">
        <v>40659</v>
      </c>
      <c r="J230" s="47">
        <v>0.44078703703703703</v>
      </c>
    </row>
    <row r="231" spans="1:10" x14ac:dyDescent="0.25">
      <c r="A231" s="3" t="s">
        <v>72</v>
      </c>
      <c r="B231" s="45" t="s">
        <v>1225</v>
      </c>
      <c r="C231" s="45" t="s">
        <v>1226</v>
      </c>
      <c r="D231" s="46" t="s">
        <v>1227</v>
      </c>
      <c r="E231" s="3">
        <v>1663</v>
      </c>
      <c r="F231" s="3">
        <v>986</v>
      </c>
      <c r="G231" s="3">
        <v>1733</v>
      </c>
      <c r="H231" s="3">
        <v>598</v>
      </c>
      <c r="I231" s="9">
        <v>41715</v>
      </c>
      <c r="J231" s="47">
        <v>0.66214120370370366</v>
      </c>
    </row>
    <row r="232" spans="1:10" ht="30" x14ac:dyDescent="0.25">
      <c r="A232" s="3" t="s">
        <v>72</v>
      </c>
      <c r="B232" s="45" t="s">
        <v>1292</v>
      </c>
      <c r="D232" s="46" t="s">
        <v>1293</v>
      </c>
      <c r="E232" s="3">
        <v>324</v>
      </c>
      <c r="F232" s="3">
        <v>917</v>
      </c>
      <c r="G232" s="3">
        <v>1122</v>
      </c>
      <c r="H232" s="3">
        <v>107</v>
      </c>
      <c r="I232" s="9">
        <v>40813</v>
      </c>
      <c r="J232" s="47">
        <v>0.39560185185185182</v>
      </c>
    </row>
    <row r="233" spans="1:10" ht="45" x14ac:dyDescent="0.25">
      <c r="A233" s="3" t="s">
        <v>72</v>
      </c>
      <c r="B233" s="45" t="s">
        <v>1344</v>
      </c>
      <c r="C233" s="45" t="s">
        <v>36</v>
      </c>
      <c r="D233" s="46" t="s">
        <v>1345</v>
      </c>
      <c r="E233" s="3">
        <v>326</v>
      </c>
      <c r="F233" s="3">
        <v>861</v>
      </c>
      <c r="G233" s="3">
        <v>2677</v>
      </c>
      <c r="H233" s="3">
        <v>276</v>
      </c>
      <c r="I233" s="9">
        <v>40063</v>
      </c>
      <c r="J233" s="47">
        <v>0.6622569444444445</v>
      </c>
    </row>
    <row r="234" spans="1:10" ht="30" x14ac:dyDescent="0.25">
      <c r="A234" s="3" t="s">
        <v>72</v>
      </c>
      <c r="B234" s="45" t="s">
        <v>1421</v>
      </c>
      <c r="C234" s="45" t="s">
        <v>1422</v>
      </c>
      <c r="D234" s="46" t="s">
        <v>1423</v>
      </c>
      <c r="E234" s="3">
        <v>464</v>
      </c>
      <c r="F234" s="3">
        <v>788</v>
      </c>
      <c r="G234" s="3">
        <v>5201</v>
      </c>
      <c r="H234" s="3">
        <v>1145</v>
      </c>
      <c r="I234" s="9">
        <v>40462</v>
      </c>
      <c r="J234" s="47">
        <v>0.75483796296296291</v>
      </c>
    </row>
    <row r="235" spans="1:10" ht="30" x14ac:dyDescent="0.25">
      <c r="A235" s="3" t="s">
        <v>72</v>
      </c>
      <c r="B235" s="45" t="s">
        <v>1513</v>
      </c>
      <c r="C235" s="45" t="s">
        <v>1514</v>
      </c>
      <c r="D235" s="46" t="s">
        <v>1515</v>
      </c>
      <c r="E235" s="3">
        <v>714</v>
      </c>
      <c r="F235" s="3">
        <v>731</v>
      </c>
      <c r="G235" s="3">
        <v>3075</v>
      </c>
      <c r="H235" s="3">
        <v>72</v>
      </c>
      <c r="I235" s="9">
        <v>41467</v>
      </c>
      <c r="J235" s="47">
        <v>0.54776620370370377</v>
      </c>
    </row>
    <row r="236" spans="1:10" ht="30" x14ac:dyDescent="0.25">
      <c r="A236" s="3" t="s">
        <v>72</v>
      </c>
      <c r="B236" s="45" t="s">
        <v>1292</v>
      </c>
      <c r="C236" s="45" t="s">
        <v>1547</v>
      </c>
      <c r="D236" s="46" t="s">
        <v>1548</v>
      </c>
      <c r="E236" s="3">
        <v>438</v>
      </c>
      <c r="F236" s="3">
        <v>712</v>
      </c>
      <c r="G236" s="3">
        <v>6170</v>
      </c>
      <c r="H236" s="3">
        <v>43</v>
      </c>
      <c r="I236" s="9">
        <v>40778</v>
      </c>
      <c r="J236" s="47">
        <v>0.5310879629629629</v>
      </c>
    </row>
    <row r="237" spans="1:10" ht="30" x14ac:dyDescent="0.25">
      <c r="A237" s="3" t="s">
        <v>72</v>
      </c>
      <c r="B237" s="45" t="s">
        <v>1589</v>
      </c>
      <c r="C237" s="45" t="s">
        <v>180</v>
      </c>
      <c r="D237" s="46" t="s">
        <v>1590</v>
      </c>
      <c r="E237" s="3">
        <v>897</v>
      </c>
      <c r="F237" s="3">
        <v>656</v>
      </c>
      <c r="G237" s="3">
        <v>7002</v>
      </c>
      <c r="H237" s="3">
        <v>999</v>
      </c>
      <c r="I237" s="9">
        <v>40752</v>
      </c>
      <c r="J237" s="47">
        <v>0.44684027777777779</v>
      </c>
    </row>
    <row r="238" spans="1:10" x14ac:dyDescent="0.25">
      <c r="A238" s="3" t="s">
        <v>72</v>
      </c>
      <c r="B238" s="45" t="s">
        <v>1616</v>
      </c>
      <c r="C238" s="45" t="s">
        <v>1617</v>
      </c>
      <c r="D238" s="46" t="s">
        <v>1618</v>
      </c>
      <c r="E238" s="3">
        <v>755</v>
      </c>
      <c r="F238" s="3">
        <v>642</v>
      </c>
      <c r="G238" s="3">
        <v>2060</v>
      </c>
      <c r="H238" s="3">
        <v>300</v>
      </c>
      <c r="I238" s="9">
        <v>41855</v>
      </c>
      <c r="J238" s="47">
        <v>0.59809027777777779</v>
      </c>
    </row>
    <row r="239" spans="1:10" ht="30" x14ac:dyDescent="0.25">
      <c r="A239" s="3" t="s">
        <v>72</v>
      </c>
      <c r="B239" s="45" t="s">
        <v>1624</v>
      </c>
      <c r="C239" s="45" t="s">
        <v>788</v>
      </c>
      <c r="D239" s="46" t="s">
        <v>1625</v>
      </c>
      <c r="E239" s="3">
        <v>189</v>
      </c>
      <c r="F239" s="3">
        <v>640</v>
      </c>
      <c r="G239" s="3">
        <v>1008</v>
      </c>
      <c r="H239" s="3">
        <v>55</v>
      </c>
      <c r="I239" s="9">
        <v>40073</v>
      </c>
      <c r="J239" s="47">
        <v>0.47655092592592596</v>
      </c>
    </row>
    <row r="240" spans="1:10" ht="30" x14ac:dyDescent="0.25">
      <c r="A240" s="3" t="s">
        <v>72</v>
      </c>
      <c r="B240" s="45" t="s">
        <v>1626</v>
      </c>
      <c r="C240" s="45" t="s">
        <v>36</v>
      </c>
      <c r="D240" s="46" t="s">
        <v>1627</v>
      </c>
      <c r="E240" s="3">
        <v>544</v>
      </c>
      <c r="F240" s="3">
        <v>638</v>
      </c>
      <c r="G240" s="3">
        <v>4203</v>
      </c>
      <c r="H240" s="3">
        <v>2219</v>
      </c>
      <c r="I240" s="9">
        <v>40683</v>
      </c>
      <c r="J240" s="47">
        <v>0.47876157407407405</v>
      </c>
    </row>
    <row r="241" spans="1:10" ht="30" x14ac:dyDescent="0.25">
      <c r="A241" s="3" t="s">
        <v>72</v>
      </c>
      <c r="B241" s="45" t="s">
        <v>1628</v>
      </c>
      <c r="C241" s="45" t="s">
        <v>526</v>
      </c>
      <c r="D241" s="46" t="s">
        <v>1629</v>
      </c>
      <c r="E241" s="3">
        <v>618</v>
      </c>
      <c r="F241" s="3">
        <v>634</v>
      </c>
      <c r="G241" s="3">
        <v>2559</v>
      </c>
      <c r="H241" s="3">
        <v>466</v>
      </c>
      <c r="I241" s="9">
        <v>41835</v>
      </c>
      <c r="J241" s="47">
        <v>0.47443287037037035</v>
      </c>
    </row>
    <row r="242" spans="1:10" ht="30" x14ac:dyDescent="0.25">
      <c r="A242" s="3" t="s">
        <v>72</v>
      </c>
      <c r="B242" s="45" t="s">
        <v>1632</v>
      </c>
      <c r="C242" s="45" t="s">
        <v>1218</v>
      </c>
      <c r="D242" s="46" t="s">
        <v>1633</v>
      </c>
      <c r="E242" s="3">
        <v>470</v>
      </c>
      <c r="F242" s="3">
        <v>629</v>
      </c>
      <c r="G242" s="3">
        <v>7945</v>
      </c>
      <c r="H242" s="3">
        <v>5</v>
      </c>
      <c r="I242" s="9">
        <v>41355</v>
      </c>
      <c r="J242" s="47">
        <v>0.4201388888888889</v>
      </c>
    </row>
    <row r="243" spans="1:10" ht="30" x14ac:dyDescent="0.25">
      <c r="A243" s="3" t="s">
        <v>72</v>
      </c>
      <c r="B243" s="45" t="s">
        <v>1691</v>
      </c>
      <c r="C243" s="45" t="s">
        <v>1692</v>
      </c>
      <c r="D243" s="46" t="s">
        <v>1693</v>
      </c>
      <c r="E243" s="3">
        <v>1100</v>
      </c>
      <c r="F243" s="3">
        <v>583</v>
      </c>
      <c r="G243" s="3">
        <v>5243</v>
      </c>
      <c r="H243" s="3">
        <v>306</v>
      </c>
      <c r="I243" s="9">
        <v>40860</v>
      </c>
      <c r="J243" s="47">
        <v>0.27714120370370371</v>
      </c>
    </row>
    <row r="244" spans="1:10" ht="30" x14ac:dyDescent="0.25">
      <c r="A244" s="3" t="s">
        <v>72</v>
      </c>
      <c r="B244" s="45" t="s">
        <v>1709</v>
      </c>
      <c r="C244" s="45" t="s">
        <v>1710</v>
      </c>
      <c r="D244" s="46" t="s">
        <v>1711</v>
      </c>
      <c r="E244" s="3">
        <v>951</v>
      </c>
      <c r="F244" s="3">
        <v>564</v>
      </c>
      <c r="G244" s="3">
        <v>822</v>
      </c>
      <c r="H244" s="3">
        <v>665</v>
      </c>
      <c r="I244" s="9">
        <v>42339</v>
      </c>
      <c r="J244" s="47">
        <v>0.72664351851851849</v>
      </c>
    </row>
    <row r="245" spans="1:10" ht="30" x14ac:dyDescent="0.25">
      <c r="A245" s="3" t="s">
        <v>72</v>
      </c>
      <c r="B245" s="45" t="s">
        <v>1754</v>
      </c>
      <c r="C245" s="45" t="s">
        <v>1755</v>
      </c>
      <c r="D245" s="46" t="s">
        <v>1756</v>
      </c>
      <c r="E245" s="3">
        <v>488</v>
      </c>
      <c r="F245" s="3">
        <v>521</v>
      </c>
      <c r="G245" s="3">
        <v>2454</v>
      </c>
      <c r="H245" s="3">
        <v>152</v>
      </c>
      <c r="I245" s="9">
        <v>41494</v>
      </c>
      <c r="J245" s="47">
        <v>0.44107638888888889</v>
      </c>
    </row>
    <row r="246" spans="1:10" ht="30" x14ac:dyDescent="0.25">
      <c r="A246" s="3" t="s">
        <v>72</v>
      </c>
      <c r="B246" s="45" t="s">
        <v>1767</v>
      </c>
      <c r="C246" s="45" t="s">
        <v>122</v>
      </c>
      <c r="D246" s="46" t="s">
        <v>1768</v>
      </c>
      <c r="E246" s="3">
        <v>737</v>
      </c>
      <c r="F246" s="3">
        <v>516</v>
      </c>
      <c r="G246" s="3">
        <v>2217</v>
      </c>
      <c r="H246" s="3">
        <v>1289</v>
      </c>
      <c r="I246" s="9">
        <v>40114</v>
      </c>
      <c r="J246" s="47">
        <v>0.71625000000000005</v>
      </c>
    </row>
    <row r="247" spans="1:10" ht="30" x14ac:dyDescent="0.25">
      <c r="A247" s="3" t="s">
        <v>72</v>
      </c>
      <c r="B247" s="45" t="s">
        <v>1789</v>
      </c>
      <c r="C247" s="45" t="s">
        <v>1790</v>
      </c>
      <c r="D247" s="46" t="s">
        <v>1791</v>
      </c>
      <c r="E247" s="3">
        <v>806</v>
      </c>
      <c r="F247" s="3">
        <v>507</v>
      </c>
      <c r="G247" s="3">
        <v>6375</v>
      </c>
      <c r="H247" s="3">
        <v>184</v>
      </c>
      <c r="I247" s="9">
        <v>41414</v>
      </c>
      <c r="J247" s="47">
        <v>0.49718749999999995</v>
      </c>
    </row>
    <row r="248" spans="1:10" ht="30" x14ac:dyDescent="0.25">
      <c r="A248" s="3" t="s">
        <v>72</v>
      </c>
      <c r="B248" s="45" t="s">
        <v>1822</v>
      </c>
      <c r="C248" s="45" t="s">
        <v>418</v>
      </c>
      <c r="D248" s="46" t="s">
        <v>1823</v>
      </c>
      <c r="E248" s="3">
        <v>278</v>
      </c>
      <c r="F248" s="3">
        <v>491</v>
      </c>
      <c r="G248" s="3">
        <v>1006</v>
      </c>
      <c r="H248" s="3">
        <v>418</v>
      </c>
      <c r="I248" s="9">
        <v>41661</v>
      </c>
      <c r="J248" s="47">
        <v>0.55776620370370367</v>
      </c>
    </row>
    <row r="249" spans="1:10" ht="30" x14ac:dyDescent="0.25">
      <c r="A249" s="3" t="s">
        <v>72</v>
      </c>
      <c r="B249" s="45" t="s">
        <v>1840</v>
      </c>
      <c r="C249" s="45" t="s">
        <v>1841</v>
      </c>
      <c r="D249" s="46" t="s">
        <v>1842</v>
      </c>
      <c r="E249" s="3">
        <v>576</v>
      </c>
      <c r="F249" s="3">
        <v>485</v>
      </c>
      <c r="G249" s="3">
        <v>5206</v>
      </c>
      <c r="H249" s="3">
        <v>1116</v>
      </c>
      <c r="I249" s="9">
        <v>41344</v>
      </c>
      <c r="J249" s="47">
        <v>0.65356481481481488</v>
      </c>
    </row>
    <row r="250" spans="1:10" x14ac:dyDescent="0.25">
      <c r="A250" s="3" t="s">
        <v>72</v>
      </c>
      <c r="B250" s="45" t="s">
        <v>1843</v>
      </c>
      <c r="D250" s="46" t="s">
        <v>1844</v>
      </c>
      <c r="E250" s="3">
        <v>987</v>
      </c>
      <c r="F250" s="3">
        <v>483</v>
      </c>
      <c r="G250" s="3">
        <v>2892</v>
      </c>
      <c r="H250" s="3">
        <v>529</v>
      </c>
      <c r="I250" s="9">
        <v>40735</v>
      </c>
      <c r="J250" s="47">
        <v>0.44800925925925927</v>
      </c>
    </row>
    <row r="251" spans="1:10" x14ac:dyDescent="0.25">
      <c r="A251" s="3" t="s">
        <v>72</v>
      </c>
      <c r="B251" s="45" t="s">
        <v>1851</v>
      </c>
      <c r="C251" s="45" t="s">
        <v>110</v>
      </c>
      <c r="D251" s="46" t="s">
        <v>1852</v>
      </c>
      <c r="E251" s="3">
        <v>234</v>
      </c>
      <c r="F251" s="3">
        <v>474</v>
      </c>
      <c r="G251" s="3">
        <v>402</v>
      </c>
      <c r="H251" s="3">
        <v>3</v>
      </c>
      <c r="I251" s="9">
        <v>40833</v>
      </c>
      <c r="J251" s="47">
        <v>0.67373842592592592</v>
      </c>
    </row>
    <row r="252" spans="1:10" ht="30" x14ac:dyDescent="0.25">
      <c r="A252" s="3" t="s">
        <v>72</v>
      </c>
      <c r="B252" s="45" t="s">
        <v>1864</v>
      </c>
      <c r="C252" s="45" t="s">
        <v>1865</v>
      </c>
      <c r="D252" s="46" t="s">
        <v>1866</v>
      </c>
      <c r="E252" s="3">
        <v>424</v>
      </c>
      <c r="F252" s="3">
        <v>464</v>
      </c>
      <c r="G252" s="3">
        <v>4969</v>
      </c>
      <c r="H252" s="3">
        <v>975</v>
      </c>
      <c r="I252" s="9">
        <v>42088</v>
      </c>
      <c r="J252" s="47">
        <v>0.6818981481481482</v>
      </c>
    </row>
    <row r="253" spans="1:10" x14ac:dyDescent="0.25">
      <c r="A253" s="3" t="s">
        <v>72</v>
      </c>
      <c r="B253" s="45" t="s">
        <v>1867</v>
      </c>
      <c r="C253" s="45" t="s">
        <v>1868</v>
      </c>
      <c r="D253" s="46" t="s">
        <v>1869</v>
      </c>
      <c r="E253" s="3">
        <v>933</v>
      </c>
      <c r="F253" s="3">
        <v>463</v>
      </c>
      <c r="G253" s="3">
        <v>385</v>
      </c>
      <c r="H253" s="3">
        <v>476</v>
      </c>
      <c r="I253" s="9">
        <v>41180</v>
      </c>
      <c r="J253" s="47">
        <v>0.39971064814814811</v>
      </c>
    </row>
    <row r="254" spans="1:10" ht="30" x14ac:dyDescent="0.25">
      <c r="A254" s="3" t="s">
        <v>72</v>
      </c>
      <c r="B254" s="45" t="s">
        <v>1875</v>
      </c>
      <c r="C254" s="45" t="s">
        <v>1876</v>
      </c>
      <c r="D254" s="46" t="s">
        <v>1877</v>
      </c>
      <c r="E254" s="3">
        <v>749</v>
      </c>
      <c r="F254" s="3">
        <v>461</v>
      </c>
      <c r="G254" s="3">
        <v>576</v>
      </c>
      <c r="H254" s="3">
        <v>94</v>
      </c>
      <c r="I254" s="9">
        <v>40679</v>
      </c>
      <c r="J254" s="47">
        <v>0.63901620370370371</v>
      </c>
    </row>
    <row r="255" spans="1:10" ht="30" x14ac:dyDescent="0.25">
      <c r="A255" s="3" t="s">
        <v>72</v>
      </c>
      <c r="B255" s="45" t="s">
        <v>1891</v>
      </c>
      <c r="C255" s="45" t="s">
        <v>1892</v>
      </c>
      <c r="D255" s="46" t="s">
        <v>1893</v>
      </c>
      <c r="E255" s="3">
        <v>261</v>
      </c>
      <c r="F255" s="3">
        <v>449</v>
      </c>
      <c r="G255" s="3">
        <v>2683</v>
      </c>
      <c r="H255" s="3">
        <v>658</v>
      </c>
      <c r="I255" s="9">
        <v>40718</v>
      </c>
      <c r="J255" s="47">
        <v>0.47929398148148145</v>
      </c>
    </row>
    <row r="256" spans="1:10" ht="30" x14ac:dyDescent="0.25">
      <c r="A256" s="3" t="s">
        <v>72</v>
      </c>
      <c r="B256" s="45" t="s">
        <v>1910</v>
      </c>
      <c r="C256" s="45" t="s">
        <v>299</v>
      </c>
      <c r="D256" s="46" t="s">
        <v>1911</v>
      </c>
      <c r="E256" s="3">
        <v>380</v>
      </c>
      <c r="F256" s="3">
        <v>436</v>
      </c>
      <c r="G256" s="3">
        <v>2325</v>
      </c>
      <c r="H256" s="3">
        <v>42</v>
      </c>
      <c r="I256" s="9">
        <v>41299</v>
      </c>
      <c r="J256" s="47">
        <v>0.61325231481481479</v>
      </c>
    </row>
    <row r="257" spans="1:10" ht="30" x14ac:dyDescent="0.25">
      <c r="A257" s="3" t="s">
        <v>72</v>
      </c>
      <c r="B257" s="45" t="s">
        <v>1912</v>
      </c>
      <c r="C257" s="45" t="s">
        <v>93</v>
      </c>
      <c r="D257" s="46" t="s">
        <v>1913</v>
      </c>
      <c r="E257" s="3">
        <v>765</v>
      </c>
      <c r="F257" s="3">
        <v>436</v>
      </c>
      <c r="G257" s="3">
        <v>1234</v>
      </c>
      <c r="H257" s="3">
        <v>1596</v>
      </c>
      <c r="I257" s="9">
        <v>41899</v>
      </c>
      <c r="J257" s="47">
        <v>0.32644675925925926</v>
      </c>
    </row>
    <row r="258" spans="1:10" ht="30" x14ac:dyDescent="0.25">
      <c r="A258" s="3" t="s">
        <v>72</v>
      </c>
      <c r="B258" s="45" t="s">
        <v>1945</v>
      </c>
      <c r="C258" s="45" t="s">
        <v>1946</v>
      </c>
      <c r="D258" s="46" t="s">
        <v>1947</v>
      </c>
      <c r="E258" s="3">
        <v>909</v>
      </c>
      <c r="F258" s="3">
        <v>424</v>
      </c>
      <c r="G258" s="3">
        <v>9388</v>
      </c>
      <c r="H258" s="3">
        <v>90</v>
      </c>
      <c r="I258" s="9">
        <v>42013</v>
      </c>
      <c r="J258" s="47">
        <v>0.39283564814814814</v>
      </c>
    </row>
    <row r="259" spans="1:10" ht="30" x14ac:dyDescent="0.25">
      <c r="A259" s="3" t="s">
        <v>72</v>
      </c>
      <c r="B259" s="45" t="s">
        <v>1948</v>
      </c>
      <c r="C259" s="45" t="s">
        <v>1949</v>
      </c>
      <c r="D259" s="46" t="s">
        <v>1950</v>
      </c>
      <c r="E259" s="3">
        <v>612</v>
      </c>
      <c r="F259" s="3">
        <v>423</v>
      </c>
      <c r="G259" s="3">
        <v>2725</v>
      </c>
      <c r="H259" s="3">
        <v>162</v>
      </c>
      <c r="I259" s="9">
        <v>40563</v>
      </c>
      <c r="J259" s="47">
        <v>0.6605671296296296</v>
      </c>
    </row>
    <row r="260" spans="1:10" ht="30" x14ac:dyDescent="0.25">
      <c r="A260" s="3" t="s">
        <v>72</v>
      </c>
      <c r="B260" s="45" t="s">
        <v>1951</v>
      </c>
      <c r="C260" s="45" t="s">
        <v>1952</v>
      </c>
      <c r="D260" s="46" t="s">
        <v>1953</v>
      </c>
      <c r="E260" s="3">
        <v>395</v>
      </c>
      <c r="F260" s="3">
        <v>422</v>
      </c>
      <c r="G260" s="3">
        <v>3325</v>
      </c>
      <c r="H260" s="3">
        <v>24</v>
      </c>
      <c r="I260" s="9">
        <v>40024</v>
      </c>
      <c r="J260" s="47">
        <v>0.69074074074074077</v>
      </c>
    </row>
    <row r="261" spans="1:10" x14ac:dyDescent="0.25">
      <c r="A261" s="3" t="s">
        <v>72</v>
      </c>
      <c r="B261" s="45" t="s">
        <v>1990</v>
      </c>
      <c r="C261" s="45" t="s">
        <v>1991</v>
      </c>
      <c r="D261" s="46" t="s">
        <v>1992</v>
      </c>
      <c r="E261" s="3">
        <v>514</v>
      </c>
      <c r="F261" s="3">
        <v>411</v>
      </c>
      <c r="G261" s="3">
        <v>1201</v>
      </c>
      <c r="H261" s="3">
        <v>190</v>
      </c>
      <c r="I261" s="9">
        <v>41495</v>
      </c>
      <c r="J261" s="47">
        <v>0.38434027777777779</v>
      </c>
    </row>
    <row r="262" spans="1:10" ht="30" x14ac:dyDescent="0.25">
      <c r="A262" s="3" t="s">
        <v>72</v>
      </c>
      <c r="B262" s="45" t="s">
        <v>2009</v>
      </c>
      <c r="C262" s="45" t="s">
        <v>2010</v>
      </c>
      <c r="D262" s="46" t="s">
        <v>2011</v>
      </c>
      <c r="E262" s="3">
        <v>266</v>
      </c>
      <c r="F262" s="3">
        <v>402</v>
      </c>
      <c r="G262" s="3">
        <v>324</v>
      </c>
      <c r="H262" s="3">
        <v>30</v>
      </c>
      <c r="I262" s="9">
        <v>40022</v>
      </c>
      <c r="J262" s="47">
        <v>0.6576157407407407</v>
      </c>
    </row>
    <row r="263" spans="1:10" x14ac:dyDescent="0.25">
      <c r="A263" s="3" t="s">
        <v>72</v>
      </c>
      <c r="B263" s="45" t="s">
        <v>2024</v>
      </c>
      <c r="C263" s="45" t="s">
        <v>2025</v>
      </c>
      <c r="D263" s="46" t="s">
        <v>2026</v>
      </c>
      <c r="E263" s="3">
        <v>306</v>
      </c>
      <c r="F263" s="3">
        <v>395</v>
      </c>
      <c r="G263" s="3">
        <v>4708</v>
      </c>
      <c r="H263" s="3">
        <v>51</v>
      </c>
      <c r="I263" s="9">
        <v>40507</v>
      </c>
      <c r="J263" s="47">
        <v>0.40267361111111111</v>
      </c>
    </row>
    <row r="264" spans="1:10" ht="30" x14ac:dyDescent="0.25">
      <c r="A264" s="3" t="s">
        <v>72</v>
      </c>
      <c r="B264" s="45" t="s">
        <v>2027</v>
      </c>
      <c r="C264" s="45" t="s">
        <v>33</v>
      </c>
      <c r="D264" s="46" t="s">
        <v>2028</v>
      </c>
      <c r="E264" s="3">
        <v>387</v>
      </c>
      <c r="F264" s="3">
        <v>395</v>
      </c>
      <c r="G264" s="3">
        <v>1270</v>
      </c>
      <c r="H264" s="3">
        <v>64</v>
      </c>
      <c r="I264" s="9">
        <v>40911</v>
      </c>
      <c r="J264" s="47">
        <v>0.45445601851851852</v>
      </c>
    </row>
    <row r="265" spans="1:10" ht="30" x14ac:dyDescent="0.25">
      <c r="A265" s="3" t="s">
        <v>72</v>
      </c>
      <c r="B265" s="45" t="s">
        <v>2035</v>
      </c>
      <c r="C265" s="45" t="s">
        <v>2036</v>
      </c>
      <c r="D265" s="46" t="s">
        <v>2037</v>
      </c>
      <c r="E265" s="3">
        <v>317</v>
      </c>
      <c r="F265" s="3">
        <v>392</v>
      </c>
      <c r="G265" s="3">
        <v>1961</v>
      </c>
      <c r="H265" s="3">
        <v>403</v>
      </c>
      <c r="I265" s="9">
        <v>41850</v>
      </c>
      <c r="J265" s="47">
        <v>0.32611111111111107</v>
      </c>
    </row>
    <row r="266" spans="1:10" ht="30" x14ac:dyDescent="0.25">
      <c r="A266" s="3" t="s">
        <v>72</v>
      </c>
      <c r="B266" s="45" t="s">
        <v>2038</v>
      </c>
      <c r="D266" s="46" t="s">
        <v>2039</v>
      </c>
      <c r="E266" s="3">
        <v>265</v>
      </c>
      <c r="F266" s="3">
        <v>391</v>
      </c>
      <c r="G266" s="3">
        <v>1234</v>
      </c>
      <c r="H266" s="3">
        <v>659</v>
      </c>
      <c r="I266" s="9">
        <v>42083</v>
      </c>
      <c r="J266" s="47">
        <v>0.62335648148148148</v>
      </c>
    </row>
    <row r="267" spans="1:10" x14ac:dyDescent="0.25">
      <c r="A267" s="3" t="s">
        <v>72</v>
      </c>
      <c r="B267" s="45" t="s">
        <v>2043</v>
      </c>
      <c r="C267" s="45" t="s">
        <v>2044</v>
      </c>
      <c r="D267" s="46" t="s">
        <v>2045</v>
      </c>
      <c r="E267" s="3">
        <v>678</v>
      </c>
      <c r="F267" s="3">
        <v>386</v>
      </c>
      <c r="G267" s="3">
        <v>1102</v>
      </c>
      <c r="H267" s="3">
        <v>938</v>
      </c>
      <c r="I267" s="9">
        <v>40305</v>
      </c>
      <c r="J267" s="47">
        <v>0.40511574074074069</v>
      </c>
    </row>
    <row r="268" spans="1:10" ht="30" x14ac:dyDescent="0.25">
      <c r="A268" s="3" t="s">
        <v>72</v>
      </c>
      <c r="B268" s="45" t="s">
        <v>2058</v>
      </c>
      <c r="C268" s="45" t="s">
        <v>2059</v>
      </c>
      <c r="D268" s="46" t="s">
        <v>2060</v>
      </c>
      <c r="E268" s="3">
        <v>545</v>
      </c>
      <c r="F268" s="3">
        <v>382</v>
      </c>
      <c r="G268" s="3">
        <v>1592</v>
      </c>
      <c r="H268" s="3">
        <v>310</v>
      </c>
      <c r="I268" s="9">
        <v>41473</v>
      </c>
      <c r="J268" s="47">
        <v>0.46292824074074074</v>
      </c>
    </row>
    <row r="269" spans="1:10" ht="30" x14ac:dyDescent="0.25">
      <c r="A269" s="3" t="s">
        <v>72</v>
      </c>
      <c r="B269" s="45" t="s">
        <v>2056</v>
      </c>
      <c r="C269" s="45" t="s">
        <v>459</v>
      </c>
      <c r="D269" s="46" t="s">
        <v>2057</v>
      </c>
      <c r="E269" s="3">
        <v>358</v>
      </c>
      <c r="F269" s="3">
        <v>382</v>
      </c>
      <c r="G269" s="3">
        <v>3275</v>
      </c>
      <c r="H269" s="3">
        <v>193</v>
      </c>
      <c r="I269" s="9">
        <v>40127</v>
      </c>
      <c r="J269" s="47">
        <v>0.66763888888888889</v>
      </c>
    </row>
    <row r="270" spans="1:10" ht="30" x14ac:dyDescent="0.25">
      <c r="A270" s="3" t="s">
        <v>72</v>
      </c>
      <c r="B270" s="45" t="s">
        <v>2069</v>
      </c>
      <c r="C270" s="45" t="s">
        <v>2070</v>
      </c>
      <c r="D270" s="46" t="s">
        <v>2071</v>
      </c>
      <c r="E270" s="3">
        <v>505</v>
      </c>
      <c r="F270" s="3">
        <v>375</v>
      </c>
      <c r="G270" s="3">
        <v>6394</v>
      </c>
      <c r="H270" s="3">
        <v>25</v>
      </c>
      <c r="I270" s="9">
        <v>42241</v>
      </c>
      <c r="J270" s="47">
        <v>0.3432291666666667</v>
      </c>
    </row>
    <row r="271" spans="1:10" x14ac:dyDescent="0.25">
      <c r="A271" s="3" t="s">
        <v>72</v>
      </c>
      <c r="B271" s="45" t="s">
        <v>2089</v>
      </c>
      <c r="C271" s="45" t="s">
        <v>2090</v>
      </c>
      <c r="D271" s="46" t="s">
        <v>2091</v>
      </c>
      <c r="E271" s="3">
        <v>214</v>
      </c>
      <c r="F271" s="3">
        <v>366</v>
      </c>
      <c r="G271" s="3">
        <v>555</v>
      </c>
      <c r="H271" s="3">
        <v>235</v>
      </c>
      <c r="I271" s="9">
        <v>39905</v>
      </c>
      <c r="J271" s="47">
        <v>0.68515046296296289</v>
      </c>
    </row>
    <row r="272" spans="1:10" x14ac:dyDescent="0.25">
      <c r="A272" s="3" t="s">
        <v>72</v>
      </c>
      <c r="B272" s="45" t="s">
        <v>2098</v>
      </c>
      <c r="C272" s="45" t="s">
        <v>2099</v>
      </c>
      <c r="D272" s="46" t="s">
        <v>2100</v>
      </c>
      <c r="E272" s="3">
        <v>168</v>
      </c>
      <c r="F272" s="3">
        <v>364</v>
      </c>
      <c r="G272" s="3">
        <v>3440</v>
      </c>
      <c r="H272" s="3">
        <v>101</v>
      </c>
      <c r="I272" s="9">
        <v>40777</v>
      </c>
      <c r="J272" s="47">
        <v>0.32792824074074073</v>
      </c>
    </row>
    <row r="273" spans="1:10" ht="30" x14ac:dyDescent="0.25">
      <c r="A273" s="3" t="s">
        <v>72</v>
      </c>
      <c r="B273" s="45" t="s">
        <v>2115</v>
      </c>
      <c r="D273" s="46" t="s">
        <v>2116</v>
      </c>
      <c r="E273" s="3">
        <v>16</v>
      </c>
      <c r="F273" s="3">
        <v>358</v>
      </c>
      <c r="G273" s="3">
        <v>2053</v>
      </c>
      <c r="H273" s="3">
        <v>48</v>
      </c>
      <c r="I273" s="9">
        <v>41353</v>
      </c>
      <c r="J273" s="47">
        <v>0.4841435185185185</v>
      </c>
    </row>
    <row r="274" spans="1:10" ht="30" x14ac:dyDescent="0.25">
      <c r="A274" s="3" t="s">
        <v>72</v>
      </c>
      <c r="B274" s="45" t="s">
        <v>2133</v>
      </c>
      <c r="C274" s="45" t="s">
        <v>2134</v>
      </c>
      <c r="D274" s="46" t="s">
        <v>2135</v>
      </c>
      <c r="E274" s="3">
        <v>550</v>
      </c>
      <c r="F274" s="3">
        <v>353</v>
      </c>
      <c r="G274" s="3">
        <v>831</v>
      </c>
      <c r="H274" s="3">
        <v>286</v>
      </c>
      <c r="I274" s="9">
        <v>42496</v>
      </c>
      <c r="J274" s="47">
        <v>0.51568287037037031</v>
      </c>
    </row>
    <row r="275" spans="1:10" x14ac:dyDescent="0.25">
      <c r="A275" s="3" t="s">
        <v>72</v>
      </c>
      <c r="B275" s="45" t="s">
        <v>2147</v>
      </c>
      <c r="C275" s="45" t="s">
        <v>883</v>
      </c>
      <c r="D275" s="46" t="s">
        <v>2148</v>
      </c>
      <c r="E275" s="3">
        <v>366</v>
      </c>
      <c r="F275" s="3">
        <v>349</v>
      </c>
      <c r="G275" s="3">
        <v>6093</v>
      </c>
      <c r="H275" s="3">
        <v>3538</v>
      </c>
      <c r="I275" s="9">
        <v>42396</v>
      </c>
      <c r="J275" s="47">
        <v>0.40842592592592591</v>
      </c>
    </row>
    <row r="276" spans="1:10" ht="30" x14ac:dyDescent="0.25">
      <c r="A276" s="3" t="s">
        <v>72</v>
      </c>
      <c r="B276" s="45" t="s">
        <v>2160</v>
      </c>
      <c r="C276" s="45" t="s">
        <v>2161</v>
      </c>
      <c r="D276" s="46" t="s">
        <v>2162</v>
      </c>
      <c r="E276" s="3">
        <v>278</v>
      </c>
      <c r="F276" s="3">
        <v>345</v>
      </c>
      <c r="G276" s="3">
        <v>476</v>
      </c>
      <c r="H276" s="3">
        <v>27</v>
      </c>
      <c r="I276" s="9">
        <v>41151</v>
      </c>
      <c r="J276" s="47">
        <v>0.59207175925925926</v>
      </c>
    </row>
    <row r="277" spans="1:10" ht="30" x14ac:dyDescent="0.25">
      <c r="A277" s="3" t="s">
        <v>72</v>
      </c>
      <c r="B277" s="45" t="s">
        <v>2172</v>
      </c>
      <c r="C277" s="45" t="s">
        <v>318</v>
      </c>
      <c r="D277" s="46" t="s">
        <v>2173</v>
      </c>
      <c r="E277" s="3">
        <v>505</v>
      </c>
      <c r="F277" s="3">
        <v>341</v>
      </c>
      <c r="G277" s="3">
        <v>1016</v>
      </c>
      <c r="H277" s="3">
        <v>220</v>
      </c>
      <c r="I277" s="9">
        <v>42286</v>
      </c>
      <c r="J277" s="47">
        <v>0.55718750000000006</v>
      </c>
    </row>
    <row r="278" spans="1:10" x14ac:dyDescent="0.25">
      <c r="A278" s="3" t="s">
        <v>72</v>
      </c>
      <c r="B278" s="45" t="s">
        <v>2179</v>
      </c>
      <c r="C278" s="45" t="s">
        <v>2180</v>
      </c>
      <c r="D278" s="46" t="s">
        <v>2181</v>
      </c>
      <c r="E278" s="3">
        <v>371</v>
      </c>
      <c r="F278" s="3">
        <v>337</v>
      </c>
      <c r="G278" s="3">
        <v>1390</v>
      </c>
      <c r="H278" s="3">
        <v>640</v>
      </c>
      <c r="I278" s="9">
        <v>41284</v>
      </c>
      <c r="J278" s="47">
        <v>0.50943287037037044</v>
      </c>
    </row>
    <row r="279" spans="1:10" ht="30" x14ac:dyDescent="0.25">
      <c r="A279" s="3" t="s">
        <v>72</v>
      </c>
      <c r="B279" s="45" t="s">
        <v>2184</v>
      </c>
      <c r="C279" s="45" t="s">
        <v>2185</v>
      </c>
      <c r="D279" s="46" t="s">
        <v>2186</v>
      </c>
      <c r="E279" s="3">
        <v>208</v>
      </c>
      <c r="F279" s="3">
        <v>334</v>
      </c>
      <c r="G279" s="3">
        <v>1342</v>
      </c>
      <c r="H279" s="3">
        <v>155</v>
      </c>
      <c r="I279" s="9">
        <v>40931</v>
      </c>
      <c r="J279" s="47">
        <v>0.68936342592592592</v>
      </c>
    </row>
    <row r="280" spans="1:10" ht="30" x14ac:dyDescent="0.25">
      <c r="A280" s="3" t="s">
        <v>72</v>
      </c>
      <c r="B280" s="45" t="s">
        <v>2212</v>
      </c>
      <c r="C280" s="45" t="s">
        <v>2213</v>
      </c>
      <c r="D280" s="46" t="s">
        <v>2214</v>
      </c>
      <c r="E280" s="3">
        <v>185</v>
      </c>
      <c r="F280" s="3">
        <v>320</v>
      </c>
      <c r="G280" s="3">
        <v>1630</v>
      </c>
      <c r="H280" s="3">
        <v>961</v>
      </c>
      <c r="I280" s="9">
        <v>41598</v>
      </c>
      <c r="J280" s="47">
        <v>0.62034722222222227</v>
      </c>
    </row>
    <row r="281" spans="1:10" ht="30" x14ac:dyDescent="0.25">
      <c r="A281" s="3" t="s">
        <v>72</v>
      </c>
      <c r="B281" s="45" t="s">
        <v>2231</v>
      </c>
      <c r="C281" s="45" t="s">
        <v>2232</v>
      </c>
      <c r="D281" s="46" t="s">
        <v>2233</v>
      </c>
      <c r="E281" s="3">
        <v>198</v>
      </c>
      <c r="F281" s="3">
        <v>316</v>
      </c>
      <c r="G281" s="3">
        <v>1088</v>
      </c>
      <c r="H281" s="3">
        <v>114</v>
      </c>
      <c r="I281" s="9">
        <v>41803</v>
      </c>
      <c r="J281" s="47">
        <v>0.35498842592592594</v>
      </c>
    </row>
    <row r="282" spans="1:10" ht="30" x14ac:dyDescent="0.25">
      <c r="A282" s="3" t="s">
        <v>72</v>
      </c>
      <c r="B282" s="45" t="s">
        <v>2247</v>
      </c>
      <c r="C282" s="45" t="s">
        <v>2248</v>
      </c>
      <c r="D282" s="46" t="s">
        <v>2249</v>
      </c>
      <c r="E282" s="3">
        <v>737</v>
      </c>
      <c r="F282" s="3">
        <v>309</v>
      </c>
      <c r="G282" s="3">
        <v>1525</v>
      </c>
      <c r="H282" s="3">
        <v>727</v>
      </c>
      <c r="I282" s="9">
        <v>42256</v>
      </c>
      <c r="J282" s="47">
        <v>0.50663194444444448</v>
      </c>
    </row>
    <row r="283" spans="1:10" ht="30" x14ac:dyDescent="0.25">
      <c r="A283" s="3" t="s">
        <v>72</v>
      </c>
      <c r="B283" s="45" t="s">
        <v>2250</v>
      </c>
      <c r="C283" s="45" t="s">
        <v>310</v>
      </c>
      <c r="D283" s="46" t="s">
        <v>2251</v>
      </c>
      <c r="E283" s="3">
        <v>380</v>
      </c>
      <c r="F283" s="3">
        <v>308</v>
      </c>
      <c r="G283" s="3">
        <v>1304</v>
      </c>
      <c r="H283" s="3">
        <v>451</v>
      </c>
      <c r="I283" s="9">
        <v>41702</v>
      </c>
      <c r="J283" s="47">
        <v>0.48972222222222223</v>
      </c>
    </row>
    <row r="284" spans="1:10" ht="30" x14ac:dyDescent="0.25">
      <c r="A284" s="3" t="s">
        <v>72</v>
      </c>
      <c r="B284" s="45" t="s">
        <v>2257</v>
      </c>
      <c r="C284" s="45" t="s">
        <v>2258</v>
      </c>
      <c r="D284" s="46" t="s">
        <v>2259</v>
      </c>
      <c r="E284" s="3">
        <v>189</v>
      </c>
      <c r="F284" s="3">
        <v>306</v>
      </c>
      <c r="G284" s="3">
        <v>2477</v>
      </c>
      <c r="H284" s="3">
        <v>129</v>
      </c>
      <c r="I284" s="9">
        <v>41037</v>
      </c>
      <c r="J284" s="47">
        <v>0.41625000000000001</v>
      </c>
    </row>
    <row r="285" spans="1:10" x14ac:dyDescent="0.25">
      <c r="A285" s="3" t="s">
        <v>72</v>
      </c>
      <c r="B285" s="45" t="s">
        <v>2260</v>
      </c>
      <c r="C285" s="45" t="s">
        <v>36</v>
      </c>
      <c r="D285" s="46" t="s">
        <v>2261</v>
      </c>
      <c r="E285" s="3">
        <v>209</v>
      </c>
      <c r="F285" s="3">
        <v>305</v>
      </c>
      <c r="G285" s="3">
        <v>2764</v>
      </c>
      <c r="H285" s="3">
        <v>14</v>
      </c>
      <c r="I285" s="9">
        <v>40022</v>
      </c>
      <c r="J285" s="47">
        <v>0.42697916666666669</v>
      </c>
    </row>
    <row r="286" spans="1:10" ht="30" x14ac:dyDescent="0.25">
      <c r="A286" s="3" t="s">
        <v>72</v>
      </c>
      <c r="B286" s="45" t="s">
        <v>2264</v>
      </c>
      <c r="C286" s="45" t="s">
        <v>459</v>
      </c>
      <c r="D286" s="46" t="s">
        <v>2265</v>
      </c>
      <c r="E286" s="3">
        <v>208</v>
      </c>
      <c r="F286" s="3">
        <v>298</v>
      </c>
      <c r="G286" s="3">
        <v>27957</v>
      </c>
      <c r="H286" s="3">
        <v>28</v>
      </c>
      <c r="I286" s="9">
        <v>40875</v>
      </c>
      <c r="J286" s="47">
        <v>0.50162037037037044</v>
      </c>
    </row>
    <row r="287" spans="1:10" ht="30" x14ac:dyDescent="0.25">
      <c r="A287" s="3" t="s">
        <v>72</v>
      </c>
      <c r="B287" s="45" t="s">
        <v>2269</v>
      </c>
      <c r="C287" s="45" t="s">
        <v>2270</v>
      </c>
      <c r="D287" s="46" t="s">
        <v>2271</v>
      </c>
      <c r="E287" s="3">
        <v>454</v>
      </c>
      <c r="F287" s="3">
        <v>298</v>
      </c>
      <c r="G287" s="3">
        <v>588</v>
      </c>
      <c r="H287" s="3">
        <v>504</v>
      </c>
      <c r="I287" s="9">
        <v>42206</v>
      </c>
      <c r="J287" s="47">
        <v>0.45872685185185186</v>
      </c>
    </row>
    <row r="288" spans="1:10" ht="30" x14ac:dyDescent="0.25">
      <c r="A288" s="3" t="s">
        <v>72</v>
      </c>
      <c r="B288" s="45" t="s">
        <v>2305</v>
      </c>
      <c r="C288" s="45" t="s">
        <v>2306</v>
      </c>
      <c r="D288" s="46" t="s">
        <v>2307</v>
      </c>
      <c r="E288" s="3">
        <v>282</v>
      </c>
      <c r="F288" s="3">
        <v>288</v>
      </c>
      <c r="G288" s="3">
        <v>270</v>
      </c>
      <c r="H288" s="3">
        <v>36</v>
      </c>
      <c r="I288" s="9">
        <v>41911</v>
      </c>
      <c r="J288" s="47">
        <v>0.43964120370370369</v>
      </c>
    </row>
    <row r="289" spans="1:10" x14ac:dyDescent="0.25">
      <c r="A289" s="3" t="s">
        <v>72</v>
      </c>
      <c r="B289" s="45" t="s">
        <v>2314</v>
      </c>
      <c r="C289" s="45" t="s">
        <v>2315</v>
      </c>
      <c r="D289" s="46" t="s">
        <v>2316</v>
      </c>
      <c r="E289" s="3">
        <v>302</v>
      </c>
      <c r="F289" s="3">
        <v>287</v>
      </c>
      <c r="G289" s="3">
        <v>607</v>
      </c>
      <c r="H289" s="3">
        <v>91</v>
      </c>
      <c r="I289" s="9">
        <v>42032</v>
      </c>
      <c r="J289" s="47">
        <v>0.66759259259259263</v>
      </c>
    </row>
    <row r="290" spans="1:10" x14ac:dyDescent="0.25">
      <c r="A290" s="3" t="s">
        <v>72</v>
      </c>
      <c r="B290" s="45" t="s">
        <v>2350</v>
      </c>
      <c r="C290" s="45" t="s">
        <v>1417</v>
      </c>
      <c r="D290" s="46" t="s">
        <v>2351</v>
      </c>
      <c r="E290" s="3">
        <v>227</v>
      </c>
      <c r="F290" s="3">
        <v>276</v>
      </c>
      <c r="G290" s="3">
        <v>429</v>
      </c>
      <c r="H290" s="3">
        <v>8</v>
      </c>
      <c r="I290" s="9">
        <v>41981</v>
      </c>
      <c r="J290" s="47">
        <v>0.51215277777777779</v>
      </c>
    </row>
    <row r="291" spans="1:10" x14ac:dyDescent="0.25">
      <c r="A291" s="3" t="s">
        <v>72</v>
      </c>
      <c r="B291" s="45" t="s">
        <v>2344</v>
      </c>
      <c r="C291" s="45" t="s">
        <v>2345</v>
      </c>
      <c r="D291" s="46" t="s">
        <v>2346</v>
      </c>
      <c r="E291" s="3">
        <v>506</v>
      </c>
      <c r="F291" s="3">
        <v>276</v>
      </c>
      <c r="G291" s="3">
        <v>632</v>
      </c>
      <c r="H291" s="3">
        <v>81</v>
      </c>
      <c r="I291" s="9">
        <v>41024</v>
      </c>
      <c r="J291" s="47">
        <v>0.60789351851851847</v>
      </c>
    </row>
    <row r="292" spans="1:10" x14ac:dyDescent="0.25">
      <c r="A292" s="3" t="s">
        <v>72</v>
      </c>
      <c r="B292" s="45" t="s">
        <v>2362</v>
      </c>
      <c r="C292" s="45" t="s">
        <v>2363</v>
      </c>
      <c r="D292" s="46" t="s">
        <v>2364</v>
      </c>
      <c r="E292" s="3">
        <v>194</v>
      </c>
      <c r="F292" s="3">
        <v>272</v>
      </c>
      <c r="G292" s="3">
        <v>354</v>
      </c>
      <c r="H292" s="3">
        <v>68</v>
      </c>
      <c r="I292" s="9">
        <v>41103</v>
      </c>
      <c r="J292" s="47">
        <v>0.46454861111111106</v>
      </c>
    </row>
    <row r="293" spans="1:10" ht="30" x14ac:dyDescent="0.25">
      <c r="A293" s="3" t="s">
        <v>72</v>
      </c>
      <c r="B293" s="45" t="s">
        <v>2376</v>
      </c>
      <c r="C293" s="45" t="s">
        <v>2377</v>
      </c>
      <c r="D293" s="46" t="s">
        <v>2378</v>
      </c>
      <c r="E293" s="3">
        <v>102</v>
      </c>
      <c r="F293" s="3">
        <v>267</v>
      </c>
      <c r="G293" s="3">
        <v>369</v>
      </c>
      <c r="H293" s="3">
        <v>3</v>
      </c>
      <c r="I293" s="9">
        <v>41144</v>
      </c>
      <c r="J293" s="47">
        <v>0.56873842592592594</v>
      </c>
    </row>
    <row r="294" spans="1:10" x14ac:dyDescent="0.25">
      <c r="A294" s="3" t="s">
        <v>72</v>
      </c>
      <c r="B294" s="45" t="s">
        <v>2394</v>
      </c>
      <c r="C294" s="45" t="s">
        <v>2395</v>
      </c>
      <c r="D294" s="46" t="s">
        <v>2396</v>
      </c>
      <c r="E294" s="3">
        <v>316</v>
      </c>
      <c r="F294" s="3">
        <v>265</v>
      </c>
      <c r="G294" s="3">
        <v>1129</v>
      </c>
      <c r="H294" s="3">
        <v>301</v>
      </c>
      <c r="I294" s="9">
        <v>41674</v>
      </c>
      <c r="J294" s="47">
        <v>0.38243055555555555</v>
      </c>
    </row>
    <row r="295" spans="1:10" x14ac:dyDescent="0.25">
      <c r="A295" s="3" t="s">
        <v>72</v>
      </c>
      <c r="B295" s="45" t="s">
        <v>2392</v>
      </c>
      <c r="C295" s="45" t="s">
        <v>36</v>
      </c>
      <c r="D295" s="46" t="s">
        <v>2393</v>
      </c>
      <c r="E295" s="3">
        <v>499</v>
      </c>
      <c r="F295" s="3">
        <v>265</v>
      </c>
      <c r="G295" s="3">
        <v>1529</v>
      </c>
      <c r="H295" s="3">
        <v>67</v>
      </c>
      <c r="I295" s="9">
        <v>41667</v>
      </c>
      <c r="J295" s="47">
        <v>0.60945601851851849</v>
      </c>
    </row>
    <row r="296" spans="1:10" ht="30" x14ac:dyDescent="0.25">
      <c r="A296" s="3" t="s">
        <v>72</v>
      </c>
      <c r="B296" s="45" t="s">
        <v>943</v>
      </c>
      <c r="C296" s="45" t="s">
        <v>2401</v>
      </c>
      <c r="D296" s="46" t="s">
        <v>2402</v>
      </c>
      <c r="E296" s="3">
        <v>250</v>
      </c>
      <c r="F296" s="3">
        <v>263</v>
      </c>
      <c r="G296" s="3">
        <v>4530</v>
      </c>
      <c r="H296" s="3">
        <v>2167</v>
      </c>
      <c r="I296" s="9">
        <v>42254</v>
      </c>
      <c r="J296" s="47">
        <v>0.61350694444444442</v>
      </c>
    </row>
    <row r="297" spans="1:10" ht="30" x14ac:dyDescent="0.25">
      <c r="A297" s="3" t="s">
        <v>72</v>
      </c>
      <c r="B297" s="45" t="s">
        <v>2412</v>
      </c>
      <c r="C297" s="45" t="s">
        <v>2413</v>
      </c>
      <c r="D297" s="46" t="s">
        <v>2414</v>
      </c>
      <c r="E297" s="3">
        <v>126</v>
      </c>
      <c r="F297" s="3">
        <v>260</v>
      </c>
      <c r="G297" s="3">
        <v>327</v>
      </c>
      <c r="H297" s="3">
        <v>16</v>
      </c>
      <c r="I297" s="9">
        <v>41799</v>
      </c>
      <c r="J297" s="47">
        <v>0.51634259259259263</v>
      </c>
    </row>
    <row r="298" spans="1:10" ht="30" x14ac:dyDescent="0.25">
      <c r="A298" s="3" t="s">
        <v>72</v>
      </c>
      <c r="B298" s="45" t="s">
        <v>2445</v>
      </c>
      <c r="C298" s="45" t="s">
        <v>2446</v>
      </c>
      <c r="D298" s="46" t="s">
        <v>2447</v>
      </c>
      <c r="E298" s="3">
        <v>570</v>
      </c>
      <c r="F298" s="3">
        <v>254</v>
      </c>
      <c r="G298" s="3">
        <v>654</v>
      </c>
      <c r="H298" s="3">
        <v>78</v>
      </c>
      <c r="I298" s="9">
        <v>41078</v>
      </c>
      <c r="J298" s="47">
        <v>0.4236111111111111</v>
      </c>
    </row>
    <row r="299" spans="1:10" ht="45" x14ac:dyDescent="0.25">
      <c r="A299" s="3" t="s">
        <v>72</v>
      </c>
      <c r="B299" s="45" t="s">
        <v>2448</v>
      </c>
      <c r="C299" s="45" t="s">
        <v>2449</v>
      </c>
      <c r="D299" s="46" t="s">
        <v>2450</v>
      </c>
      <c r="E299" s="3">
        <v>255</v>
      </c>
      <c r="F299" s="3">
        <v>253</v>
      </c>
      <c r="G299" s="3">
        <v>688</v>
      </c>
      <c r="H299" s="3">
        <v>88</v>
      </c>
      <c r="I299" s="9">
        <v>40197</v>
      </c>
      <c r="J299" s="47">
        <v>0.57902777777777781</v>
      </c>
    </row>
    <row r="300" spans="1:10" ht="45" x14ac:dyDescent="0.25">
      <c r="A300" s="3" t="s">
        <v>72</v>
      </c>
      <c r="B300" s="45" t="s">
        <v>2473</v>
      </c>
      <c r="C300" s="45" t="s">
        <v>2474</v>
      </c>
      <c r="D300" s="46" t="s">
        <v>2475</v>
      </c>
      <c r="E300" s="3">
        <v>176</v>
      </c>
      <c r="F300" s="3">
        <v>248</v>
      </c>
      <c r="G300" s="3">
        <v>806</v>
      </c>
      <c r="H300" s="3">
        <v>39</v>
      </c>
      <c r="I300" s="9">
        <v>41971</v>
      </c>
      <c r="J300" s="47">
        <v>0.46891203703703704</v>
      </c>
    </row>
    <row r="301" spans="1:10" ht="30" x14ac:dyDescent="0.25">
      <c r="A301" s="3" t="s">
        <v>72</v>
      </c>
      <c r="B301" s="45" t="s">
        <v>2468</v>
      </c>
      <c r="C301" s="45" t="s">
        <v>1810</v>
      </c>
      <c r="D301" s="46" t="s">
        <v>2469</v>
      </c>
      <c r="E301" s="3">
        <v>298</v>
      </c>
      <c r="F301" s="3">
        <v>248</v>
      </c>
      <c r="G301" s="3">
        <v>462</v>
      </c>
      <c r="H301" s="3">
        <v>35</v>
      </c>
      <c r="I301" s="9">
        <v>41375</v>
      </c>
      <c r="J301" s="47">
        <v>0.52946759259259257</v>
      </c>
    </row>
    <row r="302" spans="1:10" ht="30" x14ac:dyDescent="0.25">
      <c r="A302" s="3" t="s">
        <v>72</v>
      </c>
      <c r="B302" s="45" t="s">
        <v>2484</v>
      </c>
      <c r="D302" s="46" t="s">
        <v>2485</v>
      </c>
      <c r="E302" s="3">
        <v>260</v>
      </c>
      <c r="F302" s="3">
        <v>247</v>
      </c>
      <c r="G302" s="3">
        <v>694</v>
      </c>
      <c r="H302" s="3">
        <v>109</v>
      </c>
      <c r="I302" s="9">
        <v>42142</v>
      </c>
      <c r="J302" s="47">
        <v>0.45709490740740738</v>
      </c>
    </row>
    <row r="303" spans="1:10" x14ac:dyDescent="0.25">
      <c r="A303" s="3" t="s">
        <v>72</v>
      </c>
      <c r="B303" s="45" t="s">
        <v>2486</v>
      </c>
      <c r="C303" s="45" t="s">
        <v>12</v>
      </c>
      <c r="D303" s="46" t="s">
        <v>2487</v>
      </c>
      <c r="E303" s="3">
        <v>296</v>
      </c>
      <c r="F303" s="3">
        <v>247</v>
      </c>
      <c r="G303" s="3">
        <v>1141</v>
      </c>
      <c r="H303" s="3">
        <v>179</v>
      </c>
      <c r="I303" s="9">
        <v>42229</v>
      </c>
      <c r="J303" s="47">
        <v>0.44843749999999999</v>
      </c>
    </row>
    <row r="304" spans="1:10" x14ac:dyDescent="0.25">
      <c r="A304" s="3" t="s">
        <v>72</v>
      </c>
      <c r="B304" s="45" t="s">
        <v>2491</v>
      </c>
      <c r="C304" s="45" t="s">
        <v>2492</v>
      </c>
      <c r="D304" s="46" t="s">
        <v>2493</v>
      </c>
      <c r="E304" s="3">
        <v>285</v>
      </c>
      <c r="F304" s="3">
        <v>241</v>
      </c>
      <c r="G304" s="3">
        <v>64</v>
      </c>
      <c r="H304" s="3">
        <v>0</v>
      </c>
      <c r="I304" s="9">
        <v>42241</v>
      </c>
      <c r="J304" s="47">
        <v>0.43932870370370369</v>
      </c>
    </row>
    <row r="305" spans="1:10" ht="30" x14ac:dyDescent="0.25">
      <c r="A305" s="3" t="s">
        <v>72</v>
      </c>
      <c r="B305" s="45" t="s">
        <v>2515</v>
      </c>
      <c r="C305" s="45" t="s">
        <v>36</v>
      </c>
      <c r="D305" s="46" t="s">
        <v>2516</v>
      </c>
      <c r="E305" s="3">
        <v>485</v>
      </c>
      <c r="F305" s="3">
        <v>233</v>
      </c>
      <c r="G305" s="3">
        <v>1093</v>
      </c>
      <c r="H305" s="3">
        <v>362</v>
      </c>
      <c r="I305" s="9">
        <v>41618</v>
      </c>
      <c r="J305" s="47">
        <v>0.57582175925925927</v>
      </c>
    </row>
    <row r="306" spans="1:10" ht="30" x14ac:dyDescent="0.25">
      <c r="A306" s="3" t="s">
        <v>72</v>
      </c>
      <c r="B306" s="45" t="s">
        <v>2511</v>
      </c>
      <c r="C306" s="45" t="s">
        <v>2512</v>
      </c>
      <c r="D306" s="46" t="s">
        <v>2513</v>
      </c>
      <c r="E306" s="3">
        <v>65</v>
      </c>
      <c r="F306" s="3">
        <v>233</v>
      </c>
      <c r="G306" s="3">
        <v>667</v>
      </c>
      <c r="H306" s="3">
        <v>3</v>
      </c>
      <c r="I306" s="9">
        <v>40723</v>
      </c>
      <c r="J306" s="47">
        <v>0.42460648148148145</v>
      </c>
    </row>
    <row r="307" spans="1:10" ht="30" x14ac:dyDescent="0.25">
      <c r="A307" s="3" t="s">
        <v>72</v>
      </c>
      <c r="B307" s="45" t="s">
        <v>2517</v>
      </c>
      <c r="C307" s="45" t="s">
        <v>2518</v>
      </c>
      <c r="D307" s="46" t="s">
        <v>2519</v>
      </c>
      <c r="E307" s="3">
        <v>500</v>
      </c>
      <c r="F307" s="3">
        <v>232</v>
      </c>
      <c r="G307" s="3">
        <v>423</v>
      </c>
      <c r="H307" s="3">
        <v>81</v>
      </c>
      <c r="I307" s="9">
        <v>42569</v>
      </c>
      <c r="J307" s="47">
        <v>0.59916666666666674</v>
      </c>
    </row>
    <row r="308" spans="1:10" ht="30" x14ac:dyDescent="0.25">
      <c r="A308" s="3" t="s">
        <v>72</v>
      </c>
      <c r="B308" s="45" t="s">
        <v>2544</v>
      </c>
      <c r="C308" s="45" t="s">
        <v>2545</v>
      </c>
      <c r="D308" s="46" t="s">
        <v>2546</v>
      </c>
      <c r="E308" s="3">
        <v>283</v>
      </c>
      <c r="F308" s="3">
        <v>226</v>
      </c>
      <c r="G308" s="3">
        <v>823</v>
      </c>
      <c r="H308" s="3">
        <v>18</v>
      </c>
      <c r="I308" s="9">
        <v>42086</v>
      </c>
      <c r="J308" s="47">
        <v>0.48744212962962963</v>
      </c>
    </row>
    <row r="309" spans="1:10" ht="30" x14ac:dyDescent="0.25">
      <c r="A309" s="3" t="s">
        <v>72</v>
      </c>
      <c r="B309" s="45" t="s">
        <v>2553</v>
      </c>
      <c r="C309" s="45" t="s">
        <v>2554</v>
      </c>
      <c r="D309" s="46" t="s">
        <v>2555</v>
      </c>
      <c r="E309" s="3">
        <v>291</v>
      </c>
      <c r="F309" s="3">
        <v>225</v>
      </c>
      <c r="G309" s="3">
        <v>1089</v>
      </c>
      <c r="H309" s="3">
        <v>94</v>
      </c>
      <c r="I309" s="9">
        <v>42040</v>
      </c>
      <c r="J309" s="47">
        <v>0.65736111111111117</v>
      </c>
    </row>
    <row r="310" spans="1:10" ht="30" x14ac:dyDescent="0.25">
      <c r="A310" s="3" t="s">
        <v>72</v>
      </c>
      <c r="B310" s="45" t="s">
        <v>2556</v>
      </c>
      <c r="C310" s="45" t="s">
        <v>2557</v>
      </c>
      <c r="D310" s="46" t="s">
        <v>2558</v>
      </c>
      <c r="E310" s="3">
        <v>216</v>
      </c>
      <c r="F310" s="3">
        <v>225</v>
      </c>
      <c r="G310" s="3">
        <v>226</v>
      </c>
      <c r="H310" s="3">
        <v>207</v>
      </c>
      <c r="I310" s="9">
        <v>42194</v>
      </c>
      <c r="J310" s="47">
        <v>0.62618055555555563</v>
      </c>
    </row>
    <row r="311" spans="1:10" ht="30" x14ac:dyDescent="0.25">
      <c r="A311" s="3" t="s">
        <v>72</v>
      </c>
      <c r="B311" s="45" t="s">
        <v>2547</v>
      </c>
      <c r="C311" s="45" t="s">
        <v>2548</v>
      </c>
      <c r="D311" s="46" t="s">
        <v>2549</v>
      </c>
      <c r="E311" s="3">
        <v>89</v>
      </c>
      <c r="F311" s="3">
        <v>225</v>
      </c>
      <c r="G311" s="3">
        <v>744</v>
      </c>
      <c r="H311" s="3">
        <v>70</v>
      </c>
      <c r="I311" s="9">
        <v>40002</v>
      </c>
      <c r="J311" s="47">
        <v>0.61665509259259255</v>
      </c>
    </row>
    <row r="312" spans="1:10" x14ac:dyDescent="0.25">
      <c r="A312" s="3" t="s">
        <v>72</v>
      </c>
      <c r="B312" s="45" t="s">
        <v>2563</v>
      </c>
      <c r="C312" s="45" t="s">
        <v>2564</v>
      </c>
      <c r="D312" s="46" t="s">
        <v>2565</v>
      </c>
      <c r="E312" s="3">
        <v>180</v>
      </c>
      <c r="F312" s="3">
        <v>222</v>
      </c>
      <c r="G312" s="3">
        <v>327</v>
      </c>
      <c r="H312" s="3">
        <v>1</v>
      </c>
      <c r="I312" s="9">
        <v>41169</v>
      </c>
      <c r="J312" s="47">
        <v>0.64968749999999997</v>
      </c>
    </row>
    <row r="313" spans="1:10" ht="30" x14ac:dyDescent="0.25">
      <c r="A313" s="3" t="s">
        <v>72</v>
      </c>
      <c r="B313" s="45" t="s">
        <v>2577</v>
      </c>
      <c r="D313" s="46" t="s">
        <v>2578</v>
      </c>
      <c r="E313" s="3">
        <v>55</v>
      </c>
      <c r="F313" s="3">
        <v>217</v>
      </c>
      <c r="G313" s="3">
        <v>619</v>
      </c>
      <c r="H313" s="3">
        <v>0</v>
      </c>
      <c r="I313" s="9">
        <v>40140</v>
      </c>
      <c r="J313" s="47">
        <v>0.59812500000000002</v>
      </c>
    </row>
    <row r="314" spans="1:10" ht="30" x14ac:dyDescent="0.25">
      <c r="A314" s="3" t="s">
        <v>72</v>
      </c>
      <c r="B314" s="45" t="s">
        <v>2585</v>
      </c>
      <c r="D314" s="46" t="s">
        <v>2586</v>
      </c>
      <c r="E314" s="3">
        <v>354</v>
      </c>
      <c r="F314" s="3">
        <v>216</v>
      </c>
      <c r="G314" s="3">
        <v>581</v>
      </c>
      <c r="H314" s="3">
        <v>43</v>
      </c>
      <c r="I314" s="9">
        <v>41435</v>
      </c>
      <c r="J314" s="47">
        <v>0.3982060185185185</v>
      </c>
    </row>
    <row r="315" spans="1:10" x14ac:dyDescent="0.25">
      <c r="A315" s="3" t="s">
        <v>72</v>
      </c>
      <c r="B315" s="45" t="s">
        <v>2606</v>
      </c>
      <c r="C315" s="45" t="s">
        <v>33</v>
      </c>
      <c r="E315" s="3">
        <v>192</v>
      </c>
      <c r="F315" s="3">
        <v>212</v>
      </c>
      <c r="G315" s="3">
        <v>1444</v>
      </c>
      <c r="H315" s="3">
        <v>73</v>
      </c>
      <c r="I315" s="9">
        <v>42184</v>
      </c>
      <c r="J315" s="47">
        <v>0.58591435185185181</v>
      </c>
    </row>
    <row r="316" spans="1:10" ht="30" x14ac:dyDescent="0.25">
      <c r="A316" s="3" t="s">
        <v>72</v>
      </c>
      <c r="B316" s="45" t="s">
        <v>2607</v>
      </c>
      <c r="C316" s="45" t="s">
        <v>2608</v>
      </c>
      <c r="D316" s="46" t="s">
        <v>2609</v>
      </c>
      <c r="E316" s="3">
        <v>319</v>
      </c>
      <c r="F316" s="3">
        <v>212</v>
      </c>
      <c r="G316" s="3">
        <v>1487</v>
      </c>
      <c r="H316" s="3">
        <v>1327</v>
      </c>
      <c r="I316" s="9">
        <v>42194</v>
      </c>
      <c r="J316" s="47">
        <v>0.36179398148148145</v>
      </c>
    </row>
    <row r="317" spans="1:10" x14ac:dyDescent="0.25">
      <c r="A317" s="3" t="s">
        <v>72</v>
      </c>
      <c r="B317" s="45" t="s">
        <v>2612</v>
      </c>
      <c r="C317" s="45" t="s">
        <v>2613</v>
      </c>
      <c r="D317" s="46" t="s">
        <v>2614</v>
      </c>
      <c r="E317" s="3">
        <v>200</v>
      </c>
      <c r="F317" s="3">
        <v>211</v>
      </c>
      <c r="G317" s="3">
        <v>2114</v>
      </c>
      <c r="H317" s="3">
        <v>617</v>
      </c>
      <c r="I317" s="9">
        <v>42376</v>
      </c>
      <c r="J317" s="47">
        <v>0.4755092592592593</v>
      </c>
    </row>
    <row r="318" spans="1:10" ht="30" x14ac:dyDescent="0.25">
      <c r="A318" s="3" t="s">
        <v>72</v>
      </c>
      <c r="B318" s="45" t="s">
        <v>2640</v>
      </c>
      <c r="C318" s="45" t="s">
        <v>2641</v>
      </c>
      <c r="D318" s="46" t="s">
        <v>2642</v>
      </c>
      <c r="E318" s="3">
        <v>110</v>
      </c>
      <c r="F318" s="3">
        <v>204</v>
      </c>
      <c r="G318" s="3">
        <v>1499</v>
      </c>
      <c r="H318" s="3">
        <v>56</v>
      </c>
      <c r="I318" s="9">
        <v>41813</v>
      </c>
      <c r="J318" s="47">
        <v>0.65230324074074075</v>
      </c>
    </row>
    <row r="319" spans="1:10" x14ac:dyDescent="0.25">
      <c r="A319" s="3" t="s">
        <v>72</v>
      </c>
      <c r="B319" s="45" t="s">
        <v>2675</v>
      </c>
      <c r="C319" s="45" t="s">
        <v>2676</v>
      </c>
      <c r="D319" s="46" t="s">
        <v>2677</v>
      </c>
      <c r="E319" s="3">
        <v>45</v>
      </c>
      <c r="F319" s="3">
        <v>198</v>
      </c>
      <c r="G319" s="3">
        <v>145</v>
      </c>
      <c r="H319" s="3">
        <v>12</v>
      </c>
      <c r="I319" s="9">
        <v>41302</v>
      </c>
      <c r="J319" s="47">
        <v>0.56175925925925929</v>
      </c>
    </row>
    <row r="320" spans="1:10" ht="30" x14ac:dyDescent="0.25">
      <c r="A320" s="3" t="s">
        <v>72</v>
      </c>
      <c r="B320" s="45" t="s">
        <v>2699</v>
      </c>
      <c r="C320" s="45" t="s">
        <v>296</v>
      </c>
      <c r="D320" s="46" t="s">
        <v>2700</v>
      </c>
      <c r="E320" s="3">
        <v>318</v>
      </c>
      <c r="F320" s="3">
        <v>193</v>
      </c>
      <c r="G320" s="3">
        <v>166</v>
      </c>
      <c r="H320" s="3">
        <v>21</v>
      </c>
      <c r="I320" s="9">
        <v>41299</v>
      </c>
      <c r="J320" s="47">
        <v>0.39825231481481477</v>
      </c>
    </row>
    <row r="321" spans="1:10" ht="30" x14ac:dyDescent="0.25">
      <c r="A321" s="3" t="s">
        <v>72</v>
      </c>
      <c r="B321" s="45" t="s">
        <v>2701</v>
      </c>
      <c r="C321" s="45" t="s">
        <v>129</v>
      </c>
      <c r="D321" s="46" t="s">
        <v>2702</v>
      </c>
      <c r="E321" s="3">
        <v>189</v>
      </c>
      <c r="F321" s="3">
        <v>193</v>
      </c>
      <c r="G321" s="3">
        <v>290</v>
      </c>
      <c r="H321" s="3">
        <v>9</v>
      </c>
      <c r="I321" s="9">
        <v>42117</v>
      </c>
      <c r="J321" s="47">
        <v>0.52182870370370371</v>
      </c>
    </row>
    <row r="322" spans="1:10" ht="30" x14ac:dyDescent="0.25">
      <c r="A322" s="3" t="s">
        <v>72</v>
      </c>
      <c r="B322" s="45" t="s">
        <v>2703</v>
      </c>
      <c r="C322" s="45" t="s">
        <v>2704</v>
      </c>
      <c r="D322" s="46" t="s">
        <v>2705</v>
      </c>
      <c r="E322" s="3">
        <v>146</v>
      </c>
      <c r="F322" s="3">
        <v>193</v>
      </c>
      <c r="G322" s="3">
        <v>144</v>
      </c>
      <c r="H322" s="3">
        <v>48</v>
      </c>
      <c r="I322" s="9">
        <v>42200</v>
      </c>
      <c r="J322" s="47">
        <v>0.53379629629629632</v>
      </c>
    </row>
    <row r="323" spans="1:10" x14ac:dyDescent="0.25">
      <c r="A323" s="3" t="s">
        <v>72</v>
      </c>
      <c r="B323" s="45" t="s">
        <v>2732</v>
      </c>
      <c r="D323" s="46" t="s">
        <v>2733</v>
      </c>
      <c r="E323" s="3">
        <v>213</v>
      </c>
      <c r="F323" s="3">
        <v>189</v>
      </c>
      <c r="G323" s="3">
        <v>2752</v>
      </c>
      <c r="H323" s="3">
        <v>26</v>
      </c>
      <c r="I323" s="9">
        <v>41837</v>
      </c>
      <c r="J323" s="47">
        <v>0.47744212962962962</v>
      </c>
    </row>
    <row r="324" spans="1:10" ht="30" x14ac:dyDescent="0.25">
      <c r="A324" s="3" t="s">
        <v>72</v>
      </c>
      <c r="B324" s="45" t="s">
        <v>2741</v>
      </c>
      <c r="C324" s="45" t="s">
        <v>2742</v>
      </c>
      <c r="D324" s="46" t="s">
        <v>2743</v>
      </c>
      <c r="E324" s="3">
        <v>127</v>
      </c>
      <c r="F324" s="3">
        <v>188</v>
      </c>
      <c r="G324" s="3">
        <v>251</v>
      </c>
      <c r="H324" s="3">
        <v>21</v>
      </c>
      <c r="I324" s="9">
        <v>42229</v>
      </c>
      <c r="J324" s="47">
        <v>0.43225694444444446</v>
      </c>
    </row>
    <row r="325" spans="1:10" ht="30" x14ac:dyDescent="0.25">
      <c r="A325" s="3" t="s">
        <v>72</v>
      </c>
      <c r="B325" s="45" t="s">
        <v>2755</v>
      </c>
      <c r="C325" s="45" t="s">
        <v>2756</v>
      </c>
      <c r="D325" s="46" t="s">
        <v>2757</v>
      </c>
      <c r="E325" s="3">
        <v>84</v>
      </c>
      <c r="F325" s="3">
        <v>186</v>
      </c>
      <c r="G325" s="3">
        <v>672</v>
      </c>
      <c r="H325" s="3">
        <v>6</v>
      </c>
      <c r="I325" s="9">
        <v>41808</v>
      </c>
      <c r="J325" s="47">
        <v>0.42625000000000002</v>
      </c>
    </row>
    <row r="326" spans="1:10" ht="30" x14ac:dyDescent="0.25">
      <c r="A326" s="3" t="s">
        <v>72</v>
      </c>
      <c r="B326" s="45" t="s">
        <v>2766</v>
      </c>
      <c r="D326" s="46" t="s">
        <v>2767</v>
      </c>
      <c r="E326" s="3">
        <v>102</v>
      </c>
      <c r="F326" s="3">
        <v>184</v>
      </c>
      <c r="G326" s="3">
        <v>185</v>
      </c>
      <c r="H326" s="3">
        <v>0</v>
      </c>
      <c r="I326" s="9">
        <v>41863</v>
      </c>
      <c r="J326" s="47">
        <v>0.42090277777777779</v>
      </c>
    </row>
    <row r="327" spans="1:10" ht="30" x14ac:dyDescent="0.25">
      <c r="A327" s="3" t="s">
        <v>72</v>
      </c>
      <c r="B327" s="45" t="s">
        <v>2761</v>
      </c>
      <c r="D327" s="46" t="s">
        <v>2762</v>
      </c>
      <c r="E327" s="3">
        <v>62</v>
      </c>
      <c r="F327" s="3">
        <v>184</v>
      </c>
      <c r="G327" s="3">
        <v>317</v>
      </c>
      <c r="H327" s="3">
        <v>18</v>
      </c>
      <c r="I327" s="9">
        <v>41458</v>
      </c>
      <c r="J327" s="47">
        <v>0.34224537037037034</v>
      </c>
    </row>
    <row r="328" spans="1:10" ht="30" x14ac:dyDescent="0.25">
      <c r="A328" s="3" t="s">
        <v>72</v>
      </c>
      <c r="B328" s="45" t="s">
        <v>2773</v>
      </c>
      <c r="C328" s="45" t="s">
        <v>2774</v>
      </c>
      <c r="D328" s="46" t="s">
        <v>2775</v>
      </c>
      <c r="E328" s="3">
        <v>223</v>
      </c>
      <c r="F328" s="3">
        <v>184</v>
      </c>
      <c r="G328" s="3">
        <v>235</v>
      </c>
      <c r="H328" s="3">
        <v>110</v>
      </c>
      <c r="I328" s="9">
        <v>42515</v>
      </c>
      <c r="J328" s="47">
        <v>0.3911458333333333</v>
      </c>
    </row>
    <row r="329" spans="1:10" ht="30" x14ac:dyDescent="0.25">
      <c r="A329" s="3" t="s">
        <v>72</v>
      </c>
      <c r="B329" s="45" t="s">
        <v>2791</v>
      </c>
      <c r="C329" s="45" t="s">
        <v>2792</v>
      </c>
      <c r="D329" s="46" t="s">
        <v>2793</v>
      </c>
      <c r="E329" s="3">
        <v>42</v>
      </c>
      <c r="F329" s="3">
        <v>178</v>
      </c>
      <c r="G329" s="3">
        <v>1230</v>
      </c>
      <c r="H329" s="3">
        <v>261</v>
      </c>
      <c r="I329" s="9">
        <v>42117</v>
      </c>
      <c r="J329" s="47">
        <v>0.62791666666666668</v>
      </c>
    </row>
    <row r="330" spans="1:10" x14ac:dyDescent="0.25">
      <c r="A330" s="3" t="s">
        <v>72</v>
      </c>
      <c r="B330" s="45" t="s">
        <v>2810</v>
      </c>
      <c r="C330" s="45" t="s">
        <v>2811</v>
      </c>
      <c r="D330" s="46" t="s">
        <v>2812</v>
      </c>
      <c r="E330" s="3">
        <v>145</v>
      </c>
      <c r="F330" s="3">
        <v>175</v>
      </c>
      <c r="G330" s="3">
        <v>227</v>
      </c>
      <c r="H330" s="3">
        <v>129</v>
      </c>
      <c r="I330" s="9">
        <v>41761</v>
      </c>
      <c r="J330" s="47">
        <v>0.61694444444444441</v>
      </c>
    </row>
    <row r="331" spans="1:10" x14ac:dyDescent="0.25">
      <c r="A331" s="3" t="s">
        <v>72</v>
      </c>
      <c r="B331" s="45" t="s">
        <v>2849</v>
      </c>
      <c r="C331" s="45" t="s">
        <v>2850</v>
      </c>
      <c r="D331" s="46" t="s">
        <v>2851</v>
      </c>
      <c r="E331" s="3">
        <v>271</v>
      </c>
      <c r="F331" s="3">
        <v>169</v>
      </c>
      <c r="G331" s="3">
        <v>203</v>
      </c>
      <c r="H331" s="3">
        <v>69</v>
      </c>
      <c r="I331" s="9">
        <v>42321</v>
      </c>
      <c r="J331" s="47">
        <v>0.5390625</v>
      </c>
    </row>
    <row r="332" spans="1:10" x14ac:dyDescent="0.25">
      <c r="A332" s="3" t="s">
        <v>72</v>
      </c>
      <c r="B332" s="45" t="s">
        <v>2857</v>
      </c>
      <c r="C332" s="45" t="s">
        <v>688</v>
      </c>
      <c r="D332" s="46" t="s">
        <v>2858</v>
      </c>
      <c r="E332" s="3">
        <v>137</v>
      </c>
      <c r="F332" s="3">
        <v>167</v>
      </c>
      <c r="G332" s="3">
        <v>420</v>
      </c>
      <c r="H332" s="3">
        <v>88</v>
      </c>
      <c r="I332" s="9">
        <v>42335</v>
      </c>
      <c r="J332" s="47">
        <v>0.49366898148148147</v>
      </c>
    </row>
    <row r="333" spans="1:10" ht="30" x14ac:dyDescent="0.25">
      <c r="A333" s="3" t="s">
        <v>72</v>
      </c>
      <c r="B333" s="45" t="s">
        <v>2878</v>
      </c>
      <c r="C333" s="45" t="s">
        <v>2879</v>
      </c>
      <c r="D333" s="46" t="s">
        <v>2880</v>
      </c>
      <c r="E333" s="3">
        <v>222</v>
      </c>
      <c r="F333" s="3">
        <v>163</v>
      </c>
      <c r="G333" s="3">
        <v>89</v>
      </c>
      <c r="H333" s="3">
        <v>4</v>
      </c>
      <c r="I333" s="9">
        <v>42513</v>
      </c>
      <c r="J333" s="47">
        <v>0.53857638888888892</v>
      </c>
    </row>
    <row r="334" spans="1:10" x14ac:dyDescent="0.25">
      <c r="A334" s="3" t="s">
        <v>72</v>
      </c>
      <c r="B334" s="45" t="s">
        <v>2892</v>
      </c>
      <c r="C334" s="45" t="s">
        <v>2893</v>
      </c>
      <c r="D334" s="46" t="s">
        <v>2894</v>
      </c>
      <c r="E334" s="3">
        <v>146</v>
      </c>
      <c r="F334" s="3">
        <v>160</v>
      </c>
      <c r="G334" s="3">
        <v>325</v>
      </c>
      <c r="H334" s="3">
        <v>31</v>
      </c>
      <c r="I334" s="9">
        <v>41437</v>
      </c>
      <c r="J334" s="47">
        <v>0.58556712962962965</v>
      </c>
    </row>
    <row r="335" spans="1:10" x14ac:dyDescent="0.25">
      <c r="A335" s="3" t="s">
        <v>72</v>
      </c>
      <c r="B335" s="45" t="s">
        <v>2915</v>
      </c>
      <c r="C335" s="45" t="s">
        <v>36</v>
      </c>
      <c r="D335" s="46" t="s">
        <v>2916</v>
      </c>
      <c r="E335" s="3">
        <v>333</v>
      </c>
      <c r="F335" s="3">
        <v>156</v>
      </c>
      <c r="G335" s="3">
        <v>291</v>
      </c>
      <c r="H335" s="3">
        <v>365</v>
      </c>
      <c r="I335" s="9">
        <v>42565</v>
      </c>
      <c r="J335" s="47">
        <v>0.59613425925925922</v>
      </c>
    </row>
    <row r="336" spans="1:10" x14ac:dyDescent="0.25">
      <c r="A336" s="3" t="s">
        <v>72</v>
      </c>
      <c r="B336" s="45" t="s">
        <v>2934</v>
      </c>
      <c r="C336" s="45" t="s">
        <v>2935</v>
      </c>
      <c r="D336" s="46" t="s">
        <v>2936</v>
      </c>
      <c r="E336" s="3">
        <v>272</v>
      </c>
      <c r="F336" s="3">
        <v>152</v>
      </c>
      <c r="G336" s="3">
        <v>309</v>
      </c>
      <c r="H336" s="3">
        <v>20</v>
      </c>
      <c r="I336" s="9">
        <v>41467</v>
      </c>
      <c r="J336" s="47">
        <v>0.43748842592592596</v>
      </c>
    </row>
    <row r="337" spans="1:10" ht="30" x14ac:dyDescent="0.25">
      <c r="A337" s="3" t="s">
        <v>72</v>
      </c>
      <c r="B337" s="45" t="s">
        <v>2942</v>
      </c>
      <c r="C337" s="45" t="s">
        <v>248</v>
      </c>
      <c r="D337" s="46" t="s">
        <v>2943</v>
      </c>
      <c r="E337" s="3">
        <v>406</v>
      </c>
      <c r="F337" s="3">
        <v>152</v>
      </c>
      <c r="G337" s="3">
        <v>482</v>
      </c>
      <c r="H337" s="3">
        <v>59</v>
      </c>
      <c r="I337" s="9">
        <v>42600</v>
      </c>
      <c r="J337" s="47">
        <v>0.59548611111111105</v>
      </c>
    </row>
    <row r="338" spans="1:10" x14ac:dyDescent="0.25">
      <c r="A338" s="3" t="s">
        <v>72</v>
      </c>
      <c r="B338" s="45" t="s">
        <v>2931</v>
      </c>
      <c r="C338" s="45" t="s">
        <v>2932</v>
      </c>
      <c r="D338" s="46" t="s">
        <v>2933</v>
      </c>
      <c r="E338" s="3">
        <v>90</v>
      </c>
      <c r="F338" s="3">
        <v>152</v>
      </c>
      <c r="G338" s="3">
        <v>1267</v>
      </c>
      <c r="H338" s="3">
        <v>7</v>
      </c>
      <c r="I338" s="9">
        <v>40162</v>
      </c>
      <c r="J338" s="47">
        <v>0.61804398148148143</v>
      </c>
    </row>
    <row r="339" spans="1:10" ht="30" x14ac:dyDescent="0.25">
      <c r="A339" s="3" t="s">
        <v>72</v>
      </c>
      <c r="B339" s="45" t="s">
        <v>2967</v>
      </c>
      <c r="C339" s="45" t="s">
        <v>477</v>
      </c>
      <c r="D339" s="46" t="s">
        <v>2968</v>
      </c>
      <c r="E339" s="3">
        <v>356</v>
      </c>
      <c r="F339" s="3">
        <v>148</v>
      </c>
      <c r="G339" s="3">
        <v>106</v>
      </c>
      <c r="H339" s="3">
        <v>30</v>
      </c>
      <c r="I339" s="9">
        <v>42409</v>
      </c>
      <c r="J339" s="47">
        <v>0.65512731481481479</v>
      </c>
    </row>
    <row r="340" spans="1:10" ht="30" x14ac:dyDescent="0.25">
      <c r="A340" s="3" t="s">
        <v>72</v>
      </c>
      <c r="B340" s="45" t="s">
        <v>2965</v>
      </c>
      <c r="D340" s="46" t="s">
        <v>2966</v>
      </c>
      <c r="E340" s="3">
        <v>184</v>
      </c>
      <c r="F340" s="3">
        <v>148</v>
      </c>
      <c r="G340" s="3">
        <v>84</v>
      </c>
      <c r="H340" s="3">
        <v>16</v>
      </c>
      <c r="I340" s="9">
        <v>42025</v>
      </c>
      <c r="J340" s="47">
        <v>0.52771990740740737</v>
      </c>
    </row>
    <row r="341" spans="1:10" ht="30" x14ac:dyDescent="0.25">
      <c r="A341" s="3" t="s">
        <v>72</v>
      </c>
      <c r="B341" s="45" t="s">
        <v>2980</v>
      </c>
      <c r="C341" s="45" t="s">
        <v>2981</v>
      </c>
      <c r="D341" s="46" t="s">
        <v>2982</v>
      </c>
      <c r="E341" s="3">
        <v>104</v>
      </c>
      <c r="F341" s="3">
        <v>142</v>
      </c>
      <c r="G341" s="3">
        <v>559</v>
      </c>
      <c r="H341" s="3">
        <v>285</v>
      </c>
      <c r="I341" s="9">
        <v>41410</v>
      </c>
      <c r="J341" s="47">
        <v>0.6521527777777778</v>
      </c>
    </row>
    <row r="342" spans="1:10" ht="30" x14ac:dyDescent="0.25">
      <c r="A342" s="3" t="s">
        <v>72</v>
      </c>
      <c r="B342" s="45" t="s">
        <v>2996</v>
      </c>
      <c r="C342" s="45" t="s">
        <v>2997</v>
      </c>
      <c r="D342" s="46" t="s">
        <v>2998</v>
      </c>
      <c r="E342" s="3">
        <v>71</v>
      </c>
      <c r="F342" s="3">
        <v>140</v>
      </c>
      <c r="G342" s="3">
        <v>1043</v>
      </c>
      <c r="H342" s="3">
        <v>90</v>
      </c>
      <c r="I342" s="9">
        <v>41646</v>
      </c>
      <c r="J342" s="47">
        <v>0.43024305555555559</v>
      </c>
    </row>
    <row r="343" spans="1:10" ht="30" x14ac:dyDescent="0.25">
      <c r="A343" s="3" t="s">
        <v>72</v>
      </c>
      <c r="B343" s="45" t="s">
        <v>3024</v>
      </c>
      <c r="C343" s="45" t="s">
        <v>3025</v>
      </c>
      <c r="D343" s="46" t="s">
        <v>3026</v>
      </c>
      <c r="E343" s="3">
        <v>152</v>
      </c>
      <c r="F343" s="3">
        <v>130</v>
      </c>
      <c r="G343" s="3">
        <v>354</v>
      </c>
      <c r="H343" s="3">
        <v>152</v>
      </c>
      <c r="I343" s="9">
        <v>42241</v>
      </c>
      <c r="J343" s="47">
        <v>0.42881944444444442</v>
      </c>
    </row>
    <row r="344" spans="1:10" ht="30" x14ac:dyDescent="0.25">
      <c r="A344" s="3" t="s">
        <v>72</v>
      </c>
      <c r="B344" s="45" t="s">
        <v>3039</v>
      </c>
      <c r="C344" s="45" t="s">
        <v>3040</v>
      </c>
      <c r="D344" s="46" t="s">
        <v>3041</v>
      </c>
      <c r="E344" s="3">
        <v>187</v>
      </c>
      <c r="F344" s="3">
        <v>127</v>
      </c>
      <c r="G344" s="3">
        <v>107</v>
      </c>
      <c r="H344" s="3">
        <v>53</v>
      </c>
      <c r="I344" s="9">
        <v>42541</v>
      </c>
      <c r="J344" s="47">
        <v>0.56641203703703702</v>
      </c>
    </row>
    <row r="345" spans="1:10" ht="30" x14ac:dyDescent="0.25">
      <c r="A345" s="3" t="s">
        <v>72</v>
      </c>
      <c r="B345" s="45" t="s">
        <v>3042</v>
      </c>
      <c r="C345" s="45" t="s">
        <v>907</v>
      </c>
      <c r="D345" s="46" t="s">
        <v>3043</v>
      </c>
      <c r="E345" s="3">
        <v>38</v>
      </c>
      <c r="F345" s="3">
        <v>126</v>
      </c>
      <c r="G345" s="3">
        <v>667</v>
      </c>
      <c r="H345" s="3">
        <v>21</v>
      </c>
      <c r="I345" s="9">
        <v>40513</v>
      </c>
      <c r="J345" s="47">
        <v>0.41357638888888887</v>
      </c>
    </row>
    <row r="346" spans="1:10" x14ac:dyDescent="0.25">
      <c r="A346" s="3" t="s">
        <v>72</v>
      </c>
      <c r="B346" s="45" t="s">
        <v>3052</v>
      </c>
      <c r="D346" s="46" t="s">
        <v>3053</v>
      </c>
      <c r="E346" s="3">
        <v>76</v>
      </c>
      <c r="F346" s="3">
        <v>123</v>
      </c>
      <c r="G346" s="3">
        <v>114</v>
      </c>
      <c r="H346" s="3">
        <v>33</v>
      </c>
      <c r="I346" s="9">
        <v>42279</v>
      </c>
      <c r="J346" s="47">
        <v>0.84190972222222227</v>
      </c>
    </row>
    <row r="347" spans="1:10" ht="30" x14ac:dyDescent="0.25">
      <c r="A347" s="3" t="s">
        <v>72</v>
      </c>
      <c r="B347" s="45" t="s">
        <v>3067</v>
      </c>
      <c r="C347" s="45" t="s">
        <v>70</v>
      </c>
      <c r="D347" s="46" t="s">
        <v>3068</v>
      </c>
      <c r="E347" s="3">
        <v>106</v>
      </c>
      <c r="F347" s="3">
        <v>119</v>
      </c>
      <c r="G347" s="3">
        <v>294</v>
      </c>
      <c r="H347" s="3">
        <v>66</v>
      </c>
      <c r="I347" s="9">
        <v>42594</v>
      </c>
      <c r="J347" s="47">
        <v>0.38716435185185188</v>
      </c>
    </row>
    <row r="348" spans="1:10" x14ac:dyDescent="0.25">
      <c r="A348" s="3" t="s">
        <v>72</v>
      </c>
      <c r="B348" s="45" t="s">
        <v>3076</v>
      </c>
      <c r="E348" s="3">
        <v>53</v>
      </c>
      <c r="F348" s="3">
        <v>116</v>
      </c>
      <c r="G348" s="3">
        <v>294</v>
      </c>
      <c r="H348" s="3">
        <v>19</v>
      </c>
      <c r="I348" s="9">
        <v>41968</v>
      </c>
      <c r="J348" s="47">
        <v>0.61137731481481483</v>
      </c>
    </row>
    <row r="349" spans="1:10" x14ac:dyDescent="0.25">
      <c r="A349" s="3" t="s">
        <v>72</v>
      </c>
      <c r="B349" s="45" t="s">
        <v>3081</v>
      </c>
      <c r="C349" s="45" t="s">
        <v>3082</v>
      </c>
      <c r="E349" s="3">
        <v>205</v>
      </c>
      <c r="F349" s="3">
        <v>113</v>
      </c>
      <c r="G349" s="3">
        <v>279</v>
      </c>
      <c r="H349" s="3">
        <v>25</v>
      </c>
      <c r="I349" s="9">
        <v>42187</v>
      </c>
      <c r="J349" s="47">
        <v>0.55678240740740736</v>
      </c>
    </row>
    <row r="350" spans="1:10" ht="30" x14ac:dyDescent="0.25">
      <c r="A350" s="3" t="s">
        <v>72</v>
      </c>
      <c r="B350" s="45" t="s">
        <v>3085</v>
      </c>
      <c r="C350" s="45" t="s">
        <v>3040</v>
      </c>
      <c r="D350" s="46" t="s">
        <v>3086</v>
      </c>
      <c r="E350" s="3">
        <v>96</v>
      </c>
      <c r="F350" s="3">
        <v>111</v>
      </c>
      <c r="G350" s="3">
        <v>104</v>
      </c>
      <c r="H350" s="3">
        <v>128</v>
      </c>
      <c r="I350" s="9">
        <v>42649</v>
      </c>
      <c r="J350" s="47">
        <v>0.66100694444444441</v>
      </c>
    </row>
    <row r="351" spans="1:10" x14ac:dyDescent="0.25">
      <c r="A351" s="3" t="s">
        <v>72</v>
      </c>
      <c r="B351" s="45" t="s">
        <v>3090</v>
      </c>
      <c r="C351" s="45" t="s">
        <v>3091</v>
      </c>
      <c r="D351" s="46" t="s">
        <v>3092</v>
      </c>
      <c r="E351" s="3">
        <v>173</v>
      </c>
      <c r="F351" s="3">
        <v>109</v>
      </c>
      <c r="G351" s="3">
        <v>63</v>
      </c>
      <c r="H351" s="3">
        <v>1</v>
      </c>
      <c r="I351" s="9">
        <v>40533</v>
      </c>
      <c r="J351" s="47">
        <v>0.50810185185185186</v>
      </c>
    </row>
    <row r="352" spans="1:10" x14ac:dyDescent="0.25">
      <c r="A352" s="3" t="s">
        <v>72</v>
      </c>
      <c r="B352" s="45" t="s">
        <v>3098</v>
      </c>
      <c r="C352" s="45" t="s">
        <v>926</v>
      </c>
      <c r="D352" s="46" t="s">
        <v>3099</v>
      </c>
      <c r="E352" s="3">
        <v>109</v>
      </c>
      <c r="F352" s="3">
        <v>109</v>
      </c>
      <c r="G352" s="3">
        <v>136</v>
      </c>
      <c r="H352" s="3">
        <v>54</v>
      </c>
      <c r="I352" s="9">
        <v>42409</v>
      </c>
      <c r="J352" s="47">
        <v>0.66934027777777771</v>
      </c>
    </row>
    <row r="353" spans="1:10" ht="30" x14ac:dyDescent="0.25">
      <c r="A353" s="3" t="s">
        <v>72</v>
      </c>
      <c r="B353" s="45" t="s">
        <v>3103</v>
      </c>
      <c r="C353" s="45" t="s">
        <v>3104</v>
      </c>
      <c r="D353" s="46" t="s">
        <v>3105</v>
      </c>
      <c r="E353" s="3">
        <v>53</v>
      </c>
      <c r="F353" s="3">
        <v>108</v>
      </c>
      <c r="G353" s="3">
        <v>240</v>
      </c>
      <c r="H353" s="3">
        <v>0</v>
      </c>
      <c r="I353" s="9">
        <v>41535</v>
      </c>
      <c r="J353" s="47">
        <v>0.36186342592592591</v>
      </c>
    </row>
    <row r="354" spans="1:10" x14ac:dyDescent="0.25">
      <c r="A354" s="3" t="s">
        <v>72</v>
      </c>
      <c r="B354" s="45" t="s">
        <v>3106</v>
      </c>
      <c r="C354" s="45" t="s">
        <v>3107</v>
      </c>
      <c r="D354" s="46" t="s">
        <v>3108</v>
      </c>
      <c r="E354" s="3">
        <v>52</v>
      </c>
      <c r="F354" s="3">
        <v>107</v>
      </c>
      <c r="G354" s="3">
        <v>609</v>
      </c>
      <c r="H354" s="3">
        <v>36</v>
      </c>
      <c r="I354" s="9">
        <v>42342</v>
      </c>
      <c r="J354" s="47">
        <v>0.64557870370370374</v>
      </c>
    </row>
    <row r="355" spans="1:10" ht="30" x14ac:dyDescent="0.25">
      <c r="A355" s="3" t="s">
        <v>72</v>
      </c>
      <c r="B355" s="45" t="s">
        <v>3131</v>
      </c>
      <c r="C355" s="45" t="s">
        <v>3132</v>
      </c>
      <c r="D355" s="46" t="s">
        <v>3133</v>
      </c>
      <c r="E355" s="3">
        <v>38</v>
      </c>
      <c r="F355" s="3">
        <v>98</v>
      </c>
      <c r="G355" s="3">
        <v>327</v>
      </c>
      <c r="H355" s="3">
        <v>3</v>
      </c>
      <c r="I355" s="9">
        <v>40304</v>
      </c>
      <c r="J355" s="47">
        <v>0.54123842592592586</v>
      </c>
    </row>
    <row r="356" spans="1:10" x14ac:dyDescent="0.25">
      <c r="A356" s="3" t="s">
        <v>72</v>
      </c>
      <c r="B356" s="45" t="s">
        <v>3142</v>
      </c>
      <c r="C356" s="45" t="s">
        <v>3143</v>
      </c>
      <c r="D356" s="46" t="s">
        <v>3144</v>
      </c>
      <c r="E356" s="3">
        <v>51</v>
      </c>
      <c r="F356" s="3">
        <v>96</v>
      </c>
      <c r="G356" s="3">
        <v>182</v>
      </c>
      <c r="H356" s="3">
        <v>6</v>
      </c>
      <c r="I356" s="9">
        <v>41197</v>
      </c>
      <c r="J356" s="47">
        <v>0.45023148148148145</v>
      </c>
    </row>
    <row r="357" spans="1:10" ht="30" x14ac:dyDescent="0.25">
      <c r="A357" s="3" t="s">
        <v>72</v>
      </c>
      <c r="B357" s="45" t="s">
        <v>3156</v>
      </c>
      <c r="C357" s="45" t="s">
        <v>3157</v>
      </c>
      <c r="D357" s="46" t="s">
        <v>3158</v>
      </c>
      <c r="E357" s="3">
        <v>35</v>
      </c>
      <c r="F357" s="3">
        <v>95</v>
      </c>
      <c r="G357" s="3">
        <v>32</v>
      </c>
      <c r="H357" s="3">
        <v>72</v>
      </c>
      <c r="I357" s="9">
        <v>42475</v>
      </c>
      <c r="J357" s="47">
        <v>0.4304398148148148</v>
      </c>
    </row>
    <row r="358" spans="1:10" ht="30" x14ac:dyDescent="0.25">
      <c r="A358" s="3" t="s">
        <v>72</v>
      </c>
      <c r="B358" s="45" t="s">
        <v>3027</v>
      </c>
      <c r="C358" s="45" t="s">
        <v>3169</v>
      </c>
      <c r="D358" s="46" t="s">
        <v>3170</v>
      </c>
      <c r="E358" s="3">
        <v>59</v>
      </c>
      <c r="F358" s="3">
        <v>92</v>
      </c>
      <c r="G358" s="3">
        <v>65</v>
      </c>
      <c r="H358" s="3">
        <v>9</v>
      </c>
      <c r="I358" s="9">
        <v>42269</v>
      </c>
      <c r="J358" s="47">
        <v>0.56495370370370368</v>
      </c>
    </row>
    <row r="359" spans="1:10" ht="30" x14ac:dyDescent="0.25">
      <c r="A359" s="3" t="s">
        <v>72</v>
      </c>
      <c r="B359" s="45" t="s">
        <v>3171</v>
      </c>
      <c r="C359" s="45" t="s">
        <v>487</v>
      </c>
      <c r="D359" s="46" t="s">
        <v>3172</v>
      </c>
      <c r="E359" s="3">
        <v>341</v>
      </c>
      <c r="F359" s="3">
        <v>92</v>
      </c>
      <c r="G359" s="3">
        <v>533</v>
      </c>
      <c r="H359" s="3">
        <v>26</v>
      </c>
      <c r="I359" s="9">
        <v>42634</v>
      </c>
      <c r="J359" s="47">
        <v>0.6152199074074074</v>
      </c>
    </row>
    <row r="360" spans="1:10" ht="30" x14ac:dyDescent="0.25">
      <c r="A360" s="3" t="s">
        <v>72</v>
      </c>
      <c r="B360" s="45" t="s">
        <v>3177</v>
      </c>
      <c r="D360" s="46" t="s">
        <v>3178</v>
      </c>
      <c r="E360" s="3">
        <v>85</v>
      </c>
      <c r="F360" s="3">
        <v>90</v>
      </c>
      <c r="G360" s="3">
        <v>104</v>
      </c>
      <c r="H360" s="3">
        <v>34</v>
      </c>
      <c r="I360" s="9">
        <v>42678</v>
      </c>
      <c r="J360" s="47">
        <v>0.64931712962962962</v>
      </c>
    </row>
    <row r="361" spans="1:10" x14ac:dyDescent="0.25">
      <c r="A361" s="3" t="s">
        <v>72</v>
      </c>
      <c r="B361" s="45" t="s">
        <v>3182</v>
      </c>
      <c r="D361" s="46" t="s">
        <v>3183</v>
      </c>
      <c r="E361" s="3">
        <v>123</v>
      </c>
      <c r="F361" s="3">
        <v>88</v>
      </c>
      <c r="G361" s="3">
        <v>97</v>
      </c>
      <c r="H361" s="3">
        <v>14</v>
      </c>
      <c r="I361" s="9">
        <v>41171</v>
      </c>
      <c r="J361" s="47">
        <v>0.51474537037037038</v>
      </c>
    </row>
    <row r="362" spans="1:10" ht="30" x14ac:dyDescent="0.25">
      <c r="A362" s="3" t="s">
        <v>72</v>
      </c>
      <c r="B362" s="45" t="s">
        <v>3229</v>
      </c>
      <c r="C362" s="45" t="s">
        <v>3230</v>
      </c>
      <c r="D362" s="46" t="s">
        <v>3231</v>
      </c>
      <c r="E362" s="3">
        <v>169</v>
      </c>
      <c r="F362" s="3">
        <v>77</v>
      </c>
      <c r="G362" s="3">
        <v>298</v>
      </c>
      <c r="H362" s="3">
        <v>70</v>
      </c>
      <c r="I362" s="9">
        <v>42657</v>
      </c>
      <c r="J362" s="47">
        <v>0.47675925925925927</v>
      </c>
    </row>
    <row r="363" spans="1:10" ht="30" x14ac:dyDescent="0.25">
      <c r="A363" s="3" t="s">
        <v>72</v>
      </c>
      <c r="B363" s="45" t="s">
        <v>3232</v>
      </c>
      <c r="C363" s="45" t="s">
        <v>3233</v>
      </c>
      <c r="D363" s="46" t="s">
        <v>3234</v>
      </c>
      <c r="E363" s="3">
        <v>160</v>
      </c>
      <c r="F363" s="3">
        <v>76</v>
      </c>
      <c r="G363" s="3">
        <v>498</v>
      </c>
      <c r="H363" s="3">
        <v>27</v>
      </c>
      <c r="I363" s="9">
        <v>42045</v>
      </c>
      <c r="J363" s="47">
        <v>0.51500000000000001</v>
      </c>
    </row>
    <row r="364" spans="1:10" x14ac:dyDescent="0.25">
      <c r="A364" s="3" t="s">
        <v>72</v>
      </c>
      <c r="B364" s="45" t="s">
        <v>3235</v>
      </c>
      <c r="C364" s="45" t="s">
        <v>3236</v>
      </c>
      <c r="D364" s="46" t="s">
        <v>3237</v>
      </c>
      <c r="E364" s="3">
        <v>205</v>
      </c>
      <c r="F364" s="3">
        <v>76</v>
      </c>
      <c r="G364" s="3">
        <v>182</v>
      </c>
      <c r="H364" s="3">
        <v>73</v>
      </c>
      <c r="I364" s="9">
        <v>42753</v>
      </c>
      <c r="J364" s="47">
        <v>0.62410879629629623</v>
      </c>
    </row>
    <row r="365" spans="1:10" x14ac:dyDescent="0.25">
      <c r="A365" s="3" t="s">
        <v>72</v>
      </c>
      <c r="B365" s="45" t="s">
        <v>3244</v>
      </c>
      <c r="D365" s="46" t="s">
        <v>3245</v>
      </c>
      <c r="E365" s="3">
        <v>65</v>
      </c>
      <c r="F365" s="3">
        <v>74</v>
      </c>
      <c r="G365" s="3">
        <v>94</v>
      </c>
      <c r="H365" s="3">
        <v>5</v>
      </c>
      <c r="I365" s="9">
        <v>42328</v>
      </c>
      <c r="J365" s="47">
        <v>0.45853009259259259</v>
      </c>
    </row>
    <row r="366" spans="1:10" ht="30" x14ac:dyDescent="0.25">
      <c r="A366" s="3" t="s">
        <v>72</v>
      </c>
      <c r="B366" s="45" t="s">
        <v>3261</v>
      </c>
      <c r="C366" s="45" t="s">
        <v>3262</v>
      </c>
      <c r="D366" s="46" t="s">
        <v>3263</v>
      </c>
      <c r="E366" s="3">
        <v>222</v>
      </c>
      <c r="F366" s="3">
        <v>72</v>
      </c>
      <c r="G366" s="3">
        <v>324</v>
      </c>
      <c r="H366" s="3">
        <v>32</v>
      </c>
      <c r="I366" s="9">
        <v>42668</v>
      </c>
      <c r="J366" s="47">
        <v>0.33021990740740742</v>
      </c>
    </row>
    <row r="367" spans="1:10" ht="30" x14ac:dyDescent="0.25">
      <c r="A367" s="3" t="s">
        <v>72</v>
      </c>
      <c r="B367" s="45" t="s">
        <v>3264</v>
      </c>
      <c r="C367" s="45" t="s">
        <v>3137</v>
      </c>
      <c r="D367" s="46" t="s">
        <v>3265</v>
      </c>
      <c r="E367" s="3">
        <v>29</v>
      </c>
      <c r="F367" s="3">
        <v>71</v>
      </c>
      <c r="G367" s="3">
        <v>270</v>
      </c>
      <c r="H367" s="3">
        <v>15</v>
      </c>
      <c r="I367" s="9">
        <v>40659</v>
      </c>
      <c r="J367" s="47">
        <v>0.52171296296296299</v>
      </c>
    </row>
    <row r="368" spans="1:10" ht="30" x14ac:dyDescent="0.25">
      <c r="A368" s="3" t="s">
        <v>72</v>
      </c>
      <c r="B368" s="45" t="s">
        <v>3275</v>
      </c>
      <c r="C368" s="45" t="s">
        <v>3276</v>
      </c>
      <c r="D368" s="46" t="s">
        <v>3277</v>
      </c>
      <c r="E368" s="3">
        <v>30</v>
      </c>
      <c r="F368" s="3">
        <v>70</v>
      </c>
      <c r="G368" s="3">
        <v>64</v>
      </c>
      <c r="H368" s="3">
        <v>23</v>
      </c>
      <c r="I368" s="9">
        <v>42665</v>
      </c>
      <c r="J368" s="47">
        <v>0.78679398148148139</v>
      </c>
    </row>
    <row r="369" spans="1:10" x14ac:dyDescent="0.25">
      <c r="A369" s="3" t="s">
        <v>72</v>
      </c>
      <c r="B369" s="45" t="s">
        <v>3349</v>
      </c>
      <c r="D369" s="46" t="s">
        <v>3350</v>
      </c>
      <c r="E369" s="3">
        <v>11</v>
      </c>
      <c r="F369" s="3">
        <v>53</v>
      </c>
      <c r="G369" s="3">
        <v>29</v>
      </c>
      <c r="H369" s="3">
        <v>2</v>
      </c>
      <c r="I369" s="9">
        <v>42206</v>
      </c>
      <c r="J369" s="47">
        <v>0.393587962962963</v>
      </c>
    </row>
    <row r="370" spans="1:10" x14ac:dyDescent="0.25">
      <c r="A370" s="3" t="s">
        <v>72</v>
      </c>
      <c r="B370" s="45" t="s">
        <v>3343</v>
      </c>
      <c r="C370" s="45" t="s">
        <v>3344</v>
      </c>
      <c r="D370" s="46" t="s">
        <v>3345</v>
      </c>
      <c r="E370" s="3">
        <v>23</v>
      </c>
      <c r="F370" s="3">
        <v>53</v>
      </c>
      <c r="G370" s="3">
        <v>19</v>
      </c>
      <c r="H370" s="3">
        <v>0</v>
      </c>
      <c r="I370" s="9">
        <v>41031</v>
      </c>
      <c r="J370" s="47">
        <v>0.69517361111111109</v>
      </c>
    </row>
    <row r="371" spans="1:10" ht="30" x14ac:dyDescent="0.25">
      <c r="A371" s="3" t="s">
        <v>72</v>
      </c>
      <c r="B371" s="45" t="s">
        <v>3358</v>
      </c>
      <c r="C371" s="45" t="s">
        <v>2679</v>
      </c>
      <c r="D371" s="46" t="s">
        <v>3359</v>
      </c>
      <c r="E371" s="3">
        <v>88</v>
      </c>
      <c r="F371" s="3">
        <v>52</v>
      </c>
      <c r="G371" s="3">
        <v>36</v>
      </c>
      <c r="H371" s="3">
        <v>7</v>
      </c>
      <c r="I371" s="9">
        <v>42849</v>
      </c>
      <c r="J371" s="47">
        <v>0.61368055555555556</v>
      </c>
    </row>
    <row r="372" spans="1:10" x14ac:dyDescent="0.25">
      <c r="A372" s="3" t="s">
        <v>72</v>
      </c>
      <c r="B372" s="45" t="s">
        <v>3392</v>
      </c>
      <c r="C372" s="45" t="s">
        <v>251</v>
      </c>
      <c r="D372" s="46" t="s">
        <v>3393</v>
      </c>
      <c r="E372" s="3">
        <v>5</v>
      </c>
      <c r="F372" s="3">
        <v>45</v>
      </c>
      <c r="G372" s="3">
        <v>95</v>
      </c>
      <c r="H372" s="3">
        <v>0</v>
      </c>
      <c r="I372" s="9">
        <v>39933</v>
      </c>
      <c r="J372" s="47">
        <v>0.43800925925925926</v>
      </c>
    </row>
    <row r="373" spans="1:10" ht="30" x14ac:dyDescent="0.25">
      <c r="A373" s="3" t="s">
        <v>72</v>
      </c>
      <c r="B373" s="45" t="s">
        <v>3435</v>
      </c>
      <c r="C373" s="45" t="s">
        <v>3436</v>
      </c>
      <c r="D373" s="46" t="s">
        <v>3437</v>
      </c>
      <c r="E373" s="3">
        <v>56</v>
      </c>
      <c r="F373" s="3">
        <v>33</v>
      </c>
      <c r="G373" s="3">
        <v>43</v>
      </c>
      <c r="H373" s="3">
        <v>71</v>
      </c>
      <c r="I373" s="9">
        <v>42229</v>
      </c>
      <c r="J373" s="47">
        <v>0.15439814814814815</v>
      </c>
    </row>
    <row r="374" spans="1:10" ht="30" x14ac:dyDescent="0.25">
      <c r="A374" s="3" t="s">
        <v>72</v>
      </c>
      <c r="B374" s="45" t="s">
        <v>3433</v>
      </c>
      <c r="D374" s="46" t="s">
        <v>3434</v>
      </c>
      <c r="E374" s="3">
        <v>26</v>
      </c>
      <c r="F374" s="3">
        <v>33</v>
      </c>
      <c r="G374" s="3">
        <v>288</v>
      </c>
      <c r="H374" s="3">
        <v>7</v>
      </c>
      <c r="I374" s="9">
        <v>41584</v>
      </c>
      <c r="J374" s="47">
        <v>0.58858796296296301</v>
      </c>
    </row>
    <row r="375" spans="1:10" ht="30" x14ac:dyDescent="0.25">
      <c r="A375" s="3" t="s">
        <v>72</v>
      </c>
      <c r="B375" s="45" t="s">
        <v>3456</v>
      </c>
      <c r="C375" s="45" t="s">
        <v>3457</v>
      </c>
      <c r="D375" s="46" t="s">
        <v>3458</v>
      </c>
      <c r="E375" s="3">
        <v>87</v>
      </c>
      <c r="F375" s="3">
        <v>27</v>
      </c>
      <c r="G375" s="3">
        <v>89</v>
      </c>
      <c r="H375" s="3">
        <v>0</v>
      </c>
      <c r="I375" s="9">
        <v>42089</v>
      </c>
      <c r="J375" s="47">
        <v>0.40023148148148152</v>
      </c>
    </row>
    <row r="376" spans="1:10" x14ac:dyDescent="0.25">
      <c r="A376" s="3" t="s">
        <v>72</v>
      </c>
      <c r="B376" s="45" t="s">
        <v>3493</v>
      </c>
      <c r="D376" s="46" t="s">
        <v>3494</v>
      </c>
      <c r="E376" s="3">
        <v>12</v>
      </c>
      <c r="F376" s="3">
        <v>14</v>
      </c>
      <c r="G376" s="3">
        <v>22</v>
      </c>
      <c r="H376" s="3">
        <v>0</v>
      </c>
      <c r="I376" s="9">
        <v>41004</v>
      </c>
      <c r="J376" s="47">
        <v>0.39420138888888889</v>
      </c>
    </row>
    <row r="377" spans="1:10" x14ac:dyDescent="0.25">
      <c r="A377" s="3" t="s">
        <v>72</v>
      </c>
      <c r="B377" s="45" t="s">
        <v>3499</v>
      </c>
      <c r="E377" s="3">
        <v>22</v>
      </c>
      <c r="F377" s="3">
        <v>14</v>
      </c>
      <c r="G377" s="3">
        <v>57</v>
      </c>
      <c r="H377" s="3">
        <v>1</v>
      </c>
      <c r="I377" s="9">
        <v>42437</v>
      </c>
      <c r="J377" s="47">
        <v>0.4679976851851852</v>
      </c>
    </row>
    <row r="378" spans="1:10" x14ac:dyDescent="0.25">
      <c r="A378" s="3" t="s">
        <v>72</v>
      </c>
      <c r="B378" s="45" t="s">
        <v>3505</v>
      </c>
      <c r="C378" s="45" t="s">
        <v>487</v>
      </c>
      <c r="E378" s="3">
        <v>31</v>
      </c>
      <c r="F378" s="3">
        <v>13</v>
      </c>
      <c r="G378" s="3">
        <v>0</v>
      </c>
      <c r="H378" s="3">
        <v>0</v>
      </c>
      <c r="I378" s="9">
        <v>42593</v>
      </c>
      <c r="J378" s="47">
        <v>0.59144675925925927</v>
      </c>
    </row>
    <row r="379" spans="1:10" ht="30" x14ac:dyDescent="0.25">
      <c r="A379" s="3" t="s">
        <v>72</v>
      </c>
      <c r="B379" s="45" t="s">
        <v>3506</v>
      </c>
      <c r="C379" s="45" t="s">
        <v>296</v>
      </c>
      <c r="D379" s="46" t="s">
        <v>1842</v>
      </c>
      <c r="E379" s="3">
        <v>0</v>
      </c>
      <c r="F379" s="3">
        <v>12</v>
      </c>
      <c r="G379" s="3">
        <v>1</v>
      </c>
      <c r="H379" s="3">
        <v>0</v>
      </c>
      <c r="I379" s="9">
        <v>42031</v>
      </c>
      <c r="J379" s="47">
        <v>0.46028935185185182</v>
      </c>
    </row>
    <row r="380" spans="1:10" ht="60" x14ac:dyDescent="0.25">
      <c r="A380" s="3" t="s">
        <v>22</v>
      </c>
      <c r="B380" s="45" t="s">
        <v>23</v>
      </c>
      <c r="C380" s="45" t="s">
        <v>24</v>
      </c>
      <c r="D380" s="46" t="s">
        <v>25</v>
      </c>
      <c r="E380" s="3">
        <v>10993</v>
      </c>
      <c r="F380" s="3">
        <v>33076</v>
      </c>
      <c r="G380" s="3">
        <v>62900</v>
      </c>
      <c r="H380" s="3">
        <v>503</v>
      </c>
      <c r="I380" s="9">
        <v>39868</v>
      </c>
      <c r="J380" s="47">
        <v>0.62315972222222216</v>
      </c>
    </row>
    <row r="381" spans="1:10" ht="30" x14ac:dyDescent="0.25">
      <c r="A381" s="3" t="s">
        <v>22</v>
      </c>
      <c r="B381" s="45" t="s">
        <v>29</v>
      </c>
      <c r="C381" s="45" t="s">
        <v>30</v>
      </c>
      <c r="D381" s="46" t="s">
        <v>31</v>
      </c>
      <c r="E381" s="3">
        <v>2940</v>
      </c>
      <c r="F381" s="3">
        <v>29895</v>
      </c>
      <c r="G381" s="3">
        <v>8214</v>
      </c>
      <c r="H381" s="3">
        <v>1676</v>
      </c>
      <c r="I381" s="9">
        <v>39863</v>
      </c>
      <c r="J381" s="47">
        <v>0.49251157407407403</v>
      </c>
    </row>
    <row r="382" spans="1:10" x14ac:dyDescent="0.25">
      <c r="A382" s="3" t="s">
        <v>22</v>
      </c>
      <c r="B382" s="45" t="s">
        <v>35</v>
      </c>
      <c r="C382" s="45" t="s">
        <v>36</v>
      </c>
      <c r="D382" s="46" t="s">
        <v>37</v>
      </c>
      <c r="E382" s="3">
        <v>1631</v>
      </c>
      <c r="F382" s="3">
        <v>26533</v>
      </c>
      <c r="G382" s="3">
        <v>8963</v>
      </c>
      <c r="H382" s="3">
        <v>1849</v>
      </c>
      <c r="I382" s="9">
        <v>39839</v>
      </c>
      <c r="J382" s="47">
        <v>0.68133101851851852</v>
      </c>
    </row>
    <row r="383" spans="1:10" ht="30" x14ac:dyDescent="0.25">
      <c r="A383" s="3" t="s">
        <v>22</v>
      </c>
      <c r="B383" s="45" t="s">
        <v>49</v>
      </c>
      <c r="C383" s="45" t="s">
        <v>50</v>
      </c>
      <c r="D383" s="46" t="s">
        <v>51</v>
      </c>
      <c r="E383" s="3">
        <v>3358</v>
      </c>
      <c r="F383" s="3">
        <v>16678</v>
      </c>
      <c r="G383" s="3">
        <v>6771</v>
      </c>
      <c r="H383" s="3">
        <v>1482</v>
      </c>
      <c r="I383" s="9">
        <v>40462</v>
      </c>
      <c r="J383" s="47">
        <v>0.48030092592592594</v>
      </c>
    </row>
    <row r="384" spans="1:10" ht="30" x14ac:dyDescent="0.25">
      <c r="A384" s="3" t="s">
        <v>22</v>
      </c>
      <c r="B384" s="45" t="s">
        <v>52</v>
      </c>
      <c r="C384" s="45" t="s">
        <v>53</v>
      </c>
      <c r="D384" s="46" t="s">
        <v>54</v>
      </c>
      <c r="E384" s="3">
        <v>1692</v>
      </c>
      <c r="F384" s="3">
        <v>13631</v>
      </c>
      <c r="G384" s="3">
        <v>4152</v>
      </c>
      <c r="H384" s="3">
        <v>664</v>
      </c>
      <c r="I384" s="9">
        <v>40186</v>
      </c>
      <c r="J384" s="47">
        <v>0.60707175925925927</v>
      </c>
    </row>
    <row r="385" spans="1:10" ht="30" x14ac:dyDescent="0.25">
      <c r="A385" s="3" t="s">
        <v>22</v>
      </c>
      <c r="B385" s="45" t="s">
        <v>57</v>
      </c>
      <c r="C385" s="45" t="s">
        <v>58</v>
      </c>
      <c r="D385" s="46" t="s">
        <v>59</v>
      </c>
      <c r="E385" s="3">
        <v>983</v>
      </c>
      <c r="F385" s="3">
        <v>12943</v>
      </c>
      <c r="G385" s="3">
        <v>4077</v>
      </c>
      <c r="H385" s="3">
        <v>1232</v>
      </c>
      <c r="I385" s="9">
        <v>40192</v>
      </c>
      <c r="J385" s="47">
        <v>0.44710648148148152</v>
      </c>
    </row>
    <row r="386" spans="1:10" ht="30" x14ac:dyDescent="0.25">
      <c r="A386" s="3" t="s">
        <v>22</v>
      </c>
      <c r="B386" s="45" t="s">
        <v>69</v>
      </c>
      <c r="C386" s="45" t="s">
        <v>70</v>
      </c>
      <c r="D386" s="46" t="s">
        <v>71</v>
      </c>
      <c r="E386" s="3">
        <v>968</v>
      </c>
      <c r="F386" s="3">
        <v>12330</v>
      </c>
      <c r="G386" s="3">
        <v>2418</v>
      </c>
      <c r="H386" s="3">
        <v>10</v>
      </c>
      <c r="I386" s="9">
        <v>40777</v>
      </c>
      <c r="J386" s="47">
        <v>0.46912037037037035</v>
      </c>
    </row>
    <row r="387" spans="1:10" ht="30" x14ac:dyDescent="0.25">
      <c r="A387" s="3" t="s">
        <v>22</v>
      </c>
      <c r="B387" s="45" t="s">
        <v>87</v>
      </c>
      <c r="C387" s="45" t="s">
        <v>88</v>
      </c>
      <c r="D387" s="46" t="s">
        <v>89</v>
      </c>
      <c r="E387" s="3">
        <v>5494</v>
      </c>
      <c r="F387" s="3">
        <v>10425</v>
      </c>
      <c r="G387" s="3">
        <v>5178</v>
      </c>
      <c r="H387" s="3">
        <v>3129</v>
      </c>
      <c r="I387" s="9">
        <v>39550</v>
      </c>
      <c r="J387" s="47">
        <v>0.39310185185185187</v>
      </c>
    </row>
    <row r="388" spans="1:10" ht="30" x14ac:dyDescent="0.25">
      <c r="A388" s="3" t="s">
        <v>22</v>
      </c>
      <c r="B388" s="45" t="s">
        <v>98</v>
      </c>
      <c r="C388" s="45" t="s">
        <v>99</v>
      </c>
      <c r="D388" s="46" t="s">
        <v>100</v>
      </c>
      <c r="E388" s="3">
        <v>6057</v>
      </c>
      <c r="F388" s="3">
        <v>9521</v>
      </c>
      <c r="G388" s="3">
        <v>11343</v>
      </c>
      <c r="H388" s="3">
        <v>10654</v>
      </c>
      <c r="I388" s="9">
        <v>39652</v>
      </c>
      <c r="J388" s="47">
        <v>0.42260416666666667</v>
      </c>
    </row>
    <row r="389" spans="1:10" x14ac:dyDescent="0.25">
      <c r="A389" s="3" t="s">
        <v>22</v>
      </c>
      <c r="B389" s="45" t="s">
        <v>109</v>
      </c>
      <c r="C389" s="45" t="s">
        <v>110</v>
      </c>
      <c r="D389" s="46" t="s">
        <v>111</v>
      </c>
      <c r="E389" s="3">
        <v>610</v>
      </c>
      <c r="F389" s="3">
        <v>8930</v>
      </c>
      <c r="G389" s="3">
        <v>2132</v>
      </c>
      <c r="H389" s="3">
        <v>508</v>
      </c>
      <c r="I389" s="9">
        <v>40822</v>
      </c>
      <c r="J389" s="47">
        <v>0.51005787037037031</v>
      </c>
    </row>
    <row r="390" spans="1:10" ht="30" x14ac:dyDescent="0.25">
      <c r="A390" s="3" t="s">
        <v>22</v>
      </c>
      <c r="B390" s="45" t="s">
        <v>112</v>
      </c>
      <c r="C390" s="45" t="s">
        <v>36</v>
      </c>
      <c r="D390" s="46" t="s">
        <v>113</v>
      </c>
      <c r="E390" s="3">
        <v>377</v>
      </c>
      <c r="F390" s="3">
        <v>8645</v>
      </c>
      <c r="G390" s="3">
        <v>46385</v>
      </c>
      <c r="H390" s="3">
        <v>224</v>
      </c>
      <c r="I390" s="9">
        <v>39303</v>
      </c>
      <c r="J390" s="47">
        <v>0.45098379629629631</v>
      </c>
    </row>
    <row r="391" spans="1:10" ht="30" x14ac:dyDescent="0.25">
      <c r="A391" s="3" t="s">
        <v>22</v>
      </c>
      <c r="B391" s="45" t="s">
        <v>125</v>
      </c>
      <c r="C391" s="45" t="s">
        <v>126</v>
      </c>
      <c r="D391" s="46" t="s">
        <v>127</v>
      </c>
      <c r="E391" s="3">
        <v>2561</v>
      </c>
      <c r="F391" s="3">
        <v>7296</v>
      </c>
      <c r="G391" s="3">
        <v>2593</v>
      </c>
      <c r="H391" s="3">
        <v>1717</v>
      </c>
      <c r="I391" s="9">
        <v>41335</v>
      </c>
      <c r="J391" s="47">
        <v>0.61391203703703701</v>
      </c>
    </row>
    <row r="392" spans="1:10" ht="30" x14ac:dyDescent="0.25">
      <c r="A392" s="3" t="s">
        <v>22</v>
      </c>
      <c r="B392" s="45" t="s">
        <v>131</v>
      </c>
      <c r="C392" s="45" t="s">
        <v>132</v>
      </c>
      <c r="D392" s="46" t="s">
        <v>133</v>
      </c>
      <c r="E392" s="3">
        <v>2695</v>
      </c>
      <c r="F392" s="3">
        <v>7127</v>
      </c>
      <c r="G392" s="3">
        <v>7592</v>
      </c>
      <c r="H392" s="3">
        <v>2346</v>
      </c>
      <c r="I392" s="9">
        <v>40144</v>
      </c>
      <c r="J392" s="47">
        <v>0.68795138888888896</v>
      </c>
    </row>
    <row r="393" spans="1:10" ht="30" x14ac:dyDescent="0.25">
      <c r="A393" s="3" t="s">
        <v>22</v>
      </c>
      <c r="B393" s="45" t="s">
        <v>143</v>
      </c>
      <c r="C393" s="45" t="s">
        <v>144</v>
      </c>
      <c r="D393" s="46" t="s">
        <v>145</v>
      </c>
      <c r="E393" s="3">
        <v>989</v>
      </c>
      <c r="F393" s="3">
        <v>6717</v>
      </c>
      <c r="G393" s="3">
        <v>4589</v>
      </c>
      <c r="H393" s="3">
        <v>728</v>
      </c>
      <c r="I393" s="9">
        <v>41149</v>
      </c>
      <c r="J393" s="47">
        <v>0.49313657407407407</v>
      </c>
    </row>
    <row r="394" spans="1:10" ht="30" x14ac:dyDescent="0.25">
      <c r="A394" s="3" t="s">
        <v>22</v>
      </c>
      <c r="B394" s="45" t="s">
        <v>149</v>
      </c>
      <c r="C394" s="45" t="s">
        <v>110</v>
      </c>
      <c r="D394" s="46" t="s">
        <v>150</v>
      </c>
      <c r="E394" s="3">
        <v>344</v>
      </c>
      <c r="F394" s="3">
        <v>6508</v>
      </c>
      <c r="G394" s="3">
        <v>8903</v>
      </c>
      <c r="H394" s="3">
        <v>118</v>
      </c>
      <c r="I394" s="9">
        <v>40185</v>
      </c>
      <c r="J394" s="47">
        <v>0.6053587962962963</v>
      </c>
    </row>
    <row r="395" spans="1:10" ht="30" x14ac:dyDescent="0.25">
      <c r="A395" s="3" t="s">
        <v>22</v>
      </c>
      <c r="B395" s="45" t="s">
        <v>151</v>
      </c>
      <c r="C395" s="45" t="s">
        <v>152</v>
      </c>
      <c r="D395" s="46" t="s">
        <v>153</v>
      </c>
      <c r="E395" s="3">
        <v>1766</v>
      </c>
      <c r="F395" s="3">
        <v>6484</v>
      </c>
      <c r="G395" s="3">
        <v>5219</v>
      </c>
      <c r="H395" s="3">
        <v>2759</v>
      </c>
      <c r="I395" s="9">
        <v>39981</v>
      </c>
      <c r="J395" s="47">
        <v>0.42494212962962963</v>
      </c>
    </row>
    <row r="396" spans="1:10" ht="30" x14ac:dyDescent="0.25">
      <c r="A396" s="3" t="s">
        <v>22</v>
      </c>
      <c r="B396" s="45" t="s">
        <v>154</v>
      </c>
      <c r="C396" s="45" t="s">
        <v>155</v>
      </c>
      <c r="D396" s="46" t="s">
        <v>156</v>
      </c>
      <c r="E396" s="3">
        <v>3540</v>
      </c>
      <c r="F396" s="3">
        <v>6436</v>
      </c>
      <c r="G396" s="3">
        <v>11775</v>
      </c>
      <c r="H396" s="3">
        <v>6142</v>
      </c>
      <c r="I396" s="9">
        <v>40408</v>
      </c>
      <c r="J396" s="47">
        <v>0.63671296296296298</v>
      </c>
    </row>
    <row r="397" spans="1:10" ht="30" x14ac:dyDescent="0.25">
      <c r="A397" s="3" t="s">
        <v>22</v>
      </c>
      <c r="B397" s="45" t="s">
        <v>160</v>
      </c>
      <c r="C397" s="45" t="s">
        <v>36</v>
      </c>
      <c r="D397" s="46" t="s">
        <v>161</v>
      </c>
      <c r="E397" s="3">
        <v>1360</v>
      </c>
      <c r="F397" s="3">
        <v>6324</v>
      </c>
      <c r="G397" s="3">
        <v>9119</v>
      </c>
      <c r="H397" s="3">
        <v>4635</v>
      </c>
      <c r="I397" s="9">
        <v>40065</v>
      </c>
      <c r="J397" s="47">
        <v>0.35085648148148146</v>
      </c>
    </row>
    <row r="398" spans="1:10" ht="30" x14ac:dyDescent="0.25">
      <c r="A398" s="3" t="s">
        <v>22</v>
      </c>
      <c r="B398" s="45" t="s">
        <v>162</v>
      </c>
      <c r="C398" s="45" t="s">
        <v>163</v>
      </c>
      <c r="D398" s="46" t="s">
        <v>164</v>
      </c>
      <c r="E398" s="3">
        <v>1374</v>
      </c>
      <c r="F398" s="3">
        <v>6180</v>
      </c>
      <c r="G398" s="3">
        <v>5347</v>
      </c>
      <c r="H398" s="3">
        <v>477</v>
      </c>
      <c r="I398" s="9">
        <v>40941</v>
      </c>
      <c r="J398" s="47">
        <v>0.65438657407407408</v>
      </c>
    </row>
    <row r="399" spans="1:10" ht="30" x14ac:dyDescent="0.25">
      <c r="A399" s="3" t="s">
        <v>22</v>
      </c>
      <c r="B399" s="45" t="s">
        <v>168</v>
      </c>
      <c r="C399" s="45" t="s">
        <v>169</v>
      </c>
      <c r="D399" s="46" t="s">
        <v>170</v>
      </c>
      <c r="E399" s="3">
        <v>458</v>
      </c>
      <c r="F399" s="3">
        <v>6001</v>
      </c>
      <c r="G399" s="3">
        <v>2569</v>
      </c>
      <c r="H399" s="3">
        <v>1410</v>
      </c>
      <c r="I399" s="9">
        <v>40151</v>
      </c>
      <c r="J399" s="47">
        <v>0.64034722222222229</v>
      </c>
    </row>
    <row r="400" spans="1:10" ht="30" x14ac:dyDescent="0.25">
      <c r="A400" s="3" t="s">
        <v>22</v>
      </c>
      <c r="B400" s="45" t="s">
        <v>171</v>
      </c>
      <c r="C400" s="45" t="s">
        <v>172</v>
      </c>
      <c r="D400" s="46" t="s">
        <v>173</v>
      </c>
      <c r="E400" s="3">
        <v>805</v>
      </c>
      <c r="F400" s="3">
        <v>5986</v>
      </c>
      <c r="G400" s="3">
        <v>2978</v>
      </c>
      <c r="H400" s="3">
        <v>976</v>
      </c>
      <c r="I400" s="9">
        <v>40287</v>
      </c>
      <c r="J400" s="47">
        <v>0.36528935185185185</v>
      </c>
    </row>
    <row r="401" spans="1:10" x14ac:dyDescent="0.25">
      <c r="A401" s="3" t="s">
        <v>22</v>
      </c>
      <c r="B401" s="45" t="s">
        <v>200</v>
      </c>
      <c r="C401" s="45" t="s">
        <v>33</v>
      </c>
      <c r="D401" s="46" t="s">
        <v>201</v>
      </c>
      <c r="E401" s="3">
        <v>676</v>
      </c>
      <c r="F401" s="3">
        <v>5036</v>
      </c>
      <c r="G401" s="3">
        <v>3811</v>
      </c>
      <c r="H401" s="3">
        <v>1251</v>
      </c>
      <c r="I401" s="9">
        <v>41124</v>
      </c>
      <c r="J401" s="47">
        <v>0.44702546296296292</v>
      </c>
    </row>
    <row r="402" spans="1:10" ht="30" x14ac:dyDescent="0.25">
      <c r="A402" s="3" t="s">
        <v>22</v>
      </c>
      <c r="B402" s="45" t="s">
        <v>224</v>
      </c>
      <c r="C402" s="45" t="s">
        <v>225</v>
      </c>
      <c r="D402" s="46" t="s">
        <v>226</v>
      </c>
      <c r="E402" s="3">
        <v>501</v>
      </c>
      <c r="F402" s="3">
        <v>4461</v>
      </c>
      <c r="G402" s="3">
        <v>3863</v>
      </c>
      <c r="H402" s="3">
        <v>521</v>
      </c>
      <c r="I402" s="9">
        <v>40220</v>
      </c>
      <c r="J402" s="47">
        <v>0.45715277777777774</v>
      </c>
    </row>
    <row r="403" spans="1:10" ht="30" x14ac:dyDescent="0.25">
      <c r="A403" s="3" t="s">
        <v>22</v>
      </c>
      <c r="B403" s="45" t="s">
        <v>227</v>
      </c>
      <c r="C403" s="45" t="s">
        <v>135</v>
      </c>
      <c r="D403" s="46" t="s">
        <v>228</v>
      </c>
      <c r="E403" s="3">
        <v>405</v>
      </c>
      <c r="F403" s="3">
        <v>4433</v>
      </c>
      <c r="G403" s="3">
        <v>1955</v>
      </c>
      <c r="H403" s="3">
        <v>23</v>
      </c>
      <c r="I403" s="9">
        <v>39888</v>
      </c>
      <c r="J403" s="47">
        <v>0.62862268518518516</v>
      </c>
    </row>
    <row r="404" spans="1:10" ht="30" x14ac:dyDescent="0.25">
      <c r="A404" s="3" t="s">
        <v>22</v>
      </c>
      <c r="B404" s="45" t="s">
        <v>259</v>
      </c>
      <c r="C404" s="45" t="s">
        <v>260</v>
      </c>
      <c r="D404" s="46" t="s">
        <v>261</v>
      </c>
      <c r="E404" s="3">
        <v>1453</v>
      </c>
      <c r="F404" s="3">
        <v>4017</v>
      </c>
      <c r="G404" s="3">
        <v>4833</v>
      </c>
      <c r="H404" s="3">
        <v>5681</v>
      </c>
      <c r="I404" s="9">
        <v>40884</v>
      </c>
      <c r="J404" s="47">
        <v>0.62717592592592586</v>
      </c>
    </row>
    <row r="405" spans="1:10" ht="30" x14ac:dyDescent="0.25">
      <c r="A405" s="3" t="s">
        <v>22</v>
      </c>
      <c r="B405" s="45" t="s">
        <v>281</v>
      </c>
      <c r="C405" s="45" t="s">
        <v>53</v>
      </c>
      <c r="D405" s="46" t="s">
        <v>282</v>
      </c>
      <c r="E405" s="3">
        <v>1629</v>
      </c>
      <c r="F405" s="3">
        <v>3824</v>
      </c>
      <c r="G405" s="3">
        <v>2205</v>
      </c>
      <c r="H405" s="3">
        <v>161</v>
      </c>
      <c r="I405" s="9">
        <v>40451</v>
      </c>
      <c r="J405" s="47">
        <v>0.66005787037037034</v>
      </c>
    </row>
    <row r="406" spans="1:10" ht="30" x14ac:dyDescent="0.25">
      <c r="A406" s="3" t="s">
        <v>22</v>
      </c>
      <c r="B406" s="45" t="s">
        <v>295</v>
      </c>
      <c r="C406" s="45" t="s">
        <v>296</v>
      </c>
      <c r="D406" s="46" t="s">
        <v>297</v>
      </c>
      <c r="E406" s="3">
        <v>751</v>
      </c>
      <c r="F406" s="3">
        <v>3597</v>
      </c>
      <c r="G406" s="3">
        <v>6578</v>
      </c>
      <c r="H406" s="3">
        <v>304</v>
      </c>
      <c r="I406" s="9">
        <v>40221</v>
      </c>
      <c r="J406" s="47">
        <v>0.61267361111111118</v>
      </c>
    </row>
    <row r="407" spans="1:10" ht="30" x14ac:dyDescent="0.25">
      <c r="A407" s="3" t="s">
        <v>22</v>
      </c>
      <c r="B407" s="45" t="s">
        <v>469</v>
      </c>
      <c r="C407" s="45" t="s">
        <v>470</v>
      </c>
      <c r="D407" s="46" t="s">
        <v>471</v>
      </c>
      <c r="E407" s="3">
        <v>2855</v>
      </c>
      <c r="F407" s="3">
        <v>2620</v>
      </c>
      <c r="G407" s="3">
        <v>6792</v>
      </c>
      <c r="H407" s="3">
        <v>1625</v>
      </c>
      <c r="I407" s="9">
        <v>40450</v>
      </c>
      <c r="J407" s="47">
        <v>0.64552083333333332</v>
      </c>
    </row>
    <row r="408" spans="1:10" x14ac:dyDescent="0.25">
      <c r="A408" s="3" t="s">
        <v>22</v>
      </c>
      <c r="B408" s="45" t="s">
        <v>528</v>
      </c>
      <c r="C408" s="45" t="s">
        <v>529</v>
      </c>
      <c r="D408" s="46" t="s">
        <v>530</v>
      </c>
      <c r="E408" s="3">
        <v>2390</v>
      </c>
      <c r="F408" s="3">
        <v>2389</v>
      </c>
      <c r="G408" s="3">
        <v>5516</v>
      </c>
      <c r="H408" s="3">
        <v>5246</v>
      </c>
      <c r="I408" s="9">
        <v>40939</v>
      </c>
      <c r="J408" s="47">
        <v>0.60939814814814819</v>
      </c>
    </row>
    <row r="409" spans="1:10" ht="30" x14ac:dyDescent="0.25">
      <c r="A409" s="3" t="s">
        <v>22</v>
      </c>
      <c r="B409" s="45" t="s">
        <v>609</v>
      </c>
      <c r="C409" s="45" t="s">
        <v>610</v>
      </c>
      <c r="D409" s="46" t="s">
        <v>611</v>
      </c>
      <c r="E409" s="3">
        <v>262</v>
      </c>
      <c r="F409" s="3">
        <v>2180</v>
      </c>
      <c r="G409" s="3">
        <v>1464</v>
      </c>
      <c r="H409" s="3">
        <v>121</v>
      </c>
      <c r="I409" s="9">
        <v>41464</v>
      </c>
      <c r="J409" s="47">
        <v>0.41390046296296296</v>
      </c>
    </row>
    <row r="410" spans="1:10" ht="30" x14ac:dyDescent="0.25">
      <c r="A410" s="3" t="s">
        <v>22</v>
      </c>
      <c r="B410" s="45" t="s">
        <v>670</v>
      </c>
      <c r="D410" s="46" t="s">
        <v>671</v>
      </c>
      <c r="E410" s="3">
        <v>2902</v>
      </c>
      <c r="F410" s="3">
        <v>1981</v>
      </c>
      <c r="G410" s="3">
        <v>651</v>
      </c>
      <c r="H410" s="3">
        <v>631</v>
      </c>
      <c r="I410" s="9">
        <v>41477</v>
      </c>
      <c r="J410" s="47">
        <v>0.36990740740740741</v>
      </c>
    </row>
    <row r="411" spans="1:10" ht="30" x14ac:dyDescent="0.25">
      <c r="A411" s="3" t="s">
        <v>22</v>
      </c>
      <c r="B411" s="45" t="s">
        <v>719</v>
      </c>
      <c r="C411" s="45" t="s">
        <v>720</v>
      </c>
      <c r="D411" s="46" t="s">
        <v>721</v>
      </c>
      <c r="E411" s="3">
        <v>2206</v>
      </c>
      <c r="F411" s="3">
        <v>1824</v>
      </c>
      <c r="G411" s="3">
        <v>2465</v>
      </c>
      <c r="H411" s="3">
        <v>125</v>
      </c>
      <c r="I411" s="9">
        <v>40933</v>
      </c>
      <c r="J411" s="47">
        <v>0.67180555555555566</v>
      </c>
    </row>
    <row r="412" spans="1:10" ht="30" x14ac:dyDescent="0.25">
      <c r="A412" s="3" t="s">
        <v>22</v>
      </c>
      <c r="B412" s="45" t="s">
        <v>743</v>
      </c>
      <c r="C412" s="45" t="s">
        <v>180</v>
      </c>
      <c r="D412" s="46" t="s">
        <v>744</v>
      </c>
      <c r="E412" s="3">
        <v>735</v>
      </c>
      <c r="F412" s="3">
        <v>1728</v>
      </c>
      <c r="G412" s="3">
        <v>6283</v>
      </c>
      <c r="H412" s="3">
        <v>5247</v>
      </c>
      <c r="I412" s="9">
        <v>40644</v>
      </c>
      <c r="J412" s="47">
        <v>0.43188657407407405</v>
      </c>
    </row>
    <row r="413" spans="1:10" ht="30" x14ac:dyDescent="0.25">
      <c r="A413" s="3" t="s">
        <v>22</v>
      </c>
      <c r="B413" s="45" t="s">
        <v>836</v>
      </c>
      <c r="C413" s="45" t="s">
        <v>837</v>
      </c>
      <c r="D413" s="46" t="s">
        <v>838</v>
      </c>
      <c r="E413" s="3">
        <v>697</v>
      </c>
      <c r="F413" s="3">
        <v>1534</v>
      </c>
      <c r="G413" s="3">
        <v>920</v>
      </c>
      <c r="H413" s="3">
        <v>32</v>
      </c>
      <c r="I413" s="9">
        <v>41172</v>
      </c>
      <c r="J413" s="47">
        <v>0.72229166666666667</v>
      </c>
    </row>
    <row r="414" spans="1:10" x14ac:dyDescent="0.25">
      <c r="A414" s="3" t="s">
        <v>22</v>
      </c>
      <c r="B414" s="45" t="s">
        <v>914</v>
      </c>
      <c r="C414" s="45" t="s">
        <v>915</v>
      </c>
      <c r="D414" s="46" t="s">
        <v>916</v>
      </c>
      <c r="E414" s="3">
        <v>364</v>
      </c>
      <c r="F414" s="3">
        <v>1400</v>
      </c>
      <c r="G414" s="3">
        <v>1388</v>
      </c>
      <c r="H414" s="3">
        <v>878</v>
      </c>
      <c r="I414" s="9">
        <v>42388</v>
      </c>
      <c r="J414" s="47">
        <v>0.6436574074074074</v>
      </c>
    </row>
    <row r="415" spans="1:10" ht="30" x14ac:dyDescent="0.25">
      <c r="A415" s="3" t="s">
        <v>22</v>
      </c>
      <c r="B415" s="45" t="s">
        <v>931</v>
      </c>
      <c r="C415" s="45" t="s">
        <v>70</v>
      </c>
      <c r="D415" s="46" t="s">
        <v>932</v>
      </c>
      <c r="E415" s="3">
        <v>711</v>
      </c>
      <c r="F415" s="3">
        <v>1360</v>
      </c>
      <c r="G415" s="3">
        <v>1853</v>
      </c>
      <c r="H415" s="3">
        <v>11</v>
      </c>
      <c r="I415" s="9">
        <v>41549</v>
      </c>
      <c r="J415" s="47">
        <v>0.53697916666666667</v>
      </c>
    </row>
    <row r="416" spans="1:10" x14ac:dyDescent="0.25">
      <c r="A416" s="3" t="s">
        <v>22</v>
      </c>
      <c r="B416" s="45" t="s">
        <v>961</v>
      </c>
      <c r="C416" s="45" t="s">
        <v>962</v>
      </c>
      <c r="D416" s="46" t="s">
        <v>963</v>
      </c>
      <c r="E416" s="3">
        <v>260</v>
      </c>
      <c r="F416" s="3">
        <v>1299</v>
      </c>
      <c r="G416" s="3">
        <v>1461</v>
      </c>
      <c r="H416" s="3">
        <v>62</v>
      </c>
      <c r="I416" s="9">
        <v>40892</v>
      </c>
      <c r="J416" s="47">
        <v>0.38585648148148149</v>
      </c>
    </row>
    <row r="417" spans="1:10" ht="30" x14ac:dyDescent="0.25">
      <c r="A417" s="3" t="s">
        <v>22</v>
      </c>
      <c r="B417" s="45" t="s">
        <v>1045</v>
      </c>
      <c r="C417" s="45" t="s">
        <v>1046</v>
      </c>
      <c r="D417" s="46" t="s">
        <v>1047</v>
      </c>
      <c r="E417" s="3">
        <v>91</v>
      </c>
      <c r="F417" s="3">
        <v>1200</v>
      </c>
      <c r="G417" s="3">
        <v>2186</v>
      </c>
      <c r="H417" s="3">
        <v>1122</v>
      </c>
      <c r="I417" s="9">
        <v>41374</v>
      </c>
      <c r="J417" s="47">
        <v>0.55259259259259264</v>
      </c>
    </row>
    <row r="418" spans="1:10" ht="30" x14ac:dyDescent="0.25">
      <c r="A418" s="3" t="s">
        <v>22</v>
      </c>
      <c r="B418" s="45" t="s">
        <v>1067</v>
      </c>
      <c r="C418" s="45" t="s">
        <v>296</v>
      </c>
      <c r="D418" s="46" t="s">
        <v>1068</v>
      </c>
      <c r="E418" s="3">
        <v>580</v>
      </c>
      <c r="F418" s="3">
        <v>1161</v>
      </c>
      <c r="G418" s="3">
        <v>406</v>
      </c>
      <c r="H418" s="3">
        <v>10</v>
      </c>
      <c r="I418" s="9">
        <v>40882</v>
      </c>
      <c r="J418" s="47">
        <v>0.84453703703703698</v>
      </c>
    </row>
    <row r="419" spans="1:10" ht="30" x14ac:dyDescent="0.25">
      <c r="A419" s="3" t="s">
        <v>22</v>
      </c>
      <c r="B419" s="45" t="s">
        <v>1240</v>
      </c>
      <c r="C419" s="45" t="s">
        <v>926</v>
      </c>
      <c r="D419" s="46" t="s">
        <v>1241</v>
      </c>
      <c r="E419" s="3">
        <v>870</v>
      </c>
      <c r="F419" s="3">
        <v>975</v>
      </c>
      <c r="G419" s="3">
        <v>1670</v>
      </c>
      <c r="H419" s="3">
        <v>1102</v>
      </c>
      <c r="I419" s="9">
        <v>42221</v>
      </c>
      <c r="J419" s="47">
        <v>0.41974537037037035</v>
      </c>
    </row>
    <row r="420" spans="1:10" ht="30" x14ac:dyDescent="0.25">
      <c r="A420" s="3" t="s">
        <v>22</v>
      </c>
      <c r="B420" s="45" t="s">
        <v>1242</v>
      </c>
      <c r="C420" s="45" t="s">
        <v>1098</v>
      </c>
      <c r="D420" s="46" t="s">
        <v>1243</v>
      </c>
      <c r="E420" s="3">
        <v>187</v>
      </c>
      <c r="F420" s="3">
        <v>973</v>
      </c>
      <c r="G420" s="3">
        <v>2160</v>
      </c>
      <c r="H420" s="3">
        <v>436</v>
      </c>
      <c r="I420" s="9">
        <v>40415</v>
      </c>
      <c r="J420" s="47">
        <v>0.53989583333333335</v>
      </c>
    </row>
    <row r="421" spans="1:10" ht="30" x14ac:dyDescent="0.25">
      <c r="A421" s="3" t="s">
        <v>22</v>
      </c>
      <c r="B421" s="45" t="s">
        <v>1279</v>
      </c>
      <c r="C421" s="45" t="s">
        <v>1280</v>
      </c>
      <c r="D421" s="46" t="s">
        <v>1281</v>
      </c>
      <c r="E421" s="3">
        <v>770</v>
      </c>
      <c r="F421" s="3">
        <v>936</v>
      </c>
      <c r="G421" s="3">
        <v>1387</v>
      </c>
      <c r="H421" s="3">
        <v>352</v>
      </c>
      <c r="I421" s="9">
        <v>42472</v>
      </c>
      <c r="J421" s="47">
        <v>0.34372685185185187</v>
      </c>
    </row>
    <row r="422" spans="1:10" x14ac:dyDescent="0.25">
      <c r="A422" s="3" t="s">
        <v>22</v>
      </c>
      <c r="B422" s="45" t="s">
        <v>1310</v>
      </c>
      <c r="C422" s="45" t="s">
        <v>427</v>
      </c>
      <c r="D422" s="46" t="s">
        <v>1311</v>
      </c>
      <c r="E422" s="3">
        <v>338</v>
      </c>
      <c r="F422" s="3">
        <v>893</v>
      </c>
      <c r="G422" s="3">
        <v>4231</v>
      </c>
      <c r="H422" s="3">
        <v>447</v>
      </c>
      <c r="I422" s="9">
        <v>40870</v>
      </c>
      <c r="J422" s="47">
        <v>0.67211805555555548</v>
      </c>
    </row>
    <row r="423" spans="1:10" ht="45" x14ac:dyDescent="0.25">
      <c r="A423" s="3" t="s">
        <v>22</v>
      </c>
      <c r="B423" s="45" t="s">
        <v>1443</v>
      </c>
      <c r="C423" s="45" t="s">
        <v>1444</v>
      </c>
      <c r="D423" s="46" t="s">
        <v>1445</v>
      </c>
      <c r="E423" s="3">
        <v>898</v>
      </c>
      <c r="F423" s="3">
        <v>779</v>
      </c>
      <c r="G423" s="3">
        <v>1955</v>
      </c>
      <c r="H423" s="3">
        <v>106</v>
      </c>
      <c r="I423" s="9">
        <v>40305</v>
      </c>
      <c r="J423" s="47">
        <v>0.47783564814814811</v>
      </c>
    </row>
    <row r="424" spans="1:10" x14ac:dyDescent="0.25">
      <c r="A424" s="3" t="s">
        <v>22</v>
      </c>
      <c r="B424" s="45" t="s">
        <v>1552</v>
      </c>
      <c r="C424" s="45" t="s">
        <v>1553</v>
      </c>
      <c r="D424" s="46" t="s">
        <v>1554</v>
      </c>
      <c r="E424" s="3">
        <v>574</v>
      </c>
      <c r="F424" s="3">
        <v>710</v>
      </c>
      <c r="G424" s="3">
        <v>661</v>
      </c>
      <c r="H424" s="3">
        <v>145</v>
      </c>
      <c r="I424" s="9">
        <v>41732</v>
      </c>
      <c r="J424" s="47">
        <v>0.38434027777777779</v>
      </c>
    </row>
    <row r="425" spans="1:10" x14ac:dyDescent="0.25">
      <c r="A425" s="3" t="s">
        <v>22</v>
      </c>
      <c r="B425" s="45" t="s">
        <v>1564</v>
      </c>
      <c r="C425" s="45" t="s">
        <v>477</v>
      </c>
      <c r="D425" s="46" t="s">
        <v>1565</v>
      </c>
      <c r="E425" s="3">
        <v>466</v>
      </c>
      <c r="F425" s="3">
        <v>685</v>
      </c>
      <c r="G425" s="3">
        <v>1117</v>
      </c>
      <c r="H425" s="3">
        <v>458</v>
      </c>
      <c r="I425" s="9">
        <v>42258</v>
      </c>
      <c r="J425" s="47">
        <v>0.46608796296296301</v>
      </c>
    </row>
    <row r="426" spans="1:10" ht="30" x14ac:dyDescent="0.25">
      <c r="A426" s="3" t="s">
        <v>22</v>
      </c>
      <c r="B426" s="45" t="s">
        <v>1694</v>
      </c>
      <c r="C426" s="45" t="s">
        <v>1695</v>
      </c>
      <c r="D426" s="46" t="s">
        <v>1696</v>
      </c>
      <c r="E426" s="3">
        <v>888</v>
      </c>
      <c r="F426" s="3">
        <v>583</v>
      </c>
      <c r="G426" s="3">
        <v>36</v>
      </c>
      <c r="H426" s="3">
        <v>47</v>
      </c>
      <c r="I426" s="9">
        <v>41860</v>
      </c>
      <c r="J426" s="47">
        <v>0.84895833333333337</v>
      </c>
    </row>
    <row r="427" spans="1:10" x14ac:dyDescent="0.25">
      <c r="A427" s="3" t="s">
        <v>22</v>
      </c>
      <c r="B427" s="45" t="s">
        <v>943</v>
      </c>
      <c r="C427" s="45" t="s">
        <v>1765</v>
      </c>
      <c r="D427" s="46" t="s">
        <v>1766</v>
      </c>
      <c r="E427" s="3">
        <v>941</v>
      </c>
      <c r="F427" s="3">
        <v>516</v>
      </c>
      <c r="G427" s="3">
        <v>1096</v>
      </c>
      <c r="H427" s="3">
        <v>25</v>
      </c>
      <c r="I427" s="9">
        <v>39983</v>
      </c>
      <c r="J427" s="47">
        <v>0.39855324074074078</v>
      </c>
    </row>
    <row r="428" spans="1:10" x14ac:dyDescent="0.25">
      <c r="A428" s="3" t="s">
        <v>22</v>
      </c>
      <c r="B428" s="45" t="s">
        <v>1774</v>
      </c>
      <c r="C428" s="45" t="s">
        <v>1775</v>
      </c>
      <c r="D428" s="46" t="s">
        <v>1776</v>
      </c>
      <c r="E428" s="3">
        <v>255</v>
      </c>
      <c r="F428" s="3">
        <v>512</v>
      </c>
      <c r="G428" s="3">
        <v>184</v>
      </c>
      <c r="H428" s="3">
        <v>6</v>
      </c>
      <c r="I428" s="9">
        <v>40490</v>
      </c>
      <c r="J428" s="47">
        <v>0.931574074074074</v>
      </c>
    </row>
    <row r="429" spans="1:10" ht="30" x14ac:dyDescent="0.25">
      <c r="A429" s="3" t="s">
        <v>22</v>
      </c>
      <c r="B429" s="45" t="s">
        <v>1835</v>
      </c>
      <c r="C429" s="45" t="s">
        <v>1836</v>
      </c>
      <c r="D429" s="46" t="s">
        <v>1837</v>
      </c>
      <c r="E429" s="3">
        <v>120</v>
      </c>
      <c r="F429" s="3">
        <v>486</v>
      </c>
      <c r="G429" s="3">
        <v>346</v>
      </c>
      <c r="H429" s="3">
        <v>104</v>
      </c>
      <c r="I429" s="9">
        <v>42076</v>
      </c>
      <c r="J429" s="47">
        <v>0.48910879629629633</v>
      </c>
    </row>
    <row r="430" spans="1:10" x14ac:dyDescent="0.25">
      <c r="A430" s="3" t="s">
        <v>22</v>
      </c>
      <c r="B430" s="45" t="s">
        <v>1861</v>
      </c>
      <c r="C430" s="45" t="s">
        <v>1862</v>
      </c>
      <c r="D430" s="46" t="s">
        <v>1863</v>
      </c>
      <c r="E430" s="3">
        <v>405</v>
      </c>
      <c r="F430" s="3">
        <v>465</v>
      </c>
      <c r="G430" s="3">
        <v>191</v>
      </c>
      <c r="H430" s="3">
        <v>70</v>
      </c>
      <c r="I430" s="9">
        <v>42164</v>
      </c>
      <c r="J430" s="47">
        <v>0.49437500000000001</v>
      </c>
    </row>
    <row r="431" spans="1:10" ht="30" x14ac:dyDescent="0.25">
      <c r="A431" s="3" t="s">
        <v>22</v>
      </c>
      <c r="B431" s="45" t="s">
        <v>1917</v>
      </c>
      <c r="C431" s="45" t="s">
        <v>1918</v>
      </c>
      <c r="D431" s="46" t="s">
        <v>1919</v>
      </c>
      <c r="E431" s="3">
        <v>417</v>
      </c>
      <c r="F431" s="3">
        <v>433</v>
      </c>
      <c r="G431" s="3">
        <v>1039</v>
      </c>
      <c r="H431" s="3">
        <v>8</v>
      </c>
      <c r="I431" s="9">
        <v>40851</v>
      </c>
      <c r="J431" s="47">
        <v>0.50041666666666662</v>
      </c>
    </row>
    <row r="432" spans="1:10" ht="30" x14ac:dyDescent="0.25">
      <c r="A432" s="3" t="s">
        <v>22</v>
      </c>
      <c r="B432" s="45" t="s">
        <v>1923</v>
      </c>
      <c r="C432" s="45" t="s">
        <v>1924</v>
      </c>
      <c r="D432" s="46" t="s">
        <v>1925</v>
      </c>
      <c r="E432" s="3">
        <v>558</v>
      </c>
      <c r="F432" s="3">
        <v>432</v>
      </c>
      <c r="G432" s="3">
        <v>868</v>
      </c>
      <c r="H432" s="3">
        <v>3</v>
      </c>
      <c r="I432" s="9">
        <v>40978</v>
      </c>
      <c r="J432" s="47">
        <v>0.42921296296296302</v>
      </c>
    </row>
    <row r="433" spans="1:10" ht="30" x14ac:dyDescent="0.25">
      <c r="A433" s="3" t="s">
        <v>22</v>
      </c>
      <c r="B433" s="45" t="s">
        <v>1960</v>
      </c>
      <c r="D433" s="46" t="s">
        <v>1961</v>
      </c>
      <c r="E433" s="3">
        <v>400</v>
      </c>
      <c r="F433" s="3">
        <v>421</v>
      </c>
      <c r="G433" s="3">
        <v>595</v>
      </c>
      <c r="H433" s="3">
        <v>687</v>
      </c>
      <c r="I433" s="9">
        <v>42123</v>
      </c>
      <c r="J433" s="47">
        <v>0.68572916666666661</v>
      </c>
    </row>
    <row r="434" spans="1:10" x14ac:dyDescent="0.25">
      <c r="A434" s="3" t="s">
        <v>22</v>
      </c>
      <c r="B434" s="45" t="s">
        <v>2155</v>
      </c>
      <c r="C434" s="45" t="s">
        <v>2156</v>
      </c>
      <c r="D434" s="46" t="s">
        <v>2157</v>
      </c>
      <c r="E434" s="3">
        <v>631</v>
      </c>
      <c r="F434" s="3">
        <v>347</v>
      </c>
      <c r="G434" s="3">
        <v>1097</v>
      </c>
      <c r="H434" s="3">
        <v>81</v>
      </c>
      <c r="I434" s="9">
        <v>41915</v>
      </c>
      <c r="J434" s="47">
        <v>0.56668981481481484</v>
      </c>
    </row>
    <row r="435" spans="1:10" ht="30" x14ac:dyDescent="0.25">
      <c r="A435" s="3" t="s">
        <v>22</v>
      </c>
      <c r="B435" s="45" t="s">
        <v>2550</v>
      </c>
      <c r="C435" s="45" t="s">
        <v>2551</v>
      </c>
      <c r="D435" s="46" t="s">
        <v>2552</v>
      </c>
      <c r="E435" s="3">
        <v>51</v>
      </c>
      <c r="F435" s="3">
        <v>225</v>
      </c>
      <c r="G435" s="3">
        <v>72</v>
      </c>
      <c r="H435" s="3">
        <v>0</v>
      </c>
      <c r="I435" s="9">
        <v>41569</v>
      </c>
      <c r="J435" s="47">
        <v>0.25989583333333333</v>
      </c>
    </row>
    <row r="436" spans="1:10" x14ac:dyDescent="0.25">
      <c r="A436" s="3" t="s">
        <v>22</v>
      </c>
      <c r="B436" s="45" t="s">
        <v>2630</v>
      </c>
      <c r="C436" s="45" t="s">
        <v>2631</v>
      </c>
      <c r="D436" s="46" t="s">
        <v>2632</v>
      </c>
      <c r="E436" s="3">
        <v>213</v>
      </c>
      <c r="F436" s="3">
        <v>207</v>
      </c>
      <c r="G436" s="3">
        <v>682</v>
      </c>
      <c r="H436" s="3">
        <v>501</v>
      </c>
      <c r="I436" s="9">
        <v>41743</v>
      </c>
      <c r="J436" s="47">
        <v>0.35438657407407409</v>
      </c>
    </row>
    <row r="437" spans="1:10" x14ac:dyDescent="0.25">
      <c r="A437" s="3" t="s">
        <v>22</v>
      </c>
      <c r="B437" s="45" t="s">
        <v>3495</v>
      </c>
      <c r="E437" s="3">
        <v>0</v>
      </c>
      <c r="F437" s="3">
        <v>14</v>
      </c>
      <c r="G437" s="3">
        <v>0</v>
      </c>
      <c r="H437" s="3">
        <v>0</v>
      </c>
      <c r="I437" s="9">
        <v>41238</v>
      </c>
      <c r="J437" s="47">
        <v>0.85918981481481482</v>
      </c>
    </row>
    <row r="438" spans="1:10" ht="30" x14ac:dyDescent="0.25">
      <c r="A438" s="3" t="s">
        <v>14</v>
      </c>
      <c r="B438" s="45" t="s">
        <v>11</v>
      </c>
      <c r="C438" s="45" t="s">
        <v>12</v>
      </c>
      <c r="D438" s="46" t="s">
        <v>13</v>
      </c>
      <c r="E438" s="3">
        <v>256</v>
      </c>
      <c r="F438" s="3">
        <v>50417</v>
      </c>
      <c r="G438" s="3">
        <v>7408</v>
      </c>
      <c r="H438" s="3">
        <v>2652</v>
      </c>
      <c r="I438" s="9">
        <v>40289</v>
      </c>
      <c r="J438" s="47">
        <v>0.39304398148148145</v>
      </c>
    </row>
    <row r="439" spans="1:10" x14ac:dyDescent="0.25">
      <c r="A439" s="3" t="s">
        <v>14</v>
      </c>
      <c r="B439" s="45" t="s">
        <v>55</v>
      </c>
      <c r="C439" s="45" t="s">
        <v>12</v>
      </c>
      <c r="D439" s="46" t="s">
        <v>56</v>
      </c>
      <c r="E439" s="3">
        <v>494</v>
      </c>
      <c r="F439" s="3">
        <v>13157</v>
      </c>
      <c r="G439" s="3">
        <v>1346</v>
      </c>
      <c r="H439" s="3">
        <v>471</v>
      </c>
      <c r="I439" s="9">
        <v>41687</v>
      </c>
      <c r="J439" s="47">
        <v>0.66370370370370368</v>
      </c>
    </row>
    <row r="440" spans="1:10" x14ac:dyDescent="0.25">
      <c r="A440" s="3" t="s">
        <v>14</v>
      </c>
      <c r="B440" s="45" t="s">
        <v>60</v>
      </c>
      <c r="C440" s="45" t="s">
        <v>61</v>
      </c>
      <c r="D440" s="46" t="s">
        <v>62</v>
      </c>
      <c r="E440" s="3">
        <v>217</v>
      </c>
      <c r="F440" s="3">
        <v>12859</v>
      </c>
      <c r="G440" s="3">
        <v>4770</v>
      </c>
      <c r="H440" s="3">
        <v>534</v>
      </c>
      <c r="I440" s="9">
        <v>39878</v>
      </c>
      <c r="J440" s="47">
        <v>0.42592592592592587</v>
      </c>
    </row>
    <row r="441" spans="1:10" ht="30" x14ac:dyDescent="0.25">
      <c r="A441" s="3" t="s">
        <v>14</v>
      </c>
      <c r="B441" s="45" t="s">
        <v>240</v>
      </c>
      <c r="C441" s="45" t="s">
        <v>241</v>
      </c>
      <c r="D441" s="46" t="s">
        <v>242</v>
      </c>
      <c r="E441" s="3">
        <v>683</v>
      </c>
      <c r="F441" s="3">
        <v>4279</v>
      </c>
      <c r="G441" s="3">
        <v>4527</v>
      </c>
      <c r="H441" s="3">
        <v>39</v>
      </c>
      <c r="I441" s="9">
        <v>39982</v>
      </c>
      <c r="J441" s="47">
        <v>0.41194444444444445</v>
      </c>
    </row>
    <row r="442" spans="1:10" ht="30" x14ac:dyDescent="0.25">
      <c r="A442" s="3" t="s">
        <v>14</v>
      </c>
      <c r="B442" s="45" t="s">
        <v>366</v>
      </c>
      <c r="C442" s="45" t="s">
        <v>61</v>
      </c>
      <c r="D442" s="46" t="s">
        <v>367</v>
      </c>
      <c r="E442" s="3">
        <v>100</v>
      </c>
      <c r="F442" s="3">
        <v>3058</v>
      </c>
      <c r="G442" s="3">
        <v>1146</v>
      </c>
      <c r="H442" s="3">
        <v>0</v>
      </c>
      <c r="I442" s="9">
        <v>40416</v>
      </c>
      <c r="J442" s="47">
        <v>0.63314814814814813</v>
      </c>
    </row>
    <row r="443" spans="1:10" ht="30" x14ac:dyDescent="0.25">
      <c r="A443" s="3" t="s">
        <v>14</v>
      </c>
      <c r="B443" s="45" t="s">
        <v>504</v>
      </c>
      <c r="C443" s="45" t="s">
        <v>505</v>
      </c>
      <c r="D443" s="46" t="s">
        <v>506</v>
      </c>
      <c r="E443" s="3">
        <v>216</v>
      </c>
      <c r="F443" s="3">
        <v>2459</v>
      </c>
      <c r="G443" s="3">
        <v>2450</v>
      </c>
      <c r="H443" s="3">
        <v>14</v>
      </c>
      <c r="I443" s="9">
        <v>39909</v>
      </c>
      <c r="J443" s="47">
        <v>0.60695601851851855</v>
      </c>
    </row>
    <row r="444" spans="1:10" ht="30" x14ac:dyDescent="0.25">
      <c r="A444" s="3" t="s">
        <v>14</v>
      </c>
      <c r="B444" s="45" t="s">
        <v>548</v>
      </c>
      <c r="C444" s="45" t="s">
        <v>12</v>
      </c>
      <c r="D444" s="46" t="s">
        <v>549</v>
      </c>
      <c r="E444" s="3">
        <v>398</v>
      </c>
      <c r="F444" s="3">
        <v>2354</v>
      </c>
      <c r="G444" s="3">
        <v>2086</v>
      </c>
      <c r="H444" s="3">
        <v>534</v>
      </c>
      <c r="I444" s="9">
        <v>40193</v>
      </c>
      <c r="J444" s="47">
        <v>0.45057870370370368</v>
      </c>
    </row>
    <row r="445" spans="1:10" ht="30" x14ac:dyDescent="0.25">
      <c r="A445" s="3" t="s">
        <v>14</v>
      </c>
      <c r="B445" s="45" t="s">
        <v>751</v>
      </c>
      <c r="C445" s="45" t="s">
        <v>508</v>
      </c>
      <c r="D445" s="46" t="s">
        <v>752</v>
      </c>
      <c r="E445" s="3">
        <v>336</v>
      </c>
      <c r="F445" s="3">
        <v>1707</v>
      </c>
      <c r="G445" s="3">
        <v>9762</v>
      </c>
      <c r="H445" s="3">
        <v>362</v>
      </c>
      <c r="I445" s="9">
        <v>40612</v>
      </c>
      <c r="J445" s="47">
        <v>0.53370370370370368</v>
      </c>
    </row>
    <row r="446" spans="1:10" x14ac:dyDescent="0.25">
      <c r="A446" s="3" t="s">
        <v>14</v>
      </c>
      <c r="B446" s="45" t="s">
        <v>787</v>
      </c>
      <c r="C446" s="45" t="s">
        <v>788</v>
      </c>
      <c r="D446" s="46" t="s">
        <v>789</v>
      </c>
      <c r="E446" s="3">
        <v>208</v>
      </c>
      <c r="F446" s="3">
        <v>1622</v>
      </c>
      <c r="G446" s="3">
        <v>7660</v>
      </c>
      <c r="H446" s="3">
        <v>592</v>
      </c>
      <c r="I446" s="9">
        <v>40074</v>
      </c>
      <c r="J446" s="47">
        <v>0.43076388888888889</v>
      </c>
    </row>
    <row r="447" spans="1:10" ht="30" x14ac:dyDescent="0.25">
      <c r="A447" s="3" t="s">
        <v>14</v>
      </c>
      <c r="B447" s="45" t="s">
        <v>792</v>
      </c>
      <c r="C447" s="45" t="s">
        <v>793</v>
      </c>
      <c r="D447" s="46" t="s">
        <v>794</v>
      </c>
      <c r="E447" s="3">
        <v>342</v>
      </c>
      <c r="F447" s="3">
        <v>1613</v>
      </c>
      <c r="G447" s="3">
        <v>2370</v>
      </c>
      <c r="H447" s="3">
        <v>96</v>
      </c>
      <c r="I447" s="9">
        <v>40591</v>
      </c>
      <c r="J447" s="47">
        <v>0.64362268518518517</v>
      </c>
    </row>
    <row r="448" spans="1:10" x14ac:dyDescent="0.25">
      <c r="A448" s="3" t="s">
        <v>14</v>
      </c>
      <c r="B448" s="45" t="s">
        <v>812</v>
      </c>
      <c r="D448" s="46" t="s">
        <v>813</v>
      </c>
      <c r="E448" s="3">
        <v>121</v>
      </c>
      <c r="F448" s="3">
        <v>1592</v>
      </c>
      <c r="G448" s="3">
        <v>589</v>
      </c>
      <c r="H448" s="3">
        <v>4</v>
      </c>
      <c r="I448" s="9">
        <v>40771</v>
      </c>
      <c r="J448" s="47">
        <v>0.54932870370370368</v>
      </c>
    </row>
    <row r="449" spans="1:10" ht="30" x14ac:dyDescent="0.25">
      <c r="A449" s="3" t="s">
        <v>14</v>
      </c>
      <c r="B449" s="45" t="s">
        <v>827</v>
      </c>
      <c r="C449" s="45" t="s">
        <v>61</v>
      </c>
      <c r="D449" s="46" t="s">
        <v>828</v>
      </c>
      <c r="E449" s="3">
        <v>638</v>
      </c>
      <c r="F449" s="3">
        <v>1553</v>
      </c>
      <c r="G449" s="3">
        <v>8024</v>
      </c>
      <c r="H449" s="3">
        <v>120</v>
      </c>
      <c r="I449" s="9">
        <v>39877</v>
      </c>
      <c r="J449" s="47">
        <v>0.61872685185185183</v>
      </c>
    </row>
    <row r="450" spans="1:10" x14ac:dyDescent="0.25">
      <c r="A450" s="3" t="s">
        <v>14</v>
      </c>
      <c r="B450" s="45" t="s">
        <v>844</v>
      </c>
      <c r="C450" s="45" t="s">
        <v>845</v>
      </c>
      <c r="D450" s="46" t="s">
        <v>846</v>
      </c>
      <c r="E450" s="3">
        <v>583</v>
      </c>
      <c r="F450" s="3">
        <v>1522</v>
      </c>
      <c r="G450" s="3">
        <v>2730</v>
      </c>
      <c r="H450" s="3">
        <v>92</v>
      </c>
      <c r="I450" s="9">
        <v>39934</v>
      </c>
      <c r="J450" s="47">
        <v>0.4463078703703704</v>
      </c>
    </row>
    <row r="451" spans="1:10" ht="30" x14ac:dyDescent="0.25">
      <c r="A451" s="3" t="s">
        <v>14</v>
      </c>
      <c r="B451" s="45" t="s">
        <v>885</v>
      </c>
      <c r="C451" s="45" t="s">
        <v>886</v>
      </c>
      <c r="D451" s="46" t="s">
        <v>887</v>
      </c>
      <c r="E451" s="3">
        <v>189</v>
      </c>
      <c r="F451" s="3">
        <v>1452</v>
      </c>
      <c r="G451" s="3">
        <v>1404</v>
      </c>
      <c r="H451" s="3">
        <v>771</v>
      </c>
      <c r="I451" s="9">
        <v>40308</v>
      </c>
      <c r="J451" s="47">
        <v>0.63400462962962967</v>
      </c>
    </row>
    <row r="452" spans="1:10" ht="30" x14ac:dyDescent="0.25">
      <c r="A452" s="3" t="s">
        <v>14</v>
      </c>
      <c r="B452" s="45" t="s">
        <v>888</v>
      </c>
      <c r="C452" s="45" t="s">
        <v>889</v>
      </c>
      <c r="D452" s="46" t="s">
        <v>890</v>
      </c>
      <c r="E452" s="3">
        <v>353</v>
      </c>
      <c r="F452" s="3">
        <v>1448</v>
      </c>
      <c r="G452" s="3">
        <v>1226</v>
      </c>
      <c r="H452" s="3">
        <v>8</v>
      </c>
      <c r="I452" s="9">
        <v>40205</v>
      </c>
      <c r="J452" s="47">
        <v>0.64234953703703701</v>
      </c>
    </row>
    <row r="453" spans="1:10" ht="30" x14ac:dyDescent="0.25">
      <c r="A453" s="3" t="s">
        <v>14</v>
      </c>
      <c r="B453" s="45" t="s">
        <v>548</v>
      </c>
      <c r="C453" s="45" t="s">
        <v>788</v>
      </c>
      <c r="D453" s="46" t="s">
        <v>891</v>
      </c>
      <c r="E453" s="3">
        <v>740</v>
      </c>
      <c r="F453" s="3">
        <v>1441</v>
      </c>
      <c r="G453" s="3">
        <v>2859</v>
      </c>
      <c r="H453" s="3">
        <v>386</v>
      </c>
      <c r="I453" s="9">
        <v>40377</v>
      </c>
      <c r="J453" s="47">
        <v>0.80907407407407417</v>
      </c>
    </row>
    <row r="454" spans="1:10" ht="30" x14ac:dyDescent="0.25">
      <c r="A454" s="3" t="s">
        <v>14</v>
      </c>
      <c r="B454" s="45" t="s">
        <v>895</v>
      </c>
      <c r="C454" s="45" t="s">
        <v>896</v>
      </c>
      <c r="D454" s="46" t="s">
        <v>897</v>
      </c>
      <c r="E454" s="3">
        <v>407</v>
      </c>
      <c r="F454" s="3">
        <v>1437</v>
      </c>
      <c r="G454" s="3">
        <v>3217</v>
      </c>
      <c r="H454" s="3">
        <v>709</v>
      </c>
      <c r="I454" s="9">
        <v>39995</v>
      </c>
      <c r="J454" s="47">
        <v>0.56008101851851855</v>
      </c>
    </row>
    <row r="455" spans="1:10" ht="30" x14ac:dyDescent="0.25">
      <c r="A455" s="3" t="s">
        <v>14</v>
      </c>
      <c r="B455" s="45" t="s">
        <v>935</v>
      </c>
      <c r="C455" s="45" t="s">
        <v>936</v>
      </c>
      <c r="D455" s="46" t="s">
        <v>937</v>
      </c>
      <c r="E455" s="3">
        <v>225</v>
      </c>
      <c r="F455" s="3">
        <v>1348</v>
      </c>
      <c r="G455" s="3">
        <v>514</v>
      </c>
      <c r="H455" s="3">
        <v>83</v>
      </c>
      <c r="I455" s="9">
        <v>40599</v>
      </c>
      <c r="J455" s="47">
        <v>0.69153935185185189</v>
      </c>
    </row>
    <row r="456" spans="1:10" x14ac:dyDescent="0.25">
      <c r="A456" s="3" t="s">
        <v>14</v>
      </c>
      <c r="B456" s="45" t="s">
        <v>964</v>
      </c>
      <c r="C456" s="45" t="s">
        <v>61</v>
      </c>
      <c r="D456" s="46" t="s">
        <v>965</v>
      </c>
      <c r="E456" s="3">
        <v>236</v>
      </c>
      <c r="F456" s="3">
        <v>1297</v>
      </c>
      <c r="G456" s="3">
        <v>1772</v>
      </c>
      <c r="H456" s="3">
        <v>51</v>
      </c>
      <c r="I456" s="9">
        <v>39881</v>
      </c>
      <c r="J456" s="47">
        <v>0.66920138888888892</v>
      </c>
    </row>
    <row r="457" spans="1:10" x14ac:dyDescent="0.25">
      <c r="A457" s="3" t="s">
        <v>14</v>
      </c>
      <c r="B457" s="45" t="s">
        <v>995</v>
      </c>
      <c r="C457" s="45" t="s">
        <v>505</v>
      </c>
      <c r="D457" s="46" t="s">
        <v>996</v>
      </c>
      <c r="E457" s="3">
        <v>323</v>
      </c>
      <c r="F457" s="3">
        <v>1265</v>
      </c>
      <c r="G457" s="3">
        <v>1145</v>
      </c>
      <c r="H457" s="3">
        <v>595</v>
      </c>
      <c r="I457" s="9">
        <v>40423</v>
      </c>
      <c r="J457" s="47">
        <v>0.51337962962962969</v>
      </c>
    </row>
    <row r="458" spans="1:10" x14ac:dyDescent="0.25">
      <c r="A458" s="3" t="s">
        <v>14</v>
      </c>
      <c r="B458" s="45" t="s">
        <v>1043</v>
      </c>
      <c r="C458" s="45" t="s">
        <v>505</v>
      </c>
      <c r="D458" s="46" t="s">
        <v>1044</v>
      </c>
      <c r="E458" s="3">
        <v>438</v>
      </c>
      <c r="F458" s="3">
        <v>1202</v>
      </c>
      <c r="G458" s="3">
        <v>1597</v>
      </c>
      <c r="H458" s="3">
        <v>125</v>
      </c>
      <c r="I458" s="9">
        <v>40352</v>
      </c>
      <c r="J458" s="47">
        <v>0.59155092592592595</v>
      </c>
    </row>
    <row r="459" spans="1:10" x14ac:dyDescent="0.25">
      <c r="A459" s="3" t="s">
        <v>14</v>
      </c>
      <c r="B459" s="45" t="s">
        <v>1065</v>
      </c>
      <c r="C459" s="45" t="s">
        <v>505</v>
      </c>
      <c r="D459" s="46" t="s">
        <v>1066</v>
      </c>
      <c r="E459" s="3">
        <v>282</v>
      </c>
      <c r="F459" s="3">
        <v>1164</v>
      </c>
      <c r="G459" s="3">
        <v>2290</v>
      </c>
      <c r="H459" s="3">
        <v>92</v>
      </c>
      <c r="I459" s="9">
        <v>40014</v>
      </c>
      <c r="J459" s="47">
        <v>0.57245370370370374</v>
      </c>
    </row>
    <row r="460" spans="1:10" ht="30" x14ac:dyDescent="0.25">
      <c r="A460" s="3" t="s">
        <v>14</v>
      </c>
      <c r="B460" s="45" t="s">
        <v>1102</v>
      </c>
      <c r="C460" s="45" t="s">
        <v>61</v>
      </c>
      <c r="D460" s="46" t="s">
        <v>1103</v>
      </c>
      <c r="E460" s="3">
        <v>207</v>
      </c>
      <c r="F460" s="3">
        <v>1111</v>
      </c>
      <c r="G460" s="3">
        <v>774</v>
      </c>
      <c r="H460" s="3">
        <v>497</v>
      </c>
      <c r="I460" s="9">
        <v>41936</v>
      </c>
      <c r="J460" s="47">
        <v>0.63567129629629626</v>
      </c>
    </row>
    <row r="461" spans="1:10" ht="30" x14ac:dyDescent="0.25">
      <c r="A461" s="3" t="s">
        <v>14</v>
      </c>
      <c r="B461" s="45" t="s">
        <v>1148</v>
      </c>
      <c r="C461" s="45" t="s">
        <v>1149</v>
      </c>
      <c r="D461" s="46" t="s">
        <v>1150</v>
      </c>
      <c r="E461" s="3">
        <v>319</v>
      </c>
      <c r="F461" s="3">
        <v>1066</v>
      </c>
      <c r="G461" s="3">
        <v>1508</v>
      </c>
      <c r="H461" s="3">
        <v>131</v>
      </c>
      <c r="I461" s="9">
        <v>41171</v>
      </c>
      <c r="J461" s="47">
        <v>0.65561342592592597</v>
      </c>
    </row>
    <row r="462" spans="1:10" x14ac:dyDescent="0.25">
      <c r="A462" s="3" t="s">
        <v>14</v>
      </c>
      <c r="B462" s="45" t="s">
        <v>1188</v>
      </c>
      <c r="C462" s="45" t="s">
        <v>1189</v>
      </c>
      <c r="D462" s="46" t="s">
        <v>1190</v>
      </c>
      <c r="E462" s="3">
        <v>297</v>
      </c>
      <c r="F462" s="3">
        <v>1028</v>
      </c>
      <c r="G462" s="3">
        <v>2101</v>
      </c>
      <c r="H462" s="3">
        <v>181</v>
      </c>
      <c r="I462" s="9">
        <v>40386</v>
      </c>
      <c r="J462" s="47">
        <v>0.57943287037037039</v>
      </c>
    </row>
    <row r="463" spans="1:10" x14ac:dyDescent="0.25">
      <c r="A463" s="3" t="s">
        <v>14</v>
      </c>
      <c r="B463" s="45" t="s">
        <v>1230</v>
      </c>
      <c r="C463" s="45" t="s">
        <v>12</v>
      </c>
      <c r="D463" s="46" t="s">
        <v>1231</v>
      </c>
      <c r="E463" s="3">
        <v>353</v>
      </c>
      <c r="F463" s="3">
        <v>983</v>
      </c>
      <c r="G463" s="3">
        <v>2630</v>
      </c>
      <c r="H463" s="3">
        <v>71</v>
      </c>
      <c r="I463" s="9">
        <v>39877</v>
      </c>
      <c r="J463" s="47">
        <v>0.65708333333333335</v>
      </c>
    </row>
    <row r="464" spans="1:10" ht="30" x14ac:dyDescent="0.25">
      <c r="A464" s="3" t="s">
        <v>14</v>
      </c>
      <c r="B464" s="45" t="s">
        <v>1301</v>
      </c>
      <c r="C464" s="45" t="s">
        <v>1302</v>
      </c>
      <c r="D464" s="46" t="s">
        <v>1303</v>
      </c>
      <c r="E464" s="3">
        <v>347</v>
      </c>
      <c r="F464" s="3">
        <v>903</v>
      </c>
      <c r="G464" s="3">
        <v>1973</v>
      </c>
      <c r="H464" s="3">
        <v>293</v>
      </c>
      <c r="I464" s="9">
        <v>40533</v>
      </c>
      <c r="J464" s="47">
        <v>0.5929861111111111</v>
      </c>
    </row>
    <row r="465" spans="1:10" x14ac:dyDescent="0.25">
      <c r="A465" s="3" t="s">
        <v>14</v>
      </c>
      <c r="B465" s="45" t="s">
        <v>1314</v>
      </c>
      <c r="C465" s="45" t="s">
        <v>505</v>
      </c>
      <c r="D465" s="46" t="s">
        <v>1315</v>
      </c>
      <c r="E465" s="3">
        <v>56</v>
      </c>
      <c r="F465" s="3">
        <v>890</v>
      </c>
      <c r="G465" s="3">
        <v>228</v>
      </c>
      <c r="H465" s="3">
        <v>0</v>
      </c>
      <c r="I465" s="9">
        <v>40393</v>
      </c>
      <c r="J465" s="47">
        <v>0.58771990740740743</v>
      </c>
    </row>
    <row r="466" spans="1:10" x14ac:dyDescent="0.25">
      <c r="A466" s="3" t="s">
        <v>14</v>
      </c>
      <c r="B466" s="45" t="s">
        <v>1322</v>
      </c>
      <c r="C466" s="45" t="s">
        <v>61</v>
      </c>
      <c r="D466" s="46" t="s">
        <v>1323</v>
      </c>
      <c r="E466" s="3">
        <v>241</v>
      </c>
      <c r="F466" s="3">
        <v>880</v>
      </c>
      <c r="G466" s="3">
        <v>2024</v>
      </c>
      <c r="H466" s="3">
        <v>616</v>
      </c>
      <c r="I466" s="9">
        <v>40260</v>
      </c>
      <c r="J466" s="47">
        <v>0.48206018518518517</v>
      </c>
    </row>
    <row r="467" spans="1:10" ht="30" x14ac:dyDescent="0.25">
      <c r="A467" s="3" t="s">
        <v>14</v>
      </c>
      <c r="B467" s="45" t="s">
        <v>1342</v>
      </c>
      <c r="C467" s="45" t="s">
        <v>12</v>
      </c>
      <c r="D467" s="46" t="s">
        <v>1343</v>
      </c>
      <c r="E467" s="3">
        <v>1206</v>
      </c>
      <c r="F467" s="3">
        <v>862</v>
      </c>
      <c r="G467" s="3">
        <v>1166</v>
      </c>
      <c r="H467" s="3">
        <v>86</v>
      </c>
      <c r="I467" s="9">
        <v>40141</v>
      </c>
      <c r="J467" s="47">
        <v>0.58225694444444442</v>
      </c>
    </row>
    <row r="468" spans="1:10" ht="45" x14ac:dyDescent="0.25">
      <c r="A468" s="3" t="s">
        <v>14</v>
      </c>
      <c r="B468" s="45" t="s">
        <v>1387</v>
      </c>
      <c r="C468" s="45" t="s">
        <v>1388</v>
      </c>
      <c r="D468" s="46" t="s">
        <v>1389</v>
      </c>
      <c r="E468" s="3">
        <v>243</v>
      </c>
      <c r="F468" s="3">
        <v>830</v>
      </c>
      <c r="G468" s="3">
        <v>504</v>
      </c>
      <c r="H468" s="3">
        <v>65</v>
      </c>
      <c r="I468" s="9">
        <v>41051</v>
      </c>
      <c r="J468" s="47">
        <v>0.42026620370370371</v>
      </c>
    </row>
    <row r="469" spans="1:10" ht="30" x14ac:dyDescent="0.25">
      <c r="A469" s="3" t="s">
        <v>14</v>
      </c>
      <c r="B469" s="45" t="s">
        <v>1396</v>
      </c>
      <c r="C469" s="45" t="s">
        <v>12</v>
      </c>
      <c r="D469" s="46" t="s">
        <v>1397</v>
      </c>
      <c r="E469" s="3">
        <v>43</v>
      </c>
      <c r="F469" s="3">
        <v>821</v>
      </c>
      <c r="G469" s="3">
        <v>463</v>
      </c>
      <c r="H469" s="3">
        <v>0</v>
      </c>
      <c r="I469" s="9">
        <v>40395</v>
      </c>
      <c r="J469" s="47">
        <v>0.60435185185185192</v>
      </c>
    </row>
    <row r="470" spans="1:10" ht="30" x14ac:dyDescent="0.25">
      <c r="A470" s="3" t="s">
        <v>14</v>
      </c>
      <c r="B470" s="45" t="s">
        <v>1410</v>
      </c>
      <c r="C470" s="45" t="s">
        <v>1411</v>
      </c>
      <c r="D470" s="46" t="s">
        <v>1412</v>
      </c>
      <c r="E470" s="3">
        <v>172</v>
      </c>
      <c r="F470" s="3">
        <v>803</v>
      </c>
      <c r="G470" s="3">
        <v>847</v>
      </c>
      <c r="H470" s="3">
        <v>29</v>
      </c>
      <c r="I470" s="9">
        <v>40288</v>
      </c>
      <c r="J470" s="47">
        <v>0.64317129629629632</v>
      </c>
    </row>
    <row r="471" spans="1:10" ht="30" x14ac:dyDescent="0.25">
      <c r="A471" s="3" t="s">
        <v>14</v>
      </c>
      <c r="B471" s="45" t="s">
        <v>1451</v>
      </c>
      <c r="C471" s="45" t="s">
        <v>1452</v>
      </c>
      <c r="D471" s="46" t="s">
        <v>1453</v>
      </c>
      <c r="E471" s="3">
        <v>447</v>
      </c>
      <c r="F471" s="3">
        <v>777</v>
      </c>
      <c r="G471" s="3">
        <v>522</v>
      </c>
      <c r="H471" s="3">
        <v>108</v>
      </c>
      <c r="I471" s="9">
        <v>41179</v>
      </c>
      <c r="J471" s="47">
        <v>0.56519675925925927</v>
      </c>
    </row>
    <row r="472" spans="1:10" x14ac:dyDescent="0.25">
      <c r="A472" s="3" t="s">
        <v>14</v>
      </c>
      <c r="B472" s="45" t="s">
        <v>1449</v>
      </c>
      <c r="C472" s="45" t="s">
        <v>936</v>
      </c>
      <c r="D472" s="46" t="s">
        <v>1450</v>
      </c>
      <c r="E472" s="3">
        <v>135</v>
      </c>
      <c r="F472" s="3">
        <v>777</v>
      </c>
      <c r="G472" s="3">
        <v>1035</v>
      </c>
      <c r="H472" s="3">
        <v>295</v>
      </c>
      <c r="I472" s="9">
        <v>40568</v>
      </c>
      <c r="J472" s="47">
        <v>0.61863425925925919</v>
      </c>
    </row>
    <row r="473" spans="1:10" x14ac:dyDescent="0.25">
      <c r="A473" s="3" t="s">
        <v>14</v>
      </c>
      <c r="B473" s="45" t="s">
        <v>1470</v>
      </c>
      <c r="C473" s="45" t="s">
        <v>1471</v>
      </c>
      <c r="D473" s="46" t="s">
        <v>1472</v>
      </c>
      <c r="E473" s="3">
        <v>160</v>
      </c>
      <c r="F473" s="3">
        <v>754</v>
      </c>
      <c r="G473" s="3">
        <v>801</v>
      </c>
      <c r="H473" s="3">
        <v>36</v>
      </c>
      <c r="I473" s="9">
        <v>40816</v>
      </c>
      <c r="J473" s="47">
        <v>0.35925925925925922</v>
      </c>
    </row>
    <row r="474" spans="1:10" ht="30" x14ac:dyDescent="0.25">
      <c r="A474" s="3" t="s">
        <v>14</v>
      </c>
      <c r="B474" s="45" t="s">
        <v>1486</v>
      </c>
      <c r="C474" s="45" t="s">
        <v>1487</v>
      </c>
      <c r="D474" s="46" t="s">
        <v>1488</v>
      </c>
      <c r="E474" s="3">
        <v>112</v>
      </c>
      <c r="F474" s="3">
        <v>747</v>
      </c>
      <c r="G474" s="3">
        <v>504</v>
      </c>
      <c r="H474" s="3">
        <v>6</v>
      </c>
      <c r="I474" s="9">
        <v>40386</v>
      </c>
      <c r="J474" s="47">
        <v>0.58008101851851845</v>
      </c>
    </row>
    <row r="475" spans="1:10" ht="30" x14ac:dyDescent="0.25">
      <c r="A475" s="3" t="s">
        <v>14</v>
      </c>
      <c r="B475" s="45" t="s">
        <v>1495</v>
      </c>
      <c r="C475" s="45" t="s">
        <v>61</v>
      </c>
      <c r="D475" s="46" t="s">
        <v>1496</v>
      </c>
      <c r="E475" s="3">
        <v>224</v>
      </c>
      <c r="F475" s="3">
        <v>740</v>
      </c>
      <c r="G475" s="3">
        <v>1597</v>
      </c>
      <c r="H475" s="3">
        <v>187</v>
      </c>
      <c r="I475" s="9">
        <v>39847</v>
      </c>
      <c r="J475" s="47">
        <v>0.63923611111111112</v>
      </c>
    </row>
    <row r="476" spans="1:10" ht="30" x14ac:dyDescent="0.25">
      <c r="A476" s="3" t="s">
        <v>14</v>
      </c>
      <c r="B476" s="45" t="s">
        <v>1522</v>
      </c>
      <c r="C476" s="45" t="s">
        <v>1523</v>
      </c>
      <c r="D476" s="46" t="s">
        <v>1524</v>
      </c>
      <c r="E476" s="3">
        <v>225</v>
      </c>
      <c r="F476" s="3">
        <v>726</v>
      </c>
      <c r="G476" s="3">
        <v>1251</v>
      </c>
      <c r="H476" s="3">
        <v>516</v>
      </c>
      <c r="I476" s="9">
        <v>41541</v>
      </c>
      <c r="J476" s="47">
        <v>0.59490740740740744</v>
      </c>
    </row>
    <row r="477" spans="1:10" x14ac:dyDescent="0.25">
      <c r="A477" s="3" t="s">
        <v>14</v>
      </c>
      <c r="B477" s="45" t="s">
        <v>1544</v>
      </c>
      <c r="C477" s="45" t="s">
        <v>1545</v>
      </c>
      <c r="D477" s="46" t="s">
        <v>1546</v>
      </c>
      <c r="E477" s="3">
        <v>702</v>
      </c>
      <c r="F477" s="3">
        <v>713</v>
      </c>
      <c r="G477" s="3">
        <v>1863</v>
      </c>
      <c r="H477" s="3">
        <v>951</v>
      </c>
      <c r="I477" s="9">
        <v>42110</v>
      </c>
      <c r="J477" s="47">
        <v>0.59048611111111116</v>
      </c>
    </row>
    <row r="478" spans="1:10" ht="30" x14ac:dyDescent="0.25">
      <c r="A478" s="3" t="s">
        <v>14</v>
      </c>
      <c r="B478" s="45" t="s">
        <v>1571</v>
      </c>
      <c r="C478" s="45" t="s">
        <v>1149</v>
      </c>
      <c r="D478" s="46" t="s">
        <v>1572</v>
      </c>
      <c r="E478" s="3">
        <v>390</v>
      </c>
      <c r="F478" s="3">
        <v>682</v>
      </c>
      <c r="G478" s="3">
        <v>951</v>
      </c>
      <c r="H478" s="3">
        <v>100</v>
      </c>
      <c r="I478" s="9">
        <v>41288</v>
      </c>
      <c r="J478" s="47">
        <v>0.52144675925925921</v>
      </c>
    </row>
    <row r="479" spans="1:10" x14ac:dyDescent="0.25">
      <c r="A479" s="3" t="s">
        <v>14</v>
      </c>
      <c r="B479" s="45" t="s">
        <v>1614</v>
      </c>
      <c r="C479" s="45" t="s">
        <v>1149</v>
      </c>
      <c r="D479" s="46" t="s">
        <v>1615</v>
      </c>
      <c r="E479" s="3">
        <v>195</v>
      </c>
      <c r="F479" s="3">
        <v>643</v>
      </c>
      <c r="G479" s="3">
        <v>794</v>
      </c>
      <c r="H479" s="3">
        <v>154</v>
      </c>
      <c r="I479" s="9">
        <v>40403</v>
      </c>
      <c r="J479" s="47">
        <v>0.53415509259259253</v>
      </c>
    </row>
    <row r="480" spans="1:10" ht="30" x14ac:dyDescent="0.25">
      <c r="A480" s="3" t="s">
        <v>14</v>
      </c>
      <c r="B480" s="45" t="s">
        <v>1640</v>
      </c>
      <c r="C480" s="45" t="s">
        <v>1149</v>
      </c>
      <c r="D480" s="46" t="s">
        <v>1641</v>
      </c>
      <c r="E480" s="3">
        <v>307</v>
      </c>
      <c r="F480" s="3">
        <v>625</v>
      </c>
      <c r="G480" s="3">
        <v>2716</v>
      </c>
      <c r="H480" s="3">
        <v>361</v>
      </c>
      <c r="I480" s="9">
        <v>41162</v>
      </c>
      <c r="J480" s="47">
        <v>0.57939814814814816</v>
      </c>
    </row>
    <row r="481" spans="1:10" ht="30" x14ac:dyDescent="0.25">
      <c r="A481" s="3" t="s">
        <v>14</v>
      </c>
      <c r="B481" s="45" t="s">
        <v>787</v>
      </c>
      <c r="C481" s="45" t="s">
        <v>505</v>
      </c>
      <c r="D481" s="46" t="s">
        <v>1671</v>
      </c>
      <c r="E481" s="3">
        <v>155</v>
      </c>
      <c r="F481" s="3">
        <v>594</v>
      </c>
      <c r="G481" s="3">
        <v>1279</v>
      </c>
      <c r="H481" s="3">
        <v>47</v>
      </c>
      <c r="I481" s="9">
        <v>40591</v>
      </c>
      <c r="J481" s="47">
        <v>0.53009259259259256</v>
      </c>
    </row>
    <row r="482" spans="1:10" x14ac:dyDescent="0.25">
      <c r="A482" s="3" t="s">
        <v>14</v>
      </c>
      <c r="B482" s="45" t="s">
        <v>1681</v>
      </c>
      <c r="C482" s="45" t="s">
        <v>788</v>
      </c>
      <c r="D482" s="46" t="s">
        <v>1682</v>
      </c>
      <c r="E482" s="3">
        <v>206</v>
      </c>
      <c r="F482" s="3">
        <v>591</v>
      </c>
      <c r="G482" s="3">
        <v>1041</v>
      </c>
      <c r="H482" s="3">
        <v>34</v>
      </c>
      <c r="I482" s="9">
        <v>40290</v>
      </c>
      <c r="J482" s="47">
        <v>0.53353009259259265</v>
      </c>
    </row>
    <row r="483" spans="1:10" ht="30" x14ac:dyDescent="0.25">
      <c r="A483" s="3" t="s">
        <v>14</v>
      </c>
      <c r="B483" s="45" t="s">
        <v>1686</v>
      </c>
      <c r="C483" s="45" t="s">
        <v>61</v>
      </c>
      <c r="D483" s="46" t="s">
        <v>1687</v>
      </c>
      <c r="E483" s="3">
        <v>149</v>
      </c>
      <c r="F483" s="3">
        <v>587</v>
      </c>
      <c r="G483" s="3">
        <v>419</v>
      </c>
      <c r="H483" s="3">
        <v>4</v>
      </c>
      <c r="I483" s="9">
        <v>41282</v>
      </c>
      <c r="J483" s="47">
        <v>0.62020833333333336</v>
      </c>
    </row>
    <row r="484" spans="1:10" ht="30" x14ac:dyDescent="0.25">
      <c r="A484" s="3" t="s">
        <v>14</v>
      </c>
      <c r="B484" s="45" t="s">
        <v>1750</v>
      </c>
      <c r="C484" s="45" t="s">
        <v>61</v>
      </c>
      <c r="D484" s="46" t="s">
        <v>1751</v>
      </c>
      <c r="E484" s="3">
        <v>406</v>
      </c>
      <c r="F484" s="3">
        <v>529</v>
      </c>
      <c r="G484" s="3">
        <v>2438</v>
      </c>
      <c r="H484" s="3">
        <v>259</v>
      </c>
      <c r="I484" s="9">
        <v>40380</v>
      </c>
      <c r="J484" s="47">
        <v>0.58121527777777782</v>
      </c>
    </row>
    <row r="485" spans="1:10" x14ac:dyDescent="0.25">
      <c r="A485" s="3" t="s">
        <v>14</v>
      </c>
      <c r="B485" s="45" t="s">
        <v>1777</v>
      </c>
      <c r="C485" s="45" t="s">
        <v>61</v>
      </c>
      <c r="D485" s="46" t="s">
        <v>1778</v>
      </c>
      <c r="E485" s="3">
        <v>22</v>
      </c>
      <c r="F485" s="3">
        <v>511</v>
      </c>
      <c r="G485" s="3">
        <v>413</v>
      </c>
      <c r="H485" s="3">
        <v>0</v>
      </c>
      <c r="I485" s="9">
        <v>40343</v>
      </c>
      <c r="J485" s="47">
        <v>0.69614583333333335</v>
      </c>
    </row>
    <row r="486" spans="1:10" x14ac:dyDescent="0.25">
      <c r="A486" s="3" t="s">
        <v>14</v>
      </c>
      <c r="B486" s="45" t="s">
        <v>1779</v>
      </c>
      <c r="C486" s="45" t="s">
        <v>61</v>
      </c>
      <c r="D486" s="46" t="s">
        <v>1780</v>
      </c>
      <c r="E486" s="3">
        <v>152</v>
      </c>
      <c r="F486" s="3">
        <v>510</v>
      </c>
      <c r="G486" s="3">
        <v>483</v>
      </c>
      <c r="H486" s="3">
        <v>62</v>
      </c>
      <c r="I486" s="9">
        <v>41768</v>
      </c>
      <c r="J486" s="47">
        <v>0.54353009259259266</v>
      </c>
    </row>
    <row r="487" spans="1:10" x14ac:dyDescent="0.25">
      <c r="A487" s="3" t="s">
        <v>14</v>
      </c>
      <c r="B487" s="45" t="s">
        <v>1787</v>
      </c>
      <c r="C487" s="45" t="s">
        <v>12</v>
      </c>
      <c r="D487" s="46" t="s">
        <v>1788</v>
      </c>
      <c r="E487" s="3">
        <v>68</v>
      </c>
      <c r="F487" s="3">
        <v>507</v>
      </c>
      <c r="G487" s="3">
        <v>282</v>
      </c>
      <c r="H487" s="3">
        <v>46</v>
      </c>
      <c r="I487" s="9">
        <v>40710</v>
      </c>
      <c r="J487" s="47">
        <v>0.62710648148148151</v>
      </c>
    </row>
    <row r="488" spans="1:10" ht="30" x14ac:dyDescent="0.25">
      <c r="A488" s="3" t="s">
        <v>14</v>
      </c>
      <c r="B488" s="45" t="s">
        <v>1845</v>
      </c>
      <c r="C488" s="45" t="s">
        <v>1846</v>
      </c>
      <c r="D488" s="46" t="s">
        <v>1847</v>
      </c>
      <c r="E488" s="3">
        <v>113</v>
      </c>
      <c r="F488" s="3">
        <v>482</v>
      </c>
      <c r="G488" s="3">
        <v>82</v>
      </c>
      <c r="H488" s="3">
        <v>0</v>
      </c>
      <c r="I488" s="9">
        <v>40668</v>
      </c>
      <c r="J488" s="47">
        <v>0.59526620370370364</v>
      </c>
    </row>
    <row r="489" spans="1:10" ht="30" x14ac:dyDescent="0.25">
      <c r="A489" s="3" t="s">
        <v>14</v>
      </c>
      <c r="B489" s="45" t="s">
        <v>2012</v>
      </c>
      <c r="C489" s="45" t="s">
        <v>936</v>
      </c>
      <c r="D489" s="46" t="s">
        <v>2013</v>
      </c>
      <c r="E489" s="3">
        <v>314</v>
      </c>
      <c r="F489" s="3">
        <v>402</v>
      </c>
      <c r="G489" s="3">
        <v>1180</v>
      </c>
      <c r="H489" s="3">
        <v>676</v>
      </c>
      <c r="I489" s="9">
        <v>41677</v>
      </c>
      <c r="J489" s="47">
        <v>0.77718750000000003</v>
      </c>
    </row>
    <row r="490" spans="1:10" ht="30" x14ac:dyDescent="0.25">
      <c r="A490" s="3" t="s">
        <v>14</v>
      </c>
      <c r="B490" s="45" t="s">
        <v>2075</v>
      </c>
      <c r="C490" s="45" t="s">
        <v>12</v>
      </c>
      <c r="D490" s="46" t="s">
        <v>2076</v>
      </c>
      <c r="E490" s="3">
        <v>100</v>
      </c>
      <c r="F490" s="3">
        <v>373</v>
      </c>
      <c r="G490" s="3">
        <v>15</v>
      </c>
      <c r="H490" s="3">
        <v>3</v>
      </c>
      <c r="I490" s="9">
        <v>41473</v>
      </c>
      <c r="J490" s="47">
        <v>0.86230324074074083</v>
      </c>
    </row>
    <row r="491" spans="1:10" ht="30" x14ac:dyDescent="0.25">
      <c r="A491" s="3" t="s">
        <v>14</v>
      </c>
      <c r="B491" s="45" t="s">
        <v>2174</v>
      </c>
      <c r="C491" s="45" t="s">
        <v>788</v>
      </c>
      <c r="D491" s="46" t="s">
        <v>2175</v>
      </c>
      <c r="E491" s="3">
        <v>406</v>
      </c>
      <c r="F491" s="3">
        <v>339</v>
      </c>
      <c r="G491" s="3">
        <v>1260</v>
      </c>
      <c r="H491" s="3">
        <v>200</v>
      </c>
      <c r="I491" s="9">
        <v>41614</v>
      </c>
      <c r="J491" s="47">
        <v>0.36874999999999997</v>
      </c>
    </row>
    <row r="492" spans="1:10" ht="30" x14ac:dyDescent="0.25">
      <c r="A492" s="3" t="s">
        <v>14</v>
      </c>
      <c r="B492" s="45" t="s">
        <v>2182</v>
      </c>
      <c r="C492" s="45" t="s">
        <v>788</v>
      </c>
      <c r="D492" s="46" t="s">
        <v>2183</v>
      </c>
      <c r="E492" s="3">
        <v>459</v>
      </c>
      <c r="F492" s="3">
        <v>337</v>
      </c>
      <c r="G492" s="3">
        <v>1600</v>
      </c>
      <c r="H492" s="3">
        <v>36</v>
      </c>
      <c r="I492" s="9">
        <v>41904</v>
      </c>
      <c r="J492" s="47">
        <v>0.5975462962962963</v>
      </c>
    </row>
    <row r="493" spans="1:10" ht="30" x14ac:dyDescent="0.25">
      <c r="A493" s="3" t="s">
        <v>14</v>
      </c>
      <c r="B493" s="45" t="s">
        <v>2201</v>
      </c>
      <c r="C493" s="45" t="s">
        <v>2202</v>
      </c>
      <c r="D493" s="46" t="s">
        <v>2203</v>
      </c>
      <c r="E493" s="3">
        <v>128</v>
      </c>
      <c r="F493" s="3">
        <v>326</v>
      </c>
      <c r="G493" s="3">
        <v>992</v>
      </c>
      <c r="H493" s="3">
        <v>1</v>
      </c>
      <c r="I493" s="9">
        <v>40189</v>
      </c>
      <c r="J493" s="47">
        <v>0.46746527777777774</v>
      </c>
    </row>
    <row r="494" spans="1:10" ht="30" x14ac:dyDescent="0.25">
      <c r="A494" s="3" t="s">
        <v>14</v>
      </c>
      <c r="B494" s="45" t="s">
        <v>2277</v>
      </c>
      <c r="C494" s="45" t="s">
        <v>61</v>
      </c>
      <c r="D494" s="46" t="s">
        <v>2278</v>
      </c>
      <c r="E494" s="3">
        <v>538</v>
      </c>
      <c r="F494" s="3">
        <v>295</v>
      </c>
      <c r="G494" s="3">
        <v>1428</v>
      </c>
      <c r="H494" s="3">
        <v>341</v>
      </c>
      <c r="I494" s="9">
        <v>42020</v>
      </c>
      <c r="J494" s="47">
        <v>0.44137731481481479</v>
      </c>
    </row>
    <row r="495" spans="1:10" ht="30" x14ac:dyDescent="0.25">
      <c r="A495" s="3" t="s">
        <v>14</v>
      </c>
      <c r="B495" s="45" t="s">
        <v>2297</v>
      </c>
      <c r="C495" s="45" t="s">
        <v>2298</v>
      </c>
      <c r="D495" s="46" t="s">
        <v>2299</v>
      </c>
      <c r="E495" s="3">
        <v>209</v>
      </c>
      <c r="F495" s="3">
        <v>289</v>
      </c>
      <c r="G495" s="3">
        <v>343</v>
      </c>
      <c r="H495" s="3">
        <v>58</v>
      </c>
      <c r="I495" s="9">
        <v>40072</v>
      </c>
      <c r="J495" s="47">
        <v>0.56177083333333333</v>
      </c>
    </row>
    <row r="496" spans="1:10" x14ac:dyDescent="0.25">
      <c r="A496" s="3" t="s">
        <v>14</v>
      </c>
      <c r="B496" s="45" t="s">
        <v>2383</v>
      </c>
      <c r="E496" s="3">
        <v>160</v>
      </c>
      <c r="F496" s="3">
        <v>267</v>
      </c>
      <c r="G496" s="3">
        <v>1472</v>
      </c>
      <c r="H496" s="3">
        <v>61</v>
      </c>
      <c r="I496" s="9">
        <v>42082</v>
      </c>
      <c r="J496" s="47">
        <v>0.73038194444444438</v>
      </c>
    </row>
    <row r="497" spans="1:16" ht="30" x14ac:dyDescent="0.25">
      <c r="A497" s="3" t="s">
        <v>14</v>
      </c>
      <c r="B497" s="45" t="s">
        <v>2387</v>
      </c>
      <c r="C497" s="45" t="s">
        <v>508</v>
      </c>
      <c r="D497" s="46" t="s">
        <v>2388</v>
      </c>
      <c r="E497" s="3">
        <v>557</v>
      </c>
      <c r="F497" s="3">
        <v>266</v>
      </c>
      <c r="G497" s="3">
        <v>1023</v>
      </c>
      <c r="H497" s="3">
        <v>87</v>
      </c>
      <c r="I497" s="9">
        <v>42271</v>
      </c>
      <c r="J497" s="47">
        <v>0.63045138888888885</v>
      </c>
    </row>
    <row r="498" spans="1:16" ht="30" x14ac:dyDescent="0.25">
      <c r="A498" s="3" t="s">
        <v>14</v>
      </c>
      <c r="B498" s="45" t="s">
        <v>2443</v>
      </c>
      <c r="C498" s="45" t="s">
        <v>508</v>
      </c>
      <c r="D498" s="46" t="s">
        <v>2444</v>
      </c>
      <c r="E498" s="3">
        <v>139</v>
      </c>
      <c r="F498" s="3">
        <v>256</v>
      </c>
      <c r="G498" s="3">
        <v>984</v>
      </c>
      <c r="H498" s="3">
        <v>65</v>
      </c>
      <c r="I498" s="9">
        <v>42263</v>
      </c>
      <c r="J498" s="47">
        <v>0.6152199074074074</v>
      </c>
    </row>
    <row r="499" spans="1:16" ht="45" x14ac:dyDescent="0.25">
      <c r="A499" s="3" t="s">
        <v>14</v>
      </c>
      <c r="B499" s="45" t="s">
        <v>2504</v>
      </c>
      <c r="D499" s="46" t="s">
        <v>2505</v>
      </c>
      <c r="E499" s="3">
        <v>31</v>
      </c>
      <c r="F499" s="3">
        <v>236</v>
      </c>
      <c r="G499" s="3">
        <v>310</v>
      </c>
      <c r="H499" s="3">
        <v>10</v>
      </c>
      <c r="I499" s="9">
        <v>40408</v>
      </c>
      <c r="J499" s="47">
        <v>0.42824074074074076</v>
      </c>
    </row>
    <row r="500" spans="1:16" ht="30" x14ac:dyDescent="0.25">
      <c r="A500" s="3" t="s">
        <v>14</v>
      </c>
      <c r="B500" s="45" t="s">
        <v>2509</v>
      </c>
      <c r="C500" s="45" t="s">
        <v>505</v>
      </c>
      <c r="D500" s="46" t="s">
        <v>2510</v>
      </c>
      <c r="E500" s="3">
        <v>195</v>
      </c>
      <c r="F500" s="3">
        <v>234</v>
      </c>
      <c r="G500" s="3">
        <v>107</v>
      </c>
      <c r="H500" s="3">
        <v>45</v>
      </c>
      <c r="I500" s="9">
        <v>42076</v>
      </c>
      <c r="J500" s="47">
        <v>0.47561342592592593</v>
      </c>
    </row>
    <row r="501" spans="1:16" x14ac:dyDescent="0.25">
      <c r="A501" s="3" t="s">
        <v>14</v>
      </c>
      <c r="B501" s="45" t="s">
        <v>2654</v>
      </c>
      <c r="E501" s="3">
        <v>32</v>
      </c>
      <c r="F501" s="3">
        <v>202</v>
      </c>
      <c r="G501" s="3">
        <v>132</v>
      </c>
      <c r="H501" s="3">
        <v>8</v>
      </c>
      <c r="I501" s="9">
        <v>41533</v>
      </c>
      <c r="J501" s="47">
        <v>0.41805555555555557</v>
      </c>
    </row>
    <row r="502" spans="1:16" x14ac:dyDescent="0.25">
      <c r="A502" s="3" t="s">
        <v>14</v>
      </c>
      <c r="B502" s="45" t="s">
        <v>2734</v>
      </c>
      <c r="C502" s="45" t="s">
        <v>61</v>
      </c>
      <c r="D502" s="46" t="s">
        <v>2735</v>
      </c>
      <c r="E502" s="3">
        <v>263</v>
      </c>
      <c r="F502" s="3">
        <v>189</v>
      </c>
      <c r="G502" s="3">
        <v>502</v>
      </c>
      <c r="H502" s="3">
        <v>47</v>
      </c>
      <c r="I502" s="9">
        <v>41981</v>
      </c>
      <c r="J502" s="47">
        <v>0.43111111111111117</v>
      </c>
    </row>
    <row r="503" spans="1:16" ht="30" x14ac:dyDescent="0.25">
      <c r="A503" s="3" t="s">
        <v>14</v>
      </c>
      <c r="B503" s="45" t="s">
        <v>2752</v>
      </c>
      <c r="C503" s="45" t="s">
        <v>2753</v>
      </c>
      <c r="D503" s="46" t="s">
        <v>2754</v>
      </c>
      <c r="E503" s="3">
        <v>85</v>
      </c>
      <c r="F503" s="3">
        <v>187</v>
      </c>
      <c r="G503" s="3">
        <v>225</v>
      </c>
      <c r="H503" s="3">
        <v>63</v>
      </c>
      <c r="I503" s="9">
        <v>42335</v>
      </c>
      <c r="J503" s="47">
        <v>0.57752314814814809</v>
      </c>
    </row>
    <row r="504" spans="1:16" s="52" customFormat="1" x14ac:dyDescent="0.25">
      <c r="A504" s="3" t="s">
        <v>14</v>
      </c>
      <c r="B504" s="45" t="s">
        <v>2802</v>
      </c>
      <c r="C504" s="45" t="s">
        <v>788</v>
      </c>
      <c r="D504" s="46" t="s">
        <v>2803</v>
      </c>
      <c r="E504" s="3">
        <v>125</v>
      </c>
      <c r="F504" s="3">
        <v>177</v>
      </c>
      <c r="G504" s="3">
        <v>116</v>
      </c>
      <c r="H504" s="3">
        <v>0</v>
      </c>
      <c r="I504" s="9">
        <v>41773</v>
      </c>
      <c r="J504" s="51">
        <v>0.52968749999999998</v>
      </c>
      <c r="K504" s="45"/>
      <c r="L504" s="45"/>
      <c r="M504" s="45"/>
      <c r="N504" s="45"/>
      <c r="O504" s="45"/>
      <c r="P504" s="45"/>
    </row>
    <row r="505" spans="1:16" ht="30" x14ac:dyDescent="0.25">
      <c r="A505" s="3" t="s">
        <v>14</v>
      </c>
      <c r="B505" s="45" t="s">
        <v>2859</v>
      </c>
      <c r="C505" s="45" t="s">
        <v>1189</v>
      </c>
      <c r="D505" s="46" t="s">
        <v>2860</v>
      </c>
      <c r="E505" s="3">
        <v>76</v>
      </c>
      <c r="F505" s="3">
        <v>167</v>
      </c>
      <c r="G505" s="3">
        <v>291</v>
      </c>
      <c r="H505" s="3">
        <v>93</v>
      </c>
      <c r="I505" s="9">
        <v>42612</v>
      </c>
      <c r="J505" s="47">
        <v>0.56567129629629631</v>
      </c>
    </row>
    <row r="506" spans="1:16" ht="30" x14ac:dyDescent="0.25">
      <c r="A506" s="3" t="s">
        <v>14</v>
      </c>
      <c r="B506" s="45" t="s">
        <v>2920</v>
      </c>
      <c r="C506" s="45" t="s">
        <v>508</v>
      </c>
      <c r="D506" s="46" t="s">
        <v>2921</v>
      </c>
      <c r="E506" s="3">
        <v>276</v>
      </c>
      <c r="F506" s="3">
        <v>155</v>
      </c>
      <c r="G506" s="3">
        <v>175</v>
      </c>
      <c r="H506" s="3">
        <v>60</v>
      </c>
      <c r="I506" s="9">
        <v>42178</v>
      </c>
      <c r="J506" s="47">
        <v>0.44765046296296296</v>
      </c>
    </row>
    <row r="507" spans="1:16" x14ac:dyDescent="0.25">
      <c r="A507" s="3" t="s">
        <v>14</v>
      </c>
      <c r="B507" s="45" t="s">
        <v>2972</v>
      </c>
      <c r="C507" s="45" t="s">
        <v>2973</v>
      </c>
      <c r="D507" s="46" t="s">
        <v>2974</v>
      </c>
      <c r="E507" s="3">
        <v>258</v>
      </c>
      <c r="F507" s="3">
        <v>147</v>
      </c>
      <c r="G507" s="3">
        <v>988</v>
      </c>
      <c r="H507" s="3">
        <v>35</v>
      </c>
      <c r="I507" s="9">
        <v>42223</v>
      </c>
      <c r="J507" s="47">
        <v>0.54715277777777771</v>
      </c>
    </row>
    <row r="508" spans="1:16" x14ac:dyDescent="0.25">
      <c r="A508" s="3" t="s">
        <v>14</v>
      </c>
      <c r="B508" s="45" t="s">
        <v>3363</v>
      </c>
      <c r="E508" s="3">
        <v>66</v>
      </c>
      <c r="F508" s="3">
        <v>49</v>
      </c>
      <c r="G508" s="3">
        <v>8</v>
      </c>
      <c r="H508" s="3">
        <v>0</v>
      </c>
      <c r="I508" s="9">
        <v>40317</v>
      </c>
      <c r="J508" s="47">
        <v>0.44373842592592588</v>
      </c>
    </row>
    <row r="509" spans="1:16" ht="30" x14ac:dyDescent="0.25">
      <c r="A509" s="3" t="s">
        <v>14</v>
      </c>
      <c r="B509" s="45" t="s">
        <v>3418</v>
      </c>
      <c r="C509" s="45" t="s">
        <v>61</v>
      </c>
      <c r="D509" s="46" t="s">
        <v>3419</v>
      </c>
      <c r="E509" s="3">
        <v>2</v>
      </c>
      <c r="F509" s="3">
        <v>37</v>
      </c>
      <c r="G509" s="3">
        <v>129</v>
      </c>
      <c r="H509" s="3">
        <v>0</v>
      </c>
      <c r="I509" s="9">
        <v>40417</v>
      </c>
      <c r="J509" s="47">
        <v>0.37197916666666669</v>
      </c>
    </row>
    <row r="510" spans="1:16" x14ac:dyDescent="0.25">
      <c r="A510" s="2" t="s">
        <v>18</v>
      </c>
      <c r="B510" s="52" t="s">
        <v>19</v>
      </c>
      <c r="C510" s="52" t="s">
        <v>20</v>
      </c>
      <c r="D510" s="53" t="s">
        <v>21</v>
      </c>
      <c r="E510" s="2">
        <v>12991</v>
      </c>
      <c r="F510" s="2">
        <v>34613</v>
      </c>
      <c r="G510" s="2">
        <v>18929</v>
      </c>
      <c r="H510" s="2">
        <v>8951</v>
      </c>
      <c r="I510" s="9">
        <v>39993</v>
      </c>
      <c r="J510" s="47">
        <v>0.62197916666666664</v>
      </c>
    </row>
    <row r="511" spans="1:16" x14ac:dyDescent="0.25">
      <c r="A511" s="3" t="s">
        <v>18</v>
      </c>
      <c r="B511" s="45" t="s">
        <v>41</v>
      </c>
      <c r="D511" s="46" t="s">
        <v>42</v>
      </c>
      <c r="E511" s="3">
        <v>295</v>
      </c>
      <c r="F511" s="3">
        <v>24430</v>
      </c>
      <c r="G511" s="3">
        <v>6059</v>
      </c>
      <c r="H511" s="3">
        <v>479</v>
      </c>
      <c r="I511" s="9">
        <v>40291</v>
      </c>
      <c r="J511" s="47">
        <v>0.42306712962962961</v>
      </c>
    </row>
    <row r="512" spans="1:16" x14ac:dyDescent="0.25">
      <c r="A512" s="3" t="s">
        <v>18</v>
      </c>
      <c r="B512" s="45" t="s">
        <v>76</v>
      </c>
      <c r="C512" s="45" t="s">
        <v>77</v>
      </c>
      <c r="D512" s="46" t="s">
        <v>78</v>
      </c>
      <c r="E512" s="3">
        <v>4833</v>
      </c>
      <c r="F512" s="3">
        <v>11438</v>
      </c>
      <c r="G512" s="3">
        <v>8803</v>
      </c>
      <c r="H512" s="3">
        <v>6171</v>
      </c>
      <c r="I512" s="9">
        <v>39930</v>
      </c>
      <c r="J512" s="47">
        <v>0.66518518518518521</v>
      </c>
    </row>
    <row r="513" spans="1:10" ht="30" x14ac:dyDescent="0.25">
      <c r="A513" s="3" t="s">
        <v>18</v>
      </c>
      <c r="B513" s="45" t="s">
        <v>114</v>
      </c>
      <c r="C513" s="45" t="s">
        <v>115</v>
      </c>
      <c r="D513" s="46" t="s">
        <v>116</v>
      </c>
      <c r="E513" s="3">
        <v>899</v>
      </c>
      <c r="F513" s="3">
        <v>7938</v>
      </c>
      <c r="G513" s="3">
        <v>5491</v>
      </c>
      <c r="H513" s="3">
        <v>20207</v>
      </c>
      <c r="I513" s="9">
        <v>40473</v>
      </c>
      <c r="J513" s="47">
        <v>0.81739583333333332</v>
      </c>
    </row>
    <row r="514" spans="1:10" ht="30" x14ac:dyDescent="0.25">
      <c r="A514" s="3" t="s">
        <v>18</v>
      </c>
      <c r="B514" s="45" t="s">
        <v>188</v>
      </c>
      <c r="C514" s="45" t="s">
        <v>189</v>
      </c>
      <c r="D514" s="46" t="s">
        <v>190</v>
      </c>
      <c r="E514" s="3">
        <v>285</v>
      </c>
      <c r="F514" s="3">
        <v>5485</v>
      </c>
      <c r="G514" s="3">
        <v>6123</v>
      </c>
      <c r="H514" s="3">
        <v>59</v>
      </c>
      <c r="I514" s="9">
        <v>40291</v>
      </c>
      <c r="J514" s="47">
        <v>0.6497222222222222</v>
      </c>
    </row>
    <row r="515" spans="1:10" ht="30" x14ac:dyDescent="0.25">
      <c r="A515" s="3" t="s">
        <v>18</v>
      </c>
      <c r="B515" s="45" t="s">
        <v>197</v>
      </c>
      <c r="C515" s="45" t="s">
        <v>198</v>
      </c>
      <c r="D515" s="46" t="s">
        <v>199</v>
      </c>
      <c r="E515" s="3">
        <v>1158</v>
      </c>
      <c r="F515" s="3">
        <v>5047</v>
      </c>
      <c r="G515" s="3">
        <v>3424</v>
      </c>
      <c r="H515" s="3">
        <v>467</v>
      </c>
      <c r="I515" s="9">
        <v>40861</v>
      </c>
      <c r="J515" s="47">
        <v>0.38746527777777778</v>
      </c>
    </row>
    <row r="516" spans="1:10" ht="30" x14ac:dyDescent="0.25">
      <c r="A516" s="2" t="s">
        <v>18</v>
      </c>
      <c r="B516" s="52" t="s">
        <v>292</v>
      </c>
      <c r="C516" s="52" t="s">
        <v>293</v>
      </c>
      <c r="D516" s="53" t="s">
        <v>294</v>
      </c>
      <c r="E516" s="2">
        <v>1656</v>
      </c>
      <c r="F516" s="2">
        <v>3601</v>
      </c>
      <c r="G516" s="2">
        <v>11900</v>
      </c>
      <c r="H516" s="2">
        <v>12416</v>
      </c>
      <c r="I516" s="9">
        <v>39984</v>
      </c>
      <c r="J516" s="47">
        <v>0.61643518518518514</v>
      </c>
    </row>
    <row r="517" spans="1:10" ht="30" x14ac:dyDescent="0.25">
      <c r="A517" s="3" t="s">
        <v>18</v>
      </c>
      <c r="B517" s="45" t="s">
        <v>326</v>
      </c>
      <c r="C517" s="45" t="s">
        <v>327</v>
      </c>
      <c r="D517" s="46" t="s">
        <v>328</v>
      </c>
      <c r="E517" s="3">
        <v>756</v>
      </c>
      <c r="F517" s="3">
        <v>3424</v>
      </c>
      <c r="G517" s="3">
        <v>2985</v>
      </c>
      <c r="H517" s="3">
        <v>806</v>
      </c>
      <c r="I517" s="9">
        <v>40314</v>
      </c>
      <c r="J517" s="47">
        <v>0.87162037037037043</v>
      </c>
    </row>
    <row r="518" spans="1:10" ht="30" x14ac:dyDescent="0.25">
      <c r="A518" s="3" t="s">
        <v>18</v>
      </c>
      <c r="B518" s="45" t="s">
        <v>345</v>
      </c>
      <c r="C518" s="45" t="s">
        <v>346</v>
      </c>
      <c r="D518" s="46" t="s">
        <v>347</v>
      </c>
      <c r="E518" s="3">
        <v>913</v>
      </c>
      <c r="F518" s="3">
        <v>3247</v>
      </c>
      <c r="G518" s="3">
        <v>3764</v>
      </c>
      <c r="H518" s="3">
        <v>603</v>
      </c>
      <c r="I518" s="9">
        <v>40484</v>
      </c>
      <c r="J518" s="47">
        <v>0.76620370370370372</v>
      </c>
    </row>
    <row r="519" spans="1:10" x14ac:dyDescent="0.25">
      <c r="A519" s="3" t="s">
        <v>18</v>
      </c>
      <c r="B519" s="45" t="s">
        <v>354</v>
      </c>
      <c r="C519" s="45" t="s">
        <v>355</v>
      </c>
      <c r="D519" s="46" t="s">
        <v>356</v>
      </c>
      <c r="E519" s="3">
        <v>1213</v>
      </c>
      <c r="F519" s="3">
        <v>3176</v>
      </c>
      <c r="G519" s="3">
        <v>7342</v>
      </c>
      <c r="H519" s="3">
        <v>2383</v>
      </c>
      <c r="I519" s="9">
        <v>40323</v>
      </c>
      <c r="J519" s="47">
        <v>0.65511574074074075</v>
      </c>
    </row>
    <row r="520" spans="1:10" ht="30" x14ac:dyDescent="0.25">
      <c r="A520" s="3" t="s">
        <v>18</v>
      </c>
      <c r="B520" s="45" t="s">
        <v>380</v>
      </c>
      <c r="C520" s="45" t="s">
        <v>381</v>
      </c>
      <c r="D520" s="46" t="s">
        <v>382</v>
      </c>
      <c r="E520" s="3">
        <v>2096</v>
      </c>
      <c r="F520" s="3">
        <v>2952</v>
      </c>
      <c r="G520" s="3">
        <v>33507</v>
      </c>
      <c r="H520" s="3">
        <v>1435</v>
      </c>
      <c r="I520" s="9">
        <v>40870</v>
      </c>
      <c r="J520" s="47">
        <v>0.75013888888888891</v>
      </c>
    </row>
    <row r="521" spans="1:10" ht="30" x14ac:dyDescent="0.25">
      <c r="A521" s="3" t="s">
        <v>18</v>
      </c>
      <c r="B521" s="45" t="s">
        <v>392</v>
      </c>
      <c r="C521" s="45" t="s">
        <v>393</v>
      </c>
      <c r="D521" s="46" t="s">
        <v>394</v>
      </c>
      <c r="E521" s="3">
        <v>401</v>
      </c>
      <c r="F521" s="3">
        <v>2899</v>
      </c>
      <c r="G521" s="3">
        <v>8511</v>
      </c>
      <c r="H521" s="3">
        <v>6077</v>
      </c>
      <c r="I521" s="9">
        <v>41327</v>
      </c>
      <c r="J521" s="47">
        <v>0.61211805555555554</v>
      </c>
    </row>
    <row r="522" spans="1:10" ht="30" x14ac:dyDescent="0.25">
      <c r="A522" s="3" t="s">
        <v>18</v>
      </c>
      <c r="B522" s="45" t="s">
        <v>403</v>
      </c>
      <c r="C522" s="45" t="s">
        <v>404</v>
      </c>
      <c r="D522" s="46" t="s">
        <v>405</v>
      </c>
      <c r="E522" s="3">
        <v>1347</v>
      </c>
      <c r="F522" s="3">
        <v>2872</v>
      </c>
      <c r="G522" s="3">
        <v>5589</v>
      </c>
      <c r="H522" s="3">
        <v>975</v>
      </c>
      <c r="I522" s="9">
        <v>41407</v>
      </c>
      <c r="J522" s="47">
        <v>0.70655092592592583</v>
      </c>
    </row>
    <row r="523" spans="1:10" ht="30" x14ac:dyDescent="0.25">
      <c r="A523" s="3" t="s">
        <v>18</v>
      </c>
      <c r="B523" s="45" t="s">
        <v>400</v>
      </c>
      <c r="C523" s="45" t="s">
        <v>401</v>
      </c>
      <c r="D523" s="46" t="s">
        <v>402</v>
      </c>
      <c r="E523" s="3">
        <v>795</v>
      </c>
      <c r="F523" s="3">
        <v>2872</v>
      </c>
      <c r="G523" s="3">
        <v>7183</v>
      </c>
      <c r="H523" s="3">
        <v>3878</v>
      </c>
      <c r="I523" s="9">
        <v>40407</v>
      </c>
      <c r="J523" s="47">
        <v>0.58015046296296291</v>
      </c>
    </row>
    <row r="524" spans="1:10" ht="30" x14ac:dyDescent="0.25">
      <c r="A524" s="3" t="s">
        <v>18</v>
      </c>
      <c r="B524" s="45" t="s">
        <v>417</v>
      </c>
      <c r="C524" s="45" t="s">
        <v>418</v>
      </c>
      <c r="D524" s="46" t="s">
        <v>419</v>
      </c>
      <c r="E524" s="3">
        <v>484</v>
      </c>
      <c r="F524" s="3">
        <v>2797</v>
      </c>
      <c r="G524" s="3">
        <v>6254</v>
      </c>
      <c r="H524" s="3">
        <v>890</v>
      </c>
      <c r="I524" s="9">
        <v>41689</v>
      </c>
      <c r="J524" s="47">
        <v>0.49120370370370375</v>
      </c>
    </row>
    <row r="525" spans="1:10" ht="30" x14ac:dyDescent="0.25">
      <c r="A525" s="3" t="s">
        <v>18</v>
      </c>
      <c r="B525" s="45" t="s">
        <v>522</v>
      </c>
      <c r="C525" s="45" t="s">
        <v>523</v>
      </c>
      <c r="D525" s="46" t="s">
        <v>524</v>
      </c>
      <c r="E525" s="3">
        <v>2241</v>
      </c>
      <c r="F525" s="3">
        <v>2394</v>
      </c>
      <c r="G525" s="3">
        <v>2338</v>
      </c>
      <c r="H525" s="3">
        <v>132</v>
      </c>
      <c r="I525" s="9">
        <v>40981</v>
      </c>
      <c r="J525" s="47">
        <v>0.61956018518518519</v>
      </c>
    </row>
    <row r="526" spans="1:10" ht="30" x14ac:dyDescent="0.25">
      <c r="A526" s="3" t="s">
        <v>18</v>
      </c>
      <c r="B526" s="45" t="s">
        <v>565</v>
      </c>
      <c r="C526" s="45" t="s">
        <v>566</v>
      </c>
      <c r="D526" s="46" t="s">
        <v>567</v>
      </c>
      <c r="E526" s="3">
        <v>927</v>
      </c>
      <c r="F526" s="3">
        <v>2280</v>
      </c>
      <c r="G526" s="3">
        <v>5983</v>
      </c>
      <c r="H526" s="3">
        <v>331</v>
      </c>
      <c r="I526" s="9">
        <v>41383</v>
      </c>
      <c r="J526" s="47">
        <v>0.45653935185185185</v>
      </c>
    </row>
    <row r="527" spans="1:10" x14ac:dyDescent="0.25">
      <c r="A527" s="3" t="s">
        <v>18</v>
      </c>
      <c r="B527" s="45" t="s">
        <v>574</v>
      </c>
      <c r="C527" s="45" t="s">
        <v>575</v>
      </c>
      <c r="D527" s="46" t="s">
        <v>576</v>
      </c>
      <c r="E527" s="3">
        <v>355</v>
      </c>
      <c r="F527" s="3">
        <v>2259</v>
      </c>
      <c r="G527" s="3">
        <v>4758</v>
      </c>
      <c r="H527" s="3">
        <v>976</v>
      </c>
      <c r="I527" s="9">
        <v>41289</v>
      </c>
      <c r="J527" s="47">
        <v>0.61406250000000007</v>
      </c>
    </row>
    <row r="528" spans="1:10" ht="30" x14ac:dyDescent="0.25">
      <c r="A528" s="3" t="s">
        <v>18</v>
      </c>
      <c r="B528" s="45" t="s">
        <v>583</v>
      </c>
      <c r="C528" s="45" t="s">
        <v>584</v>
      </c>
      <c r="D528" s="46" t="s">
        <v>585</v>
      </c>
      <c r="E528" s="3">
        <v>488</v>
      </c>
      <c r="F528" s="3">
        <v>2224</v>
      </c>
      <c r="G528" s="3">
        <v>3114</v>
      </c>
      <c r="H528" s="3">
        <v>352</v>
      </c>
      <c r="I528" s="9">
        <v>40505</v>
      </c>
      <c r="J528" s="47">
        <v>0.43679398148148146</v>
      </c>
    </row>
    <row r="529" spans="1:16" s="52" customFormat="1" x14ac:dyDescent="0.25">
      <c r="A529" s="3" t="s">
        <v>18</v>
      </c>
      <c r="B529" s="45" t="s">
        <v>632</v>
      </c>
      <c r="C529" s="45" t="s">
        <v>633</v>
      </c>
      <c r="D529" s="46" t="s">
        <v>634</v>
      </c>
      <c r="E529" s="3">
        <v>1183</v>
      </c>
      <c r="F529" s="3">
        <v>2110</v>
      </c>
      <c r="G529" s="3">
        <v>5576</v>
      </c>
      <c r="H529" s="3">
        <v>1772</v>
      </c>
      <c r="I529" s="9">
        <v>41934</v>
      </c>
      <c r="J529" s="51">
        <v>0.57320601851851849</v>
      </c>
      <c r="K529" s="45"/>
      <c r="L529" s="45"/>
      <c r="M529" s="45"/>
      <c r="N529" s="45"/>
      <c r="O529" s="45"/>
      <c r="P529" s="45"/>
    </row>
    <row r="530" spans="1:16" ht="30" x14ac:dyDescent="0.25">
      <c r="A530" s="3" t="s">
        <v>18</v>
      </c>
      <c r="B530" s="45" t="s">
        <v>668</v>
      </c>
      <c r="C530" s="45" t="s">
        <v>110</v>
      </c>
      <c r="D530" s="46" t="s">
        <v>669</v>
      </c>
      <c r="E530" s="3">
        <v>595</v>
      </c>
      <c r="F530" s="3">
        <v>1981</v>
      </c>
      <c r="G530" s="3">
        <v>3724</v>
      </c>
      <c r="H530" s="3">
        <v>306</v>
      </c>
      <c r="I530" s="9">
        <v>40567</v>
      </c>
      <c r="J530" s="47">
        <v>0.44532407407407404</v>
      </c>
    </row>
    <row r="531" spans="1:16" x14ac:dyDescent="0.25">
      <c r="A531" s="3" t="s">
        <v>18</v>
      </c>
      <c r="B531" s="45" t="s">
        <v>188</v>
      </c>
      <c r="C531" s="45" t="s">
        <v>677</v>
      </c>
      <c r="D531" s="46" t="s">
        <v>678</v>
      </c>
      <c r="E531" s="3">
        <v>759</v>
      </c>
      <c r="F531" s="3">
        <v>1957</v>
      </c>
      <c r="G531" s="3">
        <v>2216</v>
      </c>
      <c r="H531" s="3">
        <v>215</v>
      </c>
      <c r="I531" s="9">
        <v>40416</v>
      </c>
      <c r="J531" s="47">
        <v>0.63196759259259261</v>
      </c>
    </row>
    <row r="532" spans="1:16" x14ac:dyDescent="0.25">
      <c r="A532" s="3" t="s">
        <v>18</v>
      </c>
      <c r="B532" s="45" t="s">
        <v>682</v>
      </c>
      <c r="C532" s="45" t="s">
        <v>683</v>
      </c>
      <c r="E532" s="3">
        <v>69</v>
      </c>
      <c r="F532" s="3">
        <v>1938</v>
      </c>
      <c r="G532" s="3">
        <v>5280</v>
      </c>
      <c r="H532" s="3">
        <v>16412</v>
      </c>
      <c r="I532" s="9">
        <v>40764</v>
      </c>
      <c r="J532" s="47">
        <v>0.59548611111111105</v>
      </c>
    </row>
    <row r="533" spans="1:16" ht="30" x14ac:dyDescent="0.25">
      <c r="A533" s="3" t="s">
        <v>18</v>
      </c>
      <c r="B533" s="45" t="s">
        <v>687</v>
      </c>
      <c r="C533" s="45" t="s">
        <v>688</v>
      </c>
      <c r="D533" s="46" t="s">
        <v>689</v>
      </c>
      <c r="E533" s="3">
        <v>719</v>
      </c>
      <c r="F533" s="3">
        <v>1920</v>
      </c>
      <c r="G533" s="3">
        <v>351</v>
      </c>
      <c r="H533" s="3">
        <v>580</v>
      </c>
      <c r="I533" s="9">
        <v>41200</v>
      </c>
      <c r="J533" s="47">
        <v>0.43738425925925922</v>
      </c>
    </row>
    <row r="534" spans="1:16" x14ac:dyDescent="0.25">
      <c r="A534" s="3" t="s">
        <v>18</v>
      </c>
      <c r="B534" s="45" t="s">
        <v>696</v>
      </c>
      <c r="C534" s="45" t="s">
        <v>697</v>
      </c>
      <c r="D534" s="46" t="s">
        <v>698</v>
      </c>
      <c r="E534" s="3">
        <v>943</v>
      </c>
      <c r="F534" s="3">
        <v>1898</v>
      </c>
      <c r="G534" s="3">
        <v>5784</v>
      </c>
      <c r="H534" s="3">
        <v>1016</v>
      </c>
      <c r="I534" s="9">
        <v>41265</v>
      </c>
      <c r="J534" s="47">
        <v>0.65512731481481479</v>
      </c>
    </row>
    <row r="535" spans="1:16" x14ac:dyDescent="0.25">
      <c r="A535" s="3" t="s">
        <v>18</v>
      </c>
      <c r="B535" s="45" t="s">
        <v>699</v>
      </c>
      <c r="C535" s="45" t="s">
        <v>700</v>
      </c>
      <c r="E535" s="3">
        <v>403</v>
      </c>
      <c r="F535" s="3">
        <v>1892</v>
      </c>
      <c r="G535" s="3">
        <v>4655</v>
      </c>
      <c r="H535" s="3">
        <v>377</v>
      </c>
      <c r="I535" s="9">
        <v>40108</v>
      </c>
      <c r="J535" s="47">
        <v>0.76807870370370368</v>
      </c>
    </row>
    <row r="536" spans="1:16" x14ac:dyDescent="0.25">
      <c r="A536" s="3" t="s">
        <v>18</v>
      </c>
      <c r="B536" s="45" t="s">
        <v>713</v>
      </c>
      <c r="C536" s="45" t="s">
        <v>714</v>
      </c>
      <c r="D536" s="46" t="s">
        <v>715</v>
      </c>
      <c r="E536" s="3">
        <v>797</v>
      </c>
      <c r="F536" s="3">
        <v>1831</v>
      </c>
      <c r="G536" s="3">
        <v>16755</v>
      </c>
      <c r="H536" s="3">
        <v>572</v>
      </c>
      <c r="I536" s="9">
        <v>40237</v>
      </c>
      <c r="J536" s="47">
        <v>0.65156249999999993</v>
      </c>
    </row>
    <row r="537" spans="1:16" x14ac:dyDescent="0.25">
      <c r="A537" s="3" t="s">
        <v>18</v>
      </c>
      <c r="B537" s="45" t="s">
        <v>729</v>
      </c>
      <c r="C537" s="45" t="s">
        <v>730</v>
      </c>
      <c r="D537" s="46" t="s">
        <v>731</v>
      </c>
      <c r="E537" s="3">
        <v>871</v>
      </c>
      <c r="F537" s="3">
        <v>1789</v>
      </c>
      <c r="G537" s="3">
        <v>781</v>
      </c>
      <c r="H537" s="3">
        <v>93</v>
      </c>
      <c r="I537" s="9">
        <v>39988</v>
      </c>
      <c r="J537" s="47">
        <v>0.48223379629629631</v>
      </c>
    </row>
    <row r="538" spans="1:16" ht="30" x14ac:dyDescent="0.25">
      <c r="A538" s="3" t="s">
        <v>18</v>
      </c>
      <c r="B538" s="45" t="s">
        <v>738</v>
      </c>
      <c r="C538" s="45" t="s">
        <v>739</v>
      </c>
      <c r="D538" s="46" t="s">
        <v>740</v>
      </c>
      <c r="E538" s="3">
        <v>1006</v>
      </c>
      <c r="F538" s="3">
        <v>1773</v>
      </c>
      <c r="G538" s="3">
        <v>3203</v>
      </c>
      <c r="H538" s="3">
        <v>325</v>
      </c>
      <c r="I538" s="9">
        <v>40956</v>
      </c>
      <c r="J538" s="47">
        <v>0.85609953703703701</v>
      </c>
    </row>
    <row r="539" spans="1:16" ht="30" x14ac:dyDescent="0.25">
      <c r="A539" s="3" t="s">
        <v>18</v>
      </c>
      <c r="B539" s="45" t="s">
        <v>759</v>
      </c>
      <c r="D539" s="46" t="s">
        <v>760</v>
      </c>
      <c r="E539" s="3">
        <v>1579</v>
      </c>
      <c r="F539" s="3">
        <v>1699</v>
      </c>
      <c r="G539" s="3">
        <v>3891</v>
      </c>
      <c r="H539" s="3">
        <v>2036</v>
      </c>
      <c r="I539" s="9">
        <v>41410</v>
      </c>
      <c r="J539" s="47">
        <v>0.4347569444444444</v>
      </c>
    </row>
    <row r="540" spans="1:16" ht="30" x14ac:dyDescent="0.25">
      <c r="A540" s="3" t="s">
        <v>18</v>
      </c>
      <c r="B540" s="45" t="s">
        <v>769</v>
      </c>
      <c r="C540" s="45" t="s">
        <v>770</v>
      </c>
      <c r="D540" s="46" t="s">
        <v>771</v>
      </c>
      <c r="E540" s="3">
        <v>950</v>
      </c>
      <c r="F540" s="3">
        <v>1672</v>
      </c>
      <c r="G540" s="3">
        <v>1781</v>
      </c>
      <c r="H540" s="3">
        <v>31</v>
      </c>
      <c r="I540" s="9">
        <v>40757</v>
      </c>
      <c r="J540" s="47">
        <v>0.8665046296296296</v>
      </c>
    </row>
    <row r="541" spans="1:16" ht="30" x14ac:dyDescent="0.25">
      <c r="A541" s="3" t="s">
        <v>18</v>
      </c>
      <c r="B541" s="45" t="s">
        <v>810</v>
      </c>
      <c r="C541" s="45" t="s">
        <v>36</v>
      </c>
      <c r="D541" s="46" t="s">
        <v>811</v>
      </c>
      <c r="E541" s="3">
        <v>1087</v>
      </c>
      <c r="F541" s="3">
        <v>1593</v>
      </c>
      <c r="G541" s="3">
        <v>1518</v>
      </c>
      <c r="H541" s="3">
        <v>306</v>
      </c>
      <c r="I541" s="9">
        <v>41177</v>
      </c>
      <c r="J541" s="47">
        <v>0.61953703703703711</v>
      </c>
    </row>
    <row r="542" spans="1:16" x14ac:dyDescent="0.25">
      <c r="A542" s="3" t="s">
        <v>18</v>
      </c>
      <c r="B542" s="45" t="s">
        <v>816</v>
      </c>
      <c r="C542" s="45" t="s">
        <v>24</v>
      </c>
      <c r="D542" s="46" t="s">
        <v>817</v>
      </c>
      <c r="E542" s="3">
        <v>568</v>
      </c>
      <c r="F542" s="3">
        <v>1585</v>
      </c>
      <c r="G542" s="3">
        <v>4807</v>
      </c>
      <c r="H542" s="3">
        <v>547</v>
      </c>
      <c r="I542" s="9">
        <v>41317</v>
      </c>
      <c r="J542" s="47">
        <v>0.61532407407407408</v>
      </c>
    </row>
    <row r="543" spans="1:16" ht="30" x14ac:dyDescent="0.25">
      <c r="A543" s="3" t="s">
        <v>18</v>
      </c>
      <c r="B543" s="45" t="s">
        <v>829</v>
      </c>
      <c r="C543" s="45" t="s">
        <v>830</v>
      </c>
      <c r="D543" s="46" t="s">
        <v>831</v>
      </c>
      <c r="E543" s="3">
        <v>725</v>
      </c>
      <c r="F543" s="3">
        <v>1547</v>
      </c>
      <c r="G543" s="3">
        <v>3627</v>
      </c>
      <c r="H543" s="3">
        <v>197</v>
      </c>
      <c r="I543" s="9">
        <v>41288</v>
      </c>
      <c r="J543" s="47">
        <v>0.60572916666666665</v>
      </c>
    </row>
    <row r="544" spans="1:16" x14ac:dyDescent="0.25">
      <c r="A544" s="3" t="s">
        <v>18</v>
      </c>
      <c r="B544" s="45" t="s">
        <v>853</v>
      </c>
      <c r="C544" s="45" t="s">
        <v>854</v>
      </c>
      <c r="D544" s="46" t="s">
        <v>855</v>
      </c>
      <c r="E544" s="3">
        <v>1382</v>
      </c>
      <c r="F544" s="3">
        <v>1488</v>
      </c>
      <c r="G544" s="3">
        <v>3854</v>
      </c>
      <c r="H544" s="3">
        <v>3515</v>
      </c>
      <c r="I544" s="9">
        <v>41582</v>
      </c>
      <c r="J544" s="47">
        <v>0.45968750000000003</v>
      </c>
    </row>
    <row r="545" spans="1:10" x14ac:dyDescent="0.25">
      <c r="A545" s="3" t="s">
        <v>18</v>
      </c>
      <c r="B545" s="45" t="s">
        <v>856</v>
      </c>
      <c r="C545" s="45" t="s">
        <v>857</v>
      </c>
      <c r="D545" s="46" t="s">
        <v>858</v>
      </c>
      <c r="E545" s="3">
        <v>492</v>
      </c>
      <c r="F545" s="3">
        <v>1479</v>
      </c>
      <c r="G545" s="3">
        <v>2727</v>
      </c>
      <c r="H545" s="3">
        <v>568</v>
      </c>
      <c r="I545" s="9">
        <v>39613</v>
      </c>
      <c r="J545" s="47">
        <v>0.47964120370370367</v>
      </c>
    </row>
    <row r="546" spans="1:10" x14ac:dyDescent="0.25">
      <c r="A546" s="3" t="s">
        <v>18</v>
      </c>
      <c r="B546" s="45" t="s">
        <v>859</v>
      </c>
      <c r="C546" s="45" t="s">
        <v>860</v>
      </c>
      <c r="D546" s="46" t="s">
        <v>861</v>
      </c>
      <c r="E546" s="3">
        <v>932</v>
      </c>
      <c r="F546" s="3">
        <v>1479</v>
      </c>
      <c r="G546" s="3">
        <v>4944</v>
      </c>
      <c r="H546" s="3">
        <v>2424</v>
      </c>
      <c r="I546" s="9">
        <v>41277</v>
      </c>
      <c r="J546" s="47">
        <v>0.65506944444444437</v>
      </c>
    </row>
    <row r="547" spans="1:10" ht="30" x14ac:dyDescent="0.25">
      <c r="A547" s="3" t="s">
        <v>18</v>
      </c>
      <c r="B547" s="45" t="s">
        <v>892</v>
      </c>
      <c r="C547" s="45" t="s">
        <v>893</v>
      </c>
      <c r="D547" s="46" t="s">
        <v>894</v>
      </c>
      <c r="E547" s="3">
        <v>430</v>
      </c>
      <c r="F547" s="3">
        <v>1439</v>
      </c>
      <c r="G547" s="3">
        <v>2488</v>
      </c>
      <c r="H547" s="3">
        <v>218</v>
      </c>
      <c r="I547" s="9">
        <v>40781</v>
      </c>
      <c r="J547" s="47">
        <v>0.4902199074074074</v>
      </c>
    </row>
    <row r="548" spans="1:10" x14ac:dyDescent="0.25">
      <c r="A548" s="3" t="s">
        <v>18</v>
      </c>
      <c r="B548" s="45" t="s">
        <v>898</v>
      </c>
      <c r="C548" s="45" t="s">
        <v>899</v>
      </c>
      <c r="D548" s="46" t="s">
        <v>900</v>
      </c>
      <c r="E548" s="3">
        <v>471</v>
      </c>
      <c r="F548" s="3">
        <v>1437</v>
      </c>
      <c r="G548" s="3">
        <v>2583</v>
      </c>
      <c r="H548" s="3">
        <v>635</v>
      </c>
      <c r="I548" s="9">
        <v>41051</v>
      </c>
      <c r="J548" s="47">
        <v>0.67851851851851841</v>
      </c>
    </row>
    <row r="549" spans="1:10" ht="30" x14ac:dyDescent="0.25">
      <c r="A549" s="3" t="s">
        <v>18</v>
      </c>
      <c r="B549" s="45" t="s">
        <v>904</v>
      </c>
      <c r="D549" s="46" t="s">
        <v>905</v>
      </c>
      <c r="E549" s="3">
        <v>507</v>
      </c>
      <c r="F549" s="3">
        <v>1423</v>
      </c>
      <c r="G549" s="3">
        <v>1454</v>
      </c>
      <c r="H549" s="3">
        <v>471</v>
      </c>
      <c r="I549" s="9">
        <v>40637</v>
      </c>
      <c r="J549" s="47">
        <v>0.66760416666666667</v>
      </c>
    </row>
    <row r="550" spans="1:10" ht="30" x14ac:dyDescent="0.25">
      <c r="A550" s="3" t="s">
        <v>18</v>
      </c>
      <c r="B550" s="45" t="s">
        <v>911</v>
      </c>
      <c r="C550" s="45" t="s">
        <v>912</v>
      </c>
      <c r="D550" s="46" t="s">
        <v>913</v>
      </c>
      <c r="E550" s="3">
        <v>696</v>
      </c>
      <c r="F550" s="3">
        <v>1406</v>
      </c>
      <c r="G550" s="3">
        <v>1926</v>
      </c>
      <c r="H550" s="3">
        <v>15</v>
      </c>
      <c r="I550" s="9">
        <v>40875</v>
      </c>
      <c r="J550" s="47">
        <v>0.47170138888888885</v>
      </c>
    </row>
    <row r="551" spans="1:10" ht="30" x14ac:dyDescent="0.25">
      <c r="A551" s="3" t="s">
        <v>18</v>
      </c>
      <c r="B551" s="45" t="s">
        <v>928</v>
      </c>
      <c r="C551" s="45" t="s">
        <v>929</v>
      </c>
      <c r="D551" s="46" t="s">
        <v>930</v>
      </c>
      <c r="E551" s="3">
        <v>1796</v>
      </c>
      <c r="F551" s="3">
        <v>1360</v>
      </c>
      <c r="G551" s="3">
        <v>1231</v>
      </c>
      <c r="H551" s="3">
        <v>391</v>
      </c>
      <c r="I551" s="9">
        <v>41291</v>
      </c>
      <c r="J551" s="47">
        <v>0.69072916666666673</v>
      </c>
    </row>
    <row r="552" spans="1:10" ht="30" x14ac:dyDescent="0.25">
      <c r="A552" s="3" t="s">
        <v>18</v>
      </c>
      <c r="B552" s="45" t="s">
        <v>946</v>
      </c>
      <c r="C552" s="45" t="s">
        <v>947</v>
      </c>
      <c r="D552" s="46" t="s">
        <v>948</v>
      </c>
      <c r="E552" s="3">
        <v>968</v>
      </c>
      <c r="F552" s="3">
        <v>1330</v>
      </c>
      <c r="G552" s="3">
        <v>2332</v>
      </c>
      <c r="H552" s="3">
        <v>507</v>
      </c>
      <c r="I552" s="9">
        <v>40781</v>
      </c>
      <c r="J552" s="47">
        <v>0.48430555555555554</v>
      </c>
    </row>
    <row r="553" spans="1:10" ht="30" x14ac:dyDescent="0.25">
      <c r="A553" s="3" t="s">
        <v>18</v>
      </c>
      <c r="B553" s="45" t="s">
        <v>949</v>
      </c>
      <c r="C553" s="45" t="s">
        <v>950</v>
      </c>
      <c r="D553" s="46" t="s">
        <v>951</v>
      </c>
      <c r="E553" s="3">
        <v>314</v>
      </c>
      <c r="F553" s="3">
        <v>1328</v>
      </c>
      <c r="G553" s="3">
        <v>1078</v>
      </c>
      <c r="H553" s="3">
        <v>867</v>
      </c>
      <c r="I553" s="9">
        <v>41918</v>
      </c>
      <c r="J553" s="47">
        <v>0.47098379629629633</v>
      </c>
    </row>
    <row r="554" spans="1:10" ht="30" x14ac:dyDescent="0.25">
      <c r="A554" s="3" t="s">
        <v>18</v>
      </c>
      <c r="B554" s="45" t="s">
        <v>955</v>
      </c>
      <c r="C554" s="45" t="s">
        <v>219</v>
      </c>
      <c r="D554" s="46" t="s">
        <v>956</v>
      </c>
      <c r="E554" s="3">
        <v>1967</v>
      </c>
      <c r="F554" s="3">
        <v>1324</v>
      </c>
      <c r="G554" s="3">
        <v>1072</v>
      </c>
      <c r="H554" s="3">
        <v>613</v>
      </c>
      <c r="I554" s="9">
        <v>41874</v>
      </c>
      <c r="J554" s="47">
        <v>0.55451388888888886</v>
      </c>
    </row>
    <row r="555" spans="1:10" x14ac:dyDescent="0.25">
      <c r="A555" s="3" t="s">
        <v>18</v>
      </c>
      <c r="B555" s="45" t="s">
        <v>981</v>
      </c>
      <c r="C555" s="45" t="s">
        <v>982</v>
      </c>
      <c r="D555" s="46" t="s">
        <v>983</v>
      </c>
      <c r="E555" s="3">
        <v>885</v>
      </c>
      <c r="F555" s="3">
        <v>1274</v>
      </c>
      <c r="G555" s="3">
        <v>985</v>
      </c>
      <c r="H555" s="3">
        <v>21</v>
      </c>
      <c r="I555" s="9">
        <v>40061</v>
      </c>
      <c r="J555" s="47">
        <v>0.41968749999999999</v>
      </c>
    </row>
    <row r="556" spans="1:10" x14ac:dyDescent="0.25">
      <c r="A556" s="3" t="s">
        <v>18</v>
      </c>
      <c r="B556" s="45" t="s">
        <v>999</v>
      </c>
      <c r="C556" s="45" t="s">
        <v>1000</v>
      </c>
      <c r="D556" s="46" t="s">
        <v>1001</v>
      </c>
      <c r="E556" s="3">
        <v>382</v>
      </c>
      <c r="F556" s="3">
        <v>1256</v>
      </c>
      <c r="G556" s="3">
        <v>1447</v>
      </c>
      <c r="H556" s="3">
        <v>398</v>
      </c>
      <c r="I556" s="9">
        <v>40763</v>
      </c>
      <c r="J556" s="47">
        <v>0.67163194444444452</v>
      </c>
    </row>
    <row r="557" spans="1:10" ht="30" x14ac:dyDescent="0.25">
      <c r="A557" s="3" t="s">
        <v>18</v>
      </c>
      <c r="B557" s="45" t="s">
        <v>1002</v>
      </c>
      <c r="C557" s="45" t="s">
        <v>1003</v>
      </c>
      <c r="D557" s="46" t="s">
        <v>1004</v>
      </c>
      <c r="E557" s="3">
        <v>577</v>
      </c>
      <c r="F557" s="3">
        <v>1250</v>
      </c>
      <c r="G557" s="3">
        <v>3591</v>
      </c>
      <c r="H557" s="3">
        <v>2986</v>
      </c>
      <c r="I557" s="9">
        <v>41670</v>
      </c>
      <c r="J557" s="47">
        <v>0.44798611111111114</v>
      </c>
    </row>
    <row r="558" spans="1:10" ht="30" x14ac:dyDescent="0.25">
      <c r="A558" s="3" t="s">
        <v>18</v>
      </c>
      <c r="B558" s="45" t="s">
        <v>1010</v>
      </c>
      <c r="D558" s="46" t="s">
        <v>1011</v>
      </c>
      <c r="E558" s="3">
        <v>895</v>
      </c>
      <c r="F558" s="3">
        <v>1247</v>
      </c>
      <c r="G558" s="3">
        <v>742</v>
      </c>
      <c r="H558" s="3">
        <v>11</v>
      </c>
      <c r="I558" s="9">
        <v>41094</v>
      </c>
      <c r="J558" s="47">
        <v>0.76033564814814814</v>
      </c>
    </row>
    <row r="559" spans="1:10" ht="30" x14ac:dyDescent="0.25">
      <c r="A559" s="3" t="s">
        <v>18</v>
      </c>
      <c r="B559" s="45" t="s">
        <v>1021</v>
      </c>
      <c r="C559" s="45" t="s">
        <v>1022</v>
      </c>
      <c r="D559" s="46" t="s">
        <v>1023</v>
      </c>
      <c r="E559" s="3">
        <v>988</v>
      </c>
      <c r="F559" s="3">
        <v>1223</v>
      </c>
      <c r="G559" s="3">
        <v>9522</v>
      </c>
      <c r="H559" s="3">
        <v>7315</v>
      </c>
      <c r="I559" s="9">
        <v>41331</v>
      </c>
      <c r="J559" s="47">
        <v>0.66893518518518524</v>
      </c>
    </row>
    <row r="560" spans="1:10" x14ac:dyDescent="0.25">
      <c r="A560" s="3" t="s">
        <v>18</v>
      </c>
      <c r="B560" s="45" t="s">
        <v>1024</v>
      </c>
      <c r="C560" s="45" t="s">
        <v>1025</v>
      </c>
      <c r="D560" s="46" t="s">
        <v>1026</v>
      </c>
      <c r="E560" s="3">
        <v>870</v>
      </c>
      <c r="F560" s="3">
        <v>1221</v>
      </c>
      <c r="G560" s="3">
        <v>2443</v>
      </c>
      <c r="H560" s="3">
        <v>213</v>
      </c>
      <c r="I560" s="9">
        <v>40743</v>
      </c>
      <c r="J560" s="47">
        <v>0.36074074074074075</v>
      </c>
    </row>
    <row r="561" spans="1:10" x14ac:dyDescent="0.25">
      <c r="A561" s="3" t="s">
        <v>18</v>
      </c>
      <c r="B561" s="45" t="s">
        <v>1029</v>
      </c>
      <c r="C561" s="45" t="s">
        <v>1030</v>
      </c>
      <c r="D561" s="46" t="s">
        <v>1031</v>
      </c>
      <c r="E561" s="3">
        <v>1528</v>
      </c>
      <c r="F561" s="3">
        <v>1218</v>
      </c>
      <c r="G561" s="3">
        <v>1363</v>
      </c>
      <c r="H561" s="3">
        <v>338</v>
      </c>
      <c r="I561" s="9">
        <v>41737</v>
      </c>
      <c r="J561" s="47">
        <v>0.29200231481481481</v>
      </c>
    </row>
    <row r="562" spans="1:10" x14ac:dyDescent="0.25">
      <c r="A562" s="3" t="s">
        <v>18</v>
      </c>
      <c r="B562" s="45" t="s">
        <v>1035</v>
      </c>
      <c r="C562" s="45" t="s">
        <v>1036</v>
      </c>
      <c r="D562" s="46" t="s">
        <v>1037</v>
      </c>
      <c r="E562" s="3">
        <v>950</v>
      </c>
      <c r="F562" s="3">
        <v>1214</v>
      </c>
      <c r="G562" s="3">
        <v>1996</v>
      </c>
      <c r="H562" s="3">
        <v>109</v>
      </c>
      <c r="I562" s="9">
        <v>40966</v>
      </c>
      <c r="J562" s="47">
        <v>0.52077546296296295</v>
      </c>
    </row>
    <row r="563" spans="1:10" ht="30" x14ac:dyDescent="0.25">
      <c r="A563" s="3" t="s">
        <v>18</v>
      </c>
      <c r="B563" s="45" t="s">
        <v>1040</v>
      </c>
      <c r="C563" s="45" t="s">
        <v>1041</v>
      </c>
      <c r="D563" s="46" t="s">
        <v>1042</v>
      </c>
      <c r="E563" s="3">
        <v>1701</v>
      </c>
      <c r="F563" s="3">
        <v>1206</v>
      </c>
      <c r="G563" s="3">
        <v>457</v>
      </c>
      <c r="H563" s="3">
        <v>52</v>
      </c>
      <c r="I563" s="9">
        <v>40637</v>
      </c>
      <c r="J563" s="47">
        <v>0.67053240740740738</v>
      </c>
    </row>
    <row r="564" spans="1:10" ht="30" x14ac:dyDescent="0.25">
      <c r="A564" s="3" t="s">
        <v>18</v>
      </c>
      <c r="B564" s="45" t="s">
        <v>1054</v>
      </c>
      <c r="C564" s="45" t="s">
        <v>1055</v>
      </c>
      <c r="D564" s="46" t="s">
        <v>1056</v>
      </c>
      <c r="E564" s="3">
        <v>536</v>
      </c>
      <c r="F564" s="3">
        <v>1187</v>
      </c>
      <c r="G564" s="3">
        <v>2962</v>
      </c>
      <c r="H564" s="3">
        <v>724</v>
      </c>
      <c r="I564" s="9">
        <v>40672</v>
      </c>
      <c r="J564" s="47">
        <v>0.62954861111111116</v>
      </c>
    </row>
    <row r="565" spans="1:10" ht="45" x14ac:dyDescent="0.25">
      <c r="A565" s="3" t="s">
        <v>18</v>
      </c>
      <c r="B565" s="45" t="s">
        <v>1063</v>
      </c>
      <c r="D565" s="46" t="s">
        <v>1064</v>
      </c>
      <c r="E565" s="3">
        <v>885</v>
      </c>
      <c r="F565" s="3">
        <v>1173</v>
      </c>
      <c r="G565" s="3">
        <v>14806</v>
      </c>
      <c r="H565" s="3">
        <v>2251</v>
      </c>
      <c r="I565" s="9">
        <v>41656</v>
      </c>
      <c r="J565" s="47">
        <v>0.53200231481481486</v>
      </c>
    </row>
    <row r="566" spans="1:10" ht="45" x14ac:dyDescent="0.25">
      <c r="A566" s="3" t="s">
        <v>18</v>
      </c>
      <c r="B566" s="45" t="s">
        <v>1071</v>
      </c>
      <c r="C566" s="45" t="s">
        <v>1072</v>
      </c>
      <c r="D566" s="46" t="s">
        <v>1073</v>
      </c>
      <c r="E566" s="3">
        <v>519</v>
      </c>
      <c r="F566" s="3">
        <v>1148</v>
      </c>
      <c r="G566" s="3">
        <v>1415</v>
      </c>
      <c r="H566" s="3">
        <v>420</v>
      </c>
      <c r="I566" s="9">
        <v>41656</v>
      </c>
      <c r="J566" s="47">
        <v>0.5438425925925926</v>
      </c>
    </row>
    <row r="567" spans="1:10" ht="30" x14ac:dyDescent="0.25">
      <c r="A567" s="3" t="s">
        <v>18</v>
      </c>
      <c r="B567" s="45" t="s">
        <v>1069</v>
      </c>
      <c r="C567" s="45" t="s">
        <v>517</v>
      </c>
      <c r="D567" s="46" t="s">
        <v>1070</v>
      </c>
      <c r="E567" s="3">
        <v>347</v>
      </c>
      <c r="F567" s="3">
        <v>1148</v>
      </c>
      <c r="G567" s="3">
        <v>4008</v>
      </c>
      <c r="H567" s="3">
        <v>1375</v>
      </c>
      <c r="I567" s="9">
        <v>41584</v>
      </c>
      <c r="J567" s="47">
        <v>0.48792824074074076</v>
      </c>
    </row>
    <row r="568" spans="1:10" ht="30" x14ac:dyDescent="0.25">
      <c r="A568" s="3" t="s">
        <v>18</v>
      </c>
      <c r="B568" s="45" t="s">
        <v>1074</v>
      </c>
      <c r="C568" s="45" t="s">
        <v>1075</v>
      </c>
      <c r="D568" s="46" t="s">
        <v>1076</v>
      </c>
      <c r="E568" s="3">
        <v>935</v>
      </c>
      <c r="F568" s="3">
        <v>1144</v>
      </c>
      <c r="G568" s="3">
        <v>2109</v>
      </c>
      <c r="H568" s="3">
        <v>59</v>
      </c>
      <c r="I568" s="9">
        <v>40669</v>
      </c>
      <c r="J568" s="47">
        <v>0.35019675925925925</v>
      </c>
    </row>
    <row r="569" spans="1:10" x14ac:dyDescent="0.25">
      <c r="A569" s="3" t="s">
        <v>18</v>
      </c>
      <c r="B569" s="45" t="s">
        <v>1089</v>
      </c>
      <c r="C569" s="45" t="s">
        <v>1090</v>
      </c>
      <c r="D569" s="46" t="s">
        <v>1091</v>
      </c>
      <c r="E569" s="3">
        <v>1344</v>
      </c>
      <c r="F569" s="3">
        <v>1120</v>
      </c>
      <c r="G569" s="3">
        <v>1896</v>
      </c>
      <c r="H569" s="3">
        <v>385</v>
      </c>
      <c r="I569" s="9">
        <v>40520</v>
      </c>
      <c r="J569" s="47">
        <v>0.7192708333333333</v>
      </c>
    </row>
    <row r="570" spans="1:10" x14ac:dyDescent="0.25">
      <c r="A570" s="3" t="s">
        <v>18</v>
      </c>
      <c r="B570" s="45" t="s">
        <v>1104</v>
      </c>
      <c r="C570" s="45" t="s">
        <v>1105</v>
      </c>
      <c r="D570" s="46" t="s">
        <v>1106</v>
      </c>
      <c r="E570" s="3">
        <v>401</v>
      </c>
      <c r="F570" s="3">
        <v>1110</v>
      </c>
      <c r="G570" s="3">
        <v>1462</v>
      </c>
      <c r="H570" s="3">
        <v>427</v>
      </c>
      <c r="I570" s="9">
        <v>41177</v>
      </c>
      <c r="J570" s="47">
        <v>0.61234953703703698</v>
      </c>
    </row>
    <row r="571" spans="1:10" x14ac:dyDescent="0.25">
      <c r="A571" s="3" t="s">
        <v>18</v>
      </c>
      <c r="B571" s="45" t="s">
        <v>1107</v>
      </c>
      <c r="C571" s="45" t="s">
        <v>1108</v>
      </c>
      <c r="E571" s="3">
        <v>164</v>
      </c>
      <c r="F571" s="3">
        <v>1105</v>
      </c>
      <c r="G571" s="3">
        <v>1268</v>
      </c>
      <c r="H571" s="3">
        <v>21</v>
      </c>
      <c r="I571" s="9">
        <v>40941</v>
      </c>
      <c r="J571" s="47">
        <v>0.79078703703703701</v>
      </c>
    </row>
    <row r="572" spans="1:10" ht="30" x14ac:dyDescent="0.25">
      <c r="A572" s="3" t="s">
        <v>18</v>
      </c>
      <c r="B572" s="45" t="s">
        <v>1111</v>
      </c>
      <c r="C572" s="45" t="s">
        <v>1112</v>
      </c>
      <c r="D572" s="46" t="s">
        <v>1113</v>
      </c>
      <c r="E572" s="3">
        <v>89</v>
      </c>
      <c r="F572" s="3">
        <v>1103</v>
      </c>
      <c r="G572" s="3">
        <v>456</v>
      </c>
      <c r="H572" s="3">
        <v>1</v>
      </c>
      <c r="I572" s="9">
        <v>40952</v>
      </c>
      <c r="J572" s="47">
        <v>0.68427083333333327</v>
      </c>
    </row>
    <row r="573" spans="1:10" ht="30" x14ac:dyDescent="0.25">
      <c r="A573" s="3" t="s">
        <v>18</v>
      </c>
      <c r="B573" s="45" t="s">
        <v>1114</v>
      </c>
      <c r="C573" s="45" t="s">
        <v>1115</v>
      </c>
      <c r="D573" s="46" t="s">
        <v>1116</v>
      </c>
      <c r="E573" s="3">
        <v>333</v>
      </c>
      <c r="F573" s="3">
        <v>1103</v>
      </c>
      <c r="G573" s="3">
        <v>715</v>
      </c>
      <c r="H573" s="3">
        <v>185</v>
      </c>
      <c r="I573" s="9">
        <v>41451</v>
      </c>
      <c r="J573" s="47">
        <v>0.52809027777777773</v>
      </c>
    </row>
    <row r="574" spans="1:10" ht="30" x14ac:dyDescent="0.25">
      <c r="A574" s="3" t="s">
        <v>18</v>
      </c>
      <c r="B574" s="45" t="s">
        <v>1120</v>
      </c>
      <c r="C574" s="45" t="s">
        <v>1121</v>
      </c>
      <c r="D574" s="46" t="s">
        <v>1122</v>
      </c>
      <c r="E574" s="3">
        <v>2085</v>
      </c>
      <c r="F574" s="3">
        <v>1102</v>
      </c>
      <c r="G574" s="3">
        <v>2820</v>
      </c>
      <c r="H574" s="3">
        <v>341</v>
      </c>
      <c r="I574" s="9">
        <v>40672</v>
      </c>
      <c r="J574" s="47">
        <v>0.7612268518518519</v>
      </c>
    </row>
    <row r="575" spans="1:10" ht="30" x14ac:dyDescent="0.25">
      <c r="A575" s="3" t="s">
        <v>18</v>
      </c>
      <c r="B575" s="45" t="s">
        <v>1131</v>
      </c>
      <c r="C575" s="45" t="s">
        <v>1132</v>
      </c>
      <c r="D575" s="46" t="s">
        <v>1133</v>
      </c>
      <c r="E575" s="3">
        <v>200</v>
      </c>
      <c r="F575" s="3">
        <v>1079</v>
      </c>
      <c r="G575" s="3">
        <v>2311</v>
      </c>
      <c r="H575" s="3">
        <v>14</v>
      </c>
      <c r="I575" s="9">
        <v>41235</v>
      </c>
      <c r="J575" s="47">
        <v>0.54633101851851851</v>
      </c>
    </row>
    <row r="576" spans="1:10" ht="30" x14ac:dyDescent="0.25">
      <c r="A576" s="3" t="s">
        <v>18</v>
      </c>
      <c r="B576" s="45" t="s">
        <v>1140</v>
      </c>
      <c r="C576" s="45" t="s">
        <v>1141</v>
      </c>
      <c r="D576" s="46" t="s">
        <v>1142</v>
      </c>
      <c r="E576" s="3">
        <v>311</v>
      </c>
      <c r="F576" s="3">
        <v>1077</v>
      </c>
      <c r="G576" s="3">
        <v>278</v>
      </c>
      <c r="H576" s="3">
        <v>17</v>
      </c>
      <c r="I576" s="9">
        <v>40764</v>
      </c>
      <c r="J576" s="47">
        <v>0.47478009259259263</v>
      </c>
    </row>
    <row r="577" spans="1:10" ht="30" x14ac:dyDescent="0.25">
      <c r="A577" s="3" t="s">
        <v>18</v>
      </c>
      <c r="B577" s="45" t="s">
        <v>1154</v>
      </c>
      <c r="C577" s="45" t="s">
        <v>1155</v>
      </c>
      <c r="D577" s="46" t="s">
        <v>1156</v>
      </c>
      <c r="E577" s="3">
        <v>248</v>
      </c>
      <c r="F577" s="3">
        <v>1065</v>
      </c>
      <c r="G577" s="3">
        <v>1449</v>
      </c>
      <c r="H577" s="3">
        <v>325</v>
      </c>
      <c r="I577" s="9">
        <v>41006</v>
      </c>
      <c r="J577" s="47">
        <v>0.49049768518518522</v>
      </c>
    </row>
    <row r="578" spans="1:10" ht="45" x14ac:dyDescent="0.25">
      <c r="A578" s="3" t="s">
        <v>18</v>
      </c>
      <c r="B578" s="45" t="s">
        <v>1151</v>
      </c>
      <c r="C578" s="45" t="s">
        <v>1152</v>
      </c>
      <c r="D578" s="46" t="s">
        <v>1153</v>
      </c>
      <c r="E578" s="3">
        <v>1307</v>
      </c>
      <c r="F578" s="3">
        <v>1065</v>
      </c>
      <c r="G578" s="3">
        <v>2259</v>
      </c>
      <c r="H578" s="3">
        <v>236</v>
      </c>
      <c r="I578" s="9">
        <v>40968</v>
      </c>
      <c r="J578" s="47">
        <v>0.69396990740740738</v>
      </c>
    </row>
    <row r="579" spans="1:10" ht="30" x14ac:dyDescent="0.25">
      <c r="A579" s="3" t="s">
        <v>18</v>
      </c>
      <c r="B579" s="45" t="s">
        <v>1160</v>
      </c>
      <c r="C579" s="45" t="s">
        <v>36</v>
      </c>
      <c r="D579" s="46" t="s">
        <v>1161</v>
      </c>
      <c r="E579" s="3">
        <v>1525</v>
      </c>
      <c r="F579" s="3">
        <v>1057</v>
      </c>
      <c r="G579" s="3">
        <v>302</v>
      </c>
      <c r="H579" s="3">
        <v>37</v>
      </c>
      <c r="I579" s="9">
        <v>41121</v>
      </c>
      <c r="J579" s="47">
        <v>0.56608796296296293</v>
      </c>
    </row>
    <row r="580" spans="1:10" x14ac:dyDescent="0.25">
      <c r="A580" s="3" t="s">
        <v>18</v>
      </c>
      <c r="B580" s="45" t="s">
        <v>1168</v>
      </c>
      <c r="C580" s="45" t="s">
        <v>1169</v>
      </c>
      <c r="D580" s="46" t="s">
        <v>1170</v>
      </c>
      <c r="E580" s="3">
        <v>103</v>
      </c>
      <c r="F580" s="3">
        <v>1049</v>
      </c>
      <c r="G580" s="3">
        <v>913</v>
      </c>
      <c r="H580" s="3">
        <v>465</v>
      </c>
      <c r="I580" s="9">
        <v>40875</v>
      </c>
      <c r="J580" s="47">
        <v>0.47754629629629625</v>
      </c>
    </row>
    <row r="581" spans="1:10" x14ac:dyDescent="0.25">
      <c r="A581" s="3" t="s">
        <v>18</v>
      </c>
      <c r="B581" s="45" t="s">
        <v>1203</v>
      </c>
      <c r="C581" s="45" t="s">
        <v>1204</v>
      </c>
      <c r="E581" s="3">
        <v>941</v>
      </c>
      <c r="F581" s="3">
        <v>1004</v>
      </c>
      <c r="G581" s="3">
        <v>993</v>
      </c>
      <c r="H581" s="3">
        <v>138</v>
      </c>
      <c r="I581" s="9">
        <v>41702</v>
      </c>
      <c r="J581" s="47">
        <v>0.60406250000000006</v>
      </c>
    </row>
    <row r="582" spans="1:10" ht="30" x14ac:dyDescent="0.25">
      <c r="A582" s="3" t="s">
        <v>18</v>
      </c>
      <c r="B582" s="45" t="s">
        <v>1209</v>
      </c>
      <c r="C582" s="45" t="s">
        <v>1210</v>
      </c>
      <c r="D582" s="46" t="s">
        <v>1211</v>
      </c>
      <c r="E582" s="3">
        <v>256</v>
      </c>
      <c r="F582" s="3">
        <v>997</v>
      </c>
      <c r="G582" s="3">
        <v>2107</v>
      </c>
      <c r="H582" s="3">
        <v>82</v>
      </c>
      <c r="I582" s="9">
        <v>40781</v>
      </c>
      <c r="J582" s="47">
        <v>0.4814930555555556</v>
      </c>
    </row>
    <row r="583" spans="1:10" ht="30" x14ac:dyDescent="0.25">
      <c r="A583" s="3" t="s">
        <v>18</v>
      </c>
      <c r="B583" s="45" t="s">
        <v>1212</v>
      </c>
      <c r="C583" s="45" t="s">
        <v>1213</v>
      </c>
      <c r="D583" s="46" t="s">
        <v>1214</v>
      </c>
      <c r="E583" s="3">
        <v>609</v>
      </c>
      <c r="F583" s="3">
        <v>997</v>
      </c>
      <c r="G583" s="3">
        <v>543</v>
      </c>
      <c r="H583" s="3">
        <v>251</v>
      </c>
      <c r="I583" s="9">
        <v>41292</v>
      </c>
      <c r="J583" s="47">
        <v>0.64763888888888888</v>
      </c>
    </row>
    <row r="584" spans="1:10" x14ac:dyDescent="0.25">
      <c r="A584" s="3" t="s">
        <v>18</v>
      </c>
      <c r="B584" s="45" t="s">
        <v>1220</v>
      </c>
      <c r="C584" s="45" t="s">
        <v>1221</v>
      </c>
      <c r="D584" s="46" t="s">
        <v>1222</v>
      </c>
      <c r="E584" s="3">
        <v>1596</v>
      </c>
      <c r="F584" s="3">
        <v>993</v>
      </c>
      <c r="G584" s="3">
        <v>5255</v>
      </c>
      <c r="H584" s="3">
        <v>2905</v>
      </c>
      <c r="I584" s="9">
        <v>41893</v>
      </c>
      <c r="J584" s="47">
        <v>0.38822916666666668</v>
      </c>
    </row>
    <row r="585" spans="1:10" ht="30" x14ac:dyDescent="0.25">
      <c r="A585" s="3" t="s">
        <v>18</v>
      </c>
      <c r="B585" s="45" t="s">
        <v>1237</v>
      </c>
      <c r="C585" s="45" t="s">
        <v>1238</v>
      </c>
      <c r="D585" s="46" t="s">
        <v>1239</v>
      </c>
      <c r="E585" s="3">
        <v>112</v>
      </c>
      <c r="F585" s="3">
        <v>978</v>
      </c>
      <c r="G585" s="3">
        <v>1064</v>
      </c>
      <c r="H585" s="3">
        <v>29</v>
      </c>
      <c r="I585" s="9">
        <v>41262</v>
      </c>
      <c r="J585" s="47">
        <v>0.60719907407407414</v>
      </c>
    </row>
    <row r="586" spans="1:10" x14ac:dyDescent="0.25">
      <c r="A586" s="3" t="s">
        <v>18</v>
      </c>
      <c r="B586" s="45" t="s">
        <v>1244</v>
      </c>
      <c r="C586" s="45" t="s">
        <v>1245</v>
      </c>
      <c r="E586" s="3">
        <v>375</v>
      </c>
      <c r="F586" s="3">
        <v>973</v>
      </c>
      <c r="G586" s="3">
        <v>2280</v>
      </c>
      <c r="H586" s="3">
        <v>257</v>
      </c>
      <c r="I586" s="9">
        <v>40875</v>
      </c>
      <c r="J586" s="47">
        <v>0.49317129629629625</v>
      </c>
    </row>
    <row r="587" spans="1:10" x14ac:dyDescent="0.25">
      <c r="A587" s="3" t="s">
        <v>18</v>
      </c>
      <c r="B587" s="45" t="s">
        <v>1252</v>
      </c>
      <c r="C587" s="45" t="s">
        <v>1253</v>
      </c>
      <c r="D587" s="46" t="s">
        <v>1254</v>
      </c>
      <c r="E587" s="3">
        <v>253</v>
      </c>
      <c r="F587" s="3">
        <v>966</v>
      </c>
      <c r="G587" s="3">
        <v>2509</v>
      </c>
      <c r="H587" s="3">
        <v>196</v>
      </c>
      <c r="I587" s="9">
        <v>41500</v>
      </c>
      <c r="J587" s="47">
        <v>0.35927083333333337</v>
      </c>
    </row>
    <row r="588" spans="1:10" x14ac:dyDescent="0.25">
      <c r="A588" s="3" t="s">
        <v>18</v>
      </c>
      <c r="B588" s="45" t="s">
        <v>1258</v>
      </c>
      <c r="C588" s="45" t="s">
        <v>1259</v>
      </c>
      <c r="D588" s="46" t="s">
        <v>1260</v>
      </c>
      <c r="E588" s="3">
        <v>109</v>
      </c>
      <c r="F588" s="3">
        <v>962</v>
      </c>
      <c r="G588" s="3">
        <v>1645</v>
      </c>
      <c r="H588" s="3">
        <v>65</v>
      </c>
      <c r="I588" s="9">
        <v>41391</v>
      </c>
      <c r="J588" s="47">
        <v>0.58783564814814815</v>
      </c>
    </row>
    <row r="589" spans="1:10" ht="30" x14ac:dyDescent="0.25">
      <c r="A589" s="3" t="s">
        <v>18</v>
      </c>
      <c r="B589" s="45" t="s">
        <v>1266</v>
      </c>
      <c r="C589" s="45" t="s">
        <v>1267</v>
      </c>
      <c r="D589" s="46" t="s">
        <v>1268</v>
      </c>
      <c r="E589" s="3">
        <v>112</v>
      </c>
      <c r="F589" s="3">
        <v>945</v>
      </c>
      <c r="G589" s="3">
        <v>387</v>
      </c>
      <c r="H589" s="3">
        <v>5</v>
      </c>
      <c r="I589" s="9">
        <v>40781</v>
      </c>
      <c r="J589" s="47">
        <v>0.63995370370370364</v>
      </c>
    </row>
    <row r="590" spans="1:10" x14ac:dyDescent="0.25">
      <c r="A590" s="3" t="s">
        <v>18</v>
      </c>
      <c r="B590" s="45" t="s">
        <v>1274</v>
      </c>
      <c r="C590" s="45" t="s">
        <v>1221</v>
      </c>
      <c r="D590" s="46" t="s">
        <v>884</v>
      </c>
      <c r="E590" s="3">
        <v>768</v>
      </c>
      <c r="F590" s="3">
        <v>939</v>
      </c>
      <c r="G590" s="3">
        <v>1374</v>
      </c>
      <c r="H590" s="3">
        <v>268</v>
      </c>
      <c r="I590" s="9">
        <v>41939</v>
      </c>
      <c r="J590" s="47">
        <v>0.5914814814814815</v>
      </c>
    </row>
    <row r="591" spans="1:10" ht="60" x14ac:dyDescent="0.25">
      <c r="A591" s="3" t="s">
        <v>18</v>
      </c>
      <c r="B591" s="45" t="s">
        <v>1284</v>
      </c>
      <c r="C591" s="45" t="s">
        <v>1285</v>
      </c>
      <c r="D591" s="46" t="s">
        <v>1286</v>
      </c>
      <c r="E591" s="3">
        <v>652</v>
      </c>
      <c r="F591" s="3">
        <v>926</v>
      </c>
      <c r="G591" s="3">
        <v>435</v>
      </c>
      <c r="H591" s="3">
        <v>7</v>
      </c>
      <c r="I591" s="9">
        <v>40763</v>
      </c>
      <c r="J591" s="47">
        <v>0.66327546296296302</v>
      </c>
    </row>
    <row r="592" spans="1:10" x14ac:dyDescent="0.25">
      <c r="A592" s="3" t="s">
        <v>18</v>
      </c>
      <c r="B592" s="45" t="s">
        <v>1287</v>
      </c>
      <c r="C592" s="45" t="s">
        <v>180</v>
      </c>
      <c r="D592" s="46" t="s">
        <v>1288</v>
      </c>
      <c r="E592" s="3">
        <v>500</v>
      </c>
      <c r="F592" s="3">
        <v>920</v>
      </c>
      <c r="G592" s="3">
        <v>291</v>
      </c>
      <c r="H592" s="3">
        <v>13</v>
      </c>
      <c r="I592" s="9">
        <v>40678</v>
      </c>
      <c r="J592" s="47">
        <v>0.70120370370370377</v>
      </c>
    </row>
    <row r="593" spans="1:16" ht="30" x14ac:dyDescent="0.25">
      <c r="A593" s="3" t="s">
        <v>18</v>
      </c>
      <c r="B593" s="45" t="s">
        <v>1307</v>
      </c>
      <c r="C593" s="45" t="s">
        <v>1308</v>
      </c>
      <c r="D593" s="46" t="s">
        <v>1309</v>
      </c>
      <c r="E593" s="3">
        <v>128</v>
      </c>
      <c r="F593" s="3">
        <v>893</v>
      </c>
      <c r="G593" s="3">
        <v>2824</v>
      </c>
      <c r="H593" s="3">
        <v>53</v>
      </c>
      <c r="I593" s="9">
        <v>40711</v>
      </c>
      <c r="J593" s="47">
        <v>0.5604513888888889</v>
      </c>
    </row>
    <row r="594" spans="1:16" ht="30" x14ac:dyDescent="0.25">
      <c r="A594" s="3" t="s">
        <v>18</v>
      </c>
      <c r="B594" s="45" t="s">
        <v>1336</v>
      </c>
      <c r="C594" s="45" t="s">
        <v>1337</v>
      </c>
      <c r="D594" s="46" t="s">
        <v>1338</v>
      </c>
      <c r="E594" s="3">
        <v>212</v>
      </c>
      <c r="F594" s="3">
        <v>868</v>
      </c>
      <c r="G594" s="3">
        <v>189</v>
      </c>
      <c r="H594" s="3">
        <v>0</v>
      </c>
      <c r="I594" s="9">
        <v>41012</v>
      </c>
      <c r="J594" s="47">
        <v>0.70208333333333339</v>
      </c>
    </row>
    <row r="595" spans="1:16" ht="30" x14ac:dyDescent="0.25">
      <c r="A595" s="3" t="s">
        <v>18</v>
      </c>
      <c r="B595" s="45" t="s">
        <v>1333</v>
      </c>
      <c r="C595" s="45" t="s">
        <v>1334</v>
      </c>
      <c r="D595" s="46" t="s">
        <v>1335</v>
      </c>
      <c r="E595" s="3">
        <v>243</v>
      </c>
      <c r="F595" s="3">
        <v>868</v>
      </c>
      <c r="G595" s="3">
        <v>510</v>
      </c>
      <c r="H595" s="3">
        <v>6</v>
      </c>
      <c r="I595" s="9">
        <v>40792</v>
      </c>
      <c r="J595" s="47">
        <v>0.49820601851851848</v>
      </c>
    </row>
    <row r="596" spans="1:16" ht="30" x14ac:dyDescent="0.25">
      <c r="A596" s="3" t="s">
        <v>18</v>
      </c>
      <c r="B596" s="45" t="s">
        <v>1339</v>
      </c>
      <c r="C596" s="45" t="s">
        <v>1340</v>
      </c>
      <c r="D596" s="46" t="s">
        <v>1341</v>
      </c>
      <c r="E596" s="3">
        <v>344</v>
      </c>
      <c r="F596" s="3">
        <v>864</v>
      </c>
      <c r="G596" s="3">
        <v>1136</v>
      </c>
      <c r="H596" s="3">
        <v>39</v>
      </c>
      <c r="I596" s="9">
        <v>41155</v>
      </c>
      <c r="J596" s="47">
        <v>0.46865740740740741</v>
      </c>
    </row>
    <row r="597" spans="1:16" ht="30" x14ac:dyDescent="0.25">
      <c r="A597" s="3" t="s">
        <v>18</v>
      </c>
      <c r="B597" s="45" t="s">
        <v>1346</v>
      </c>
      <c r="C597" s="45" t="s">
        <v>1347</v>
      </c>
      <c r="D597" s="46" t="s">
        <v>1348</v>
      </c>
      <c r="E597" s="3">
        <v>285</v>
      </c>
      <c r="F597" s="3">
        <v>858</v>
      </c>
      <c r="G597" s="3">
        <v>917</v>
      </c>
      <c r="H597" s="3">
        <v>13</v>
      </c>
      <c r="I597" s="9">
        <v>40765</v>
      </c>
      <c r="J597" s="47">
        <v>0.34987268518518522</v>
      </c>
    </row>
    <row r="598" spans="1:16" x14ac:dyDescent="0.25">
      <c r="A598" s="3" t="s">
        <v>18</v>
      </c>
      <c r="B598" s="45" t="s">
        <v>1355</v>
      </c>
      <c r="C598" s="45" t="s">
        <v>1356</v>
      </c>
      <c r="D598" s="46" t="s">
        <v>1357</v>
      </c>
      <c r="E598" s="3">
        <v>157</v>
      </c>
      <c r="F598" s="3">
        <v>856</v>
      </c>
      <c r="G598" s="3">
        <v>558</v>
      </c>
      <c r="H598" s="3">
        <v>128</v>
      </c>
      <c r="I598" s="9">
        <v>40966</v>
      </c>
      <c r="J598" s="47">
        <v>0.48465277777777777</v>
      </c>
    </row>
    <row r="599" spans="1:16" x14ac:dyDescent="0.25">
      <c r="A599" s="3" t="s">
        <v>18</v>
      </c>
      <c r="B599" s="45" t="s">
        <v>1361</v>
      </c>
      <c r="C599" s="45" t="s">
        <v>1362</v>
      </c>
      <c r="D599" s="46" t="s">
        <v>1363</v>
      </c>
      <c r="E599" s="3">
        <v>150</v>
      </c>
      <c r="F599" s="3">
        <v>851</v>
      </c>
      <c r="G599" s="3">
        <v>502</v>
      </c>
      <c r="H599" s="3">
        <v>64</v>
      </c>
      <c r="I599" s="9">
        <v>41258</v>
      </c>
      <c r="J599" s="47">
        <v>0.43067129629629625</v>
      </c>
    </row>
    <row r="600" spans="1:16" ht="45" x14ac:dyDescent="0.25">
      <c r="A600" s="3" t="s">
        <v>18</v>
      </c>
      <c r="B600" s="45" t="s">
        <v>1366</v>
      </c>
      <c r="D600" s="46" t="s">
        <v>1064</v>
      </c>
      <c r="E600" s="3">
        <v>998</v>
      </c>
      <c r="F600" s="3">
        <v>850</v>
      </c>
      <c r="G600" s="3">
        <v>3487</v>
      </c>
      <c r="H600" s="3">
        <v>609</v>
      </c>
      <c r="I600" s="9">
        <v>41656</v>
      </c>
      <c r="J600" s="47">
        <v>0.55098379629629635</v>
      </c>
    </row>
    <row r="601" spans="1:16" ht="30" x14ac:dyDescent="0.25">
      <c r="A601" s="3" t="s">
        <v>18</v>
      </c>
      <c r="B601" s="45" t="s">
        <v>1364</v>
      </c>
      <c r="C601" s="45" t="s">
        <v>36</v>
      </c>
      <c r="D601" s="46" t="s">
        <v>1365</v>
      </c>
      <c r="E601" s="3">
        <v>579</v>
      </c>
      <c r="F601" s="3">
        <v>850</v>
      </c>
      <c r="G601" s="3">
        <v>1737</v>
      </c>
      <c r="H601" s="3">
        <v>138</v>
      </c>
      <c r="I601" s="9">
        <v>41038</v>
      </c>
      <c r="J601" s="47">
        <v>0.42386574074074074</v>
      </c>
    </row>
    <row r="602" spans="1:16" ht="30" x14ac:dyDescent="0.25">
      <c r="A602" s="3" t="s">
        <v>18</v>
      </c>
      <c r="B602" s="45" t="s">
        <v>1367</v>
      </c>
      <c r="C602" s="45" t="s">
        <v>1368</v>
      </c>
      <c r="D602" s="46" t="s">
        <v>1369</v>
      </c>
      <c r="E602" s="3">
        <v>422</v>
      </c>
      <c r="F602" s="3">
        <v>848</v>
      </c>
      <c r="G602" s="3">
        <v>1555</v>
      </c>
      <c r="H602" s="3">
        <v>5</v>
      </c>
      <c r="I602" s="9">
        <v>40765</v>
      </c>
      <c r="J602" s="47">
        <v>0.57689814814814822</v>
      </c>
    </row>
    <row r="603" spans="1:16" ht="30" x14ac:dyDescent="0.25">
      <c r="A603" s="3" t="s">
        <v>18</v>
      </c>
      <c r="B603" s="45" t="s">
        <v>1373</v>
      </c>
      <c r="C603" s="45" t="s">
        <v>1374</v>
      </c>
      <c r="D603" s="46" t="s">
        <v>1375</v>
      </c>
      <c r="E603" s="3">
        <v>355</v>
      </c>
      <c r="F603" s="3">
        <v>846</v>
      </c>
      <c r="G603" s="3">
        <v>412</v>
      </c>
      <c r="H603" s="3">
        <v>36</v>
      </c>
      <c r="I603" s="9">
        <v>40672</v>
      </c>
      <c r="J603" s="47">
        <v>0.60746527777777781</v>
      </c>
    </row>
    <row r="604" spans="1:16" ht="30" x14ac:dyDescent="0.25">
      <c r="A604" s="3" t="s">
        <v>18</v>
      </c>
      <c r="B604" s="45" t="s">
        <v>1381</v>
      </c>
      <c r="C604" s="45" t="s">
        <v>1382</v>
      </c>
      <c r="D604" s="46" t="s">
        <v>1383</v>
      </c>
      <c r="E604" s="3">
        <v>945</v>
      </c>
      <c r="F604" s="3">
        <v>840</v>
      </c>
      <c r="G604" s="3">
        <v>1102</v>
      </c>
      <c r="H604" s="3">
        <v>118</v>
      </c>
      <c r="I604" s="9">
        <v>40963</v>
      </c>
      <c r="J604" s="47">
        <v>0.4557060185185185</v>
      </c>
    </row>
    <row r="605" spans="1:16" ht="30" x14ac:dyDescent="0.25">
      <c r="A605" s="3" t="s">
        <v>18</v>
      </c>
      <c r="B605" s="45" t="s">
        <v>1390</v>
      </c>
      <c r="C605" s="45" t="s">
        <v>1391</v>
      </c>
      <c r="D605" s="46" t="s">
        <v>1392</v>
      </c>
      <c r="E605" s="3">
        <v>562</v>
      </c>
      <c r="F605" s="3">
        <v>830</v>
      </c>
      <c r="G605" s="3">
        <v>395</v>
      </c>
      <c r="H605" s="3">
        <v>5</v>
      </c>
      <c r="I605" s="9">
        <v>41155</v>
      </c>
      <c r="J605" s="47">
        <v>0.47041666666666665</v>
      </c>
      <c r="K605" s="52"/>
      <c r="L605" s="52"/>
      <c r="M605" s="52"/>
      <c r="N605" s="52"/>
      <c r="O605" s="52"/>
      <c r="P605" s="52"/>
    </row>
    <row r="606" spans="1:16" ht="30" x14ac:dyDescent="0.25">
      <c r="A606" s="3" t="s">
        <v>18</v>
      </c>
      <c r="B606" s="45" t="s">
        <v>1398</v>
      </c>
      <c r="C606" s="45" t="s">
        <v>1399</v>
      </c>
      <c r="D606" s="46" t="s">
        <v>1400</v>
      </c>
      <c r="E606" s="3">
        <v>239</v>
      </c>
      <c r="F606" s="3">
        <v>816</v>
      </c>
      <c r="G606" s="3">
        <v>959</v>
      </c>
      <c r="H606" s="3">
        <v>15</v>
      </c>
      <c r="I606" s="9">
        <v>40764</v>
      </c>
      <c r="J606" s="47">
        <v>0.48270833333333335</v>
      </c>
    </row>
    <row r="607" spans="1:16" ht="30" x14ac:dyDescent="0.25">
      <c r="A607" s="3" t="s">
        <v>18</v>
      </c>
      <c r="B607" s="45" t="s">
        <v>1407</v>
      </c>
      <c r="C607" s="45" t="s">
        <v>1408</v>
      </c>
      <c r="D607" s="46" t="s">
        <v>1409</v>
      </c>
      <c r="E607" s="3">
        <v>496</v>
      </c>
      <c r="F607" s="3">
        <v>807</v>
      </c>
      <c r="G607" s="3">
        <v>906</v>
      </c>
      <c r="H607" s="3">
        <v>77</v>
      </c>
      <c r="I607" s="9">
        <v>41018</v>
      </c>
      <c r="J607" s="47">
        <v>0.61614583333333328</v>
      </c>
    </row>
    <row r="608" spans="1:16" ht="30" x14ac:dyDescent="0.25">
      <c r="A608" s="3" t="s">
        <v>18</v>
      </c>
      <c r="B608" s="45" t="s">
        <v>1404</v>
      </c>
      <c r="C608" s="45" t="s">
        <v>1405</v>
      </c>
      <c r="D608" s="46" t="s">
        <v>1406</v>
      </c>
      <c r="E608" s="3">
        <v>49</v>
      </c>
      <c r="F608" s="3">
        <v>807</v>
      </c>
      <c r="G608" s="3">
        <v>852</v>
      </c>
      <c r="H608" s="3">
        <v>4</v>
      </c>
      <c r="I608" s="9">
        <v>40612</v>
      </c>
      <c r="J608" s="47">
        <v>0.63396990740740744</v>
      </c>
    </row>
    <row r="609" spans="1:16" ht="30" x14ac:dyDescent="0.25">
      <c r="A609" s="3" t="s">
        <v>18</v>
      </c>
      <c r="B609" s="45" t="s">
        <v>1413</v>
      </c>
      <c r="C609" s="45" t="s">
        <v>1414</v>
      </c>
      <c r="D609" s="46" t="s">
        <v>1415</v>
      </c>
      <c r="E609" s="3">
        <v>233</v>
      </c>
      <c r="F609" s="3">
        <v>798</v>
      </c>
      <c r="G609" s="3">
        <v>467</v>
      </c>
      <c r="H609" s="3">
        <v>61</v>
      </c>
      <c r="I609" s="9">
        <v>40765</v>
      </c>
      <c r="J609" s="47">
        <v>0.35273148148148148</v>
      </c>
    </row>
    <row r="610" spans="1:16" x14ac:dyDescent="0.25">
      <c r="A610" s="3" t="s">
        <v>18</v>
      </c>
      <c r="B610" s="45" t="s">
        <v>1419</v>
      </c>
      <c r="C610" s="45" t="s">
        <v>296</v>
      </c>
      <c r="D610" s="46" t="s">
        <v>1420</v>
      </c>
      <c r="E610" s="3">
        <v>662</v>
      </c>
      <c r="F610" s="3">
        <v>789</v>
      </c>
      <c r="G610" s="3">
        <v>424</v>
      </c>
      <c r="H610" s="3">
        <v>109</v>
      </c>
      <c r="I610" s="9">
        <v>40304</v>
      </c>
      <c r="J610" s="47">
        <v>0.65346064814814808</v>
      </c>
    </row>
    <row r="611" spans="1:16" ht="30" x14ac:dyDescent="0.25">
      <c r="A611" s="3" t="s">
        <v>18</v>
      </c>
      <c r="B611" s="45" t="s">
        <v>1430</v>
      </c>
      <c r="C611" s="45" t="s">
        <v>1431</v>
      </c>
      <c r="D611" s="46" t="s">
        <v>1432</v>
      </c>
      <c r="E611" s="3">
        <v>433</v>
      </c>
      <c r="F611" s="3">
        <v>787</v>
      </c>
      <c r="G611" s="3">
        <v>620</v>
      </c>
      <c r="H611" s="3">
        <v>283</v>
      </c>
      <c r="I611" s="9">
        <v>42249</v>
      </c>
      <c r="J611" s="47">
        <v>0.4155787037037037</v>
      </c>
    </row>
    <row r="612" spans="1:16" ht="30" x14ac:dyDescent="0.25">
      <c r="A612" s="3" t="s">
        <v>18</v>
      </c>
      <c r="B612" s="45" t="s">
        <v>1440</v>
      </c>
      <c r="C612" s="45" t="s">
        <v>1441</v>
      </c>
      <c r="D612" s="46" t="s">
        <v>1442</v>
      </c>
      <c r="E612" s="3">
        <v>523</v>
      </c>
      <c r="F612" s="3">
        <v>783</v>
      </c>
      <c r="G612" s="3">
        <v>1093</v>
      </c>
      <c r="H612" s="3">
        <v>121</v>
      </c>
      <c r="I612" s="9">
        <v>41590</v>
      </c>
      <c r="J612" s="47">
        <v>0.77490740740740749</v>
      </c>
    </row>
    <row r="613" spans="1:16" x14ac:dyDescent="0.25">
      <c r="A613" s="3" t="s">
        <v>18</v>
      </c>
      <c r="B613" s="45" t="s">
        <v>1459</v>
      </c>
      <c r="C613" s="45" t="s">
        <v>1460</v>
      </c>
      <c r="D613" s="46" t="s">
        <v>884</v>
      </c>
      <c r="E613" s="3">
        <v>175</v>
      </c>
      <c r="F613" s="3">
        <v>772</v>
      </c>
      <c r="G613" s="3">
        <v>1295</v>
      </c>
      <c r="H613" s="3">
        <v>67</v>
      </c>
      <c r="I613" s="9">
        <v>41656</v>
      </c>
      <c r="J613" s="47">
        <v>0.53950231481481481</v>
      </c>
      <c r="K613" s="52"/>
      <c r="L613" s="52"/>
      <c r="M613" s="52"/>
      <c r="N613" s="52"/>
      <c r="O613" s="52"/>
      <c r="P613" s="52"/>
    </row>
    <row r="614" spans="1:16" ht="45" x14ac:dyDescent="0.25">
      <c r="A614" s="3" t="s">
        <v>18</v>
      </c>
      <c r="B614" s="45" t="s">
        <v>1461</v>
      </c>
      <c r="C614" s="45" t="s">
        <v>1462</v>
      </c>
      <c r="D614" s="46" t="s">
        <v>1463</v>
      </c>
      <c r="E614" s="3">
        <v>221</v>
      </c>
      <c r="F614" s="3">
        <v>771</v>
      </c>
      <c r="G614" s="3">
        <v>1093</v>
      </c>
      <c r="H614" s="3">
        <v>33</v>
      </c>
      <c r="I614" s="9">
        <v>41491</v>
      </c>
      <c r="J614" s="47">
        <v>0.62824074074074077</v>
      </c>
    </row>
    <row r="615" spans="1:16" ht="45" x14ac:dyDescent="0.25">
      <c r="A615" s="3" t="s">
        <v>18</v>
      </c>
      <c r="B615" s="45" t="s">
        <v>1473</v>
      </c>
      <c r="C615" s="45" t="s">
        <v>1474</v>
      </c>
      <c r="D615" s="46" t="s">
        <v>1475</v>
      </c>
      <c r="E615" s="3">
        <v>61</v>
      </c>
      <c r="F615" s="3">
        <v>754</v>
      </c>
      <c r="G615" s="3">
        <v>1720</v>
      </c>
      <c r="H615" s="3">
        <v>15</v>
      </c>
      <c r="I615" s="9">
        <v>41492</v>
      </c>
      <c r="J615" s="47">
        <v>0.45916666666666667</v>
      </c>
    </row>
    <row r="616" spans="1:16" ht="30" x14ac:dyDescent="0.25">
      <c r="A616" s="3" t="s">
        <v>18</v>
      </c>
      <c r="B616" s="45" t="s">
        <v>1489</v>
      </c>
      <c r="C616" s="45" t="s">
        <v>1490</v>
      </c>
      <c r="D616" s="46" t="s">
        <v>1491</v>
      </c>
      <c r="E616" s="3">
        <v>752</v>
      </c>
      <c r="F616" s="3">
        <v>744</v>
      </c>
      <c r="G616" s="3">
        <v>2457</v>
      </c>
      <c r="H616" s="3">
        <v>134</v>
      </c>
      <c r="I616" s="9">
        <v>40512</v>
      </c>
      <c r="J616" s="47">
        <v>0.69126157407407407</v>
      </c>
    </row>
    <row r="617" spans="1:16" ht="30" x14ac:dyDescent="0.25">
      <c r="A617" s="3" t="s">
        <v>18</v>
      </c>
      <c r="B617" s="45" t="s">
        <v>1492</v>
      </c>
      <c r="C617" s="45" t="s">
        <v>1493</v>
      </c>
      <c r="D617" s="46" t="s">
        <v>1494</v>
      </c>
      <c r="E617" s="3">
        <v>371</v>
      </c>
      <c r="F617" s="3">
        <v>741</v>
      </c>
      <c r="G617" s="3">
        <v>684</v>
      </c>
      <c r="H617" s="3">
        <v>32</v>
      </c>
      <c r="I617" s="9">
        <v>41341</v>
      </c>
      <c r="J617" s="47">
        <v>0.5661342592592592</v>
      </c>
    </row>
    <row r="618" spans="1:16" ht="30" x14ac:dyDescent="0.25">
      <c r="A618" s="3" t="s">
        <v>18</v>
      </c>
      <c r="B618" s="45" t="s">
        <v>1497</v>
      </c>
      <c r="C618" s="45" t="s">
        <v>1498</v>
      </c>
      <c r="D618" s="46" t="s">
        <v>1499</v>
      </c>
      <c r="E618" s="3">
        <v>376</v>
      </c>
      <c r="F618" s="3">
        <v>739</v>
      </c>
      <c r="G618" s="3">
        <v>4348</v>
      </c>
      <c r="H618" s="3">
        <v>3207</v>
      </c>
      <c r="I618" s="9">
        <v>41753</v>
      </c>
      <c r="J618" s="47">
        <v>0.58174768518518516</v>
      </c>
    </row>
    <row r="619" spans="1:16" x14ac:dyDescent="0.25">
      <c r="A619" s="3" t="s">
        <v>18</v>
      </c>
      <c r="B619" s="45" t="s">
        <v>1502</v>
      </c>
      <c r="C619" s="45" t="s">
        <v>1503</v>
      </c>
      <c r="E619" s="3">
        <v>404</v>
      </c>
      <c r="F619" s="3">
        <v>737</v>
      </c>
      <c r="G619" s="3">
        <v>1353</v>
      </c>
      <c r="H619" s="3">
        <v>197</v>
      </c>
      <c r="I619" s="9">
        <v>41620</v>
      </c>
      <c r="J619" s="47">
        <v>0.66409722222222223</v>
      </c>
    </row>
    <row r="620" spans="1:16" ht="30" x14ac:dyDescent="0.25">
      <c r="A620" s="3" t="s">
        <v>18</v>
      </c>
      <c r="B620" s="45" t="s">
        <v>1528</v>
      </c>
      <c r="C620" s="45" t="s">
        <v>1529</v>
      </c>
      <c r="D620" s="46" t="s">
        <v>1530</v>
      </c>
      <c r="E620" s="3">
        <v>869</v>
      </c>
      <c r="F620" s="3">
        <v>721</v>
      </c>
      <c r="G620" s="3">
        <v>240</v>
      </c>
      <c r="H620" s="3">
        <v>42</v>
      </c>
      <c r="I620" s="9">
        <v>41569</v>
      </c>
      <c r="J620" s="47">
        <v>0.73886574074074074</v>
      </c>
    </row>
    <row r="621" spans="1:16" ht="30" x14ac:dyDescent="0.25">
      <c r="A621" s="3" t="s">
        <v>18</v>
      </c>
      <c r="B621" s="45" t="s">
        <v>1531</v>
      </c>
      <c r="C621" s="45" t="s">
        <v>1532</v>
      </c>
      <c r="D621" s="46" t="s">
        <v>1533</v>
      </c>
      <c r="E621" s="3">
        <v>447</v>
      </c>
      <c r="F621" s="3">
        <v>718</v>
      </c>
      <c r="G621" s="3">
        <v>1133</v>
      </c>
      <c r="H621" s="3">
        <v>293</v>
      </c>
      <c r="I621" s="9">
        <v>41556</v>
      </c>
      <c r="J621" s="47">
        <v>0.64258101851851845</v>
      </c>
    </row>
    <row r="622" spans="1:16" ht="30" x14ac:dyDescent="0.25">
      <c r="A622" s="3" t="s">
        <v>18</v>
      </c>
      <c r="B622" s="45" t="s">
        <v>1536</v>
      </c>
      <c r="C622" s="45" t="s">
        <v>1537</v>
      </c>
      <c r="D622" s="46" t="s">
        <v>1538</v>
      </c>
      <c r="E622" s="3">
        <v>373</v>
      </c>
      <c r="F622" s="3">
        <v>717</v>
      </c>
      <c r="G622" s="3">
        <v>1513</v>
      </c>
      <c r="H622" s="3">
        <v>523</v>
      </c>
      <c r="I622" s="9">
        <v>41403</v>
      </c>
      <c r="J622" s="47">
        <v>0.45081018518518517</v>
      </c>
    </row>
    <row r="623" spans="1:16" ht="30" x14ac:dyDescent="0.25">
      <c r="A623" s="3" t="s">
        <v>18</v>
      </c>
      <c r="B623" s="45" t="s">
        <v>1549</v>
      </c>
      <c r="C623" s="45" t="s">
        <v>1550</v>
      </c>
      <c r="D623" s="46" t="s">
        <v>1551</v>
      </c>
      <c r="E623" s="3">
        <v>1219</v>
      </c>
      <c r="F623" s="3">
        <v>710</v>
      </c>
      <c r="G623" s="3">
        <v>1263</v>
      </c>
      <c r="H623" s="3">
        <v>312</v>
      </c>
      <c r="I623" s="9">
        <v>40688</v>
      </c>
      <c r="J623" s="47">
        <v>0.59518518518518515</v>
      </c>
    </row>
    <row r="624" spans="1:16" x14ac:dyDescent="0.25">
      <c r="A624" s="3" t="s">
        <v>18</v>
      </c>
      <c r="B624" s="45" t="s">
        <v>1561</v>
      </c>
      <c r="C624" s="45" t="s">
        <v>1562</v>
      </c>
      <c r="D624" s="46" t="s">
        <v>1563</v>
      </c>
      <c r="E624" s="3">
        <v>1088</v>
      </c>
      <c r="F624" s="3">
        <v>687</v>
      </c>
      <c r="G624" s="3">
        <v>1673</v>
      </c>
      <c r="H624" s="3">
        <v>81</v>
      </c>
      <c r="I624" s="9">
        <v>42391</v>
      </c>
      <c r="J624" s="47">
        <v>0.51339120370370372</v>
      </c>
    </row>
    <row r="625" spans="1:10" ht="30" x14ac:dyDescent="0.25">
      <c r="A625" s="3" t="s">
        <v>18</v>
      </c>
      <c r="B625" s="45" t="s">
        <v>1566</v>
      </c>
      <c r="C625" s="45" t="s">
        <v>1567</v>
      </c>
      <c r="D625" s="46" t="s">
        <v>1568</v>
      </c>
      <c r="E625" s="3">
        <v>26</v>
      </c>
      <c r="F625" s="3">
        <v>684</v>
      </c>
      <c r="G625" s="3">
        <v>157</v>
      </c>
      <c r="H625" s="3">
        <v>66</v>
      </c>
      <c r="I625" s="9">
        <v>41199</v>
      </c>
      <c r="J625" s="47">
        <v>0.39027777777777778</v>
      </c>
    </row>
    <row r="626" spans="1:10" x14ac:dyDescent="0.25">
      <c r="A626" s="3" t="s">
        <v>18</v>
      </c>
      <c r="B626" s="45" t="s">
        <v>1573</v>
      </c>
      <c r="C626" s="45" t="s">
        <v>1574</v>
      </c>
      <c r="D626" s="46" t="s">
        <v>1575</v>
      </c>
      <c r="E626" s="3">
        <v>424</v>
      </c>
      <c r="F626" s="3">
        <v>682</v>
      </c>
      <c r="G626" s="3">
        <v>895</v>
      </c>
      <c r="H626" s="3">
        <v>410</v>
      </c>
      <c r="I626" s="9">
        <v>42569</v>
      </c>
      <c r="J626" s="47">
        <v>0.85740740740740751</v>
      </c>
    </row>
    <row r="627" spans="1:10" ht="45" x14ac:dyDescent="0.25">
      <c r="A627" s="3" t="s">
        <v>18</v>
      </c>
      <c r="B627" s="45" t="s">
        <v>1569</v>
      </c>
      <c r="D627" s="46" t="s">
        <v>1570</v>
      </c>
      <c r="E627" s="3">
        <v>223</v>
      </c>
      <c r="F627" s="3">
        <v>682</v>
      </c>
      <c r="G627" s="3">
        <v>947</v>
      </c>
      <c r="H627" s="3">
        <v>216</v>
      </c>
      <c r="I627" s="9">
        <v>41046</v>
      </c>
      <c r="J627" s="47">
        <v>0.55019675925925926</v>
      </c>
    </row>
    <row r="628" spans="1:10" ht="30" x14ac:dyDescent="0.25">
      <c r="A628" s="3" t="s">
        <v>18</v>
      </c>
      <c r="B628" s="45" t="s">
        <v>1576</v>
      </c>
      <c r="C628" s="45" t="s">
        <v>1577</v>
      </c>
      <c r="D628" s="46" t="s">
        <v>1578</v>
      </c>
      <c r="E628" s="3">
        <v>962</v>
      </c>
      <c r="F628" s="3">
        <v>678</v>
      </c>
      <c r="G628" s="3">
        <v>1195</v>
      </c>
      <c r="H628" s="3">
        <v>768</v>
      </c>
      <c r="I628" s="9">
        <v>42291</v>
      </c>
      <c r="J628" s="47">
        <v>0.48246527777777781</v>
      </c>
    </row>
    <row r="629" spans="1:10" ht="30" x14ac:dyDescent="0.25">
      <c r="A629" s="3" t="s">
        <v>18</v>
      </c>
      <c r="B629" s="45" t="s">
        <v>1579</v>
      </c>
      <c r="D629" s="46" t="s">
        <v>1580</v>
      </c>
      <c r="E629" s="3">
        <v>119</v>
      </c>
      <c r="F629" s="3">
        <v>676</v>
      </c>
      <c r="G629" s="3">
        <v>848</v>
      </c>
      <c r="H629" s="3">
        <v>48</v>
      </c>
      <c r="I629" s="9">
        <v>41405</v>
      </c>
      <c r="J629" s="47">
        <v>0.38998842592592592</v>
      </c>
    </row>
    <row r="630" spans="1:10" ht="30" x14ac:dyDescent="0.25">
      <c r="A630" s="3" t="s">
        <v>18</v>
      </c>
      <c r="B630" s="45" t="s">
        <v>1581</v>
      </c>
      <c r="C630" s="45" t="s">
        <v>1582</v>
      </c>
      <c r="D630" s="46" t="s">
        <v>1583</v>
      </c>
      <c r="E630" s="3">
        <v>503</v>
      </c>
      <c r="F630" s="3">
        <v>672</v>
      </c>
      <c r="G630" s="3">
        <v>989</v>
      </c>
      <c r="H630" s="3">
        <v>226</v>
      </c>
      <c r="I630" s="9">
        <v>41417</v>
      </c>
      <c r="J630" s="47">
        <v>0.43297453703703703</v>
      </c>
    </row>
    <row r="631" spans="1:10" x14ac:dyDescent="0.25">
      <c r="A631" s="3" t="s">
        <v>18</v>
      </c>
      <c r="B631" s="45" t="s">
        <v>1586</v>
      </c>
      <c r="C631" s="45" t="s">
        <v>1587</v>
      </c>
      <c r="D631" s="46" t="s">
        <v>1588</v>
      </c>
      <c r="E631" s="3">
        <v>620</v>
      </c>
      <c r="F631" s="3">
        <v>658</v>
      </c>
      <c r="G631" s="3">
        <v>979</v>
      </c>
      <c r="H631" s="3">
        <v>0</v>
      </c>
      <c r="I631" s="9">
        <v>41403</v>
      </c>
      <c r="J631" s="47">
        <v>0.80622685185185183</v>
      </c>
    </row>
    <row r="632" spans="1:10" ht="30" x14ac:dyDescent="0.25">
      <c r="A632" s="3" t="s">
        <v>18</v>
      </c>
      <c r="B632" s="45" t="s">
        <v>1594</v>
      </c>
      <c r="C632" s="45" t="s">
        <v>1595</v>
      </c>
      <c r="D632" s="46" t="s">
        <v>1596</v>
      </c>
      <c r="E632" s="3">
        <v>220</v>
      </c>
      <c r="F632" s="3">
        <v>655</v>
      </c>
      <c r="G632" s="3">
        <v>1188</v>
      </c>
      <c r="H632" s="3">
        <v>137</v>
      </c>
      <c r="I632" s="9">
        <v>41446</v>
      </c>
      <c r="J632" s="47">
        <v>0.62037037037037035</v>
      </c>
    </row>
    <row r="633" spans="1:10" x14ac:dyDescent="0.25">
      <c r="A633" s="3" t="s">
        <v>18</v>
      </c>
      <c r="B633" s="45" t="s">
        <v>1603</v>
      </c>
      <c r="C633" s="45" t="s">
        <v>1604</v>
      </c>
      <c r="D633" s="46" t="s">
        <v>1605</v>
      </c>
      <c r="E633" s="3">
        <v>507</v>
      </c>
      <c r="F633" s="3">
        <v>651</v>
      </c>
      <c r="G633" s="3">
        <v>3816</v>
      </c>
      <c r="H633" s="3">
        <v>1085</v>
      </c>
      <c r="I633" s="9">
        <v>41984</v>
      </c>
      <c r="J633" s="47">
        <v>0.70516203703703706</v>
      </c>
    </row>
    <row r="634" spans="1:10" ht="30" x14ac:dyDescent="0.25">
      <c r="A634" s="3" t="s">
        <v>18</v>
      </c>
      <c r="B634" s="45" t="s">
        <v>1611</v>
      </c>
      <c r="C634" s="45" t="s">
        <v>1612</v>
      </c>
      <c r="D634" s="46" t="s">
        <v>1613</v>
      </c>
      <c r="E634" s="3">
        <v>540</v>
      </c>
      <c r="F634" s="3">
        <v>645</v>
      </c>
      <c r="G634" s="3">
        <v>2182</v>
      </c>
      <c r="H634" s="3">
        <v>197</v>
      </c>
      <c r="I634" s="9">
        <v>40671</v>
      </c>
      <c r="J634" s="47">
        <v>0.86965277777777772</v>
      </c>
    </row>
    <row r="635" spans="1:10" ht="30" x14ac:dyDescent="0.25">
      <c r="A635" s="3" t="s">
        <v>18</v>
      </c>
      <c r="B635" s="45" t="s">
        <v>1637</v>
      </c>
      <c r="C635" s="45" t="s">
        <v>1638</v>
      </c>
      <c r="D635" s="46" t="s">
        <v>1639</v>
      </c>
      <c r="E635" s="3">
        <v>153</v>
      </c>
      <c r="F635" s="3">
        <v>625</v>
      </c>
      <c r="G635" s="3">
        <v>872</v>
      </c>
      <c r="H635" s="3">
        <v>18</v>
      </c>
      <c r="I635" s="9">
        <v>40029</v>
      </c>
      <c r="J635" s="47">
        <v>0.69305555555555554</v>
      </c>
    </row>
    <row r="636" spans="1:10" ht="30" x14ac:dyDescent="0.25">
      <c r="A636" s="3" t="s">
        <v>18</v>
      </c>
      <c r="B636" s="45" t="s">
        <v>1642</v>
      </c>
      <c r="C636" s="45" t="s">
        <v>1643</v>
      </c>
      <c r="D636" s="46" t="s">
        <v>1644</v>
      </c>
      <c r="E636" s="3">
        <v>130</v>
      </c>
      <c r="F636" s="3">
        <v>624</v>
      </c>
      <c r="G636" s="3">
        <v>470</v>
      </c>
      <c r="H636" s="3">
        <v>6</v>
      </c>
      <c r="I636" s="9">
        <v>40920</v>
      </c>
      <c r="J636" s="47">
        <v>0.46934027777777776</v>
      </c>
    </row>
    <row r="637" spans="1:10" x14ac:dyDescent="0.25">
      <c r="A637" s="3" t="s">
        <v>18</v>
      </c>
      <c r="B637" s="45" t="s">
        <v>1656</v>
      </c>
      <c r="C637" s="45" t="s">
        <v>1657</v>
      </c>
      <c r="D637" s="46" t="s">
        <v>1658</v>
      </c>
      <c r="E637" s="3">
        <v>466</v>
      </c>
      <c r="F637" s="3">
        <v>616</v>
      </c>
      <c r="G637" s="3">
        <v>1120</v>
      </c>
      <c r="H637" s="3">
        <v>619</v>
      </c>
      <c r="I637" s="9">
        <v>41856</v>
      </c>
      <c r="J637" s="47">
        <v>0.39038194444444446</v>
      </c>
    </row>
    <row r="638" spans="1:10" x14ac:dyDescent="0.25">
      <c r="A638" s="3" t="s">
        <v>18</v>
      </c>
      <c r="B638" s="45" t="s">
        <v>1659</v>
      </c>
      <c r="D638" s="46" t="s">
        <v>1660</v>
      </c>
      <c r="E638" s="3">
        <v>399</v>
      </c>
      <c r="F638" s="3">
        <v>615</v>
      </c>
      <c r="G638" s="3">
        <v>855</v>
      </c>
      <c r="H638" s="3">
        <v>314</v>
      </c>
      <c r="I638" s="9">
        <v>41606</v>
      </c>
      <c r="J638" s="47">
        <v>0.45752314814814815</v>
      </c>
    </row>
    <row r="639" spans="1:10" x14ac:dyDescent="0.25">
      <c r="A639" s="3" t="s">
        <v>18</v>
      </c>
      <c r="B639" s="45" t="s">
        <v>1661</v>
      </c>
      <c r="E639" s="3">
        <v>401</v>
      </c>
      <c r="F639" s="3">
        <v>614</v>
      </c>
      <c r="G639" s="3">
        <v>1310</v>
      </c>
      <c r="H639" s="3">
        <v>56</v>
      </c>
      <c r="I639" s="9">
        <v>41008</v>
      </c>
      <c r="J639" s="47">
        <v>0.6853935185185186</v>
      </c>
    </row>
    <row r="640" spans="1:10" ht="30" x14ac:dyDescent="0.25">
      <c r="A640" s="3" t="s">
        <v>18</v>
      </c>
      <c r="B640" s="45" t="s">
        <v>1672</v>
      </c>
      <c r="C640" s="45" t="s">
        <v>1673</v>
      </c>
      <c r="D640" s="46" t="s">
        <v>1674</v>
      </c>
      <c r="E640" s="3">
        <v>626</v>
      </c>
      <c r="F640" s="3">
        <v>594</v>
      </c>
      <c r="G640" s="3">
        <v>667</v>
      </c>
      <c r="H640" s="3">
        <v>239</v>
      </c>
      <c r="I640" s="9">
        <v>41404</v>
      </c>
      <c r="J640" s="47">
        <v>0.72152777777777777</v>
      </c>
    </row>
    <row r="641" spans="1:10" ht="30" x14ac:dyDescent="0.25">
      <c r="A641" s="3" t="s">
        <v>18</v>
      </c>
      <c r="B641" s="45" t="s">
        <v>1675</v>
      </c>
      <c r="C641" s="45" t="s">
        <v>1676</v>
      </c>
      <c r="D641" s="46" t="s">
        <v>1677</v>
      </c>
      <c r="E641" s="3">
        <v>179</v>
      </c>
      <c r="F641" s="3">
        <v>593</v>
      </c>
      <c r="G641" s="3">
        <v>595</v>
      </c>
      <c r="H641" s="3">
        <v>42</v>
      </c>
      <c r="I641" s="9">
        <v>40412</v>
      </c>
      <c r="J641" s="47">
        <v>0.77379629629629632</v>
      </c>
    </row>
    <row r="642" spans="1:10" ht="30" x14ac:dyDescent="0.25">
      <c r="A642" s="3" t="s">
        <v>18</v>
      </c>
      <c r="B642" s="45" t="s">
        <v>1683</v>
      </c>
      <c r="C642" s="45" t="s">
        <v>1684</v>
      </c>
      <c r="D642" s="46" t="s">
        <v>1685</v>
      </c>
      <c r="E642" s="3">
        <v>277</v>
      </c>
      <c r="F642" s="3">
        <v>590</v>
      </c>
      <c r="G642" s="3">
        <v>638</v>
      </c>
      <c r="H642" s="3">
        <v>46</v>
      </c>
      <c r="I642" s="9">
        <v>41401</v>
      </c>
      <c r="J642" s="47">
        <v>0.61170138888888892</v>
      </c>
    </row>
    <row r="643" spans="1:10" x14ac:dyDescent="0.25">
      <c r="A643" s="3" t="s">
        <v>18</v>
      </c>
      <c r="B643" s="45" t="s">
        <v>1700</v>
      </c>
      <c r="C643" s="45" t="s">
        <v>1221</v>
      </c>
      <c r="D643" s="46" t="s">
        <v>884</v>
      </c>
      <c r="E643" s="3">
        <v>233</v>
      </c>
      <c r="F643" s="3">
        <v>580</v>
      </c>
      <c r="G643" s="3">
        <v>803</v>
      </c>
      <c r="H643" s="3">
        <v>323</v>
      </c>
      <c r="I643" s="9">
        <v>41894</v>
      </c>
      <c r="J643" s="47">
        <v>0.53844907407407405</v>
      </c>
    </row>
    <row r="644" spans="1:10" ht="30" x14ac:dyDescent="0.25">
      <c r="A644" s="3" t="s">
        <v>18</v>
      </c>
      <c r="B644" s="45" t="s">
        <v>1705</v>
      </c>
      <c r="C644" s="45" t="s">
        <v>1706</v>
      </c>
      <c r="D644" s="46" t="s">
        <v>1707</v>
      </c>
      <c r="E644" s="3">
        <v>552</v>
      </c>
      <c r="F644" s="3">
        <v>572</v>
      </c>
      <c r="G644" s="3">
        <v>1047</v>
      </c>
      <c r="H644" s="3">
        <v>189</v>
      </c>
      <c r="I644" s="9">
        <v>41783</v>
      </c>
      <c r="J644" s="47">
        <v>0.34587962962962965</v>
      </c>
    </row>
    <row r="645" spans="1:10" ht="30" x14ac:dyDescent="0.25">
      <c r="A645" s="3" t="s">
        <v>18</v>
      </c>
      <c r="B645" s="45" t="s">
        <v>1712</v>
      </c>
      <c r="C645" s="45" t="s">
        <v>1713</v>
      </c>
      <c r="D645" s="46" t="s">
        <v>1714</v>
      </c>
      <c r="E645" s="3">
        <v>180</v>
      </c>
      <c r="F645" s="3">
        <v>562</v>
      </c>
      <c r="G645" s="3">
        <v>2520</v>
      </c>
      <c r="H645" s="3">
        <v>189</v>
      </c>
      <c r="I645" s="9">
        <v>41706</v>
      </c>
      <c r="J645" s="47">
        <v>0.44969907407407406</v>
      </c>
    </row>
    <row r="646" spans="1:10" ht="30" x14ac:dyDescent="0.25">
      <c r="A646" s="3" t="s">
        <v>18</v>
      </c>
      <c r="B646" s="45" t="s">
        <v>1721</v>
      </c>
      <c r="C646" s="45" t="s">
        <v>1722</v>
      </c>
      <c r="D646" s="46" t="s">
        <v>1723</v>
      </c>
      <c r="E646" s="3">
        <v>207</v>
      </c>
      <c r="F646" s="3">
        <v>548</v>
      </c>
      <c r="G646" s="3">
        <v>1168</v>
      </c>
      <c r="H646" s="3">
        <v>112</v>
      </c>
      <c r="I646" s="9">
        <v>41030</v>
      </c>
      <c r="J646" s="47">
        <v>0.6482754629629629</v>
      </c>
    </row>
    <row r="647" spans="1:10" ht="30" x14ac:dyDescent="0.25">
      <c r="A647" s="3" t="s">
        <v>18</v>
      </c>
      <c r="B647" s="45" t="s">
        <v>1724</v>
      </c>
      <c r="C647" s="45" t="s">
        <v>1725</v>
      </c>
      <c r="D647" s="46" t="s">
        <v>1726</v>
      </c>
      <c r="E647" s="3">
        <v>287</v>
      </c>
      <c r="F647" s="3">
        <v>545</v>
      </c>
      <c r="G647" s="3">
        <v>1392</v>
      </c>
      <c r="H647" s="3">
        <v>215</v>
      </c>
      <c r="I647" s="9">
        <v>41359</v>
      </c>
      <c r="J647" s="47">
        <v>0.62331018518518522</v>
      </c>
    </row>
    <row r="648" spans="1:10" x14ac:dyDescent="0.25">
      <c r="A648" s="3" t="s">
        <v>18</v>
      </c>
      <c r="B648" s="45" t="s">
        <v>1730</v>
      </c>
      <c r="D648" s="46" t="s">
        <v>1731</v>
      </c>
      <c r="E648" s="3">
        <v>114</v>
      </c>
      <c r="F648" s="3">
        <v>544</v>
      </c>
      <c r="G648" s="3">
        <v>378</v>
      </c>
      <c r="H648" s="3">
        <v>22</v>
      </c>
      <c r="I648" s="9">
        <v>41404</v>
      </c>
      <c r="J648" s="47">
        <v>0.6056597222222222</v>
      </c>
    </row>
    <row r="649" spans="1:10" ht="30" x14ac:dyDescent="0.25">
      <c r="A649" s="3" t="s">
        <v>18</v>
      </c>
      <c r="B649" s="45" t="s">
        <v>1732</v>
      </c>
      <c r="C649" s="45" t="s">
        <v>1733</v>
      </c>
      <c r="D649" s="46" t="s">
        <v>1734</v>
      </c>
      <c r="E649" s="3">
        <v>479</v>
      </c>
      <c r="F649" s="3">
        <v>543</v>
      </c>
      <c r="G649" s="3">
        <v>792</v>
      </c>
      <c r="H649" s="3">
        <v>201</v>
      </c>
      <c r="I649" s="9">
        <v>41430</v>
      </c>
      <c r="J649" s="47">
        <v>0.40303240740740742</v>
      </c>
    </row>
    <row r="650" spans="1:10" ht="30" x14ac:dyDescent="0.25">
      <c r="A650" s="3" t="s">
        <v>18</v>
      </c>
      <c r="B650" s="45" t="s">
        <v>1741</v>
      </c>
      <c r="C650" s="45" t="s">
        <v>1742</v>
      </c>
      <c r="D650" s="46" t="s">
        <v>1743</v>
      </c>
      <c r="E650" s="3">
        <v>475</v>
      </c>
      <c r="F650" s="3">
        <v>536</v>
      </c>
      <c r="G650" s="3">
        <v>1774</v>
      </c>
      <c r="H650" s="3">
        <v>700</v>
      </c>
      <c r="I650" s="9">
        <v>41775</v>
      </c>
      <c r="J650" s="47">
        <v>0.51315972222222228</v>
      </c>
    </row>
    <row r="651" spans="1:10" x14ac:dyDescent="0.25">
      <c r="A651" s="3" t="s">
        <v>18</v>
      </c>
      <c r="B651" s="45" t="s">
        <v>1744</v>
      </c>
      <c r="C651" s="45" t="s">
        <v>1745</v>
      </c>
      <c r="D651" s="46" t="s">
        <v>1746</v>
      </c>
      <c r="E651" s="3">
        <v>233</v>
      </c>
      <c r="F651" s="3">
        <v>534</v>
      </c>
      <c r="G651" s="3">
        <v>500</v>
      </c>
      <c r="H651" s="3">
        <v>58</v>
      </c>
      <c r="I651" s="9">
        <v>41410</v>
      </c>
      <c r="J651" s="47">
        <v>0.51624999999999999</v>
      </c>
    </row>
    <row r="652" spans="1:10" x14ac:dyDescent="0.25">
      <c r="A652" s="3" t="s">
        <v>18</v>
      </c>
      <c r="B652" s="45" t="s">
        <v>1747</v>
      </c>
      <c r="C652" s="45" t="s">
        <v>1748</v>
      </c>
      <c r="D652" s="46" t="s">
        <v>1749</v>
      </c>
      <c r="E652" s="3">
        <v>223</v>
      </c>
      <c r="F652" s="3">
        <v>531</v>
      </c>
      <c r="G652" s="3">
        <v>1026</v>
      </c>
      <c r="H652" s="3">
        <v>170</v>
      </c>
      <c r="I652" s="9">
        <v>42069</v>
      </c>
      <c r="J652" s="47">
        <v>0.73924768518518524</v>
      </c>
    </row>
    <row r="653" spans="1:10" ht="30" x14ac:dyDescent="0.25">
      <c r="A653" s="3" t="s">
        <v>18</v>
      </c>
      <c r="B653" s="45" t="s">
        <v>1752</v>
      </c>
      <c r="D653" s="46" t="s">
        <v>1753</v>
      </c>
      <c r="E653" s="3">
        <v>201</v>
      </c>
      <c r="F653" s="3">
        <v>522</v>
      </c>
      <c r="G653" s="3">
        <v>597</v>
      </c>
      <c r="H653" s="3">
        <v>113</v>
      </c>
      <c r="I653" s="9">
        <v>41298</v>
      </c>
      <c r="J653" s="47">
        <v>0.53476851851851859</v>
      </c>
    </row>
    <row r="654" spans="1:10" x14ac:dyDescent="0.25">
      <c r="A654" s="3" t="s">
        <v>18</v>
      </c>
      <c r="B654" s="45" t="s">
        <v>1762</v>
      </c>
      <c r="C654" s="45" t="s">
        <v>1763</v>
      </c>
      <c r="D654" s="46" t="s">
        <v>1764</v>
      </c>
      <c r="E654" s="3">
        <v>522</v>
      </c>
      <c r="F654" s="3">
        <v>517</v>
      </c>
      <c r="G654" s="3">
        <v>1607</v>
      </c>
      <c r="H654" s="3">
        <v>699</v>
      </c>
      <c r="I654" s="9">
        <v>42177</v>
      </c>
      <c r="J654" s="47">
        <v>0.6072453703703703</v>
      </c>
    </row>
    <row r="655" spans="1:10" ht="30" x14ac:dyDescent="0.25">
      <c r="A655" s="3" t="s">
        <v>18</v>
      </c>
      <c r="B655" s="45" t="s">
        <v>1757</v>
      </c>
      <c r="C655" s="45" t="s">
        <v>1758</v>
      </c>
      <c r="D655" s="46" t="s">
        <v>1759</v>
      </c>
      <c r="E655" s="3">
        <v>111</v>
      </c>
      <c r="F655" s="3">
        <v>517</v>
      </c>
      <c r="G655" s="3">
        <v>301</v>
      </c>
      <c r="H655" s="3">
        <v>0</v>
      </c>
      <c r="I655" s="9">
        <v>40908</v>
      </c>
      <c r="J655" s="47">
        <v>0.4588888888888889</v>
      </c>
    </row>
    <row r="656" spans="1:10" ht="30" x14ac:dyDescent="0.25">
      <c r="A656" s="3" t="s">
        <v>18</v>
      </c>
      <c r="B656" s="45" t="s">
        <v>1772</v>
      </c>
      <c r="C656" s="45" t="s">
        <v>1773</v>
      </c>
      <c r="D656" s="46" t="s">
        <v>1348</v>
      </c>
      <c r="E656" s="3">
        <v>92</v>
      </c>
      <c r="F656" s="3">
        <v>513</v>
      </c>
      <c r="G656" s="3">
        <v>236</v>
      </c>
      <c r="H656" s="3">
        <v>40</v>
      </c>
      <c r="I656" s="9">
        <v>41652</v>
      </c>
      <c r="J656" s="47">
        <v>0.38056712962962963</v>
      </c>
    </row>
    <row r="657" spans="1:10" x14ac:dyDescent="0.25">
      <c r="A657" s="3" t="s">
        <v>18</v>
      </c>
      <c r="B657" s="45" t="s">
        <v>1781</v>
      </c>
      <c r="C657" s="45" t="s">
        <v>1782</v>
      </c>
      <c r="D657" s="46" t="s">
        <v>1783</v>
      </c>
      <c r="E657" s="3">
        <v>227</v>
      </c>
      <c r="F657" s="3">
        <v>510</v>
      </c>
      <c r="G657" s="3">
        <v>1135</v>
      </c>
      <c r="H657" s="3">
        <v>363</v>
      </c>
      <c r="I657" s="9">
        <v>41901</v>
      </c>
      <c r="J657" s="47">
        <v>0.56082175925925926</v>
      </c>
    </row>
    <row r="658" spans="1:10" ht="30" x14ac:dyDescent="0.25">
      <c r="A658" s="3" t="s">
        <v>18</v>
      </c>
      <c r="B658" s="45" t="s">
        <v>1784</v>
      </c>
      <c r="C658" s="45" t="s">
        <v>1785</v>
      </c>
      <c r="D658" s="46" t="s">
        <v>1786</v>
      </c>
      <c r="E658" s="3">
        <v>168</v>
      </c>
      <c r="F658" s="3">
        <v>508</v>
      </c>
      <c r="G658" s="3">
        <v>1032</v>
      </c>
      <c r="H658" s="3">
        <v>36</v>
      </c>
      <c r="I658" s="9">
        <v>41414</v>
      </c>
      <c r="J658" s="47">
        <v>0.74224537037037042</v>
      </c>
    </row>
    <row r="659" spans="1:10" ht="30" x14ac:dyDescent="0.25">
      <c r="A659" s="3" t="s">
        <v>18</v>
      </c>
      <c r="B659" s="45" t="s">
        <v>1795</v>
      </c>
      <c r="C659" s="45" t="s">
        <v>1796</v>
      </c>
      <c r="D659" s="46" t="s">
        <v>1797</v>
      </c>
      <c r="E659" s="3">
        <v>162</v>
      </c>
      <c r="F659" s="3">
        <v>505</v>
      </c>
      <c r="G659" s="3">
        <v>760</v>
      </c>
      <c r="H659" s="3">
        <v>95</v>
      </c>
      <c r="I659" s="9">
        <v>41288</v>
      </c>
      <c r="J659" s="47">
        <v>0.69034722222222233</v>
      </c>
    </row>
    <row r="660" spans="1:10" ht="30" x14ac:dyDescent="0.25">
      <c r="A660" s="3" t="s">
        <v>18</v>
      </c>
      <c r="B660" s="45" t="s">
        <v>1792</v>
      </c>
      <c r="C660" s="45" t="s">
        <v>1793</v>
      </c>
      <c r="D660" s="46" t="s">
        <v>1794</v>
      </c>
      <c r="E660" s="3">
        <v>194</v>
      </c>
      <c r="F660" s="3">
        <v>505</v>
      </c>
      <c r="G660" s="3">
        <v>417</v>
      </c>
      <c r="H660" s="3">
        <v>4</v>
      </c>
      <c r="I660" s="9">
        <v>40943</v>
      </c>
      <c r="J660" s="47">
        <v>0.49748842592592596</v>
      </c>
    </row>
    <row r="661" spans="1:10" x14ac:dyDescent="0.25">
      <c r="A661" s="3" t="s">
        <v>18</v>
      </c>
      <c r="B661" s="45" t="s">
        <v>1806</v>
      </c>
      <c r="C661" s="45" t="s">
        <v>1807</v>
      </c>
      <c r="D661" s="46" t="s">
        <v>1808</v>
      </c>
      <c r="E661" s="3">
        <v>257</v>
      </c>
      <c r="F661" s="3">
        <v>500</v>
      </c>
      <c r="G661" s="3">
        <v>1699</v>
      </c>
      <c r="H661" s="3">
        <v>139</v>
      </c>
      <c r="I661" s="9">
        <v>41984</v>
      </c>
      <c r="J661" s="47">
        <v>0.41241898148148143</v>
      </c>
    </row>
    <row r="662" spans="1:10" ht="45" x14ac:dyDescent="0.25">
      <c r="A662" s="3" t="s">
        <v>18</v>
      </c>
      <c r="B662" s="45" t="s">
        <v>1816</v>
      </c>
      <c r="C662" s="45" t="s">
        <v>1817</v>
      </c>
      <c r="D662" s="46" t="s">
        <v>1818</v>
      </c>
      <c r="E662" s="3">
        <v>72</v>
      </c>
      <c r="F662" s="3">
        <v>492</v>
      </c>
      <c r="G662" s="3">
        <v>798</v>
      </c>
      <c r="H662" s="3">
        <v>17</v>
      </c>
      <c r="I662" s="9">
        <v>41571</v>
      </c>
      <c r="J662" s="47">
        <v>0.52050925925925928</v>
      </c>
    </row>
    <row r="663" spans="1:10" ht="30" x14ac:dyDescent="0.25">
      <c r="A663" s="3" t="s">
        <v>18</v>
      </c>
      <c r="B663" s="45" t="s">
        <v>1813</v>
      </c>
      <c r="C663" s="45" t="s">
        <v>1814</v>
      </c>
      <c r="D663" s="46" t="s">
        <v>1815</v>
      </c>
      <c r="E663" s="3">
        <v>383</v>
      </c>
      <c r="F663" s="3">
        <v>492</v>
      </c>
      <c r="G663" s="3">
        <v>544</v>
      </c>
      <c r="H663" s="3">
        <v>14</v>
      </c>
      <c r="I663" s="9">
        <v>41395</v>
      </c>
      <c r="J663" s="47">
        <v>0.60836805555555562</v>
      </c>
    </row>
    <row r="664" spans="1:10" ht="30" x14ac:dyDescent="0.25">
      <c r="A664" s="3" t="s">
        <v>18</v>
      </c>
      <c r="B664" s="45" t="s">
        <v>1819</v>
      </c>
      <c r="C664" s="45" t="s">
        <v>1820</v>
      </c>
      <c r="D664" s="46" t="s">
        <v>1821</v>
      </c>
      <c r="E664" s="3">
        <v>22</v>
      </c>
      <c r="F664" s="3">
        <v>491</v>
      </c>
      <c r="G664" s="3">
        <v>2279</v>
      </c>
      <c r="H664" s="3">
        <v>1</v>
      </c>
      <c r="I664" s="9">
        <v>41396</v>
      </c>
      <c r="J664" s="47">
        <v>0.81660879629629635</v>
      </c>
    </row>
    <row r="665" spans="1:10" x14ac:dyDescent="0.25">
      <c r="A665" s="3" t="s">
        <v>18</v>
      </c>
      <c r="B665" s="45" t="s">
        <v>1824</v>
      </c>
      <c r="C665" s="45" t="s">
        <v>1825</v>
      </c>
      <c r="D665" s="46" t="s">
        <v>1826</v>
      </c>
      <c r="E665" s="3">
        <v>314</v>
      </c>
      <c r="F665" s="3">
        <v>490</v>
      </c>
      <c r="G665" s="3">
        <v>839</v>
      </c>
      <c r="H665" s="3">
        <v>81</v>
      </c>
      <c r="I665" s="9">
        <v>41514</v>
      </c>
      <c r="J665" s="47">
        <v>0.64836805555555554</v>
      </c>
    </row>
    <row r="666" spans="1:10" ht="30" x14ac:dyDescent="0.25">
      <c r="A666" s="3" t="s">
        <v>18</v>
      </c>
      <c r="B666" s="45" t="s">
        <v>1827</v>
      </c>
      <c r="C666" s="45" t="s">
        <v>1828</v>
      </c>
      <c r="D666" s="46" t="s">
        <v>1829</v>
      </c>
      <c r="E666" s="3">
        <v>829</v>
      </c>
      <c r="F666" s="3">
        <v>489</v>
      </c>
      <c r="G666" s="3">
        <v>821</v>
      </c>
      <c r="H666" s="3">
        <v>228</v>
      </c>
      <c r="I666" s="9">
        <v>42416</v>
      </c>
      <c r="J666" s="47">
        <v>0.8028587962962962</v>
      </c>
    </row>
    <row r="667" spans="1:10" ht="30" x14ac:dyDescent="0.25">
      <c r="A667" s="3" t="s">
        <v>18</v>
      </c>
      <c r="B667" s="45" t="s">
        <v>1838</v>
      </c>
      <c r="C667" s="45" t="s">
        <v>1490</v>
      </c>
      <c r="D667" s="46" t="s">
        <v>1839</v>
      </c>
      <c r="E667" s="3">
        <v>90</v>
      </c>
      <c r="F667" s="3">
        <v>485</v>
      </c>
      <c r="G667" s="3">
        <v>519</v>
      </c>
      <c r="H667" s="3">
        <v>86</v>
      </c>
      <c r="I667" s="9">
        <v>41181</v>
      </c>
      <c r="J667" s="47">
        <v>0.4457638888888889</v>
      </c>
    </row>
    <row r="668" spans="1:10" ht="30" x14ac:dyDescent="0.25">
      <c r="A668" s="3" t="s">
        <v>18</v>
      </c>
      <c r="B668" s="45" t="s">
        <v>1848</v>
      </c>
      <c r="C668" s="45" t="s">
        <v>1849</v>
      </c>
      <c r="D668" s="46" t="s">
        <v>1850</v>
      </c>
      <c r="E668" s="3">
        <v>338</v>
      </c>
      <c r="F668" s="3">
        <v>477</v>
      </c>
      <c r="G668" s="3">
        <v>1043</v>
      </c>
      <c r="H668" s="3">
        <v>3</v>
      </c>
      <c r="I668" s="9">
        <v>41061</v>
      </c>
      <c r="J668" s="47">
        <v>0.36130787037037032</v>
      </c>
    </row>
    <row r="669" spans="1:10" x14ac:dyDescent="0.25">
      <c r="A669" s="3" t="s">
        <v>18</v>
      </c>
      <c r="B669" s="45" t="s">
        <v>1859</v>
      </c>
      <c r="C669" s="45" t="s">
        <v>1860</v>
      </c>
      <c r="E669" s="3">
        <v>104</v>
      </c>
      <c r="F669" s="3">
        <v>465</v>
      </c>
      <c r="G669" s="3">
        <v>877</v>
      </c>
      <c r="H669" s="3">
        <v>8</v>
      </c>
      <c r="I669" s="9">
        <v>41257</v>
      </c>
      <c r="J669" s="47">
        <v>0.36471064814814813</v>
      </c>
    </row>
    <row r="670" spans="1:10" ht="30" x14ac:dyDescent="0.25">
      <c r="A670" s="3" t="s">
        <v>18</v>
      </c>
      <c r="B670" s="45" t="s">
        <v>1878</v>
      </c>
      <c r="C670" s="45" t="s">
        <v>1879</v>
      </c>
      <c r="D670" s="46" t="s">
        <v>1880</v>
      </c>
      <c r="E670" s="3">
        <v>359</v>
      </c>
      <c r="F670" s="3">
        <v>455</v>
      </c>
      <c r="G670" s="3">
        <v>1510</v>
      </c>
      <c r="H670" s="3">
        <v>64</v>
      </c>
      <c r="I670" s="9">
        <v>40592</v>
      </c>
      <c r="J670" s="47">
        <v>0.5872222222222222</v>
      </c>
    </row>
    <row r="671" spans="1:10" x14ac:dyDescent="0.25">
      <c r="A671" s="3" t="s">
        <v>18</v>
      </c>
      <c r="B671" s="45" t="s">
        <v>1887</v>
      </c>
      <c r="E671" s="3">
        <v>644</v>
      </c>
      <c r="F671" s="3">
        <v>451</v>
      </c>
      <c r="G671" s="3">
        <v>18</v>
      </c>
      <c r="H671" s="3">
        <v>0</v>
      </c>
      <c r="I671" s="9">
        <v>39941</v>
      </c>
      <c r="J671" s="47">
        <v>0.77440972222222226</v>
      </c>
    </row>
    <row r="672" spans="1:10" ht="30" x14ac:dyDescent="0.25">
      <c r="A672" s="3" t="s">
        <v>18</v>
      </c>
      <c r="B672" s="45" t="s">
        <v>1888</v>
      </c>
      <c r="C672" s="45" t="s">
        <v>1889</v>
      </c>
      <c r="D672" s="46" t="s">
        <v>1890</v>
      </c>
      <c r="E672" s="3">
        <v>185</v>
      </c>
      <c r="F672" s="3">
        <v>451</v>
      </c>
      <c r="G672" s="3">
        <v>252</v>
      </c>
      <c r="H672" s="3">
        <v>49</v>
      </c>
      <c r="I672" s="9">
        <v>41200</v>
      </c>
      <c r="J672" s="47">
        <v>0.79685185185185192</v>
      </c>
    </row>
    <row r="673" spans="1:10" x14ac:dyDescent="0.25">
      <c r="A673" s="3" t="s">
        <v>18</v>
      </c>
      <c r="B673" s="45" t="s">
        <v>1894</v>
      </c>
      <c r="E673" s="3">
        <v>492</v>
      </c>
      <c r="F673" s="3">
        <v>446</v>
      </c>
      <c r="G673" s="3">
        <v>573</v>
      </c>
      <c r="H673" s="3">
        <v>152</v>
      </c>
      <c r="I673" s="9">
        <v>42109</v>
      </c>
      <c r="J673" s="47">
        <v>0.56799768518518523</v>
      </c>
    </row>
    <row r="674" spans="1:10" x14ac:dyDescent="0.25">
      <c r="A674" s="3" t="s">
        <v>18</v>
      </c>
      <c r="B674" s="45" t="s">
        <v>1897</v>
      </c>
      <c r="E674" s="3">
        <v>98</v>
      </c>
      <c r="F674" s="3">
        <v>442</v>
      </c>
      <c r="G674" s="3">
        <v>154</v>
      </c>
      <c r="H674" s="3">
        <v>10</v>
      </c>
      <c r="I674" s="9">
        <v>41410</v>
      </c>
      <c r="J674" s="47">
        <v>0.56136574074074075</v>
      </c>
    </row>
    <row r="675" spans="1:10" ht="30" x14ac:dyDescent="0.25">
      <c r="A675" s="3" t="s">
        <v>18</v>
      </c>
      <c r="B675" s="45" t="s">
        <v>1907</v>
      </c>
      <c r="C675" s="45" t="s">
        <v>1908</v>
      </c>
      <c r="D675" s="46" t="s">
        <v>1909</v>
      </c>
      <c r="E675" s="3">
        <v>580</v>
      </c>
      <c r="F675" s="3">
        <v>438</v>
      </c>
      <c r="G675" s="3">
        <v>2795</v>
      </c>
      <c r="H675" s="3">
        <v>265</v>
      </c>
      <c r="I675" s="9">
        <v>41018</v>
      </c>
      <c r="J675" s="47">
        <v>0.47386574074074073</v>
      </c>
    </row>
    <row r="676" spans="1:10" ht="30" x14ac:dyDescent="0.25">
      <c r="A676" s="3" t="s">
        <v>18</v>
      </c>
      <c r="B676" s="45" t="s">
        <v>1920</v>
      </c>
      <c r="C676" s="45" t="s">
        <v>1921</v>
      </c>
      <c r="D676" s="46" t="s">
        <v>1922</v>
      </c>
      <c r="E676" s="3">
        <v>150</v>
      </c>
      <c r="F676" s="3">
        <v>433</v>
      </c>
      <c r="G676" s="3">
        <v>474</v>
      </c>
      <c r="H676" s="3">
        <v>139</v>
      </c>
      <c r="I676" s="9">
        <v>41787</v>
      </c>
      <c r="J676" s="47">
        <v>0.44237268518518519</v>
      </c>
    </row>
    <row r="677" spans="1:10" x14ac:dyDescent="0.25">
      <c r="A677" s="3" t="s">
        <v>18</v>
      </c>
      <c r="B677" s="45" t="s">
        <v>1942</v>
      </c>
      <c r="C677" s="45" t="s">
        <v>1943</v>
      </c>
      <c r="D677" s="46" t="s">
        <v>1944</v>
      </c>
      <c r="E677" s="3">
        <v>305</v>
      </c>
      <c r="F677" s="3">
        <v>425</v>
      </c>
      <c r="G677" s="3">
        <v>1141</v>
      </c>
      <c r="H677" s="3">
        <v>253</v>
      </c>
      <c r="I677" s="9">
        <v>42026</v>
      </c>
      <c r="J677" s="47">
        <v>0.80954861111111109</v>
      </c>
    </row>
    <row r="678" spans="1:10" ht="30" x14ac:dyDescent="0.25">
      <c r="A678" s="3" t="s">
        <v>18</v>
      </c>
      <c r="B678" s="45" t="s">
        <v>1954</v>
      </c>
      <c r="C678" s="45" t="s">
        <v>1955</v>
      </c>
      <c r="D678" s="46" t="s">
        <v>1956</v>
      </c>
      <c r="E678" s="3">
        <v>93</v>
      </c>
      <c r="F678" s="3">
        <v>422</v>
      </c>
      <c r="G678" s="3">
        <v>286</v>
      </c>
      <c r="H678" s="3">
        <v>8</v>
      </c>
      <c r="I678" s="9">
        <v>41122</v>
      </c>
      <c r="J678" s="47">
        <v>0.50813657407407409</v>
      </c>
    </row>
    <row r="679" spans="1:10" ht="30" x14ac:dyDescent="0.25">
      <c r="A679" s="3" t="s">
        <v>18</v>
      </c>
      <c r="B679" s="45" t="s">
        <v>1969</v>
      </c>
      <c r="D679" s="46" t="s">
        <v>1970</v>
      </c>
      <c r="E679" s="3">
        <v>286</v>
      </c>
      <c r="F679" s="3">
        <v>415</v>
      </c>
      <c r="G679" s="3">
        <v>1005</v>
      </c>
      <c r="H679" s="3">
        <v>120</v>
      </c>
      <c r="I679" s="9">
        <v>41624</v>
      </c>
      <c r="J679" s="47">
        <v>0.89030092592592591</v>
      </c>
    </row>
    <row r="680" spans="1:10" ht="30" x14ac:dyDescent="0.25">
      <c r="A680" s="3" t="s">
        <v>18</v>
      </c>
      <c r="B680" s="45" t="s">
        <v>1976</v>
      </c>
      <c r="C680" s="45" t="s">
        <v>1977</v>
      </c>
      <c r="D680" s="46" t="s">
        <v>1978</v>
      </c>
      <c r="E680" s="3">
        <v>502</v>
      </c>
      <c r="F680" s="3">
        <v>412</v>
      </c>
      <c r="G680" s="3">
        <v>553</v>
      </c>
      <c r="H680" s="3">
        <v>30</v>
      </c>
      <c r="I680" s="9">
        <v>41376</v>
      </c>
      <c r="J680" s="47">
        <v>0.68011574074074066</v>
      </c>
    </row>
    <row r="681" spans="1:10" ht="30" x14ac:dyDescent="0.25">
      <c r="A681" s="3" t="s">
        <v>18</v>
      </c>
      <c r="B681" s="45" t="s">
        <v>1993</v>
      </c>
      <c r="C681" s="45" t="s">
        <v>1994</v>
      </c>
      <c r="D681" s="46" t="s">
        <v>1995</v>
      </c>
      <c r="E681" s="3">
        <v>298</v>
      </c>
      <c r="F681" s="3">
        <v>409</v>
      </c>
      <c r="G681" s="3">
        <v>2242</v>
      </c>
      <c r="H681" s="3">
        <v>349</v>
      </c>
      <c r="I681" s="9">
        <v>40661</v>
      </c>
      <c r="J681" s="47">
        <v>0.6390393518518519</v>
      </c>
    </row>
    <row r="682" spans="1:10" ht="30" x14ac:dyDescent="0.25">
      <c r="A682" s="3" t="s">
        <v>18</v>
      </c>
      <c r="B682" s="45" t="s">
        <v>1996</v>
      </c>
      <c r="C682" s="45" t="s">
        <v>1997</v>
      </c>
      <c r="D682" s="46" t="s">
        <v>1998</v>
      </c>
      <c r="E682" s="3">
        <v>362</v>
      </c>
      <c r="F682" s="3">
        <v>408</v>
      </c>
      <c r="G682" s="3">
        <v>249</v>
      </c>
      <c r="H682" s="3">
        <v>35</v>
      </c>
      <c r="I682" s="9">
        <v>41406</v>
      </c>
      <c r="J682" s="47">
        <v>0.62694444444444442</v>
      </c>
    </row>
    <row r="683" spans="1:10" x14ac:dyDescent="0.25">
      <c r="A683" s="3" t="s">
        <v>18</v>
      </c>
      <c r="B683" s="45" t="s">
        <v>1999</v>
      </c>
      <c r="D683" s="46" t="s">
        <v>2000</v>
      </c>
      <c r="E683" s="3">
        <v>129</v>
      </c>
      <c r="F683" s="3">
        <v>406</v>
      </c>
      <c r="G683" s="3">
        <v>1218</v>
      </c>
      <c r="H683" s="3">
        <v>4</v>
      </c>
      <c r="I683" s="9">
        <v>41332</v>
      </c>
      <c r="J683" s="47">
        <v>0.61075231481481485</v>
      </c>
    </row>
    <row r="684" spans="1:10" x14ac:dyDescent="0.25">
      <c r="A684" s="3" t="s">
        <v>18</v>
      </c>
      <c r="B684" s="45" t="s">
        <v>2014</v>
      </c>
      <c r="C684" s="45" t="s">
        <v>1115</v>
      </c>
      <c r="D684" s="46" t="s">
        <v>2015</v>
      </c>
      <c r="E684" s="3">
        <v>117</v>
      </c>
      <c r="F684" s="3">
        <v>402</v>
      </c>
      <c r="G684" s="3">
        <v>127</v>
      </c>
      <c r="H684" s="3">
        <v>5</v>
      </c>
      <c r="I684" s="9">
        <v>41865</v>
      </c>
      <c r="J684" s="47">
        <v>0.47430555555555554</v>
      </c>
    </row>
    <row r="685" spans="1:10" ht="45" x14ac:dyDescent="0.25">
      <c r="A685" s="3" t="s">
        <v>18</v>
      </c>
      <c r="B685" s="45" t="s">
        <v>2016</v>
      </c>
      <c r="C685" s="45" t="s">
        <v>2017</v>
      </c>
      <c r="D685" s="46" t="s">
        <v>2018</v>
      </c>
      <c r="E685" s="3">
        <v>198</v>
      </c>
      <c r="F685" s="3">
        <v>400</v>
      </c>
      <c r="G685" s="3">
        <v>529</v>
      </c>
      <c r="H685" s="3">
        <v>232</v>
      </c>
      <c r="I685" s="9">
        <v>41677</v>
      </c>
      <c r="J685" s="47">
        <v>0.83510416666666665</v>
      </c>
    </row>
    <row r="686" spans="1:10" ht="30" x14ac:dyDescent="0.25">
      <c r="A686" s="3" t="s">
        <v>18</v>
      </c>
      <c r="B686" s="45" t="s">
        <v>2019</v>
      </c>
      <c r="C686" s="45" t="s">
        <v>2020</v>
      </c>
      <c r="D686" s="46" t="s">
        <v>2021</v>
      </c>
      <c r="E686" s="3">
        <v>235</v>
      </c>
      <c r="F686" s="3">
        <v>397</v>
      </c>
      <c r="G686" s="3">
        <v>70</v>
      </c>
      <c r="H686" s="3">
        <v>2</v>
      </c>
      <c r="I686" s="9">
        <v>41225</v>
      </c>
      <c r="J686" s="47">
        <v>0.53128472222222223</v>
      </c>
    </row>
    <row r="687" spans="1:10" x14ac:dyDescent="0.25">
      <c r="A687" s="3" t="s">
        <v>18</v>
      </c>
      <c r="B687" s="45" t="s">
        <v>2032</v>
      </c>
      <c r="C687" s="45" t="s">
        <v>2033</v>
      </c>
      <c r="D687" s="46" t="s">
        <v>2034</v>
      </c>
      <c r="E687" s="3">
        <v>463</v>
      </c>
      <c r="F687" s="3">
        <v>393</v>
      </c>
      <c r="G687" s="3">
        <v>340</v>
      </c>
      <c r="H687" s="3">
        <v>12</v>
      </c>
      <c r="I687" s="9">
        <v>41537</v>
      </c>
      <c r="J687" s="47">
        <v>0.59192129629629631</v>
      </c>
    </row>
    <row r="688" spans="1:10" x14ac:dyDescent="0.25">
      <c r="A688" s="3" t="s">
        <v>18</v>
      </c>
      <c r="B688" s="45" t="s">
        <v>2054</v>
      </c>
      <c r="D688" s="46" t="s">
        <v>2055</v>
      </c>
      <c r="E688" s="3">
        <v>51</v>
      </c>
      <c r="F688" s="3">
        <v>383</v>
      </c>
      <c r="G688" s="3">
        <v>451</v>
      </c>
      <c r="H688" s="3">
        <v>13</v>
      </c>
      <c r="I688" s="9">
        <v>41470</v>
      </c>
      <c r="J688" s="47">
        <v>0.62968750000000007</v>
      </c>
    </row>
    <row r="689" spans="1:10" ht="30" x14ac:dyDescent="0.25">
      <c r="A689" s="3" t="s">
        <v>18</v>
      </c>
      <c r="B689" s="45" t="s">
        <v>2051</v>
      </c>
      <c r="C689" s="45" t="s">
        <v>2052</v>
      </c>
      <c r="D689" s="46" t="s">
        <v>2053</v>
      </c>
      <c r="E689" s="3">
        <v>205</v>
      </c>
      <c r="F689" s="3">
        <v>383</v>
      </c>
      <c r="G689" s="3">
        <v>1468</v>
      </c>
      <c r="H689" s="3">
        <v>31</v>
      </c>
      <c r="I689" s="9">
        <v>40948</v>
      </c>
      <c r="J689" s="47">
        <v>0.66920138888888892</v>
      </c>
    </row>
    <row r="690" spans="1:10" x14ac:dyDescent="0.25">
      <c r="A690" s="3" t="s">
        <v>18</v>
      </c>
      <c r="B690" s="45" t="s">
        <v>2087</v>
      </c>
      <c r="D690" s="46" t="s">
        <v>2088</v>
      </c>
      <c r="E690" s="3">
        <v>460</v>
      </c>
      <c r="F690" s="3">
        <v>368</v>
      </c>
      <c r="G690" s="3">
        <v>824</v>
      </c>
      <c r="H690" s="3">
        <v>400</v>
      </c>
      <c r="I690" s="9">
        <v>42159</v>
      </c>
      <c r="J690" s="47">
        <v>0.38877314814814817</v>
      </c>
    </row>
    <row r="691" spans="1:10" ht="90" x14ac:dyDescent="0.25">
      <c r="A691" s="3" t="s">
        <v>18</v>
      </c>
      <c r="B691" s="45" t="s">
        <v>2092</v>
      </c>
      <c r="C691" s="45" t="s">
        <v>2093</v>
      </c>
      <c r="D691" s="46" t="s">
        <v>2094</v>
      </c>
      <c r="E691" s="3">
        <v>180</v>
      </c>
      <c r="F691" s="3">
        <v>365</v>
      </c>
      <c r="G691" s="3">
        <v>2686</v>
      </c>
      <c r="H691" s="3">
        <v>61</v>
      </c>
      <c r="I691" s="9">
        <v>41113</v>
      </c>
      <c r="J691" s="47">
        <v>0.86143518518518514</v>
      </c>
    </row>
    <row r="692" spans="1:10" ht="30" x14ac:dyDescent="0.25">
      <c r="A692" s="3" t="s">
        <v>18</v>
      </c>
      <c r="B692" s="45" t="s">
        <v>2109</v>
      </c>
      <c r="C692" s="45" t="s">
        <v>2110</v>
      </c>
      <c r="D692" s="46" t="s">
        <v>2111</v>
      </c>
      <c r="E692" s="3">
        <v>168</v>
      </c>
      <c r="F692" s="3">
        <v>361</v>
      </c>
      <c r="G692" s="3">
        <v>615</v>
      </c>
      <c r="H692" s="3">
        <v>57</v>
      </c>
      <c r="I692" s="9">
        <v>41803</v>
      </c>
      <c r="J692" s="47">
        <v>0.39428240740740739</v>
      </c>
    </row>
    <row r="693" spans="1:10" x14ac:dyDescent="0.25">
      <c r="A693" s="3" t="s">
        <v>18</v>
      </c>
      <c r="B693" s="45" t="s">
        <v>2114</v>
      </c>
      <c r="C693" s="45" t="s">
        <v>1221</v>
      </c>
      <c r="D693" s="46" t="s">
        <v>884</v>
      </c>
      <c r="E693" s="3">
        <v>464</v>
      </c>
      <c r="F693" s="3">
        <v>359</v>
      </c>
      <c r="G693" s="3">
        <v>1025</v>
      </c>
      <c r="H693" s="3">
        <v>469</v>
      </c>
      <c r="I693" s="9">
        <v>42026</v>
      </c>
      <c r="J693" s="47">
        <v>0.3888888888888889</v>
      </c>
    </row>
    <row r="694" spans="1:10" x14ac:dyDescent="0.25">
      <c r="A694" s="3" t="s">
        <v>18</v>
      </c>
      <c r="B694" s="45" t="s">
        <v>2117</v>
      </c>
      <c r="C694" s="45" t="s">
        <v>2118</v>
      </c>
      <c r="D694" s="46" t="s">
        <v>2088</v>
      </c>
      <c r="E694" s="3">
        <v>250</v>
      </c>
      <c r="F694" s="3">
        <v>356</v>
      </c>
      <c r="G694" s="3">
        <v>1900</v>
      </c>
      <c r="H694" s="3">
        <v>649</v>
      </c>
      <c r="I694" s="9">
        <v>42160</v>
      </c>
      <c r="J694" s="47">
        <v>0.59429398148148149</v>
      </c>
    </row>
    <row r="695" spans="1:10" ht="30" x14ac:dyDescent="0.25">
      <c r="A695" s="3" t="s">
        <v>18</v>
      </c>
      <c r="B695" s="45" t="s">
        <v>2121</v>
      </c>
      <c r="C695" s="45" t="s">
        <v>2122</v>
      </c>
      <c r="D695" s="46" t="s">
        <v>2123</v>
      </c>
      <c r="E695" s="3">
        <v>264</v>
      </c>
      <c r="F695" s="3">
        <v>354</v>
      </c>
      <c r="G695" s="3">
        <v>666</v>
      </c>
      <c r="H695" s="3">
        <v>220</v>
      </c>
      <c r="I695" s="9">
        <v>41821</v>
      </c>
      <c r="J695" s="47">
        <v>0.58667824074074071</v>
      </c>
    </row>
    <row r="696" spans="1:10" ht="30" x14ac:dyDescent="0.25">
      <c r="A696" s="3" t="s">
        <v>18</v>
      </c>
      <c r="B696" s="45" t="s">
        <v>2158</v>
      </c>
      <c r="C696" s="45" t="s">
        <v>310</v>
      </c>
      <c r="D696" s="46" t="s">
        <v>2159</v>
      </c>
      <c r="E696" s="3">
        <v>65</v>
      </c>
      <c r="F696" s="3">
        <v>346</v>
      </c>
      <c r="G696" s="3">
        <v>226</v>
      </c>
      <c r="H696" s="3">
        <v>18</v>
      </c>
      <c r="I696" s="9">
        <v>40736</v>
      </c>
      <c r="J696" s="47">
        <v>0.62991898148148151</v>
      </c>
    </row>
    <row r="697" spans="1:10" x14ac:dyDescent="0.25">
      <c r="A697" s="3" t="s">
        <v>18</v>
      </c>
      <c r="B697" s="45" t="s">
        <v>2165</v>
      </c>
      <c r="E697" s="3">
        <v>298</v>
      </c>
      <c r="F697" s="3">
        <v>345</v>
      </c>
      <c r="G697" s="3">
        <v>610</v>
      </c>
      <c r="H697" s="3">
        <v>141</v>
      </c>
      <c r="I697" s="9">
        <v>42110</v>
      </c>
      <c r="J697" s="47">
        <v>0.61006944444444444</v>
      </c>
    </row>
    <row r="698" spans="1:10" ht="30" x14ac:dyDescent="0.25">
      <c r="A698" s="3" t="s">
        <v>18</v>
      </c>
      <c r="B698" s="45" t="s">
        <v>2169</v>
      </c>
      <c r="C698" s="45" t="s">
        <v>2170</v>
      </c>
      <c r="D698" s="46" t="s">
        <v>2171</v>
      </c>
      <c r="E698" s="3">
        <v>192</v>
      </c>
      <c r="F698" s="3">
        <v>342</v>
      </c>
      <c r="G698" s="3">
        <v>1651</v>
      </c>
      <c r="H698" s="3">
        <v>567</v>
      </c>
      <c r="I698" s="9">
        <v>41163</v>
      </c>
      <c r="J698" s="47">
        <v>0.60221064814814818</v>
      </c>
    </row>
    <row r="699" spans="1:10" ht="30" x14ac:dyDescent="0.25">
      <c r="A699" s="3" t="s">
        <v>18</v>
      </c>
      <c r="B699" s="45" t="s">
        <v>2189</v>
      </c>
      <c r="C699" s="45" t="s">
        <v>926</v>
      </c>
      <c r="D699" s="46" t="s">
        <v>2190</v>
      </c>
      <c r="E699" s="3">
        <v>135</v>
      </c>
      <c r="F699" s="3">
        <v>333</v>
      </c>
      <c r="G699" s="3">
        <v>213</v>
      </c>
      <c r="H699" s="3">
        <v>55</v>
      </c>
      <c r="I699" s="9">
        <v>42355</v>
      </c>
      <c r="J699" s="47">
        <v>0.77136574074074071</v>
      </c>
    </row>
    <row r="700" spans="1:10" ht="30" x14ac:dyDescent="0.25">
      <c r="A700" s="3" t="s">
        <v>18</v>
      </c>
      <c r="B700" s="45" t="s">
        <v>2191</v>
      </c>
      <c r="C700" s="45" t="s">
        <v>2192</v>
      </c>
      <c r="D700" s="46" t="s">
        <v>2193</v>
      </c>
      <c r="E700" s="3">
        <v>178</v>
      </c>
      <c r="F700" s="3">
        <v>332</v>
      </c>
      <c r="G700" s="3">
        <v>723</v>
      </c>
      <c r="H700" s="3">
        <v>1</v>
      </c>
      <c r="I700" s="9">
        <v>40512</v>
      </c>
      <c r="J700" s="47">
        <v>0.94684027777777768</v>
      </c>
    </row>
    <row r="701" spans="1:10" ht="30" x14ac:dyDescent="0.25">
      <c r="A701" s="3" t="s">
        <v>18</v>
      </c>
      <c r="B701" s="45" t="s">
        <v>2199</v>
      </c>
      <c r="D701" s="46" t="s">
        <v>2200</v>
      </c>
      <c r="E701" s="3">
        <v>387</v>
      </c>
      <c r="F701" s="3">
        <v>328</v>
      </c>
      <c r="G701" s="3">
        <v>362</v>
      </c>
      <c r="H701" s="3">
        <v>111</v>
      </c>
      <c r="I701" s="9">
        <v>41418</v>
      </c>
      <c r="J701" s="47">
        <v>0.43796296296296294</v>
      </c>
    </row>
    <row r="702" spans="1:10" x14ac:dyDescent="0.25">
      <c r="A702" s="3" t="s">
        <v>18</v>
      </c>
      <c r="B702" s="45" t="s">
        <v>2237</v>
      </c>
      <c r="C702" s="45" t="s">
        <v>2238</v>
      </c>
      <c r="E702" s="3">
        <v>53</v>
      </c>
      <c r="F702" s="3">
        <v>315</v>
      </c>
      <c r="G702" s="3">
        <v>204</v>
      </c>
      <c r="H702" s="3">
        <v>42</v>
      </c>
      <c r="I702" s="9">
        <v>42131</v>
      </c>
      <c r="J702" s="47">
        <v>0.37236111111111114</v>
      </c>
    </row>
    <row r="703" spans="1:10" ht="30" x14ac:dyDescent="0.25">
      <c r="A703" s="3" t="s">
        <v>18</v>
      </c>
      <c r="B703" s="45" t="s">
        <v>2239</v>
      </c>
      <c r="C703" s="45" t="s">
        <v>2240</v>
      </c>
      <c r="D703" s="46" t="s">
        <v>2241</v>
      </c>
      <c r="E703" s="3">
        <v>90</v>
      </c>
      <c r="F703" s="3">
        <v>314</v>
      </c>
      <c r="G703" s="3">
        <v>163</v>
      </c>
      <c r="H703" s="3">
        <v>64</v>
      </c>
      <c r="I703" s="9">
        <v>40879</v>
      </c>
      <c r="J703" s="47">
        <v>0.75515046296296295</v>
      </c>
    </row>
    <row r="704" spans="1:10" ht="45" x14ac:dyDescent="0.25">
      <c r="A704" s="3" t="s">
        <v>18</v>
      </c>
      <c r="B704" s="45" t="s">
        <v>2242</v>
      </c>
      <c r="C704" s="45" t="s">
        <v>2243</v>
      </c>
      <c r="D704" s="46" t="s">
        <v>2244</v>
      </c>
      <c r="E704" s="3">
        <v>207</v>
      </c>
      <c r="F704" s="3">
        <v>313</v>
      </c>
      <c r="G704" s="3">
        <v>248</v>
      </c>
      <c r="H704" s="3">
        <v>28</v>
      </c>
      <c r="I704" s="9">
        <v>41079</v>
      </c>
      <c r="J704" s="47">
        <v>0.66744212962962957</v>
      </c>
    </row>
    <row r="705" spans="1:10" ht="30" x14ac:dyDescent="0.25">
      <c r="A705" s="3" t="s">
        <v>18</v>
      </c>
      <c r="B705" s="45" t="s">
        <v>2252</v>
      </c>
      <c r="C705" s="45" t="s">
        <v>2253</v>
      </c>
      <c r="D705" s="46" t="s">
        <v>2254</v>
      </c>
      <c r="E705" s="3">
        <v>620</v>
      </c>
      <c r="F705" s="3">
        <v>307</v>
      </c>
      <c r="G705" s="3">
        <v>385</v>
      </c>
      <c r="H705" s="3">
        <v>23</v>
      </c>
      <c r="I705" s="9">
        <v>40936</v>
      </c>
      <c r="J705" s="47">
        <v>0.92633101851851851</v>
      </c>
    </row>
    <row r="706" spans="1:10" x14ac:dyDescent="0.25">
      <c r="A706" s="3" t="s">
        <v>18</v>
      </c>
      <c r="B706" s="45" t="s">
        <v>2255</v>
      </c>
      <c r="C706" s="45" t="s">
        <v>2256</v>
      </c>
      <c r="E706" s="3">
        <v>248</v>
      </c>
      <c r="F706" s="3">
        <v>307</v>
      </c>
      <c r="G706" s="3">
        <v>535</v>
      </c>
      <c r="H706" s="3">
        <v>492</v>
      </c>
      <c r="I706" s="9">
        <v>42269</v>
      </c>
      <c r="J706" s="47">
        <v>0.49565972222222227</v>
      </c>
    </row>
    <row r="707" spans="1:10" x14ac:dyDescent="0.25">
      <c r="A707" s="3" t="s">
        <v>18</v>
      </c>
      <c r="B707" s="45" t="s">
        <v>476</v>
      </c>
      <c r="C707" s="45" t="s">
        <v>36</v>
      </c>
      <c r="D707" s="46" t="s">
        <v>2262</v>
      </c>
      <c r="E707" s="3">
        <v>51</v>
      </c>
      <c r="F707" s="3">
        <v>303</v>
      </c>
      <c r="G707" s="3">
        <v>56</v>
      </c>
      <c r="H707" s="3">
        <v>0</v>
      </c>
      <c r="I707" s="9">
        <v>40254</v>
      </c>
      <c r="J707" s="47">
        <v>0.68763888888888891</v>
      </c>
    </row>
    <row r="708" spans="1:10" ht="30" x14ac:dyDescent="0.25">
      <c r="A708" s="3" t="s">
        <v>18</v>
      </c>
      <c r="B708" s="45" t="s">
        <v>1148</v>
      </c>
      <c r="C708" s="45" t="s">
        <v>2272</v>
      </c>
      <c r="D708" s="46" t="s">
        <v>2273</v>
      </c>
      <c r="E708" s="3">
        <v>22</v>
      </c>
      <c r="F708" s="3">
        <v>297</v>
      </c>
      <c r="G708" s="3">
        <v>376</v>
      </c>
      <c r="H708" s="3">
        <v>3</v>
      </c>
      <c r="I708" s="9">
        <v>41499</v>
      </c>
      <c r="J708" s="47">
        <v>0.73700231481481471</v>
      </c>
    </row>
    <row r="709" spans="1:10" ht="30" x14ac:dyDescent="0.25">
      <c r="A709" s="3" t="s">
        <v>18</v>
      </c>
      <c r="B709" s="45" t="s">
        <v>2274</v>
      </c>
      <c r="C709" s="45" t="s">
        <v>2275</v>
      </c>
      <c r="D709" s="46" t="s">
        <v>2276</v>
      </c>
      <c r="E709" s="3">
        <v>143</v>
      </c>
      <c r="F709" s="3">
        <v>297</v>
      </c>
      <c r="G709" s="3">
        <v>1445</v>
      </c>
      <c r="H709" s="3">
        <v>222</v>
      </c>
      <c r="I709" s="9">
        <v>42158</v>
      </c>
      <c r="J709" s="47">
        <v>0.39096064814814818</v>
      </c>
    </row>
    <row r="710" spans="1:10" ht="30" x14ac:dyDescent="0.25">
      <c r="A710" s="3" t="s">
        <v>18</v>
      </c>
      <c r="B710" s="45" t="s">
        <v>2285</v>
      </c>
      <c r="C710" s="45" t="s">
        <v>2286</v>
      </c>
      <c r="D710" s="46" t="s">
        <v>2287</v>
      </c>
      <c r="E710" s="3">
        <v>112</v>
      </c>
      <c r="F710" s="3">
        <v>294</v>
      </c>
      <c r="G710" s="3">
        <v>145</v>
      </c>
      <c r="H710" s="3">
        <v>56</v>
      </c>
      <c r="I710" s="9">
        <v>41845</v>
      </c>
      <c r="J710" s="47">
        <v>0.61972222222222217</v>
      </c>
    </row>
    <row r="711" spans="1:10" ht="30" x14ac:dyDescent="0.25">
      <c r="A711" s="3" t="s">
        <v>18</v>
      </c>
      <c r="B711" s="45" t="s">
        <v>2294</v>
      </c>
      <c r="C711" s="45" t="s">
        <v>2295</v>
      </c>
      <c r="D711" s="46" t="s">
        <v>2296</v>
      </c>
      <c r="E711" s="3">
        <v>75</v>
      </c>
      <c r="F711" s="3">
        <v>290</v>
      </c>
      <c r="G711" s="3">
        <v>688</v>
      </c>
      <c r="H711" s="3">
        <v>15</v>
      </c>
      <c r="I711" s="9">
        <v>42050</v>
      </c>
      <c r="J711" s="47">
        <v>0.44920138888888889</v>
      </c>
    </row>
    <row r="712" spans="1:10" ht="30" x14ac:dyDescent="0.25">
      <c r="A712" s="3" t="s">
        <v>18</v>
      </c>
      <c r="B712" s="45" t="s">
        <v>2308</v>
      </c>
      <c r="C712" s="45" t="s">
        <v>2309</v>
      </c>
      <c r="D712" s="46" t="s">
        <v>2310</v>
      </c>
      <c r="E712" s="3">
        <v>325</v>
      </c>
      <c r="F712" s="3">
        <v>287</v>
      </c>
      <c r="G712" s="3">
        <v>808</v>
      </c>
      <c r="H712" s="3">
        <v>5</v>
      </c>
      <c r="I712" s="9">
        <v>40681</v>
      </c>
      <c r="J712" s="47">
        <v>0.40368055555555554</v>
      </c>
    </row>
    <row r="713" spans="1:10" x14ac:dyDescent="0.25">
      <c r="A713" s="3" t="s">
        <v>18</v>
      </c>
      <c r="B713" s="45" t="s">
        <v>2336</v>
      </c>
      <c r="D713" s="46" t="s">
        <v>2337</v>
      </c>
      <c r="E713" s="3">
        <v>149</v>
      </c>
      <c r="F713" s="3">
        <v>278</v>
      </c>
      <c r="G713" s="3">
        <v>904</v>
      </c>
      <c r="H713" s="3">
        <v>15</v>
      </c>
      <c r="I713" s="9">
        <v>42186</v>
      </c>
      <c r="J713" s="47">
        <v>0.43589120370370371</v>
      </c>
    </row>
    <row r="714" spans="1:10" ht="30" x14ac:dyDescent="0.25">
      <c r="A714" s="3" t="s">
        <v>18</v>
      </c>
      <c r="B714" s="45" t="s">
        <v>2341</v>
      </c>
      <c r="C714" s="45" t="s">
        <v>2342</v>
      </c>
      <c r="D714" s="46" t="s">
        <v>2343</v>
      </c>
      <c r="E714" s="3">
        <v>114</v>
      </c>
      <c r="F714" s="3">
        <v>277</v>
      </c>
      <c r="G714" s="3">
        <v>700</v>
      </c>
      <c r="H714" s="3">
        <v>179</v>
      </c>
      <c r="I714" s="9">
        <v>41828</v>
      </c>
      <c r="J714" s="47">
        <v>0.5541666666666667</v>
      </c>
    </row>
    <row r="715" spans="1:10" ht="30" x14ac:dyDescent="0.25">
      <c r="A715" s="3" t="s">
        <v>18</v>
      </c>
      <c r="B715" s="45" t="s">
        <v>2358</v>
      </c>
      <c r="C715" s="45" t="s">
        <v>2359</v>
      </c>
      <c r="D715" s="46" t="s">
        <v>2360</v>
      </c>
      <c r="E715" s="3">
        <v>246</v>
      </c>
      <c r="F715" s="3">
        <v>273</v>
      </c>
      <c r="G715" s="3">
        <v>277</v>
      </c>
      <c r="H715" s="3">
        <v>16</v>
      </c>
      <c r="I715" s="9">
        <v>42065</v>
      </c>
      <c r="J715" s="47">
        <v>0.53282407407407406</v>
      </c>
    </row>
    <row r="716" spans="1:10" x14ac:dyDescent="0.25">
      <c r="A716" s="3" t="s">
        <v>18</v>
      </c>
      <c r="B716" s="45" t="s">
        <v>2361</v>
      </c>
      <c r="E716" s="3">
        <v>44</v>
      </c>
      <c r="F716" s="3">
        <v>273</v>
      </c>
      <c r="G716" s="3">
        <v>469</v>
      </c>
      <c r="H716" s="3">
        <v>131</v>
      </c>
      <c r="I716" s="9">
        <v>42140</v>
      </c>
      <c r="J716" s="47">
        <v>0.40358796296296301</v>
      </c>
    </row>
    <row r="717" spans="1:10" ht="30" x14ac:dyDescent="0.25">
      <c r="A717" s="3" t="s">
        <v>18</v>
      </c>
      <c r="B717" s="45" t="s">
        <v>2371</v>
      </c>
      <c r="C717" s="45" t="s">
        <v>2372</v>
      </c>
      <c r="D717" s="46" t="s">
        <v>2373</v>
      </c>
      <c r="E717" s="3">
        <v>133</v>
      </c>
      <c r="F717" s="3">
        <v>269</v>
      </c>
      <c r="G717" s="3">
        <v>430</v>
      </c>
      <c r="H717" s="3">
        <v>41</v>
      </c>
      <c r="I717" s="9">
        <v>42127</v>
      </c>
      <c r="J717" s="47">
        <v>0.88166666666666671</v>
      </c>
    </row>
    <row r="718" spans="1:10" ht="30" x14ac:dyDescent="0.25">
      <c r="A718" s="3" t="s">
        <v>18</v>
      </c>
      <c r="B718" s="45" t="s">
        <v>2384</v>
      </c>
      <c r="C718" s="45" t="s">
        <v>2385</v>
      </c>
      <c r="D718" s="46" t="s">
        <v>2386</v>
      </c>
      <c r="E718" s="3">
        <v>140</v>
      </c>
      <c r="F718" s="3">
        <v>267</v>
      </c>
      <c r="G718" s="3">
        <v>279</v>
      </c>
      <c r="H718" s="3">
        <v>21</v>
      </c>
      <c r="I718" s="9">
        <v>42262</v>
      </c>
      <c r="J718" s="47">
        <v>0.55457175925925928</v>
      </c>
    </row>
    <row r="719" spans="1:10" x14ac:dyDescent="0.25">
      <c r="A719" s="3" t="s">
        <v>18</v>
      </c>
      <c r="B719" s="45" t="s">
        <v>2397</v>
      </c>
      <c r="E719" s="3">
        <v>77</v>
      </c>
      <c r="F719" s="3">
        <v>264</v>
      </c>
      <c r="G719" s="3">
        <v>397</v>
      </c>
      <c r="H719" s="3">
        <v>29</v>
      </c>
      <c r="I719" s="9">
        <v>42158</v>
      </c>
      <c r="J719" s="47">
        <v>0.35818287037037039</v>
      </c>
    </row>
    <row r="720" spans="1:10" x14ac:dyDescent="0.25">
      <c r="A720" s="3" t="s">
        <v>18</v>
      </c>
      <c r="B720" s="45" t="s">
        <v>2403</v>
      </c>
      <c r="C720" s="45" t="s">
        <v>2404</v>
      </c>
      <c r="D720" s="46" t="s">
        <v>2405</v>
      </c>
      <c r="E720" s="3">
        <v>133</v>
      </c>
      <c r="F720" s="3">
        <v>262</v>
      </c>
      <c r="G720" s="3">
        <v>955</v>
      </c>
      <c r="H720" s="3">
        <v>130</v>
      </c>
      <c r="I720" s="9">
        <v>41901</v>
      </c>
      <c r="J720" s="47">
        <v>0.56490740740740741</v>
      </c>
    </row>
    <row r="721" spans="1:10" ht="30" x14ac:dyDescent="0.25">
      <c r="A721" s="3" t="s">
        <v>18</v>
      </c>
      <c r="B721" s="45" t="s">
        <v>2418</v>
      </c>
      <c r="D721" s="46" t="s">
        <v>2419</v>
      </c>
      <c r="E721" s="3">
        <v>72</v>
      </c>
      <c r="F721" s="3">
        <v>260</v>
      </c>
      <c r="G721" s="3">
        <v>329</v>
      </c>
      <c r="H721" s="3">
        <v>5</v>
      </c>
      <c r="I721" s="9">
        <v>42143</v>
      </c>
      <c r="J721" s="47">
        <v>0.55184027777777778</v>
      </c>
    </row>
    <row r="722" spans="1:10" ht="30" x14ac:dyDescent="0.25">
      <c r="A722" s="3" t="s">
        <v>18</v>
      </c>
      <c r="B722" s="45" t="s">
        <v>2431</v>
      </c>
      <c r="D722" s="46" t="s">
        <v>2432</v>
      </c>
      <c r="E722" s="3">
        <v>118</v>
      </c>
      <c r="F722" s="3">
        <v>258</v>
      </c>
      <c r="G722" s="3">
        <v>312</v>
      </c>
      <c r="H722" s="3">
        <v>276</v>
      </c>
      <c r="I722" s="9">
        <v>42205</v>
      </c>
      <c r="J722" s="47">
        <v>0.3585416666666667</v>
      </c>
    </row>
    <row r="723" spans="1:10" x14ac:dyDescent="0.25">
      <c r="A723" s="3" t="s">
        <v>18</v>
      </c>
      <c r="B723" s="45" t="s">
        <v>2436</v>
      </c>
      <c r="C723" s="45" t="s">
        <v>141</v>
      </c>
      <c r="D723" s="46" t="s">
        <v>2437</v>
      </c>
      <c r="E723" s="3">
        <v>216</v>
      </c>
      <c r="F723" s="3">
        <v>257</v>
      </c>
      <c r="G723" s="3">
        <v>405</v>
      </c>
      <c r="H723" s="3">
        <v>16</v>
      </c>
      <c r="I723" s="9">
        <v>41661</v>
      </c>
      <c r="J723" s="47">
        <v>0.50505787037037042</v>
      </c>
    </row>
    <row r="724" spans="1:10" ht="30" x14ac:dyDescent="0.25">
      <c r="A724" s="3" t="s">
        <v>18</v>
      </c>
      <c r="B724" s="45" t="s">
        <v>2462</v>
      </c>
      <c r="C724" s="45" t="s">
        <v>2463</v>
      </c>
      <c r="D724" s="46" t="s">
        <v>2464</v>
      </c>
      <c r="E724" s="3">
        <v>136</v>
      </c>
      <c r="F724" s="3">
        <v>251</v>
      </c>
      <c r="G724" s="3">
        <v>1378</v>
      </c>
      <c r="H724" s="3">
        <v>272</v>
      </c>
      <c r="I724" s="9">
        <v>42446</v>
      </c>
      <c r="J724" s="47">
        <v>0.87164351851851851</v>
      </c>
    </row>
    <row r="725" spans="1:10" ht="30" x14ac:dyDescent="0.25">
      <c r="A725" s="3" t="s">
        <v>18</v>
      </c>
      <c r="B725" s="45" t="s">
        <v>2459</v>
      </c>
      <c r="C725" s="45" t="s">
        <v>2460</v>
      </c>
      <c r="D725" s="46" t="s">
        <v>2461</v>
      </c>
      <c r="E725" s="3">
        <v>139</v>
      </c>
      <c r="F725" s="3">
        <v>251</v>
      </c>
      <c r="G725" s="3">
        <v>587</v>
      </c>
      <c r="H725" s="3">
        <v>376</v>
      </c>
      <c r="I725" s="9">
        <v>42158</v>
      </c>
      <c r="J725" s="47">
        <v>0.32493055555555556</v>
      </c>
    </row>
    <row r="726" spans="1:10" ht="45" x14ac:dyDescent="0.25">
      <c r="A726" s="3" t="s">
        <v>18</v>
      </c>
      <c r="B726" s="45" t="s">
        <v>2465</v>
      </c>
      <c r="C726" s="45" t="s">
        <v>2466</v>
      </c>
      <c r="D726" s="46" t="s">
        <v>2467</v>
      </c>
      <c r="E726" s="3">
        <v>553</v>
      </c>
      <c r="F726" s="3">
        <v>249</v>
      </c>
      <c r="G726" s="3">
        <v>409</v>
      </c>
      <c r="H726" s="3">
        <v>246</v>
      </c>
      <c r="I726" s="9">
        <v>42699</v>
      </c>
      <c r="J726" s="47">
        <v>0.47754629629629625</v>
      </c>
    </row>
    <row r="727" spans="1:10" x14ac:dyDescent="0.25">
      <c r="A727" s="3" t="s">
        <v>18</v>
      </c>
      <c r="B727" s="45" t="s">
        <v>2476</v>
      </c>
      <c r="E727" s="3">
        <v>169</v>
      </c>
      <c r="F727" s="3">
        <v>248</v>
      </c>
      <c r="G727" s="3">
        <v>143</v>
      </c>
      <c r="H727" s="3">
        <v>102</v>
      </c>
      <c r="I727" s="9">
        <v>42163</v>
      </c>
      <c r="J727" s="47">
        <v>0.58001157407407411</v>
      </c>
    </row>
    <row r="728" spans="1:10" x14ac:dyDescent="0.25">
      <c r="A728" s="3" t="s">
        <v>18</v>
      </c>
      <c r="B728" s="45" t="s">
        <v>2483</v>
      </c>
      <c r="E728" s="3">
        <v>64</v>
      </c>
      <c r="F728" s="3">
        <v>247</v>
      </c>
      <c r="G728" s="3">
        <v>293</v>
      </c>
      <c r="H728" s="3">
        <v>36</v>
      </c>
      <c r="I728" s="9">
        <v>42107</v>
      </c>
      <c r="J728" s="47">
        <v>0.5995138888888889</v>
      </c>
    </row>
    <row r="729" spans="1:10" x14ac:dyDescent="0.25">
      <c r="A729" s="3" t="s">
        <v>18</v>
      </c>
      <c r="B729" s="45" t="s">
        <v>2494</v>
      </c>
      <c r="E729" s="3">
        <v>327</v>
      </c>
      <c r="F729" s="3">
        <v>241</v>
      </c>
      <c r="G729" s="3">
        <v>335</v>
      </c>
      <c r="H729" s="3">
        <v>219</v>
      </c>
      <c r="I729" s="9">
        <v>42381</v>
      </c>
      <c r="J729" s="47">
        <v>0.43918981481481478</v>
      </c>
    </row>
    <row r="730" spans="1:10" x14ac:dyDescent="0.25">
      <c r="A730" s="3" t="s">
        <v>18</v>
      </c>
      <c r="B730" s="45" t="s">
        <v>2503</v>
      </c>
      <c r="E730" s="3">
        <v>381</v>
      </c>
      <c r="F730" s="3">
        <v>238</v>
      </c>
      <c r="G730" s="3">
        <v>279</v>
      </c>
      <c r="H730" s="3">
        <v>154</v>
      </c>
      <c r="I730" s="9">
        <v>42044</v>
      </c>
      <c r="J730" s="47">
        <v>0.47273148148148153</v>
      </c>
    </row>
    <row r="731" spans="1:10" x14ac:dyDescent="0.25">
      <c r="A731" s="3" t="s">
        <v>18</v>
      </c>
      <c r="B731" s="45" t="s">
        <v>2520</v>
      </c>
      <c r="C731" s="45" t="s">
        <v>2521</v>
      </c>
      <c r="D731" s="46" t="s">
        <v>2522</v>
      </c>
      <c r="E731" s="3">
        <v>169</v>
      </c>
      <c r="F731" s="3">
        <v>231</v>
      </c>
      <c r="G731" s="3">
        <v>431</v>
      </c>
      <c r="H731" s="3">
        <v>64</v>
      </c>
      <c r="I731" s="9">
        <v>41736</v>
      </c>
      <c r="J731" s="47">
        <v>0.95081018518518512</v>
      </c>
    </row>
    <row r="732" spans="1:10" x14ac:dyDescent="0.25">
      <c r="A732" s="3" t="s">
        <v>18</v>
      </c>
      <c r="B732" s="45" t="s">
        <v>2523</v>
      </c>
      <c r="C732" s="45" t="s">
        <v>2524</v>
      </c>
      <c r="D732" s="46" t="s">
        <v>2525</v>
      </c>
      <c r="E732" s="3">
        <v>44</v>
      </c>
      <c r="F732" s="3">
        <v>229</v>
      </c>
      <c r="G732" s="3">
        <v>793</v>
      </c>
      <c r="H732" s="3">
        <v>18</v>
      </c>
      <c r="I732" s="9">
        <v>41172</v>
      </c>
      <c r="J732" s="47">
        <v>0.8455787037037038</v>
      </c>
    </row>
    <row r="733" spans="1:10" x14ac:dyDescent="0.25">
      <c r="A733" s="3" t="s">
        <v>18</v>
      </c>
      <c r="B733" s="45" t="s">
        <v>2534</v>
      </c>
      <c r="D733" s="46" t="s">
        <v>2535</v>
      </c>
      <c r="E733" s="3">
        <v>37</v>
      </c>
      <c r="F733" s="3">
        <v>228</v>
      </c>
      <c r="G733" s="3">
        <v>58</v>
      </c>
      <c r="H733" s="3">
        <v>1</v>
      </c>
      <c r="I733" s="9">
        <v>41399</v>
      </c>
      <c r="J733" s="47">
        <v>0.80420138888888892</v>
      </c>
    </row>
    <row r="734" spans="1:10" ht="30" x14ac:dyDescent="0.25">
      <c r="A734" s="3" t="s">
        <v>18</v>
      </c>
      <c r="B734" s="45" t="s">
        <v>2561</v>
      </c>
      <c r="C734" s="45" t="s">
        <v>387</v>
      </c>
      <c r="D734" s="46" t="s">
        <v>2562</v>
      </c>
      <c r="E734" s="3">
        <v>157</v>
      </c>
      <c r="F734" s="3">
        <v>224</v>
      </c>
      <c r="G734" s="3">
        <v>412</v>
      </c>
      <c r="H734" s="3">
        <v>245</v>
      </c>
      <c r="I734" s="9">
        <v>42748</v>
      </c>
      <c r="J734" s="47">
        <v>0.42442129629629632</v>
      </c>
    </row>
    <row r="735" spans="1:10" ht="30" x14ac:dyDescent="0.25">
      <c r="A735" s="3" t="s">
        <v>18</v>
      </c>
      <c r="B735" s="45" t="s">
        <v>2589</v>
      </c>
      <c r="C735" s="45" t="s">
        <v>1377</v>
      </c>
      <c r="D735" s="46" t="s">
        <v>2590</v>
      </c>
      <c r="E735" s="3">
        <v>296</v>
      </c>
      <c r="F735" s="3">
        <v>215</v>
      </c>
      <c r="G735" s="3">
        <v>343</v>
      </c>
      <c r="H735" s="3">
        <v>31</v>
      </c>
      <c r="I735" s="9">
        <v>42500</v>
      </c>
      <c r="J735" s="47">
        <v>0.4448611111111111</v>
      </c>
    </row>
    <row r="736" spans="1:10" x14ac:dyDescent="0.25">
      <c r="A736" s="3" t="s">
        <v>18</v>
      </c>
      <c r="B736" s="45" t="s">
        <v>2604</v>
      </c>
      <c r="C736" s="45" t="s">
        <v>2605</v>
      </c>
      <c r="E736" s="3">
        <v>201</v>
      </c>
      <c r="F736" s="3">
        <v>212</v>
      </c>
      <c r="G736" s="3">
        <v>301</v>
      </c>
      <c r="H736" s="3">
        <v>7</v>
      </c>
      <c r="I736" s="9">
        <v>42171</v>
      </c>
      <c r="J736" s="47">
        <v>0.50520833333333337</v>
      </c>
    </row>
    <row r="737" spans="1:10" x14ac:dyDescent="0.25">
      <c r="A737" s="3" t="s">
        <v>18</v>
      </c>
      <c r="B737" s="45" t="s">
        <v>2621</v>
      </c>
      <c r="C737" s="45" t="s">
        <v>2622</v>
      </c>
      <c r="D737" s="46" t="s">
        <v>2623</v>
      </c>
      <c r="E737" s="3">
        <v>386</v>
      </c>
      <c r="F737" s="3">
        <v>210</v>
      </c>
      <c r="G737" s="3">
        <v>741</v>
      </c>
      <c r="H737" s="3">
        <v>364</v>
      </c>
      <c r="I737" s="9">
        <v>42466</v>
      </c>
      <c r="J737" s="47">
        <v>0.63217592592592597</v>
      </c>
    </row>
    <row r="738" spans="1:10" ht="30" x14ac:dyDescent="0.25">
      <c r="A738" s="3" t="s">
        <v>18</v>
      </c>
      <c r="B738" s="45" t="s">
        <v>2624</v>
      </c>
      <c r="C738" s="45" t="s">
        <v>2625</v>
      </c>
      <c r="D738" s="46" t="s">
        <v>2626</v>
      </c>
      <c r="E738" s="3">
        <v>23</v>
      </c>
      <c r="F738" s="3">
        <v>209</v>
      </c>
      <c r="G738" s="3">
        <v>26</v>
      </c>
      <c r="H738" s="3">
        <v>1</v>
      </c>
      <c r="I738" s="9">
        <v>39954</v>
      </c>
      <c r="J738" s="47">
        <v>0.79784722222222226</v>
      </c>
    </row>
    <row r="739" spans="1:10" ht="30" x14ac:dyDescent="0.25">
      <c r="A739" s="3" t="s">
        <v>18</v>
      </c>
      <c r="B739" s="45" t="s">
        <v>2637</v>
      </c>
      <c r="C739" s="45" t="s">
        <v>2638</v>
      </c>
      <c r="D739" s="46" t="s">
        <v>2639</v>
      </c>
      <c r="E739" s="3">
        <v>364</v>
      </c>
      <c r="F739" s="3">
        <v>205</v>
      </c>
      <c r="G739" s="3">
        <v>203</v>
      </c>
      <c r="H739" s="3">
        <v>190</v>
      </c>
      <c r="I739" s="9">
        <v>42743</v>
      </c>
      <c r="J739" s="47">
        <v>0.90418981481481486</v>
      </c>
    </row>
    <row r="740" spans="1:10" x14ac:dyDescent="0.25">
      <c r="A740" s="3" t="s">
        <v>18</v>
      </c>
      <c r="B740" s="45" t="s">
        <v>2635</v>
      </c>
      <c r="C740" s="45" t="s">
        <v>2636</v>
      </c>
      <c r="D740" s="46" t="s">
        <v>943</v>
      </c>
      <c r="E740" s="3">
        <v>46</v>
      </c>
      <c r="F740" s="3">
        <v>205</v>
      </c>
      <c r="G740" s="3">
        <v>95</v>
      </c>
      <c r="H740" s="3">
        <v>38</v>
      </c>
      <c r="I740" s="9">
        <v>42262</v>
      </c>
      <c r="J740" s="47">
        <v>0.57863425925925926</v>
      </c>
    </row>
    <row r="741" spans="1:10" ht="30" x14ac:dyDescent="0.25">
      <c r="A741" s="3" t="s">
        <v>18</v>
      </c>
      <c r="B741" s="45" t="s">
        <v>2647</v>
      </c>
      <c r="C741" s="45" t="s">
        <v>2648</v>
      </c>
      <c r="D741" s="46" t="s">
        <v>2649</v>
      </c>
      <c r="E741" s="3">
        <v>244</v>
      </c>
      <c r="F741" s="3">
        <v>203</v>
      </c>
      <c r="G741" s="3">
        <v>1283</v>
      </c>
      <c r="H741" s="3">
        <v>619</v>
      </c>
      <c r="I741" s="9">
        <v>41156</v>
      </c>
      <c r="J741" s="47">
        <v>0.65467592592592594</v>
      </c>
    </row>
    <row r="742" spans="1:10" ht="30" x14ac:dyDescent="0.25">
      <c r="A742" s="3" t="s">
        <v>18</v>
      </c>
      <c r="B742" s="45" t="s">
        <v>2686</v>
      </c>
      <c r="C742" s="45" t="s">
        <v>2687</v>
      </c>
      <c r="D742" s="46" t="s">
        <v>2688</v>
      </c>
      <c r="E742" s="3">
        <v>55</v>
      </c>
      <c r="F742" s="3">
        <v>196</v>
      </c>
      <c r="G742" s="3">
        <v>272</v>
      </c>
      <c r="H742" s="3">
        <v>125</v>
      </c>
      <c r="I742" s="9">
        <v>42762</v>
      </c>
      <c r="J742" s="47">
        <v>0.53005787037037033</v>
      </c>
    </row>
    <row r="743" spans="1:10" x14ac:dyDescent="0.25">
      <c r="A743" s="3" t="s">
        <v>18</v>
      </c>
      <c r="B743" s="45" t="s">
        <v>2695</v>
      </c>
      <c r="E743" s="3">
        <v>517</v>
      </c>
      <c r="F743" s="3">
        <v>194</v>
      </c>
      <c r="G743" s="3">
        <v>64</v>
      </c>
      <c r="H743" s="3">
        <v>1</v>
      </c>
      <c r="I743" s="9">
        <v>41601</v>
      </c>
      <c r="J743" s="47">
        <v>0.46906249999999999</v>
      </c>
    </row>
    <row r="744" spans="1:10" x14ac:dyDescent="0.25">
      <c r="A744" s="3" t="s">
        <v>18</v>
      </c>
      <c r="B744" s="45" t="s">
        <v>2708</v>
      </c>
      <c r="C744" s="45" t="s">
        <v>2709</v>
      </c>
      <c r="D744" s="46" t="s">
        <v>2710</v>
      </c>
      <c r="E744" s="3">
        <v>98</v>
      </c>
      <c r="F744" s="3">
        <v>192</v>
      </c>
      <c r="G744" s="3">
        <v>337</v>
      </c>
      <c r="H744" s="3">
        <v>30</v>
      </c>
      <c r="I744" s="9">
        <v>42271</v>
      </c>
      <c r="J744" s="47">
        <v>0.85765046296296299</v>
      </c>
    </row>
    <row r="745" spans="1:10" ht="45" x14ac:dyDescent="0.25">
      <c r="A745" s="3" t="s">
        <v>18</v>
      </c>
      <c r="B745" s="45" t="s">
        <v>188</v>
      </c>
      <c r="C745" s="45" t="s">
        <v>2722</v>
      </c>
      <c r="D745" s="46" t="s">
        <v>2723</v>
      </c>
      <c r="E745" s="3">
        <v>104</v>
      </c>
      <c r="F745" s="3">
        <v>190</v>
      </c>
      <c r="G745" s="3">
        <v>227</v>
      </c>
      <c r="H745" s="3">
        <v>237</v>
      </c>
      <c r="I745" s="9">
        <v>41977</v>
      </c>
      <c r="J745" s="47">
        <v>0.48718750000000005</v>
      </c>
    </row>
    <row r="746" spans="1:10" x14ac:dyDescent="0.25">
      <c r="A746" s="3" t="s">
        <v>18</v>
      </c>
      <c r="B746" s="45" t="s">
        <v>2729</v>
      </c>
      <c r="C746" s="45" t="s">
        <v>2730</v>
      </c>
      <c r="D746" s="46" t="s">
        <v>2731</v>
      </c>
      <c r="E746" s="3">
        <v>135</v>
      </c>
      <c r="F746" s="3">
        <v>189</v>
      </c>
      <c r="G746" s="3">
        <v>999</v>
      </c>
      <c r="H746" s="3">
        <v>74</v>
      </c>
      <c r="I746" s="9">
        <v>41313</v>
      </c>
      <c r="J746" s="47">
        <v>0.86146990740740748</v>
      </c>
    </row>
    <row r="747" spans="1:10" ht="60" x14ac:dyDescent="0.25">
      <c r="A747" s="3" t="s">
        <v>18</v>
      </c>
      <c r="B747" s="45" t="s">
        <v>2737</v>
      </c>
      <c r="C747" s="45" t="s">
        <v>2738</v>
      </c>
      <c r="D747" s="46" t="s">
        <v>2739</v>
      </c>
      <c r="E747" s="3">
        <v>295</v>
      </c>
      <c r="F747" s="3">
        <v>189</v>
      </c>
      <c r="G747" s="3">
        <v>389</v>
      </c>
      <c r="H747" s="3">
        <v>43</v>
      </c>
      <c r="I747" s="9">
        <v>42225</v>
      </c>
      <c r="J747" s="47">
        <v>0.71689814814814812</v>
      </c>
    </row>
    <row r="748" spans="1:10" x14ac:dyDescent="0.25">
      <c r="A748" s="3" t="s">
        <v>18</v>
      </c>
      <c r="B748" s="45" t="s">
        <v>2749</v>
      </c>
      <c r="E748" s="3">
        <v>141</v>
      </c>
      <c r="F748" s="3">
        <v>187</v>
      </c>
      <c r="G748" s="3">
        <v>501</v>
      </c>
      <c r="H748" s="3">
        <v>305</v>
      </c>
      <c r="I748" s="9">
        <v>41812</v>
      </c>
      <c r="J748" s="47">
        <v>0.6662731481481482</v>
      </c>
    </row>
    <row r="749" spans="1:10" x14ac:dyDescent="0.25">
      <c r="A749" s="3" t="s">
        <v>18</v>
      </c>
      <c r="B749" s="45" t="s">
        <v>2776</v>
      </c>
      <c r="C749" s="45" t="s">
        <v>2777</v>
      </c>
      <c r="D749" s="46" t="s">
        <v>2778</v>
      </c>
      <c r="E749" s="3">
        <v>31</v>
      </c>
      <c r="F749" s="3">
        <v>183</v>
      </c>
      <c r="G749" s="3">
        <v>411</v>
      </c>
      <c r="H749" s="3">
        <v>27</v>
      </c>
      <c r="I749" s="9">
        <v>42245</v>
      </c>
      <c r="J749" s="47">
        <v>0.40356481481481482</v>
      </c>
    </row>
    <row r="750" spans="1:10" ht="30" x14ac:dyDescent="0.25">
      <c r="A750" s="3" t="s">
        <v>18</v>
      </c>
      <c r="B750" s="45" t="s">
        <v>2781</v>
      </c>
      <c r="C750" s="45" t="s">
        <v>2782</v>
      </c>
      <c r="D750" s="46" t="s">
        <v>2783</v>
      </c>
      <c r="E750" s="3">
        <v>282</v>
      </c>
      <c r="F750" s="3">
        <v>181</v>
      </c>
      <c r="G750" s="3">
        <v>194</v>
      </c>
      <c r="H750" s="3">
        <v>185</v>
      </c>
      <c r="I750" s="9">
        <v>42431</v>
      </c>
      <c r="J750" s="47">
        <v>0.57538194444444446</v>
      </c>
    </row>
    <row r="751" spans="1:10" x14ac:dyDescent="0.25">
      <c r="A751" s="3" t="s">
        <v>18</v>
      </c>
      <c r="B751" s="45" t="s">
        <v>2797</v>
      </c>
      <c r="D751" s="46" t="s">
        <v>2798</v>
      </c>
      <c r="E751" s="3">
        <v>102</v>
      </c>
      <c r="F751" s="3">
        <v>178</v>
      </c>
      <c r="G751" s="3">
        <v>157</v>
      </c>
      <c r="H751" s="3">
        <v>26</v>
      </c>
      <c r="I751" s="9">
        <v>42408</v>
      </c>
      <c r="J751" s="47">
        <v>0.90440972222222227</v>
      </c>
    </row>
    <row r="752" spans="1:10" ht="30" x14ac:dyDescent="0.25">
      <c r="A752" s="3" t="s">
        <v>18</v>
      </c>
      <c r="B752" s="45" t="s">
        <v>2794</v>
      </c>
      <c r="C752" s="45" t="s">
        <v>2795</v>
      </c>
      <c r="D752" s="46" t="s">
        <v>2796</v>
      </c>
      <c r="E752" s="3">
        <v>326</v>
      </c>
      <c r="F752" s="3">
        <v>178</v>
      </c>
      <c r="G752" s="3">
        <v>327</v>
      </c>
      <c r="H752" s="3">
        <v>53</v>
      </c>
      <c r="I752" s="9">
        <v>42387</v>
      </c>
      <c r="J752" s="47">
        <v>0.40432870370370372</v>
      </c>
    </row>
    <row r="753" spans="1:10" x14ac:dyDescent="0.25">
      <c r="A753" s="3" t="s">
        <v>18</v>
      </c>
      <c r="B753" s="45" t="s">
        <v>2804</v>
      </c>
      <c r="C753" s="45" t="s">
        <v>2805</v>
      </c>
      <c r="D753" s="46" t="s">
        <v>2806</v>
      </c>
      <c r="E753" s="3">
        <v>95</v>
      </c>
      <c r="F753" s="3">
        <v>176</v>
      </c>
      <c r="G753" s="3">
        <v>5432</v>
      </c>
      <c r="H753" s="3">
        <v>31</v>
      </c>
      <c r="I753" s="9">
        <v>41922</v>
      </c>
      <c r="J753" s="47">
        <v>0.58938657407407413</v>
      </c>
    </row>
    <row r="754" spans="1:10" x14ac:dyDescent="0.25">
      <c r="A754" s="3" t="s">
        <v>18</v>
      </c>
      <c r="B754" s="45" t="s">
        <v>2818</v>
      </c>
      <c r="C754" s="45" t="s">
        <v>2819</v>
      </c>
      <c r="E754" s="3">
        <v>85</v>
      </c>
      <c r="F754" s="3">
        <v>175</v>
      </c>
      <c r="G754" s="3">
        <v>399</v>
      </c>
      <c r="H754" s="3">
        <v>60</v>
      </c>
      <c r="I754" s="9">
        <v>42264</v>
      </c>
      <c r="J754" s="47">
        <v>0.63949074074074075</v>
      </c>
    </row>
    <row r="755" spans="1:10" x14ac:dyDescent="0.25">
      <c r="A755" s="3" t="s">
        <v>18</v>
      </c>
      <c r="B755" s="45" t="s">
        <v>2823</v>
      </c>
      <c r="C755" s="45" t="s">
        <v>2824</v>
      </c>
      <c r="D755" s="46" t="s">
        <v>2825</v>
      </c>
      <c r="E755" s="3">
        <v>79</v>
      </c>
      <c r="F755" s="3">
        <v>173</v>
      </c>
      <c r="G755" s="3">
        <v>67</v>
      </c>
      <c r="H755" s="3">
        <v>1</v>
      </c>
      <c r="I755" s="9">
        <v>41670</v>
      </c>
      <c r="J755" s="47">
        <v>0.56525462962962958</v>
      </c>
    </row>
    <row r="756" spans="1:10" x14ac:dyDescent="0.25">
      <c r="A756" s="3" t="s">
        <v>18</v>
      </c>
      <c r="B756" s="45" t="s">
        <v>2837</v>
      </c>
      <c r="C756" s="45" t="s">
        <v>93</v>
      </c>
      <c r="D756" s="46" t="s">
        <v>2838</v>
      </c>
      <c r="E756" s="3">
        <v>190</v>
      </c>
      <c r="F756" s="3">
        <v>171</v>
      </c>
      <c r="G756" s="3">
        <v>674</v>
      </c>
      <c r="H756" s="3">
        <v>62</v>
      </c>
      <c r="I756" s="9">
        <v>42727</v>
      </c>
      <c r="J756" s="47">
        <v>0.65084490740740741</v>
      </c>
    </row>
    <row r="757" spans="1:10" ht="30" x14ac:dyDescent="0.25">
      <c r="A757" s="3" t="s">
        <v>18</v>
      </c>
      <c r="B757" s="45" t="s">
        <v>2834</v>
      </c>
      <c r="C757" s="45" t="s">
        <v>2835</v>
      </c>
      <c r="D757" s="46" t="s">
        <v>2836</v>
      </c>
      <c r="E757" s="3">
        <v>107</v>
      </c>
      <c r="F757" s="3">
        <v>171</v>
      </c>
      <c r="G757" s="3">
        <v>528</v>
      </c>
      <c r="H757" s="3">
        <v>0</v>
      </c>
      <c r="I757" s="9">
        <v>42091</v>
      </c>
      <c r="J757" s="47">
        <v>0.47988425925925932</v>
      </c>
    </row>
    <row r="758" spans="1:10" x14ac:dyDescent="0.25">
      <c r="A758" s="3" t="s">
        <v>18</v>
      </c>
      <c r="B758" s="45" t="s">
        <v>2842</v>
      </c>
      <c r="C758" s="45" t="s">
        <v>2843</v>
      </c>
      <c r="D758" s="46" t="s">
        <v>2844</v>
      </c>
      <c r="E758" s="3">
        <v>491</v>
      </c>
      <c r="F758" s="3">
        <v>170</v>
      </c>
      <c r="G758" s="3">
        <v>97</v>
      </c>
      <c r="H758" s="3">
        <v>49</v>
      </c>
      <c r="I758" s="9">
        <v>42058</v>
      </c>
      <c r="J758" s="47">
        <v>0.46398148148148149</v>
      </c>
    </row>
    <row r="759" spans="1:10" ht="30" x14ac:dyDescent="0.25">
      <c r="A759" s="3" t="s">
        <v>18</v>
      </c>
      <c r="B759" s="45" t="s">
        <v>2868</v>
      </c>
      <c r="C759" s="45" t="s">
        <v>2869</v>
      </c>
      <c r="D759" s="46" t="s">
        <v>2870</v>
      </c>
      <c r="E759" s="3">
        <v>55</v>
      </c>
      <c r="F759" s="3">
        <v>165</v>
      </c>
      <c r="G759" s="3">
        <v>59</v>
      </c>
      <c r="H759" s="3">
        <v>36</v>
      </c>
      <c r="I759" s="9">
        <v>42159</v>
      </c>
      <c r="J759" s="47">
        <v>0.75024305555555548</v>
      </c>
    </row>
    <row r="760" spans="1:10" ht="30" x14ac:dyDescent="0.25">
      <c r="A760" s="3" t="s">
        <v>18</v>
      </c>
      <c r="B760" s="45" t="s">
        <v>2902</v>
      </c>
      <c r="C760" s="45" t="s">
        <v>2903</v>
      </c>
      <c r="D760" s="46" t="s">
        <v>2904</v>
      </c>
      <c r="E760" s="3">
        <v>225</v>
      </c>
      <c r="F760" s="3">
        <v>159</v>
      </c>
      <c r="G760" s="3">
        <v>216</v>
      </c>
      <c r="H760" s="3">
        <v>222</v>
      </c>
      <c r="I760" s="9">
        <v>42526</v>
      </c>
      <c r="J760" s="47">
        <v>0.419375</v>
      </c>
    </row>
    <row r="761" spans="1:10" x14ac:dyDescent="0.25">
      <c r="A761" s="3" t="s">
        <v>18</v>
      </c>
      <c r="B761" s="45" t="s">
        <v>2908</v>
      </c>
      <c r="C761" s="45" t="s">
        <v>33</v>
      </c>
      <c r="D761" s="46" t="s">
        <v>2909</v>
      </c>
      <c r="E761" s="3">
        <v>96</v>
      </c>
      <c r="F761" s="3">
        <v>157</v>
      </c>
      <c r="G761" s="3">
        <v>308</v>
      </c>
      <c r="H761" s="3">
        <v>8</v>
      </c>
      <c r="I761" s="9">
        <v>41571</v>
      </c>
      <c r="J761" s="47">
        <v>0.65336805555555555</v>
      </c>
    </row>
    <row r="762" spans="1:10" x14ac:dyDescent="0.25">
      <c r="A762" s="3" t="s">
        <v>18</v>
      </c>
      <c r="B762" s="45" t="s">
        <v>2910</v>
      </c>
      <c r="C762" s="45" t="s">
        <v>2911</v>
      </c>
      <c r="E762" s="3">
        <v>90</v>
      </c>
      <c r="F762" s="3">
        <v>157</v>
      </c>
      <c r="G762" s="3">
        <v>916</v>
      </c>
      <c r="H762" s="3">
        <v>29</v>
      </c>
      <c r="I762" s="9">
        <v>42507</v>
      </c>
      <c r="J762" s="47">
        <v>0.39782407407407411</v>
      </c>
    </row>
    <row r="763" spans="1:10" ht="45" x14ac:dyDescent="0.25">
      <c r="A763" s="3" t="s">
        <v>18</v>
      </c>
      <c r="B763" s="45" t="s">
        <v>2929</v>
      </c>
      <c r="C763" s="45" t="s">
        <v>2679</v>
      </c>
      <c r="D763" s="46" t="s">
        <v>2930</v>
      </c>
      <c r="E763" s="3">
        <v>301</v>
      </c>
      <c r="F763" s="3">
        <v>153</v>
      </c>
      <c r="G763" s="3">
        <v>217</v>
      </c>
      <c r="H763" s="3">
        <v>28</v>
      </c>
      <c r="I763" s="9">
        <v>42701</v>
      </c>
      <c r="J763" s="47">
        <v>0.68998842592592602</v>
      </c>
    </row>
    <row r="764" spans="1:10" ht="30" x14ac:dyDescent="0.25">
      <c r="A764" s="3" t="s">
        <v>18</v>
      </c>
      <c r="B764" s="45" t="s">
        <v>2944</v>
      </c>
      <c r="C764" s="45" t="s">
        <v>2945</v>
      </c>
      <c r="D764" s="46" t="s">
        <v>2946</v>
      </c>
      <c r="E764" s="3">
        <v>179</v>
      </c>
      <c r="F764" s="3">
        <v>152</v>
      </c>
      <c r="G764" s="3">
        <v>69</v>
      </c>
      <c r="H764" s="3">
        <v>13</v>
      </c>
      <c r="I764" s="9">
        <v>42754</v>
      </c>
      <c r="J764" s="47">
        <v>0.63987268518518514</v>
      </c>
    </row>
    <row r="765" spans="1:10" ht="30" x14ac:dyDescent="0.25">
      <c r="A765" s="3" t="s">
        <v>18</v>
      </c>
      <c r="B765" s="45" t="s">
        <v>2955</v>
      </c>
      <c r="C765" s="45" t="s">
        <v>2956</v>
      </c>
      <c r="D765" s="46" t="s">
        <v>2957</v>
      </c>
      <c r="E765" s="3">
        <v>194</v>
      </c>
      <c r="F765" s="3">
        <v>150</v>
      </c>
      <c r="G765" s="3">
        <v>165</v>
      </c>
      <c r="H765" s="3">
        <v>79</v>
      </c>
      <c r="I765" s="9">
        <v>41621</v>
      </c>
      <c r="J765" s="47">
        <v>0.67538194444444455</v>
      </c>
    </row>
    <row r="766" spans="1:10" x14ac:dyDescent="0.25">
      <c r="A766" s="3" t="s">
        <v>18</v>
      </c>
      <c r="B766" s="45" t="s">
        <v>2950</v>
      </c>
      <c r="C766" s="45" t="s">
        <v>2951</v>
      </c>
      <c r="D766" s="46" t="s">
        <v>2952</v>
      </c>
      <c r="E766" s="3">
        <v>92</v>
      </c>
      <c r="F766" s="3">
        <v>150</v>
      </c>
      <c r="G766" s="3">
        <v>732</v>
      </c>
      <c r="H766" s="3">
        <v>19</v>
      </c>
      <c r="I766" s="9">
        <v>41360</v>
      </c>
      <c r="J766" s="47">
        <v>0.59785879629629635</v>
      </c>
    </row>
    <row r="767" spans="1:10" ht="30" x14ac:dyDescent="0.25">
      <c r="A767" s="3" t="s">
        <v>18</v>
      </c>
      <c r="B767" s="45" t="s">
        <v>2969</v>
      </c>
      <c r="C767" s="45" t="s">
        <v>2970</v>
      </c>
      <c r="D767" s="46" t="s">
        <v>2971</v>
      </c>
      <c r="E767" s="3">
        <v>163</v>
      </c>
      <c r="F767" s="3">
        <v>148</v>
      </c>
      <c r="G767" s="3">
        <v>101</v>
      </c>
      <c r="H767" s="3">
        <v>27</v>
      </c>
      <c r="I767" s="9">
        <v>42505</v>
      </c>
      <c r="J767" s="47">
        <v>0.41378472222222223</v>
      </c>
    </row>
    <row r="768" spans="1:10" ht="30" x14ac:dyDescent="0.25">
      <c r="A768" s="3" t="s">
        <v>18</v>
      </c>
      <c r="B768" s="45" t="s">
        <v>2975</v>
      </c>
      <c r="C768" s="45" t="s">
        <v>2976</v>
      </c>
      <c r="D768" s="46" t="s">
        <v>2977</v>
      </c>
      <c r="E768" s="3">
        <v>109</v>
      </c>
      <c r="F768" s="3">
        <v>146</v>
      </c>
      <c r="G768" s="3">
        <v>205</v>
      </c>
      <c r="H768" s="3">
        <v>3</v>
      </c>
      <c r="I768" s="9">
        <v>41516</v>
      </c>
      <c r="J768" s="47">
        <v>0.62318287037037035</v>
      </c>
    </row>
    <row r="769" spans="1:10" x14ac:dyDescent="0.25">
      <c r="A769" s="3" t="s">
        <v>18</v>
      </c>
      <c r="B769" s="45" t="s">
        <v>2978</v>
      </c>
      <c r="D769" s="46" t="s">
        <v>2979</v>
      </c>
      <c r="E769" s="3">
        <v>248</v>
      </c>
      <c r="F769" s="3">
        <v>145</v>
      </c>
      <c r="G769" s="3">
        <v>169</v>
      </c>
      <c r="H769" s="3">
        <v>176</v>
      </c>
      <c r="I769" s="9">
        <v>42510</v>
      </c>
      <c r="J769" s="47">
        <v>0.5743287037037037</v>
      </c>
    </row>
    <row r="770" spans="1:10" x14ac:dyDescent="0.25">
      <c r="A770" s="3" t="s">
        <v>18</v>
      </c>
      <c r="B770" s="45" t="s">
        <v>2985</v>
      </c>
      <c r="D770" s="46" t="s">
        <v>2986</v>
      </c>
      <c r="E770" s="3">
        <v>88</v>
      </c>
      <c r="F770" s="3">
        <v>142</v>
      </c>
      <c r="G770" s="3">
        <v>285</v>
      </c>
      <c r="H770" s="3">
        <v>57</v>
      </c>
      <c r="I770" s="9">
        <v>42355</v>
      </c>
      <c r="J770" s="47">
        <v>0.57283564814814814</v>
      </c>
    </row>
    <row r="771" spans="1:10" x14ac:dyDescent="0.25">
      <c r="A771" s="3" t="s">
        <v>18</v>
      </c>
      <c r="B771" s="45" t="s">
        <v>2999</v>
      </c>
      <c r="C771" s="45" t="s">
        <v>93</v>
      </c>
      <c r="D771" s="46" t="s">
        <v>3000</v>
      </c>
      <c r="E771" s="3">
        <v>137</v>
      </c>
      <c r="F771" s="3">
        <v>138</v>
      </c>
      <c r="G771" s="3">
        <v>148</v>
      </c>
      <c r="H771" s="3">
        <v>65</v>
      </c>
      <c r="I771" s="9">
        <v>42758</v>
      </c>
      <c r="J771" s="47">
        <v>0.40320601851851851</v>
      </c>
    </row>
    <row r="772" spans="1:10" ht="30" x14ac:dyDescent="0.25">
      <c r="A772" s="3" t="s">
        <v>18</v>
      </c>
      <c r="B772" s="45" t="s">
        <v>3006</v>
      </c>
      <c r="C772" s="45" t="s">
        <v>3007</v>
      </c>
      <c r="D772" s="46" t="s">
        <v>3008</v>
      </c>
      <c r="E772" s="3">
        <v>160</v>
      </c>
      <c r="F772" s="3">
        <v>136</v>
      </c>
      <c r="G772" s="3">
        <v>177</v>
      </c>
      <c r="H772" s="3">
        <v>21</v>
      </c>
      <c r="I772" s="9">
        <v>42648</v>
      </c>
      <c r="J772" s="47">
        <v>0.48778935185185185</v>
      </c>
    </row>
    <row r="773" spans="1:10" ht="30" x14ac:dyDescent="0.25">
      <c r="A773" s="3" t="s">
        <v>18</v>
      </c>
      <c r="B773" s="45" t="s">
        <v>3014</v>
      </c>
      <c r="C773" s="45" t="s">
        <v>3015</v>
      </c>
      <c r="D773" s="46" t="s">
        <v>3016</v>
      </c>
      <c r="E773" s="3">
        <v>75</v>
      </c>
      <c r="F773" s="3">
        <v>133</v>
      </c>
      <c r="G773" s="3">
        <v>101</v>
      </c>
      <c r="H773" s="3">
        <v>3</v>
      </c>
      <c r="I773" s="9">
        <v>40691</v>
      </c>
      <c r="J773" s="47">
        <v>0.58758101851851852</v>
      </c>
    </row>
    <row r="774" spans="1:10" x14ac:dyDescent="0.25">
      <c r="A774" s="3" t="s">
        <v>18</v>
      </c>
      <c r="B774" s="45" t="s">
        <v>3021</v>
      </c>
      <c r="C774" s="45" t="s">
        <v>3022</v>
      </c>
      <c r="D774" s="46" t="s">
        <v>3023</v>
      </c>
      <c r="E774" s="3">
        <v>36</v>
      </c>
      <c r="F774" s="3">
        <v>131</v>
      </c>
      <c r="G774" s="3">
        <v>61</v>
      </c>
      <c r="H774" s="3">
        <v>9</v>
      </c>
      <c r="I774" s="9">
        <v>42741</v>
      </c>
      <c r="J774" s="47">
        <v>0.38613425925925932</v>
      </c>
    </row>
    <row r="775" spans="1:10" x14ac:dyDescent="0.25">
      <c r="A775" s="3" t="s">
        <v>18</v>
      </c>
      <c r="B775" s="45" t="s">
        <v>3036</v>
      </c>
      <c r="C775" s="45" t="s">
        <v>3037</v>
      </c>
      <c r="D775" s="46" t="s">
        <v>3038</v>
      </c>
      <c r="E775" s="3">
        <v>222</v>
      </c>
      <c r="F775" s="3">
        <v>127</v>
      </c>
      <c r="G775" s="3">
        <v>441</v>
      </c>
      <c r="H775" s="3">
        <v>94</v>
      </c>
      <c r="I775" s="9">
        <v>41978</v>
      </c>
      <c r="J775" s="47">
        <v>0.48113425925925929</v>
      </c>
    </row>
    <row r="776" spans="1:10" ht="30" x14ac:dyDescent="0.25">
      <c r="A776" s="3" t="s">
        <v>18</v>
      </c>
      <c r="B776" s="45" t="s">
        <v>3049</v>
      </c>
      <c r="C776" s="45" t="s">
        <v>3050</v>
      </c>
      <c r="D776" s="46" t="s">
        <v>3051</v>
      </c>
      <c r="E776" s="3">
        <v>47</v>
      </c>
      <c r="F776" s="3">
        <v>124</v>
      </c>
      <c r="G776" s="3">
        <v>336</v>
      </c>
      <c r="H776" s="3">
        <v>130</v>
      </c>
      <c r="I776" s="9">
        <v>42462</v>
      </c>
      <c r="J776" s="47">
        <v>0.41173611111111108</v>
      </c>
    </row>
    <row r="777" spans="1:10" ht="30" x14ac:dyDescent="0.25">
      <c r="A777" s="3" t="s">
        <v>18</v>
      </c>
      <c r="B777" s="45" t="s">
        <v>3054</v>
      </c>
      <c r="C777" s="45" t="s">
        <v>3055</v>
      </c>
      <c r="D777" s="46" t="s">
        <v>3056</v>
      </c>
      <c r="E777" s="3">
        <v>191</v>
      </c>
      <c r="F777" s="3">
        <v>123</v>
      </c>
      <c r="G777" s="3">
        <v>395</v>
      </c>
      <c r="H777" s="3">
        <v>348</v>
      </c>
      <c r="I777" s="9">
        <v>42422</v>
      </c>
      <c r="J777" s="47">
        <v>0.59818287037037032</v>
      </c>
    </row>
    <row r="778" spans="1:10" ht="30" x14ac:dyDescent="0.25">
      <c r="A778" s="3" t="s">
        <v>18</v>
      </c>
      <c r="B778" s="45" t="s">
        <v>3063</v>
      </c>
      <c r="C778" s="45" t="s">
        <v>3064</v>
      </c>
      <c r="D778" s="46" t="s">
        <v>3065</v>
      </c>
      <c r="E778" s="3">
        <v>30</v>
      </c>
      <c r="F778" s="3">
        <v>120</v>
      </c>
      <c r="G778" s="3">
        <v>635</v>
      </c>
      <c r="H778" s="3">
        <v>13</v>
      </c>
      <c r="I778" s="9">
        <v>42044</v>
      </c>
      <c r="J778" s="47">
        <v>0.86379629629629628</v>
      </c>
    </row>
    <row r="779" spans="1:10" x14ac:dyDescent="0.25">
      <c r="A779" s="3" t="s">
        <v>18</v>
      </c>
      <c r="B779" s="45" t="s">
        <v>3066</v>
      </c>
      <c r="E779" s="3">
        <v>129</v>
      </c>
      <c r="F779" s="3">
        <v>120</v>
      </c>
      <c r="G779" s="3">
        <v>220</v>
      </c>
      <c r="H779" s="3">
        <v>21</v>
      </c>
      <c r="I779" s="9">
        <v>42191</v>
      </c>
      <c r="J779" s="47">
        <v>0.44700231481481478</v>
      </c>
    </row>
    <row r="780" spans="1:10" x14ac:dyDescent="0.25">
      <c r="A780" s="3" t="s">
        <v>18</v>
      </c>
      <c r="B780" s="45" t="s">
        <v>3060</v>
      </c>
      <c r="C780" s="45" t="s">
        <v>3061</v>
      </c>
      <c r="D780" s="46" t="s">
        <v>3062</v>
      </c>
      <c r="E780" s="3">
        <v>169</v>
      </c>
      <c r="F780" s="3">
        <v>120</v>
      </c>
      <c r="G780" s="3">
        <v>63</v>
      </c>
      <c r="H780" s="3">
        <v>3</v>
      </c>
      <c r="I780" s="9">
        <v>41795</v>
      </c>
      <c r="J780" s="47">
        <v>0.39396990740740739</v>
      </c>
    </row>
    <row r="781" spans="1:10" x14ac:dyDescent="0.25">
      <c r="A781" s="3" t="s">
        <v>18</v>
      </c>
      <c r="B781" s="45" t="s">
        <v>3069</v>
      </c>
      <c r="E781" s="3">
        <v>73</v>
      </c>
      <c r="F781" s="3">
        <v>118</v>
      </c>
      <c r="G781" s="3">
        <v>39</v>
      </c>
      <c r="H781" s="3">
        <v>0</v>
      </c>
      <c r="I781" s="9">
        <v>40686</v>
      </c>
      <c r="J781" s="47">
        <v>0.64674768518518522</v>
      </c>
    </row>
    <row r="782" spans="1:10" ht="30" x14ac:dyDescent="0.25">
      <c r="A782" s="3" t="s">
        <v>18</v>
      </c>
      <c r="B782" s="45" t="s">
        <v>3070</v>
      </c>
      <c r="C782" s="45" t="s">
        <v>3071</v>
      </c>
      <c r="D782" s="46" t="s">
        <v>3072</v>
      </c>
      <c r="E782" s="3">
        <v>132</v>
      </c>
      <c r="F782" s="3">
        <v>117</v>
      </c>
      <c r="G782" s="3">
        <v>345</v>
      </c>
      <c r="H782" s="3">
        <v>41</v>
      </c>
      <c r="I782" s="9">
        <v>41390</v>
      </c>
      <c r="J782" s="47">
        <v>0.35366898148148151</v>
      </c>
    </row>
    <row r="783" spans="1:10" x14ac:dyDescent="0.25">
      <c r="A783" s="3" t="s">
        <v>18</v>
      </c>
      <c r="B783" s="45" t="s">
        <v>3073</v>
      </c>
      <c r="C783" s="45" t="s">
        <v>3074</v>
      </c>
      <c r="D783" s="46" t="s">
        <v>3075</v>
      </c>
      <c r="E783" s="3">
        <v>277</v>
      </c>
      <c r="F783" s="3">
        <v>117</v>
      </c>
      <c r="G783" s="3">
        <v>100</v>
      </c>
      <c r="H783" s="3">
        <v>39</v>
      </c>
      <c r="I783" s="9">
        <v>42499</v>
      </c>
      <c r="J783" s="47">
        <v>0.51314814814814813</v>
      </c>
    </row>
    <row r="784" spans="1:10" x14ac:dyDescent="0.25">
      <c r="A784" s="3" t="s">
        <v>18</v>
      </c>
      <c r="B784" s="45" t="s">
        <v>3078</v>
      </c>
      <c r="C784" s="45" t="s">
        <v>883</v>
      </c>
      <c r="D784" s="46" t="s">
        <v>3079</v>
      </c>
      <c r="E784" s="3">
        <v>157</v>
      </c>
      <c r="F784" s="3">
        <v>115</v>
      </c>
      <c r="G784" s="3">
        <v>349</v>
      </c>
      <c r="H784" s="3">
        <v>23</v>
      </c>
      <c r="I784" s="9">
        <v>42222</v>
      </c>
      <c r="J784" s="47">
        <v>0.55408564814814809</v>
      </c>
    </row>
    <row r="785" spans="1:10" x14ac:dyDescent="0.25">
      <c r="A785" s="3" t="s">
        <v>18</v>
      </c>
      <c r="B785" s="45" t="s">
        <v>3084</v>
      </c>
      <c r="E785" s="3">
        <v>115</v>
      </c>
      <c r="F785" s="3">
        <v>111</v>
      </c>
      <c r="G785" s="3">
        <v>188</v>
      </c>
      <c r="H785" s="3">
        <v>94</v>
      </c>
      <c r="I785" s="9">
        <v>42279</v>
      </c>
      <c r="J785" s="47">
        <v>0.78287037037037033</v>
      </c>
    </row>
    <row r="786" spans="1:10" x14ac:dyDescent="0.25">
      <c r="A786" s="3" t="s">
        <v>18</v>
      </c>
      <c r="B786" s="45" t="s">
        <v>3087</v>
      </c>
      <c r="E786" s="3">
        <v>30</v>
      </c>
      <c r="F786" s="3">
        <v>110</v>
      </c>
      <c r="G786" s="3">
        <v>79</v>
      </c>
      <c r="H786" s="3">
        <v>20</v>
      </c>
      <c r="I786" s="9">
        <v>42265</v>
      </c>
      <c r="J786" s="47">
        <v>0.36717592592592596</v>
      </c>
    </row>
    <row r="787" spans="1:10" x14ac:dyDescent="0.25">
      <c r="A787" s="3" t="s">
        <v>18</v>
      </c>
      <c r="B787" s="45" t="s">
        <v>3115</v>
      </c>
      <c r="C787" s="45" t="s">
        <v>3116</v>
      </c>
      <c r="D787" s="46" t="s">
        <v>3117</v>
      </c>
      <c r="E787" s="3">
        <v>135</v>
      </c>
      <c r="F787" s="3">
        <v>105</v>
      </c>
      <c r="G787" s="3">
        <v>595</v>
      </c>
      <c r="H787" s="3">
        <v>146</v>
      </c>
      <c r="I787" s="9">
        <v>42250</v>
      </c>
      <c r="J787" s="47">
        <v>0.86716435185185192</v>
      </c>
    </row>
    <row r="788" spans="1:10" ht="30" x14ac:dyDescent="0.25">
      <c r="A788" s="3" t="s">
        <v>18</v>
      </c>
      <c r="B788" s="45" t="s">
        <v>3121</v>
      </c>
      <c r="C788" s="45" t="s">
        <v>3122</v>
      </c>
      <c r="D788" s="46" t="s">
        <v>3123</v>
      </c>
      <c r="E788" s="3">
        <v>134</v>
      </c>
      <c r="F788" s="3">
        <v>104</v>
      </c>
      <c r="G788" s="3">
        <v>205</v>
      </c>
      <c r="H788" s="3">
        <v>5</v>
      </c>
      <c r="I788" s="9">
        <v>42689</v>
      </c>
      <c r="J788" s="47">
        <v>0.46979166666666666</v>
      </c>
    </row>
    <row r="789" spans="1:10" x14ac:dyDescent="0.25">
      <c r="A789" s="3" t="s">
        <v>18</v>
      </c>
      <c r="B789" s="45" t="s">
        <v>3124</v>
      </c>
      <c r="C789" s="45" t="s">
        <v>3125</v>
      </c>
      <c r="D789" s="46" t="s">
        <v>3126</v>
      </c>
      <c r="E789" s="3">
        <v>19</v>
      </c>
      <c r="F789" s="3">
        <v>102</v>
      </c>
      <c r="G789" s="3">
        <v>81</v>
      </c>
      <c r="H789" s="3">
        <v>0</v>
      </c>
      <c r="I789" s="9">
        <v>42521</v>
      </c>
      <c r="J789" s="47">
        <v>0.42188657407407404</v>
      </c>
    </row>
    <row r="790" spans="1:10" ht="60" x14ac:dyDescent="0.25">
      <c r="A790" s="3" t="s">
        <v>18</v>
      </c>
      <c r="B790" s="45" t="s">
        <v>3134</v>
      </c>
      <c r="C790" s="45" t="s">
        <v>93</v>
      </c>
      <c r="D790" s="46" t="s">
        <v>3135</v>
      </c>
      <c r="E790" s="3">
        <v>79</v>
      </c>
      <c r="F790" s="3">
        <v>98</v>
      </c>
      <c r="G790" s="3">
        <v>36</v>
      </c>
      <c r="H790" s="3">
        <v>12</v>
      </c>
      <c r="I790" s="9">
        <v>42683</v>
      </c>
      <c r="J790" s="47">
        <v>0.61905092592592592</v>
      </c>
    </row>
    <row r="791" spans="1:10" ht="30" x14ac:dyDescent="0.25">
      <c r="A791" s="3" t="s">
        <v>18</v>
      </c>
      <c r="B791" s="45" t="s">
        <v>3139</v>
      </c>
      <c r="C791" s="45" t="s">
        <v>3140</v>
      </c>
      <c r="D791" s="46" t="s">
        <v>3141</v>
      </c>
      <c r="E791" s="3">
        <v>145</v>
      </c>
      <c r="F791" s="3">
        <v>97</v>
      </c>
      <c r="G791" s="3">
        <v>189</v>
      </c>
      <c r="H791" s="3">
        <v>40</v>
      </c>
      <c r="I791" s="9">
        <v>41962</v>
      </c>
      <c r="J791" s="47">
        <v>0.66274305555555557</v>
      </c>
    </row>
    <row r="792" spans="1:10" ht="30" x14ac:dyDescent="0.25">
      <c r="A792" s="3" t="s">
        <v>18</v>
      </c>
      <c r="B792" s="45" t="s">
        <v>3145</v>
      </c>
      <c r="C792" s="45" t="s">
        <v>3146</v>
      </c>
      <c r="D792" s="46" t="s">
        <v>3147</v>
      </c>
      <c r="E792" s="3">
        <v>200</v>
      </c>
      <c r="F792" s="3">
        <v>96</v>
      </c>
      <c r="G792" s="3">
        <v>469</v>
      </c>
      <c r="H792" s="3">
        <v>38</v>
      </c>
      <c r="I792" s="9">
        <v>41615</v>
      </c>
      <c r="J792" s="47">
        <v>0.44922453703703707</v>
      </c>
    </row>
    <row r="793" spans="1:10" ht="30" x14ac:dyDescent="0.25">
      <c r="A793" s="3" t="s">
        <v>18</v>
      </c>
      <c r="B793" s="45" t="s">
        <v>3159</v>
      </c>
      <c r="D793" s="46" t="s">
        <v>3160</v>
      </c>
      <c r="E793" s="3">
        <v>133</v>
      </c>
      <c r="F793" s="3">
        <v>95</v>
      </c>
      <c r="G793" s="3">
        <v>489</v>
      </c>
      <c r="H793" s="3">
        <v>61</v>
      </c>
      <c r="I793" s="9">
        <v>42646</v>
      </c>
      <c r="J793" s="47">
        <v>0.77475694444444443</v>
      </c>
    </row>
    <row r="794" spans="1:10" ht="30" x14ac:dyDescent="0.25">
      <c r="A794" s="3" t="s">
        <v>18</v>
      </c>
      <c r="B794" s="45" t="s">
        <v>3154</v>
      </c>
      <c r="C794" s="45" t="s">
        <v>296</v>
      </c>
      <c r="D794" s="46" t="s">
        <v>3155</v>
      </c>
      <c r="E794" s="3">
        <v>207</v>
      </c>
      <c r="F794" s="3">
        <v>95</v>
      </c>
      <c r="G794" s="3">
        <v>68</v>
      </c>
      <c r="H794" s="3">
        <v>0</v>
      </c>
      <c r="I794" s="9">
        <v>40429</v>
      </c>
      <c r="J794" s="47">
        <v>0.38534722222222223</v>
      </c>
    </row>
    <row r="795" spans="1:10" x14ac:dyDescent="0.25">
      <c r="A795" s="3" t="s">
        <v>18</v>
      </c>
      <c r="B795" s="45" t="s">
        <v>3161</v>
      </c>
      <c r="C795" s="45" t="s">
        <v>3162</v>
      </c>
      <c r="E795" s="3">
        <v>3</v>
      </c>
      <c r="F795" s="3">
        <v>94</v>
      </c>
      <c r="G795" s="3">
        <v>21</v>
      </c>
      <c r="H795" s="3">
        <v>0</v>
      </c>
      <c r="I795" s="9">
        <v>40024</v>
      </c>
      <c r="J795" s="47">
        <v>0.37339120370370371</v>
      </c>
    </row>
    <row r="796" spans="1:10" x14ac:dyDescent="0.25">
      <c r="A796" s="3" t="s">
        <v>18</v>
      </c>
      <c r="B796" s="45" t="s">
        <v>3165</v>
      </c>
      <c r="C796" s="45" t="s">
        <v>296</v>
      </c>
      <c r="E796" s="3">
        <v>12</v>
      </c>
      <c r="F796" s="3">
        <v>93</v>
      </c>
      <c r="G796" s="3">
        <v>6</v>
      </c>
      <c r="H796" s="3">
        <v>0</v>
      </c>
      <c r="I796" s="9">
        <v>40152</v>
      </c>
      <c r="J796" s="47">
        <v>0.4132291666666667</v>
      </c>
    </row>
    <row r="797" spans="1:10" ht="30" x14ac:dyDescent="0.25">
      <c r="A797" s="3" t="s">
        <v>18</v>
      </c>
      <c r="B797" s="45" t="s">
        <v>3179</v>
      </c>
      <c r="C797" s="45" t="s">
        <v>3180</v>
      </c>
      <c r="D797" s="46" t="s">
        <v>3181</v>
      </c>
      <c r="E797" s="3">
        <v>149</v>
      </c>
      <c r="F797" s="3">
        <v>89</v>
      </c>
      <c r="G797" s="3">
        <v>94</v>
      </c>
      <c r="H797" s="3">
        <v>6</v>
      </c>
      <c r="I797" s="9">
        <v>40929</v>
      </c>
      <c r="J797" s="47">
        <v>0.57283564814814814</v>
      </c>
    </row>
    <row r="798" spans="1:10" x14ac:dyDescent="0.25">
      <c r="A798" s="3" t="s">
        <v>18</v>
      </c>
      <c r="B798" s="45" t="s">
        <v>3184</v>
      </c>
      <c r="D798" s="46" t="s">
        <v>3185</v>
      </c>
      <c r="E798" s="3">
        <v>190</v>
      </c>
      <c r="F798" s="3">
        <v>88</v>
      </c>
      <c r="G798" s="3">
        <v>140</v>
      </c>
      <c r="H798" s="3">
        <v>46</v>
      </c>
      <c r="I798" s="9">
        <v>42461</v>
      </c>
      <c r="J798" s="47">
        <v>0.85256944444444438</v>
      </c>
    </row>
    <row r="799" spans="1:10" x14ac:dyDescent="0.25">
      <c r="A799" s="3" t="s">
        <v>18</v>
      </c>
      <c r="B799" s="45" t="s">
        <v>3188</v>
      </c>
      <c r="C799" s="45" t="s">
        <v>926</v>
      </c>
      <c r="E799" s="3">
        <v>243</v>
      </c>
      <c r="F799" s="3">
        <v>87</v>
      </c>
      <c r="G799" s="3">
        <v>90</v>
      </c>
      <c r="H799" s="3">
        <v>7</v>
      </c>
      <c r="I799" s="9">
        <v>42542</v>
      </c>
      <c r="J799" s="47">
        <v>0.60883101851851851</v>
      </c>
    </row>
    <row r="800" spans="1:10" x14ac:dyDescent="0.25">
      <c r="A800" s="3" t="s">
        <v>18</v>
      </c>
      <c r="B800" s="45" t="s">
        <v>3194</v>
      </c>
      <c r="C800" s="45" t="s">
        <v>296</v>
      </c>
      <c r="D800" s="46" t="s">
        <v>3195</v>
      </c>
      <c r="E800" s="3">
        <v>69</v>
      </c>
      <c r="F800" s="3">
        <v>85</v>
      </c>
      <c r="G800" s="3">
        <v>2</v>
      </c>
      <c r="H800" s="3">
        <v>0</v>
      </c>
      <c r="I800" s="9">
        <v>40241</v>
      </c>
      <c r="J800" s="47">
        <v>0.5953356481481481</v>
      </c>
    </row>
    <row r="801" spans="1:10" x14ac:dyDescent="0.25">
      <c r="A801" s="3" t="s">
        <v>18</v>
      </c>
      <c r="B801" s="45" t="s">
        <v>1473</v>
      </c>
      <c r="D801" s="46" t="s">
        <v>3215</v>
      </c>
      <c r="E801" s="3">
        <v>59</v>
      </c>
      <c r="F801" s="3">
        <v>81</v>
      </c>
      <c r="G801" s="3">
        <v>71</v>
      </c>
      <c r="H801" s="3">
        <v>18</v>
      </c>
      <c r="I801" s="9">
        <v>42263</v>
      </c>
      <c r="J801" s="47">
        <v>0.883275462962963</v>
      </c>
    </row>
    <row r="802" spans="1:10" ht="30" x14ac:dyDescent="0.25">
      <c r="A802" s="3" t="s">
        <v>18</v>
      </c>
      <c r="B802" s="45" t="s">
        <v>3226</v>
      </c>
      <c r="C802" s="45" t="s">
        <v>3227</v>
      </c>
      <c r="D802" s="46" t="s">
        <v>3228</v>
      </c>
      <c r="E802" s="3">
        <v>3</v>
      </c>
      <c r="F802" s="3">
        <v>77</v>
      </c>
      <c r="G802" s="3">
        <v>322</v>
      </c>
      <c r="H802" s="3">
        <v>6</v>
      </c>
      <c r="I802" s="9">
        <v>42625</v>
      </c>
      <c r="J802" s="47">
        <v>0.66773148148148154</v>
      </c>
    </row>
    <row r="803" spans="1:10" x14ac:dyDescent="0.25">
      <c r="A803" s="3" t="s">
        <v>18</v>
      </c>
      <c r="B803" s="45" t="s">
        <v>3224</v>
      </c>
      <c r="C803" s="45" t="s">
        <v>3225</v>
      </c>
      <c r="E803" s="3">
        <v>149</v>
      </c>
      <c r="F803" s="3">
        <v>77</v>
      </c>
      <c r="G803" s="3">
        <v>66</v>
      </c>
      <c r="H803" s="3">
        <v>22</v>
      </c>
      <c r="I803" s="9">
        <v>42621</v>
      </c>
      <c r="J803" s="47">
        <v>0.57721064814814815</v>
      </c>
    </row>
    <row r="804" spans="1:10" x14ac:dyDescent="0.25">
      <c r="A804" s="3" t="s">
        <v>18</v>
      </c>
      <c r="B804" s="45" t="s">
        <v>3240</v>
      </c>
      <c r="E804" s="3">
        <v>32</v>
      </c>
      <c r="F804" s="3">
        <v>75</v>
      </c>
      <c r="G804" s="3">
        <v>24</v>
      </c>
      <c r="H804" s="3">
        <v>1</v>
      </c>
      <c r="I804" s="9">
        <v>42187</v>
      </c>
      <c r="J804" s="47">
        <v>0.46271990740740737</v>
      </c>
    </row>
    <row r="805" spans="1:10" x14ac:dyDescent="0.25">
      <c r="A805" s="3" t="s">
        <v>18</v>
      </c>
      <c r="B805" s="45" t="s">
        <v>3242</v>
      </c>
      <c r="C805" s="45" t="s">
        <v>1937</v>
      </c>
      <c r="D805" s="46" t="s">
        <v>3243</v>
      </c>
      <c r="E805" s="3">
        <v>48</v>
      </c>
      <c r="F805" s="3">
        <v>74</v>
      </c>
      <c r="G805" s="3">
        <v>63</v>
      </c>
      <c r="H805" s="3">
        <v>2</v>
      </c>
      <c r="I805" s="9">
        <v>41251</v>
      </c>
      <c r="J805" s="47">
        <v>2.5868055555555557E-2</v>
      </c>
    </row>
    <row r="806" spans="1:10" x14ac:dyDescent="0.25">
      <c r="A806" s="3" t="s">
        <v>18</v>
      </c>
      <c r="B806" s="45" t="s">
        <v>3249</v>
      </c>
      <c r="C806" s="45" t="s">
        <v>3250</v>
      </c>
      <c r="D806" s="46" t="s">
        <v>3251</v>
      </c>
      <c r="E806" s="3">
        <v>1</v>
      </c>
      <c r="F806" s="3">
        <v>73</v>
      </c>
      <c r="G806" s="3">
        <v>35</v>
      </c>
      <c r="H806" s="3">
        <v>0</v>
      </c>
      <c r="I806" s="9">
        <v>41312</v>
      </c>
      <c r="J806" s="47">
        <v>0.4713310185185185</v>
      </c>
    </row>
    <row r="807" spans="1:10" x14ac:dyDescent="0.25">
      <c r="A807" s="3" t="s">
        <v>18</v>
      </c>
      <c r="B807" s="45" t="s">
        <v>3258</v>
      </c>
      <c r="C807" s="45" t="s">
        <v>3259</v>
      </c>
      <c r="D807" s="46" t="s">
        <v>3260</v>
      </c>
      <c r="E807" s="3">
        <v>46</v>
      </c>
      <c r="F807" s="3">
        <v>72</v>
      </c>
      <c r="G807" s="3">
        <v>153</v>
      </c>
      <c r="H807" s="3">
        <v>142</v>
      </c>
      <c r="I807" s="9">
        <v>42310</v>
      </c>
      <c r="J807" s="47">
        <v>0.58138888888888884</v>
      </c>
    </row>
    <row r="808" spans="1:10" x14ac:dyDescent="0.25">
      <c r="A808" s="3" t="s">
        <v>18</v>
      </c>
      <c r="B808" s="45" t="s">
        <v>3252</v>
      </c>
      <c r="C808" s="45" t="s">
        <v>3253</v>
      </c>
      <c r="D808" s="46" t="s">
        <v>3254</v>
      </c>
      <c r="E808" s="3">
        <v>66</v>
      </c>
      <c r="F808" s="3">
        <v>72</v>
      </c>
      <c r="G808" s="3">
        <v>41</v>
      </c>
      <c r="H808" s="3">
        <v>1</v>
      </c>
      <c r="I808" s="9">
        <v>41203</v>
      </c>
      <c r="J808" s="47">
        <v>0.53101851851851845</v>
      </c>
    </row>
    <row r="809" spans="1:10" x14ac:dyDescent="0.25">
      <c r="A809" s="3" t="s">
        <v>18</v>
      </c>
      <c r="B809" s="45" t="s">
        <v>3271</v>
      </c>
      <c r="E809" s="3">
        <v>83</v>
      </c>
      <c r="F809" s="3">
        <v>70</v>
      </c>
      <c r="G809" s="3">
        <v>829</v>
      </c>
      <c r="H809" s="3">
        <v>50</v>
      </c>
      <c r="I809" s="9">
        <v>42189</v>
      </c>
      <c r="J809" s="47">
        <v>0.57833333333333337</v>
      </c>
    </row>
    <row r="810" spans="1:10" ht="30" x14ac:dyDescent="0.25">
      <c r="A810" s="3" t="s">
        <v>18</v>
      </c>
      <c r="B810" s="45" t="s">
        <v>3283</v>
      </c>
      <c r="C810" s="45" t="s">
        <v>3284</v>
      </c>
      <c r="D810" s="46" t="s">
        <v>3285</v>
      </c>
      <c r="E810" s="3">
        <v>28</v>
      </c>
      <c r="F810" s="3">
        <v>67</v>
      </c>
      <c r="G810" s="3">
        <v>180</v>
      </c>
      <c r="H810" s="3">
        <v>16</v>
      </c>
      <c r="I810" s="9">
        <v>42063</v>
      </c>
      <c r="J810" s="47">
        <v>0.73111111111111116</v>
      </c>
    </row>
    <row r="811" spans="1:10" x14ac:dyDescent="0.25">
      <c r="A811" s="3" t="s">
        <v>18</v>
      </c>
      <c r="B811" s="45" t="s">
        <v>3291</v>
      </c>
      <c r="C811" s="45" t="s">
        <v>459</v>
      </c>
      <c r="D811" s="46" t="s">
        <v>3292</v>
      </c>
      <c r="E811" s="3">
        <v>36</v>
      </c>
      <c r="F811" s="3">
        <v>66</v>
      </c>
      <c r="G811" s="3">
        <v>153</v>
      </c>
      <c r="H811" s="3">
        <v>1</v>
      </c>
      <c r="I811" s="9">
        <v>41683</v>
      </c>
      <c r="J811" s="47">
        <v>0.70207175925925924</v>
      </c>
    </row>
    <row r="812" spans="1:10" x14ac:dyDescent="0.25">
      <c r="A812" s="3" t="s">
        <v>18</v>
      </c>
      <c r="B812" s="45" t="s">
        <v>3298</v>
      </c>
      <c r="C812" s="45" t="s">
        <v>3299</v>
      </c>
      <c r="E812" s="3">
        <v>19</v>
      </c>
      <c r="F812" s="3">
        <v>64</v>
      </c>
      <c r="G812" s="3">
        <v>166</v>
      </c>
      <c r="H812" s="3">
        <v>298</v>
      </c>
      <c r="I812" s="9">
        <v>41299</v>
      </c>
      <c r="J812" s="47">
        <v>0.69912037037037045</v>
      </c>
    </row>
    <row r="813" spans="1:10" ht="30" x14ac:dyDescent="0.25">
      <c r="A813" s="3" t="s">
        <v>18</v>
      </c>
      <c r="B813" s="45" t="s">
        <v>3300</v>
      </c>
      <c r="C813" s="45" t="s">
        <v>1675</v>
      </c>
      <c r="D813" s="46" t="s">
        <v>3301</v>
      </c>
      <c r="E813" s="3">
        <v>37</v>
      </c>
      <c r="F813" s="3">
        <v>64</v>
      </c>
      <c r="G813" s="3">
        <v>155</v>
      </c>
      <c r="H813" s="3">
        <v>1</v>
      </c>
      <c r="I813" s="9">
        <v>41477</v>
      </c>
      <c r="J813" s="47">
        <v>0.41804398148148153</v>
      </c>
    </row>
    <row r="814" spans="1:10" ht="30" x14ac:dyDescent="0.25">
      <c r="A814" s="3" t="s">
        <v>18</v>
      </c>
      <c r="B814" s="45" t="s">
        <v>3304</v>
      </c>
      <c r="C814" s="45" t="s">
        <v>3305</v>
      </c>
      <c r="D814" s="46" t="s">
        <v>3306</v>
      </c>
      <c r="E814" s="3">
        <v>130</v>
      </c>
      <c r="F814" s="3">
        <v>62</v>
      </c>
      <c r="G814" s="3">
        <v>55</v>
      </c>
      <c r="H814" s="3">
        <v>49</v>
      </c>
      <c r="I814" s="9">
        <v>42194</v>
      </c>
      <c r="J814" s="47">
        <v>0.36658564814814815</v>
      </c>
    </row>
    <row r="815" spans="1:10" x14ac:dyDescent="0.25">
      <c r="A815" s="3" t="s">
        <v>18</v>
      </c>
      <c r="B815" s="45" t="s">
        <v>3322</v>
      </c>
      <c r="C815" s="45" t="s">
        <v>3323</v>
      </c>
      <c r="D815" s="46" t="s">
        <v>3324</v>
      </c>
      <c r="E815" s="3">
        <v>61</v>
      </c>
      <c r="F815" s="3">
        <v>59</v>
      </c>
      <c r="G815" s="3">
        <v>80</v>
      </c>
      <c r="H815" s="3">
        <v>0</v>
      </c>
      <c r="I815" s="9">
        <v>42594</v>
      </c>
      <c r="J815" s="47">
        <v>0.54593749999999996</v>
      </c>
    </row>
    <row r="816" spans="1:10" ht="30" x14ac:dyDescent="0.25">
      <c r="A816" s="3" t="s">
        <v>18</v>
      </c>
      <c r="B816" s="45" t="s">
        <v>3316</v>
      </c>
      <c r="C816" s="45" t="s">
        <v>3317</v>
      </c>
      <c r="D816" s="46" t="s">
        <v>3318</v>
      </c>
      <c r="E816" s="3">
        <v>52</v>
      </c>
      <c r="F816" s="3">
        <v>59</v>
      </c>
      <c r="G816" s="3">
        <v>16</v>
      </c>
      <c r="H816" s="3">
        <v>0</v>
      </c>
      <c r="I816" s="9">
        <v>42016</v>
      </c>
      <c r="J816" s="47">
        <v>0.47849537037037032</v>
      </c>
    </row>
    <row r="817" spans="1:10" x14ac:dyDescent="0.25">
      <c r="A817" s="3" t="s">
        <v>18</v>
      </c>
      <c r="B817" s="45" t="s">
        <v>3314</v>
      </c>
      <c r="C817" s="45" t="s">
        <v>3315</v>
      </c>
      <c r="E817" s="3">
        <v>6</v>
      </c>
      <c r="F817" s="3">
        <v>59</v>
      </c>
      <c r="G817" s="3">
        <v>45</v>
      </c>
      <c r="H817" s="3">
        <v>0</v>
      </c>
      <c r="I817" s="9">
        <v>41739</v>
      </c>
      <c r="J817" s="47">
        <v>0.6759722222222222</v>
      </c>
    </row>
    <row r="818" spans="1:10" x14ac:dyDescent="0.25">
      <c r="A818" s="3" t="s">
        <v>18</v>
      </c>
      <c r="B818" s="45" t="s">
        <v>3321</v>
      </c>
      <c r="E818" s="3">
        <v>44</v>
      </c>
      <c r="F818" s="3">
        <v>59</v>
      </c>
      <c r="G818" s="3">
        <v>89</v>
      </c>
      <c r="H818" s="3">
        <v>11</v>
      </c>
      <c r="I818" s="9">
        <v>42431</v>
      </c>
      <c r="J818" s="47">
        <v>0.67083333333333339</v>
      </c>
    </row>
    <row r="819" spans="1:10" ht="30" x14ac:dyDescent="0.25">
      <c r="A819" s="3" t="s">
        <v>18</v>
      </c>
      <c r="B819" s="45" t="s">
        <v>3330</v>
      </c>
      <c r="C819" s="45" t="s">
        <v>926</v>
      </c>
      <c r="D819" s="46" t="s">
        <v>3331</v>
      </c>
      <c r="E819" s="3">
        <v>21</v>
      </c>
      <c r="F819" s="3">
        <v>58</v>
      </c>
      <c r="G819" s="3">
        <v>61</v>
      </c>
      <c r="H819" s="3">
        <v>32</v>
      </c>
      <c r="I819" s="9">
        <v>42741</v>
      </c>
      <c r="J819" s="47">
        <v>0.36457175925925928</v>
      </c>
    </row>
    <row r="820" spans="1:10" x14ac:dyDescent="0.25">
      <c r="A820" s="3" t="s">
        <v>18</v>
      </c>
      <c r="B820" s="45" t="s">
        <v>3325</v>
      </c>
      <c r="C820" s="45" t="s">
        <v>3326</v>
      </c>
      <c r="D820" s="46" t="s">
        <v>3327</v>
      </c>
      <c r="E820" s="3">
        <v>31</v>
      </c>
      <c r="F820" s="3">
        <v>58</v>
      </c>
      <c r="G820" s="3">
        <v>52</v>
      </c>
      <c r="H820" s="3">
        <v>0</v>
      </c>
      <c r="I820" s="9">
        <v>40796</v>
      </c>
      <c r="J820" s="47">
        <v>0.60619212962962965</v>
      </c>
    </row>
    <row r="821" spans="1:10" ht="30" x14ac:dyDescent="0.25">
      <c r="A821" s="3" t="s">
        <v>18</v>
      </c>
      <c r="B821" s="45" t="s">
        <v>3336</v>
      </c>
      <c r="D821" s="46" t="s">
        <v>3337</v>
      </c>
      <c r="E821" s="3">
        <v>286</v>
      </c>
      <c r="F821" s="3">
        <v>57</v>
      </c>
      <c r="G821" s="3">
        <v>102</v>
      </c>
      <c r="H821" s="3">
        <v>158</v>
      </c>
      <c r="I821" s="9">
        <v>42874</v>
      </c>
      <c r="J821" s="47">
        <v>0.91885416666666664</v>
      </c>
    </row>
    <row r="822" spans="1:10" x14ac:dyDescent="0.25">
      <c r="A822" s="3" t="s">
        <v>18</v>
      </c>
      <c r="B822" s="45" t="s">
        <v>3338</v>
      </c>
      <c r="C822" s="45" t="s">
        <v>3339</v>
      </c>
      <c r="D822" s="46" t="s">
        <v>3338</v>
      </c>
      <c r="E822" s="3">
        <v>57</v>
      </c>
      <c r="F822" s="3">
        <v>55</v>
      </c>
      <c r="G822" s="3">
        <v>35</v>
      </c>
      <c r="H822" s="3">
        <v>1</v>
      </c>
      <c r="I822" s="9">
        <v>41824</v>
      </c>
      <c r="J822" s="47">
        <v>0.88292824074074072</v>
      </c>
    </row>
    <row r="823" spans="1:10" x14ac:dyDescent="0.25">
      <c r="A823" s="3" t="s">
        <v>18</v>
      </c>
      <c r="B823" s="45" t="s">
        <v>3340</v>
      </c>
      <c r="C823" s="45" t="s">
        <v>3341</v>
      </c>
      <c r="D823" s="46" t="s">
        <v>3342</v>
      </c>
      <c r="E823" s="3">
        <v>35</v>
      </c>
      <c r="F823" s="3">
        <v>55</v>
      </c>
      <c r="G823" s="3">
        <v>9</v>
      </c>
      <c r="H823" s="3">
        <v>4</v>
      </c>
      <c r="I823" s="9">
        <v>42334</v>
      </c>
      <c r="J823" s="47">
        <v>0.52908564814814818</v>
      </c>
    </row>
    <row r="824" spans="1:10" x14ac:dyDescent="0.25">
      <c r="A824" s="3" t="s">
        <v>18</v>
      </c>
      <c r="B824" s="45" t="s">
        <v>3362</v>
      </c>
      <c r="E824" s="3">
        <v>178</v>
      </c>
      <c r="F824" s="3">
        <v>50</v>
      </c>
      <c r="G824" s="3">
        <v>68</v>
      </c>
      <c r="H824" s="3">
        <v>13</v>
      </c>
      <c r="I824" s="9">
        <v>42248</v>
      </c>
      <c r="J824" s="47">
        <v>0.74765046296296289</v>
      </c>
    </row>
    <row r="825" spans="1:10" x14ac:dyDescent="0.25">
      <c r="A825" s="3" t="s">
        <v>18</v>
      </c>
      <c r="B825" s="45" t="s">
        <v>3364</v>
      </c>
      <c r="C825" s="45" t="s">
        <v>3365</v>
      </c>
      <c r="D825" s="46" t="s">
        <v>3366</v>
      </c>
      <c r="E825" s="3">
        <v>126</v>
      </c>
      <c r="F825" s="3">
        <v>49</v>
      </c>
      <c r="G825" s="3">
        <v>21</v>
      </c>
      <c r="H825" s="3">
        <v>12</v>
      </c>
      <c r="I825" s="9">
        <v>42403</v>
      </c>
      <c r="J825" s="47">
        <v>0.48401620370370368</v>
      </c>
    </row>
    <row r="826" spans="1:10" x14ac:dyDescent="0.25">
      <c r="A826" s="3" t="s">
        <v>18</v>
      </c>
      <c r="B826" s="45" t="s">
        <v>3367</v>
      </c>
      <c r="C826" s="45" t="s">
        <v>3368</v>
      </c>
      <c r="D826" s="46" t="s">
        <v>3369</v>
      </c>
      <c r="E826" s="3">
        <v>2</v>
      </c>
      <c r="F826" s="3">
        <v>48</v>
      </c>
      <c r="G826" s="3">
        <v>4</v>
      </c>
      <c r="H826" s="3">
        <v>0</v>
      </c>
      <c r="I826" s="9">
        <v>41416</v>
      </c>
      <c r="J826" s="47">
        <v>0.61841435185185178</v>
      </c>
    </row>
    <row r="827" spans="1:10" ht="45" x14ac:dyDescent="0.25">
      <c r="A827" s="3" t="s">
        <v>18</v>
      </c>
      <c r="B827" s="45" t="s">
        <v>3387</v>
      </c>
      <c r="C827" s="45" t="s">
        <v>3388</v>
      </c>
      <c r="D827" s="46" t="s">
        <v>3389</v>
      </c>
      <c r="E827" s="3">
        <v>36</v>
      </c>
      <c r="F827" s="3">
        <v>46</v>
      </c>
      <c r="G827" s="3">
        <v>14</v>
      </c>
      <c r="H827" s="3">
        <v>26</v>
      </c>
      <c r="I827" s="9">
        <v>41993</v>
      </c>
      <c r="J827" s="47">
        <v>0.82929398148148137</v>
      </c>
    </row>
    <row r="828" spans="1:10" x14ac:dyDescent="0.25">
      <c r="A828" s="3" t="s">
        <v>18</v>
      </c>
      <c r="B828" s="45" t="s">
        <v>3412</v>
      </c>
      <c r="C828" s="45" t="s">
        <v>3413</v>
      </c>
      <c r="D828" s="46" t="s">
        <v>3414</v>
      </c>
      <c r="E828" s="3">
        <v>62</v>
      </c>
      <c r="F828" s="3">
        <v>38</v>
      </c>
      <c r="G828" s="3">
        <v>2</v>
      </c>
      <c r="H828" s="3">
        <v>0</v>
      </c>
      <c r="I828" s="9">
        <v>40323</v>
      </c>
      <c r="J828" s="47">
        <v>0.4576157407407408</v>
      </c>
    </row>
    <row r="829" spans="1:10" ht="30" x14ac:dyDescent="0.25">
      <c r="A829" s="3" t="s">
        <v>18</v>
      </c>
      <c r="B829" s="45" t="s">
        <v>3423</v>
      </c>
      <c r="C829" s="45" t="s">
        <v>3424</v>
      </c>
      <c r="D829" s="46" t="s">
        <v>3425</v>
      </c>
      <c r="E829" s="3">
        <v>44</v>
      </c>
      <c r="F829" s="3">
        <v>36</v>
      </c>
      <c r="G829" s="3">
        <v>13</v>
      </c>
      <c r="H829" s="3">
        <v>3</v>
      </c>
      <c r="I829" s="9">
        <v>42769</v>
      </c>
      <c r="J829" s="47">
        <v>0.67112268518518514</v>
      </c>
    </row>
    <row r="830" spans="1:10" ht="30" x14ac:dyDescent="0.25">
      <c r="A830" s="3" t="s">
        <v>18</v>
      </c>
      <c r="B830" s="45" t="s">
        <v>3420</v>
      </c>
      <c r="C830" s="45" t="s">
        <v>3421</v>
      </c>
      <c r="D830" s="46" t="s">
        <v>3422</v>
      </c>
      <c r="E830" s="3">
        <v>56</v>
      </c>
      <c r="F830" s="3">
        <v>36</v>
      </c>
      <c r="G830" s="3">
        <v>12</v>
      </c>
      <c r="H830" s="3">
        <v>0</v>
      </c>
      <c r="I830" s="9">
        <v>42345</v>
      </c>
      <c r="J830" s="47">
        <v>0.93030092592592595</v>
      </c>
    </row>
    <row r="831" spans="1:10" x14ac:dyDescent="0.25">
      <c r="A831" s="3" t="s">
        <v>18</v>
      </c>
      <c r="B831" s="45" t="s">
        <v>3426</v>
      </c>
      <c r="E831" s="3">
        <v>0</v>
      </c>
      <c r="F831" s="3">
        <v>35</v>
      </c>
      <c r="G831" s="3">
        <v>16</v>
      </c>
      <c r="H831" s="3">
        <v>0</v>
      </c>
      <c r="I831" s="9">
        <v>42528</v>
      </c>
      <c r="J831" s="47">
        <v>0.86678240740740742</v>
      </c>
    </row>
    <row r="832" spans="1:10" x14ac:dyDescent="0.25">
      <c r="A832" s="3" t="s">
        <v>18</v>
      </c>
      <c r="B832" s="45" t="s">
        <v>3438</v>
      </c>
      <c r="C832" s="45" t="s">
        <v>3439</v>
      </c>
      <c r="D832" s="46" t="s">
        <v>3440</v>
      </c>
      <c r="E832" s="3">
        <v>22</v>
      </c>
      <c r="F832" s="3">
        <v>31</v>
      </c>
      <c r="G832" s="3">
        <v>76</v>
      </c>
      <c r="H832" s="3">
        <v>0</v>
      </c>
      <c r="I832" s="9">
        <v>40287</v>
      </c>
      <c r="J832" s="47">
        <v>0.55060185185185184</v>
      </c>
    </row>
    <row r="833" spans="1:10" x14ac:dyDescent="0.25">
      <c r="A833" s="3" t="s">
        <v>18</v>
      </c>
      <c r="B833" s="45" t="s">
        <v>3441</v>
      </c>
      <c r="C833" s="45" t="s">
        <v>3074</v>
      </c>
      <c r="D833" s="46" t="s">
        <v>3442</v>
      </c>
      <c r="E833" s="3">
        <v>83</v>
      </c>
      <c r="F833" s="3">
        <v>31</v>
      </c>
      <c r="G833" s="3">
        <v>20</v>
      </c>
      <c r="H833" s="3">
        <v>2</v>
      </c>
      <c r="I833" s="9">
        <v>42374</v>
      </c>
      <c r="J833" s="47">
        <v>0.61393518518518519</v>
      </c>
    </row>
    <row r="834" spans="1:10" x14ac:dyDescent="0.25">
      <c r="A834" s="3" t="s">
        <v>18</v>
      </c>
      <c r="B834" s="45" t="s">
        <v>3444</v>
      </c>
      <c r="E834" s="3">
        <v>38</v>
      </c>
      <c r="F834" s="3">
        <v>30</v>
      </c>
      <c r="G834" s="3">
        <v>9</v>
      </c>
      <c r="H834" s="3">
        <v>6</v>
      </c>
      <c r="I834" s="9">
        <v>41374</v>
      </c>
      <c r="J834" s="47">
        <v>0.60626157407407411</v>
      </c>
    </row>
    <row r="835" spans="1:10" x14ac:dyDescent="0.25">
      <c r="A835" s="3" t="s">
        <v>18</v>
      </c>
      <c r="B835" s="45" t="s">
        <v>3450</v>
      </c>
      <c r="C835" s="45" t="s">
        <v>1377</v>
      </c>
      <c r="E835" s="3">
        <v>51</v>
      </c>
      <c r="F835" s="3">
        <v>28</v>
      </c>
      <c r="G835" s="3">
        <v>9</v>
      </c>
      <c r="H835" s="3">
        <v>12</v>
      </c>
      <c r="I835" s="9">
        <v>42393</v>
      </c>
      <c r="J835" s="47">
        <v>0.53314814814814815</v>
      </c>
    </row>
    <row r="836" spans="1:10" x14ac:dyDescent="0.25">
      <c r="A836" s="3" t="s">
        <v>18</v>
      </c>
      <c r="B836" s="45" t="s">
        <v>3453</v>
      </c>
      <c r="C836" s="45" t="s">
        <v>3454</v>
      </c>
      <c r="D836" s="46" t="s">
        <v>3455</v>
      </c>
      <c r="E836" s="3">
        <v>21</v>
      </c>
      <c r="F836" s="3">
        <v>27</v>
      </c>
      <c r="G836" s="3">
        <v>12</v>
      </c>
      <c r="H836" s="3">
        <v>0</v>
      </c>
      <c r="I836" s="9">
        <v>40570</v>
      </c>
      <c r="J836" s="47">
        <v>0.41523148148148148</v>
      </c>
    </row>
    <row r="837" spans="1:10" x14ac:dyDescent="0.25">
      <c r="A837" s="3" t="s">
        <v>18</v>
      </c>
      <c r="B837" s="45" t="s">
        <v>3460</v>
      </c>
      <c r="C837" s="45" t="s">
        <v>3461</v>
      </c>
      <c r="D837" s="46" t="s">
        <v>3462</v>
      </c>
      <c r="E837" s="3">
        <v>26</v>
      </c>
      <c r="F837" s="3">
        <v>26</v>
      </c>
      <c r="G837" s="3">
        <v>5</v>
      </c>
      <c r="H837" s="3">
        <v>0</v>
      </c>
      <c r="I837" s="9">
        <v>42630</v>
      </c>
      <c r="J837" s="47">
        <v>0.45311342592592596</v>
      </c>
    </row>
    <row r="838" spans="1:10" x14ac:dyDescent="0.25">
      <c r="A838" s="3" t="s">
        <v>18</v>
      </c>
      <c r="B838" s="45" t="s">
        <v>3480</v>
      </c>
      <c r="C838" s="45" t="s">
        <v>2679</v>
      </c>
      <c r="D838" s="46" t="s">
        <v>3481</v>
      </c>
      <c r="E838" s="3">
        <v>27</v>
      </c>
      <c r="F838" s="3">
        <v>22</v>
      </c>
      <c r="G838" s="3">
        <v>3</v>
      </c>
      <c r="H838" s="3">
        <v>0</v>
      </c>
      <c r="I838" s="9">
        <v>42398</v>
      </c>
      <c r="J838" s="47">
        <v>0.42866898148148147</v>
      </c>
    </row>
    <row r="839" spans="1:10" x14ac:dyDescent="0.25">
      <c r="A839" s="3" t="s">
        <v>18</v>
      </c>
      <c r="B839" s="45" t="s">
        <v>3477</v>
      </c>
      <c r="E839" s="3">
        <v>3</v>
      </c>
      <c r="F839" s="3">
        <v>22</v>
      </c>
      <c r="G839" s="3">
        <v>0</v>
      </c>
      <c r="H839" s="3">
        <v>0</v>
      </c>
      <c r="I839" s="9">
        <v>41243</v>
      </c>
      <c r="J839" s="47">
        <v>0.68769675925925933</v>
      </c>
    </row>
    <row r="840" spans="1:10" x14ac:dyDescent="0.25">
      <c r="A840" s="3" t="s">
        <v>18</v>
      </c>
      <c r="B840" s="45" t="s">
        <v>3491</v>
      </c>
      <c r="C840" s="45" t="s">
        <v>3492</v>
      </c>
      <c r="E840" s="3">
        <v>0</v>
      </c>
      <c r="F840" s="3">
        <v>15</v>
      </c>
      <c r="G840" s="3">
        <v>20</v>
      </c>
      <c r="H840" s="3">
        <v>0</v>
      </c>
      <c r="I840" s="9">
        <v>41828</v>
      </c>
      <c r="J840" s="47">
        <v>0.87540509259259258</v>
      </c>
    </row>
    <row r="841" spans="1:10" x14ac:dyDescent="0.25">
      <c r="A841" s="3" t="s">
        <v>18</v>
      </c>
      <c r="B841" s="45" t="s">
        <v>3496</v>
      </c>
      <c r="C841" s="45" t="s">
        <v>3497</v>
      </c>
      <c r="D841" s="46" t="s">
        <v>3498</v>
      </c>
      <c r="E841" s="3">
        <v>29</v>
      </c>
      <c r="F841" s="3">
        <v>14</v>
      </c>
      <c r="G841" s="3">
        <v>21</v>
      </c>
      <c r="H841" s="3">
        <v>0</v>
      </c>
      <c r="I841" s="9">
        <v>42096</v>
      </c>
      <c r="J841" s="47">
        <v>0.58454861111111112</v>
      </c>
    </row>
    <row r="842" spans="1:10" x14ac:dyDescent="0.25">
      <c r="A842" s="3" t="s">
        <v>18</v>
      </c>
      <c r="B842" s="45" t="s">
        <v>3502</v>
      </c>
      <c r="C842" s="45" t="s">
        <v>3503</v>
      </c>
      <c r="D842" s="46" t="s">
        <v>3504</v>
      </c>
      <c r="E842" s="3">
        <v>9</v>
      </c>
      <c r="F842" s="3">
        <v>13</v>
      </c>
      <c r="G842" s="3">
        <v>9</v>
      </c>
      <c r="H842" s="3">
        <v>0</v>
      </c>
      <c r="I842" s="9">
        <v>41538</v>
      </c>
      <c r="J842" s="47">
        <v>0.51320601851851855</v>
      </c>
    </row>
    <row r="843" spans="1:10" x14ac:dyDescent="0.25">
      <c r="A843" s="3" t="s">
        <v>18</v>
      </c>
      <c r="B843" s="45" t="s">
        <v>3509</v>
      </c>
      <c r="E843" s="3">
        <v>11</v>
      </c>
      <c r="F843" s="3">
        <v>11</v>
      </c>
      <c r="G843" s="3">
        <v>3</v>
      </c>
      <c r="H843" s="3">
        <v>0</v>
      </c>
      <c r="I843" s="9">
        <v>42003</v>
      </c>
      <c r="J843" s="47">
        <v>0.39531250000000001</v>
      </c>
    </row>
    <row r="844" spans="1:10" x14ac:dyDescent="0.25">
      <c r="A844" s="3" t="s">
        <v>18</v>
      </c>
      <c r="B844" s="45" t="s">
        <v>3513</v>
      </c>
      <c r="C844" s="45" t="s">
        <v>3514</v>
      </c>
      <c r="E844" s="3">
        <v>14</v>
      </c>
      <c r="F844" s="3">
        <v>8</v>
      </c>
      <c r="G844" s="3">
        <v>1</v>
      </c>
      <c r="H844" s="3">
        <v>0</v>
      </c>
      <c r="I844" s="9">
        <v>40708</v>
      </c>
      <c r="J844" s="47">
        <v>0.3520833333333333</v>
      </c>
    </row>
    <row r="845" spans="1:10" ht="30" x14ac:dyDescent="0.25">
      <c r="A845" s="3" t="s">
        <v>243</v>
      </c>
      <c r="B845" s="45" t="s">
        <v>244</v>
      </c>
      <c r="C845" s="45" t="s">
        <v>245</v>
      </c>
      <c r="D845" s="46" t="s">
        <v>246</v>
      </c>
      <c r="E845" s="3">
        <v>2143</v>
      </c>
      <c r="F845" s="3">
        <v>4273</v>
      </c>
      <c r="G845" s="3">
        <v>1480</v>
      </c>
      <c r="H845" s="3">
        <v>7</v>
      </c>
      <c r="I845" s="9">
        <v>40052</v>
      </c>
      <c r="J845" s="47">
        <v>0.48697916666666669</v>
      </c>
    </row>
    <row r="846" spans="1:10" x14ac:dyDescent="0.25">
      <c r="A846" s="3" t="s">
        <v>243</v>
      </c>
      <c r="B846" s="45" t="s">
        <v>312</v>
      </c>
      <c r="C846" s="45" t="s">
        <v>313</v>
      </c>
      <c r="D846" s="46" t="s">
        <v>313</v>
      </c>
      <c r="E846" s="3">
        <v>1979</v>
      </c>
      <c r="F846" s="3">
        <v>3481</v>
      </c>
      <c r="G846" s="3">
        <v>10228</v>
      </c>
      <c r="H846" s="3">
        <v>4660</v>
      </c>
      <c r="I846" s="9">
        <v>41703</v>
      </c>
      <c r="J846" s="47">
        <v>0.49004629629629631</v>
      </c>
    </row>
    <row r="847" spans="1:10" ht="30" x14ac:dyDescent="0.25">
      <c r="A847" s="3" t="s">
        <v>243</v>
      </c>
      <c r="B847" s="45" t="s">
        <v>339</v>
      </c>
      <c r="C847" s="45" t="s">
        <v>340</v>
      </c>
      <c r="D847" s="46" t="s">
        <v>341</v>
      </c>
      <c r="E847" s="3">
        <v>1707</v>
      </c>
      <c r="F847" s="3">
        <v>3317</v>
      </c>
      <c r="G847" s="3">
        <v>2993</v>
      </c>
      <c r="H847" s="3">
        <v>356</v>
      </c>
      <c r="I847" s="9">
        <v>39862</v>
      </c>
      <c r="J847" s="47">
        <v>0.72699074074074066</v>
      </c>
    </row>
    <row r="848" spans="1:10" x14ac:dyDescent="0.25">
      <c r="A848" s="3" t="s">
        <v>243</v>
      </c>
      <c r="B848" s="45" t="s">
        <v>406</v>
      </c>
      <c r="C848" s="45" t="s">
        <v>387</v>
      </c>
      <c r="D848" s="46" t="s">
        <v>407</v>
      </c>
      <c r="E848" s="3">
        <v>719</v>
      </c>
      <c r="F848" s="3">
        <v>2842</v>
      </c>
      <c r="G848" s="3">
        <v>6839</v>
      </c>
      <c r="H848" s="3">
        <v>391</v>
      </c>
      <c r="I848" s="9">
        <v>39624</v>
      </c>
      <c r="J848" s="47">
        <v>0.36077546296296298</v>
      </c>
    </row>
    <row r="849" spans="1:10" ht="30" x14ac:dyDescent="0.25">
      <c r="A849" s="3" t="s">
        <v>243</v>
      </c>
      <c r="B849" s="45" t="s">
        <v>414</v>
      </c>
      <c r="C849" s="45" t="s">
        <v>415</v>
      </c>
      <c r="D849" s="46" t="s">
        <v>416</v>
      </c>
      <c r="E849" s="3">
        <v>964</v>
      </c>
      <c r="F849" s="3">
        <v>2799</v>
      </c>
      <c r="G849" s="3">
        <v>7478</v>
      </c>
      <c r="H849" s="3">
        <v>269</v>
      </c>
      <c r="I849" s="9">
        <v>39974</v>
      </c>
      <c r="J849" s="47">
        <v>0.73577546296296292</v>
      </c>
    </row>
    <row r="850" spans="1:10" x14ac:dyDescent="0.25">
      <c r="A850" s="3" t="s">
        <v>243</v>
      </c>
      <c r="B850" s="45" t="s">
        <v>444</v>
      </c>
      <c r="C850" s="45" t="s">
        <v>445</v>
      </c>
      <c r="D850" s="46" t="s">
        <v>446</v>
      </c>
      <c r="E850" s="3">
        <v>929</v>
      </c>
      <c r="F850" s="3">
        <v>2721</v>
      </c>
      <c r="G850" s="3">
        <v>10033</v>
      </c>
      <c r="H850" s="3">
        <v>1445</v>
      </c>
      <c r="I850" s="9">
        <v>39875</v>
      </c>
      <c r="J850" s="47">
        <v>0.97302083333333333</v>
      </c>
    </row>
    <row r="851" spans="1:10" ht="30" x14ac:dyDescent="0.25">
      <c r="A851" s="3" t="s">
        <v>243</v>
      </c>
      <c r="B851" s="45" t="s">
        <v>474</v>
      </c>
      <c r="C851" s="45" t="s">
        <v>36</v>
      </c>
      <c r="D851" s="46" t="s">
        <v>475</v>
      </c>
      <c r="E851" s="3">
        <v>1468</v>
      </c>
      <c r="F851" s="3">
        <v>2613</v>
      </c>
      <c r="G851" s="3">
        <v>4294</v>
      </c>
      <c r="H851" s="3">
        <v>357</v>
      </c>
      <c r="I851" s="9">
        <v>40325</v>
      </c>
      <c r="J851" s="47">
        <v>0.39254629629629628</v>
      </c>
    </row>
    <row r="852" spans="1:10" ht="30" x14ac:dyDescent="0.25">
      <c r="A852" s="3" t="s">
        <v>243</v>
      </c>
      <c r="B852" s="45" t="s">
        <v>476</v>
      </c>
      <c r="C852" s="45" t="s">
        <v>477</v>
      </c>
      <c r="D852" s="46" t="s">
        <v>478</v>
      </c>
      <c r="E852" s="3">
        <v>4989</v>
      </c>
      <c r="F852" s="3">
        <v>2604</v>
      </c>
      <c r="G852" s="3">
        <v>3697</v>
      </c>
      <c r="H852" s="3">
        <v>10281</v>
      </c>
      <c r="I852" s="9">
        <v>42660</v>
      </c>
      <c r="J852" s="47">
        <v>0.3486805555555556</v>
      </c>
    </row>
    <row r="853" spans="1:10" ht="30" x14ac:dyDescent="0.25">
      <c r="A853" s="3" t="s">
        <v>243</v>
      </c>
      <c r="B853" s="45" t="s">
        <v>492</v>
      </c>
      <c r="C853" s="45" t="s">
        <v>493</v>
      </c>
      <c r="D853" s="46" t="s">
        <v>494</v>
      </c>
      <c r="E853" s="3">
        <v>394</v>
      </c>
      <c r="F853" s="3">
        <v>2493</v>
      </c>
      <c r="G853" s="3">
        <v>2508</v>
      </c>
      <c r="H853" s="3">
        <v>644</v>
      </c>
      <c r="I853" s="9">
        <v>41523</v>
      </c>
      <c r="J853" s="47">
        <v>0.46347222222222223</v>
      </c>
    </row>
    <row r="854" spans="1:10" ht="30" x14ac:dyDescent="0.25">
      <c r="A854" s="3" t="s">
        <v>243</v>
      </c>
      <c r="B854" s="45" t="s">
        <v>498</v>
      </c>
      <c r="C854" s="45" t="s">
        <v>499</v>
      </c>
      <c r="D854" s="46" t="s">
        <v>500</v>
      </c>
      <c r="E854" s="3">
        <v>1090</v>
      </c>
      <c r="F854" s="3">
        <v>2489</v>
      </c>
      <c r="G854" s="3">
        <v>7405</v>
      </c>
      <c r="H854" s="3">
        <v>198</v>
      </c>
      <c r="I854" s="9">
        <v>40394</v>
      </c>
      <c r="J854" s="47">
        <v>0.28570601851851851</v>
      </c>
    </row>
    <row r="855" spans="1:10" x14ac:dyDescent="0.25">
      <c r="A855" s="3" t="s">
        <v>243</v>
      </c>
      <c r="B855" s="45" t="s">
        <v>540</v>
      </c>
      <c r="D855" s="46" t="s">
        <v>541</v>
      </c>
      <c r="E855" s="3">
        <v>2346</v>
      </c>
      <c r="F855" s="3">
        <v>2365</v>
      </c>
      <c r="G855" s="3">
        <v>13462</v>
      </c>
      <c r="H855" s="3">
        <v>2391</v>
      </c>
      <c r="I855" s="9">
        <v>41183</v>
      </c>
      <c r="J855" s="47">
        <v>0.70781250000000007</v>
      </c>
    </row>
    <row r="856" spans="1:10" ht="30" x14ac:dyDescent="0.25">
      <c r="A856" s="3" t="s">
        <v>243</v>
      </c>
      <c r="B856" s="45" t="s">
        <v>562</v>
      </c>
      <c r="C856" s="45" t="s">
        <v>563</v>
      </c>
      <c r="D856" s="46" t="s">
        <v>564</v>
      </c>
      <c r="E856" s="3">
        <v>1576</v>
      </c>
      <c r="F856" s="3">
        <v>2303</v>
      </c>
      <c r="G856" s="3">
        <v>7730</v>
      </c>
      <c r="H856" s="3">
        <v>4166</v>
      </c>
      <c r="I856" s="9">
        <v>41838</v>
      </c>
      <c r="J856" s="47">
        <v>0.34386574074074078</v>
      </c>
    </row>
    <row r="857" spans="1:10" x14ac:dyDescent="0.25">
      <c r="A857" s="3" t="s">
        <v>243</v>
      </c>
      <c r="B857" s="45" t="s">
        <v>571</v>
      </c>
      <c r="C857" s="45" t="s">
        <v>572</v>
      </c>
      <c r="D857" s="46" t="s">
        <v>573</v>
      </c>
      <c r="E857" s="3">
        <v>613</v>
      </c>
      <c r="F857" s="3">
        <v>2272</v>
      </c>
      <c r="G857" s="3">
        <v>6027</v>
      </c>
      <c r="H857" s="3">
        <v>1471</v>
      </c>
      <c r="I857" s="9">
        <v>40725</v>
      </c>
      <c r="J857" s="47">
        <v>0.53478009259259263</v>
      </c>
    </row>
    <row r="858" spans="1:10" ht="30" x14ac:dyDescent="0.25">
      <c r="A858" s="3" t="s">
        <v>243</v>
      </c>
      <c r="B858" s="45" t="s">
        <v>620</v>
      </c>
      <c r="C858" s="45" t="s">
        <v>621</v>
      </c>
      <c r="D858" s="46" t="s">
        <v>622</v>
      </c>
      <c r="E858" s="3">
        <v>1286</v>
      </c>
      <c r="F858" s="3">
        <v>2139</v>
      </c>
      <c r="G858" s="3">
        <v>4202</v>
      </c>
      <c r="H858" s="3">
        <v>267</v>
      </c>
      <c r="I858" s="9">
        <v>40696</v>
      </c>
      <c r="J858" s="47">
        <v>0.89887731481481481</v>
      </c>
    </row>
    <row r="859" spans="1:10" ht="30" x14ac:dyDescent="0.25">
      <c r="A859" s="3" t="s">
        <v>243</v>
      </c>
      <c r="B859" s="45" t="s">
        <v>644</v>
      </c>
      <c r="C859" s="45" t="s">
        <v>645</v>
      </c>
      <c r="D859" s="46" t="s">
        <v>646</v>
      </c>
      <c r="E859" s="3">
        <v>593</v>
      </c>
      <c r="F859" s="3">
        <v>2060</v>
      </c>
      <c r="G859" s="3">
        <v>2255</v>
      </c>
      <c r="H859" s="3">
        <v>507</v>
      </c>
      <c r="I859" s="9">
        <v>40319</v>
      </c>
      <c r="J859" s="47">
        <v>0.37719907407407405</v>
      </c>
    </row>
    <row r="860" spans="1:10" x14ac:dyDescent="0.25">
      <c r="A860" s="3" t="s">
        <v>243</v>
      </c>
      <c r="B860" s="45" t="s">
        <v>649</v>
      </c>
      <c r="C860" s="45" t="s">
        <v>110</v>
      </c>
      <c r="D860" s="46" t="s">
        <v>650</v>
      </c>
      <c r="E860" s="3">
        <v>1122</v>
      </c>
      <c r="F860" s="3">
        <v>2045</v>
      </c>
      <c r="G860" s="3">
        <v>6346</v>
      </c>
      <c r="H860" s="3">
        <v>206</v>
      </c>
      <c r="I860" s="9">
        <v>39967</v>
      </c>
      <c r="J860" s="47">
        <v>0.4354513888888889</v>
      </c>
    </row>
    <row r="861" spans="1:10" x14ac:dyDescent="0.25">
      <c r="A861" s="3" t="s">
        <v>243</v>
      </c>
      <c r="B861" s="45" t="s">
        <v>665</v>
      </c>
      <c r="C861" s="45" t="s">
        <v>666</v>
      </c>
      <c r="D861" s="46" t="s">
        <v>667</v>
      </c>
      <c r="E861" s="3">
        <v>1581</v>
      </c>
      <c r="F861" s="3">
        <v>1981</v>
      </c>
      <c r="G861" s="3">
        <v>263</v>
      </c>
      <c r="H861" s="3">
        <v>1</v>
      </c>
      <c r="I861" s="9">
        <v>39954</v>
      </c>
      <c r="J861" s="47">
        <v>0.56847222222222216</v>
      </c>
    </row>
    <row r="862" spans="1:10" ht="30" x14ac:dyDescent="0.25">
      <c r="A862" s="3" t="s">
        <v>243</v>
      </c>
      <c r="B862" s="45" t="s">
        <v>674</v>
      </c>
      <c r="C862" s="45" t="s">
        <v>675</v>
      </c>
      <c r="D862" s="46" t="s">
        <v>676</v>
      </c>
      <c r="E862" s="3">
        <v>343</v>
      </c>
      <c r="F862" s="3">
        <v>1963</v>
      </c>
      <c r="G862" s="3">
        <v>4035</v>
      </c>
      <c r="H862" s="3">
        <v>860</v>
      </c>
      <c r="I862" s="9">
        <v>40134</v>
      </c>
      <c r="J862" s="47">
        <v>0.9239814814814814</v>
      </c>
    </row>
    <row r="863" spans="1:10" x14ac:dyDescent="0.25">
      <c r="A863" s="3" t="s">
        <v>243</v>
      </c>
      <c r="B863" s="45" t="s">
        <v>790</v>
      </c>
      <c r="D863" s="46" t="s">
        <v>791</v>
      </c>
      <c r="E863" s="3">
        <v>557</v>
      </c>
      <c r="F863" s="3">
        <v>1622</v>
      </c>
      <c r="G863" s="3">
        <v>8517</v>
      </c>
      <c r="H863" s="3">
        <v>632</v>
      </c>
      <c r="I863" s="9">
        <v>41128</v>
      </c>
      <c r="J863" s="47">
        <v>0.64898148148148149</v>
      </c>
    </row>
    <row r="864" spans="1:10" ht="30" x14ac:dyDescent="0.25">
      <c r="A864" s="3" t="s">
        <v>243</v>
      </c>
      <c r="B864" s="45" t="s">
        <v>797</v>
      </c>
      <c r="C864" s="45" t="s">
        <v>798</v>
      </c>
      <c r="D864" s="46" t="s">
        <v>799</v>
      </c>
      <c r="E864" s="3">
        <v>122</v>
      </c>
      <c r="F864" s="3">
        <v>1610</v>
      </c>
      <c r="G864" s="3">
        <v>2529</v>
      </c>
      <c r="H864" s="3">
        <v>17</v>
      </c>
      <c r="I864" s="9">
        <v>40247</v>
      </c>
      <c r="J864" s="47">
        <v>0.43357638888888889</v>
      </c>
    </row>
    <row r="865" spans="1:10" ht="30" x14ac:dyDescent="0.25">
      <c r="A865" s="3" t="s">
        <v>243</v>
      </c>
      <c r="B865" s="45" t="s">
        <v>839</v>
      </c>
      <c r="C865" s="45" t="s">
        <v>840</v>
      </c>
      <c r="D865" s="46" t="s">
        <v>841</v>
      </c>
      <c r="E865" s="3">
        <v>1046</v>
      </c>
      <c r="F865" s="3">
        <v>1531</v>
      </c>
      <c r="G865" s="3">
        <v>3875</v>
      </c>
      <c r="H865" s="3">
        <v>919</v>
      </c>
      <c r="I865" s="9">
        <v>41353</v>
      </c>
      <c r="J865" s="47">
        <v>0.54082175925925924</v>
      </c>
    </row>
    <row r="866" spans="1:10" ht="30" x14ac:dyDescent="0.25">
      <c r="A866" s="3" t="s">
        <v>243</v>
      </c>
      <c r="B866" s="45" t="s">
        <v>938</v>
      </c>
      <c r="C866" s="45" t="s">
        <v>939</v>
      </c>
      <c r="D866" s="46" t="s">
        <v>940</v>
      </c>
      <c r="E866" s="3">
        <v>794</v>
      </c>
      <c r="F866" s="3">
        <v>1346</v>
      </c>
      <c r="G866" s="3">
        <v>1660</v>
      </c>
      <c r="H866" s="3">
        <v>95</v>
      </c>
      <c r="I866" s="9">
        <v>40765</v>
      </c>
      <c r="J866" s="47">
        <v>0.35651620370370374</v>
      </c>
    </row>
    <row r="867" spans="1:10" ht="30" x14ac:dyDescent="0.25">
      <c r="A867" s="3" t="s">
        <v>243</v>
      </c>
      <c r="B867" s="45" t="s">
        <v>952</v>
      </c>
      <c r="C867" s="45" t="s">
        <v>953</v>
      </c>
      <c r="D867" s="46" t="s">
        <v>954</v>
      </c>
      <c r="E867" s="3">
        <v>103</v>
      </c>
      <c r="F867" s="3">
        <v>1326</v>
      </c>
      <c r="G867" s="3">
        <v>2872</v>
      </c>
      <c r="H867" s="3">
        <v>74</v>
      </c>
      <c r="I867" s="9">
        <v>41435</v>
      </c>
      <c r="J867" s="47">
        <v>0.55045138888888889</v>
      </c>
    </row>
    <row r="868" spans="1:10" ht="30" x14ac:dyDescent="0.25">
      <c r="A868" s="3" t="s">
        <v>243</v>
      </c>
      <c r="B868" s="45" t="s">
        <v>992</v>
      </c>
      <c r="C868" s="45" t="s">
        <v>993</v>
      </c>
      <c r="D868" s="46" t="s">
        <v>994</v>
      </c>
      <c r="E868" s="3">
        <v>584</v>
      </c>
      <c r="F868" s="3">
        <v>1269</v>
      </c>
      <c r="G868" s="3">
        <v>2140</v>
      </c>
      <c r="H868" s="3">
        <v>745</v>
      </c>
      <c r="I868" s="9">
        <v>42293</v>
      </c>
      <c r="J868" s="47">
        <v>0.52550925925925929</v>
      </c>
    </row>
    <row r="869" spans="1:10" ht="30" x14ac:dyDescent="0.25">
      <c r="A869" s="3" t="s">
        <v>243</v>
      </c>
      <c r="B869" s="45" t="s">
        <v>1012</v>
      </c>
      <c r="C869" s="45" t="s">
        <v>1013</v>
      </c>
      <c r="D869" s="46" t="s">
        <v>1014</v>
      </c>
      <c r="E869" s="3">
        <v>586</v>
      </c>
      <c r="F869" s="3">
        <v>1231</v>
      </c>
      <c r="G869" s="3">
        <v>2287</v>
      </c>
      <c r="H869" s="3">
        <v>122</v>
      </c>
      <c r="I869" s="9">
        <v>41306</v>
      </c>
      <c r="J869" s="47">
        <v>0.46262731481481478</v>
      </c>
    </row>
    <row r="870" spans="1:10" x14ac:dyDescent="0.25">
      <c r="A870" s="3" t="s">
        <v>243</v>
      </c>
      <c r="B870" s="45" t="s">
        <v>1249</v>
      </c>
      <c r="C870" s="45" t="s">
        <v>1250</v>
      </c>
      <c r="D870" s="46" t="s">
        <v>1251</v>
      </c>
      <c r="E870" s="3">
        <v>377</v>
      </c>
      <c r="F870" s="3">
        <v>967</v>
      </c>
      <c r="G870" s="3">
        <v>1474</v>
      </c>
      <c r="H870" s="3">
        <v>213</v>
      </c>
      <c r="I870" s="9">
        <v>41514</v>
      </c>
      <c r="J870" s="47">
        <v>0.58740740740740738</v>
      </c>
    </row>
    <row r="871" spans="1:10" x14ac:dyDescent="0.25">
      <c r="A871" s="3" t="s">
        <v>243</v>
      </c>
      <c r="B871" s="45" t="s">
        <v>1727</v>
      </c>
      <c r="C871" s="45" t="s">
        <v>1728</v>
      </c>
      <c r="D871" s="46" t="s">
        <v>1729</v>
      </c>
      <c r="E871" s="3">
        <v>371</v>
      </c>
      <c r="F871" s="3">
        <v>545</v>
      </c>
      <c r="G871" s="3">
        <v>888</v>
      </c>
      <c r="H871" s="3">
        <v>168</v>
      </c>
      <c r="I871" s="9">
        <v>41977</v>
      </c>
      <c r="J871" s="47">
        <v>0.60827546296296298</v>
      </c>
    </row>
    <row r="872" spans="1:10" x14ac:dyDescent="0.25">
      <c r="A872" s="3" t="s">
        <v>243</v>
      </c>
      <c r="B872" s="45" t="s">
        <v>1984</v>
      </c>
      <c r="C872" s="45" t="s">
        <v>1985</v>
      </c>
      <c r="D872" s="46" t="s">
        <v>1986</v>
      </c>
      <c r="E872" s="3">
        <v>374</v>
      </c>
      <c r="F872" s="3">
        <v>412</v>
      </c>
      <c r="G872" s="3">
        <v>594</v>
      </c>
      <c r="H872" s="3">
        <v>103</v>
      </c>
      <c r="I872" s="9">
        <v>41977</v>
      </c>
      <c r="J872" s="47">
        <v>0.58509259259259261</v>
      </c>
    </row>
    <row r="873" spans="1:10" ht="30" x14ac:dyDescent="0.25">
      <c r="A873" s="3" t="s">
        <v>243</v>
      </c>
      <c r="B873" s="45" t="s">
        <v>2234</v>
      </c>
      <c r="C873" s="45" t="s">
        <v>2235</v>
      </c>
      <c r="D873" s="46" t="s">
        <v>2236</v>
      </c>
      <c r="E873" s="3">
        <v>115</v>
      </c>
      <c r="F873" s="3">
        <v>315</v>
      </c>
      <c r="G873" s="3">
        <v>360</v>
      </c>
      <c r="H873" s="3">
        <v>80</v>
      </c>
      <c r="I873" s="9">
        <v>40673</v>
      </c>
      <c r="J873" s="47">
        <v>0.47374999999999995</v>
      </c>
    </row>
    <row r="874" spans="1:10" x14ac:dyDescent="0.25">
      <c r="A874" s="3" t="s">
        <v>243</v>
      </c>
      <c r="B874" s="45" t="s">
        <v>3518</v>
      </c>
      <c r="C874" s="45" t="s">
        <v>3519</v>
      </c>
      <c r="D874" s="46" t="s">
        <v>3520</v>
      </c>
      <c r="E874" s="3">
        <v>0</v>
      </c>
      <c r="F874" s="3">
        <v>7</v>
      </c>
      <c r="G874" s="3">
        <v>0</v>
      </c>
      <c r="H874" s="3">
        <v>0</v>
      </c>
      <c r="I874" s="9">
        <v>42775</v>
      </c>
      <c r="J874" s="47">
        <v>0.74458333333333337</v>
      </c>
    </row>
    <row r="875" spans="1:10" x14ac:dyDescent="0.25">
      <c r="A875" s="3" t="s">
        <v>120</v>
      </c>
      <c r="B875" s="45" t="s">
        <v>121</v>
      </c>
      <c r="C875" s="45" t="s">
        <v>122</v>
      </c>
      <c r="E875" s="3">
        <v>203</v>
      </c>
      <c r="F875" s="3">
        <v>7536</v>
      </c>
      <c r="G875" s="3">
        <v>13011</v>
      </c>
      <c r="H875" s="3">
        <v>3121</v>
      </c>
      <c r="I875" s="9">
        <v>40100</v>
      </c>
      <c r="J875" s="47">
        <v>0.31973379629629628</v>
      </c>
    </row>
    <row r="876" spans="1:10" ht="30" x14ac:dyDescent="0.25">
      <c r="A876" s="3" t="s">
        <v>120</v>
      </c>
      <c r="B876" s="45" t="s">
        <v>128</v>
      </c>
      <c r="C876" s="45" t="s">
        <v>129</v>
      </c>
      <c r="D876" s="46" t="s">
        <v>130</v>
      </c>
      <c r="E876" s="3">
        <v>1254</v>
      </c>
      <c r="F876" s="3">
        <v>7193</v>
      </c>
      <c r="G876" s="3">
        <v>8719</v>
      </c>
      <c r="H876" s="3">
        <v>256</v>
      </c>
      <c r="I876" s="9">
        <v>40879</v>
      </c>
      <c r="J876" s="47">
        <v>0.50224537037037031</v>
      </c>
    </row>
    <row r="877" spans="1:10" ht="30" x14ac:dyDescent="0.25">
      <c r="A877" s="3" t="s">
        <v>120</v>
      </c>
      <c r="B877" s="45" t="s">
        <v>140</v>
      </c>
      <c r="C877" s="45" t="s">
        <v>141</v>
      </c>
      <c r="D877" s="46" t="s">
        <v>142</v>
      </c>
      <c r="E877" s="3">
        <v>792</v>
      </c>
      <c r="F877" s="3">
        <v>6788</v>
      </c>
      <c r="G877" s="3">
        <v>25045</v>
      </c>
      <c r="H877" s="3">
        <v>993</v>
      </c>
      <c r="I877" s="9">
        <v>39974</v>
      </c>
      <c r="J877" s="47">
        <v>0.74731481481481488</v>
      </c>
    </row>
    <row r="878" spans="1:10" ht="30" x14ac:dyDescent="0.25">
      <c r="A878" s="3" t="s">
        <v>120</v>
      </c>
      <c r="B878" s="45" t="s">
        <v>146</v>
      </c>
      <c r="C878" s="45" t="s">
        <v>147</v>
      </c>
      <c r="D878" s="46" t="s">
        <v>148</v>
      </c>
      <c r="E878" s="3">
        <v>935</v>
      </c>
      <c r="F878" s="3">
        <v>6636</v>
      </c>
      <c r="G878" s="3">
        <v>18701</v>
      </c>
      <c r="H878" s="3">
        <v>1992</v>
      </c>
      <c r="I878" s="9">
        <v>39909</v>
      </c>
      <c r="J878" s="47">
        <v>0.44556712962962958</v>
      </c>
    </row>
    <row r="879" spans="1:10" ht="30" x14ac:dyDescent="0.25">
      <c r="A879" s="3" t="s">
        <v>120</v>
      </c>
      <c r="B879" s="45" t="s">
        <v>157</v>
      </c>
      <c r="C879" s="45" t="s">
        <v>158</v>
      </c>
      <c r="D879" s="46" t="s">
        <v>159</v>
      </c>
      <c r="E879" s="3">
        <v>1230</v>
      </c>
      <c r="F879" s="3">
        <v>6327</v>
      </c>
      <c r="G879" s="3">
        <v>27483</v>
      </c>
      <c r="H879" s="3">
        <v>4865</v>
      </c>
      <c r="I879" s="9">
        <v>40490</v>
      </c>
      <c r="J879" s="47">
        <v>0.56562499999999993</v>
      </c>
    </row>
    <row r="880" spans="1:10" ht="30" x14ac:dyDescent="0.25">
      <c r="A880" s="3" t="s">
        <v>120</v>
      </c>
      <c r="B880" s="45" t="s">
        <v>202</v>
      </c>
      <c r="C880" s="45" t="s">
        <v>203</v>
      </c>
      <c r="D880" s="46" t="s">
        <v>204</v>
      </c>
      <c r="E880" s="3">
        <v>916</v>
      </c>
      <c r="F880" s="3">
        <v>4866</v>
      </c>
      <c r="G880" s="3">
        <v>6012</v>
      </c>
      <c r="H880" s="3">
        <v>450</v>
      </c>
      <c r="I880" s="9">
        <v>39855</v>
      </c>
      <c r="J880" s="47">
        <v>0.66401620370370373</v>
      </c>
    </row>
    <row r="881" spans="1:10" ht="30" x14ac:dyDescent="0.25">
      <c r="A881" s="3" t="s">
        <v>120</v>
      </c>
      <c r="B881" s="45" t="s">
        <v>221</v>
      </c>
      <c r="C881" s="45" t="s">
        <v>222</v>
      </c>
      <c r="D881" s="46" t="s">
        <v>223</v>
      </c>
      <c r="E881" s="3">
        <v>1980</v>
      </c>
      <c r="F881" s="3">
        <v>4585</v>
      </c>
      <c r="G881" s="3">
        <v>5108</v>
      </c>
      <c r="H881" s="3">
        <v>358</v>
      </c>
      <c r="I881" s="9">
        <v>39874</v>
      </c>
      <c r="J881" s="47">
        <v>0.57811342592592596</v>
      </c>
    </row>
    <row r="882" spans="1:10" x14ac:dyDescent="0.25">
      <c r="A882" s="3" t="s">
        <v>120</v>
      </c>
      <c r="B882" s="45" t="s">
        <v>234</v>
      </c>
      <c r="C882" s="45" t="s">
        <v>235</v>
      </c>
      <c r="D882" s="46" t="s">
        <v>236</v>
      </c>
      <c r="E882" s="3">
        <v>780</v>
      </c>
      <c r="F882" s="3">
        <v>4375</v>
      </c>
      <c r="G882" s="3">
        <v>13394</v>
      </c>
      <c r="H882" s="3">
        <v>793</v>
      </c>
      <c r="I882" s="9">
        <v>40296</v>
      </c>
      <c r="J882" s="47">
        <v>0.55873842592592593</v>
      </c>
    </row>
    <row r="883" spans="1:10" x14ac:dyDescent="0.25">
      <c r="A883" s="3" t="s">
        <v>120</v>
      </c>
      <c r="B883" s="45" t="s">
        <v>272</v>
      </c>
      <c r="C883" s="45" t="s">
        <v>273</v>
      </c>
      <c r="D883" s="46" t="s">
        <v>274</v>
      </c>
      <c r="E883" s="3">
        <v>1765</v>
      </c>
      <c r="F883" s="3">
        <v>3877</v>
      </c>
      <c r="G883" s="3">
        <v>5288</v>
      </c>
      <c r="H883" s="3">
        <v>541</v>
      </c>
      <c r="I883" s="9">
        <v>39899</v>
      </c>
      <c r="J883" s="47">
        <v>0.60795138888888889</v>
      </c>
    </row>
    <row r="884" spans="1:10" x14ac:dyDescent="0.25">
      <c r="A884" s="3" t="s">
        <v>120</v>
      </c>
      <c r="B884" s="45" t="s">
        <v>323</v>
      </c>
      <c r="C884" s="45" t="s">
        <v>324</v>
      </c>
      <c r="D884" s="46" t="s">
        <v>325</v>
      </c>
      <c r="E884" s="3">
        <v>583</v>
      </c>
      <c r="F884" s="3">
        <v>3441</v>
      </c>
      <c r="G884" s="3">
        <v>11557</v>
      </c>
      <c r="H884" s="3">
        <v>858</v>
      </c>
      <c r="I884" s="9">
        <v>40276</v>
      </c>
      <c r="J884" s="47">
        <v>0.55325231481481485</v>
      </c>
    </row>
    <row r="885" spans="1:10" x14ac:dyDescent="0.25">
      <c r="A885" s="3" t="s">
        <v>120</v>
      </c>
      <c r="B885" s="45" t="s">
        <v>371</v>
      </c>
      <c r="C885" s="45" t="s">
        <v>372</v>
      </c>
      <c r="D885" s="46" t="s">
        <v>373</v>
      </c>
      <c r="E885" s="3">
        <v>828</v>
      </c>
      <c r="F885" s="3">
        <v>3044</v>
      </c>
      <c r="G885" s="3">
        <v>8149</v>
      </c>
      <c r="H885" s="3">
        <v>728</v>
      </c>
      <c r="I885" s="9">
        <v>40012</v>
      </c>
      <c r="J885" s="47">
        <v>0.60168981481481476</v>
      </c>
    </row>
    <row r="886" spans="1:10" ht="30" x14ac:dyDescent="0.25">
      <c r="A886" s="3" t="s">
        <v>120</v>
      </c>
      <c r="B886" s="45" t="s">
        <v>452</v>
      </c>
      <c r="C886" s="45" t="s">
        <v>453</v>
      </c>
      <c r="D886" s="46" t="s">
        <v>454</v>
      </c>
      <c r="E886" s="3">
        <v>1263</v>
      </c>
      <c r="F886" s="3">
        <v>2670</v>
      </c>
      <c r="G886" s="3">
        <v>3881</v>
      </c>
      <c r="H886" s="3">
        <v>1065</v>
      </c>
      <c r="I886" s="9">
        <v>39862</v>
      </c>
      <c r="J886" s="47">
        <v>0.55641203703703701</v>
      </c>
    </row>
    <row r="887" spans="1:10" x14ac:dyDescent="0.25">
      <c r="A887" s="3" t="s">
        <v>120</v>
      </c>
      <c r="B887" s="45" t="s">
        <v>589</v>
      </c>
      <c r="C887" s="45" t="s">
        <v>590</v>
      </c>
      <c r="D887" s="46" t="s">
        <v>591</v>
      </c>
      <c r="E887" s="3">
        <v>708</v>
      </c>
      <c r="F887" s="3">
        <v>2205</v>
      </c>
      <c r="G887" s="3">
        <v>12872</v>
      </c>
      <c r="H887" s="3">
        <v>1988</v>
      </c>
      <c r="I887" s="9">
        <v>41025</v>
      </c>
      <c r="J887" s="47">
        <v>0.33636574074074077</v>
      </c>
    </row>
    <row r="888" spans="1:10" ht="30" x14ac:dyDescent="0.25">
      <c r="A888" s="3" t="s">
        <v>120</v>
      </c>
      <c r="B888" s="45" t="s">
        <v>592</v>
      </c>
      <c r="C888" s="45" t="s">
        <v>593</v>
      </c>
      <c r="D888" s="46" t="s">
        <v>594</v>
      </c>
      <c r="E888" s="3">
        <v>1166</v>
      </c>
      <c r="F888" s="3">
        <v>2201</v>
      </c>
      <c r="G888" s="3">
        <v>12181</v>
      </c>
      <c r="H888" s="3">
        <v>748</v>
      </c>
      <c r="I888" s="9">
        <v>40191</v>
      </c>
      <c r="J888" s="47">
        <v>0.54045138888888888</v>
      </c>
    </row>
    <row r="889" spans="1:10" x14ac:dyDescent="0.25">
      <c r="A889" s="3" t="s">
        <v>120</v>
      </c>
      <c r="B889" s="45" t="s">
        <v>597</v>
      </c>
      <c r="C889" s="45" t="s">
        <v>598</v>
      </c>
      <c r="D889" s="46" t="s">
        <v>599</v>
      </c>
      <c r="E889" s="3">
        <v>304</v>
      </c>
      <c r="F889" s="3">
        <v>2188</v>
      </c>
      <c r="G889" s="3">
        <v>13066</v>
      </c>
      <c r="H889" s="3">
        <v>730</v>
      </c>
      <c r="I889" s="9">
        <v>41079</v>
      </c>
      <c r="J889" s="47">
        <v>0.41621527777777773</v>
      </c>
    </row>
    <row r="890" spans="1:10" ht="30" x14ac:dyDescent="0.25">
      <c r="A890" s="3" t="s">
        <v>120</v>
      </c>
      <c r="B890" s="45" t="s">
        <v>638</v>
      </c>
      <c r="C890" s="45" t="s">
        <v>639</v>
      </c>
      <c r="D890" s="46" t="s">
        <v>640</v>
      </c>
      <c r="E890" s="3">
        <v>1177</v>
      </c>
      <c r="F890" s="3">
        <v>2076</v>
      </c>
      <c r="G890" s="3">
        <v>8508</v>
      </c>
      <c r="H890" s="3">
        <v>1847</v>
      </c>
      <c r="I890" s="9">
        <v>41505</v>
      </c>
      <c r="J890" s="47">
        <v>0.68320601851851848</v>
      </c>
    </row>
    <row r="891" spans="1:10" ht="30" x14ac:dyDescent="0.25">
      <c r="A891" s="3" t="s">
        <v>120</v>
      </c>
      <c r="B891" s="45" t="s">
        <v>701</v>
      </c>
      <c r="C891" s="45" t="s">
        <v>702</v>
      </c>
      <c r="D891" s="46" t="s">
        <v>703</v>
      </c>
      <c r="E891" s="3">
        <v>980</v>
      </c>
      <c r="F891" s="3">
        <v>1881</v>
      </c>
      <c r="G891" s="3">
        <v>5680</v>
      </c>
      <c r="H891" s="3">
        <v>305</v>
      </c>
      <c r="I891" s="9">
        <v>40841</v>
      </c>
      <c r="J891" s="47">
        <v>0.43430555555555556</v>
      </c>
    </row>
    <row r="892" spans="1:10" ht="30" x14ac:dyDescent="0.25">
      <c r="A892" s="3" t="s">
        <v>120</v>
      </c>
      <c r="B892" s="45" t="s">
        <v>710</v>
      </c>
      <c r="C892" s="45" t="s">
        <v>711</v>
      </c>
      <c r="D892" s="46" t="s">
        <v>712</v>
      </c>
      <c r="E892" s="3">
        <v>292</v>
      </c>
      <c r="F892" s="3">
        <v>1833</v>
      </c>
      <c r="G892" s="3">
        <v>3014</v>
      </c>
      <c r="H892" s="3">
        <v>667</v>
      </c>
      <c r="I892" s="9">
        <v>40134</v>
      </c>
      <c r="J892" s="47">
        <v>0.46209490740740744</v>
      </c>
    </row>
    <row r="893" spans="1:10" ht="30" x14ac:dyDescent="0.25">
      <c r="A893" s="3" t="s">
        <v>120</v>
      </c>
      <c r="B893" s="45" t="s">
        <v>870</v>
      </c>
      <c r="C893" s="45" t="s">
        <v>871</v>
      </c>
      <c r="D893" s="46" t="s">
        <v>872</v>
      </c>
      <c r="E893" s="3">
        <v>1064</v>
      </c>
      <c r="F893" s="3">
        <v>1465</v>
      </c>
      <c r="G893" s="3">
        <v>9877</v>
      </c>
      <c r="H893" s="3">
        <v>2848</v>
      </c>
      <c r="I893" s="9">
        <v>41110</v>
      </c>
      <c r="J893" s="47">
        <v>0.41465277777777776</v>
      </c>
    </row>
    <row r="894" spans="1:10" x14ac:dyDescent="0.25">
      <c r="A894" s="3" t="s">
        <v>120</v>
      </c>
      <c r="B894" s="45" t="s">
        <v>959</v>
      </c>
      <c r="D894" s="46" t="s">
        <v>960</v>
      </c>
      <c r="E894" s="3">
        <v>1019</v>
      </c>
      <c r="F894" s="3">
        <v>1323</v>
      </c>
      <c r="G894" s="3">
        <v>5640</v>
      </c>
      <c r="H894" s="3">
        <v>1764</v>
      </c>
      <c r="I894" s="9">
        <v>41705</v>
      </c>
      <c r="J894" s="47">
        <v>0.4130092592592593</v>
      </c>
    </row>
    <row r="895" spans="1:10" x14ac:dyDescent="0.25">
      <c r="A895" s="3" t="s">
        <v>120</v>
      </c>
      <c r="B895" s="45" t="s">
        <v>1126</v>
      </c>
      <c r="D895" s="46" t="s">
        <v>1127</v>
      </c>
      <c r="E895" s="3">
        <v>168</v>
      </c>
      <c r="F895" s="3">
        <v>1086</v>
      </c>
      <c r="G895" s="3">
        <v>5090</v>
      </c>
      <c r="H895" s="3">
        <v>514</v>
      </c>
      <c r="I895" s="9">
        <v>39888</v>
      </c>
      <c r="J895" s="47">
        <v>0.49053240740740739</v>
      </c>
    </row>
    <row r="896" spans="1:10" ht="30" x14ac:dyDescent="0.25">
      <c r="A896" s="3" t="s">
        <v>120</v>
      </c>
      <c r="B896" s="45" t="s">
        <v>1179</v>
      </c>
      <c r="C896" s="45" t="s">
        <v>1180</v>
      </c>
      <c r="D896" s="46" t="s">
        <v>1181</v>
      </c>
      <c r="E896" s="3">
        <v>695</v>
      </c>
      <c r="F896" s="3">
        <v>1039</v>
      </c>
      <c r="G896" s="3">
        <v>2795</v>
      </c>
      <c r="H896" s="3">
        <v>137</v>
      </c>
      <c r="I896" s="9">
        <v>41113</v>
      </c>
      <c r="J896" s="47">
        <v>0.64533564814814814</v>
      </c>
    </row>
    <row r="897" spans="1:10" ht="45" x14ac:dyDescent="0.25">
      <c r="A897" s="3" t="s">
        <v>120</v>
      </c>
      <c r="B897" s="45" t="s">
        <v>1234</v>
      </c>
      <c r="C897" s="45" t="s">
        <v>1235</v>
      </c>
      <c r="D897" s="46" t="s">
        <v>1236</v>
      </c>
      <c r="E897" s="3">
        <v>904</v>
      </c>
      <c r="F897" s="3">
        <v>982</v>
      </c>
      <c r="G897" s="3">
        <v>3577</v>
      </c>
      <c r="H897" s="3">
        <v>411</v>
      </c>
      <c r="I897" s="9">
        <v>41655</v>
      </c>
      <c r="J897" s="47">
        <v>0.73732638888888891</v>
      </c>
    </row>
    <row r="898" spans="1:10" ht="30" x14ac:dyDescent="0.25">
      <c r="A898" s="3" t="s">
        <v>120</v>
      </c>
      <c r="B898" s="45" t="s">
        <v>1349</v>
      </c>
      <c r="C898" s="45" t="s">
        <v>1350</v>
      </c>
      <c r="D898" s="46" t="s">
        <v>1351</v>
      </c>
      <c r="E898" s="3">
        <v>93</v>
      </c>
      <c r="F898" s="3">
        <v>857</v>
      </c>
      <c r="G898" s="3">
        <v>953</v>
      </c>
      <c r="H898" s="3">
        <v>232</v>
      </c>
      <c r="I898" s="9">
        <v>40326</v>
      </c>
      <c r="J898" s="47">
        <v>0.72883101851851861</v>
      </c>
    </row>
    <row r="899" spans="1:10" x14ac:dyDescent="0.25">
      <c r="A899" s="3" t="s">
        <v>120</v>
      </c>
      <c r="B899" s="45" t="s">
        <v>1416</v>
      </c>
      <c r="C899" s="45" t="s">
        <v>1417</v>
      </c>
      <c r="D899" s="46" t="s">
        <v>1418</v>
      </c>
      <c r="E899" s="3">
        <v>460</v>
      </c>
      <c r="F899" s="3">
        <v>798</v>
      </c>
      <c r="G899" s="3">
        <v>2783</v>
      </c>
      <c r="H899" s="3">
        <v>1089</v>
      </c>
      <c r="I899" s="9">
        <v>41862</v>
      </c>
      <c r="J899" s="47">
        <v>0.38665509259259262</v>
      </c>
    </row>
    <row r="900" spans="1:10" x14ac:dyDescent="0.25">
      <c r="A900" s="3" t="s">
        <v>120</v>
      </c>
      <c r="B900" s="45" t="s">
        <v>1701</v>
      </c>
      <c r="E900" s="3">
        <v>0</v>
      </c>
      <c r="F900" s="3">
        <v>579</v>
      </c>
      <c r="G900" s="3">
        <v>0</v>
      </c>
      <c r="H900" s="3">
        <v>0</v>
      </c>
      <c r="I900" s="9">
        <v>39872</v>
      </c>
      <c r="J900" s="47">
        <v>4.670138888888889E-2</v>
      </c>
    </row>
    <row r="901" spans="1:10" ht="30" x14ac:dyDescent="0.25">
      <c r="A901" s="3" t="s">
        <v>120</v>
      </c>
      <c r="B901" s="45" t="s">
        <v>1738</v>
      </c>
      <c r="C901" s="45" t="s">
        <v>1739</v>
      </c>
      <c r="D901" s="46" t="s">
        <v>1740</v>
      </c>
      <c r="E901" s="3">
        <v>72</v>
      </c>
      <c r="F901" s="3">
        <v>540</v>
      </c>
      <c r="G901" s="3">
        <v>2061</v>
      </c>
      <c r="H901" s="3">
        <v>556</v>
      </c>
      <c r="I901" s="9">
        <v>42192</v>
      </c>
      <c r="J901" s="47">
        <v>0.62877314814814811</v>
      </c>
    </row>
    <row r="902" spans="1:10" ht="30" x14ac:dyDescent="0.25">
      <c r="A902" s="3" t="s">
        <v>120</v>
      </c>
      <c r="B902" s="45" t="s">
        <v>1811</v>
      </c>
      <c r="C902" s="45" t="s">
        <v>141</v>
      </c>
      <c r="D902" s="46" t="s">
        <v>1812</v>
      </c>
      <c r="E902" s="3">
        <v>290</v>
      </c>
      <c r="F902" s="3">
        <v>493</v>
      </c>
      <c r="G902" s="3">
        <v>1891</v>
      </c>
      <c r="H902" s="3">
        <v>304</v>
      </c>
      <c r="I902" s="9">
        <v>41676</v>
      </c>
      <c r="J902" s="47">
        <v>0.89189814814814816</v>
      </c>
    </row>
    <row r="903" spans="1:10" ht="30" x14ac:dyDescent="0.25">
      <c r="A903" s="3" t="s">
        <v>120</v>
      </c>
      <c r="B903" s="45" t="s">
        <v>2591</v>
      </c>
      <c r="C903" s="45" t="s">
        <v>2592</v>
      </c>
      <c r="D903" s="46" t="s">
        <v>2593</v>
      </c>
      <c r="E903" s="3">
        <v>142</v>
      </c>
      <c r="F903" s="3">
        <v>214</v>
      </c>
      <c r="G903" s="3">
        <v>749</v>
      </c>
      <c r="H903" s="3">
        <v>311</v>
      </c>
      <c r="I903" s="9">
        <v>42436</v>
      </c>
      <c r="J903" s="47">
        <v>0.44687499999999997</v>
      </c>
    </row>
    <row r="904" spans="1:10" ht="30" x14ac:dyDescent="0.25">
      <c r="A904" s="3" t="s">
        <v>46</v>
      </c>
      <c r="B904" s="45" t="s">
        <v>47</v>
      </c>
      <c r="C904" s="45" t="s">
        <v>33</v>
      </c>
      <c r="D904" s="46" t="s">
        <v>48</v>
      </c>
      <c r="E904" s="3">
        <v>4283</v>
      </c>
      <c r="F904" s="3">
        <v>18162</v>
      </c>
      <c r="G904" s="3">
        <v>12147</v>
      </c>
      <c r="H904" s="3">
        <v>1122</v>
      </c>
      <c r="I904" s="9">
        <v>39263</v>
      </c>
      <c r="J904" s="47">
        <v>0.60957175925925922</v>
      </c>
    </row>
    <row r="905" spans="1:10" x14ac:dyDescent="0.25">
      <c r="A905" s="3" t="s">
        <v>46</v>
      </c>
      <c r="B905" s="45" t="s">
        <v>66</v>
      </c>
      <c r="C905" s="45" t="s">
        <v>67</v>
      </c>
      <c r="D905" s="46" t="s">
        <v>68</v>
      </c>
      <c r="E905" s="3">
        <v>884</v>
      </c>
      <c r="F905" s="3">
        <v>12420</v>
      </c>
      <c r="G905" s="3">
        <v>10807</v>
      </c>
      <c r="H905" s="3">
        <v>938</v>
      </c>
      <c r="I905" s="9">
        <v>39850</v>
      </c>
      <c r="J905" s="47">
        <v>0.53130787037037031</v>
      </c>
    </row>
    <row r="906" spans="1:10" ht="30" x14ac:dyDescent="0.25">
      <c r="A906" s="3" t="s">
        <v>46</v>
      </c>
      <c r="B906" s="45" t="s">
        <v>79</v>
      </c>
      <c r="C906" s="45" t="s">
        <v>80</v>
      </c>
      <c r="D906" s="46" t="s">
        <v>81</v>
      </c>
      <c r="E906" s="3">
        <v>4824</v>
      </c>
      <c r="F906" s="3">
        <v>10823</v>
      </c>
      <c r="G906" s="3">
        <v>20449</v>
      </c>
      <c r="H906" s="3">
        <v>4447</v>
      </c>
      <c r="I906" s="9">
        <v>39896</v>
      </c>
      <c r="J906" s="47">
        <v>0.58994212962962966</v>
      </c>
    </row>
    <row r="907" spans="1:10" ht="30" x14ac:dyDescent="0.25">
      <c r="A907" s="3" t="s">
        <v>46</v>
      </c>
      <c r="B907" s="45" t="s">
        <v>84</v>
      </c>
      <c r="C907" s="45" t="s">
        <v>85</v>
      </c>
      <c r="D907" s="46" t="s">
        <v>86</v>
      </c>
      <c r="E907" s="3">
        <v>3996</v>
      </c>
      <c r="F907" s="3">
        <v>10438</v>
      </c>
      <c r="G907" s="3">
        <v>75526</v>
      </c>
      <c r="H907" s="3">
        <v>18506</v>
      </c>
      <c r="I907" s="9">
        <v>39980</v>
      </c>
      <c r="J907" s="47">
        <v>0.66797453703703702</v>
      </c>
    </row>
    <row r="908" spans="1:10" ht="30" x14ac:dyDescent="0.25">
      <c r="A908" s="3" t="s">
        <v>46</v>
      </c>
      <c r="B908" s="45" t="s">
        <v>92</v>
      </c>
      <c r="C908" s="45" t="s">
        <v>93</v>
      </c>
      <c r="D908" s="46" t="s">
        <v>94</v>
      </c>
      <c r="E908" s="3">
        <v>2834</v>
      </c>
      <c r="F908" s="3">
        <v>9889</v>
      </c>
      <c r="G908" s="3">
        <v>28944</v>
      </c>
      <c r="H908" s="3">
        <v>5975</v>
      </c>
      <c r="I908" s="9">
        <v>39931</v>
      </c>
      <c r="J908" s="47">
        <v>0.44418981481481484</v>
      </c>
    </row>
    <row r="909" spans="1:10" ht="30" x14ac:dyDescent="0.25">
      <c r="A909" s="3" t="s">
        <v>46</v>
      </c>
      <c r="B909" s="45" t="s">
        <v>95</v>
      </c>
      <c r="C909" s="45" t="s">
        <v>96</v>
      </c>
      <c r="D909" s="46" t="s">
        <v>97</v>
      </c>
      <c r="E909" s="3">
        <v>579</v>
      </c>
      <c r="F909" s="3">
        <v>9739</v>
      </c>
      <c r="G909" s="3">
        <v>8555</v>
      </c>
      <c r="H909" s="3">
        <v>1195</v>
      </c>
      <c r="I909" s="9">
        <v>39889</v>
      </c>
      <c r="J909" s="47">
        <v>0.53002314814814822</v>
      </c>
    </row>
    <row r="910" spans="1:10" ht="120" x14ac:dyDescent="0.25">
      <c r="A910" s="3" t="s">
        <v>46</v>
      </c>
      <c r="B910" s="45" t="s">
        <v>137</v>
      </c>
      <c r="C910" s="45" t="s">
        <v>138</v>
      </c>
      <c r="D910" s="46" t="s">
        <v>139</v>
      </c>
      <c r="E910" s="3">
        <v>1595</v>
      </c>
      <c r="F910" s="3">
        <v>6950</v>
      </c>
      <c r="G910" s="3">
        <v>4454</v>
      </c>
      <c r="H910" s="3">
        <v>1550</v>
      </c>
      <c r="I910" s="9">
        <v>40302</v>
      </c>
      <c r="J910" s="47">
        <v>0.62356481481481485</v>
      </c>
    </row>
    <row r="911" spans="1:10" ht="30" x14ac:dyDescent="0.25">
      <c r="A911" s="3" t="s">
        <v>46</v>
      </c>
      <c r="B911" s="45" t="s">
        <v>182</v>
      </c>
      <c r="C911" s="45" t="s">
        <v>183</v>
      </c>
      <c r="D911" s="46" t="s">
        <v>184</v>
      </c>
      <c r="E911" s="3">
        <v>1872</v>
      </c>
      <c r="F911" s="3">
        <v>5713</v>
      </c>
      <c r="G911" s="3">
        <v>6397</v>
      </c>
      <c r="H911" s="3">
        <v>2523</v>
      </c>
      <c r="I911" s="9">
        <v>40471</v>
      </c>
      <c r="J911" s="47">
        <v>0.64596064814814813</v>
      </c>
    </row>
    <row r="912" spans="1:10" ht="30" x14ac:dyDescent="0.25">
      <c r="A912" s="3" t="s">
        <v>46</v>
      </c>
      <c r="B912" s="45" t="s">
        <v>185</v>
      </c>
      <c r="C912" s="45" t="s">
        <v>186</v>
      </c>
      <c r="D912" s="46" t="s">
        <v>187</v>
      </c>
      <c r="E912" s="3">
        <v>1927</v>
      </c>
      <c r="F912" s="3">
        <v>5605</v>
      </c>
      <c r="G912" s="3">
        <v>6656</v>
      </c>
      <c r="H912" s="3">
        <v>161</v>
      </c>
      <c r="I912" s="9">
        <v>39959</v>
      </c>
      <c r="J912" s="47">
        <v>0.55035879629629625</v>
      </c>
    </row>
    <row r="913" spans="1:10" ht="30" x14ac:dyDescent="0.25">
      <c r="A913" s="3" t="s">
        <v>46</v>
      </c>
      <c r="B913" s="45" t="s">
        <v>191</v>
      </c>
      <c r="C913" s="45" t="s">
        <v>192</v>
      </c>
      <c r="D913" s="46" t="s">
        <v>193</v>
      </c>
      <c r="E913" s="3">
        <v>2819</v>
      </c>
      <c r="F913" s="3">
        <v>5393</v>
      </c>
      <c r="G913" s="3">
        <v>11397</v>
      </c>
      <c r="H913" s="3">
        <v>1722</v>
      </c>
      <c r="I913" s="9">
        <v>40380</v>
      </c>
      <c r="J913" s="47">
        <v>0.40848379629629633</v>
      </c>
    </row>
    <row r="914" spans="1:10" ht="30" x14ac:dyDescent="0.25">
      <c r="A914" s="3" t="s">
        <v>46</v>
      </c>
      <c r="B914" s="45" t="s">
        <v>210</v>
      </c>
      <c r="C914" s="45" t="s">
        <v>211</v>
      </c>
      <c r="D914" s="46" t="s">
        <v>212</v>
      </c>
      <c r="E914" s="3">
        <v>2477</v>
      </c>
      <c r="F914" s="3">
        <v>4719</v>
      </c>
      <c r="G914" s="3">
        <v>9612</v>
      </c>
      <c r="H914" s="3">
        <v>5342</v>
      </c>
      <c r="I914" s="9">
        <v>40703</v>
      </c>
      <c r="J914" s="47">
        <v>0.46385416666666668</v>
      </c>
    </row>
    <row r="915" spans="1:10" x14ac:dyDescent="0.25">
      <c r="A915" s="3" t="s">
        <v>46</v>
      </c>
      <c r="B915" s="45" t="s">
        <v>231</v>
      </c>
      <c r="C915" s="45" t="s">
        <v>232</v>
      </c>
      <c r="D915" s="46" t="s">
        <v>233</v>
      </c>
      <c r="E915" s="3">
        <v>2670</v>
      </c>
      <c r="F915" s="3">
        <v>4417</v>
      </c>
      <c r="G915" s="3">
        <v>4455</v>
      </c>
      <c r="H915" s="3">
        <v>1156</v>
      </c>
      <c r="I915" s="9">
        <v>40268</v>
      </c>
      <c r="J915" s="47">
        <v>0.67756944444444445</v>
      </c>
    </row>
    <row r="916" spans="1:10" ht="30" x14ac:dyDescent="0.25">
      <c r="A916" s="3" t="s">
        <v>46</v>
      </c>
      <c r="B916" s="45" t="s">
        <v>237</v>
      </c>
      <c r="C916" s="45" t="s">
        <v>238</v>
      </c>
      <c r="D916" s="46" t="s">
        <v>239</v>
      </c>
      <c r="E916" s="3">
        <v>1899</v>
      </c>
      <c r="F916" s="3">
        <v>4372</v>
      </c>
      <c r="G916" s="3">
        <v>2960</v>
      </c>
      <c r="H916" s="3">
        <v>1429</v>
      </c>
      <c r="I916" s="9">
        <v>40113</v>
      </c>
      <c r="J916" s="47">
        <v>0.71741898148148142</v>
      </c>
    </row>
    <row r="917" spans="1:10" ht="30" x14ac:dyDescent="0.25">
      <c r="A917" s="3" t="s">
        <v>46</v>
      </c>
      <c r="B917" s="45" t="s">
        <v>247</v>
      </c>
      <c r="C917" s="45" t="s">
        <v>248</v>
      </c>
      <c r="D917" s="46" t="s">
        <v>249</v>
      </c>
      <c r="E917" s="3">
        <v>460</v>
      </c>
      <c r="F917" s="3">
        <v>4140</v>
      </c>
      <c r="G917" s="3">
        <v>6449</v>
      </c>
      <c r="H917" s="3">
        <v>1715</v>
      </c>
      <c r="I917" s="9">
        <v>40503</v>
      </c>
      <c r="J917" s="47">
        <v>0.9805787037037037</v>
      </c>
    </row>
    <row r="918" spans="1:10" ht="30" x14ac:dyDescent="0.25">
      <c r="A918" s="3" t="s">
        <v>46</v>
      </c>
      <c r="B918" s="45" t="s">
        <v>250</v>
      </c>
      <c r="C918" s="45" t="s">
        <v>251</v>
      </c>
      <c r="D918" s="46" t="s">
        <v>252</v>
      </c>
      <c r="E918" s="3">
        <v>1021</v>
      </c>
      <c r="F918" s="3">
        <v>4110</v>
      </c>
      <c r="G918" s="3">
        <v>7362</v>
      </c>
      <c r="H918" s="3">
        <v>1772</v>
      </c>
      <c r="I918" s="9">
        <v>41019</v>
      </c>
      <c r="J918" s="47">
        <v>0.61416666666666664</v>
      </c>
    </row>
    <row r="919" spans="1:10" x14ac:dyDescent="0.25">
      <c r="A919" s="3" t="s">
        <v>46</v>
      </c>
      <c r="B919" s="45" t="s">
        <v>253</v>
      </c>
      <c r="C919" s="45" t="s">
        <v>254</v>
      </c>
      <c r="D919" s="46" t="s">
        <v>255</v>
      </c>
      <c r="E919" s="3">
        <v>550</v>
      </c>
      <c r="F919" s="3">
        <v>4099</v>
      </c>
      <c r="G919" s="3">
        <v>6260</v>
      </c>
      <c r="H919" s="3">
        <v>1107</v>
      </c>
      <c r="I919" s="9">
        <v>40519</v>
      </c>
      <c r="J919" s="47">
        <v>0.60366898148148151</v>
      </c>
    </row>
    <row r="920" spans="1:10" ht="30" x14ac:dyDescent="0.25">
      <c r="A920" s="3" t="s">
        <v>46</v>
      </c>
      <c r="B920" s="45" t="s">
        <v>266</v>
      </c>
      <c r="C920" s="45" t="s">
        <v>267</v>
      </c>
      <c r="D920" s="46" t="s">
        <v>268</v>
      </c>
      <c r="E920" s="3">
        <v>1296</v>
      </c>
      <c r="F920" s="3">
        <v>3924</v>
      </c>
      <c r="G920" s="3">
        <v>5437</v>
      </c>
      <c r="H920" s="3">
        <v>1014</v>
      </c>
      <c r="I920" s="9">
        <v>40112</v>
      </c>
      <c r="J920" s="47">
        <v>0.45575231481481482</v>
      </c>
    </row>
    <row r="921" spans="1:10" ht="30" x14ac:dyDescent="0.25">
      <c r="A921" s="3" t="s">
        <v>46</v>
      </c>
      <c r="B921" s="45" t="s">
        <v>283</v>
      </c>
      <c r="C921" s="45" t="s">
        <v>284</v>
      </c>
      <c r="D921" s="46" t="s">
        <v>285</v>
      </c>
      <c r="E921" s="3">
        <v>1119</v>
      </c>
      <c r="F921" s="3">
        <v>3778</v>
      </c>
      <c r="G921" s="3">
        <v>9815</v>
      </c>
      <c r="H921" s="3">
        <v>678</v>
      </c>
      <c r="I921" s="9">
        <v>39982</v>
      </c>
      <c r="J921" s="47">
        <v>0.43910879629629629</v>
      </c>
    </row>
    <row r="922" spans="1:10" x14ac:dyDescent="0.25">
      <c r="A922" s="3" t="s">
        <v>46</v>
      </c>
      <c r="B922" s="45" t="s">
        <v>298</v>
      </c>
      <c r="C922" s="45" t="s">
        <v>299</v>
      </c>
      <c r="D922" s="46" t="s">
        <v>300</v>
      </c>
      <c r="E922" s="3">
        <v>865</v>
      </c>
      <c r="F922" s="3">
        <v>3595</v>
      </c>
      <c r="G922" s="3">
        <v>10206</v>
      </c>
      <c r="H922" s="3">
        <v>981</v>
      </c>
      <c r="I922" s="9">
        <v>39898</v>
      </c>
      <c r="J922" s="47">
        <v>0.53238425925925925</v>
      </c>
    </row>
    <row r="923" spans="1:10" ht="30" x14ac:dyDescent="0.25">
      <c r="A923" s="3" t="s">
        <v>46</v>
      </c>
      <c r="B923" s="45" t="s">
        <v>301</v>
      </c>
      <c r="C923" s="45" t="s">
        <v>302</v>
      </c>
      <c r="D923" s="46" t="s">
        <v>303</v>
      </c>
      <c r="E923" s="3">
        <v>1054</v>
      </c>
      <c r="F923" s="3">
        <v>3576</v>
      </c>
      <c r="G923" s="3">
        <v>5293</v>
      </c>
      <c r="H923" s="3">
        <v>1320</v>
      </c>
      <c r="I923" s="9">
        <v>40182</v>
      </c>
      <c r="J923" s="47">
        <v>1.1226851851851851E-3</v>
      </c>
    </row>
    <row r="924" spans="1:10" ht="30" x14ac:dyDescent="0.25">
      <c r="A924" s="3" t="s">
        <v>46</v>
      </c>
      <c r="B924" s="45" t="s">
        <v>306</v>
      </c>
      <c r="C924" s="45" t="s">
        <v>307</v>
      </c>
      <c r="D924" s="46" t="s">
        <v>308</v>
      </c>
      <c r="E924" s="3">
        <v>708</v>
      </c>
      <c r="F924" s="3">
        <v>3556</v>
      </c>
      <c r="G924" s="3">
        <v>5356</v>
      </c>
      <c r="H924" s="3">
        <v>1872</v>
      </c>
      <c r="I924" s="9">
        <v>40157</v>
      </c>
      <c r="J924" s="47">
        <v>0.64746527777777774</v>
      </c>
    </row>
    <row r="925" spans="1:10" ht="30" x14ac:dyDescent="0.25">
      <c r="A925" s="3" t="s">
        <v>46</v>
      </c>
      <c r="B925" s="45" t="s">
        <v>314</v>
      </c>
      <c r="C925" s="45" t="s">
        <v>315</v>
      </c>
      <c r="D925" s="46" t="s">
        <v>316</v>
      </c>
      <c r="E925" s="3">
        <v>1833</v>
      </c>
      <c r="F925" s="3">
        <v>3458</v>
      </c>
      <c r="G925" s="3">
        <v>5175</v>
      </c>
      <c r="H925" s="3">
        <v>938</v>
      </c>
      <c r="I925" s="9">
        <v>40217</v>
      </c>
      <c r="J925" s="47">
        <v>0.44475694444444441</v>
      </c>
    </row>
    <row r="926" spans="1:10" ht="30" x14ac:dyDescent="0.25">
      <c r="A926" s="3" t="s">
        <v>46</v>
      </c>
      <c r="B926" s="45" t="s">
        <v>329</v>
      </c>
      <c r="C926" s="45" t="s">
        <v>330</v>
      </c>
      <c r="D926" s="46" t="s">
        <v>331</v>
      </c>
      <c r="E926" s="3">
        <v>444</v>
      </c>
      <c r="F926" s="3">
        <v>3392</v>
      </c>
      <c r="G926" s="3">
        <v>2759</v>
      </c>
      <c r="H926" s="3">
        <v>529</v>
      </c>
      <c r="I926" s="9">
        <v>39920</v>
      </c>
      <c r="J926" s="47">
        <v>0.6114236111111111</v>
      </c>
    </row>
    <row r="927" spans="1:10" ht="30" x14ac:dyDescent="0.25">
      <c r="A927" s="3" t="s">
        <v>46</v>
      </c>
      <c r="B927" s="45" t="s">
        <v>332</v>
      </c>
      <c r="C927" s="45" t="s">
        <v>333</v>
      </c>
      <c r="D927" s="46" t="s">
        <v>334</v>
      </c>
      <c r="E927" s="3">
        <v>1982</v>
      </c>
      <c r="F927" s="3">
        <v>3351</v>
      </c>
      <c r="G927" s="3">
        <v>24978</v>
      </c>
      <c r="H927" s="3">
        <v>3658</v>
      </c>
      <c r="I927" s="9">
        <v>41485</v>
      </c>
      <c r="J927" s="47">
        <v>0.43944444444444447</v>
      </c>
    </row>
    <row r="928" spans="1:10" ht="30" x14ac:dyDescent="0.25">
      <c r="A928" s="3" t="s">
        <v>46</v>
      </c>
      <c r="B928" s="45" t="s">
        <v>283</v>
      </c>
      <c r="C928" s="45" t="s">
        <v>284</v>
      </c>
      <c r="D928" s="46" t="s">
        <v>338</v>
      </c>
      <c r="E928" s="3">
        <v>275</v>
      </c>
      <c r="F928" s="3">
        <v>3337</v>
      </c>
      <c r="G928" s="3">
        <v>27674</v>
      </c>
      <c r="H928" s="3">
        <v>92</v>
      </c>
      <c r="I928" s="9">
        <v>40424</v>
      </c>
      <c r="J928" s="47">
        <v>0.61563657407407402</v>
      </c>
    </row>
    <row r="929" spans="1:10" ht="30" x14ac:dyDescent="0.25">
      <c r="A929" s="3" t="s">
        <v>46</v>
      </c>
      <c r="B929" s="45" t="s">
        <v>335</v>
      </c>
      <c r="C929" s="45" t="s">
        <v>336</v>
      </c>
      <c r="D929" s="46" t="s">
        <v>337</v>
      </c>
      <c r="E929" s="3">
        <v>735</v>
      </c>
      <c r="F929" s="3">
        <v>3337</v>
      </c>
      <c r="G929" s="3">
        <v>3041</v>
      </c>
      <c r="H929" s="3">
        <v>857</v>
      </c>
      <c r="I929" s="9">
        <v>39966</v>
      </c>
      <c r="J929" s="47">
        <v>0.61402777777777773</v>
      </c>
    </row>
    <row r="930" spans="1:10" x14ac:dyDescent="0.25">
      <c r="A930" s="3" t="s">
        <v>46</v>
      </c>
      <c r="B930" s="45" t="s">
        <v>342</v>
      </c>
      <c r="C930" s="45" t="s">
        <v>343</v>
      </c>
      <c r="D930" s="46" t="s">
        <v>344</v>
      </c>
      <c r="E930" s="3">
        <v>1618</v>
      </c>
      <c r="F930" s="3">
        <v>3284</v>
      </c>
      <c r="G930" s="3">
        <v>10967</v>
      </c>
      <c r="H930" s="3">
        <v>4731</v>
      </c>
      <c r="I930" s="9">
        <v>41025</v>
      </c>
      <c r="J930" s="47">
        <v>0.46166666666666667</v>
      </c>
    </row>
    <row r="931" spans="1:10" x14ac:dyDescent="0.25">
      <c r="A931" s="3" t="s">
        <v>46</v>
      </c>
      <c r="B931" s="45" t="s">
        <v>348</v>
      </c>
      <c r="C931" s="45" t="s">
        <v>349</v>
      </c>
      <c r="D931" s="46" t="s">
        <v>350</v>
      </c>
      <c r="E931" s="3">
        <v>1571</v>
      </c>
      <c r="F931" s="3">
        <v>3245</v>
      </c>
      <c r="G931" s="3">
        <v>5396</v>
      </c>
      <c r="H931" s="3">
        <v>947</v>
      </c>
      <c r="I931" s="9">
        <v>39835</v>
      </c>
      <c r="J931" s="47">
        <v>0.59540509259259256</v>
      </c>
    </row>
    <row r="932" spans="1:10" ht="30" x14ac:dyDescent="0.25">
      <c r="A932" s="3" t="s">
        <v>46</v>
      </c>
      <c r="B932" s="45" t="s">
        <v>357</v>
      </c>
      <c r="C932" s="45" t="s">
        <v>358</v>
      </c>
      <c r="D932" s="46" t="s">
        <v>359</v>
      </c>
      <c r="E932" s="3">
        <v>2312</v>
      </c>
      <c r="F932" s="3">
        <v>3145</v>
      </c>
      <c r="G932" s="3">
        <v>3044</v>
      </c>
      <c r="H932" s="3">
        <v>101</v>
      </c>
      <c r="I932" s="9">
        <v>40267</v>
      </c>
      <c r="J932" s="47">
        <v>0.58905092592592589</v>
      </c>
    </row>
    <row r="933" spans="1:10" x14ac:dyDescent="0.25">
      <c r="A933" s="3" t="s">
        <v>46</v>
      </c>
      <c r="B933" s="45" t="s">
        <v>363</v>
      </c>
      <c r="C933" s="45" t="s">
        <v>364</v>
      </c>
      <c r="D933" s="46" t="s">
        <v>365</v>
      </c>
      <c r="E933" s="3">
        <v>1511</v>
      </c>
      <c r="F933" s="3">
        <v>3058</v>
      </c>
      <c r="G933" s="3">
        <v>5172</v>
      </c>
      <c r="H933" s="3">
        <v>177</v>
      </c>
      <c r="I933" s="9">
        <v>40289</v>
      </c>
      <c r="J933" s="47">
        <v>0.39673611111111112</v>
      </c>
    </row>
    <row r="934" spans="1:10" ht="30" x14ac:dyDescent="0.25">
      <c r="A934" s="3" t="s">
        <v>46</v>
      </c>
      <c r="B934" s="45" t="s">
        <v>368</v>
      </c>
      <c r="C934" s="45" t="s">
        <v>369</v>
      </c>
      <c r="D934" s="46" t="s">
        <v>370</v>
      </c>
      <c r="E934" s="3">
        <v>2306</v>
      </c>
      <c r="F934" s="3">
        <v>3050</v>
      </c>
      <c r="G934" s="3">
        <v>12828</v>
      </c>
      <c r="H934" s="3">
        <v>7421</v>
      </c>
      <c r="I934" s="9">
        <v>41242</v>
      </c>
      <c r="J934" s="47">
        <v>0.59744212962962961</v>
      </c>
    </row>
    <row r="935" spans="1:10" ht="30" x14ac:dyDescent="0.25">
      <c r="A935" s="3" t="s">
        <v>46</v>
      </c>
      <c r="B935" s="45" t="s">
        <v>383</v>
      </c>
      <c r="C935" s="45" t="s">
        <v>384</v>
      </c>
      <c r="D935" s="46" t="s">
        <v>385</v>
      </c>
      <c r="E935" s="3">
        <v>260</v>
      </c>
      <c r="F935" s="3">
        <v>2943</v>
      </c>
      <c r="G935" s="3">
        <v>3795</v>
      </c>
      <c r="H935" s="3">
        <v>899</v>
      </c>
      <c r="I935" s="9">
        <v>39874</v>
      </c>
      <c r="J935" s="47">
        <v>0.40663194444444445</v>
      </c>
    </row>
    <row r="936" spans="1:10" x14ac:dyDescent="0.25">
      <c r="A936" s="3" t="s">
        <v>46</v>
      </c>
      <c r="B936" s="45" t="s">
        <v>408</v>
      </c>
      <c r="C936" s="45" t="s">
        <v>409</v>
      </c>
      <c r="D936" s="46" t="s">
        <v>410</v>
      </c>
      <c r="E936" s="3">
        <v>1087</v>
      </c>
      <c r="F936" s="3">
        <v>2841</v>
      </c>
      <c r="G936" s="3">
        <v>4738</v>
      </c>
      <c r="H936" s="3">
        <v>1249</v>
      </c>
      <c r="I936" s="9">
        <v>40302</v>
      </c>
      <c r="J936" s="47">
        <v>0.55748842592592596</v>
      </c>
    </row>
    <row r="937" spans="1:10" x14ac:dyDescent="0.25">
      <c r="A937" s="3" t="s">
        <v>46</v>
      </c>
      <c r="B937" s="45" t="s">
        <v>411</v>
      </c>
      <c r="C937" s="45" t="s">
        <v>412</v>
      </c>
      <c r="D937" s="46" t="s">
        <v>413</v>
      </c>
      <c r="E937" s="3">
        <v>1324</v>
      </c>
      <c r="F937" s="3">
        <v>2829</v>
      </c>
      <c r="G937" s="3">
        <v>8217</v>
      </c>
      <c r="H937" s="3">
        <v>857</v>
      </c>
      <c r="I937" s="9">
        <v>41207</v>
      </c>
      <c r="J937" s="47">
        <v>0.59165509259259264</v>
      </c>
    </row>
    <row r="938" spans="1:10" x14ac:dyDescent="0.25">
      <c r="A938" s="3" t="s">
        <v>46</v>
      </c>
      <c r="B938" s="45" t="s">
        <v>420</v>
      </c>
      <c r="C938" s="45" t="s">
        <v>421</v>
      </c>
      <c r="D938" s="46" t="s">
        <v>422</v>
      </c>
      <c r="E938" s="3">
        <v>2579</v>
      </c>
      <c r="F938" s="3">
        <v>2769</v>
      </c>
      <c r="G938" s="3">
        <v>3055</v>
      </c>
      <c r="H938" s="3">
        <v>1291</v>
      </c>
      <c r="I938" s="9">
        <v>40289</v>
      </c>
      <c r="J938" s="47">
        <v>0.46458333333333335</v>
      </c>
    </row>
    <row r="939" spans="1:10" ht="30" x14ac:dyDescent="0.25">
      <c r="A939" s="3" t="s">
        <v>46</v>
      </c>
      <c r="B939" s="45" t="s">
        <v>423</v>
      </c>
      <c r="C939" s="45" t="s">
        <v>424</v>
      </c>
      <c r="D939" s="46" t="s">
        <v>425</v>
      </c>
      <c r="E939" s="3">
        <v>392</v>
      </c>
      <c r="F939" s="3">
        <v>2766</v>
      </c>
      <c r="G939" s="3">
        <v>8665</v>
      </c>
      <c r="H939" s="3">
        <v>435</v>
      </c>
      <c r="I939" s="9">
        <v>40865</v>
      </c>
      <c r="J939" s="47">
        <v>0.37381944444444443</v>
      </c>
    </row>
    <row r="940" spans="1:10" ht="30" x14ac:dyDescent="0.25">
      <c r="A940" s="3" t="s">
        <v>46</v>
      </c>
      <c r="B940" s="45" t="s">
        <v>432</v>
      </c>
      <c r="C940" s="45" t="s">
        <v>433</v>
      </c>
      <c r="D940" s="46" t="s">
        <v>434</v>
      </c>
      <c r="E940" s="3">
        <v>2198</v>
      </c>
      <c r="F940" s="3">
        <v>2741</v>
      </c>
      <c r="G940" s="3">
        <v>7116</v>
      </c>
      <c r="H940" s="3">
        <v>466</v>
      </c>
      <c r="I940" s="9">
        <v>40131</v>
      </c>
      <c r="J940" s="47">
        <v>0.98909722222222218</v>
      </c>
    </row>
    <row r="941" spans="1:10" x14ac:dyDescent="0.25">
      <c r="A941" s="3" t="s">
        <v>46</v>
      </c>
      <c r="B941" s="45" t="s">
        <v>429</v>
      </c>
      <c r="C941" s="45" t="s">
        <v>430</v>
      </c>
      <c r="D941" s="46" t="s">
        <v>431</v>
      </c>
      <c r="E941" s="3">
        <v>2507</v>
      </c>
      <c r="F941" s="3">
        <v>2741</v>
      </c>
      <c r="G941" s="3">
        <v>5552</v>
      </c>
      <c r="H941" s="3">
        <v>1474</v>
      </c>
      <c r="I941" s="9">
        <v>40001</v>
      </c>
      <c r="J941" s="47">
        <v>0.58060185185185187</v>
      </c>
    </row>
    <row r="942" spans="1:10" x14ac:dyDescent="0.25">
      <c r="A942" s="3" t="s">
        <v>46</v>
      </c>
      <c r="B942" s="45" t="s">
        <v>438</v>
      </c>
      <c r="C942" s="45" t="s">
        <v>439</v>
      </c>
      <c r="D942" s="46" t="s">
        <v>440</v>
      </c>
      <c r="E942" s="3">
        <v>2663</v>
      </c>
      <c r="F942" s="3">
        <v>2730</v>
      </c>
      <c r="G942" s="3">
        <v>9054</v>
      </c>
      <c r="H942" s="3">
        <v>7135</v>
      </c>
      <c r="I942" s="9">
        <v>40843</v>
      </c>
      <c r="J942" s="47">
        <v>0.53734953703703703</v>
      </c>
    </row>
    <row r="943" spans="1:10" ht="45" x14ac:dyDescent="0.25">
      <c r="A943" s="3" t="s">
        <v>46</v>
      </c>
      <c r="B943" s="45" t="s">
        <v>441</v>
      </c>
      <c r="C943" s="45" t="s">
        <v>442</v>
      </c>
      <c r="D943" s="46" t="s">
        <v>443</v>
      </c>
      <c r="E943" s="3">
        <v>2592</v>
      </c>
      <c r="F943" s="3">
        <v>2729</v>
      </c>
      <c r="G943" s="3">
        <v>7148</v>
      </c>
      <c r="H943" s="3">
        <v>1046</v>
      </c>
      <c r="I943" s="9">
        <v>41302</v>
      </c>
      <c r="J943" s="47">
        <v>0.46418981481481486</v>
      </c>
    </row>
    <row r="944" spans="1:10" ht="30" x14ac:dyDescent="0.25">
      <c r="A944" s="3" t="s">
        <v>46</v>
      </c>
      <c r="B944" s="45" t="s">
        <v>447</v>
      </c>
      <c r="C944" s="45" t="s">
        <v>448</v>
      </c>
      <c r="D944" s="46" t="s">
        <v>449</v>
      </c>
      <c r="E944" s="3">
        <v>2003</v>
      </c>
      <c r="F944" s="3">
        <v>2714</v>
      </c>
      <c r="G944" s="3">
        <v>9237</v>
      </c>
      <c r="H944" s="3">
        <v>3541</v>
      </c>
      <c r="I944" s="9">
        <v>41080</v>
      </c>
      <c r="J944" s="47">
        <v>0.44094907407407408</v>
      </c>
    </row>
    <row r="945" spans="1:10" ht="30" x14ac:dyDescent="0.25">
      <c r="A945" s="3" t="s">
        <v>46</v>
      </c>
      <c r="B945" s="45" t="s">
        <v>455</v>
      </c>
      <c r="C945" s="45" t="s">
        <v>456</v>
      </c>
      <c r="D945" s="46" t="s">
        <v>457</v>
      </c>
      <c r="E945" s="3">
        <v>1114</v>
      </c>
      <c r="F945" s="3">
        <v>2661</v>
      </c>
      <c r="G945" s="3">
        <v>10247</v>
      </c>
      <c r="H945" s="3">
        <v>672</v>
      </c>
      <c r="I945" s="9">
        <v>39953</v>
      </c>
      <c r="J945" s="47">
        <v>0.55129629629629628</v>
      </c>
    </row>
    <row r="946" spans="1:10" ht="30" x14ac:dyDescent="0.25">
      <c r="A946" s="3" t="s">
        <v>46</v>
      </c>
      <c r="B946" s="45" t="s">
        <v>461</v>
      </c>
      <c r="C946" s="45" t="s">
        <v>462</v>
      </c>
      <c r="D946" s="46" t="s">
        <v>463</v>
      </c>
      <c r="E946" s="3">
        <v>999</v>
      </c>
      <c r="F946" s="3">
        <v>2639</v>
      </c>
      <c r="G946" s="3">
        <v>4667</v>
      </c>
      <c r="H946" s="3">
        <v>1153</v>
      </c>
      <c r="I946" s="9">
        <v>41081</v>
      </c>
      <c r="J946" s="47">
        <v>0.61506944444444445</v>
      </c>
    </row>
    <row r="947" spans="1:10" ht="30" x14ac:dyDescent="0.25">
      <c r="A947" s="3" t="s">
        <v>46</v>
      </c>
      <c r="B947" s="45" t="s">
        <v>489</v>
      </c>
      <c r="C947" s="45" t="s">
        <v>490</v>
      </c>
      <c r="D947" s="46" t="s">
        <v>491</v>
      </c>
      <c r="E947" s="3">
        <v>812</v>
      </c>
      <c r="F947" s="3">
        <v>2510</v>
      </c>
      <c r="G947" s="3">
        <v>1994</v>
      </c>
      <c r="H947" s="3">
        <v>252</v>
      </c>
      <c r="I947" s="9">
        <v>40151</v>
      </c>
      <c r="J947" s="47">
        <v>0.49336805555555557</v>
      </c>
    </row>
    <row r="948" spans="1:10" ht="30" x14ac:dyDescent="0.25">
      <c r="A948" s="3" t="s">
        <v>46</v>
      </c>
      <c r="B948" s="45" t="s">
        <v>510</v>
      </c>
      <c r="C948" s="45" t="s">
        <v>511</v>
      </c>
      <c r="D948" s="46" t="s">
        <v>512</v>
      </c>
      <c r="E948" s="3">
        <v>2445</v>
      </c>
      <c r="F948" s="3">
        <v>2437</v>
      </c>
      <c r="G948" s="3">
        <v>12110</v>
      </c>
      <c r="H948" s="3">
        <v>301</v>
      </c>
      <c r="I948" s="9">
        <v>40974</v>
      </c>
      <c r="J948" s="47">
        <v>0.4664814814814815</v>
      </c>
    </row>
    <row r="949" spans="1:10" ht="45" x14ac:dyDescent="0.25">
      <c r="A949" s="3" t="s">
        <v>46</v>
      </c>
      <c r="B949" s="45" t="s">
        <v>516</v>
      </c>
      <c r="C949" s="45" t="s">
        <v>517</v>
      </c>
      <c r="D949" s="46" t="s">
        <v>518</v>
      </c>
      <c r="E949" s="3">
        <v>493</v>
      </c>
      <c r="F949" s="3">
        <v>2429</v>
      </c>
      <c r="G949" s="3">
        <v>3893</v>
      </c>
      <c r="H949" s="3">
        <v>525</v>
      </c>
      <c r="I949" s="9">
        <v>40056</v>
      </c>
      <c r="J949" s="47">
        <v>0.5846527777777778</v>
      </c>
    </row>
    <row r="950" spans="1:10" ht="30" x14ac:dyDescent="0.25">
      <c r="A950" s="3" t="s">
        <v>46</v>
      </c>
      <c r="B950" s="45" t="s">
        <v>525</v>
      </c>
      <c r="C950" s="45" t="s">
        <v>526</v>
      </c>
      <c r="D950" s="46" t="s">
        <v>527</v>
      </c>
      <c r="E950" s="3">
        <v>544</v>
      </c>
      <c r="F950" s="3">
        <v>2393</v>
      </c>
      <c r="G950" s="3">
        <v>6105</v>
      </c>
      <c r="H950" s="3">
        <v>268</v>
      </c>
      <c r="I950" s="9">
        <v>40632</v>
      </c>
      <c r="J950" s="47">
        <v>0.41871527777777778</v>
      </c>
    </row>
    <row r="951" spans="1:10" x14ac:dyDescent="0.25">
      <c r="A951" s="3" t="s">
        <v>46</v>
      </c>
      <c r="B951" s="45" t="s">
        <v>537</v>
      </c>
      <c r="C951" s="45" t="s">
        <v>538</v>
      </c>
      <c r="D951" s="46" t="s">
        <v>539</v>
      </c>
      <c r="E951" s="3">
        <v>2218</v>
      </c>
      <c r="F951" s="3">
        <v>2369</v>
      </c>
      <c r="G951" s="3">
        <v>5578</v>
      </c>
      <c r="H951" s="3">
        <v>1843</v>
      </c>
      <c r="I951" s="9">
        <v>41151</v>
      </c>
      <c r="J951" s="47">
        <v>0.62820601851851854</v>
      </c>
    </row>
    <row r="952" spans="1:10" ht="30" x14ac:dyDescent="0.25">
      <c r="A952" s="3" t="s">
        <v>46</v>
      </c>
      <c r="B952" s="45" t="s">
        <v>545</v>
      </c>
      <c r="C952" s="45" t="s">
        <v>546</v>
      </c>
      <c r="D952" s="46" t="s">
        <v>547</v>
      </c>
      <c r="E952" s="3">
        <v>1108</v>
      </c>
      <c r="F952" s="3">
        <v>2357</v>
      </c>
      <c r="G952" s="3">
        <v>15888</v>
      </c>
      <c r="H952" s="3">
        <v>1095</v>
      </c>
      <c r="I952" s="9">
        <v>40716</v>
      </c>
      <c r="J952" s="47">
        <v>0.67193287037037042</v>
      </c>
    </row>
    <row r="953" spans="1:10" x14ac:dyDescent="0.25">
      <c r="A953" s="3" t="s">
        <v>46</v>
      </c>
      <c r="B953" s="45" t="s">
        <v>559</v>
      </c>
      <c r="C953" s="45" t="s">
        <v>560</v>
      </c>
      <c r="D953" s="46" t="s">
        <v>561</v>
      </c>
      <c r="E953" s="3">
        <v>1730</v>
      </c>
      <c r="F953" s="3">
        <v>2319</v>
      </c>
      <c r="G953" s="3">
        <v>3912</v>
      </c>
      <c r="H953" s="3">
        <v>116</v>
      </c>
      <c r="I953" s="9">
        <v>40018</v>
      </c>
      <c r="J953" s="47">
        <v>0.52453703703703702</v>
      </c>
    </row>
    <row r="954" spans="1:10" ht="30" x14ac:dyDescent="0.25">
      <c r="A954" s="3" t="s">
        <v>46</v>
      </c>
      <c r="B954" s="45" t="s">
        <v>586</v>
      </c>
      <c r="C954" s="45" t="s">
        <v>587</v>
      </c>
      <c r="D954" s="46" t="s">
        <v>588</v>
      </c>
      <c r="E954" s="3">
        <v>1167</v>
      </c>
      <c r="F954" s="3">
        <v>2209</v>
      </c>
      <c r="G954" s="3">
        <v>3548</v>
      </c>
      <c r="H954" s="3">
        <v>415</v>
      </c>
      <c r="I954" s="9">
        <v>40780</v>
      </c>
      <c r="J954" s="47">
        <v>0.61928240740740736</v>
      </c>
    </row>
    <row r="955" spans="1:10" x14ac:dyDescent="0.25">
      <c r="A955" s="3" t="s">
        <v>46</v>
      </c>
      <c r="B955" s="45" t="s">
        <v>612</v>
      </c>
      <c r="C955" s="45" t="s">
        <v>613</v>
      </c>
      <c r="D955" s="46" t="s">
        <v>614</v>
      </c>
      <c r="E955" s="3">
        <v>590</v>
      </c>
      <c r="F955" s="3">
        <v>2173</v>
      </c>
      <c r="G955" s="3">
        <v>3130</v>
      </c>
      <c r="H955" s="3">
        <v>773</v>
      </c>
      <c r="I955" s="9">
        <v>40001</v>
      </c>
      <c r="J955" s="47">
        <v>0.81702546296296286</v>
      </c>
    </row>
    <row r="956" spans="1:10" ht="30" x14ac:dyDescent="0.25">
      <c r="A956" s="3" t="s">
        <v>46</v>
      </c>
      <c r="B956" s="45" t="s">
        <v>615</v>
      </c>
      <c r="C956" s="45" t="s">
        <v>616</v>
      </c>
      <c r="D956" s="46" t="s">
        <v>617</v>
      </c>
      <c r="E956" s="3">
        <v>1399</v>
      </c>
      <c r="F956" s="3">
        <v>2163</v>
      </c>
      <c r="G956" s="3">
        <v>7435</v>
      </c>
      <c r="H956" s="3">
        <v>1166</v>
      </c>
      <c r="I956" s="9">
        <v>39962</v>
      </c>
      <c r="J956" s="47">
        <v>0.31887731481481479</v>
      </c>
    </row>
    <row r="957" spans="1:10" x14ac:dyDescent="0.25">
      <c r="A957" s="3" t="s">
        <v>46</v>
      </c>
      <c r="B957" s="45" t="s">
        <v>618</v>
      </c>
      <c r="D957" s="46" t="s">
        <v>619</v>
      </c>
      <c r="E957" s="3">
        <v>1048</v>
      </c>
      <c r="F957" s="3">
        <v>2141</v>
      </c>
      <c r="G957" s="3">
        <v>4290</v>
      </c>
      <c r="H957" s="3">
        <v>466</v>
      </c>
      <c r="I957" s="9">
        <v>39848</v>
      </c>
      <c r="J957" s="47">
        <v>0.68478009259259265</v>
      </c>
    </row>
    <row r="958" spans="1:10" ht="30" x14ac:dyDescent="0.25">
      <c r="A958" s="3" t="s">
        <v>46</v>
      </c>
      <c r="B958" s="45" t="s">
        <v>626</v>
      </c>
      <c r="C958" s="45" t="s">
        <v>627</v>
      </c>
      <c r="D958" s="46" t="s">
        <v>628</v>
      </c>
      <c r="E958" s="3">
        <v>1257</v>
      </c>
      <c r="F958" s="3">
        <v>2120</v>
      </c>
      <c r="G958" s="3">
        <v>6123</v>
      </c>
      <c r="H958" s="3">
        <v>763</v>
      </c>
      <c r="I958" s="9">
        <v>39923</v>
      </c>
      <c r="J958" s="47">
        <v>0.38355324074074071</v>
      </c>
    </row>
    <row r="959" spans="1:10" ht="30" x14ac:dyDescent="0.25">
      <c r="A959" s="3" t="s">
        <v>46</v>
      </c>
      <c r="B959" s="45" t="s">
        <v>635</v>
      </c>
      <c r="C959" s="45" t="s">
        <v>636</v>
      </c>
      <c r="D959" s="46" t="s">
        <v>637</v>
      </c>
      <c r="E959" s="3">
        <v>2478</v>
      </c>
      <c r="F959" s="3">
        <v>2103</v>
      </c>
      <c r="G959" s="3">
        <v>2132</v>
      </c>
      <c r="H959" s="3">
        <v>498</v>
      </c>
      <c r="I959" s="9">
        <v>40246</v>
      </c>
      <c r="J959" s="47">
        <v>0.71299768518518514</v>
      </c>
    </row>
    <row r="960" spans="1:10" ht="30" x14ac:dyDescent="0.25">
      <c r="A960" s="3" t="s">
        <v>46</v>
      </c>
      <c r="B960" s="45" t="s">
        <v>654</v>
      </c>
      <c r="C960" s="45" t="s">
        <v>655</v>
      </c>
      <c r="D960" s="46" t="s">
        <v>656</v>
      </c>
      <c r="E960" s="3">
        <v>318</v>
      </c>
      <c r="F960" s="3">
        <v>2020</v>
      </c>
      <c r="G960" s="3">
        <v>9043</v>
      </c>
      <c r="H960" s="3">
        <v>1</v>
      </c>
      <c r="I960" s="9">
        <v>40471</v>
      </c>
      <c r="J960" s="47">
        <v>0.65310185185185188</v>
      </c>
    </row>
    <row r="961" spans="1:10" ht="30" x14ac:dyDescent="0.25">
      <c r="A961" s="3" t="s">
        <v>46</v>
      </c>
      <c r="B961" s="45" t="s">
        <v>679</v>
      </c>
      <c r="C961" s="45" t="s">
        <v>680</v>
      </c>
      <c r="D961" s="46" t="s">
        <v>681</v>
      </c>
      <c r="E961" s="3">
        <v>1402</v>
      </c>
      <c r="F961" s="3">
        <v>1942</v>
      </c>
      <c r="G961" s="3">
        <v>6032</v>
      </c>
      <c r="H961" s="3">
        <v>2944</v>
      </c>
      <c r="I961" s="9">
        <v>40758</v>
      </c>
      <c r="J961" s="47">
        <v>0.57414351851851853</v>
      </c>
    </row>
    <row r="962" spans="1:10" ht="30" x14ac:dyDescent="0.25">
      <c r="A962" s="3" t="s">
        <v>46</v>
      </c>
      <c r="B962" s="45" t="s">
        <v>690</v>
      </c>
      <c r="C962" s="45" t="s">
        <v>691</v>
      </c>
      <c r="D962" s="46" t="s">
        <v>692</v>
      </c>
      <c r="E962" s="3">
        <v>547</v>
      </c>
      <c r="F962" s="3">
        <v>1911</v>
      </c>
      <c r="G962" s="3">
        <v>4786</v>
      </c>
      <c r="H962" s="3">
        <v>1645</v>
      </c>
      <c r="I962" s="9">
        <v>41184</v>
      </c>
      <c r="J962" s="47">
        <v>0.46446759259259257</v>
      </c>
    </row>
    <row r="963" spans="1:10" ht="30" x14ac:dyDescent="0.25">
      <c r="A963" s="3" t="s">
        <v>46</v>
      </c>
      <c r="B963" s="45" t="s">
        <v>707</v>
      </c>
      <c r="C963" s="45" t="s">
        <v>708</v>
      </c>
      <c r="D963" s="46" t="s">
        <v>709</v>
      </c>
      <c r="E963" s="3">
        <v>86</v>
      </c>
      <c r="F963" s="3">
        <v>1842</v>
      </c>
      <c r="G963" s="3">
        <v>1311</v>
      </c>
      <c r="H963" s="3">
        <v>39</v>
      </c>
      <c r="I963" s="9">
        <v>40366</v>
      </c>
      <c r="J963" s="47">
        <v>0.43518518518518517</v>
      </c>
    </row>
    <row r="964" spans="1:10" ht="30" x14ac:dyDescent="0.25">
      <c r="A964" s="3" t="s">
        <v>46</v>
      </c>
      <c r="B964" s="45" t="s">
        <v>732</v>
      </c>
      <c r="C964" s="45" t="s">
        <v>733</v>
      </c>
      <c r="D964" s="46" t="s">
        <v>734</v>
      </c>
      <c r="E964" s="3">
        <v>886</v>
      </c>
      <c r="F964" s="3">
        <v>1781</v>
      </c>
      <c r="G964" s="3">
        <v>5233</v>
      </c>
      <c r="H964" s="3">
        <v>439</v>
      </c>
      <c r="I964" s="9">
        <v>39867</v>
      </c>
      <c r="J964" s="47">
        <v>0.77886574074074078</v>
      </c>
    </row>
    <row r="965" spans="1:10" ht="30" x14ac:dyDescent="0.25">
      <c r="A965" s="3" t="s">
        <v>46</v>
      </c>
      <c r="B965" s="45" t="s">
        <v>748</v>
      </c>
      <c r="C965" s="45" t="s">
        <v>749</v>
      </c>
      <c r="D965" s="46" t="s">
        <v>750</v>
      </c>
      <c r="E965" s="3">
        <v>1176</v>
      </c>
      <c r="F965" s="3">
        <v>1720</v>
      </c>
      <c r="G965" s="3">
        <v>2667</v>
      </c>
      <c r="H965" s="3">
        <v>515</v>
      </c>
      <c r="I965" s="9">
        <v>40696</v>
      </c>
      <c r="J965" s="47">
        <v>0.51734953703703701</v>
      </c>
    </row>
    <row r="966" spans="1:10" ht="30" x14ac:dyDescent="0.25">
      <c r="A966" s="3" t="s">
        <v>46</v>
      </c>
      <c r="B966" s="45" t="s">
        <v>772</v>
      </c>
      <c r="C966" s="45" t="s">
        <v>773</v>
      </c>
      <c r="D966" s="46" t="s">
        <v>774</v>
      </c>
      <c r="E966" s="3">
        <v>842</v>
      </c>
      <c r="F966" s="3">
        <v>1671</v>
      </c>
      <c r="G966" s="3">
        <v>3138</v>
      </c>
      <c r="H966" s="3">
        <v>276</v>
      </c>
      <c r="I966" s="9">
        <v>41417</v>
      </c>
      <c r="J966" s="47">
        <v>0.61405092592592592</v>
      </c>
    </row>
    <row r="967" spans="1:10" ht="30" x14ac:dyDescent="0.25">
      <c r="A967" s="3" t="s">
        <v>46</v>
      </c>
      <c r="B967" s="45" t="s">
        <v>775</v>
      </c>
      <c r="C967" s="45" t="s">
        <v>776</v>
      </c>
      <c r="D967" s="46" t="s">
        <v>777</v>
      </c>
      <c r="E967" s="3">
        <v>316</v>
      </c>
      <c r="F967" s="3">
        <v>1669</v>
      </c>
      <c r="G967" s="3">
        <v>3803</v>
      </c>
      <c r="H967" s="3">
        <v>449</v>
      </c>
      <c r="I967" s="9">
        <v>40087</v>
      </c>
      <c r="J967" s="47">
        <v>0.62171296296296297</v>
      </c>
    </row>
    <row r="968" spans="1:10" x14ac:dyDescent="0.25">
      <c r="A968" s="3" t="s">
        <v>46</v>
      </c>
      <c r="B968" s="45" t="s">
        <v>781</v>
      </c>
      <c r="C968" s="45" t="s">
        <v>782</v>
      </c>
      <c r="D968" s="46" t="s">
        <v>783</v>
      </c>
      <c r="E968" s="3">
        <v>870</v>
      </c>
      <c r="F968" s="3">
        <v>1660</v>
      </c>
      <c r="G968" s="3">
        <v>4970</v>
      </c>
      <c r="H968" s="3">
        <v>1004</v>
      </c>
      <c r="I968" s="9">
        <v>41683</v>
      </c>
      <c r="J968" s="47">
        <v>0.41914351851851855</v>
      </c>
    </row>
    <row r="969" spans="1:10" ht="30" x14ac:dyDescent="0.25">
      <c r="A969" s="3" t="s">
        <v>46</v>
      </c>
      <c r="B969" s="45" t="s">
        <v>784</v>
      </c>
      <c r="C969" s="45" t="s">
        <v>785</v>
      </c>
      <c r="D969" s="46" t="s">
        <v>786</v>
      </c>
      <c r="E969" s="3">
        <v>817</v>
      </c>
      <c r="F969" s="3">
        <v>1650</v>
      </c>
      <c r="G969" s="3">
        <v>1919</v>
      </c>
      <c r="H969" s="3">
        <v>1044</v>
      </c>
      <c r="I969" s="9">
        <v>41677</v>
      </c>
      <c r="J969" s="47">
        <v>0.68244212962962969</v>
      </c>
    </row>
    <row r="970" spans="1:10" ht="30" x14ac:dyDescent="0.25">
      <c r="A970" s="3" t="s">
        <v>46</v>
      </c>
      <c r="B970" s="45" t="s">
        <v>824</v>
      </c>
      <c r="C970" s="45" t="s">
        <v>825</v>
      </c>
      <c r="D970" s="46" t="s">
        <v>826</v>
      </c>
      <c r="E970" s="3">
        <v>1570</v>
      </c>
      <c r="F970" s="3">
        <v>1560</v>
      </c>
      <c r="G970" s="3">
        <v>1865</v>
      </c>
      <c r="H970" s="3">
        <v>694</v>
      </c>
      <c r="I970" s="9">
        <v>41794</v>
      </c>
      <c r="J970" s="47">
        <v>0.91450231481481481</v>
      </c>
    </row>
    <row r="971" spans="1:10" ht="30" x14ac:dyDescent="0.25">
      <c r="A971" s="3" t="s">
        <v>46</v>
      </c>
      <c r="B971" s="45" t="s">
        <v>832</v>
      </c>
      <c r="D971" s="46" t="s">
        <v>833</v>
      </c>
      <c r="E971" s="3">
        <v>500</v>
      </c>
      <c r="F971" s="3">
        <v>1545</v>
      </c>
      <c r="G971" s="3">
        <v>2426</v>
      </c>
      <c r="H971" s="3">
        <v>633</v>
      </c>
      <c r="I971" s="9">
        <v>40567</v>
      </c>
      <c r="J971" s="47">
        <v>0.5877430555555555</v>
      </c>
    </row>
    <row r="972" spans="1:10" x14ac:dyDescent="0.25">
      <c r="A972" s="3" t="s">
        <v>46</v>
      </c>
      <c r="B972" s="45" t="s">
        <v>850</v>
      </c>
      <c r="C972" s="45" t="s">
        <v>851</v>
      </c>
      <c r="D972" s="46" t="s">
        <v>852</v>
      </c>
      <c r="E972" s="3">
        <v>1022</v>
      </c>
      <c r="F972" s="3">
        <v>1505</v>
      </c>
      <c r="G972" s="3">
        <v>8372</v>
      </c>
      <c r="H972" s="3">
        <v>263</v>
      </c>
      <c r="I972" s="9">
        <v>40529</v>
      </c>
      <c r="J972" s="47">
        <v>0.49530092592592595</v>
      </c>
    </row>
    <row r="973" spans="1:10" x14ac:dyDescent="0.25">
      <c r="A973" s="3" t="s">
        <v>46</v>
      </c>
      <c r="B973" s="45" t="s">
        <v>862</v>
      </c>
      <c r="C973" s="45" t="s">
        <v>863</v>
      </c>
      <c r="D973" s="46" t="s">
        <v>864</v>
      </c>
      <c r="E973" s="3">
        <v>492</v>
      </c>
      <c r="F973" s="3">
        <v>1475</v>
      </c>
      <c r="G973" s="3">
        <v>4075</v>
      </c>
      <c r="H973" s="3">
        <v>1300</v>
      </c>
      <c r="I973" s="9">
        <v>41687</v>
      </c>
      <c r="J973" s="47">
        <v>0.44928240740740738</v>
      </c>
    </row>
    <row r="974" spans="1:10" ht="30" x14ac:dyDescent="0.25">
      <c r="A974" s="3" t="s">
        <v>46</v>
      </c>
      <c r="B974" s="45" t="s">
        <v>879</v>
      </c>
      <c r="C974" s="45" t="s">
        <v>880</v>
      </c>
      <c r="D974" s="46" t="s">
        <v>881</v>
      </c>
      <c r="E974" s="3">
        <v>591</v>
      </c>
      <c r="F974" s="3">
        <v>1456</v>
      </c>
      <c r="G974" s="3">
        <v>2088</v>
      </c>
      <c r="H974" s="3">
        <v>347</v>
      </c>
      <c r="I974" s="9">
        <v>41030</v>
      </c>
      <c r="J974" s="47">
        <v>0.6270486111111111</v>
      </c>
    </row>
    <row r="975" spans="1:10" x14ac:dyDescent="0.25">
      <c r="A975" s="3" t="s">
        <v>46</v>
      </c>
      <c r="B975" s="45" t="s">
        <v>882</v>
      </c>
      <c r="C975" s="45" t="s">
        <v>883</v>
      </c>
      <c r="D975" s="46" t="s">
        <v>884</v>
      </c>
      <c r="E975" s="3">
        <v>164</v>
      </c>
      <c r="F975" s="3">
        <v>1455</v>
      </c>
      <c r="G975" s="3">
        <v>9631</v>
      </c>
      <c r="H975" s="3">
        <v>772</v>
      </c>
      <c r="I975" s="9">
        <v>41131</v>
      </c>
      <c r="J975" s="47">
        <v>0.53976851851851848</v>
      </c>
    </row>
    <row r="976" spans="1:10" ht="30" x14ac:dyDescent="0.25">
      <c r="A976" s="3" t="s">
        <v>46</v>
      </c>
      <c r="B976" s="45" t="s">
        <v>919</v>
      </c>
      <c r="C976" s="45" t="s">
        <v>920</v>
      </c>
      <c r="D976" s="46" t="s">
        <v>921</v>
      </c>
      <c r="E976" s="3">
        <v>271</v>
      </c>
      <c r="F976" s="3">
        <v>1378</v>
      </c>
      <c r="G976" s="3">
        <v>2007</v>
      </c>
      <c r="H976" s="3">
        <v>296</v>
      </c>
      <c r="I976" s="9">
        <v>41239</v>
      </c>
      <c r="J976" s="47">
        <v>0.44362268518518522</v>
      </c>
    </row>
    <row r="977" spans="1:10" x14ac:dyDescent="0.25">
      <c r="A977" s="3" t="s">
        <v>46</v>
      </c>
      <c r="B977" s="45" t="s">
        <v>922</v>
      </c>
      <c r="C977" s="45" t="s">
        <v>923</v>
      </c>
      <c r="D977" s="46" t="s">
        <v>924</v>
      </c>
      <c r="E977" s="3">
        <v>214</v>
      </c>
      <c r="F977" s="3">
        <v>1375</v>
      </c>
      <c r="G977" s="3">
        <v>3721</v>
      </c>
      <c r="H977" s="3">
        <v>276</v>
      </c>
      <c r="I977" s="9">
        <v>40392</v>
      </c>
      <c r="J977" s="47">
        <v>0.37288194444444445</v>
      </c>
    </row>
    <row r="978" spans="1:10" ht="30" x14ac:dyDescent="0.25">
      <c r="A978" s="3" t="s">
        <v>46</v>
      </c>
      <c r="B978" s="45" t="s">
        <v>969</v>
      </c>
      <c r="C978" s="45" t="s">
        <v>970</v>
      </c>
      <c r="D978" s="46" t="s">
        <v>971</v>
      </c>
      <c r="E978" s="3">
        <v>504</v>
      </c>
      <c r="F978" s="3">
        <v>1289</v>
      </c>
      <c r="G978" s="3">
        <v>4526</v>
      </c>
      <c r="H978" s="3">
        <v>568</v>
      </c>
      <c r="I978" s="9">
        <v>41381</v>
      </c>
      <c r="J978" s="47">
        <v>0.56289351851851854</v>
      </c>
    </row>
    <row r="979" spans="1:10" ht="30" x14ac:dyDescent="0.25">
      <c r="A979" s="3" t="s">
        <v>46</v>
      </c>
      <c r="B979" s="45" t="s">
        <v>972</v>
      </c>
      <c r="C979" s="45" t="s">
        <v>973</v>
      </c>
      <c r="D979" s="46" t="s">
        <v>974</v>
      </c>
      <c r="E979" s="3">
        <v>789</v>
      </c>
      <c r="F979" s="3">
        <v>1284</v>
      </c>
      <c r="G979" s="3">
        <v>1625</v>
      </c>
      <c r="H979" s="3">
        <v>224</v>
      </c>
      <c r="I979" s="9">
        <v>40406</v>
      </c>
      <c r="J979" s="47">
        <v>0.4644328703703704</v>
      </c>
    </row>
    <row r="980" spans="1:10" ht="30" x14ac:dyDescent="0.25">
      <c r="A980" s="3" t="s">
        <v>46</v>
      </c>
      <c r="B980" s="45" t="s">
        <v>975</v>
      </c>
      <c r="C980" s="45" t="s">
        <v>976</v>
      </c>
      <c r="D980" s="46" t="s">
        <v>977</v>
      </c>
      <c r="E980" s="3">
        <v>298</v>
      </c>
      <c r="F980" s="3">
        <v>1283</v>
      </c>
      <c r="G980" s="3">
        <v>3253</v>
      </c>
      <c r="H980" s="3">
        <v>317</v>
      </c>
      <c r="I980" s="9">
        <v>39960</v>
      </c>
      <c r="J980" s="47">
        <v>0.34491898148148148</v>
      </c>
    </row>
    <row r="981" spans="1:10" x14ac:dyDescent="0.25">
      <c r="A981" s="3" t="s">
        <v>46</v>
      </c>
      <c r="B981" s="45" t="s">
        <v>984</v>
      </c>
      <c r="C981" s="45" t="s">
        <v>985</v>
      </c>
      <c r="D981" s="46" t="s">
        <v>986</v>
      </c>
      <c r="E981" s="3">
        <v>723</v>
      </c>
      <c r="F981" s="3">
        <v>1274</v>
      </c>
      <c r="G981" s="3">
        <v>1965</v>
      </c>
      <c r="H981" s="3">
        <v>333</v>
      </c>
      <c r="I981" s="9">
        <v>41687</v>
      </c>
      <c r="J981" s="47">
        <v>0.53840277777777779</v>
      </c>
    </row>
    <row r="982" spans="1:10" x14ac:dyDescent="0.25">
      <c r="A982" s="3" t="s">
        <v>46</v>
      </c>
      <c r="B982" s="45" t="s">
        <v>665</v>
      </c>
      <c r="C982" s="45" t="s">
        <v>1005</v>
      </c>
      <c r="D982" s="46" t="s">
        <v>1006</v>
      </c>
      <c r="E982" s="3">
        <v>462</v>
      </c>
      <c r="F982" s="3">
        <v>1249</v>
      </c>
      <c r="G982" s="3">
        <v>2192</v>
      </c>
      <c r="H982" s="3">
        <v>715</v>
      </c>
      <c r="I982" s="9">
        <v>41213</v>
      </c>
      <c r="J982" s="47">
        <v>0.32034722222222223</v>
      </c>
    </row>
    <row r="983" spans="1:10" ht="30" x14ac:dyDescent="0.25">
      <c r="A983" s="3" t="s">
        <v>46</v>
      </c>
      <c r="B983" s="45" t="s">
        <v>1007</v>
      </c>
      <c r="C983" s="45" t="s">
        <v>1008</v>
      </c>
      <c r="D983" s="46" t="s">
        <v>1009</v>
      </c>
      <c r="E983" s="3">
        <v>253</v>
      </c>
      <c r="F983" s="3">
        <v>1247</v>
      </c>
      <c r="G983" s="3">
        <v>3576</v>
      </c>
      <c r="H983" s="3">
        <v>1280</v>
      </c>
      <c r="I983" s="9">
        <v>40841</v>
      </c>
      <c r="J983" s="47">
        <v>0.59989583333333341</v>
      </c>
    </row>
    <row r="984" spans="1:10" ht="30" x14ac:dyDescent="0.25">
      <c r="A984" s="3" t="s">
        <v>46</v>
      </c>
      <c r="B984" s="45" t="s">
        <v>1015</v>
      </c>
      <c r="C984" s="45" t="s">
        <v>1016</v>
      </c>
      <c r="D984" s="46" t="s">
        <v>1017</v>
      </c>
      <c r="E984" s="3">
        <v>439</v>
      </c>
      <c r="F984" s="3">
        <v>1227</v>
      </c>
      <c r="G984" s="3">
        <v>3280</v>
      </c>
      <c r="H984" s="3">
        <v>1379</v>
      </c>
      <c r="I984" s="9">
        <v>40857</v>
      </c>
      <c r="J984" s="47">
        <v>0.6540393518518518</v>
      </c>
    </row>
    <row r="985" spans="1:10" ht="30" x14ac:dyDescent="0.25">
      <c r="A985" s="3" t="s">
        <v>46</v>
      </c>
      <c r="B985" s="45" t="s">
        <v>1018</v>
      </c>
      <c r="C985" s="45" t="s">
        <v>1019</v>
      </c>
      <c r="D985" s="46" t="s">
        <v>1020</v>
      </c>
      <c r="E985" s="3">
        <v>760</v>
      </c>
      <c r="F985" s="3">
        <v>1225</v>
      </c>
      <c r="G985" s="3">
        <v>4992</v>
      </c>
      <c r="H985" s="3">
        <v>637</v>
      </c>
      <c r="I985" s="9">
        <v>41155</v>
      </c>
      <c r="J985" s="47">
        <v>0.46365740740740741</v>
      </c>
    </row>
    <row r="986" spans="1:10" ht="30" x14ac:dyDescent="0.25">
      <c r="A986" s="3" t="s">
        <v>46</v>
      </c>
      <c r="B986" s="45" t="s">
        <v>1077</v>
      </c>
      <c r="C986" s="45" t="s">
        <v>1078</v>
      </c>
      <c r="D986" s="46" t="s">
        <v>1079</v>
      </c>
      <c r="E986" s="3">
        <v>167</v>
      </c>
      <c r="F986" s="3">
        <v>1143</v>
      </c>
      <c r="G986" s="3">
        <v>2983</v>
      </c>
      <c r="H986" s="3">
        <v>28</v>
      </c>
      <c r="I986" s="9">
        <v>41002</v>
      </c>
      <c r="J986" s="47">
        <v>0.63530092592592591</v>
      </c>
    </row>
    <row r="987" spans="1:10" x14ac:dyDescent="0.25">
      <c r="A987" s="3" t="s">
        <v>46</v>
      </c>
      <c r="B987" s="45" t="s">
        <v>1080</v>
      </c>
      <c r="C987" s="45" t="s">
        <v>1081</v>
      </c>
      <c r="D987" s="46" t="s">
        <v>1082</v>
      </c>
      <c r="E987" s="3">
        <v>1293</v>
      </c>
      <c r="F987" s="3">
        <v>1141</v>
      </c>
      <c r="G987" s="3">
        <v>2064</v>
      </c>
      <c r="H987" s="3">
        <v>4</v>
      </c>
      <c r="I987" s="9">
        <v>41193</v>
      </c>
      <c r="J987" s="47">
        <v>0.41797453703703707</v>
      </c>
    </row>
    <row r="988" spans="1:10" ht="30" x14ac:dyDescent="0.25">
      <c r="A988" s="3" t="s">
        <v>46</v>
      </c>
      <c r="B988" s="45" t="s">
        <v>1086</v>
      </c>
      <c r="C988" s="45" t="s">
        <v>1087</v>
      </c>
      <c r="D988" s="46" t="s">
        <v>1088</v>
      </c>
      <c r="E988" s="3">
        <v>246</v>
      </c>
      <c r="F988" s="3">
        <v>1123</v>
      </c>
      <c r="G988" s="3">
        <v>774</v>
      </c>
      <c r="H988" s="3">
        <v>73</v>
      </c>
      <c r="I988" s="9">
        <v>40637</v>
      </c>
      <c r="J988" s="47">
        <v>0.51986111111111111</v>
      </c>
    </row>
    <row r="989" spans="1:10" ht="30" x14ac:dyDescent="0.25">
      <c r="A989" s="3" t="s">
        <v>46</v>
      </c>
      <c r="B989" s="45" t="s">
        <v>1092</v>
      </c>
      <c r="D989" s="46" t="s">
        <v>1093</v>
      </c>
      <c r="E989" s="3">
        <v>793</v>
      </c>
      <c r="F989" s="3">
        <v>1119</v>
      </c>
      <c r="G989" s="3">
        <v>2681</v>
      </c>
      <c r="H989" s="3">
        <v>200</v>
      </c>
      <c r="I989" s="9">
        <v>41865</v>
      </c>
      <c r="J989" s="47">
        <v>0.59796296296296292</v>
      </c>
    </row>
    <row r="990" spans="1:10" ht="30" x14ac:dyDescent="0.25">
      <c r="A990" s="3" t="s">
        <v>46</v>
      </c>
      <c r="B990" s="45" t="s">
        <v>1094</v>
      </c>
      <c r="C990" s="45" t="s">
        <v>1095</v>
      </c>
      <c r="D990" s="46" t="s">
        <v>1096</v>
      </c>
      <c r="E990" s="3">
        <v>459</v>
      </c>
      <c r="F990" s="3">
        <v>1116</v>
      </c>
      <c r="G990" s="3">
        <v>644</v>
      </c>
      <c r="H990" s="3">
        <v>61</v>
      </c>
      <c r="I990" s="9">
        <v>41225</v>
      </c>
      <c r="J990" s="47">
        <v>0.51861111111111113</v>
      </c>
    </row>
    <row r="991" spans="1:10" ht="30" x14ac:dyDescent="0.25">
      <c r="A991" s="3" t="s">
        <v>46</v>
      </c>
      <c r="B991" s="45" t="s">
        <v>1134</v>
      </c>
      <c r="C991" s="45" t="s">
        <v>1135</v>
      </c>
      <c r="D991" s="46" t="s">
        <v>1136</v>
      </c>
      <c r="E991" s="3">
        <v>268</v>
      </c>
      <c r="F991" s="3">
        <v>1078</v>
      </c>
      <c r="G991" s="3">
        <v>4457</v>
      </c>
      <c r="H991" s="3">
        <v>567</v>
      </c>
      <c r="I991" s="9">
        <v>41480</v>
      </c>
      <c r="J991" s="47">
        <v>0.36000000000000004</v>
      </c>
    </row>
    <row r="992" spans="1:10" ht="30" x14ac:dyDescent="0.25">
      <c r="A992" s="3" t="s">
        <v>46</v>
      </c>
      <c r="B992" s="45" t="s">
        <v>1137</v>
      </c>
      <c r="C992" s="45" t="s">
        <v>1138</v>
      </c>
      <c r="D992" s="46" t="s">
        <v>1139</v>
      </c>
      <c r="E992" s="3">
        <v>620</v>
      </c>
      <c r="F992" s="3">
        <v>1077</v>
      </c>
      <c r="G992" s="3">
        <v>1551</v>
      </c>
      <c r="H992" s="3">
        <v>161</v>
      </c>
      <c r="I992" s="9">
        <v>40763</v>
      </c>
      <c r="J992" s="47">
        <v>0.64697916666666666</v>
      </c>
    </row>
    <row r="993" spans="1:10" ht="30" x14ac:dyDescent="0.25">
      <c r="A993" s="3" t="s">
        <v>46</v>
      </c>
      <c r="B993" s="45" t="s">
        <v>1157</v>
      </c>
      <c r="C993" s="45" t="s">
        <v>1158</v>
      </c>
      <c r="D993" s="46" t="s">
        <v>1159</v>
      </c>
      <c r="E993" s="3">
        <v>701</v>
      </c>
      <c r="F993" s="3">
        <v>1062</v>
      </c>
      <c r="G993" s="3">
        <v>1533</v>
      </c>
      <c r="H993" s="3">
        <v>400</v>
      </c>
      <c r="I993" s="9">
        <v>40765</v>
      </c>
      <c r="J993" s="47">
        <v>0.36082175925925924</v>
      </c>
    </row>
    <row r="994" spans="1:10" x14ac:dyDescent="0.25">
      <c r="A994" s="3" t="s">
        <v>46</v>
      </c>
      <c r="B994" s="45" t="s">
        <v>1165</v>
      </c>
      <c r="C994" s="45" t="s">
        <v>1166</v>
      </c>
      <c r="D994" s="46" t="s">
        <v>1167</v>
      </c>
      <c r="E994" s="3">
        <v>693</v>
      </c>
      <c r="F994" s="3">
        <v>1052</v>
      </c>
      <c r="G994" s="3">
        <v>3458</v>
      </c>
      <c r="H994" s="3">
        <v>140</v>
      </c>
      <c r="I994" s="9">
        <v>40386</v>
      </c>
      <c r="J994" s="47">
        <v>0.47959490740740746</v>
      </c>
    </row>
    <row r="995" spans="1:10" ht="30" x14ac:dyDescent="0.25">
      <c r="A995" s="3" t="s">
        <v>46</v>
      </c>
      <c r="B995" s="45" t="s">
        <v>1176</v>
      </c>
      <c r="C995" s="45" t="s">
        <v>1177</v>
      </c>
      <c r="D995" s="46" t="s">
        <v>1178</v>
      </c>
      <c r="E995" s="3">
        <v>481</v>
      </c>
      <c r="F995" s="3">
        <v>1040</v>
      </c>
      <c r="G995" s="3">
        <v>797</v>
      </c>
      <c r="H995" s="3">
        <v>7</v>
      </c>
      <c r="I995" s="9">
        <v>40637</v>
      </c>
      <c r="J995" s="47">
        <v>0.67519675925925926</v>
      </c>
    </row>
    <row r="996" spans="1:10" ht="30" x14ac:dyDescent="0.25">
      <c r="A996" s="3" t="s">
        <v>46</v>
      </c>
      <c r="B996" s="45" t="s">
        <v>1182</v>
      </c>
      <c r="C996" s="45" t="s">
        <v>1183</v>
      </c>
      <c r="D996" s="46" t="s">
        <v>1184</v>
      </c>
      <c r="E996" s="3">
        <v>323</v>
      </c>
      <c r="F996" s="3">
        <v>1034</v>
      </c>
      <c r="G996" s="3">
        <v>5890</v>
      </c>
      <c r="H996" s="3">
        <v>1078</v>
      </c>
      <c r="I996" s="9">
        <v>41283</v>
      </c>
      <c r="J996" s="47">
        <v>0.4670023148148148</v>
      </c>
    </row>
    <row r="997" spans="1:10" ht="30" x14ac:dyDescent="0.25">
      <c r="A997" s="3" t="s">
        <v>46</v>
      </c>
      <c r="B997" s="45" t="s">
        <v>1185</v>
      </c>
      <c r="C997" s="45" t="s">
        <v>1186</v>
      </c>
      <c r="D997" s="46" t="s">
        <v>1187</v>
      </c>
      <c r="E997" s="3">
        <v>801</v>
      </c>
      <c r="F997" s="3">
        <v>1029</v>
      </c>
      <c r="G997" s="3">
        <v>5310</v>
      </c>
      <c r="H997" s="3">
        <v>794</v>
      </c>
      <c r="I997" s="9">
        <v>41359</v>
      </c>
      <c r="J997" s="47">
        <v>0.41278935185185189</v>
      </c>
    </row>
    <row r="998" spans="1:10" x14ac:dyDescent="0.25">
      <c r="A998" s="3" t="s">
        <v>46</v>
      </c>
      <c r="B998" s="45" t="s">
        <v>1194</v>
      </c>
      <c r="C998" s="45" t="s">
        <v>1195</v>
      </c>
      <c r="D998" s="46" t="s">
        <v>1196</v>
      </c>
      <c r="E998" s="3">
        <v>1081</v>
      </c>
      <c r="F998" s="3">
        <v>1011</v>
      </c>
      <c r="G998" s="3">
        <v>1008</v>
      </c>
      <c r="H998" s="3">
        <v>511</v>
      </c>
      <c r="I998" s="9">
        <v>41718</v>
      </c>
      <c r="J998" s="47">
        <v>0.3527777777777778</v>
      </c>
    </row>
    <row r="999" spans="1:10" x14ac:dyDescent="0.25">
      <c r="A999" s="3" t="s">
        <v>46</v>
      </c>
      <c r="B999" s="45" t="s">
        <v>1207</v>
      </c>
      <c r="D999" s="46" t="s">
        <v>1208</v>
      </c>
      <c r="E999" s="3">
        <v>86</v>
      </c>
      <c r="F999" s="3">
        <v>999</v>
      </c>
      <c r="G999" s="3">
        <v>1140</v>
      </c>
      <c r="H999" s="3">
        <v>121</v>
      </c>
      <c r="I999" s="9">
        <v>41452</v>
      </c>
      <c r="J999" s="47">
        <v>0.57460648148148141</v>
      </c>
    </row>
    <row r="1000" spans="1:10" x14ac:dyDescent="0.25">
      <c r="A1000" s="3" t="s">
        <v>46</v>
      </c>
      <c r="B1000" s="45" t="s">
        <v>1215</v>
      </c>
      <c r="C1000" s="45" t="s">
        <v>877</v>
      </c>
      <c r="D1000" s="46" t="s">
        <v>1216</v>
      </c>
      <c r="E1000" s="3">
        <v>914</v>
      </c>
      <c r="F1000" s="3">
        <v>993</v>
      </c>
      <c r="G1000" s="3">
        <v>1664</v>
      </c>
      <c r="H1000" s="3">
        <v>196</v>
      </c>
      <c r="I1000" s="9">
        <v>40486</v>
      </c>
      <c r="J1000" s="47">
        <v>0.85214120370370372</v>
      </c>
    </row>
    <row r="1001" spans="1:10" x14ac:dyDescent="0.25">
      <c r="A1001" s="3" t="s">
        <v>46</v>
      </c>
      <c r="B1001" s="45" t="s">
        <v>1223</v>
      </c>
      <c r="C1001" s="45" t="s">
        <v>1224</v>
      </c>
      <c r="E1001" s="3">
        <v>647</v>
      </c>
      <c r="F1001" s="3">
        <v>987</v>
      </c>
      <c r="G1001" s="3">
        <v>4089</v>
      </c>
      <c r="H1001" s="3">
        <v>363</v>
      </c>
      <c r="I1001" s="9">
        <v>41955</v>
      </c>
      <c r="J1001" s="47">
        <v>0.42729166666666668</v>
      </c>
    </row>
    <row r="1002" spans="1:10" x14ac:dyDescent="0.25">
      <c r="A1002" s="3" t="s">
        <v>46</v>
      </c>
      <c r="B1002" s="45" t="s">
        <v>1304</v>
      </c>
      <c r="C1002" s="45" t="s">
        <v>1305</v>
      </c>
      <c r="D1002" s="46" t="s">
        <v>1306</v>
      </c>
      <c r="E1002" s="3">
        <v>445</v>
      </c>
      <c r="F1002" s="3">
        <v>893</v>
      </c>
      <c r="G1002" s="3">
        <v>2472</v>
      </c>
      <c r="H1002" s="3">
        <v>1742</v>
      </c>
      <c r="I1002" s="9">
        <v>40325</v>
      </c>
      <c r="J1002" s="47">
        <v>0.38230324074074074</v>
      </c>
    </row>
    <row r="1003" spans="1:10" ht="30" x14ac:dyDescent="0.25">
      <c r="A1003" s="3" t="s">
        <v>46</v>
      </c>
      <c r="B1003" s="45" t="s">
        <v>1312</v>
      </c>
      <c r="D1003" s="46" t="s">
        <v>1313</v>
      </c>
      <c r="E1003" s="3">
        <v>103</v>
      </c>
      <c r="F1003" s="3">
        <v>892</v>
      </c>
      <c r="G1003" s="3">
        <v>1846</v>
      </c>
      <c r="H1003" s="3">
        <v>11</v>
      </c>
      <c r="I1003" s="9">
        <v>41953</v>
      </c>
      <c r="J1003" s="47">
        <v>0.51392361111111107</v>
      </c>
    </row>
    <row r="1004" spans="1:10" x14ac:dyDescent="0.25">
      <c r="A1004" s="3" t="s">
        <v>46</v>
      </c>
      <c r="B1004" s="45" t="s">
        <v>1316</v>
      </c>
      <c r="D1004" s="46" t="s">
        <v>1317</v>
      </c>
      <c r="E1004" s="3">
        <v>24</v>
      </c>
      <c r="F1004" s="3">
        <v>886</v>
      </c>
      <c r="G1004" s="3">
        <v>2208</v>
      </c>
      <c r="H1004" s="3">
        <v>0</v>
      </c>
      <c r="I1004" s="9">
        <v>40002</v>
      </c>
      <c r="J1004" s="47">
        <v>0.93969907407407405</v>
      </c>
    </row>
    <row r="1005" spans="1:10" ht="30" x14ac:dyDescent="0.25">
      <c r="A1005" s="3" t="s">
        <v>46</v>
      </c>
      <c r="B1005" s="45" t="s">
        <v>1319</v>
      </c>
      <c r="C1005" s="45" t="s">
        <v>1320</v>
      </c>
      <c r="D1005" s="46" t="s">
        <v>1321</v>
      </c>
      <c r="E1005" s="3">
        <v>654</v>
      </c>
      <c r="F1005" s="3">
        <v>881</v>
      </c>
      <c r="G1005" s="3">
        <v>1134</v>
      </c>
      <c r="H1005" s="3">
        <v>190</v>
      </c>
      <c r="I1005" s="9">
        <v>42125</v>
      </c>
      <c r="J1005" s="47">
        <v>0.41444444444444445</v>
      </c>
    </row>
    <row r="1006" spans="1:10" ht="30" x14ac:dyDescent="0.25">
      <c r="A1006" s="3" t="s">
        <v>46</v>
      </c>
      <c r="B1006" s="45" t="s">
        <v>1324</v>
      </c>
      <c r="C1006" s="45" t="s">
        <v>1325</v>
      </c>
      <c r="D1006" s="46" t="s">
        <v>1326</v>
      </c>
      <c r="E1006" s="3">
        <v>375</v>
      </c>
      <c r="F1006" s="3">
        <v>880</v>
      </c>
      <c r="G1006" s="3">
        <v>1379</v>
      </c>
      <c r="H1006" s="3">
        <v>590</v>
      </c>
      <c r="I1006" s="9">
        <v>41150</v>
      </c>
      <c r="J1006" s="47">
        <v>0.3105324074074074</v>
      </c>
    </row>
    <row r="1007" spans="1:10" x14ac:dyDescent="0.25">
      <c r="A1007" s="3" t="s">
        <v>46</v>
      </c>
      <c r="B1007" s="45" t="s">
        <v>1327</v>
      </c>
      <c r="C1007" s="45" t="s">
        <v>1328</v>
      </c>
      <c r="D1007" s="46" t="s">
        <v>1329</v>
      </c>
      <c r="E1007" s="3">
        <v>939</v>
      </c>
      <c r="F1007" s="3">
        <v>873</v>
      </c>
      <c r="G1007" s="3">
        <v>3601</v>
      </c>
      <c r="H1007" s="3">
        <v>310</v>
      </c>
      <c r="I1007" s="9">
        <v>42086</v>
      </c>
      <c r="J1007" s="47">
        <v>0.63947916666666671</v>
      </c>
    </row>
    <row r="1008" spans="1:10" ht="30" x14ac:dyDescent="0.25">
      <c r="A1008" s="3" t="s">
        <v>46</v>
      </c>
      <c r="B1008" s="45" t="s">
        <v>1358</v>
      </c>
      <c r="C1008" s="45" t="s">
        <v>1359</v>
      </c>
      <c r="D1008" s="46" t="s">
        <v>1360</v>
      </c>
      <c r="E1008" s="3">
        <v>951</v>
      </c>
      <c r="F1008" s="3">
        <v>852</v>
      </c>
      <c r="G1008" s="3">
        <v>3244</v>
      </c>
      <c r="H1008" s="3">
        <v>523</v>
      </c>
      <c r="I1008" s="9">
        <v>41026</v>
      </c>
      <c r="J1008" s="47">
        <v>0.56855324074074076</v>
      </c>
    </row>
    <row r="1009" spans="1:10" ht="30" x14ac:dyDescent="0.25">
      <c r="A1009" s="3" t="s">
        <v>46</v>
      </c>
      <c r="B1009" s="45" t="s">
        <v>1393</v>
      </c>
      <c r="C1009" s="45" t="s">
        <v>1394</v>
      </c>
      <c r="D1009" s="46" t="s">
        <v>1395</v>
      </c>
      <c r="E1009" s="3">
        <v>839</v>
      </c>
      <c r="F1009" s="3">
        <v>827</v>
      </c>
      <c r="G1009" s="3">
        <v>602</v>
      </c>
      <c r="H1009" s="3">
        <v>5</v>
      </c>
      <c r="I1009" s="9">
        <v>40190</v>
      </c>
      <c r="J1009" s="47">
        <v>0.69490740740740742</v>
      </c>
    </row>
    <row r="1010" spans="1:10" ht="30" x14ac:dyDescent="0.25">
      <c r="A1010" s="3" t="s">
        <v>46</v>
      </c>
      <c r="B1010" s="45" t="s">
        <v>1424</v>
      </c>
      <c r="C1010" s="45" t="s">
        <v>1425</v>
      </c>
      <c r="D1010" s="46" t="s">
        <v>1426</v>
      </c>
      <c r="E1010" s="3">
        <v>206</v>
      </c>
      <c r="F1010" s="3">
        <v>787</v>
      </c>
      <c r="G1010" s="3">
        <v>493</v>
      </c>
      <c r="H1010" s="3">
        <v>15</v>
      </c>
      <c r="I1010" s="9">
        <v>40764</v>
      </c>
      <c r="J1010" s="47">
        <v>0.6005787037037037</v>
      </c>
    </row>
    <row r="1011" spans="1:10" ht="30" x14ac:dyDescent="0.25">
      <c r="A1011" s="3" t="s">
        <v>46</v>
      </c>
      <c r="B1011" s="45" t="s">
        <v>1454</v>
      </c>
      <c r="C1011" s="45" t="s">
        <v>1455</v>
      </c>
      <c r="D1011" s="46" t="s">
        <v>1456</v>
      </c>
      <c r="E1011" s="3">
        <v>260</v>
      </c>
      <c r="F1011" s="3">
        <v>775</v>
      </c>
      <c r="G1011" s="3">
        <v>1208</v>
      </c>
      <c r="H1011" s="3">
        <v>377</v>
      </c>
      <c r="I1011" s="9">
        <v>40078</v>
      </c>
      <c r="J1011" s="47">
        <v>0.58283564814814814</v>
      </c>
    </row>
    <row r="1012" spans="1:10" ht="30" x14ac:dyDescent="0.25">
      <c r="A1012" s="3" t="s">
        <v>46</v>
      </c>
      <c r="B1012" s="45" t="s">
        <v>1467</v>
      </c>
      <c r="C1012" s="45" t="s">
        <v>1468</v>
      </c>
      <c r="D1012" s="46" t="s">
        <v>1469</v>
      </c>
      <c r="E1012" s="3">
        <v>1134</v>
      </c>
      <c r="F1012" s="3">
        <v>756</v>
      </c>
      <c r="G1012" s="3">
        <v>1052</v>
      </c>
      <c r="H1012" s="3">
        <v>525</v>
      </c>
      <c r="I1012" s="9">
        <v>42481</v>
      </c>
      <c r="J1012" s="47">
        <v>0.36942129629629633</v>
      </c>
    </row>
    <row r="1013" spans="1:10" ht="30" x14ac:dyDescent="0.25">
      <c r="A1013" s="3" t="s">
        <v>46</v>
      </c>
      <c r="B1013" s="45" t="s">
        <v>1525</v>
      </c>
      <c r="C1013" s="45" t="s">
        <v>1526</v>
      </c>
      <c r="D1013" s="46" t="s">
        <v>1527</v>
      </c>
      <c r="E1013" s="3">
        <v>251</v>
      </c>
      <c r="F1013" s="3">
        <v>721</v>
      </c>
      <c r="G1013" s="3">
        <v>545</v>
      </c>
      <c r="H1013" s="3">
        <v>28</v>
      </c>
      <c r="I1013" s="9">
        <v>41396</v>
      </c>
      <c r="J1013" s="47">
        <v>0.31259259259259259</v>
      </c>
    </row>
    <row r="1014" spans="1:10" ht="30" x14ac:dyDescent="0.25">
      <c r="A1014" s="3" t="s">
        <v>46</v>
      </c>
      <c r="B1014" s="45" t="s">
        <v>1609</v>
      </c>
      <c r="C1014" s="45" t="s">
        <v>569</v>
      </c>
      <c r="D1014" s="46" t="s">
        <v>1610</v>
      </c>
      <c r="E1014" s="3">
        <v>172</v>
      </c>
      <c r="F1014" s="3">
        <v>650</v>
      </c>
      <c r="G1014" s="3">
        <v>804</v>
      </c>
      <c r="H1014" s="3">
        <v>199</v>
      </c>
      <c r="I1014" s="9">
        <v>41802</v>
      </c>
      <c r="J1014" s="47">
        <v>0.54714120370370367</v>
      </c>
    </row>
    <row r="1015" spans="1:10" x14ac:dyDescent="0.25">
      <c r="A1015" s="3" t="s">
        <v>46</v>
      </c>
      <c r="B1015" s="45" t="s">
        <v>1648</v>
      </c>
      <c r="C1015" s="45" t="s">
        <v>1649</v>
      </c>
      <c r="D1015" s="46" t="s">
        <v>1650</v>
      </c>
      <c r="E1015" s="3">
        <v>676</v>
      </c>
      <c r="F1015" s="3">
        <v>619</v>
      </c>
      <c r="G1015" s="3">
        <v>1009</v>
      </c>
      <c r="H1015" s="3">
        <v>507</v>
      </c>
      <c r="I1015" s="9">
        <v>42401</v>
      </c>
      <c r="J1015" s="47">
        <v>0.50412037037037039</v>
      </c>
    </row>
    <row r="1016" spans="1:10" ht="30" x14ac:dyDescent="0.25">
      <c r="A1016" s="3" t="s">
        <v>46</v>
      </c>
      <c r="B1016" s="45" t="s">
        <v>1665</v>
      </c>
      <c r="C1016" s="45" t="s">
        <v>1666</v>
      </c>
      <c r="D1016" s="46" t="s">
        <v>1667</v>
      </c>
      <c r="E1016" s="3">
        <v>218</v>
      </c>
      <c r="F1016" s="3">
        <v>597</v>
      </c>
      <c r="G1016" s="3">
        <v>2114</v>
      </c>
      <c r="H1016" s="3">
        <v>271</v>
      </c>
      <c r="I1016" s="9">
        <v>42318</v>
      </c>
      <c r="J1016" s="47">
        <v>0.54099537037037038</v>
      </c>
    </row>
    <row r="1017" spans="1:10" x14ac:dyDescent="0.25">
      <c r="A1017" s="3" t="s">
        <v>46</v>
      </c>
      <c r="B1017" s="45" t="s">
        <v>1668</v>
      </c>
      <c r="C1017" s="45" t="s">
        <v>1669</v>
      </c>
      <c r="D1017" s="46" t="s">
        <v>1670</v>
      </c>
      <c r="E1017" s="3">
        <v>243</v>
      </c>
      <c r="F1017" s="3">
        <v>594</v>
      </c>
      <c r="G1017" s="3">
        <v>1114</v>
      </c>
      <c r="H1017" s="3">
        <v>0</v>
      </c>
      <c r="I1017" s="9">
        <v>40403</v>
      </c>
      <c r="J1017" s="47">
        <v>0.71741898148148142</v>
      </c>
    </row>
    <row r="1018" spans="1:10" ht="30" x14ac:dyDescent="0.25">
      <c r="A1018" s="3" t="s">
        <v>46</v>
      </c>
      <c r="B1018" s="45" t="s">
        <v>1697</v>
      </c>
      <c r="C1018" s="45" t="s">
        <v>1698</v>
      </c>
      <c r="D1018" s="46" t="s">
        <v>1699</v>
      </c>
      <c r="E1018" s="3">
        <v>716</v>
      </c>
      <c r="F1018" s="3">
        <v>581</v>
      </c>
      <c r="G1018" s="3">
        <v>1416</v>
      </c>
      <c r="H1018" s="3">
        <v>1082</v>
      </c>
      <c r="I1018" s="9">
        <v>42593</v>
      </c>
      <c r="J1018" s="47">
        <v>0.56707175925925923</v>
      </c>
    </row>
    <row r="1019" spans="1:10" ht="45" x14ac:dyDescent="0.25">
      <c r="A1019" s="3" t="s">
        <v>46</v>
      </c>
      <c r="B1019" s="45" t="s">
        <v>1735</v>
      </c>
      <c r="C1019" s="45" t="s">
        <v>1736</v>
      </c>
      <c r="D1019" s="46" t="s">
        <v>1737</v>
      </c>
      <c r="E1019" s="3">
        <v>151</v>
      </c>
      <c r="F1019" s="3">
        <v>540</v>
      </c>
      <c r="G1019" s="3">
        <v>896</v>
      </c>
      <c r="H1019" s="3">
        <v>57</v>
      </c>
      <c r="I1019" s="9">
        <v>41527</v>
      </c>
      <c r="J1019" s="47">
        <v>0.60546296296296298</v>
      </c>
    </row>
    <row r="1020" spans="1:10" x14ac:dyDescent="0.25">
      <c r="A1020" s="3" t="s">
        <v>46</v>
      </c>
      <c r="B1020" s="45" t="s">
        <v>1798</v>
      </c>
      <c r="C1020" s="45" t="s">
        <v>1799</v>
      </c>
      <c r="D1020" s="46" t="s">
        <v>1800</v>
      </c>
      <c r="E1020" s="3">
        <v>1234</v>
      </c>
      <c r="F1020" s="3">
        <v>503</v>
      </c>
      <c r="G1020" s="3">
        <v>553</v>
      </c>
      <c r="H1020" s="3">
        <v>518</v>
      </c>
      <c r="I1020" s="9">
        <v>42773</v>
      </c>
      <c r="J1020" s="47">
        <v>0.67018518518518511</v>
      </c>
    </row>
    <row r="1021" spans="1:10" x14ac:dyDescent="0.25">
      <c r="A1021" s="3" t="s">
        <v>46</v>
      </c>
      <c r="B1021" s="45" t="s">
        <v>2095</v>
      </c>
      <c r="C1021" s="45" t="s">
        <v>2096</v>
      </c>
      <c r="D1021" s="46" t="s">
        <v>2097</v>
      </c>
      <c r="E1021" s="3">
        <v>130</v>
      </c>
      <c r="F1021" s="3">
        <v>364</v>
      </c>
      <c r="G1021" s="3">
        <v>1371</v>
      </c>
      <c r="H1021" s="3">
        <v>0</v>
      </c>
      <c r="I1021" s="9">
        <v>40014</v>
      </c>
      <c r="J1021" s="47">
        <v>0.64068287037037031</v>
      </c>
    </row>
    <row r="1022" spans="1:10" ht="30" x14ac:dyDescent="0.25">
      <c r="A1022" s="3" t="s">
        <v>46</v>
      </c>
      <c r="B1022" s="45" t="s">
        <v>2194</v>
      </c>
      <c r="C1022" s="45" t="s">
        <v>2195</v>
      </c>
      <c r="D1022" s="46" t="s">
        <v>2196</v>
      </c>
      <c r="E1022" s="3">
        <v>122</v>
      </c>
      <c r="F1022" s="3">
        <v>330</v>
      </c>
      <c r="G1022" s="3">
        <v>586</v>
      </c>
      <c r="H1022" s="3">
        <v>121</v>
      </c>
      <c r="I1022" s="9">
        <v>42404</v>
      </c>
      <c r="J1022" s="47">
        <v>0.46866898148148151</v>
      </c>
    </row>
    <row r="1023" spans="1:10" ht="30" x14ac:dyDescent="0.25">
      <c r="A1023" s="3" t="s">
        <v>46</v>
      </c>
      <c r="B1023" s="45" t="s">
        <v>2218</v>
      </c>
      <c r="C1023" s="45" t="s">
        <v>2219</v>
      </c>
      <c r="D1023" s="46" t="s">
        <v>2220</v>
      </c>
      <c r="E1023" s="3">
        <v>978</v>
      </c>
      <c r="F1023" s="3">
        <v>319</v>
      </c>
      <c r="G1023" s="3">
        <v>258</v>
      </c>
      <c r="H1023" s="3">
        <v>209</v>
      </c>
      <c r="I1023" s="9">
        <v>42577</v>
      </c>
      <c r="J1023" s="47">
        <v>0.39792824074074074</v>
      </c>
    </row>
    <row r="1024" spans="1:10" x14ac:dyDescent="0.25">
      <c r="A1024" s="3" t="s">
        <v>46</v>
      </c>
      <c r="B1024" s="45" t="s">
        <v>3445</v>
      </c>
      <c r="D1024" s="46" t="s">
        <v>3446</v>
      </c>
      <c r="E1024" s="3">
        <v>0</v>
      </c>
      <c r="F1024" s="3">
        <v>30</v>
      </c>
      <c r="G1024" s="3">
        <v>1</v>
      </c>
      <c r="H1024" s="3">
        <v>1</v>
      </c>
      <c r="I1024" s="9">
        <v>42116</v>
      </c>
      <c r="J1024" s="47">
        <v>0.65500000000000003</v>
      </c>
    </row>
    <row r="1025" spans="1:10" x14ac:dyDescent="0.25">
      <c r="A1025" s="3" t="s">
        <v>46</v>
      </c>
      <c r="B1025" s="45" t="s">
        <v>3474</v>
      </c>
      <c r="C1025" s="45" t="s">
        <v>3475</v>
      </c>
      <c r="D1025" s="46" t="s">
        <v>3476</v>
      </c>
      <c r="E1025" s="3">
        <v>1</v>
      </c>
      <c r="F1025" s="3">
        <v>22</v>
      </c>
      <c r="G1025" s="3">
        <v>180</v>
      </c>
      <c r="H1025" s="3">
        <v>0</v>
      </c>
      <c r="I1025" s="9">
        <v>40249</v>
      </c>
      <c r="J1025" s="47">
        <v>0.67876157407407411</v>
      </c>
    </row>
    <row r="1026" spans="1:10" ht="30" x14ac:dyDescent="0.25">
      <c r="A1026" s="3" t="s">
        <v>262</v>
      </c>
      <c r="B1026" s="45" t="s">
        <v>1630</v>
      </c>
      <c r="C1026" s="45" t="s">
        <v>517</v>
      </c>
      <c r="D1026" s="46" t="s">
        <v>1631</v>
      </c>
      <c r="E1026" s="3">
        <v>1184</v>
      </c>
      <c r="F1026" s="3">
        <v>630</v>
      </c>
      <c r="G1026" s="3">
        <v>27202</v>
      </c>
      <c r="H1026" s="3">
        <v>365</v>
      </c>
      <c r="I1026" s="9">
        <v>41956</v>
      </c>
      <c r="J1026" s="47">
        <v>0.83744212962962961</v>
      </c>
    </row>
    <row r="1027" spans="1:10" ht="30" x14ac:dyDescent="0.25">
      <c r="A1027" s="3" t="s">
        <v>262</v>
      </c>
      <c r="B1027" s="45" t="s">
        <v>263</v>
      </c>
      <c r="C1027" s="45" t="s">
        <v>264</v>
      </c>
      <c r="D1027" s="46" t="s">
        <v>265</v>
      </c>
      <c r="E1027" s="3">
        <v>2581</v>
      </c>
      <c r="F1027" s="3">
        <v>4016</v>
      </c>
      <c r="G1027" s="3">
        <v>19084</v>
      </c>
      <c r="H1027" s="3">
        <v>5678</v>
      </c>
      <c r="I1027" s="9">
        <v>41509</v>
      </c>
      <c r="J1027" s="47">
        <v>0.36495370370370367</v>
      </c>
    </row>
    <row r="1028" spans="1:10" ht="30" x14ac:dyDescent="0.25">
      <c r="A1028" s="3" t="s">
        <v>262</v>
      </c>
      <c r="B1028" s="45" t="s">
        <v>1718</v>
      </c>
      <c r="C1028" s="45" t="s">
        <v>1719</v>
      </c>
      <c r="D1028" s="46" t="s">
        <v>1720</v>
      </c>
      <c r="E1028" s="3">
        <v>391</v>
      </c>
      <c r="F1028" s="3">
        <v>550</v>
      </c>
      <c r="G1028" s="3">
        <v>13131</v>
      </c>
      <c r="H1028" s="3">
        <v>17473</v>
      </c>
      <c r="I1028" s="9">
        <v>40121</v>
      </c>
      <c r="J1028" s="47">
        <v>0.6404050925925926</v>
      </c>
    </row>
    <row r="1029" spans="1:10" ht="30" x14ac:dyDescent="0.25">
      <c r="A1029" s="3" t="s">
        <v>262</v>
      </c>
      <c r="B1029" s="45" t="s">
        <v>2579</v>
      </c>
      <c r="C1029" s="45" t="s">
        <v>2580</v>
      </c>
      <c r="D1029" s="46" t="s">
        <v>2581</v>
      </c>
      <c r="E1029" s="3">
        <v>527</v>
      </c>
      <c r="F1029" s="3">
        <v>217</v>
      </c>
      <c r="G1029" s="3">
        <v>12084</v>
      </c>
      <c r="H1029" s="3">
        <v>215</v>
      </c>
      <c r="I1029" s="9">
        <v>40444</v>
      </c>
      <c r="J1029" s="47">
        <v>0.41136574074074073</v>
      </c>
    </row>
    <row r="1030" spans="1:10" ht="30" x14ac:dyDescent="0.25">
      <c r="A1030" s="3" t="s">
        <v>262</v>
      </c>
      <c r="B1030" s="45" t="s">
        <v>906</v>
      </c>
      <c r="C1030" s="45" t="s">
        <v>907</v>
      </c>
      <c r="D1030" s="46" t="s">
        <v>908</v>
      </c>
      <c r="E1030" s="3">
        <v>2022</v>
      </c>
      <c r="F1030" s="3">
        <v>1420</v>
      </c>
      <c r="G1030" s="3">
        <v>7636</v>
      </c>
      <c r="H1030" s="3">
        <v>3608</v>
      </c>
      <c r="I1030" s="9">
        <v>41077</v>
      </c>
      <c r="J1030" s="47">
        <v>0.51525462962962965</v>
      </c>
    </row>
    <row r="1031" spans="1:10" ht="30" x14ac:dyDescent="0.25">
      <c r="A1031" s="3" t="s">
        <v>262</v>
      </c>
      <c r="B1031" s="45" t="s">
        <v>933</v>
      </c>
      <c r="D1031" s="46" t="s">
        <v>934</v>
      </c>
      <c r="E1031" s="3">
        <v>1560</v>
      </c>
      <c r="F1031" s="3">
        <v>1360</v>
      </c>
      <c r="G1031" s="3">
        <v>7386</v>
      </c>
      <c r="H1031" s="3">
        <v>1629</v>
      </c>
      <c r="I1031" s="9">
        <v>41617</v>
      </c>
      <c r="J1031" s="47">
        <v>0.48780092592592594</v>
      </c>
    </row>
    <row r="1032" spans="1:10" x14ac:dyDescent="0.25">
      <c r="A1032" s="3" t="s">
        <v>262</v>
      </c>
      <c r="B1032" s="45" t="s">
        <v>1584</v>
      </c>
      <c r="D1032" s="46" t="s">
        <v>1585</v>
      </c>
      <c r="E1032" s="3">
        <v>617</v>
      </c>
      <c r="F1032" s="3">
        <v>669</v>
      </c>
      <c r="G1032" s="3">
        <v>7298</v>
      </c>
      <c r="H1032" s="3">
        <v>2856</v>
      </c>
      <c r="I1032" s="9">
        <v>42075</v>
      </c>
      <c r="J1032" s="47">
        <v>0.86537037037037035</v>
      </c>
    </row>
    <row r="1033" spans="1:10" x14ac:dyDescent="0.25">
      <c r="A1033" s="3" t="s">
        <v>262</v>
      </c>
      <c r="B1033" s="45" t="s">
        <v>693</v>
      </c>
      <c r="C1033" s="45" t="s">
        <v>694</v>
      </c>
      <c r="D1033" s="46" t="s">
        <v>695</v>
      </c>
      <c r="E1033" s="3">
        <v>2199</v>
      </c>
      <c r="F1033" s="3">
        <v>1906</v>
      </c>
      <c r="G1033" s="3">
        <v>6774</v>
      </c>
      <c r="H1033" s="3">
        <v>1766</v>
      </c>
      <c r="I1033" s="9">
        <v>41360</v>
      </c>
      <c r="J1033" s="47">
        <v>0.46214120370370365</v>
      </c>
    </row>
    <row r="1034" spans="1:10" x14ac:dyDescent="0.25">
      <c r="A1034" s="3" t="s">
        <v>262</v>
      </c>
      <c r="B1034" s="45" t="s">
        <v>1464</v>
      </c>
      <c r="C1034" s="45" t="s">
        <v>1465</v>
      </c>
      <c r="D1034" s="46" t="s">
        <v>1466</v>
      </c>
      <c r="E1034" s="3">
        <v>493</v>
      </c>
      <c r="F1034" s="3">
        <v>768</v>
      </c>
      <c r="G1034" s="3">
        <v>5892</v>
      </c>
      <c r="H1034" s="3">
        <v>5413</v>
      </c>
      <c r="I1034" s="9">
        <v>39926</v>
      </c>
      <c r="J1034" s="47">
        <v>0.55756944444444445</v>
      </c>
    </row>
    <row r="1035" spans="1:10" x14ac:dyDescent="0.25">
      <c r="A1035" s="3" t="s">
        <v>262</v>
      </c>
      <c r="B1035" s="45" t="s">
        <v>2006</v>
      </c>
      <c r="C1035" s="45" t="s">
        <v>2007</v>
      </c>
      <c r="D1035" s="46" t="s">
        <v>2008</v>
      </c>
      <c r="E1035" s="3">
        <v>385</v>
      </c>
      <c r="F1035" s="3">
        <v>404</v>
      </c>
      <c r="G1035" s="3">
        <v>5714</v>
      </c>
      <c r="H1035" s="3">
        <v>976</v>
      </c>
      <c r="I1035" s="9">
        <v>41523</v>
      </c>
      <c r="J1035" s="47">
        <v>0.53381944444444451</v>
      </c>
    </row>
    <row r="1036" spans="1:10" x14ac:dyDescent="0.25">
      <c r="A1036" s="3" t="s">
        <v>262</v>
      </c>
      <c r="B1036" s="45" t="s">
        <v>1708</v>
      </c>
      <c r="E1036" s="3">
        <v>924</v>
      </c>
      <c r="F1036" s="3">
        <v>569</v>
      </c>
      <c r="G1036" s="3">
        <v>5366</v>
      </c>
      <c r="H1036" s="3">
        <v>119</v>
      </c>
      <c r="I1036" s="9">
        <v>41319</v>
      </c>
      <c r="J1036" s="47">
        <v>0.48831018518518521</v>
      </c>
    </row>
    <row r="1037" spans="1:10" ht="30" x14ac:dyDescent="0.25">
      <c r="A1037" s="3" t="s">
        <v>262</v>
      </c>
      <c r="B1037" s="45" t="s">
        <v>1261</v>
      </c>
      <c r="C1037" s="45" t="s">
        <v>926</v>
      </c>
      <c r="D1037" s="46" t="s">
        <v>1262</v>
      </c>
      <c r="E1037" s="3">
        <v>2027</v>
      </c>
      <c r="F1037" s="3">
        <v>958</v>
      </c>
      <c r="G1037" s="3">
        <v>4923</v>
      </c>
      <c r="H1037" s="3">
        <v>2277</v>
      </c>
      <c r="I1037" s="9">
        <v>41666</v>
      </c>
      <c r="J1037" s="47">
        <v>0.63599537037037035</v>
      </c>
    </row>
    <row r="1038" spans="1:10" x14ac:dyDescent="0.25">
      <c r="A1038" s="3" t="s">
        <v>262</v>
      </c>
      <c r="B1038" s="45" t="s">
        <v>2226</v>
      </c>
      <c r="C1038" s="45" t="s">
        <v>2227</v>
      </c>
      <c r="D1038" s="46" t="s">
        <v>2228</v>
      </c>
      <c r="E1038" s="3">
        <v>224</v>
      </c>
      <c r="F1038" s="3">
        <v>316</v>
      </c>
      <c r="G1038" s="3">
        <v>4647</v>
      </c>
      <c r="H1038" s="3">
        <v>27</v>
      </c>
      <c r="I1038" s="9">
        <v>40695</v>
      </c>
      <c r="J1038" s="47">
        <v>0.53855324074074074</v>
      </c>
    </row>
    <row r="1039" spans="1:10" ht="30" x14ac:dyDescent="0.25">
      <c r="A1039" s="3" t="s">
        <v>262</v>
      </c>
      <c r="B1039" s="45" t="s">
        <v>1263</v>
      </c>
      <c r="C1039" s="45" t="s">
        <v>1264</v>
      </c>
      <c r="D1039" s="46" t="s">
        <v>1265</v>
      </c>
      <c r="E1039" s="3">
        <v>1257</v>
      </c>
      <c r="F1039" s="3">
        <v>951</v>
      </c>
      <c r="G1039" s="3">
        <v>4540</v>
      </c>
      <c r="H1039" s="3">
        <v>7134</v>
      </c>
      <c r="I1039" s="9">
        <v>42235</v>
      </c>
      <c r="J1039" s="47">
        <v>0.89407407407407413</v>
      </c>
    </row>
    <row r="1040" spans="1:10" ht="30" x14ac:dyDescent="0.25">
      <c r="A1040" s="3" t="s">
        <v>262</v>
      </c>
      <c r="B1040" s="45" t="s">
        <v>684</v>
      </c>
      <c r="C1040" s="45" t="s">
        <v>685</v>
      </c>
      <c r="D1040" s="46" t="s">
        <v>686</v>
      </c>
      <c r="E1040" s="3">
        <v>3679</v>
      </c>
      <c r="F1040" s="3">
        <v>1932</v>
      </c>
      <c r="G1040" s="3">
        <v>4447</v>
      </c>
      <c r="H1040" s="3">
        <v>74</v>
      </c>
      <c r="I1040" s="9">
        <v>41236</v>
      </c>
      <c r="J1040" s="47">
        <v>0.40972222222222227</v>
      </c>
    </row>
    <row r="1041" spans="1:10" ht="30" x14ac:dyDescent="0.25">
      <c r="A1041" s="3" t="s">
        <v>262</v>
      </c>
      <c r="B1041" s="45" t="s">
        <v>1171</v>
      </c>
      <c r="C1041" s="45" t="s">
        <v>1172</v>
      </c>
      <c r="D1041" s="46" t="s">
        <v>1173</v>
      </c>
      <c r="E1041" s="3">
        <v>1837</v>
      </c>
      <c r="F1041" s="3">
        <v>1048</v>
      </c>
      <c r="G1041" s="3">
        <v>4428</v>
      </c>
      <c r="H1041" s="3">
        <v>552</v>
      </c>
      <c r="I1041" s="9">
        <v>41015</v>
      </c>
      <c r="J1041" s="47">
        <v>0.6252199074074074</v>
      </c>
    </row>
    <row r="1042" spans="1:10" x14ac:dyDescent="0.25">
      <c r="A1042" s="3" t="s">
        <v>262</v>
      </c>
      <c r="B1042" s="45" t="s">
        <v>834</v>
      </c>
      <c r="D1042" s="46" t="s">
        <v>835</v>
      </c>
      <c r="E1042" s="3">
        <v>1929</v>
      </c>
      <c r="F1042" s="3">
        <v>1541</v>
      </c>
      <c r="G1042" s="3">
        <v>3513</v>
      </c>
      <c r="H1042" s="3">
        <v>2026</v>
      </c>
      <c r="I1042" s="9">
        <v>40977</v>
      </c>
      <c r="J1042" s="47">
        <v>0.63318287037037035</v>
      </c>
    </row>
    <row r="1043" spans="1:10" x14ac:dyDescent="0.25">
      <c r="A1043" s="3" t="s">
        <v>262</v>
      </c>
      <c r="B1043" s="45" t="s">
        <v>2263</v>
      </c>
      <c r="E1043" s="3">
        <v>505</v>
      </c>
      <c r="F1043" s="3">
        <v>302</v>
      </c>
      <c r="G1043" s="3">
        <v>3405</v>
      </c>
      <c r="H1043" s="3">
        <v>471</v>
      </c>
      <c r="I1043" s="9">
        <v>41751</v>
      </c>
      <c r="J1043" s="47">
        <v>0.35502314814814812</v>
      </c>
    </row>
    <row r="1044" spans="1:10" x14ac:dyDescent="0.25">
      <c r="A1044" s="3" t="s">
        <v>262</v>
      </c>
      <c r="B1044" s="45" t="s">
        <v>2288</v>
      </c>
      <c r="C1044" s="45" t="s">
        <v>2289</v>
      </c>
      <c r="D1044" s="46" t="s">
        <v>2290</v>
      </c>
      <c r="E1044" s="3">
        <v>634</v>
      </c>
      <c r="F1044" s="3">
        <v>292</v>
      </c>
      <c r="G1044" s="3">
        <v>3372</v>
      </c>
      <c r="H1044" s="3">
        <v>1537</v>
      </c>
      <c r="I1044" s="9">
        <v>42517</v>
      </c>
      <c r="J1044" s="47">
        <v>0.43002314814814818</v>
      </c>
    </row>
    <row r="1045" spans="1:10" ht="30" x14ac:dyDescent="0.25">
      <c r="A1045" s="3" t="s">
        <v>262</v>
      </c>
      <c r="B1045" s="45" t="s">
        <v>1688</v>
      </c>
      <c r="C1045" s="45" t="s">
        <v>1689</v>
      </c>
      <c r="D1045" s="46" t="s">
        <v>1690</v>
      </c>
      <c r="E1045" s="3">
        <v>1065</v>
      </c>
      <c r="F1045" s="3">
        <v>584</v>
      </c>
      <c r="G1045" s="3">
        <v>3119</v>
      </c>
      <c r="H1045" s="3">
        <v>239</v>
      </c>
      <c r="I1045" s="9">
        <v>42040</v>
      </c>
      <c r="J1045" s="47">
        <v>0.80342592592592599</v>
      </c>
    </row>
    <row r="1046" spans="1:10" ht="30" x14ac:dyDescent="0.25">
      <c r="A1046" s="3" t="s">
        <v>262</v>
      </c>
      <c r="B1046" s="45" t="s">
        <v>2352</v>
      </c>
      <c r="C1046" s="45" t="s">
        <v>2353</v>
      </c>
      <c r="D1046" s="46" t="s">
        <v>2354</v>
      </c>
      <c r="E1046" s="3">
        <v>389</v>
      </c>
      <c r="F1046" s="3">
        <v>275</v>
      </c>
      <c r="G1046" s="3">
        <v>3076</v>
      </c>
      <c r="H1046" s="3">
        <v>299</v>
      </c>
      <c r="I1046" s="9">
        <v>41110</v>
      </c>
      <c r="J1046" s="47">
        <v>0.65092592592592591</v>
      </c>
    </row>
    <row r="1047" spans="1:10" ht="30" x14ac:dyDescent="0.25">
      <c r="A1047" s="3" t="s">
        <v>262</v>
      </c>
      <c r="B1047" s="45" t="s">
        <v>1500</v>
      </c>
      <c r="C1047" s="45" t="s">
        <v>296</v>
      </c>
      <c r="D1047" s="46" t="s">
        <v>1501</v>
      </c>
      <c r="E1047" s="3">
        <v>1420</v>
      </c>
      <c r="F1047" s="3">
        <v>738</v>
      </c>
      <c r="G1047" s="3">
        <v>3071</v>
      </c>
      <c r="H1047" s="3">
        <v>560</v>
      </c>
      <c r="I1047" s="9">
        <v>41744</v>
      </c>
      <c r="J1047" s="47">
        <v>0.35616898148148146</v>
      </c>
    </row>
    <row r="1048" spans="1:10" ht="30" x14ac:dyDescent="0.25">
      <c r="A1048" s="3" t="s">
        <v>262</v>
      </c>
      <c r="B1048" s="45" t="s">
        <v>2104</v>
      </c>
      <c r="C1048" s="45" t="s">
        <v>477</v>
      </c>
      <c r="D1048" s="46" t="s">
        <v>2105</v>
      </c>
      <c r="E1048" s="3">
        <v>376</v>
      </c>
      <c r="F1048" s="3">
        <v>364</v>
      </c>
      <c r="G1048" s="3">
        <v>2964</v>
      </c>
      <c r="H1048" s="3">
        <v>955</v>
      </c>
      <c r="I1048" s="9">
        <v>42404</v>
      </c>
      <c r="J1048" s="47">
        <v>0.69126157407407407</v>
      </c>
    </row>
    <row r="1049" spans="1:10" ht="30" x14ac:dyDescent="0.25">
      <c r="A1049" s="3" t="s">
        <v>262</v>
      </c>
      <c r="B1049" s="45" t="s">
        <v>2311</v>
      </c>
      <c r="C1049" s="45" t="s">
        <v>2312</v>
      </c>
      <c r="D1049" s="46" t="s">
        <v>2313</v>
      </c>
      <c r="E1049" s="3">
        <v>375</v>
      </c>
      <c r="F1049" s="3">
        <v>287</v>
      </c>
      <c r="G1049" s="3">
        <v>2956</v>
      </c>
      <c r="H1049" s="3">
        <v>1112</v>
      </c>
      <c r="I1049" s="9">
        <v>41676</v>
      </c>
      <c r="J1049" s="47">
        <v>0.64530092592592592</v>
      </c>
    </row>
    <row r="1050" spans="1:10" ht="30" x14ac:dyDescent="0.25">
      <c r="A1050" s="3" t="s">
        <v>262</v>
      </c>
      <c r="B1050" s="45" t="s">
        <v>1534</v>
      </c>
      <c r="C1050" s="45" t="s">
        <v>857</v>
      </c>
      <c r="D1050" s="46" t="s">
        <v>1535</v>
      </c>
      <c r="E1050" s="3">
        <v>780</v>
      </c>
      <c r="F1050" s="3">
        <v>717</v>
      </c>
      <c r="G1050" s="3">
        <v>2833</v>
      </c>
      <c r="H1050" s="3">
        <v>738</v>
      </c>
      <c r="I1050" s="9">
        <v>39909</v>
      </c>
      <c r="J1050" s="47">
        <v>0.49888888888888888</v>
      </c>
    </row>
    <row r="1051" spans="1:10" ht="30" x14ac:dyDescent="0.25">
      <c r="A1051" s="3" t="s">
        <v>262</v>
      </c>
      <c r="B1051" s="45" t="s">
        <v>716</v>
      </c>
      <c r="C1051" s="45" t="s">
        <v>717</v>
      </c>
      <c r="D1051" s="46" t="s">
        <v>718</v>
      </c>
      <c r="E1051" s="3">
        <v>1802</v>
      </c>
      <c r="F1051" s="3">
        <v>1829</v>
      </c>
      <c r="G1051" s="3">
        <v>2821</v>
      </c>
      <c r="H1051" s="3">
        <v>456</v>
      </c>
      <c r="I1051" s="9">
        <v>41859</v>
      </c>
      <c r="J1051" s="47">
        <v>0.58081018518518512</v>
      </c>
    </row>
    <row r="1052" spans="1:10" ht="30" x14ac:dyDescent="0.25">
      <c r="A1052" s="3" t="s">
        <v>262</v>
      </c>
      <c r="B1052" s="45" t="s">
        <v>1271</v>
      </c>
      <c r="C1052" s="45" t="s">
        <v>1272</v>
      </c>
      <c r="D1052" s="46" t="s">
        <v>1273</v>
      </c>
      <c r="E1052" s="3">
        <v>746</v>
      </c>
      <c r="F1052" s="3">
        <v>939</v>
      </c>
      <c r="G1052" s="3">
        <v>2732</v>
      </c>
      <c r="H1052" s="3">
        <v>802</v>
      </c>
      <c r="I1052" s="9">
        <v>41185</v>
      </c>
      <c r="J1052" s="47">
        <v>0.47858796296296297</v>
      </c>
    </row>
    <row r="1053" spans="1:10" ht="30" x14ac:dyDescent="0.25">
      <c r="A1053" s="3" t="s">
        <v>262</v>
      </c>
      <c r="B1053" s="45" t="s">
        <v>1651</v>
      </c>
      <c r="C1053" s="45" t="s">
        <v>505</v>
      </c>
      <c r="D1053" s="46" t="s">
        <v>1652</v>
      </c>
      <c r="E1053" s="3">
        <v>909</v>
      </c>
      <c r="F1053" s="3">
        <v>618</v>
      </c>
      <c r="G1053" s="3">
        <v>2675</v>
      </c>
      <c r="H1053" s="3">
        <v>233</v>
      </c>
      <c r="I1053" s="9">
        <v>41253</v>
      </c>
      <c r="J1053" s="47">
        <v>0.38840277777777782</v>
      </c>
    </row>
    <row r="1054" spans="1:10" ht="30" x14ac:dyDescent="0.25">
      <c r="A1054" s="3" t="s">
        <v>262</v>
      </c>
      <c r="B1054" s="45" t="s">
        <v>1539</v>
      </c>
      <c r="D1054" s="46" t="s">
        <v>1540</v>
      </c>
      <c r="E1054" s="3">
        <v>574</v>
      </c>
      <c r="F1054" s="3">
        <v>716</v>
      </c>
      <c r="G1054" s="3">
        <v>2597</v>
      </c>
      <c r="H1054" s="3">
        <v>890</v>
      </c>
      <c r="I1054" s="9">
        <v>41256</v>
      </c>
      <c r="J1054" s="47">
        <v>0.42809027777777775</v>
      </c>
    </row>
    <row r="1055" spans="1:10" x14ac:dyDescent="0.25">
      <c r="A1055" s="3" t="s">
        <v>262</v>
      </c>
      <c r="B1055" s="45" t="s">
        <v>1662</v>
      </c>
      <c r="C1055" s="45" t="s">
        <v>1663</v>
      </c>
      <c r="D1055" s="46" t="s">
        <v>1664</v>
      </c>
      <c r="E1055" s="3">
        <v>419</v>
      </c>
      <c r="F1055" s="3">
        <v>611</v>
      </c>
      <c r="G1055" s="3">
        <v>2569</v>
      </c>
      <c r="H1055" s="3">
        <v>894</v>
      </c>
      <c r="I1055" s="9">
        <v>41385</v>
      </c>
      <c r="J1055" s="47">
        <v>0.63883101851851853</v>
      </c>
    </row>
    <row r="1056" spans="1:10" x14ac:dyDescent="0.25">
      <c r="A1056" s="3" t="s">
        <v>262</v>
      </c>
      <c r="B1056" s="45" t="s">
        <v>2541</v>
      </c>
      <c r="C1056" s="45" t="s">
        <v>2542</v>
      </c>
      <c r="D1056" s="46" t="s">
        <v>2543</v>
      </c>
      <c r="E1056" s="3">
        <v>154</v>
      </c>
      <c r="F1056" s="3">
        <v>226</v>
      </c>
      <c r="G1056" s="3">
        <v>2402</v>
      </c>
      <c r="H1056" s="3">
        <v>11</v>
      </c>
      <c r="I1056" s="9">
        <v>39927</v>
      </c>
      <c r="J1056" s="47">
        <v>0.35453703703703704</v>
      </c>
    </row>
    <row r="1057" spans="1:10" ht="45" x14ac:dyDescent="0.25">
      <c r="A1057" s="3" t="s">
        <v>262</v>
      </c>
      <c r="B1057" s="45" t="s">
        <v>1294</v>
      </c>
      <c r="C1057" s="45" t="s">
        <v>1295</v>
      </c>
      <c r="D1057" s="46" t="s">
        <v>1296</v>
      </c>
      <c r="E1057" s="3">
        <v>996</v>
      </c>
      <c r="F1057" s="3">
        <v>913</v>
      </c>
      <c r="G1057" s="3">
        <v>2379</v>
      </c>
      <c r="H1057" s="3">
        <v>469</v>
      </c>
      <c r="I1057" s="9">
        <v>40448</v>
      </c>
      <c r="J1057" s="47">
        <v>0.44097222222222227</v>
      </c>
    </row>
    <row r="1058" spans="1:10" x14ac:dyDescent="0.25">
      <c r="A1058" s="3" t="s">
        <v>262</v>
      </c>
      <c r="B1058" s="45" t="s">
        <v>3196</v>
      </c>
      <c r="D1058" s="46" t="s">
        <v>3197</v>
      </c>
      <c r="E1058" s="3">
        <v>284</v>
      </c>
      <c r="F1058" s="3">
        <v>85</v>
      </c>
      <c r="G1058" s="3">
        <v>2331</v>
      </c>
      <c r="H1058" s="3">
        <v>1436</v>
      </c>
      <c r="I1058" s="9">
        <v>41926</v>
      </c>
      <c r="J1058" s="47">
        <v>0.93788194444444439</v>
      </c>
    </row>
    <row r="1059" spans="1:10" ht="30" x14ac:dyDescent="0.25">
      <c r="A1059" s="3" t="s">
        <v>262</v>
      </c>
      <c r="B1059" s="45" t="s">
        <v>2209</v>
      </c>
      <c r="C1059" s="45" t="s">
        <v>2210</v>
      </c>
      <c r="D1059" s="46" t="s">
        <v>2211</v>
      </c>
      <c r="E1059" s="3">
        <v>489</v>
      </c>
      <c r="F1059" s="3">
        <v>321</v>
      </c>
      <c r="G1059" s="3">
        <v>2322</v>
      </c>
      <c r="H1059" s="3">
        <v>923</v>
      </c>
      <c r="I1059" s="9">
        <v>41590</v>
      </c>
      <c r="J1059" s="47">
        <v>0.34091435185185182</v>
      </c>
    </row>
    <row r="1060" spans="1:10" x14ac:dyDescent="0.25">
      <c r="A1060" s="3" t="s">
        <v>262</v>
      </c>
      <c r="B1060" s="45" t="s">
        <v>2163</v>
      </c>
      <c r="C1060" s="45" t="s">
        <v>1873</v>
      </c>
      <c r="D1060" s="46" t="s">
        <v>2164</v>
      </c>
      <c r="E1060" s="3">
        <v>562</v>
      </c>
      <c r="F1060" s="3">
        <v>345</v>
      </c>
      <c r="G1060" s="3">
        <v>2271</v>
      </c>
      <c r="H1060" s="3">
        <v>2142</v>
      </c>
      <c r="I1060" s="9">
        <v>41662</v>
      </c>
      <c r="J1060" s="47">
        <v>0.52413194444444444</v>
      </c>
    </row>
    <row r="1061" spans="1:10" ht="30" x14ac:dyDescent="0.25">
      <c r="A1061" s="3" t="s">
        <v>262</v>
      </c>
      <c r="B1061" s="45" t="s">
        <v>2072</v>
      </c>
      <c r="C1061" s="45" t="s">
        <v>2073</v>
      </c>
      <c r="D1061" s="46" t="s">
        <v>2074</v>
      </c>
      <c r="E1061" s="3">
        <v>404</v>
      </c>
      <c r="F1061" s="3">
        <v>374</v>
      </c>
      <c r="G1061" s="3">
        <v>2200</v>
      </c>
      <c r="H1061" s="3">
        <v>385</v>
      </c>
      <c r="I1061" s="9">
        <v>41078</v>
      </c>
      <c r="J1061" s="47">
        <v>0.75773148148148151</v>
      </c>
    </row>
    <row r="1062" spans="1:10" x14ac:dyDescent="0.25">
      <c r="A1062" s="3" t="s">
        <v>262</v>
      </c>
      <c r="B1062" s="45" t="s">
        <v>2152</v>
      </c>
      <c r="C1062" s="45" t="s">
        <v>2153</v>
      </c>
      <c r="D1062" s="46" t="s">
        <v>2154</v>
      </c>
      <c r="E1062" s="3">
        <v>487</v>
      </c>
      <c r="F1062" s="3">
        <v>348</v>
      </c>
      <c r="G1062" s="3">
        <v>2151</v>
      </c>
      <c r="H1062" s="3">
        <v>1151</v>
      </c>
      <c r="I1062" s="9">
        <v>41024</v>
      </c>
      <c r="J1062" s="47">
        <v>0.43346064814814816</v>
      </c>
    </row>
    <row r="1063" spans="1:10" x14ac:dyDescent="0.25">
      <c r="A1063" s="3" t="s">
        <v>262</v>
      </c>
      <c r="B1063" s="45" t="s">
        <v>1148</v>
      </c>
      <c r="D1063" s="46" t="s">
        <v>2005</v>
      </c>
      <c r="E1063" s="3">
        <v>391</v>
      </c>
      <c r="F1063" s="3">
        <v>404</v>
      </c>
      <c r="G1063" s="3">
        <v>2123</v>
      </c>
      <c r="H1063" s="3">
        <v>1000</v>
      </c>
      <c r="I1063" s="9">
        <v>41451</v>
      </c>
      <c r="J1063" s="47">
        <v>0.34215277777777775</v>
      </c>
    </row>
    <row r="1064" spans="1:10" ht="30" x14ac:dyDescent="0.25">
      <c r="A1064" s="3" t="s">
        <v>262</v>
      </c>
      <c r="B1064" s="45" t="s">
        <v>2130</v>
      </c>
      <c r="C1064" s="45" t="s">
        <v>2131</v>
      </c>
      <c r="D1064" s="46" t="s">
        <v>2132</v>
      </c>
      <c r="E1064" s="3">
        <v>381</v>
      </c>
      <c r="F1064" s="3">
        <v>353</v>
      </c>
      <c r="G1064" s="3">
        <v>2108</v>
      </c>
      <c r="H1064" s="3">
        <v>1052</v>
      </c>
      <c r="I1064" s="9">
        <v>41387</v>
      </c>
      <c r="J1064" s="47">
        <v>0.83327546296296295</v>
      </c>
    </row>
    <row r="1065" spans="1:10" x14ac:dyDescent="0.25">
      <c r="A1065" s="3" t="s">
        <v>262</v>
      </c>
      <c r="B1065" s="45" t="s">
        <v>1057</v>
      </c>
      <c r="C1065" s="45" t="s">
        <v>1058</v>
      </c>
      <c r="D1065" s="46" t="s">
        <v>1059</v>
      </c>
      <c r="E1065" s="3">
        <v>2128</v>
      </c>
      <c r="F1065" s="3">
        <v>1183</v>
      </c>
      <c r="G1065" s="3">
        <v>2076</v>
      </c>
      <c r="H1065" s="3">
        <v>233</v>
      </c>
      <c r="I1065" s="9">
        <v>39865</v>
      </c>
      <c r="J1065" s="47">
        <v>0.59873842592592597</v>
      </c>
    </row>
    <row r="1066" spans="1:10" x14ac:dyDescent="0.25">
      <c r="A1066" s="3" t="s">
        <v>262</v>
      </c>
      <c r="B1066" s="45" t="s">
        <v>2506</v>
      </c>
      <c r="C1066" s="45" t="s">
        <v>2507</v>
      </c>
      <c r="D1066" s="46" t="s">
        <v>2508</v>
      </c>
      <c r="E1066" s="3">
        <v>132</v>
      </c>
      <c r="F1066" s="3">
        <v>234</v>
      </c>
      <c r="G1066" s="3">
        <v>2062</v>
      </c>
      <c r="H1066" s="3">
        <v>589</v>
      </c>
      <c r="I1066" s="9">
        <v>41710</v>
      </c>
      <c r="J1066" s="47">
        <v>0.40155092592592595</v>
      </c>
    </row>
    <row r="1067" spans="1:10" ht="30" x14ac:dyDescent="0.25">
      <c r="A1067" s="3" t="s">
        <v>262</v>
      </c>
      <c r="B1067" s="45" t="s">
        <v>1904</v>
      </c>
      <c r="C1067" s="45" t="s">
        <v>1905</v>
      </c>
      <c r="D1067" s="46" t="s">
        <v>1906</v>
      </c>
      <c r="E1067" s="3">
        <v>243</v>
      </c>
      <c r="F1067" s="3">
        <v>440</v>
      </c>
      <c r="G1067" s="3">
        <v>2026</v>
      </c>
      <c r="H1067" s="3">
        <v>413</v>
      </c>
      <c r="I1067" s="9">
        <v>41975</v>
      </c>
      <c r="J1067" s="47">
        <v>0.55460648148148151</v>
      </c>
    </row>
    <row r="1068" spans="1:10" ht="30" x14ac:dyDescent="0.25">
      <c r="A1068" s="3" t="s">
        <v>262</v>
      </c>
      <c r="B1068" s="45" t="s">
        <v>1901</v>
      </c>
      <c r="C1068" s="45" t="s">
        <v>1902</v>
      </c>
      <c r="D1068" s="46" t="s">
        <v>1903</v>
      </c>
      <c r="E1068" s="3">
        <v>537</v>
      </c>
      <c r="F1068" s="3">
        <v>440</v>
      </c>
      <c r="G1068" s="3">
        <v>2022</v>
      </c>
      <c r="H1068" s="3">
        <v>864</v>
      </c>
      <c r="I1068" s="9">
        <v>40577</v>
      </c>
      <c r="J1068" s="47">
        <v>0.49678240740740742</v>
      </c>
    </row>
    <row r="1069" spans="1:10" x14ac:dyDescent="0.25">
      <c r="A1069" s="3" t="s">
        <v>262</v>
      </c>
      <c r="B1069" s="45" t="s">
        <v>2470</v>
      </c>
      <c r="D1069" s="46" t="s">
        <v>2740</v>
      </c>
      <c r="E1069" s="3">
        <v>78</v>
      </c>
      <c r="F1069" s="3">
        <v>188</v>
      </c>
      <c r="G1069" s="3">
        <v>2020</v>
      </c>
      <c r="H1069" s="3">
        <v>95</v>
      </c>
      <c r="I1069" s="9">
        <v>40512</v>
      </c>
      <c r="J1069" s="47">
        <v>0.5178935185185185</v>
      </c>
    </row>
    <row r="1070" spans="1:10" ht="30" x14ac:dyDescent="0.25">
      <c r="A1070" s="3" t="s">
        <v>262</v>
      </c>
      <c r="B1070" s="45" t="s">
        <v>2266</v>
      </c>
      <c r="C1070" s="45" t="s">
        <v>2267</v>
      </c>
      <c r="D1070" s="46" t="s">
        <v>2268</v>
      </c>
      <c r="E1070" s="3">
        <v>582</v>
      </c>
      <c r="F1070" s="3">
        <v>298</v>
      </c>
      <c r="G1070" s="3">
        <v>1904</v>
      </c>
      <c r="H1070" s="3">
        <v>142</v>
      </c>
      <c r="I1070" s="9">
        <v>42184</v>
      </c>
      <c r="J1070" s="47">
        <v>0.5064467592592593</v>
      </c>
    </row>
    <row r="1071" spans="1:10" x14ac:dyDescent="0.25">
      <c r="A1071" s="3" t="s">
        <v>262</v>
      </c>
      <c r="B1071" s="45" t="s">
        <v>2886</v>
      </c>
      <c r="C1071" s="45" t="s">
        <v>2887</v>
      </c>
      <c r="D1071" s="46" t="s">
        <v>2888</v>
      </c>
      <c r="E1071" s="3">
        <v>76</v>
      </c>
      <c r="F1071" s="3">
        <v>162</v>
      </c>
      <c r="G1071" s="3">
        <v>1887</v>
      </c>
      <c r="H1071" s="3">
        <v>19</v>
      </c>
      <c r="I1071" s="9">
        <v>40399</v>
      </c>
      <c r="J1071" s="47">
        <v>0.60108796296296296</v>
      </c>
    </row>
    <row r="1072" spans="1:10" x14ac:dyDescent="0.25">
      <c r="A1072" s="3" t="s">
        <v>262</v>
      </c>
      <c r="B1072" s="45" t="s">
        <v>1478</v>
      </c>
      <c r="C1072" s="45" t="s">
        <v>2381</v>
      </c>
      <c r="D1072" s="46" t="s">
        <v>2382</v>
      </c>
      <c r="E1072" s="3">
        <v>370</v>
      </c>
      <c r="F1072" s="3">
        <v>267</v>
      </c>
      <c r="G1072" s="3">
        <v>1860</v>
      </c>
      <c r="H1072" s="3">
        <v>313</v>
      </c>
      <c r="I1072" s="9">
        <v>41596</v>
      </c>
      <c r="J1072" s="47">
        <v>0.58984953703703702</v>
      </c>
    </row>
    <row r="1073" spans="1:10" ht="45" x14ac:dyDescent="0.25">
      <c r="A1073" s="3" t="s">
        <v>262</v>
      </c>
      <c r="B1073" s="45" t="s">
        <v>1936</v>
      </c>
      <c r="C1073" s="45" t="s">
        <v>1937</v>
      </c>
      <c r="D1073" s="46" t="s">
        <v>1938</v>
      </c>
      <c r="E1073" s="3">
        <v>213</v>
      </c>
      <c r="F1073" s="3">
        <v>427</v>
      </c>
      <c r="G1073" s="3">
        <v>1815</v>
      </c>
      <c r="H1073" s="3">
        <v>393</v>
      </c>
      <c r="I1073" s="9">
        <v>40189</v>
      </c>
      <c r="J1073" s="47">
        <v>0.46840277777777778</v>
      </c>
    </row>
    <row r="1074" spans="1:10" x14ac:dyDescent="0.25">
      <c r="A1074" s="3" t="s">
        <v>262</v>
      </c>
      <c r="B1074" s="45" t="s">
        <v>1855</v>
      </c>
      <c r="C1074" s="45" t="s">
        <v>318</v>
      </c>
      <c r="D1074" s="46" t="s">
        <v>1856</v>
      </c>
      <c r="E1074" s="3">
        <v>842</v>
      </c>
      <c r="F1074" s="3">
        <v>466</v>
      </c>
      <c r="G1074" s="3">
        <v>1764</v>
      </c>
      <c r="H1074" s="3">
        <v>1721</v>
      </c>
      <c r="I1074" s="9">
        <v>39926</v>
      </c>
      <c r="J1074" s="47">
        <v>0.51186342592592593</v>
      </c>
    </row>
    <row r="1075" spans="1:10" x14ac:dyDescent="0.25">
      <c r="A1075" s="3" t="s">
        <v>262</v>
      </c>
      <c r="B1075" s="45" t="s">
        <v>1964</v>
      </c>
      <c r="C1075" s="45" t="s">
        <v>180</v>
      </c>
      <c r="D1075" s="46" t="s">
        <v>1965</v>
      </c>
      <c r="E1075" s="3">
        <v>319</v>
      </c>
      <c r="F1075" s="3">
        <v>419</v>
      </c>
      <c r="G1075" s="3">
        <v>1734</v>
      </c>
      <c r="H1075" s="3">
        <v>16</v>
      </c>
      <c r="I1075" s="9">
        <v>41163</v>
      </c>
      <c r="J1075" s="47">
        <v>0.71848379629629633</v>
      </c>
    </row>
    <row r="1076" spans="1:10" x14ac:dyDescent="0.25">
      <c r="A1076" s="3" t="s">
        <v>262</v>
      </c>
      <c r="B1076" s="45" t="s">
        <v>2922</v>
      </c>
      <c r="C1076" s="45" t="s">
        <v>2923</v>
      </c>
      <c r="D1076" s="46" t="s">
        <v>2924</v>
      </c>
      <c r="E1076" s="3">
        <v>273</v>
      </c>
      <c r="F1076" s="3">
        <v>154</v>
      </c>
      <c r="G1076" s="3">
        <v>1600</v>
      </c>
      <c r="H1076" s="3">
        <v>76</v>
      </c>
      <c r="I1076" s="9">
        <v>40631</v>
      </c>
      <c r="J1076" s="47">
        <v>0.52482638888888888</v>
      </c>
    </row>
    <row r="1077" spans="1:10" ht="30" x14ac:dyDescent="0.25">
      <c r="A1077" s="3" t="s">
        <v>262</v>
      </c>
      <c r="B1077" s="45" t="s">
        <v>2689</v>
      </c>
      <c r="C1077" s="45" t="s">
        <v>2690</v>
      </c>
      <c r="D1077" s="46" t="s">
        <v>2691</v>
      </c>
      <c r="E1077" s="3">
        <v>280</v>
      </c>
      <c r="F1077" s="3">
        <v>195</v>
      </c>
      <c r="G1077" s="3">
        <v>1579</v>
      </c>
      <c r="H1077" s="3">
        <v>58</v>
      </c>
      <c r="I1077" s="9">
        <v>41561</v>
      </c>
      <c r="J1077" s="47">
        <v>0.59520833333333334</v>
      </c>
    </row>
    <row r="1078" spans="1:10" x14ac:dyDescent="0.25">
      <c r="A1078" s="3" t="s">
        <v>262</v>
      </c>
      <c r="B1078" s="45" t="s">
        <v>2003</v>
      </c>
      <c r="C1078" s="45" t="s">
        <v>77</v>
      </c>
      <c r="D1078" s="46" t="s">
        <v>2004</v>
      </c>
      <c r="E1078" s="3">
        <v>232</v>
      </c>
      <c r="F1078" s="3">
        <v>404</v>
      </c>
      <c r="G1078" s="3">
        <v>1561</v>
      </c>
      <c r="H1078" s="3">
        <v>931</v>
      </c>
      <c r="I1078" s="9">
        <v>41060</v>
      </c>
      <c r="J1078" s="47">
        <v>0.57221064814814815</v>
      </c>
    </row>
    <row r="1079" spans="1:10" ht="30" x14ac:dyDescent="0.25">
      <c r="A1079" s="3" t="s">
        <v>262</v>
      </c>
      <c r="B1079" s="45" t="s">
        <v>1801</v>
      </c>
      <c r="C1079" s="45" t="s">
        <v>1802</v>
      </c>
      <c r="D1079" s="46" t="s">
        <v>1803</v>
      </c>
      <c r="E1079" s="3">
        <v>588</v>
      </c>
      <c r="F1079" s="3">
        <v>502</v>
      </c>
      <c r="G1079" s="3">
        <v>1493</v>
      </c>
      <c r="H1079" s="3">
        <v>995</v>
      </c>
      <c r="I1079" s="9">
        <v>41150</v>
      </c>
      <c r="J1079" s="47">
        <v>0.64456018518518521</v>
      </c>
    </row>
    <row r="1080" spans="1:10" ht="30" x14ac:dyDescent="0.25">
      <c r="A1080" s="3" t="s">
        <v>262</v>
      </c>
      <c r="B1080" s="45" t="s">
        <v>2758</v>
      </c>
      <c r="C1080" s="45" t="s">
        <v>2759</v>
      </c>
      <c r="D1080" s="46" t="s">
        <v>2760</v>
      </c>
      <c r="E1080" s="3">
        <v>193</v>
      </c>
      <c r="F1080" s="3">
        <v>185</v>
      </c>
      <c r="G1080" s="3">
        <v>1463</v>
      </c>
      <c r="H1080" s="3">
        <v>603</v>
      </c>
      <c r="I1080" s="9">
        <v>40934</v>
      </c>
      <c r="J1080" s="47">
        <v>0.50635416666666666</v>
      </c>
    </row>
    <row r="1081" spans="1:10" ht="30" x14ac:dyDescent="0.25">
      <c r="A1081" s="3" t="s">
        <v>262</v>
      </c>
      <c r="B1081" s="45" t="s">
        <v>1634</v>
      </c>
      <c r="C1081" s="45" t="s">
        <v>1635</v>
      </c>
      <c r="D1081" s="46" t="s">
        <v>1636</v>
      </c>
      <c r="E1081" s="3">
        <v>563</v>
      </c>
      <c r="F1081" s="3">
        <v>626</v>
      </c>
      <c r="G1081" s="3">
        <v>1440</v>
      </c>
      <c r="H1081" s="3">
        <v>404</v>
      </c>
      <c r="I1081" s="9">
        <v>41165</v>
      </c>
      <c r="J1081" s="47">
        <v>0.77637731481481476</v>
      </c>
    </row>
    <row r="1082" spans="1:10" ht="30" x14ac:dyDescent="0.25">
      <c r="A1082" s="3" t="s">
        <v>262</v>
      </c>
      <c r="B1082" s="45" t="s">
        <v>1932</v>
      </c>
      <c r="D1082" s="46" t="s">
        <v>1933</v>
      </c>
      <c r="E1082" s="3">
        <v>408</v>
      </c>
      <c r="F1082" s="3">
        <v>430</v>
      </c>
      <c r="G1082" s="3">
        <v>1413</v>
      </c>
      <c r="H1082" s="3">
        <v>1848</v>
      </c>
      <c r="I1082" s="9">
        <v>42328</v>
      </c>
      <c r="J1082" s="47">
        <v>0.88519675925925922</v>
      </c>
    </row>
    <row r="1083" spans="1:10" ht="30" x14ac:dyDescent="0.25">
      <c r="A1083" s="3" t="s">
        <v>262</v>
      </c>
      <c r="B1083" s="45" t="s">
        <v>2615</v>
      </c>
      <c r="C1083" s="45" t="s">
        <v>2616</v>
      </c>
      <c r="D1083" s="46" t="s">
        <v>2617</v>
      </c>
      <c r="E1083" s="3">
        <v>77</v>
      </c>
      <c r="F1083" s="3">
        <v>210</v>
      </c>
      <c r="G1083" s="3">
        <v>1377</v>
      </c>
      <c r="H1083" s="3">
        <v>3</v>
      </c>
      <c r="I1083" s="9">
        <v>40687</v>
      </c>
      <c r="J1083" s="47">
        <v>0.51766203703703706</v>
      </c>
    </row>
    <row r="1084" spans="1:10" ht="30" x14ac:dyDescent="0.25">
      <c r="A1084" s="3" t="s">
        <v>262</v>
      </c>
      <c r="B1084" s="45" t="s">
        <v>2176</v>
      </c>
      <c r="C1084" s="45" t="s">
        <v>2177</v>
      </c>
      <c r="D1084" s="46" t="s">
        <v>2178</v>
      </c>
      <c r="E1084" s="3">
        <v>260</v>
      </c>
      <c r="F1084" s="3">
        <v>337</v>
      </c>
      <c r="G1084" s="3">
        <v>1370</v>
      </c>
      <c r="H1084" s="3">
        <v>546</v>
      </c>
      <c r="I1084" s="9">
        <v>40889</v>
      </c>
      <c r="J1084" s="47">
        <v>0.62318287037037035</v>
      </c>
    </row>
    <row r="1085" spans="1:10" x14ac:dyDescent="0.25">
      <c r="A1085" s="3" t="s">
        <v>262</v>
      </c>
      <c r="B1085" s="45" t="s">
        <v>2215</v>
      </c>
      <c r="C1085" s="45" t="s">
        <v>2216</v>
      </c>
      <c r="D1085" s="46" t="s">
        <v>2217</v>
      </c>
      <c r="E1085" s="3">
        <v>901</v>
      </c>
      <c r="F1085" s="3">
        <v>319</v>
      </c>
      <c r="G1085" s="3">
        <v>1360</v>
      </c>
      <c r="H1085" s="3">
        <v>0</v>
      </c>
      <c r="I1085" s="9">
        <v>42411</v>
      </c>
      <c r="J1085" s="47">
        <v>0.48085648148148147</v>
      </c>
    </row>
    <row r="1086" spans="1:10" ht="30" x14ac:dyDescent="0.25">
      <c r="A1086" s="3" t="s">
        <v>262</v>
      </c>
      <c r="B1086" s="45" t="s">
        <v>1478</v>
      </c>
      <c r="C1086" s="45" t="s">
        <v>1479</v>
      </c>
      <c r="D1086" s="46" t="s">
        <v>1480</v>
      </c>
      <c r="E1086" s="3">
        <v>730</v>
      </c>
      <c r="F1086" s="3">
        <v>750</v>
      </c>
      <c r="G1086" s="3">
        <v>1340</v>
      </c>
      <c r="H1086" s="3">
        <v>79</v>
      </c>
      <c r="I1086" s="9">
        <v>40143</v>
      </c>
      <c r="J1086" s="47">
        <v>0.18421296296296297</v>
      </c>
    </row>
    <row r="1087" spans="1:10" ht="30" x14ac:dyDescent="0.25">
      <c r="A1087" s="3" t="s">
        <v>262</v>
      </c>
      <c r="B1087" s="45" t="s">
        <v>1760</v>
      </c>
      <c r="C1087" s="45" t="s">
        <v>514</v>
      </c>
      <c r="D1087" s="46" t="s">
        <v>1761</v>
      </c>
      <c r="E1087" s="3">
        <v>1058</v>
      </c>
      <c r="F1087" s="3">
        <v>517</v>
      </c>
      <c r="G1087" s="3">
        <v>1334</v>
      </c>
      <c r="H1087" s="3">
        <v>1458</v>
      </c>
      <c r="I1087" s="9">
        <v>41472</v>
      </c>
      <c r="J1087" s="47">
        <v>0.40283564814814815</v>
      </c>
    </row>
    <row r="1088" spans="1:10" ht="30" x14ac:dyDescent="0.25">
      <c r="A1088" s="3" t="s">
        <v>262</v>
      </c>
      <c r="B1088" s="45" t="s">
        <v>1478</v>
      </c>
      <c r="C1088" s="45" t="s">
        <v>1873</v>
      </c>
      <c r="D1088" s="46" t="s">
        <v>1874</v>
      </c>
      <c r="E1088" s="3">
        <v>1008</v>
      </c>
      <c r="F1088" s="3">
        <v>462</v>
      </c>
      <c r="G1088" s="3">
        <v>1327</v>
      </c>
      <c r="H1088" s="3">
        <v>365</v>
      </c>
      <c r="I1088" s="9">
        <v>41229</v>
      </c>
      <c r="J1088" s="47">
        <v>0.37862268518518521</v>
      </c>
    </row>
    <row r="1089" spans="1:10" x14ac:dyDescent="0.25">
      <c r="A1089" s="3" t="s">
        <v>262</v>
      </c>
      <c r="B1089" s="45" t="s">
        <v>2456</v>
      </c>
      <c r="C1089" s="45" t="s">
        <v>2457</v>
      </c>
      <c r="D1089" s="46" t="s">
        <v>2458</v>
      </c>
      <c r="E1089" s="3">
        <v>230</v>
      </c>
      <c r="F1089" s="3">
        <v>251</v>
      </c>
      <c r="G1089" s="3">
        <v>1314</v>
      </c>
      <c r="H1089" s="3">
        <v>351</v>
      </c>
      <c r="I1089" s="9">
        <v>41625</v>
      </c>
      <c r="J1089" s="47">
        <v>0.5957175925925926</v>
      </c>
    </row>
    <row r="1090" spans="1:10" ht="45" x14ac:dyDescent="0.25">
      <c r="A1090" s="3" t="s">
        <v>262</v>
      </c>
      <c r="B1090" s="45" t="s">
        <v>1870</v>
      </c>
      <c r="C1090" s="45" t="s">
        <v>1871</v>
      </c>
      <c r="D1090" s="46" t="s">
        <v>1872</v>
      </c>
      <c r="E1090" s="3">
        <v>502</v>
      </c>
      <c r="F1090" s="3">
        <v>463</v>
      </c>
      <c r="G1090" s="3">
        <v>1310</v>
      </c>
      <c r="H1090" s="3">
        <v>181</v>
      </c>
      <c r="I1090" s="9">
        <v>41432</v>
      </c>
      <c r="J1090" s="47">
        <v>0.44295138888888891</v>
      </c>
    </row>
    <row r="1091" spans="1:10" ht="30" x14ac:dyDescent="0.25">
      <c r="A1091" s="3" t="s">
        <v>262</v>
      </c>
      <c r="B1091" s="45" t="s">
        <v>2245</v>
      </c>
      <c r="C1091" s="45" t="s">
        <v>526</v>
      </c>
      <c r="D1091" s="46" t="s">
        <v>2246</v>
      </c>
      <c r="E1091" s="3">
        <v>332</v>
      </c>
      <c r="F1091" s="3">
        <v>311</v>
      </c>
      <c r="G1091" s="3">
        <v>1293</v>
      </c>
      <c r="H1091" s="3">
        <v>267</v>
      </c>
      <c r="I1091" s="9">
        <v>40736</v>
      </c>
      <c r="J1091" s="47">
        <v>0.55862268518518521</v>
      </c>
    </row>
    <row r="1092" spans="1:10" x14ac:dyDescent="0.25">
      <c r="A1092" s="3" t="s">
        <v>262</v>
      </c>
      <c r="B1092" s="45" t="s">
        <v>2085</v>
      </c>
      <c r="D1092" s="46" t="s">
        <v>2086</v>
      </c>
      <c r="E1092" s="3">
        <v>426</v>
      </c>
      <c r="F1092" s="3">
        <v>368</v>
      </c>
      <c r="G1092" s="3">
        <v>1284</v>
      </c>
      <c r="H1092" s="3">
        <v>632</v>
      </c>
      <c r="I1092" s="9">
        <v>41414</v>
      </c>
      <c r="J1092" s="47">
        <v>0.64604166666666674</v>
      </c>
    </row>
    <row r="1093" spans="1:10" ht="30" x14ac:dyDescent="0.25">
      <c r="A1093" s="3" t="s">
        <v>262</v>
      </c>
      <c r="B1093" s="45" t="s">
        <v>2415</v>
      </c>
      <c r="C1093" s="45" t="s">
        <v>2416</v>
      </c>
      <c r="D1093" s="46" t="s">
        <v>2417</v>
      </c>
      <c r="E1093" s="3">
        <v>727</v>
      </c>
      <c r="F1093" s="3">
        <v>260</v>
      </c>
      <c r="G1093" s="3">
        <v>1261</v>
      </c>
      <c r="H1093" s="3">
        <v>2273</v>
      </c>
      <c r="I1093" s="9">
        <v>42025</v>
      </c>
      <c r="J1093" s="47">
        <v>0.41998842592592589</v>
      </c>
    </row>
    <row r="1094" spans="1:10" ht="30" x14ac:dyDescent="0.25">
      <c r="A1094" s="3" t="s">
        <v>262</v>
      </c>
      <c r="B1094" s="45" t="s">
        <v>2291</v>
      </c>
      <c r="C1094" s="45" t="s">
        <v>2292</v>
      </c>
      <c r="D1094" s="46" t="s">
        <v>2293</v>
      </c>
      <c r="E1094" s="3">
        <v>247</v>
      </c>
      <c r="F1094" s="3">
        <v>291</v>
      </c>
      <c r="G1094" s="3">
        <v>1217</v>
      </c>
      <c r="H1094" s="3">
        <v>143</v>
      </c>
      <c r="I1094" s="9">
        <v>41026</v>
      </c>
      <c r="J1094" s="47">
        <v>0.94092592592592583</v>
      </c>
    </row>
    <row r="1095" spans="1:10" ht="30" x14ac:dyDescent="0.25">
      <c r="A1095" s="3" t="s">
        <v>262</v>
      </c>
      <c r="B1095" s="45" t="s">
        <v>2040</v>
      </c>
      <c r="C1095" s="45" t="s">
        <v>2041</v>
      </c>
      <c r="D1095" s="46" t="s">
        <v>2042</v>
      </c>
      <c r="E1095" s="3">
        <v>1335</v>
      </c>
      <c r="F1095" s="3">
        <v>391</v>
      </c>
      <c r="G1095" s="3">
        <v>1209</v>
      </c>
      <c r="H1095" s="3">
        <v>994</v>
      </c>
      <c r="I1095" s="9">
        <v>42138</v>
      </c>
      <c r="J1095" s="47">
        <v>0.59924768518518523</v>
      </c>
    </row>
    <row r="1096" spans="1:10" ht="30" x14ac:dyDescent="0.25">
      <c r="A1096" s="3" t="s">
        <v>262</v>
      </c>
      <c r="B1096" s="45" t="s">
        <v>1541</v>
      </c>
      <c r="C1096" s="45" t="s">
        <v>1542</v>
      </c>
      <c r="D1096" s="46" t="s">
        <v>1543</v>
      </c>
      <c r="E1096" s="3">
        <v>111</v>
      </c>
      <c r="F1096" s="3">
        <v>715</v>
      </c>
      <c r="G1096" s="3">
        <v>1200</v>
      </c>
      <c r="H1096" s="3">
        <v>468</v>
      </c>
      <c r="I1096" s="9">
        <v>41172</v>
      </c>
      <c r="J1096" s="47">
        <v>0.65920138888888891</v>
      </c>
    </row>
    <row r="1097" spans="1:10" x14ac:dyDescent="0.25">
      <c r="A1097" s="3" t="s">
        <v>262</v>
      </c>
      <c r="B1097" s="45" t="s">
        <v>2433</v>
      </c>
      <c r="C1097" s="45" t="s">
        <v>2434</v>
      </c>
      <c r="D1097" s="46" t="s">
        <v>2435</v>
      </c>
      <c r="E1097" s="3">
        <v>935</v>
      </c>
      <c r="F1097" s="3">
        <v>257</v>
      </c>
      <c r="G1097" s="3">
        <v>1192</v>
      </c>
      <c r="H1097" s="3">
        <v>46</v>
      </c>
      <c r="I1097" s="9">
        <v>40267</v>
      </c>
      <c r="J1097" s="47">
        <v>0.65740740740740744</v>
      </c>
    </row>
    <row r="1098" spans="1:10" ht="30" x14ac:dyDescent="0.25">
      <c r="A1098" s="3" t="s">
        <v>262</v>
      </c>
      <c r="B1098" s="45" t="s">
        <v>2832</v>
      </c>
      <c r="C1098" s="45" t="s">
        <v>1377</v>
      </c>
      <c r="D1098" s="46" t="s">
        <v>2833</v>
      </c>
      <c r="E1098" s="3">
        <v>336</v>
      </c>
      <c r="F1098" s="3">
        <v>171</v>
      </c>
      <c r="G1098" s="3">
        <v>1189</v>
      </c>
      <c r="H1098" s="3">
        <v>2322</v>
      </c>
      <c r="I1098" s="9">
        <v>41212</v>
      </c>
      <c r="J1098" s="47">
        <v>0.69861111111111107</v>
      </c>
    </row>
    <row r="1099" spans="1:10" x14ac:dyDescent="0.25">
      <c r="A1099" s="3" t="s">
        <v>262</v>
      </c>
      <c r="B1099" s="45" t="s">
        <v>1884</v>
      </c>
      <c r="C1099" s="45" t="s">
        <v>1885</v>
      </c>
      <c r="D1099" s="46" t="s">
        <v>1886</v>
      </c>
      <c r="E1099" s="3">
        <v>384</v>
      </c>
      <c r="F1099" s="3">
        <v>452</v>
      </c>
      <c r="G1099" s="3">
        <v>1178</v>
      </c>
      <c r="H1099" s="3">
        <v>2895</v>
      </c>
      <c r="I1099" s="9">
        <v>41810</v>
      </c>
      <c r="J1099" s="47">
        <v>0.43657407407407406</v>
      </c>
    </row>
    <row r="1100" spans="1:10" x14ac:dyDescent="0.25">
      <c r="A1100" s="3" t="s">
        <v>262</v>
      </c>
      <c r="B1100" s="45" t="s">
        <v>2528</v>
      </c>
      <c r="D1100" s="46" t="s">
        <v>2529</v>
      </c>
      <c r="E1100" s="3">
        <v>193</v>
      </c>
      <c r="F1100" s="3">
        <v>228</v>
      </c>
      <c r="G1100" s="3">
        <v>1165</v>
      </c>
      <c r="H1100" s="3">
        <v>57</v>
      </c>
      <c r="I1100" s="9">
        <v>41044</v>
      </c>
      <c r="J1100" s="47">
        <v>0.34748842592592594</v>
      </c>
    </row>
    <row r="1101" spans="1:10" x14ac:dyDescent="0.25">
      <c r="A1101" s="3" t="s">
        <v>262</v>
      </c>
      <c r="B1101" s="45" t="s">
        <v>2282</v>
      </c>
      <c r="C1101" s="45" t="s">
        <v>2283</v>
      </c>
      <c r="D1101" s="46" t="s">
        <v>2284</v>
      </c>
      <c r="E1101" s="3">
        <v>306</v>
      </c>
      <c r="F1101" s="3">
        <v>294</v>
      </c>
      <c r="G1101" s="3">
        <v>1163</v>
      </c>
      <c r="H1101" s="3">
        <v>111</v>
      </c>
      <c r="I1101" s="9">
        <v>40057</v>
      </c>
      <c r="J1101" s="47">
        <v>0.7289930555555556</v>
      </c>
    </row>
    <row r="1102" spans="1:10" x14ac:dyDescent="0.25">
      <c r="A1102" s="3" t="s">
        <v>262</v>
      </c>
      <c r="B1102" s="45" t="s">
        <v>1898</v>
      </c>
      <c r="C1102" s="45" t="s">
        <v>1899</v>
      </c>
      <c r="D1102" s="46" t="s">
        <v>1900</v>
      </c>
      <c r="E1102" s="3">
        <v>826</v>
      </c>
      <c r="F1102" s="3">
        <v>442</v>
      </c>
      <c r="G1102" s="3">
        <v>1156</v>
      </c>
      <c r="H1102" s="3">
        <v>1444</v>
      </c>
      <c r="I1102" s="9">
        <v>41569</v>
      </c>
      <c r="J1102" s="47">
        <v>0.62353009259259262</v>
      </c>
    </row>
    <row r="1103" spans="1:10" x14ac:dyDescent="0.25">
      <c r="A1103" s="3" t="s">
        <v>262</v>
      </c>
      <c r="B1103" s="45" t="s">
        <v>2428</v>
      </c>
      <c r="C1103" s="45" t="s">
        <v>2429</v>
      </c>
      <c r="D1103" s="46" t="s">
        <v>2430</v>
      </c>
      <c r="E1103" s="3">
        <v>212</v>
      </c>
      <c r="F1103" s="3">
        <v>258</v>
      </c>
      <c r="G1103" s="3">
        <v>1139</v>
      </c>
      <c r="H1103" s="3">
        <v>44</v>
      </c>
      <c r="I1103" s="9">
        <v>41907</v>
      </c>
      <c r="J1103" s="47">
        <v>0.3982060185185185</v>
      </c>
    </row>
    <row r="1104" spans="1:10" x14ac:dyDescent="0.25">
      <c r="A1104" s="3" t="s">
        <v>262</v>
      </c>
      <c r="B1104" s="45" t="s">
        <v>2355</v>
      </c>
      <c r="C1104" s="45" t="s">
        <v>2356</v>
      </c>
      <c r="D1104" s="46" t="s">
        <v>2357</v>
      </c>
      <c r="E1104" s="3">
        <v>172</v>
      </c>
      <c r="F1104" s="3">
        <v>273</v>
      </c>
      <c r="G1104" s="3">
        <v>1118</v>
      </c>
      <c r="H1104" s="3">
        <v>56</v>
      </c>
      <c r="I1104" s="9">
        <v>40453</v>
      </c>
      <c r="J1104" s="47">
        <v>0.56194444444444447</v>
      </c>
    </row>
    <row r="1105" spans="1:10" ht="30" x14ac:dyDescent="0.25">
      <c r="A1105" s="3" t="s">
        <v>262</v>
      </c>
      <c r="B1105" s="45" t="s">
        <v>2470</v>
      </c>
      <c r="C1105" s="45" t="s">
        <v>2471</v>
      </c>
      <c r="D1105" s="46" t="s">
        <v>2472</v>
      </c>
      <c r="E1105" s="3">
        <v>296</v>
      </c>
      <c r="F1105" s="3">
        <v>248</v>
      </c>
      <c r="G1105" s="3">
        <v>1107</v>
      </c>
      <c r="H1105" s="3">
        <v>1020</v>
      </c>
      <c r="I1105" s="9">
        <v>41612</v>
      </c>
      <c r="J1105" s="47">
        <v>0.65981481481481474</v>
      </c>
    </row>
    <row r="1106" spans="1:10" ht="30" x14ac:dyDescent="0.25">
      <c r="A1106" s="3" t="s">
        <v>262</v>
      </c>
      <c r="B1106" s="45" t="s">
        <v>2784</v>
      </c>
      <c r="C1106" s="45" t="s">
        <v>2785</v>
      </c>
      <c r="D1106" s="46" t="s">
        <v>2786</v>
      </c>
      <c r="E1106" s="3">
        <v>227</v>
      </c>
      <c r="F1106" s="3">
        <v>179</v>
      </c>
      <c r="G1106" s="3">
        <v>1104</v>
      </c>
      <c r="H1106" s="3">
        <v>86</v>
      </c>
      <c r="I1106" s="9">
        <v>40983</v>
      </c>
      <c r="J1106" s="47">
        <v>0.54663194444444441</v>
      </c>
    </row>
    <row r="1107" spans="1:10" ht="30" x14ac:dyDescent="0.25">
      <c r="A1107" s="3" t="s">
        <v>262</v>
      </c>
      <c r="B1107" s="45" t="s">
        <v>2229</v>
      </c>
      <c r="C1107" s="45" t="s">
        <v>1189</v>
      </c>
      <c r="D1107" s="46" t="s">
        <v>2230</v>
      </c>
      <c r="E1107" s="3">
        <v>474</v>
      </c>
      <c r="F1107" s="3">
        <v>316</v>
      </c>
      <c r="G1107" s="3">
        <v>1102</v>
      </c>
      <c r="H1107" s="3">
        <v>541</v>
      </c>
      <c r="I1107" s="9">
        <v>40990</v>
      </c>
      <c r="J1107" s="47">
        <v>0.36527777777777781</v>
      </c>
    </row>
    <row r="1108" spans="1:10" ht="30" x14ac:dyDescent="0.25">
      <c r="A1108" s="3" t="s">
        <v>262</v>
      </c>
      <c r="B1108" s="45" t="s">
        <v>2082</v>
      </c>
      <c r="C1108" s="45" t="s">
        <v>2083</v>
      </c>
      <c r="D1108" s="46" t="s">
        <v>2084</v>
      </c>
      <c r="E1108" s="3">
        <v>245</v>
      </c>
      <c r="F1108" s="3">
        <v>371</v>
      </c>
      <c r="G1108" s="3">
        <v>1101</v>
      </c>
      <c r="H1108" s="3">
        <v>472</v>
      </c>
      <c r="I1108" s="9">
        <v>41431</v>
      </c>
      <c r="J1108" s="47">
        <v>0.37344907407407407</v>
      </c>
    </row>
    <row r="1109" spans="1:10" ht="30" x14ac:dyDescent="0.25">
      <c r="A1109" s="3" t="s">
        <v>262</v>
      </c>
      <c r="B1109" s="45" t="s">
        <v>2398</v>
      </c>
      <c r="C1109" s="45" t="s">
        <v>2399</v>
      </c>
      <c r="D1109" s="46" t="s">
        <v>2400</v>
      </c>
      <c r="E1109" s="3">
        <v>430</v>
      </c>
      <c r="F1109" s="3">
        <v>263</v>
      </c>
      <c r="G1109" s="3">
        <v>1099</v>
      </c>
      <c r="H1109" s="3">
        <v>52</v>
      </c>
      <c r="I1109" s="9">
        <v>41341</v>
      </c>
      <c r="J1109" s="47">
        <v>0.46703703703703708</v>
      </c>
    </row>
    <row r="1110" spans="1:10" ht="30" x14ac:dyDescent="0.25">
      <c r="A1110" s="3" t="s">
        <v>262</v>
      </c>
      <c r="B1110" s="45" t="s">
        <v>2061</v>
      </c>
      <c r="C1110" s="45" t="s">
        <v>36</v>
      </c>
      <c r="D1110" s="46" t="s">
        <v>2062</v>
      </c>
      <c r="E1110" s="3">
        <v>402</v>
      </c>
      <c r="F1110" s="3">
        <v>378</v>
      </c>
      <c r="G1110" s="3">
        <v>1081</v>
      </c>
      <c r="H1110" s="3">
        <v>99</v>
      </c>
      <c r="I1110" s="9">
        <v>41199</v>
      </c>
      <c r="J1110" s="47">
        <v>0.58288194444444441</v>
      </c>
    </row>
    <row r="1111" spans="1:10" x14ac:dyDescent="0.25">
      <c r="A1111" s="3" t="s">
        <v>262</v>
      </c>
      <c r="B1111" s="45" t="s">
        <v>2136</v>
      </c>
      <c r="C1111" s="45" t="s">
        <v>2137</v>
      </c>
      <c r="D1111" s="46" t="s">
        <v>2138</v>
      </c>
      <c r="E1111" s="3">
        <v>286</v>
      </c>
      <c r="F1111" s="3">
        <v>352</v>
      </c>
      <c r="G1111" s="3">
        <v>1072</v>
      </c>
      <c r="H1111" s="3">
        <v>1305</v>
      </c>
      <c r="I1111" s="9">
        <v>41604</v>
      </c>
      <c r="J1111" s="47">
        <v>0.43559027777777781</v>
      </c>
    </row>
    <row r="1112" spans="1:10" ht="30" x14ac:dyDescent="0.25">
      <c r="A1112" s="3" t="s">
        <v>262</v>
      </c>
      <c r="B1112" s="45" t="s">
        <v>1715</v>
      </c>
      <c r="C1112" s="45" t="s">
        <v>1716</v>
      </c>
      <c r="D1112" s="46" t="s">
        <v>1717</v>
      </c>
      <c r="E1112" s="3">
        <v>559</v>
      </c>
      <c r="F1112" s="3">
        <v>552</v>
      </c>
      <c r="G1112" s="3">
        <v>1060</v>
      </c>
      <c r="H1112" s="3">
        <v>377</v>
      </c>
      <c r="I1112" s="9">
        <v>40045</v>
      </c>
      <c r="J1112" s="47">
        <v>0.6524537037037037</v>
      </c>
    </row>
    <row r="1113" spans="1:10" ht="30" x14ac:dyDescent="0.25">
      <c r="A1113" s="3" t="s">
        <v>262</v>
      </c>
      <c r="B1113" s="45" t="s">
        <v>3017</v>
      </c>
      <c r="C1113" s="45" t="s">
        <v>24</v>
      </c>
      <c r="D1113" s="46" t="s">
        <v>3018</v>
      </c>
      <c r="E1113" s="3">
        <v>180</v>
      </c>
      <c r="F1113" s="3">
        <v>132</v>
      </c>
      <c r="G1113" s="3">
        <v>1045</v>
      </c>
      <c r="H1113" s="3">
        <v>0</v>
      </c>
      <c r="I1113" s="9">
        <v>40807</v>
      </c>
      <c r="J1113" s="47">
        <v>0.3182638888888889</v>
      </c>
    </row>
    <row r="1114" spans="1:10" ht="30" x14ac:dyDescent="0.25">
      <c r="A1114" s="3" t="s">
        <v>262</v>
      </c>
      <c r="B1114" s="45" t="s">
        <v>1957</v>
      </c>
      <c r="C1114" s="45" t="s">
        <v>1958</v>
      </c>
      <c r="D1114" s="46" t="s">
        <v>1959</v>
      </c>
      <c r="E1114" s="3">
        <v>1723</v>
      </c>
      <c r="F1114" s="3">
        <v>421</v>
      </c>
      <c r="G1114" s="3">
        <v>1022</v>
      </c>
      <c r="H1114" s="3">
        <v>133</v>
      </c>
      <c r="I1114" s="9">
        <v>41662</v>
      </c>
      <c r="J1114" s="47">
        <v>0.58937499999999998</v>
      </c>
    </row>
    <row r="1115" spans="1:10" x14ac:dyDescent="0.25">
      <c r="A1115" s="3" t="s">
        <v>262</v>
      </c>
      <c r="B1115" s="45" t="s">
        <v>2451</v>
      </c>
      <c r="C1115" s="45" t="s">
        <v>74</v>
      </c>
      <c r="D1115" s="46" t="s">
        <v>2452</v>
      </c>
      <c r="E1115" s="3">
        <v>314</v>
      </c>
      <c r="F1115" s="3">
        <v>252</v>
      </c>
      <c r="G1115" s="3">
        <v>1014</v>
      </c>
      <c r="H1115" s="3">
        <v>97</v>
      </c>
      <c r="I1115" s="9">
        <v>39931</v>
      </c>
      <c r="J1115" s="47">
        <v>0.39379629629629626</v>
      </c>
    </row>
    <row r="1116" spans="1:10" x14ac:dyDescent="0.25">
      <c r="A1116" s="3" t="s">
        <v>262</v>
      </c>
      <c r="B1116" s="45" t="s">
        <v>2139</v>
      </c>
      <c r="D1116" s="46" t="s">
        <v>2140</v>
      </c>
      <c r="E1116" s="3">
        <v>157</v>
      </c>
      <c r="F1116" s="3">
        <v>352</v>
      </c>
      <c r="G1116" s="3">
        <v>958</v>
      </c>
      <c r="H1116" s="3">
        <v>71</v>
      </c>
      <c r="I1116" s="9">
        <v>41656</v>
      </c>
      <c r="J1116" s="47">
        <v>0.63923611111111112</v>
      </c>
    </row>
    <row r="1117" spans="1:10" x14ac:dyDescent="0.25">
      <c r="A1117" s="3" t="s">
        <v>262</v>
      </c>
      <c r="B1117" s="45" t="s">
        <v>1914</v>
      </c>
      <c r="C1117" s="45" t="s">
        <v>1915</v>
      </c>
      <c r="D1117" s="46" t="s">
        <v>1916</v>
      </c>
      <c r="E1117" s="3">
        <v>330</v>
      </c>
      <c r="F1117" s="3">
        <v>434</v>
      </c>
      <c r="G1117" s="3">
        <v>948</v>
      </c>
      <c r="H1117" s="3">
        <v>3</v>
      </c>
      <c r="I1117" s="9">
        <v>41158</v>
      </c>
      <c r="J1117" s="47">
        <v>0.45943287037037034</v>
      </c>
    </row>
    <row r="1118" spans="1:10" ht="45" x14ac:dyDescent="0.25">
      <c r="A1118" s="3" t="s">
        <v>262</v>
      </c>
      <c r="B1118" s="45" t="s">
        <v>2912</v>
      </c>
      <c r="C1118" s="45" t="s">
        <v>2913</v>
      </c>
      <c r="D1118" s="46" t="s">
        <v>2914</v>
      </c>
      <c r="E1118" s="3">
        <v>262</v>
      </c>
      <c r="F1118" s="3">
        <v>156</v>
      </c>
      <c r="G1118" s="3">
        <v>922</v>
      </c>
      <c r="H1118" s="3">
        <v>6</v>
      </c>
      <c r="I1118" s="9">
        <v>40812</v>
      </c>
      <c r="J1118" s="47">
        <v>0.68405092592592587</v>
      </c>
    </row>
    <row r="1119" spans="1:10" ht="30" x14ac:dyDescent="0.25">
      <c r="A1119" s="3" t="s">
        <v>262</v>
      </c>
      <c r="B1119" s="45" t="s">
        <v>2889</v>
      </c>
      <c r="C1119" s="45" t="s">
        <v>2890</v>
      </c>
      <c r="D1119" s="46" t="s">
        <v>2891</v>
      </c>
      <c r="E1119" s="3">
        <v>187</v>
      </c>
      <c r="F1119" s="3">
        <v>160</v>
      </c>
      <c r="G1119" s="3">
        <v>919</v>
      </c>
      <c r="H1119" s="3">
        <v>13</v>
      </c>
      <c r="I1119" s="9">
        <v>40995</v>
      </c>
      <c r="J1119" s="47">
        <v>0.53537037037037039</v>
      </c>
    </row>
    <row r="1120" spans="1:10" x14ac:dyDescent="0.25">
      <c r="A1120" s="3" t="s">
        <v>262</v>
      </c>
      <c r="B1120" s="45" t="s">
        <v>2101</v>
      </c>
      <c r="C1120" s="45" t="s">
        <v>2102</v>
      </c>
      <c r="D1120" s="46" t="s">
        <v>2103</v>
      </c>
      <c r="E1120" s="3">
        <v>1023</v>
      </c>
      <c r="F1120" s="3">
        <v>364</v>
      </c>
      <c r="G1120" s="3">
        <v>908</v>
      </c>
      <c r="H1120" s="3">
        <v>489</v>
      </c>
      <c r="I1120" s="9">
        <v>41584</v>
      </c>
      <c r="J1120" s="47">
        <v>0.63380787037037034</v>
      </c>
    </row>
    <row r="1121" spans="1:10" x14ac:dyDescent="0.25">
      <c r="A1121" s="3" t="s">
        <v>262</v>
      </c>
      <c r="B1121" s="45" t="s">
        <v>2187</v>
      </c>
      <c r="C1121" s="45" t="s">
        <v>970</v>
      </c>
      <c r="D1121" s="46" t="s">
        <v>2188</v>
      </c>
      <c r="E1121" s="3">
        <v>363</v>
      </c>
      <c r="F1121" s="3">
        <v>334</v>
      </c>
      <c r="G1121" s="3">
        <v>903</v>
      </c>
      <c r="H1121" s="3">
        <v>222</v>
      </c>
      <c r="I1121" s="9">
        <v>41592</v>
      </c>
      <c r="J1121" s="47">
        <v>0.39601851851851855</v>
      </c>
    </row>
    <row r="1122" spans="1:10" x14ac:dyDescent="0.25">
      <c r="A1122" s="3" t="s">
        <v>262</v>
      </c>
      <c r="B1122" s="45" t="s">
        <v>2644</v>
      </c>
      <c r="C1122" s="45" t="s">
        <v>2645</v>
      </c>
      <c r="D1122" s="46" t="s">
        <v>2646</v>
      </c>
      <c r="E1122" s="3">
        <v>494</v>
      </c>
      <c r="F1122" s="3">
        <v>203</v>
      </c>
      <c r="G1122" s="3">
        <v>888</v>
      </c>
      <c r="H1122" s="3">
        <v>60</v>
      </c>
      <c r="I1122" s="9">
        <v>40871</v>
      </c>
      <c r="J1122" s="47">
        <v>0.66094907407407411</v>
      </c>
    </row>
    <row r="1123" spans="1:10" x14ac:dyDescent="0.25">
      <c r="A1123" s="3" t="s">
        <v>262</v>
      </c>
      <c r="B1123" s="45" t="s">
        <v>1539</v>
      </c>
      <c r="C1123" s="45" t="s">
        <v>1005</v>
      </c>
      <c r="D1123" s="46" t="s">
        <v>2653</v>
      </c>
      <c r="E1123" s="3">
        <v>143</v>
      </c>
      <c r="F1123" s="3">
        <v>202</v>
      </c>
      <c r="G1123" s="3">
        <v>862</v>
      </c>
      <c r="H1123" s="3">
        <v>35</v>
      </c>
      <c r="I1123" s="9">
        <v>40961</v>
      </c>
      <c r="J1123" s="47">
        <v>0.63692129629629635</v>
      </c>
    </row>
    <row r="1124" spans="1:10" x14ac:dyDescent="0.25">
      <c r="A1124" s="3" t="s">
        <v>262</v>
      </c>
      <c r="B1124" s="45" t="s">
        <v>2300</v>
      </c>
      <c r="D1124" s="46" t="s">
        <v>2301</v>
      </c>
      <c r="E1124" s="3">
        <v>338</v>
      </c>
      <c r="F1124" s="3">
        <v>289</v>
      </c>
      <c r="G1124" s="3">
        <v>835</v>
      </c>
      <c r="H1124" s="3">
        <v>325</v>
      </c>
      <c r="I1124" s="9">
        <v>41304</v>
      </c>
      <c r="J1124" s="47">
        <v>0.77333333333333332</v>
      </c>
    </row>
    <row r="1125" spans="1:10" x14ac:dyDescent="0.25">
      <c r="A1125" s="3" t="s">
        <v>262</v>
      </c>
      <c r="B1125" s="45" t="s">
        <v>2379</v>
      </c>
      <c r="D1125" s="46" t="s">
        <v>2380</v>
      </c>
      <c r="E1125" s="3">
        <v>278</v>
      </c>
      <c r="F1125" s="3">
        <v>267</v>
      </c>
      <c r="G1125" s="3">
        <v>834</v>
      </c>
      <c r="H1125" s="3">
        <v>222</v>
      </c>
      <c r="I1125" s="9">
        <v>41544</v>
      </c>
      <c r="J1125" s="47">
        <v>0.62410879629629623</v>
      </c>
    </row>
    <row r="1126" spans="1:10" x14ac:dyDescent="0.25">
      <c r="A1126" s="3" t="s">
        <v>262</v>
      </c>
      <c r="B1126" s="45" t="s">
        <v>3402</v>
      </c>
      <c r="C1126" s="45" t="s">
        <v>36</v>
      </c>
      <c r="D1126" s="46" t="s">
        <v>3403</v>
      </c>
      <c r="E1126" s="3">
        <v>118</v>
      </c>
      <c r="F1126" s="3">
        <v>41</v>
      </c>
      <c r="G1126" s="3">
        <v>832</v>
      </c>
      <c r="H1126" s="3">
        <v>45</v>
      </c>
      <c r="I1126" s="9">
        <v>40667</v>
      </c>
      <c r="J1126" s="47">
        <v>0.54027777777777775</v>
      </c>
    </row>
    <row r="1127" spans="1:10" ht="30" x14ac:dyDescent="0.25">
      <c r="A1127" s="3" t="s">
        <v>262</v>
      </c>
      <c r="B1127" s="45" t="s">
        <v>2066</v>
      </c>
      <c r="C1127" s="45" t="s">
        <v>2067</v>
      </c>
      <c r="D1127" s="46" t="s">
        <v>2068</v>
      </c>
      <c r="E1127" s="3">
        <v>913</v>
      </c>
      <c r="F1127" s="3">
        <v>375</v>
      </c>
      <c r="G1127" s="3">
        <v>825</v>
      </c>
      <c r="H1127" s="3">
        <v>439</v>
      </c>
      <c r="I1127" s="9">
        <v>41437</v>
      </c>
      <c r="J1127" s="47">
        <v>0.32062499999999999</v>
      </c>
    </row>
    <row r="1128" spans="1:10" ht="30" x14ac:dyDescent="0.25">
      <c r="A1128" s="3" t="s">
        <v>262</v>
      </c>
      <c r="B1128" s="45" t="s">
        <v>2347</v>
      </c>
      <c r="C1128" s="45" t="s">
        <v>2348</v>
      </c>
      <c r="D1128" s="46" t="s">
        <v>2349</v>
      </c>
      <c r="E1128" s="3">
        <v>203</v>
      </c>
      <c r="F1128" s="3">
        <v>276</v>
      </c>
      <c r="G1128" s="3">
        <v>816</v>
      </c>
      <c r="H1128" s="3">
        <v>333</v>
      </c>
      <c r="I1128" s="9">
        <v>41242</v>
      </c>
      <c r="J1128" s="47">
        <v>0.49709490740740742</v>
      </c>
    </row>
    <row r="1129" spans="1:10" x14ac:dyDescent="0.25">
      <c r="A1129" s="3" t="s">
        <v>262</v>
      </c>
      <c r="B1129" s="45" t="s">
        <v>2669</v>
      </c>
      <c r="C1129" s="45" t="s">
        <v>2670</v>
      </c>
      <c r="D1129" s="46" t="s">
        <v>2671</v>
      </c>
      <c r="E1129" s="3">
        <v>160</v>
      </c>
      <c r="F1129" s="3">
        <v>199</v>
      </c>
      <c r="G1129" s="3">
        <v>803</v>
      </c>
      <c r="H1129" s="3">
        <v>963</v>
      </c>
      <c r="I1129" s="9">
        <v>42010</v>
      </c>
      <c r="J1129" s="47">
        <v>0.77666666666666673</v>
      </c>
    </row>
    <row r="1130" spans="1:10" ht="30" x14ac:dyDescent="0.25">
      <c r="A1130" s="3" t="s">
        <v>262</v>
      </c>
      <c r="B1130" s="45" t="s">
        <v>1973</v>
      </c>
      <c r="C1130" s="45" t="s">
        <v>1974</v>
      </c>
      <c r="D1130" s="46" t="s">
        <v>1975</v>
      </c>
      <c r="E1130" s="3">
        <v>691</v>
      </c>
      <c r="F1130" s="3">
        <v>413</v>
      </c>
      <c r="G1130" s="3">
        <v>794</v>
      </c>
      <c r="H1130" s="3">
        <v>414</v>
      </c>
      <c r="I1130" s="9">
        <v>41659</v>
      </c>
      <c r="J1130" s="47">
        <v>0.63332175925925926</v>
      </c>
    </row>
    <row r="1131" spans="1:10" ht="30" x14ac:dyDescent="0.25">
      <c r="A1131" s="3" t="s">
        <v>262</v>
      </c>
      <c r="B1131" s="45" t="s">
        <v>2063</v>
      </c>
      <c r="C1131" s="45" t="s">
        <v>2064</v>
      </c>
      <c r="D1131" s="46" t="s">
        <v>2065</v>
      </c>
      <c r="E1131" s="3">
        <v>777</v>
      </c>
      <c r="F1131" s="3">
        <v>376</v>
      </c>
      <c r="G1131" s="3">
        <v>793</v>
      </c>
      <c r="H1131" s="3">
        <v>160</v>
      </c>
      <c r="I1131" s="9">
        <v>41696</v>
      </c>
      <c r="J1131" s="47">
        <v>0.77954861111111118</v>
      </c>
    </row>
    <row r="1132" spans="1:10" x14ac:dyDescent="0.25">
      <c r="A1132" s="3" t="s">
        <v>262</v>
      </c>
      <c r="B1132" s="45" t="s">
        <v>2597</v>
      </c>
      <c r="C1132" s="45" t="s">
        <v>1135</v>
      </c>
      <c r="D1132" s="46" t="s">
        <v>2598</v>
      </c>
      <c r="E1132" s="3">
        <v>218</v>
      </c>
      <c r="F1132" s="3">
        <v>212</v>
      </c>
      <c r="G1132" s="3">
        <v>788</v>
      </c>
      <c r="H1132" s="3">
        <v>21</v>
      </c>
      <c r="I1132" s="9">
        <v>41302</v>
      </c>
      <c r="J1132" s="47">
        <v>0.39704861111111112</v>
      </c>
    </row>
    <row r="1133" spans="1:10" x14ac:dyDescent="0.25">
      <c r="A1133" s="3" t="s">
        <v>262</v>
      </c>
      <c r="B1133" s="45" t="s">
        <v>2845</v>
      </c>
      <c r="C1133" s="45" t="s">
        <v>2846</v>
      </c>
      <c r="D1133" s="46" t="s">
        <v>2847</v>
      </c>
      <c r="E1133" s="3">
        <v>531</v>
      </c>
      <c r="F1133" s="3">
        <v>170</v>
      </c>
      <c r="G1133" s="3">
        <v>786</v>
      </c>
      <c r="H1133" s="3">
        <v>1206</v>
      </c>
      <c r="I1133" s="9">
        <v>42438</v>
      </c>
      <c r="J1133" s="47">
        <v>0.87121527777777785</v>
      </c>
    </row>
    <row r="1134" spans="1:10" ht="30" x14ac:dyDescent="0.25">
      <c r="A1134" s="3" t="s">
        <v>262</v>
      </c>
      <c r="B1134" s="45" t="s">
        <v>1934</v>
      </c>
      <c r="D1134" s="46" t="s">
        <v>1935</v>
      </c>
      <c r="E1134" s="3">
        <v>429</v>
      </c>
      <c r="F1134" s="3">
        <v>428</v>
      </c>
      <c r="G1134" s="3">
        <v>782</v>
      </c>
      <c r="H1134" s="3">
        <v>1267</v>
      </c>
      <c r="I1134" s="9">
        <v>41820</v>
      </c>
      <c r="J1134" s="47">
        <v>0.68518518518518512</v>
      </c>
    </row>
    <row r="1135" spans="1:10" x14ac:dyDescent="0.25">
      <c r="A1135" s="3" t="s">
        <v>262</v>
      </c>
      <c r="B1135" s="45" t="s">
        <v>2672</v>
      </c>
      <c r="C1135" s="45" t="s">
        <v>2673</v>
      </c>
      <c r="D1135" s="46" t="s">
        <v>2674</v>
      </c>
      <c r="E1135" s="3">
        <v>174</v>
      </c>
      <c r="F1135" s="3">
        <v>199</v>
      </c>
      <c r="G1135" s="3">
        <v>782</v>
      </c>
      <c r="H1135" s="3">
        <v>839</v>
      </c>
      <c r="I1135" s="9">
        <v>42313</v>
      </c>
      <c r="J1135" s="47">
        <v>0.51946759259259256</v>
      </c>
    </row>
    <row r="1136" spans="1:10" x14ac:dyDescent="0.25">
      <c r="A1136" s="3" t="s">
        <v>262</v>
      </c>
      <c r="B1136" s="45" t="s">
        <v>2566</v>
      </c>
      <c r="C1136" s="45" t="s">
        <v>2567</v>
      </c>
      <c r="D1136" s="46" t="s">
        <v>2568</v>
      </c>
      <c r="E1136" s="3">
        <v>267</v>
      </c>
      <c r="F1136" s="3">
        <v>222</v>
      </c>
      <c r="G1136" s="3">
        <v>777</v>
      </c>
      <c r="H1136" s="3">
        <v>1824</v>
      </c>
      <c r="I1136" s="9">
        <v>42398</v>
      </c>
      <c r="J1136" s="47">
        <v>0.51224537037037032</v>
      </c>
    </row>
    <row r="1137" spans="1:10" x14ac:dyDescent="0.25">
      <c r="A1137" s="3" t="s">
        <v>262</v>
      </c>
      <c r="B1137" s="45" t="s">
        <v>1982</v>
      </c>
      <c r="C1137" s="45" t="s">
        <v>788</v>
      </c>
      <c r="D1137" s="46" t="s">
        <v>1983</v>
      </c>
      <c r="E1137" s="3">
        <v>405</v>
      </c>
      <c r="F1137" s="3">
        <v>412</v>
      </c>
      <c r="G1137" s="3">
        <v>761</v>
      </c>
      <c r="H1137" s="3">
        <v>678</v>
      </c>
      <c r="I1137" s="9">
        <v>41550</v>
      </c>
      <c r="J1137" s="47">
        <v>0.65076388888888892</v>
      </c>
    </row>
    <row r="1138" spans="1:10" x14ac:dyDescent="0.25">
      <c r="A1138" s="3" t="s">
        <v>262</v>
      </c>
      <c r="B1138" s="45" t="s">
        <v>2079</v>
      </c>
      <c r="C1138" s="45" t="s">
        <v>2080</v>
      </c>
      <c r="D1138" s="46" t="s">
        <v>2081</v>
      </c>
      <c r="E1138" s="3">
        <v>589</v>
      </c>
      <c r="F1138" s="3">
        <v>372</v>
      </c>
      <c r="G1138" s="3">
        <v>759</v>
      </c>
      <c r="H1138" s="3">
        <v>577</v>
      </c>
      <c r="I1138" s="9">
        <v>41669</v>
      </c>
      <c r="J1138" s="47">
        <v>0.64460648148148147</v>
      </c>
    </row>
    <row r="1139" spans="1:10" ht="30" x14ac:dyDescent="0.25">
      <c r="A1139" s="3" t="s">
        <v>262</v>
      </c>
      <c r="B1139" s="45" t="s">
        <v>1895</v>
      </c>
      <c r="C1139" s="45" t="s">
        <v>505</v>
      </c>
      <c r="D1139" s="46" t="s">
        <v>1896</v>
      </c>
      <c r="E1139" s="3">
        <v>303</v>
      </c>
      <c r="F1139" s="3">
        <v>443</v>
      </c>
      <c r="G1139" s="3">
        <v>751</v>
      </c>
      <c r="H1139" s="3">
        <v>357</v>
      </c>
      <c r="I1139" s="9">
        <v>40562</v>
      </c>
      <c r="J1139" s="47">
        <v>0.5721180555555555</v>
      </c>
    </row>
    <row r="1140" spans="1:10" x14ac:dyDescent="0.25">
      <c r="A1140" s="3" t="s">
        <v>262</v>
      </c>
      <c r="B1140" s="45" t="s">
        <v>3212</v>
      </c>
      <c r="C1140" s="45" t="s">
        <v>3213</v>
      </c>
      <c r="D1140" s="46" t="s">
        <v>3214</v>
      </c>
      <c r="E1140" s="3">
        <v>100</v>
      </c>
      <c r="F1140" s="3">
        <v>82</v>
      </c>
      <c r="G1140" s="3">
        <v>745</v>
      </c>
      <c r="H1140" s="3">
        <v>888</v>
      </c>
      <c r="I1140" s="9">
        <v>42740</v>
      </c>
      <c r="J1140" s="47">
        <v>0.57223379629629634</v>
      </c>
    </row>
    <row r="1141" spans="1:10" ht="30" x14ac:dyDescent="0.25">
      <c r="A1141" s="3" t="s">
        <v>262</v>
      </c>
      <c r="B1141" s="45" t="s">
        <v>2897</v>
      </c>
      <c r="C1141" s="45" t="s">
        <v>2898</v>
      </c>
      <c r="D1141" s="46" t="s">
        <v>2899</v>
      </c>
      <c r="E1141" s="3">
        <v>15</v>
      </c>
      <c r="F1141" s="3">
        <v>159</v>
      </c>
      <c r="G1141" s="3">
        <v>741</v>
      </c>
      <c r="H1141" s="3">
        <v>0</v>
      </c>
      <c r="I1141" s="9">
        <v>40003</v>
      </c>
      <c r="J1141" s="47">
        <v>0.56042824074074071</v>
      </c>
    </row>
    <row r="1142" spans="1:10" ht="30" x14ac:dyDescent="0.25">
      <c r="A1142" s="3" t="s">
        <v>262</v>
      </c>
      <c r="B1142" s="45" t="s">
        <v>2438</v>
      </c>
      <c r="C1142" s="45" t="s">
        <v>2439</v>
      </c>
      <c r="D1142" s="46" t="s">
        <v>2440</v>
      </c>
      <c r="E1142" s="3">
        <v>221</v>
      </c>
      <c r="F1142" s="3">
        <v>257</v>
      </c>
      <c r="G1142" s="3">
        <v>732</v>
      </c>
      <c r="H1142" s="3">
        <v>524</v>
      </c>
      <c r="I1142" s="9">
        <v>41870</v>
      </c>
      <c r="J1142" s="47">
        <v>0.33228009259259261</v>
      </c>
    </row>
    <row r="1143" spans="1:10" x14ac:dyDescent="0.25">
      <c r="A1143" s="3" t="s">
        <v>262</v>
      </c>
      <c r="B1143" s="45" t="s">
        <v>2866</v>
      </c>
      <c r="C1143" s="45" t="s">
        <v>1115</v>
      </c>
      <c r="D1143" s="46" t="s">
        <v>2867</v>
      </c>
      <c r="E1143" s="3">
        <v>96</v>
      </c>
      <c r="F1143" s="3">
        <v>165</v>
      </c>
      <c r="G1143" s="3">
        <v>727</v>
      </c>
      <c r="H1143" s="3">
        <v>0</v>
      </c>
      <c r="I1143" s="9">
        <v>40142</v>
      </c>
      <c r="J1143" s="47">
        <v>0.84969907407407408</v>
      </c>
    </row>
    <row r="1144" spans="1:10" x14ac:dyDescent="0.25">
      <c r="A1144" s="3" t="s">
        <v>262</v>
      </c>
      <c r="B1144" s="45" t="s">
        <v>1539</v>
      </c>
      <c r="C1144" s="45" t="s">
        <v>2001</v>
      </c>
      <c r="D1144" s="46" t="s">
        <v>2002</v>
      </c>
      <c r="E1144" s="3">
        <v>1128</v>
      </c>
      <c r="F1144" s="3">
        <v>405</v>
      </c>
      <c r="G1144" s="3">
        <v>726</v>
      </c>
      <c r="H1144" s="3">
        <v>295</v>
      </c>
      <c r="I1144" s="9">
        <v>41752</v>
      </c>
      <c r="J1144" s="47">
        <v>0.72846064814814815</v>
      </c>
    </row>
    <row r="1145" spans="1:10" x14ac:dyDescent="0.25">
      <c r="A1145" s="3" t="s">
        <v>262</v>
      </c>
      <c r="B1145" s="45" t="s">
        <v>2453</v>
      </c>
      <c r="C1145" s="45" t="s">
        <v>2454</v>
      </c>
      <c r="D1145" s="46" t="s">
        <v>2455</v>
      </c>
      <c r="E1145" s="3">
        <v>266</v>
      </c>
      <c r="F1145" s="3">
        <v>252</v>
      </c>
      <c r="G1145" s="3">
        <v>716</v>
      </c>
      <c r="H1145" s="3">
        <v>58</v>
      </c>
      <c r="I1145" s="9">
        <v>40997</v>
      </c>
      <c r="J1145" s="47">
        <v>0.59799768518518526</v>
      </c>
    </row>
    <row r="1146" spans="1:10" ht="30" x14ac:dyDescent="0.25">
      <c r="A1146" s="3" t="s">
        <v>262</v>
      </c>
      <c r="B1146" s="45" t="s">
        <v>2149</v>
      </c>
      <c r="C1146" s="45" t="s">
        <v>2150</v>
      </c>
      <c r="D1146" s="46" t="s">
        <v>2151</v>
      </c>
      <c r="E1146" s="3">
        <v>1008</v>
      </c>
      <c r="F1146" s="3">
        <v>349</v>
      </c>
      <c r="G1146" s="3">
        <v>709</v>
      </c>
      <c r="H1146" s="3">
        <v>2638</v>
      </c>
      <c r="I1146" s="9">
        <v>42640</v>
      </c>
      <c r="J1146" s="47">
        <v>0.53174768518518511</v>
      </c>
    </row>
    <row r="1147" spans="1:10" x14ac:dyDescent="0.25">
      <c r="A1147" s="3" t="s">
        <v>262</v>
      </c>
      <c r="B1147" s="45" t="s">
        <v>2389</v>
      </c>
      <c r="C1147" s="45" t="s">
        <v>2390</v>
      </c>
      <c r="D1147" s="46" t="s">
        <v>2391</v>
      </c>
      <c r="E1147" s="3">
        <v>141</v>
      </c>
      <c r="F1147" s="3">
        <v>265</v>
      </c>
      <c r="G1147" s="3">
        <v>683</v>
      </c>
      <c r="H1147" s="3">
        <v>418</v>
      </c>
      <c r="I1147" s="9">
        <v>41543</v>
      </c>
      <c r="J1147" s="47">
        <v>0.48833333333333334</v>
      </c>
    </row>
    <row r="1148" spans="1:10" x14ac:dyDescent="0.25">
      <c r="A1148" s="3" t="s">
        <v>262</v>
      </c>
      <c r="B1148" s="45" t="s">
        <v>2279</v>
      </c>
      <c r="C1148" s="45" t="s">
        <v>2280</v>
      </c>
      <c r="D1148" s="46" t="s">
        <v>2281</v>
      </c>
      <c r="E1148" s="3">
        <v>566</v>
      </c>
      <c r="F1148" s="3">
        <v>295</v>
      </c>
      <c r="G1148" s="3">
        <v>678</v>
      </c>
      <c r="H1148" s="3">
        <v>76</v>
      </c>
      <c r="I1148" s="9">
        <v>42048</v>
      </c>
      <c r="J1148" s="47">
        <v>0.38608796296296299</v>
      </c>
    </row>
    <row r="1149" spans="1:10" ht="30" x14ac:dyDescent="0.25">
      <c r="A1149" s="3" t="s">
        <v>262</v>
      </c>
      <c r="B1149" s="45" t="s">
        <v>2763</v>
      </c>
      <c r="C1149" s="45" t="s">
        <v>2764</v>
      </c>
      <c r="D1149" s="46" t="s">
        <v>2765</v>
      </c>
      <c r="E1149" s="3">
        <v>348</v>
      </c>
      <c r="F1149" s="3">
        <v>184</v>
      </c>
      <c r="G1149" s="3">
        <v>678</v>
      </c>
      <c r="H1149" s="3">
        <v>96</v>
      </c>
      <c r="I1149" s="9">
        <v>41822</v>
      </c>
      <c r="J1149" s="47">
        <v>0.57991898148148147</v>
      </c>
    </row>
    <row r="1150" spans="1:10" x14ac:dyDescent="0.25">
      <c r="A1150" s="3" t="s">
        <v>262</v>
      </c>
      <c r="B1150" s="45" t="s">
        <v>2768</v>
      </c>
      <c r="C1150" s="45" t="s">
        <v>2769</v>
      </c>
      <c r="D1150" s="46" t="s">
        <v>2770</v>
      </c>
      <c r="E1150" s="3">
        <v>161</v>
      </c>
      <c r="F1150" s="3">
        <v>184</v>
      </c>
      <c r="G1150" s="3">
        <v>660</v>
      </c>
      <c r="H1150" s="3">
        <v>443</v>
      </c>
      <c r="I1150" s="9">
        <v>42081</v>
      </c>
      <c r="J1150" s="47">
        <v>0.38467592592592598</v>
      </c>
    </row>
    <row r="1151" spans="1:10" x14ac:dyDescent="0.25">
      <c r="A1151" s="3" t="s">
        <v>262</v>
      </c>
      <c r="B1151" s="45" t="s">
        <v>2530</v>
      </c>
      <c r="C1151" s="45" t="s">
        <v>636</v>
      </c>
      <c r="D1151" s="46" t="s">
        <v>2531</v>
      </c>
      <c r="E1151" s="3">
        <v>144</v>
      </c>
      <c r="F1151" s="3">
        <v>228</v>
      </c>
      <c r="G1151" s="3">
        <v>659</v>
      </c>
      <c r="H1151" s="3">
        <v>169</v>
      </c>
      <c r="I1151" s="9">
        <v>41080</v>
      </c>
      <c r="J1151" s="47">
        <v>0.39108796296296294</v>
      </c>
    </row>
    <row r="1152" spans="1:10" ht="30" x14ac:dyDescent="0.25">
      <c r="A1152" s="3" t="s">
        <v>262</v>
      </c>
      <c r="B1152" s="45" t="s">
        <v>3209</v>
      </c>
      <c r="C1152" s="45" t="s">
        <v>3210</v>
      </c>
      <c r="D1152" s="46" t="s">
        <v>3211</v>
      </c>
      <c r="E1152" s="3">
        <v>223</v>
      </c>
      <c r="F1152" s="3">
        <v>82</v>
      </c>
      <c r="G1152" s="3">
        <v>646</v>
      </c>
      <c r="H1152" s="3">
        <v>192</v>
      </c>
      <c r="I1152" s="9">
        <v>42136</v>
      </c>
      <c r="J1152" s="47">
        <v>0.49540509259259258</v>
      </c>
    </row>
    <row r="1153" spans="1:10" ht="30" x14ac:dyDescent="0.25">
      <c r="A1153" s="3" t="s">
        <v>262</v>
      </c>
      <c r="B1153" s="45" t="s">
        <v>2587</v>
      </c>
      <c r="D1153" s="46" t="s">
        <v>2588</v>
      </c>
      <c r="E1153" s="3">
        <v>134</v>
      </c>
      <c r="F1153" s="3">
        <v>216</v>
      </c>
      <c r="G1153" s="3">
        <v>632</v>
      </c>
      <c r="H1153" s="3">
        <v>477</v>
      </c>
      <c r="I1153" s="9">
        <v>41507</v>
      </c>
      <c r="J1153" s="47">
        <v>0.55740740740740746</v>
      </c>
    </row>
    <row r="1154" spans="1:10" x14ac:dyDescent="0.25">
      <c r="A1154" s="3" t="s">
        <v>262</v>
      </c>
      <c r="B1154" s="45" t="s">
        <v>2206</v>
      </c>
      <c r="C1154" s="45" t="s">
        <v>2207</v>
      </c>
      <c r="D1154" s="46" t="s">
        <v>2208</v>
      </c>
      <c r="E1154" s="3">
        <v>178</v>
      </c>
      <c r="F1154" s="3">
        <v>321</v>
      </c>
      <c r="G1154" s="3">
        <v>631</v>
      </c>
      <c r="H1154" s="3">
        <v>320</v>
      </c>
      <c r="I1154" s="9">
        <v>41411</v>
      </c>
      <c r="J1154" s="47">
        <v>0.53645833333333337</v>
      </c>
    </row>
    <row r="1155" spans="1:10" x14ac:dyDescent="0.25">
      <c r="A1155" s="3" t="s">
        <v>262</v>
      </c>
      <c r="B1155" s="45" t="s">
        <v>2947</v>
      </c>
      <c r="C1155" s="45" t="s">
        <v>2948</v>
      </c>
      <c r="D1155" s="46" t="s">
        <v>2949</v>
      </c>
      <c r="E1155" s="3">
        <v>302</v>
      </c>
      <c r="F1155" s="3">
        <v>151</v>
      </c>
      <c r="G1155" s="3">
        <v>614</v>
      </c>
      <c r="H1155" s="3">
        <v>164</v>
      </c>
      <c r="I1155" s="9">
        <v>41652</v>
      </c>
      <c r="J1155" s="47">
        <v>0.70730324074074069</v>
      </c>
    </row>
    <row r="1156" spans="1:10" ht="30" x14ac:dyDescent="0.25">
      <c r="A1156" s="3" t="s">
        <v>262</v>
      </c>
      <c r="B1156" s="45" t="s">
        <v>2166</v>
      </c>
      <c r="C1156" s="45" t="s">
        <v>2167</v>
      </c>
      <c r="D1156" s="46" t="s">
        <v>2168</v>
      </c>
      <c r="E1156" s="3">
        <v>566</v>
      </c>
      <c r="F1156" s="3">
        <v>343</v>
      </c>
      <c r="G1156" s="3">
        <v>603</v>
      </c>
      <c r="H1156" s="3">
        <v>334</v>
      </c>
      <c r="I1156" s="9">
        <v>41776</v>
      </c>
      <c r="J1156" s="47">
        <v>0.4890856481481482</v>
      </c>
    </row>
    <row r="1157" spans="1:10" ht="30" x14ac:dyDescent="0.25">
      <c r="A1157" s="3" t="s">
        <v>262</v>
      </c>
      <c r="B1157" s="45" t="s">
        <v>2799</v>
      </c>
      <c r="C1157" s="45" t="s">
        <v>2800</v>
      </c>
      <c r="D1157" s="46" t="s">
        <v>2801</v>
      </c>
      <c r="E1157" s="3">
        <v>126</v>
      </c>
      <c r="F1157" s="3">
        <v>177</v>
      </c>
      <c r="G1157" s="3">
        <v>594</v>
      </c>
      <c r="H1157" s="3">
        <v>52</v>
      </c>
      <c r="I1157" s="9">
        <v>41526</v>
      </c>
      <c r="J1157" s="47">
        <v>0.66087962962962965</v>
      </c>
    </row>
    <row r="1158" spans="1:10" ht="30" x14ac:dyDescent="0.25">
      <c r="A1158" s="3" t="s">
        <v>262</v>
      </c>
      <c r="B1158" s="45" t="s">
        <v>2987</v>
      </c>
      <c r="C1158" s="45" t="s">
        <v>2988</v>
      </c>
      <c r="D1158" s="46" t="s">
        <v>2989</v>
      </c>
      <c r="E1158" s="3">
        <v>270</v>
      </c>
      <c r="F1158" s="3">
        <v>141</v>
      </c>
      <c r="G1158" s="3">
        <v>594</v>
      </c>
      <c r="H1158" s="3">
        <v>102</v>
      </c>
      <c r="I1158" s="9">
        <v>41824</v>
      </c>
      <c r="J1158" s="47">
        <v>0.41921296296296301</v>
      </c>
    </row>
    <row r="1159" spans="1:10" x14ac:dyDescent="0.25">
      <c r="A1159" s="3" t="s">
        <v>262</v>
      </c>
      <c r="B1159" s="45" t="s">
        <v>2594</v>
      </c>
      <c r="C1159" s="45" t="s">
        <v>2595</v>
      </c>
      <c r="D1159" s="46" t="s">
        <v>2596</v>
      </c>
      <c r="E1159" s="3">
        <v>399</v>
      </c>
      <c r="F1159" s="3">
        <v>213</v>
      </c>
      <c r="G1159" s="3">
        <v>593</v>
      </c>
      <c r="H1159" s="3">
        <v>84</v>
      </c>
      <c r="I1159" s="9">
        <v>41788</v>
      </c>
      <c r="J1159" s="47">
        <v>0.70728009259259261</v>
      </c>
    </row>
    <row r="1160" spans="1:10" x14ac:dyDescent="0.25">
      <c r="A1160" s="3" t="s">
        <v>262</v>
      </c>
      <c r="B1160" s="45" t="s">
        <v>1464</v>
      </c>
      <c r="D1160" s="46" t="s">
        <v>2514</v>
      </c>
      <c r="E1160" s="3">
        <v>173</v>
      </c>
      <c r="F1160" s="3">
        <v>233</v>
      </c>
      <c r="G1160" s="3">
        <v>589</v>
      </c>
      <c r="H1160" s="3">
        <v>39</v>
      </c>
      <c r="I1160" s="9">
        <v>41283</v>
      </c>
      <c r="J1160" s="47">
        <v>0.60449074074074072</v>
      </c>
    </row>
    <row r="1161" spans="1:10" ht="30" x14ac:dyDescent="0.25">
      <c r="A1161" s="3" t="s">
        <v>262</v>
      </c>
      <c r="B1161" s="45" t="s">
        <v>1484</v>
      </c>
      <c r="C1161" s="45" t="s">
        <v>102</v>
      </c>
      <c r="D1161" s="46" t="s">
        <v>1485</v>
      </c>
      <c r="E1161" s="3">
        <v>2382</v>
      </c>
      <c r="F1161" s="3">
        <v>750</v>
      </c>
      <c r="G1161" s="3">
        <v>587</v>
      </c>
      <c r="H1161" s="3">
        <v>1317</v>
      </c>
      <c r="I1161" s="9">
        <v>41599</v>
      </c>
      <c r="J1161" s="47">
        <v>0.82240740740740748</v>
      </c>
    </row>
    <row r="1162" spans="1:10" ht="30" x14ac:dyDescent="0.25">
      <c r="A1162" s="3" t="s">
        <v>262</v>
      </c>
      <c r="B1162" s="45" t="s">
        <v>2633</v>
      </c>
      <c r="C1162" s="45" t="s">
        <v>257</v>
      </c>
      <c r="D1162" s="46" t="s">
        <v>2634</v>
      </c>
      <c r="E1162" s="3">
        <v>280</v>
      </c>
      <c r="F1162" s="3">
        <v>205</v>
      </c>
      <c r="G1162" s="3">
        <v>581</v>
      </c>
      <c r="H1162" s="3">
        <v>47</v>
      </c>
      <c r="I1162" s="9">
        <v>41434</v>
      </c>
      <c r="J1162" s="47">
        <v>0.4481134259259259</v>
      </c>
    </row>
    <row r="1163" spans="1:10" ht="30" x14ac:dyDescent="0.25">
      <c r="A1163" s="3" t="s">
        <v>262</v>
      </c>
      <c r="B1163" s="45" t="s">
        <v>2127</v>
      </c>
      <c r="C1163" s="45" t="s">
        <v>2128</v>
      </c>
      <c r="D1163" s="46" t="s">
        <v>2129</v>
      </c>
      <c r="E1163" s="3">
        <v>586</v>
      </c>
      <c r="F1163" s="3">
        <v>353</v>
      </c>
      <c r="G1163" s="3">
        <v>577</v>
      </c>
      <c r="H1163" s="3">
        <v>85</v>
      </c>
      <c r="I1163" s="9">
        <v>40962</v>
      </c>
      <c r="J1163" s="47">
        <v>0.52722222222222226</v>
      </c>
    </row>
    <row r="1164" spans="1:10" ht="30" x14ac:dyDescent="0.25">
      <c r="A1164" s="3" t="s">
        <v>262</v>
      </c>
      <c r="B1164" s="45" t="s">
        <v>3047</v>
      </c>
      <c r="D1164" s="46" t="s">
        <v>3048</v>
      </c>
      <c r="E1164" s="3">
        <v>101</v>
      </c>
      <c r="F1164" s="3">
        <v>124</v>
      </c>
      <c r="G1164" s="3">
        <v>569</v>
      </c>
      <c r="H1164" s="3">
        <v>35</v>
      </c>
      <c r="I1164" s="9">
        <v>40792</v>
      </c>
      <c r="J1164" s="47">
        <v>0.78591435185185177</v>
      </c>
    </row>
    <row r="1165" spans="1:10" x14ac:dyDescent="0.25">
      <c r="A1165" s="3" t="s">
        <v>262</v>
      </c>
      <c r="B1165" s="45" t="s">
        <v>2144</v>
      </c>
      <c r="C1165" s="45" t="s">
        <v>2145</v>
      </c>
      <c r="D1165" s="46" t="s">
        <v>2146</v>
      </c>
      <c r="E1165" s="3">
        <v>139</v>
      </c>
      <c r="F1165" s="3">
        <v>349</v>
      </c>
      <c r="G1165" s="3">
        <v>560</v>
      </c>
      <c r="H1165" s="3">
        <v>93</v>
      </c>
      <c r="I1165" s="9">
        <v>41975</v>
      </c>
      <c r="J1165" s="47">
        <v>0.39675925925925926</v>
      </c>
    </row>
    <row r="1166" spans="1:10" x14ac:dyDescent="0.25">
      <c r="A1166" s="3" t="s">
        <v>262</v>
      </c>
      <c r="B1166" s="45" t="s">
        <v>2661</v>
      </c>
      <c r="C1166" s="45" t="s">
        <v>2662</v>
      </c>
      <c r="D1166" s="46" t="s">
        <v>2663</v>
      </c>
      <c r="E1166" s="3">
        <v>364</v>
      </c>
      <c r="F1166" s="3">
        <v>200</v>
      </c>
      <c r="G1166" s="3">
        <v>552</v>
      </c>
      <c r="H1166" s="3">
        <v>350</v>
      </c>
      <c r="I1166" s="9">
        <v>41850</v>
      </c>
      <c r="J1166" s="47">
        <v>0.52488425925925919</v>
      </c>
    </row>
    <row r="1167" spans="1:10" x14ac:dyDescent="0.25">
      <c r="A1167" s="3" t="s">
        <v>262</v>
      </c>
      <c r="B1167" s="45" t="s">
        <v>2917</v>
      </c>
      <c r="C1167" s="45" t="s">
        <v>2918</v>
      </c>
      <c r="D1167" s="46" t="s">
        <v>2919</v>
      </c>
      <c r="E1167" s="3">
        <v>434</v>
      </c>
      <c r="F1167" s="3">
        <v>155</v>
      </c>
      <c r="G1167" s="3">
        <v>541</v>
      </c>
      <c r="H1167" s="3">
        <v>121</v>
      </c>
      <c r="I1167" s="9">
        <v>41170</v>
      </c>
      <c r="J1167" s="47">
        <v>0.63428240740740738</v>
      </c>
    </row>
    <row r="1168" spans="1:10" ht="30" x14ac:dyDescent="0.25">
      <c r="A1168" s="3" t="s">
        <v>262</v>
      </c>
      <c r="B1168" s="45" t="s">
        <v>2683</v>
      </c>
      <c r="C1168" s="45" t="s">
        <v>2684</v>
      </c>
      <c r="D1168" s="46" t="s">
        <v>2685</v>
      </c>
      <c r="E1168" s="3">
        <v>268</v>
      </c>
      <c r="F1168" s="3">
        <v>196</v>
      </c>
      <c r="G1168" s="3">
        <v>527</v>
      </c>
      <c r="H1168" s="3">
        <v>67</v>
      </c>
      <c r="I1168" s="9">
        <v>41674</v>
      </c>
      <c r="J1168" s="47">
        <v>0.63105324074074076</v>
      </c>
    </row>
    <row r="1169" spans="1:10" x14ac:dyDescent="0.25">
      <c r="A1169" s="3" t="s">
        <v>262</v>
      </c>
      <c r="B1169" s="45" t="s">
        <v>2124</v>
      </c>
      <c r="C1169" s="45" t="s">
        <v>2125</v>
      </c>
      <c r="D1169" s="46" t="s">
        <v>2126</v>
      </c>
      <c r="E1169" s="3">
        <v>540</v>
      </c>
      <c r="F1169" s="3">
        <v>353</v>
      </c>
      <c r="G1169" s="3">
        <v>525</v>
      </c>
      <c r="H1169" s="3">
        <v>293</v>
      </c>
      <c r="I1169" s="9">
        <v>40864</v>
      </c>
      <c r="J1169" s="47">
        <v>0.59033564814814821</v>
      </c>
    </row>
    <row r="1170" spans="1:10" ht="30" x14ac:dyDescent="0.25">
      <c r="A1170" s="3" t="s">
        <v>262</v>
      </c>
      <c r="B1170" s="45" t="s">
        <v>2610</v>
      </c>
      <c r="C1170" s="45" t="s">
        <v>96</v>
      </c>
      <c r="D1170" s="46" t="s">
        <v>2611</v>
      </c>
      <c r="E1170" s="3">
        <v>592</v>
      </c>
      <c r="F1170" s="3">
        <v>212</v>
      </c>
      <c r="G1170" s="3">
        <v>525</v>
      </c>
      <c r="H1170" s="3">
        <v>80</v>
      </c>
      <c r="I1170" s="9">
        <v>42380</v>
      </c>
      <c r="J1170" s="47">
        <v>0.38701388888888894</v>
      </c>
    </row>
    <row r="1171" spans="1:10" ht="30" x14ac:dyDescent="0.25">
      <c r="A1171" s="3" t="s">
        <v>262</v>
      </c>
      <c r="B1171" s="45" t="s">
        <v>3163</v>
      </c>
      <c r="C1171" s="45" t="s">
        <v>2636</v>
      </c>
      <c r="D1171" s="46" t="s">
        <v>3164</v>
      </c>
      <c r="E1171" s="3">
        <v>167</v>
      </c>
      <c r="F1171" s="3">
        <v>94</v>
      </c>
      <c r="G1171" s="3">
        <v>522</v>
      </c>
      <c r="H1171" s="3">
        <v>552</v>
      </c>
      <c r="I1171" s="9">
        <v>42342</v>
      </c>
      <c r="J1171" s="47">
        <v>0.49810185185185185</v>
      </c>
    </row>
    <row r="1172" spans="1:10" ht="30" x14ac:dyDescent="0.25">
      <c r="A1172" s="3" t="s">
        <v>262</v>
      </c>
      <c r="B1172" s="45" t="s">
        <v>2441</v>
      </c>
      <c r="D1172" s="46" t="s">
        <v>2442</v>
      </c>
      <c r="E1172" s="3">
        <v>215</v>
      </c>
      <c r="F1172" s="3">
        <v>256</v>
      </c>
      <c r="G1172" s="3">
        <v>510</v>
      </c>
      <c r="H1172" s="3">
        <v>92</v>
      </c>
      <c r="I1172" s="9">
        <v>41134</v>
      </c>
      <c r="J1172" s="47">
        <v>0.30476851851851855</v>
      </c>
    </row>
    <row r="1173" spans="1:10" x14ac:dyDescent="0.25">
      <c r="A1173" s="3" t="s">
        <v>262</v>
      </c>
      <c r="B1173" s="45" t="s">
        <v>2536</v>
      </c>
      <c r="E1173" s="3">
        <v>41</v>
      </c>
      <c r="F1173" s="3">
        <v>126</v>
      </c>
      <c r="G1173" s="3">
        <v>507</v>
      </c>
      <c r="H1173" s="3">
        <v>292</v>
      </c>
      <c r="I1173" s="9">
        <v>41709</v>
      </c>
      <c r="J1173" s="47">
        <v>0.65513888888888883</v>
      </c>
    </row>
    <row r="1174" spans="1:10" x14ac:dyDescent="0.25">
      <c r="A1174" s="3" t="s">
        <v>262</v>
      </c>
      <c r="B1174" s="45" t="s">
        <v>2422</v>
      </c>
      <c r="C1174" s="45" t="s">
        <v>2423</v>
      </c>
      <c r="D1174" s="46" t="s">
        <v>2424</v>
      </c>
      <c r="E1174" s="3">
        <v>719</v>
      </c>
      <c r="F1174" s="3">
        <v>258</v>
      </c>
      <c r="G1174" s="3">
        <v>505</v>
      </c>
      <c r="H1174" s="3">
        <v>125</v>
      </c>
      <c r="I1174" s="9">
        <v>41099</v>
      </c>
      <c r="J1174" s="47">
        <v>0.5586458333333334</v>
      </c>
    </row>
    <row r="1175" spans="1:10" ht="30" x14ac:dyDescent="0.25">
      <c r="A1175" s="3" t="s">
        <v>262</v>
      </c>
      <c r="B1175" s="45" t="s">
        <v>2627</v>
      </c>
      <c r="C1175" s="45" t="s">
        <v>2628</v>
      </c>
      <c r="D1175" s="46" t="s">
        <v>2629</v>
      </c>
      <c r="E1175" s="3">
        <v>3</v>
      </c>
      <c r="F1175" s="3">
        <v>207</v>
      </c>
      <c r="G1175" s="3">
        <v>505</v>
      </c>
      <c r="H1175" s="3">
        <v>8</v>
      </c>
      <c r="I1175" s="9">
        <v>40880</v>
      </c>
      <c r="J1175" s="47">
        <v>0.43493055555555554</v>
      </c>
    </row>
    <row r="1176" spans="1:10" x14ac:dyDescent="0.25">
      <c r="A1176" s="3" t="s">
        <v>262</v>
      </c>
      <c r="B1176" s="45" t="s">
        <v>2960</v>
      </c>
      <c r="C1176" s="45" t="s">
        <v>2788</v>
      </c>
      <c r="D1176" s="46" t="s">
        <v>2961</v>
      </c>
      <c r="E1176" s="3">
        <v>170</v>
      </c>
      <c r="F1176" s="3">
        <v>149</v>
      </c>
      <c r="G1176" s="3">
        <v>505</v>
      </c>
      <c r="H1176" s="3">
        <v>4</v>
      </c>
      <c r="I1176" s="9">
        <v>40831</v>
      </c>
      <c r="J1176" s="47">
        <v>0.44539351851851849</v>
      </c>
    </row>
    <row r="1177" spans="1:10" x14ac:dyDescent="0.25">
      <c r="A1177" s="3" t="s">
        <v>262</v>
      </c>
      <c r="B1177" s="45" t="s">
        <v>2937</v>
      </c>
      <c r="D1177" s="46" t="s">
        <v>2938</v>
      </c>
      <c r="E1177" s="3">
        <v>247</v>
      </c>
      <c r="F1177" s="3">
        <v>152</v>
      </c>
      <c r="G1177" s="3">
        <v>504</v>
      </c>
      <c r="H1177" s="3">
        <v>305</v>
      </c>
      <c r="I1177" s="9">
        <v>41712</v>
      </c>
      <c r="J1177" s="47">
        <v>0.40599537037037042</v>
      </c>
    </row>
    <row r="1178" spans="1:10" ht="30" x14ac:dyDescent="0.25">
      <c r="A1178" s="3" t="s">
        <v>262</v>
      </c>
      <c r="B1178" s="45" t="s">
        <v>3151</v>
      </c>
      <c r="C1178" s="45" t="s">
        <v>3152</v>
      </c>
      <c r="D1178" s="46" t="s">
        <v>3153</v>
      </c>
      <c r="E1178" s="3">
        <v>157</v>
      </c>
      <c r="F1178" s="3">
        <v>95</v>
      </c>
      <c r="G1178" s="3">
        <v>503</v>
      </c>
      <c r="H1178" s="3">
        <v>32</v>
      </c>
      <c r="I1178" s="9">
        <v>40184</v>
      </c>
      <c r="J1178" s="47">
        <v>0.62171296296296297</v>
      </c>
    </row>
    <row r="1179" spans="1:10" x14ac:dyDescent="0.25">
      <c r="A1179" s="3" t="s">
        <v>262</v>
      </c>
      <c r="B1179" s="45" t="s">
        <v>2327</v>
      </c>
      <c r="C1179" s="45" t="s">
        <v>1689</v>
      </c>
      <c r="D1179" s="46" t="s">
        <v>2328</v>
      </c>
      <c r="E1179" s="3">
        <v>355</v>
      </c>
      <c r="F1179" s="3">
        <v>283</v>
      </c>
      <c r="G1179" s="3">
        <v>498</v>
      </c>
      <c r="H1179" s="3">
        <v>35</v>
      </c>
      <c r="I1179" s="9">
        <v>41973</v>
      </c>
      <c r="J1179" s="47">
        <v>0.57758101851851851</v>
      </c>
    </row>
    <row r="1180" spans="1:10" x14ac:dyDescent="0.25">
      <c r="A1180" s="3" t="s">
        <v>262</v>
      </c>
      <c r="B1180" s="45" t="s">
        <v>2779</v>
      </c>
      <c r="D1180" s="46" t="s">
        <v>2780</v>
      </c>
      <c r="E1180" s="3">
        <v>267</v>
      </c>
      <c r="F1180" s="3">
        <v>182</v>
      </c>
      <c r="G1180" s="3">
        <v>493</v>
      </c>
      <c r="H1180" s="3">
        <v>18</v>
      </c>
      <c r="I1180" s="9">
        <v>41890</v>
      </c>
      <c r="J1180" s="47">
        <v>0.37902777777777774</v>
      </c>
    </row>
    <row r="1181" spans="1:10" x14ac:dyDescent="0.25">
      <c r="A1181" s="3" t="s">
        <v>262</v>
      </c>
      <c r="B1181" s="45" t="s">
        <v>2498</v>
      </c>
      <c r="C1181" s="45" t="s">
        <v>186</v>
      </c>
      <c r="D1181" s="46" t="s">
        <v>2499</v>
      </c>
      <c r="E1181" s="3">
        <v>259</v>
      </c>
      <c r="F1181" s="3">
        <v>240</v>
      </c>
      <c r="G1181" s="3">
        <v>492</v>
      </c>
      <c r="H1181" s="3">
        <v>7</v>
      </c>
      <c r="I1181" s="9">
        <v>42031</v>
      </c>
      <c r="J1181" s="47">
        <v>0.41748842592592594</v>
      </c>
    </row>
    <row r="1182" spans="1:10" x14ac:dyDescent="0.25">
      <c r="A1182" s="3" t="s">
        <v>262</v>
      </c>
      <c r="B1182" s="45" t="s">
        <v>2820</v>
      </c>
      <c r="C1182" s="45" t="s">
        <v>2821</v>
      </c>
      <c r="D1182" s="46" t="s">
        <v>2822</v>
      </c>
      <c r="E1182" s="3">
        <v>169</v>
      </c>
      <c r="F1182" s="3">
        <v>173</v>
      </c>
      <c r="G1182" s="3">
        <v>490</v>
      </c>
      <c r="H1182" s="3">
        <v>36</v>
      </c>
      <c r="I1182" s="9">
        <v>40952</v>
      </c>
      <c r="J1182" s="47">
        <v>0.41898148148148145</v>
      </c>
    </row>
    <row r="1183" spans="1:10" ht="30" x14ac:dyDescent="0.25">
      <c r="A1183" s="3" t="s">
        <v>262</v>
      </c>
      <c r="B1183" s="45" t="s">
        <v>2048</v>
      </c>
      <c r="C1183" s="45" t="s">
        <v>2049</v>
      </c>
      <c r="D1183" s="46" t="s">
        <v>2050</v>
      </c>
      <c r="E1183" s="3">
        <v>1494</v>
      </c>
      <c r="F1183" s="3">
        <v>385</v>
      </c>
      <c r="G1183" s="3">
        <v>489</v>
      </c>
      <c r="H1183" s="3">
        <v>604</v>
      </c>
      <c r="I1183" s="9">
        <v>42619</v>
      </c>
      <c r="J1183" s="47">
        <v>0.57469907407407406</v>
      </c>
    </row>
    <row r="1184" spans="1:10" ht="30" x14ac:dyDescent="0.25">
      <c r="A1184" s="3" t="s">
        <v>262</v>
      </c>
      <c r="B1184" s="45" t="s">
        <v>2807</v>
      </c>
      <c r="C1184" s="45" t="s">
        <v>2808</v>
      </c>
      <c r="D1184" s="46" t="s">
        <v>2809</v>
      </c>
      <c r="E1184" s="3">
        <v>236</v>
      </c>
      <c r="F1184" s="3">
        <v>176</v>
      </c>
      <c r="G1184" s="3">
        <v>484</v>
      </c>
      <c r="H1184" s="3">
        <v>162</v>
      </c>
      <c r="I1184" s="9">
        <v>42277</v>
      </c>
      <c r="J1184" s="47">
        <v>0.87003472222222233</v>
      </c>
    </row>
    <row r="1185" spans="1:10" x14ac:dyDescent="0.25">
      <c r="A1185" s="3" t="s">
        <v>262</v>
      </c>
      <c r="B1185" s="45" t="s">
        <v>2692</v>
      </c>
      <c r="C1185" s="45" t="s">
        <v>2693</v>
      </c>
      <c r="D1185" s="46" t="s">
        <v>2694</v>
      </c>
      <c r="E1185" s="3">
        <v>302</v>
      </c>
      <c r="F1185" s="3">
        <v>195</v>
      </c>
      <c r="G1185" s="3">
        <v>482</v>
      </c>
      <c r="H1185" s="3">
        <v>137</v>
      </c>
      <c r="I1185" s="9">
        <v>41754</v>
      </c>
      <c r="J1185" s="47">
        <v>0.36723379629629632</v>
      </c>
    </row>
    <row r="1186" spans="1:10" x14ac:dyDescent="0.25">
      <c r="A1186" s="3" t="s">
        <v>262</v>
      </c>
      <c r="B1186" s="45" t="s">
        <v>3009</v>
      </c>
      <c r="C1186" s="45" t="s">
        <v>3010</v>
      </c>
      <c r="D1186" s="46" t="s">
        <v>3011</v>
      </c>
      <c r="E1186" s="3">
        <v>136</v>
      </c>
      <c r="F1186" s="3">
        <v>134</v>
      </c>
      <c r="G1186" s="3">
        <v>479</v>
      </c>
      <c r="H1186" s="3">
        <v>4</v>
      </c>
      <c r="I1186" s="9">
        <v>41603</v>
      </c>
      <c r="J1186" s="47">
        <v>0.43546296296296294</v>
      </c>
    </row>
    <row r="1187" spans="1:10" x14ac:dyDescent="0.25">
      <c r="A1187" s="3" t="s">
        <v>262</v>
      </c>
      <c r="B1187" s="45" t="s">
        <v>2333</v>
      </c>
      <c r="C1187" s="45" t="s">
        <v>2334</v>
      </c>
      <c r="D1187" s="46" t="s">
        <v>2335</v>
      </c>
      <c r="E1187" s="3">
        <v>326</v>
      </c>
      <c r="F1187" s="3">
        <v>280</v>
      </c>
      <c r="G1187" s="3">
        <v>478</v>
      </c>
      <c r="H1187" s="3">
        <v>475</v>
      </c>
      <c r="I1187" s="9">
        <v>41183</v>
      </c>
      <c r="J1187" s="47">
        <v>0.62684027777777784</v>
      </c>
    </row>
    <row r="1188" spans="1:10" x14ac:dyDescent="0.25">
      <c r="A1188" s="3" t="s">
        <v>262</v>
      </c>
      <c r="B1188" s="45" t="s">
        <v>1932</v>
      </c>
      <c r="C1188" s="45" t="s">
        <v>3204</v>
      </c>
      <c r="D1188" s="46" t="s">
        <v>3205</v>
      </c>
      <c r="E1188" s="3">
        <v>215</v>
      </c>
      <c r="F1188" s="3">
        <v>85</v>
      </c>
      <c r="G1188" s="3">
        <v>476</v>
      </c>
      <c r="H1188" s="3">
        <v>543</v>
      </c>
      <c r="I1188" s="9">
        <v>42542</v>
      </c>
      <c r="J1188" s="47">
        <v>0.33317129629629633</v>
      </c>
    </row>
    <row r="1189" spans="1:10" x14ac:dyDescent="0.25">
      <c r="A1189" s="3" t="s">
        <v>262</v>
      </c>
      <c r="B1189" s="45" t="s">
        <v>3219</v>
      </c>
      <c r="C1189" s="45" t="s">
        <v>2007</v>
      </c>
      <c r="D1189" s="46" t="s">
        <v>3220</v>
      </c>
      <c r="E1189" s="3">
        <v>193</v>
      </c>
      <c r="F1189" s="3">
        <v>79</v>
      </c>
      <c r="G1189" s="3">
        <v>476</v>
      </c>
      <c r="H1189" s="3">
        <v>59</v>
      </c>
      <c r="I1189" s="9">
        <v>42094</v>
      </c>
      <c r="J1189" s="47">
        <v>0.65732638888888884</v>
      </c>
    </row>
    <row r="1190" spans="1:10" x14ac:dyDescent="0.25">
      <c r="A1190" s="3" t="s">
        <v>262</v>
      </c>
      <c r="B1190" s="45" t="s">
        <v>2667</v>
      </c>
      <c r="C1190" s="45" t="s">
        <v>2030</v>
      </c>
      <c r="D1190" s="46" t="s">
        <v>2668</v>
      </c>
      <c r="E1190" s="3">
        <v>116</v>
      </c>
      <c r="F1190" s="3">
        <v>200</v>
      </c>
      <c r="G1190" s="3">
        <v>467</v>
      </c>
      <c r="H1190" s="3">
        <v>247</v>
      </c>
      <c r="I1190" s="9">
        <v>42065</v>
      </c>
      <c r="J1190" s="47">
        <v>0.71466435185185195</v>
      </c>
    </row>
    <row r="1191" spans="1:10" x14ac:dyDescent="0.25">
      <c r="A1191" s="3" t="s">
        <v>262</v>
      </c>
      <c r="B1191" s="45" t="s">
        <v>1929</v>
      </c>
      <c r="C1191" s="45" t="s">
        <v>1930</v>
      </c>
      <c r="D1191" s="46" t="s">
        <v>1931</v>
      </c>
      <c r="E1191" s="3">
        <v>394</v>
      </c>
      <c r="F1191" s="3">
        <v>431</v>
      </c>
      <c r="G1191" s="3">
        <v>465</v>
      </c>
      <c r="H1191" s="3">
        <v>119</v>
      </c>
      <c r="I1191" s="9">
        <v>41687</v>
      </c>
      <c r="J1191" s="47">
        <v>0.42914351851851856</v>
      </c>
    </row>
    <row r="1192" spans="1:10" x14ac:dyDescent="0.25">
      <c r="A1192" s="3" t="s">
        <v>262</v>
      </c>
      <c r="B1192" s="45" t="s">
        <v>3332</v>
      </c>
      <c r="E1192" s="3">
        <v>143</v>
      </c>
      <c r="F1192" s="3">
        <v>58</v>
      </c>
      <c r="G1192" s="3">
        <v>452</v>
      </c>
      <c r="H1192" s="3">
        <v>118</v>
      </c>
      <c r="I1192" s="9">
        <v>42772</v>
      </c>
      <c r="J1192" s="47">
        <v>0.57734953703703706</v>
      </c>
    </row>
    <row r="1193" spans="1:10" x14ac:dyDescent="0.25">
      <c r="A1193" s="3" t="s">
        <v>262</v>
      </c>
      <c r="B1193" s="45" t="s">
        <v>1962</v>
      </c>
      <c r="C1193" s="45" t="s">
        <v>361</v>
      </c>
      <c r="D1193" s="46" t="s">
        <v>1963</v>
      </c>
      <c r="E1193" s="3">
        <v>73</v>
      </c>
      <c r="F1193" s="3">
        <v>419</v>
      </c>
      <c r="G1193" s="3">
        <v>451</v>
      </c>
      <c r="H1193" s="3">
        <v>3</v>
      </c>
      <c r="I1193" s="9">
        <v>40785</v>
      </c>
      <c r="J1193" s="47">
        <v>0.35715277777777782</v>
      </c>
    </row>
    <row r="1194" spans="1:10" ht="45" x14ac:dyDescent="0.25">
      <c r="A1194" s="3" t="s">
        <v>262</v>
      </c>
      <c r="B1194" s="45" t="s">
        <v>3289</v>
      </c>
      <c r="D1194" s="46" t="s">
        <v>3290</v>
      </c>
      <c r="E1194" s="3">
        <v>170</v>
      </c>
      <c r="F1194" s="3">
        <v>66</v>
      </c>
      <c r="G1194" s="3">
        <v>451</v>
      </c>
      <c r="H1194" s="3">
        <v>15</v>
      </c>
      <c r="I1194" s="9">
        <v>41249</v>
      </c>
      <c r="J1194" s="47">
        <v>0.42784722222222221</v>
      </c>
    </row>
    <row r="1195" spans="1:10" x14ac:dyDescent="0.25">
      <c r="A1195" s="3" t="s">
        <v>262</v>
      </c>
      <c r="B1195" s="45" t="s">
        <v>2409</v>
      </c>
      <c r="C1195" s="45" t="s">
        <v>2410</v>
      </c>
      <c r="D1195" s="46" t="s">
        <v>2411</v>
      </c>
      <c r="E1195" s="3">
        <v>204</v>
      </c>
      <c r="F1195" s="3">
        <v>260</v>
      </c>
      <c r="G1195" s="3">
        <v>441</v>
      </c>
      <c r="H1195" s="3">
        <v>436</v>
      </c>
      <c r="I1195" s="9">
        <v>41703</v>
      </c>
      <c r="J1195" s="47">
        <v>0.52885416666666674</v>
      </c>
    </row>
    <row r="1196" spans="1:10" x14ac:dyDescent="0.25">
      <c r="A1196" s="3" t="s">
        <v>262</v>
      </c>
      <c r="B1196" s="45" t="s">
        <v>2681</v>
      </c>
      <c r="C1196" s="45" t="s">
        <v>788</v>
      </c>
      <c r="D1196" s="46" t="s">
        <v>2682</v>
      </c>
      <c r="E1196" s="3">
        <v>402</v>
      </c>
      <c r="F1196" s="3">
        <v>197</v>
      </c>
      <c r="G1196" s="3">
        <v>437</v>
      </c>
      <c r="H1196" s="3">
        <v>249</v>
      </c>
      <c r="I1196" s="9">
        <v>41838</v>
      </c>
      <c r="J1196" s="47">
        <v>0.32402777777777775</v>
      </c>
    </row>
    <row r="1197" spans="1:10" ht="30" x14ac:dyDescent="0.25">
      <c r="A1197" s="3" t="s">
        <v>262</v>
      </c>
      <c r="B1197" s="45" t="s">
        <v>2771</v>
      </c>
      <c r="C1197" s="45" t="s">
        <v>477</v>
      </c>
      <c r="D1197" s="46" t="s">
        <v>2772</v>
      </c>
      <c r="E1197" s="3">
        <v>256</v>
      </c>
      <c r="F1197" s="3">
        <v>184</v>
      </c>
      <c r="G1197" s="3">
        <v>436</v>
      </c>
      <c r="H1197" s="3">
        <v>546</v>
      </c>
      <c r="I1197" s="9">
        <v>42242</v>
      </c>
      <c r="J1197" s="47">
        <v>0.37813657407407408</v>
      </c>
    </row>
    <row r="1198" spans="1:10" x14ac:dyDescent="0.25">
      <c r="A1198" s="3" t="s">
        <v>262</v>
      </c>
      <c r="B1198" s="45" t="s">
        <v>1939</v>
      </c>
      <c r="C1198" s="45" t="s">
        <v>1940</v>
      </c>
      <c r="D1198" s="46" t="s">
        <v>1941</v>
      </c>
      <c r="E1198" s="3">
        <v>583</v>
      </c>
      <c r="F1198" s="3">
        <v>426</v>
      </c>
      <c r="G1198" s="3">
        <v>431</v>
      </c>
      <c r="H1198" s="3">
        <v>59</v>
      </c>
      <c r="I1198" s="9">
        <v>41690</v>
      </c>
      <c r="J1198" s="47">
        <v>0.47480324074074076</v>
      </c>
    </row>
    <row r="1199" spans="1:10" ht="30" x14ac:dyDescent="0.25">
      <c r="A1199" s="3" t="s">
        <v>262</v>
      </c>
      <c r="B1199" s="45" t="s">
        <v>2962</v>
      </c>
      <c r="C1199" s="45" t="s">
        <v>2963</v>
      </c>
      <c r="D1199" s="46" t="s">
        <v>2964</v>
      </c>
      <c r="E1199" s="3">
        <v>510</v>
      </c>
      <c r="F1199" s="3">
        <v>149</v>
      </c>
      <c r="G1199" s="3">
        <v>426</v>
      </c>
      <c r="H1199" s="3">
        <v>408</v>
      </c>
      <c r="I1199" s="9">
        <v>42437</v>
      </c>
      <c r="J1199" s="47">
        <v>0.46410879629629626</v>
      </c>
    </row>
    <row r="1200" spans="1:10" x14ac:dyDescent="0.25">
      <c r="A1200" s="3" t="s">
        <v>262</v>
      </c>
      <c r="B1200" s="45" t="s">
        <v>3019</v>
      </c>
      <c r="C1200" s="45" t="s">
        <v>3020</v>
      </c>
      <c r="E1200" s="3">
        <v>600</v>
      </c>
      <c r="F1200" s="3">
        <v>132</v>
      </c>
      <c r="G1200" s="3">
        <v>423</v>
      </c>
      <c r="H1200" s="3">
        <v>460</v>
      </c>
      <c r="I1200" s="9">
        <v>42660</v>
      </c>
      <c r="J1200" s="47">
        <v>0.54672453703703705</v>
      </c>
    </row>
    <row r="1201" spans="1:10" x14ac:dyDescent="0.25">
      <c r="A1201" s="3" t="s">
        <v>262</v>
      </c>
      <c r="B1201" s="45" t="s">
        <v>3136</v>
      </c>
      <c r="C1201" s="45" t="s">
        <v>3137</v>
      </c>
      <c r="D1201" s="46" t="s">
        <v>3138</v>
      </c>
      <c r="E1201" s="3">
        <v>74</v>
      </c>
      <c r="F1201" s="3">
        <v>97</v>
      </c>
      <c r="G1201" s="3">
        <v>419</v>
      </c>
      <c r="H1201" s="3">
        <v>42</v>
      </c>
      <c r="I1201" s="9">
        <v>40331</v>
      </c>
      <c r="J1201" s="47">
        <v>0.45443287037037039</v>
      </c>
    </row>
    <row r="1202" spans="1:10" x14ac:dyDescent="0.25">
      <c r="A1202" s="3" t="s">
        <v>262</v>
      </c>
      <c r="B1202" s="45" t="s">
        <v>2495</v>
      </c>
      <c r="C1202" s="45" t="s">
        <v>2496</v>
      </c>
      <c r="D1202" s="46" t="s">
        <v>2497</v>
      </c>
      <c r="E1202" s="3">
        <v>224</v>
      </c>
      <c r="F1202" s="3">
        <v>241</v>
      </c>
      <c r="G1202" s="3">
        <v>406</v>
      </c>
      <c r="H1202" s="3">
        <v>154</v>
      </c>
      <c r="I1202" s="9">
        <v>42443</v>
      </c>
      <c r="J1202" s="47">
        <v>0.42363425925925924</v>
      </c>
    </row>
    <row r="1203" spans="1:10" x14ac:dyDescent="0.25">
      <c r="A1203" s="3" t="s">
        <v>262</v>
      </c>
      <c r="B1203" s="45" t="s">
        <v>2826</v>
      </c>
      <c r="C1203" s="45" t="s">
        <v>2827</v>
      </c>
      <c r="D1203" s="46" t="s">
        <v>2828</v>
      </c>
      <c r="E1203" s="3">
        <v>228</v>
      </c>
      <c r="F1203" s="3">
        <v>172</v>
      </c>
      <c r="G1203" s="3">
        <v>406</v>
      </c>
      <c r="H1203" s="3">
        <v>19</v>
      </c>
      <c r="I1203" s="9">
        <v>40911</v>
      </c>
      <c r="J1203" s="47">
        <v>0.92054398148148142</v>
      </c>
    </row>
    <row r="1204" spans="1:10" x14ac:dyDescent="0.25">
      <c r="A1204" s="3" t="s">
        <v>262</v>
      </c>
      <c r="B1204" s="45" t="s">
        <v>3201</v>
      </c>
      <c r="C1204" s="45" t="s">
        <v>3202</v>
      </c>
      <c r="D1204" s="46" t="s">
        <v>3203</v>
      </c>
      <c r="E1204" s="3">
        <v>186</v>
      </c>
      <c r="F1204" s="3">
        <v>85</v>
      </c>
      <c r="G1204" s="3">
        <v>403</v>
      </c>
      <c r="H1204" s="3">
        <v>159</v>
      </c>
      <c r="I1204" s="9">
        <v>42081</v>
      </c>
      <c r="J1204" s="47">
        <v>0.60185185185185186</v>
      </c>
    </row>
    <row r="1205" spans="1:10" x14ac:dyDescent="0.25">
      <c r="A1205" s="3" t="s">
        <v>262</v>
      </c>
      <c r="B1205" s="45" t="s">
        <v>2112</v>
      </c>
      <c r="D1205" s="46" t="s">
        <v>2113</v>
      </c>
      <c r="E1205" s="3">
        <v>532</v>
      </c>
      <c r="F1205" s="3">
        <v>360</v>
      </c>
      <c r="G1205" s="3">
        <v>400</v>
      </c>
      <c r="H1205" s="3">
        <v>41</v>
      </c>
      <c r="I1205" s="9">
        <v>40987</v>
      </c>
      <c r="J1205" s="47">
        <v>0.63065972222222222</v>
      </c>
    </row>
    <row r="1206" spans="1:10" x14ac:dyDescent="0.25">
      <c r="A1206" s="3" t="s">
        <v>262</v>
      </c>
      <c r="B1206" s="45" t="s">
        <v>3266</v>
      </c>
      <c r="D1206" s="46" t="s">
        <v>3267</v>
      </c>
      <c r="E1206" s="3">
        <v>176</v>
      </c>
      <c r="F1206" s="3">
        <v>71</v>
      </c>
      <c r="G1206" s="3">
        <v>392</v>
      </c>
      <c r="H1206" s="3">
        <v>270</v>
      </c>
      <c r="I1206" s="9">
        <v>41606</v>
      </c>
      <c r="J1206" s="47">
        <v>0.66342592592592597</v>
      </c>
    </row>
    <row r="1207" spans="1:10" ht="30" x14ac:dyDescent="0.25">
      <c r="A1207" s="3" t="s">
        <v>262</v>
      </c>
      <c r="B1207" s="45" t="s">
        <v>2221</v>
      </c>
      <c r="C1207" s="45" t="s">
        <v>2222</v>
      </c>
      <c r="D1207" s="46" t="s">
        <v>2223</v>
      </c>
      <c r="E1207" s="3">
        <v>312</v>
      </c>
      <c r="F1207" s="3">
        <v>318</v>
      </c>
      <c r="G1207" s="3">
        <v>391</v>
      </c>
      <c r="H1207" s="3">
        <v>298</v>
      </c>
      <c r="I1207" s="9">
        <v>40309</v>
      </c>
      <c r="J1207" s="47">
        <v>0.50435185185185183</v>
      </c>
    </row>
    <row r="1208" spans="1:10" x14ac:dyDescent="0.25">
      <c r="A1208" s="3" t="s">
        <v>262</v>
      </c>
      <c r="B1208" s="45" t="s">
        <v>2664</v>
      </c>
      <c r="C1208" s="45" t="s">
        <v>2665</v>
      </c>
      <c r="D1208" s="46" t="s">
        <v>2666</v>
      </c>
      <c r="E1208" s="3">
        <v>126</v>
      </c>
      <c r="F1208" s="3">
        <v>200</v>
      </c>
      <c r="G1208" s="3">
        <v>388</v>
      </c>
      <c r="H1208" s="3">
        <v>293</v>
      </c>
      <c r="I1208" s="9">
        <v>42039</v>
      </c>
      <c r="J1208" s="47">
        <v>0.51545138888888886</v>
      </c>
    </row>
    <row r="1209" spans="1:10" ht="30" x14ac:dyDescent="0.25">
      <c r="A1209" s="3" t="s">
        <v>262</v>
      </c>
      <c r="B1209" s="45" t="s">
        <v>2852</v>
      </c>
      <c r="D1209" s="46" t="s">
        <v>2853</v>
      </c>
      <c r="E1209" s="3">
        <v>133</v>
      </c>
      <c r="F1209" s="3">
        <v>168</v>
      </c>
      <c r="G1209" s="3">
        <v>386</v>
      </c>
      <c r="H1209" s="3">
        <v>510</v>
      </c>
      <c r="I1209" s="9">
        <v>42500</v>
      </c>
      <c r="J1209" s="47">
        <v>0.54869212962962965</v>
      </c>
    </row>
    <row r="1210" spans="1:10" ht="30" x14ac:dyDescent="0.25">
      <c r="A1210" s="3" t="s">
        <v>262</v>
      </c>
      <c r="B1210" s="45" t="s">
        <v>2678</v>
      </c>
      <c r="C1210" s="45" t="s">
        <v>2679</v>
      </c>
      <c r="D1210" s="46" t="s">
        <v>2680</v>
      </c>
      <c r="E1210" s="3">
        <v>344</v>
      </c>
      <c r="F1210" s="3">
        <v>197</v>
      </c>
      <c r="G1210" s="3">
        <v>384</v>
      </c>
      <c r="H1210" s="3">
        <v>105</v>
      </c>
      <c r="I1210" s="9">
        <v>41710</v>
      </c>
      <c r="J1210" s="47">
        <v>0.55820601851851859</v>
      </c>
    </row>
    <row r="1211" spans="1:10" x14ac:dyDescent="0.25">
      <c r="A1211" s="3" t="s">
        <v>262</v>
      </c>
      <c r="B1211" s="45" t="s">
        <v>2861</v>
      </c>
      <c r="D1211" s="46" t="s">
        <v>2862</v>
      </c>
      <c r="E1211" s="3">
        <v>256</v>
      </c>
      <c r="F1211" s="3">
        <v>166</v>
      </c>
      <c r="G1211" s="3">
        <v>382</v>
      </c>
      <c r="H1211" s="3">
        <v>15</v>
      </c>
      <c r="I1211" s="9">
        <v>39900</v>
      </c>
      <c r="J1211" s="47">
        <v>0.78421296296296295</v>
      </c>
    </row>
    <row r="1212" spans="1:10" x14ac:dyDescent="0.25">
      <c r="A1212" s="3" t="s">
        <v>262</v>
      </c>
      <c r="B1212" s="45" t="s">
        <v>3399</v>
      </c>
      <c r="C1212" s="45" t="s">
        <v>3400</v>
      </c>
      <c r="D1212" s="46" t="s">
        <v>3401</v>
      </c>
      <c r="E1212" s="3">
        <v>121</v>
      </c>
      <c r="F1212" s="3">
        <v>42</v>
      </c>
      <c r="G1212" s="3">
        <v>377</v>
      </c>
      <c r="H1212" s="3">
        <v>285</v>
      </c>
      <c r="I1212" s="9">
        <v>42503</v>
      </c>
      <c r="J1212" s="47">
        <v>0.40961805555555553</v>
      </c>
    </row>
    <row r="1213" spans="1:10" ht="30" x14ac:dyDescent="0.25">
      <c r="A1213" s="3" t="s">
        <v>262</v>
      </c>
      <c r="B1213" s="45" t="s">
        <v>3189</v>
      </c>
      <c r="C1213" s="45" t="s">
        <v>1377</v>
      </c>
      <c r="D1213" s="46" t="s">
        <v>3190</v>
      </c>
      <c r="E1213" s="3">
        <v>325</v>
      </c>
      <c r="F1213" s="3">
        <v>87</v>
      </c>
      <c r="G1213" s="3">
        <v>373</v>
      </c>
      <c r="H1213" s="3">
        <v>345</v>
      </c>
      <c r="I1213" s="9">
        <v>42621</v>
      </c>
      <c r="J1213" s="47">
        <v>0.57271990740740741</v>
      </c>
    </row>
    <row r="1214" spans="1:10" ht="30" x14ac:dyDescent="0.25">
      <c r="A1214" s="3" t="s">
        <v>262</v>
      </c>
      <c r="B1214" s="45" t="s">
        <v>3100</v>
      </c>
      <c r="C1214" s="45" t="s">
        <v>3101</v>
      </c>
      <c r="D1214" s="46" t="s">
        <v>3102</v>
      </c>
      <c r="E1214" s="3">
        <v>223</v>
      </c>
      <c r="F1214" s="3">
        <v>108</v>
      </c>
      <c r="G1214" s="3">
        <v>372</v>
      </c>
      <c r="H1214" s="3">
        <v>2</v>
      </c>
      <c r="I1214" s="9">
        <v>41316</v>
      </c>
      <c r="J1214" s="47">
        <v>0.59520833333333334</v>
      </c>
    </row>
    <row r="1215" spans="1:10" ht="30" x14ac:dyDescent="0.25">
      <c r="A1215" s="3" t="s">
        <v>262</v>
      </c>
      <c r="B1215" s="45" t="s">
        <v>2696</v>
      </c>
      <c r="C1215" s="45" t="s">
        <v>2697</v>
      </c>
      <c r="D1215" s="46" t="s">
        <v>2698</v>
      </c>
      <c r="E1215" s="3">
        <v>28</v>
      </c>
      <c r="F1215" s="3">
        <v>194</v>
      </c>
      <c r="G1215" s="3">
        <v>367</v>
      </c>
      <c r="H1215" s="3">
        <v>115</v>
      </c>
      <c r="I1215" s="9">
        <v>41789</v>
      </c>
      <c r="J1215" s="47">
        <v>0.67763888888888879</v>
      </c>
    </row>
    <row r="1216" spans="1:10" ht="30" x14ac:dyDescent="0.25">
      <c r="A1216" s="3" t="s">
        <v>262</v>
      </c>
      <c r="B1216" s="45" t="s">
        <v>3380</v>
      </c>
      <c r="D1216" s="46" t="s">
        <v>3381</v>
      </c>
      <c r="E1216" s="3">
        <v>88</v>
      </c>
      <c r="F1216" s="3">
        <v>48</v>
      </c>
      <c r="G1216" s="3">
        <v>363</v>
      </c>
      <c r="H1216" s="3">
        <v>67</v>
      </c>
      <c r="I1216" s="9">
        <v>42716</v>
      </c>
      <c r="J1216" s="47">
        <v>0.42833333333333329</v>
      </c>
    </row>
    <row r="1217" spans="1:10" x14ac:dyDescent="0.25">
      <c r="A1217" s="3" t="s">
        <v>262</v>
      </c>
      <c r="B1217" s="45" t="s">
        <v>1464</v>
      </c>
      <c r="C1217" s="45" t="s">
        <v>2224</v>
      </c>
      <c r="D1217" s="46" t="s">
        <v>2225</v>
      </c>
      <c r="E1217" s="3">
        <v>570</v>
      </c>
      <c r="F1217" s="3">
        <v>317</v>
      </c>
      <c r="G1217" s="3">
        <v>360</v>
      </c>
      <c r="H1217" s="3">
        <v>152</v>
      </c>
      <c r="I1217" s="9">
        <v>42438</v>
      </c>
      <c r="J1217" s="47">
        <v>0.62572916666666667</v>
      </c>
    </row>
    <row r="1218" spans="1:10" ht="30" x14ac:dyDescent="0.25">
      <c r="A1218" s="3" t="s">
        <v>262</v>
      </c>
      <c r="B1218" s="45" t="s">
        <v>3029</v>
      </c>
      <c r="C1218" s="45" t="s">
        <v>3030</v>
      </c>
      <c r="D1218" s="46" t="s">
        <v>3031</v>
      </c>
      <c r="E1218" s="3">
        <v>115</v>
      </c>
      <c r="F1218" s="3">
        <v>130</v>
      </c>
      <c r="G1218" s="3">
        <v>357</v>
      </c>
      <c r="H1218" s="3">
        <v>360</v>
      </c>
      <c r="I1218" s="9">
        <v>42339</v>
      </c>
      <c r="J1218" s="47">
        <v>0.40108796296296295</v>
      </c>
    </row>
    <row r="1219" spans="1:10" x14ac:dyDescent="0.25">
      <c r="A1219" s="3" t="s">
        <v>262</v>
      </c>
      <c r="B1219" s="45" t="s">
        <v>3375</v>
      </c>
      <c r="C1219" s="45" t="s">
        <v>3376</v>
      </c>
      <c r="D1219" s="46" t="s">
        <v>3377</v>
      </c>
      <c r="E1219" s="3">
        <v>102</v>
      </c>
      <c r="F1219" s="3">
        <v>48</v>
      </c>
      <c r="G1219" s="3">
        <v>355</v>
      </c>
      <c r="H1219" s="3">
        <v>0</v>
      </c>
      <c r="I1219" s="9">
        <v>41991</v>
      </c>
      <c r="J1219" s="47">
        <v>0.58472222222222225</v>
      </c>
    </row>
    <row r="1220" spans="1:10" x14ac:dyDescent="0.25">
      <c r="A1220" s="3" t="s">
        <v>262</v>
      </c>
      <c r="B1220" s="45" t="s">
        <v>2420</v>
      </c>
      <c r="C1220" s="45" t="s">
        <v>186</v>
      </c>
      <c r="D1220" s="46" t="s">
        <v>2421</v>
      </c>
      <c r="E1220" s="3">
        <v>51</v>
      </c>
      <c r="F1220" s="3">
        <v>259</v>
      </c>
      <c r="G1220" s="3">
        <v>354</v>
      </c>
      <c r="H1220" s="3">
        <v>172</v>
      </c>
      <c r="I1220" s="9">
        <v>40688</v>
      </c>
      <c r="J1220" s="47">
        <v>0.45861111111111108</v>
      </c>
    </row>
    <row r="1221" spans="1:10" x14ac:dyDescent="0.25">
      <c r="A1221" s="3" t="s">
        <v>262</v>
      </c>
      <c r="B1221" s="45" t="s">
        <v>2536</v>
      </c>
      <c r="D1221" s="46" t="s">
        <v>2537</v>
      </c>
      <c r="E1221" s="3">
        <v>256</v>
      </c>
      <c r="F1221" s="3">
        <v>227</v>
      </c>
      <c r="G1221" s="3">
        <v>349</v>
      </c>
      <c r="H1221" s="3">
        <v>176</v>
      </c>
      <c r="I1221" s="9">
        <v>42010</v>
      </c>
      <c r="J1221" s="47">
        <v>0.75584490740740751</v>
      </c>
    </row>
    <row r="1222" spans="1:10" x14ac:dyDescent="0.25">
      <c r="A1222" s="3" t="s">
        <v>262</v>
      </c>
      <c r="B1222" s="45" t="s">
        <v>2425</v>
      </c>
      <c r="C1222" s="45" t="s">
        <v>2426</v>
      </c>
      <c r="D1222" s="46" t="s">
        <v>2427</v>
      </c>
      <c r="E1222" s="3">
        <v>375</v>
      </c>
      <c r="F1222" s="3">
        <v>258</v>
      </c>
      <c r="G1222" s="3">
        <v>340</v>
      </c>
      <c r="H1222" s="3">
        <v>364</v>
      </c>
      <c r="I1222" s="9">
        <v>41603</v>
      </c>
      <c r="J1222" s="47">
        <v>0.46065972222222223</v>
      </c>
    </row>
    <row r="1223" spans="1:10" ht="30" x14ac:dyDescent="0.25">
      <c r="A1223" s="3" t="s">
        <v>262</v>
      </c>
      <c r="B1223" s="45" t="s">
        <v>2813</v>
      </c>
      <c r="C1223" s="45" t="s">
        <v>2814</v>
      </c>
      <c r="D1223" s="46" t="s">
        <v>2815</v>
      </c>
      <c r="E1223" s="3">
        <v>408</v>
      </c>
      <c r="F1223" s="3">
        <v>175</v>
      </c>
      <c r="G1223" s="3">
        <v>335</v>
      </c>
      <c r="H1223" s="3">
        <v>567</v>
      </c>
      <c r="I1223" s="9">
        <v>41962</v>
      </c>
      <c r="J1223" s="47">
        <v>0.48749999999999999</v>
      </c>
    </row>
    <row r="1224" spans="1:10" ht="30" x14ac:dyDescent="0.25">
      <c r="A1224" s="3" t="s">
        <v>262</v>
      </c>
      <c r="B1224" s="45" t="s">
        <v>2324</v>
      </c>
      <c r="C1224" s="45" t="s">
        <v>2325</v>
      </c>
      <c r="D1224" s="46" t="s">
        <v>2326</v>
      </c>
      <c r="E1224" s="3">
        <v>366</v>
      </c>
      <c r="F1224" s="3">
        <v>284</v>
      </c>
      <c r="G1224" s="3">
        <v>334</v>
      </c>
      <c r="H1224" s="3">
        <v>131</v>
      </c>
      <c r="I1224" s="9">
        <v>42276</v>
      </c>
      <c r="J1224" s="47">
        <v>0.35635416666666669</v>
      </c>
    </row>
    <row r="1225" spans="1:10" ht="30" x14ac:dyDescent="0.25">
      <c r="A1225" s="3" t="s">
        <v>262</v>
      </c>
      <c r="B1225" s="45" t="s">
        <v>2601</v>
      </c>
      <c r="C1225" s="45" t="s">
        <v>2602</v>
      </c>
      <c r="D1225" s="46" t="s">
        <v>2603</v>
      </c>
      <c r="E1225" s="3">
        <v>629</v>
      </c>
      <c r="F1225" s="3">
        <v>212</v>
      </c>
      <c r="G1225" s="3">
        <v>333</v>
      </c>
      <c r="H1225" s="3">
        <v>15</v>
      </c>
      <c r="I1225" s="9">
        <v>42164</v>
      </c>
      <c r="J1225" s="47">
        <v>0.42439814814814819</v>
      </c>
    </row>
    <row r="1226" spans="1:10" ht="30" x14ac:dyDescent="0.25">
      <c r="A1226" s="3" t="s">
        <v>262</v>
      </c>
      <c r="B1226" s="45" t="s">
        <v>1932</v>
      </c>
      <c r="C1226" s="45" t="s">
        <v>2022</v>
      </c>
      <c r="D1226" s="46" t="s">
        <v>2023</v>
      </c>
      <c r="E1226" s="3">
        <v>207</v>
      </c>
      <c r="F1226" s="3">
        <v>396</v>
      </c>
      <c r="G1226" s="3">
        <v>332</v>
      </c>
      <c r="H1226" s="3">
        <v>110</v>
      </c>
      <c r="I1226" s="9">
        <v>41983</v>
      </c>
      <c r="J1226" s="47">
        <v>0.45702546296296293</v>
      </c>
    </row>
    <row r="1227" spans="1:10" x14ac:dyDescent="0.25">
      <c r="A1227" s="3" t="s">
        <v>262</v>
      </c>
      <c r="B1227" s="45" t="s">
        <v>2816</v>
      </c>
      <c r="C1227" s="45" t="s">
        <v>310</v>
      </c>
      <c r="D1227" s="46" t="s">
        <v>2817</v>
      </c>
      <c r="E1227" s="3">
        <v>188</v>
      </c>
      <c r="F1227" s="3">
        <v>175</v>
      </c>
      <c r="G1227" s="3">
        <v>329</v>
      </c>
      <c r="H1227" s="3">
        <v>103</v>
      </c>
      <c r="I1227" s="9">
        <v>42038</v>
      </c>
      <c r="J1227" s="47">
        <v>0.91805555555555562</v>
      </c>
    </row>
    <row r="1228" spans="1:10" x14ac:dyDescent="0.25">
      <c r="A1228" s="3" t="s">
        <v>262</v>
      </c>
      <c r="B1228" s="45" t="s">
        <v>1621</v>
      </c>
      <c r="C1228" s="45" t="s">
        <v>2994</v>
      </c>
      <c r="D1228" s="46" t="s">
        <v>2995</v>
      </c>
      <c r="E1228" s="3">
        <v>80</v>
      </c>
      <c r="F1228" s="3">
        <v>140</v>
      </c>
      <c r="G1228" s="3">
        <v>329</v>
      </c>
      <c r="H1228" s="3">
        <v>12</v>
      </c>
      <c r="I1228" s="9">
        <v>41277</v>
      </c>
      <c r="J1228" s="47">
        <v>0.57739583333333333</v>
      </c>
    </row>
    <row r="1229" spans="1:10" ht="105" x14ac:dyDescent="0.25">
      <c r="A1229" s="3" t="s">
        <v>262</v>
      </c>
      <c r="B1229" s="45" t="s">
        <v>3186</v>
      </c>
      <c r="C1229" s="45" t="s">
        <v>310</v>
      </c>
      <c r="D1229" s="46" t="s">
        <v>3187</v>
      </c>
      <c r="E1229" s="3">
        <v>157</v>
      </c>
      <c r="F1229" s="3">
        <v>87</v>
      </c>
      <c r="G1229" s="3">
        <v>325</v>
      </c>
      <c r="H1229" s="3">
        <v>29</v>
      </c>
      <c r="I1229" s="9">
        <v>40801</v>
      </c>
      <c r="J1229" s="47">
        <v>0.36534722222222221</v>
      </c>
    </row>
    <row r="1230" spans="1:10" x14ac:dyDescent="0.25">
      <c r="A1230" s="3" t="s">
        <v>262</v>
      </c>
      <c r="B1230" s="45" t="s">
        <v>2532</v>
      </c>
      <c r="D1230" s="46" t="s">
        <v>2533</v>
      </c>
      <c r="E1230" s="3">
        <v>297</v>
      </c>
      <c r="F1230" s="3">
        <v>228</v>
      </c>
      <c r="G1230" s="3">
        <v>319</v>
      </c>
      <c r="H1230" s="3">
        <v>50</v>
      </c>
      <c r="I1230" s="9">
        <v>41197</v>
      </c>
      <c r="J1230" s="47">
        <v>0.35045138888888888</v>
      </c>
    </row>
    <row r="1231" spans="1:10" x14ac:dyDescent="0.25">
      <c r="A1231" s="3" t="s">
        <v>262</v>
      </c>
      <c r="B1231" s="45" t="s">
        <v>3004</v>
      </c>
      <c r="C1231" s="45" t="s">
        <v>613</v>
      </c>
      <c r="D1231" s="46" t="s">
        <v>3005</v>
      </c>
      <c r="E1231" s="3">
        <v>93</v>
      </c>
      <c r="F1231" s="3">
        <v>136</v>
      </c>
      <c r="G1231" s="3">
        <v>319</v>
      </c>
      <c r="H1231" s="3">
        <v>240</v>
      </c>
      <c r="I1231" s="9">
        <v>42425</v>
      </c>
      <c r="J1231" s="47">
        <v>0.56229166666666663</v>
      </c>
    </row>
    <row r="1232" spans="1:10" x14ac:dyDescent="0.25">
      <c r="A1232" s="3" t="s">
        <v>262</v>
      </c>
      <c r="B1232" s="45" t="s">
        <v>2365</v>
      </c>
      <c r="C1232" s="45" t="s">
        <v>2366</v>
      </c>
      <c r="D1232" s="46" t="s">
        <v>2367</v>
      </c>
      <c r="E1232" s="3">
        <v>317</v>
      </c>
      <c r="F1232" s="3">
        <v>270</v>
      </c>
      <c r="G1232" s="3">
        <v>309</v>
      </c>
      <c r="H1232" s="3">
        <v>139</v>
      </c>
      <c r="I1232" s="9">
        <v>42339</v>
      </c>
      <c r="J1232" s="47">
        <v>0.4841550925925926</v>
      </c>
    </row>
    <row r="1233" spans="1:10" x14ac:dyDescent="0.25">
      <c r="A1233" s="3" t="s">
        <v>262</v>
      </c>
      <c r="B1233" s="45" t="s">
        <v>2905</v>
      </c>
      <c r="C1233" s="45" t="s">
        <v>2906</v>
      </c>
      <c r="D1233" s="46" t="s">
        <v>2907</v>
      </c>
      <c r="E1233" s="3">
        <v>74</v>
      </c>
      <c r="F1233" s="3">
        <v>157</v>
      </c>
      <c r="G1233" s="3">
        <v>305</v>
      </c>
      <c r="H1233" s="3">
        <v>92</v>
      </c>
      <c r="I1233" s="9">
        <v>41450</v>
      </c>
      <c r="J1233" s="47">
        <v>0.86700231481481482</v>
      </c>
    </row>
    <row r="1234" spans="1:10" x14ac:dyDescent="0.25">
      <c r="A1234" s="3" t="s">
        <v>262</v>
      </c>
      <c r="B1234" s="45" t="s">
        <v>2569</v>
      </c>
      <c r="C1234" s="45" t="s">
        <v>526</v>
      </c>
      <c r="D1234" s="46" t="s">
        <v>2570</v>
      </c>
      <c r="E1234" s="3">
        <v>506</v>
      </c>
      <c r="F1234" s="3">
        <v>222</v>
      </c>
      <c r="G1234" s="3">
        <v>297</v>
      </c>
      <c r="H1234" s="3">
        <v>208</v>
      </c>
      <c r="I1234" s="9">
        <v>42493</v>
      </c>
      <c r="J1234" s="47">
        <v>0.39229166666666665</v>
      </c>
    </row>
    <row r="1235" spans="1:10" x14ac:dyDescent="0.25">
      <c r="A1235" s="3" t="s">
        <v>262</v>
      </c>
      <c r="B1235" s="45" t="s">
        <v>2319</v>
      </c>
      <c r="C1235" s="45" t="s">
        <v>477</v>
      </c>
      <c r="D1235" s="46" t="s">
        <v>2320</v>
      </c>
      <c r="E1235" s="3">
        <v>279</v>
      </c>
      <c r="F1235" s="3">
        <v>285</v>
      </c>
      <c r="G1235" s="3">
        <v>295</v>
      </c>
      <c r="H1235" s="3">
        <v>172</v>
      </c>
      <c r="I1235" s="9">
        <v>41548</v>
      </c>
      <c r="J1235" s="47">
        <v>0.38262731481481477</v>
      </c>
    </row>
    <row r="1236" spans="1:10" x14ac:dyDescent="0.25">
      <c r="A1236" s="3" t="s">
        <v>262</v>
      </c>
      <c r="B1236" s="45" t="s">
        <v>2538</v>
      </c>
      <c r="C1236" s="45" t="s">
        <v>2539</v>
      </c>
      <c r="D1236" s="46" t="s">
        <v>2540</v>
      </c>
      <c r="E1236" s="3">
        <v>381</v>
      </c>
      <c r="F1236" s="3">
        <v>227</v>
      </c>
      <c r="G1236" s="3">
        <v>294</v>
      </c>
      <c r="H1236" s="3">
        <v>136</v>
      </c>
      <c r="I1236" s="9">
        <v>42081</v>
      </c>
      <c r="J1236" s="47">
        <v>0.70929398148148148</v>
      </c>
    </row>
    <row r="1237" spans="1:10" x14ac:dyDescent="0.25">
      <c r="A1237" s="3" t="s">
        <v>262</v>
      </c>
      <c r="B1237" s="45" t="s">
        <v>2046</v>
      </c>
      <c r="D1237" s="46" t="s">
        <v>2047</v>
      </c>
      <c r="E1237" s="3">
        <v>197</v>
      </c>
      <c r="F1237" s="3">
        <v>385</v>
      </c>
      <c r="G1237" s="3">
        <v>277</v>
      </c>
      <c r="H1237" s="3">
        <v>36</v>
      </c>
      <c r="I1237" s="9">
        <v>41534</v>
      </c>
      <c r="J1237" s="47">
        <v>0.37710648148148151</v>
      </c>
    </row>
    <row r="1238" spans="1:10" x14ac:dyDescent="0.25">
      <c r="A1238" s="3" t="s">
        <v>262</v>
      </c>
      <c r="B1238" s="45" t="s">
        <v>2993</v>
      </c>
      <c r="E1238" s="3">
        <v>80</v>
      </c>
      <c r="F1238" s="3">
        <v>141</v>
      </c>
      <c r="G1238" s="3">
        <v>263</v>
      </c>
      <c r="H1238" s="3">
        <v>176</v>
      </c>
      <c r="I1238" s="9">
        <v>42433</v>
      </c>
      <c r="J1238" s="47">
        <v>0.64988425925925919</v>
      </c>
    </row>
    <row r="1239" spans="1:10" ht="30" x14ac:dyDescent="0.25">
      <c r="A1239" s="3" t="s">
        <v>262</v>
      </c>
      <c r="B1239" s="45" t="s">
        <v>3044</v>
      </c>
      <c r="C1239" s="45" t="s">
        <v>3045</v>
      </c>
      <c r="D1239" s="46" t="s">
        <v>3046</v>
      </c>
      <c r="E1239" s="3">
        <v>126</v>
      </c>
      <c r="F1239" s="3">
        <v>126</v>
      </c>
      <c r="G1239" s="3">
        <v>262</v>
      </c>
      <c r="H1239" s="3">
        <v>55</v>
      </c>
      <c r="I1239" s="9">
        <v>41219</v>
      </c>
      <c r="J1239" s="47">
        <v>0.74678240740740742</v>
      </c>
    </row>
    <row r="1240" spans="1:10" x14ac:dyDescent="0.25">
      <c r="A1240" s="3" t="s">
        <v>262</v>
      </c>
      <c r="B1240" s="45" t="s">
        <v>2787</v>
      </c>
      <c r="C1240" s="45" t="s">
        <v>2788</v>
      </c>
      <c r="E1240" s="3">
        <v>124</v>
      </c>
      <c r="F1240" s="3">
        <v>179</v>
      </c>
      <c r="G1240" s="3">
        <v>260</v>
      </c>
      <c r="H1240" s="3">
        <v>21</v>
      </c>
      <c r="I1240" s="9">
        <v>41299</v>
      </c>
      <c r="J1240" s="47">
        <v>0.39362268518518517</v>
      </c>
    </row>
    <row r="1241" spans="1:10" x14ac:dyDescent="0.25">
      <c r="A1241" s="3" t="s">
        <v>262</v>
      </c>
      <c r="B1241" s="45" t="s">
        <v>2873</v>
      </c>
      <c r="C1241" s="45" t="s">
        <v>926</v>
      </c>
      <c r="D1241" s="46" t="s">
        <v>2874</v>
      </c>
      <c r="E1241" s="3">
        <v>461</v>
      </c>
      <c r="F1241" s="3">
        <v>164</v>
      </c>
      <c r="G1241" s="3">
        <v>259</v>
      </c>
      <c r="H1241" s="3">
        <v>100</v>
      </c>
      <c r="I1241" s="9">
        <v>42760</v>
      </c>
      <c r="J1241" s="47">
        <v>0.4149768518518519</v>
      </c>
    </row>
    <row r="1242" spans="1:10" x14ac:dyDescent="0.25">
      <c r="A1242" s="3" t="s">
        <v>262</v>
      </c>
      <c r="B1242" s="45" t="s">
        <v>2940</v>
      </c>
      <c r="C1242" s="45" t="s">
        <v>1377</v>
      </c>
      <c r="D1242" s="46" t="s">
        <v>2941</v>
      </c>
      <c r="E1242" s="3">
        <v>478</v>
      </c>
      <c r="F1242" s="3">
        <v>152</v>
      </c>
      <c r="G1242" s="3">
        <v>256</v>
      </c>
      <c r="H1242" s="3">
        <v>272</v>
      </c>
      <c r="I1242" s="9">
        <v>42116</v>
      </c>
      <c r="J1242" s="47">
        <v>0.37787037037037036</v>
      </c>
    </row>
    <row r="1243" spans="1:10" x14ac:dyDescent="0.25">
      <c r="A1243" s="3" t="s">
        <v>262</v>
      </c>
      <c r="B1243" s="45" t="s">
        <v>2875</v>
      </c>
      <c r="C1243" s="45" t="s">
        <v>2876</v>
      </c>
      <c r="D1243" s="46" t="s">
        <v>2877</v>
      </c>
      <c r="E1243" s="3">
        <v>523</v>
      </c>
      <c r="F1243" s="3">
        <v>163</v>
      </c>
      <c r="G1243" s="3">
        <v>253</v>
      </c>
      <c r="H1243" s="3">
        <v>36</v>
      </c>
      <c r="I1243" s="9">
        <v>41450</v>
      </c>
      <c r="J1243" s="47">
        <v>0.70824074074074073</v>
      </c>
    </row>
    <row r="1244" spans="1:10" ht="30" x14ac:dyDescent="0.25">
      <c r="A1244" s="3" t="s">
        <v>262</v>
      </c>
      <c r="B1244" s="45" t="s">
        <v>2338</v>
      </c>
      <c r="C1244" s="45" t="s">
        <v>2339</v>
      </c>
      <c r="D1244" s="46" t="s">
        <v>2340</v>
      </c>
      <c r="E1244" s="3">
        <v>233</v>
      </c>
      <c r="F1244" s="3">
        <v>277</v>
      </c>
      <c r="G1244" s="3">
        <v>252</v>
      </c>
      <c r="H1244" s="3">
        <v>57</v>
      </c>
      <c r="I1244" s="9">
        <v>41340</v>
      </c>
      <c r="J1244" s="47">
        <v>0.55479166666666668</v>
      </c>
    </row>
    <row r="1245" spans="1:10" ht="30" x14ac:dyDescent="0.25">
      <c r="A1245" s="3" t="s">
        <v>262</v>
      </c>
      <c r="B1245" s="45" t="s">
        <v>1621</v>
      </c>
      <c r="C1245" s="45" t="s">
        <v>1622</v>
      </c>
      <c r="D1245" s="46" t="s">
        <v>1623</v>
      </c>
      <c r="E1245" s="3">
        <v>1369</v>
      </c>
      <c r="F1245" s="3">
        <v>640</v>
      </c>
      <c r="G1245" s="3">
        <v>249</v>
      </c>
      <c r="H1245" s="3">
        <v>75</v>
      </c>
      <c r="I1245" s="9">
        <v>39910</v>
      </c>
      <c r="J1245" s="47">
        <v>0.96361111111111108</v>
      </c>
    </row>
    <row r="1246" spans="1:10" x14ac:dyDescent="0.25">
      <c r="A1246" s="3" t="s">
        <v>262</v>
      </c>
      <c r="B1246" s="45" t="s">
        <v>2829</v>
      </c>
      <c r="C1246" s="45" t="s">
        <v>2830</v>
      </c>
      <c r="D1246" s="46" t="s">
        <v>2831</v>
      </c>
      <c r="E1246" s="3">
        <v>46</v>
      </c>
      <c r="F1246" s="3">
        <v>172</v>
      </c>
      <c r="G1246" s="3">
        <v>247</v>
      </c>
      <c r="H1246" s="3">
        <v>48</v>
      </c>
      <c r="I1246" s="9">
        <v>42061</v>
      </c>
      <c r="J1246" s="47">
        <v>0.60521990740740739</v>
      </c>
    </row>
    <row r="1247" spans="1:10" ht="30" x14ac:dyDescent="0.25">
      <c r="A1247" s="3" t="s">
        <v>262</v>
      </c>
      <c r="B1247" s="45" t="s">
        <v>3034</v>
      </c>
      <c r="C1247" s="45" t="s">
        <v>926</v>
      </c>
      <c r="D1247" s="46" t="s">
        <v>3035</v>
      </c>
      <c r="E1247" s="3">
        <v>431</v>
      </c>
      <c r="F1247" s="3">
        <v>129</v>
      </c>
      <c r="G1247" s="3">
        <v>247</v>
      </c>
      <c r="H1247" s="3">
        <v>349</v>
      </c>
      <c r="I1247" s="9">
        <v>42697</v>
      </c>
      <c r="J1247" s="47">
        <v>0.40498842592592593</v>
      </c>
    </row>
    <row r="1248" spans="1:10" ht="30" x14ac:dyDescent="0.25">
      <c r="A1248" s="3" t="s">
        <v>262</v>
      </c>
      <c r="B1248" s="45" t="s">
        <v>2480</v>
      </c>
      <c r="C1248" s="45" t="s">
        <v>2481</v>
      </c>
      <c r="D1248" s="46" t="s">
        <v>2482</v>
      </c>
      <c r="E1248" s="3">
        <v>300</v>
      </c>
      <c r="F1248" s="3">
        <v>247</v>
      </c>
      <c r="G1248" s="3">
        <v>243</v>
      </c>
      <c r="H1248" s="3">
        <v>87</v>
      </c>
      <c r="I1248" s="9">
        <v>42026</v>
      </c>
      <c r="J1248" s="47">
        <v>0.46186342592592594</v>
      </c>
    </row>
    <row r="1249" spans="1:10" x14ac:dyDescent="0.25">
      <c r="A1249" s="3" t="s">
        <v>262</v>
      </c>
      <c r="B1249" s="45" t="s">
        <v>2302</v>
      </c>
      <c r="C1249" s="45" t="s">
        <v>2303</v>
      </c>
      <c r="D1249" s="46" t="s">
        <v>2304</v>
      </c>
      <c r="E1249" s="3">
        <v>144</v>
      </c>
      <c r="F1249" s="3">
        <v>288</v>
      </c>
      <c r="G1249" s="3">
        <v>239</v>
      </c>
      <c r="H1249" s="3">
        <v>1</v>
      </c>
      <c r="I1249" s="9">
        <v>41761</v>
      </c>
      <c r="J1249" s="47">
        <v>0.54976851851851849</v>
      </c>
    </row>
    <row r="1250" spans="1:10" ht="30" x14ac:dyDescent="0.25">
      <c r="A1250" s="3" t="s">
        <v>262</v>
      </c>
      <c r="B1250" s="45" t="s">
        <v>2990</v>
      </c>
      <c r="C1250" s="45" t="s">
        <v>2991</v>
      </c>
      <c r="D1250" s="46" t="s">
        <v>2992</v>
      </c>
      <c r="E1250" s="3">
        <v>141</v>
      </c>
      <c r="F1250" s="3">
        <v>141</v>
      </c>
      <c r="G1250" s="3">
        <v>236</v>
      </c>
      <c r="H1250" s="3">
        <v>145</v>
      </c>
      <c r="I1250" s="9">
        <v>42282</v>
      </c>
      <c r="J1250" s="47">
        <v>0.54313657407407401</v>
      </c>
    </row>
    <row r="1251" spans="1:10" ht="30" x14ac:dyDescent="0.25">
      <c r="A1251" s="3" t="s">
        <v>262</v>
      </c>
      <c r="B1251" s="45" t="s">
        <v>3206</v>
      </c>
      <c r="C1251" s="45" t="s">
        <v>3207</v>
      </c>
      <c r="D1251" s="46" t="s">
        <v>3208</v>
      </c>
      <c r="E1251" s="3">
        <v>34</v>
      </c>
      <c r="F1251" s="3">
        <v>83</v>
      </c>
      <c r="G1251" s="3">
        <v>236</v>
      </c>
      <c r="H1251" s="3">
        <v>129</v>
      </c>
      <c r="I1251" s="9">
        <v>42534</v>
      </c>
      <c r="J1251" s="47">
        <v>0.57306712962962958</v>
      </c>
    </row>
    <row r="1252" spans="1:10" x14ac:dyDescent="0.25">
      <c r="A1252" s="3" t="s">
        <v>262</v>
      </c>
      <c r="B1252" s="45" t="s">
        <v>1102</v>
      </c>
      <c r="C1252" s="45" t="s">
        <v>3032</v>
      </c>
      <c r="D1252" s="46" t="s">
        <v>3033</v>
      </c>
      <c r="E1252" s="3">
        <v>230</v>
      </c>
      <c r="F1252" s="3">
        <v>129</v>
      </c>
      <c r="G1252" s="3">
        <v>226</v>
      </c>
      <c r="H1252" s="3">
        <v>0</v>
      </c>
      <c r="I1252" s="9">
        <v>40064</v>
      </c>
      <c r="J1252" s="47">
        <v>0.62084490740740739</v>
      </c>
    </row>
    <row r="1253" spans="1:10" x14ac:dyDescent="0.25">
      <c r="A1253" s="3" t="s">
        <v>262</v>
      </c>
      <c r="B1253" s="45" t="s">
        <v>2871</v>
      </c>
      <c r="C1253" s="45" t="s">
        <v>2872</v>
      </c>
      <c r="E1253" s="3">
        <v>339</v>
      </c>
      <c r="F1253" s="3">
        <v>165</v>
      </c>
      <c r="G1253" s="3">
        <v>223</v>
      </c>
      <c r="H1253" s="3">
        <v>124</v>
      </c>
      <c r="I1253" s="9">
        <v>42390</v>
      </c>
      <c r="J1253" s="47">
        <v>0.56592592592592594</v>
      </c>
    </row>
    <row r="1254" spans="1:10" ht="30" x14ac:dyDescent="0.25">
      <c r="A1254" s="3" t="s">
        <v>262</v>
      </c>
      <c r="B1254" s="45" t="s">
        <v>2719</v>
      </c>
      <c r="C1254" s="45" t="s">
        <v>2720</v>
      </c>
      <c r="D1254" s="46" t="s">
        <v>2721</v>
      </c>
      <c r="E1254" s="3">
        <v>460</v>
      </c>
      <c r="F1254" s="3">
        <v>191</v>
      </c>
      <c r="G1254" s="3">
        <v>222</v>
      </c>
      <c r="H1254" s="3">
        <v>49</v>
      </c>
      <c r="I1254" s="9">
        <v>41907</v>
      </c>
      <c r="J1254" s="47">
        <v>0.28417824074074077</v>
      </c>
    </row>
    <row r="1255" spans="1:10" ht="30" x14ac:dyDescent="0.25">
      <c r="A1255" s="3" t="s">
        <v>262</v>
      </c>
      <c r="B1255" s="45" t="s">
        <v>2839</v>
      </c>
      <c r="C1255" s="45" t="s">
        <v>2840</v>
      </c>
      <c r="D1255" s="46" t="s">
        <v>2841</v>
      </c>
      <c r="E1255" s="3">
        <v>187</v>
      </c>
      <c r="F1255" s="3">
        <v>170</v>
      </c>
      <c r="G1255" s="3">
        <v>214</v>
      </c>
      <c r="H1255" s="3">
        <v>182</v>
      </c>
      <c r="I1255" s="9">
        <v>41625</v>
      </c>
      <c r="J1255" s="47">
        <v>0.89556712962962959</v>
      </c>
    </row>
    <row r="1256" spans="1:10" x14ac:dyDescent="0.25">
      <c r="A1256" s="3" t="s">
        <v>262</v>
      </c>
      <c r="B1256" s="45" t="s">
        <v>2406</v>
      </c>
      <c r="C1256" s="45" t="s">
        <v>2407</v>
      </c>
      <c r="D1256" s="46" t="s">
        <v>2408</v>
      </c>
      <c r="E1256" s="3">
        <v>191</v>
      </c>
      <c r="F1256" s="3">
        <v>261</v>
      </c>
      <c r="G1256" s="3">
        <v>211</v>
      </c>
      <c r="H1256" s="3">
        <v>7</v>
      </c>
      <c r="I1256" s="9">
        <v>41540</v>
      </c>
      <c r="J1256" s="47">
        <v>0.51528935185185187</v>
      </c>
    </row>
    <row r="1257" spans="1:10" x14ac:dyDescent="0.25">
      <c r="A1257" s="3" t="s">
        <v>262</v>
      </c>
      <c r="B1257" s="45" t="s">
        <v>1809</v>
      </c>
      <c r="C1257" s="45" t="s">
        <v>1810</v>
      </c>
      <c r="E1257" s="3">
        <v>500</v>
      </c>
      <c r="F1257" s="3">
        <v>497</v>
      </c>
      <c r="G1257" s="3">
        <v>204</v>
      </c>
      <c r="H1257" s="3">
        <v>54</v>
      </c>
      <c r="I1257" s="9">
        <v>42060</v>
      </c>
      <c r="J1257" s="47">
        <v>0.80561342592592589</v>
      </c>
    </row>
    <row r="1258" spans="1:10" ht="45" x14ac:dyDescent="0.25">
      <c r="A1258" s="3" t="s">
        <v>262</v>
      </c>
      <c r="B1258" s="45" t="s">
        <v>3319</v>
      </c>
      <c r="D1258" s="46" t="s">
        <v>3320</v>
      </c>
      <c r="E1258" s="3">
        <v>81</v>
      </c>
      <c r="F1258" s="3">
        <v>59</v>
      </c>
      <c r="G1258" s="3">
        <v>204</v>
      </c>
      <c r="H1258" s="3">
        <v>36</v>
      </c>
      <c r="I1258" s="9">
        <v>42321</v>
      </c>
      <c r="J1258" s="47">
        <v>0.59688657407407408</v>
      </c>
    </row>
    <row r="1259" spans="1:10" x14ac:dyDescent="0.25">
      <c r="A1259" s="3" t="s">
        <v>262</v>
      </c>
      <c r="B1259" s="45" t="s">
        <v>2119</v>
      </c>
      <c r="C1259" s="45" t="s">
        <v>2120</v>
      </c>
      <c r="E1259" s="3">
        <v>436</v>
      </c>
      <c r="F1259" s="3">
        <v>355</v>
      </c>
      <c r="G1259" s="3">
        <v>201</v>
      </c>
      <c r="H1259" s="3">
        <v>33</v>
      </c>
      <c r="I1259" s="9">
        <v>41345</v>
      </c>
      <c r="J1259" s="47">
        <v>0.72807870370370376</v>
      </c>
    </row>
    <row r="1260" spans="1:10" ht="75" x14ac:dyDescent="0.25">
      <c r="A1260" s="3" t="s">
        <v>262</v>
      </c>
      <c r="B1260" s="45" t="s">
        <v>2500</v>
      </c>
      <c r="C1260" s="45" t="s">
        <v>2501</v>
      </c>
      <c r="D1260" s="46" t="s">
        <v>2502</v>
      </c>
      <c r="E1260" s="3">
        <v>225</v>
      </c>
      <c r="F1260" s="3">
        <v>239</v>
      </c>
      <c r="G1260" s="3">
        <v>198</v>
      </c>
      <c r="H1260" s="3">
        <v>224</v>
      </c>
      <c r="I1260" s="9">
        <v>42439</v>
      </c>
      <c r="J1260" s="47">
        <v>0.61858796296296303</v>
      </c>
    </row>
    <row r="1261" spans="1:10" x14ac:dyDescent="0.25">
      <c r="A1261" s="3" t="s">
        <v>262</v>
      </c>
      <c r="B1261" s="45" t="s">
        <v>3111</v>
      </c>
      <c r="C1261" s="45" t="s">
        <v>1295</v>
      </c>
      <c r="D1261" s="46" t="s">
        <v>3112</v>
      </c>
      <c r="E1261" s="3">
        <v>203</v>
      </c>
      <c r="F1261" s="3">
        <v>105</v>
      </c>
      <c r="G1261" s="3">
        <v>195</v>
      </c>
      <c r="H1261" s="3">
        <v>19</v>
      </c>
      <c r="I1261" s="9">
        <v>40701</v>
      </c>
      <c r="J1261" s="47">
        <v>0.43519675925925921</v>
      </c>
    </row>
    <row r="1262" spans="1:10" ht="30" x14ac:dyDescent="0.25">
      <c r="A1262" s="3" t="s">
        <v>262</v>
      </c>
      <c r="B1262" s="45" t="s">
        <v>2716</v>
      </c>
      <c r="C1262" s="45" t="s">
        <v>2717</v>
      </c>
      <c r="D1262" s="46" t="s">
        <v>2718</v>
      </c>
      <c r="E1262" s="3">
        <v>446</v>
      </c>
      <c r="F1262" s="3">
        <v>191</v>
      </c>
      <c r="G1262" s="3">
        <v>191</v>
      </c>
      <c r="H1262" s="3">
        <v>69</v>
      </c>
      <c r="I1262" s="9">
        <v>41736</v>
      </c>
      <c r="J1262" s="47">
        <v>0.47540509259259256</v>
      </c>
    </row>
    <row r="1263" spans="1:10" x14ac:dyDescent="0.25">
      <c r="A1263" s="3" t="s">
        <v>262</v>
      </c>
      <c r="B1263" s="45" t="s">
        <v>3307</v>
      </c>
      <c r="D1263" s="46" t="s">
        <v>3308</v>
      </c>
      <c r="E1263" s="3">
        <v>95</v>
      </c>
      <c r="F1263" s="3">
        <v>62</v>
      </c>
      <c r="G1263" s="3">
        <v>187</v>
      </c>
      <c r="H1263" s="3">
        <v>164</v>
      </c>
      <c r="I1263" s="9">
        <v>42390</v>
      </c>
      <c r="J1263" s="47">
        <v>0.42289351851851853</v>
      </c>
    </row>
    <row r="1264" spans="1:10" x14ac:dyDescent="0.25">
      <c r="A1264" s="3" t="s">
        <v>262</v>
      </c>
      <c r="B1264" s="45" t="s">
        <v>2744</v>
      </c>
      <c r="D1264" s="46" t="s">
        <v>2745</v>
      </c>
      <c r="E1264" s="3">
        <v>310</v>
      </c>
      <c r="F1264" s="3">
        <v>188</v>
      </c>
      <c r="G1264" s="3">
        <v>183</v>
      </c>
      <c r="H1264" s="3">
        <v>48</v>
      </c>
      <c r="I1264" s="9">
        <v>42446</v>
      </c>
      <c r="J1264" s="47">
        <v>0.6225694444444444</v>
      </c>
    </row>
    <row r="1265" spans="1:10" x14ac:dyDescent="0.25">
      <c r="A1265" s="3" t="s">
        <v>262</v>
      </c>
      <c r="B1265" s="45" t="s">
        <v>2750</v>
      </c>
      <c r="C1265" s="45" t="s">
        <v>232</v>
      </c>
      <c r="D1265" s="46" t="s">
        <v>2751</v>
      </c>
      <c r="E1265" s="3">
        <v>249</v>
      </c>
      <c r="F1265" s="3">
        <v>187</v>
      </c>
      <c r="G1265" s="3">
        <v>182</v>
      </c>
      <c r="H1265" s="3">
        <v>88</v>
      </c>
      <c r="I1265" s="9">
        <v>42166</v>
      </c>
      <c r="J1265" s="47">
        <v>0.31979166666666664</v>
      </c>
    </row>
    <row r="1266" spans="1:10" ht="30" x14ac:dyDescent="0.25">
      <c r="A1266" s="3" t="s">
        <v>262</v>
      </c>
      <c r="B1266" s="45" t="s">
        <v>2900</v>
      </c>
      <c r="C1266" s="45" t="s">
        <v>569</v>
      </c>
      <c r="D1266" s="46" t="s">
        <v>2901</v>
      </c>
      <c r="E1266" s="3">
        <v>137</v>
      </c>
      <c r="F1266" s="3">
        <v>159</v>
      </c>
      <c r="G1266" s="3">
        <v>182</v>
      </c>
      <c r="H1266" s="3">
        <v>85</v>
      </c>
      <c r="I1266" s="9">
        <v>42457</v>
      </c>
      <c r="J1266" s="47">
        <v>0.46707175925925926</v>
      </c>
    </row>
    <row r="1267" spans="1:10" ht="30" x14ac:dyDescent="0.25">
      <c r="A1267" s="3" t="s">
        <v>262</v>
      </c>
      <c r="B1267" s="45" t="s">
        <v>2706</v>
      </c>
      <c r="C1267" s="45" t="s">
        <v>1871</v>
      </c>
      <c r="D1267" s="46" t="s">
        <v>2707</v>
      </c>
      <c r="E1267" s="3">
        <v>220</v>
      </c>
      <c r="F1267" s="3">
        <v>192</v>
      </c>
      <c r="G1267" s="3">
        <v>180</v>
      </c>
      <c r="H1267" s="3">
        <v>6</v>
      </c>
      <c r="I1267" s="9">
        <v>40964</v>
      </c>
      <c r="J1267" s="47">
        <v>0.7553819444444444</v>
      </c>
    </row>
    <row r="1268" spans="1:10" x14ac:dyDescent="0.25">
      <c r="A1268" s="3" t="s">
        <v>262</v>
      </c>
      <c r="B1268" s="45" t="s">
        <v>2895</v>
      </c>
      <c r="D1268" s="46" t="s">
        <v>2896</v>
      </c>
      <c r="E1268" s="3">
        <v>191</v>
      </c>
      <c r="F1268" s="3">
        <v>160</v>
      </c>
      <c r="G1268" s="3">
        <v>175</v>
      </c>
      <c r="H1268" s="3">
        <v>19</v>
      </c>
      <c r="I1268" s="9">
        <v>41711</v>
      </c>
      <c r="J1268" s="47">
        <v>0.39484953703703707</v>
      </c>
    </row>
    <row r="1269" spans="1:10" x14ac:dyDescent="0.25">
      <c r="A1269" s="3" t="s">
        <v>262</v>
      </c>
      <c r="B1269" s="45" t="s">
        <v>3027</v>
      </c>
      <c r="D1269" s="46" t="s">
        <v>3028</v>
      </c>
      <c r="E1269" s="3">
        <v>80</v>
      </c>
      <c r="F1269" s="3">
        <v>130</v>
      </c>
      <c r="G1269" s="3">
        <v>174</v>
      </c>
      <c r="H1269" s="3">
        <v>104</v>
      </c>
      <c r="I1269" s="9">
        <v>42256</v>
      </c>
      <c r="J1269" s="47">
        <v>0.95894675925925921</v>
      </c>
    </row>
    <row r="1270" spans="1:10" x14ac:dyDescent="0.25">
      <c r="A1270" s="3" t="s">
        <v>262</v>
      </c>
      <c r="B1270" s="45" t="s">
        <v>3129</v>
      </c>
      <c r="D1270" s="46" t="s">
        <v>3130</v>
      </c>
      <c r="E1270" s="3">
        <v>91</v>
      </c>
      <c r="F1270" s="3">
        <v>100</v>
      </c>
      <c r="G1270" s="3">
        <v>172</v>
      </c>
      <c r="H1270" s="3">
        <v>15</v>
      </c>
      <c r="I1270" s="9">
        <v>41723</v>
      </c>
      <c r="J1270" s="47">
        <v>0.51795138888888892</v>
      </c>
    </row>
    <row r="1271" spans="1:10" x14ac:dyDescent="0.25">
      <c r="A1271" s="3" t="s">
        <v>262</v>
      </c>
      <c r="B1271" s="45" t="s">
        <v>3080</v>
      </c>
      <c r="E1271" s="3">
        <v>130</v>
      </c>
      <c r="F1271" s="3">
        <v>114</v>
      </c>
      <c r="G1271" s="3">
        <v>170</v>
      </c>
      <c r="H1271" s="3">
        <v>110</v>
      </c>
      <c r="I1271" s="9">
        <v>42324</v>
      </c>
      <c r="J1271" s="47">
        <v>0.47903935185185187</v>
      </c>
    </row>
    <row r="1272" spans="1:10" x14ac:dyDescent="0.25">
      <c r="A1272" s="3" t="s">
        <v>262</v>
      </c>
      <c r="B1272" s="45" t="s">
        <v>3173</v>
      </c>
      <c r="D1272" s="46" t="s">
        <v>3174</v>
      </c>
      <c r="E1272" s="3">
        <v>38</v>
      </c>
      <c r="F1272" s="3">
        <v>91</v>
      </c>
      <c r="G1272" s="3">
        <v>170</v>
      </c>
      <c r="H1272" s="3">
        <v>83</v>
      </c>
      <c r="I1272" s="9">
        <v>40981</v>
      </c>
      <c r="J1272" s="47">
        <v>0.39486111111111111</v>
      </c>
    </row>
    <row r="1273" spans="1:10" x14ac:dyDescent="0.25">
      <c r="A1273" s="3" t="s">
        <v>262</v>
      </c>
      <c r="B1273" s="45" t="s">
        <v>3238</v>
      </c>
      <c r="D1273" s="46" t="s">
        <v>3239</v>
      </c>
      <c r="E1273" s="3">
        <v>296</v>
      </c>
      <c r="F1273" s="3">
        <v>76</v>
      </c>
      <c r="G1273" s="3">
        <v>165</v>
      </c>
      <c r="H1273" s="3">
        <v>141</v>
      </c>
      <c r="I1273" s="9">
        <v>42754</v>
      </c>
      <c r="J1273" s="47">
        <v>0.43454861111111115</v>
      </c>
    </row>
    <row r="1274" spans="1:10" x14ac:dyDescent="0.25">
      <c r="A1274" s="3" t="s">
        <v>262</v>
      </c>
      <c r="B1274" s="45" t="s">
        <v>3001</v>
      </c>
      <c r="C1274" s="45" t="s">
        <v>3002</v>
      </c>
      <c r="D1274" s="46" t="s">
        <v>3003</v>
      </c>
      <c r="E1274" s="3">
        <v>320</v>
      </c>
      <c r="F1274" s="3">
        <v>137</v>
      </c>
      <c r="G1274" s="3">
        <v>164</v>
      </c>
      <c r="H1274" s="3">
        <v>25</v>
      </c>
      <c r="I1274" s="9">
        <v>41407</v>
      </c>
      <c r="J1274" s="47">
        <v>0.6521527777777778</v>
      </c>
    </row>
    <row r="1275" spans="1:10" ht="45" x14ac:dyDescent="0.25">
      <c r="A1275" s="3" t="s">
        <v>262</v>
      </c>
      <c r="B1275" s="45" t="s">
        <v>3311</v>
      </c>
      <c r="C1275" s="45" t="s">
        <v>3312</v>
      </c>
      <c r="D1275" s="46" t="s">
        <v>3313</v>
      </c>
      <c r="E1275" s="3">
        <v>100</v>
      </c>
      <c r="F1275" s="3">
        <v>61</v>
      </c>
      <c r="G1275" s="3">
        <v>164</v>
      </c>
      <c r="H1275" s="3">
        <v>47</v>
      </c>
      <c r="I1275" s="9">
        <v>42628</v>
      </c>
      <c r="J1275" s="47">
        <v>0.5744097222222222</v>
      </c>
    </row>
    <row r="1276" spans="1:10" ht="30" x14ac:dyDescent="0.25">
      <c r="A1276" s="3" t="s">
        <v>262</v>
      </c>
      <c r="B1276" s="45" t="s">
        <v>2958</v>
      </c>
      <c r="C1276" s="45" t="s">
        <v>2774</v>
      </c>
      <c r="D1276" s="46" t="s">
        <v>2959</v>
      </c>
      <c r="E1276" s="3">
        <v>70</v>
      </c>
      <c r="F1276" s="3">
        <v>150</v>
      </c>
      <c r="G1276" s="3">
        <v>160</v>
      </c>
      <c r="H1276" s="3">
        <v>34</v>
      </c>
      <c r="I1276" s="9">
        <v>41766</v>
      </c>
      <c r="J1276" s="47">
        <v>0.72354166666666664</v>
      </c>
    </row>
    <row r="1277" spans="1:10" x14ac:dyDescent="0.25">
      <c r="A1277" s="3" t="s">
        <v>262</v>
      </c>
      <c r="B1277" s="45" t="s">
        <v>3148</v>
      </c>
      <c r="C1277" s="45" t="s">
        <v>3149</v>
      </c>
      <c r="D1277" s="46" t="s">
        <v>3150</v>
      </c>
      <c r="E1277" s="3">
        <v>42</v>
      </c>
      <c r="F1277" s="3">
        <v>96</v>
      </c>
      <c r="G1277" s="3">
        <v>157</v>
      </c>
      <c r="H1277" s="3">
        <v>16</v>
      </c>
      <c r="I1277" s="9">
        <v>42152</v>
      </c>
      <c r="J1277" s="47">
        <v>0.35443287037037036</v>
      </c>
    </row>
    <row r="1278" spans="1:10" x14ac:dyDescent="0.25">
      <c r="A1278" s="3" t="s">
        <v>262</v>
      </c>
      <c r="B1278" s="45" t="s">
        <v>3221</v>
      </c>
      <c r="D1278" s="46" t="s">
        <v>3222</v>
      </c>
      <c r="E1278" s="3">
        <v>98</v>
      </c>
      <c r="F1278" s="3">
        <v>79</v>
      </c>
      <c r="G1278" s="3">
        <v>154</v>
      </c>
      <c r="H1278" s="3">
        <v>150</v>
      </c>
      <c r="I1278" s="9">
        <v>42161</v>
      </c>
      <c r="J1278" s="47">
        <v>0.61499999999999999</v>
      </c>
    </row>
    <row r="1279" spans="1:10" x14ac:dyDescent="0.25">
      <c r="A1279" s="3" t="s">
        <v>262</v>
      </c>
      <c r="B1279" s="45" t="s">
        <v>3333</v>
      </c>
      <c r="C1279" s="45" t="s">
        <v>3334</v>
      </c>
      <c r="D1279" s="46" t="s">
        <v>3335</v>
      </c>
      <c r="E1279" s="3">
        <v>136</v>
      </c>
      <c r="F1279" s="3">
        <v>57</v>
      </c>
      <c r="G1279" s="3">
        <v>139</v>
      </c>
      <c r="H1279" s="3">
        <v>55</v>
      </c>
      <c r="I1279" s="9">
        <v>42557</v>
      </c>
      <c r="J1279" s="47">
        <v>0.38636574074074076</v>
      </c>
    </row>
    <row r="1280" spans="1:10" ht="30" x14ac:dyDescent="0.25">
      <c r="A1280" s="3" t="s">
        <v>262</v>
      </c>
      <c r="B1280" s="45" t="s">
        <v>1830</v>
      </c>
      <c r="C1280" s="45" t="s">
        <v>36</v>
      </c>
      <c r="D1280" s="46" t="s">
        <v>1831</v>
      </c>
      <c r="E1280" s="3">
        <v>301</v>
      </c>
      <c r="F1280" s="3">
        <v>488</v>
      </c>
      <c r="G1280" s="3">
        <v>137</v>
      </c>
      <c r="H1280" s="3">
        <v>8</v>
      </c>
      <c r="I1280" s="9">
        <v>39902</v>
      </c>
      <c r="J1280" s="47">
        <v>0.62252314814814813</v>
      </c>
    </row>
    <row r="1281" spans="1:10" ht="30" x14ac:dyDescent="0.25">
      <c r="A1281" s="3" t="s">
        <v>262</v>
      </c>
      <c r="B1281" s="45" t="s">
        <v>2650</v>
      </c>
      <c r="C1281" s="45" t="s">
        <v>2651</v>
      </c>
      <c r="D1281" s="46" t="s">
        <v>2652</v>
      </c>
      <c r="E1281" s="3">
        <v>343</v>
      </c>
      <c r="F1281" s="3">
        <v>203</v>
      </c>
      <c r="G1281" s="3">
        <v>137</v>
      </c>
      <c r="H1281" s="3">
        <v>68</v>
      </c>
      <c r="I1281" s="9">
        <v>41660</v>
      </c>
      <c r="J1281" s="47">
        <v>0.41873842592592592</v>
      </c>
    </row>
    <row r="1282" spans="1:10" ht="30" x14ac:dyDescent="0.25">
      <c r="A1282" s="3" t="s">
        <v>262</v>
      </c>
      <c r="B1282" s="45" t="s">
        <v>2714</v>
      </c>
      <c r="D1282" s="46" t="s">
        <v>2715</v>
      </c>
      <c r="E1282" s="3">
        <v>259</v>
      </c>
      <c r="F1282" s="3">
        <v>191</v>
      </c>
      <c r="G1282" s="3">
        <v>137</v>
      </c>
      <c r="H1282" s="3">
        <v>11</v>
      </c>
      <c r="I1282" s="9">
        <v>41395</v>
      </c>
      <c r="J1282" s="47">
        <v>0.46559027777777778</v>
      </c>
    </row>
    <row r="1283" spans="1:10" x14ac:dyDescent="0.25">
      <c r="A1283" s="3" t="s">
        <v>262</v>
      </c>
      <c r="B1283" s="45" t="s">
        <v>3360</v>
      </c>
      <c r="D1283" s="46" t="s">
        <v>3361</v>
      </c>
      <c r="E1283" s="3">
        <v>163</v>
      </c>
      <c r="F1283" s="3">
        <v>50</v>
      </c>
      <c r="G1283" s="3">
        <v>137</v>
      </c>
      <c r="H1283" s="3">
        <v>4</v>
      </c>
      <c r="I1283" s="9">
        <v>42247</v>
      </c>
      <c r="J1283" s="47">
        <v>0.57697916666666671</v>
      </c>
    </row>
    <row r="1284" spans="1:10" ht="30" x14ac:dyDescent="0.25">
      <c r="A1284" s="3" t="s">
        <v>262</v>
      </c>
      <c r="B1284" s="45" t="s">
        <v>3382</v>
      </c>
      <c r="C1284" s="45" t="s">
        <v>3383</v>
      </c>
      <c r="D1284" s="46" t="s">
        <v>3384</v>
      </c>
      <c r="E1284" s="3">
        <v>121</v>
      </c>
      <c r="F1284" s="3">
        <v>47</v>
      </c>
      <c r="G1284" s="3">
        <v>130</v>
      </c>
      <c r="H1284" s="3">
        <v>0</v>
      </c>
      <c r="I1284" s="9">
        <v>42486</v>
      </c>
      <c r="J1284" s="47">
        <v>0.3802314814814815</v>
      </c>
    </row>
    <row r="1285" spans="1:10" x14ac:dyDescent="0.25">
      <c r="A1285" s="3" t="s">
        <v>262</v>
      </c>
      <c r="B1285" s="45" t="s">
        <v>3093</v>
      </c>
      <c r="C1285" s="45" t="s">
        <v>3094</v>
      </c>
      <c r="D1285" s="46" t="s">
        <v>3095</v>
      </c>
      <c r="E1285" s="3">
        <v>42</v>
      </c>
      <c r="F1285" s="3">
        <v>109</v>
      </c>
      <c r="G1285" s="3">
        <v>129</v>
      </c>
      <c r="H1285" s="3">
        <v>8</v>
      </c>
      <c r="I1285" s="9">
        <v>41711</v>
      </c>
      <c r="J1285" s="47">
        <v>0.68744212962962958</v>
      </c>
    </row>
    <row r="1286" spans="1:10" ht="30" x14ac:dyDescent="0.25">
      <c r="A1286" s="3" t="s">
        <v>262</v>
      </c>
      <c r="B1286" s="45" t="s">
        <v>2927</v>
      </c>
      <c r="D1286" s="46" t="s">
        <v>2928</v>
      </c>
      <c r="E1286" s="3">
        <v>146</v>
      </c>
      <c r="F1286" s="3">
        <v>153</v>
      </c>
      <c r="G1286" s="3">
        <v>126</v>
      </c>
      <c r="H1286" s="3">
        <v>36</v>
      </c>
      <c r="I1286" s="9">
        <v>42116</v>
      </c>
      <c r="J1286" s="47">
        <v>0.88140046296296293</v>
      </c>
    </row>
    <row r="1287" spans="1:10" x14ac:dyDescent="0.25">
      <c r="A1287" s="3" t="s">
        <v>262</v>
      </c>
      <c r="B1287" s="45" t="s">
        <v>1376</v>
      </c>
      <c r="C1287" s="45" t="s">
        <v>1377</v>
      </c>
      <c r="D1287" s="46" t="s">
        <v>1378</v>
      </c>
      <c r="E1287" s="3">
        <v>186</v>
      </c>
      <c r="F1287" s="3">
        <v>843</v>
      </c>
      <c r="G1287" s="3">
        <v>125</v>
      </c>
      <c r="H1287" s="3">
        <v>65</v>
      </c>
      <c r="I1287" s="9">
        <v>41106</v>
      </c>
      <c r="J1287" s="47">
        <v>0.66063657407407406</v>
      </c>
    </row>
    <row r="1288" spans="1:10" x14ac:dyDescent="0.25">
      <c r="A1288" s="3" t="s">
        <v>262</v>
      </c>
      <c r="B1288" s="45" t="s">
        <v>3088</v>
      </c>
      <c r="D1288" s="46" t="s">
        <v>3089</v>
      </c>
      <c r="E1288" s="3">
        <v>39</v>
      </c>
      <c r="F1288" s="3">
        <v>110</v>
      </c>
      <c r="G1288" s="3">
        <v>121</v>
      </c>
      <c r="H1288" s="3">
        <v>15</v>
      </c>
      <c r="I1288" s="9">
        <v>42409</v>
      </c>
      <c r="J1288" s="47">
        <v>0.61965277777777772</v>
      </c>
    </row>
    <row r="1289" spans="1:10" ht="30" x14ac:dyDescent="0.25">
      <c r="A1289" s="3" t="s">
        <v>262</v>
      </c>
      <c r="B1289" s="45" t="s">
        <v>2477</v>
      </c>
      <c r="C1289" s="45" t="s">
        <v>2478</v>
      </c>
      <c r="D1289" s="46" t="s">
        <v>2479</v>
      </c>
      <c r="E1289" s="3">
        <v>219</v>
      </c>
      <c r="F1289" s="3">
        <v>247</v>
      </c>
      <c r="G1289" s="3">
        <v>119</v>
      </c>
      <c r="H1289" s="3">
        <v>8</v>
      </c>
      <c r="I1289" s="9">
        <v>41339</v>
      </c>
      <c r="J1289" s="47">
        <v>0.59517361111111111</v>
      </c>
    </row>
    <row r="1290" spans="1:10" ht="30" x14ac:dyDescent="0.25">
      <c r="A1290" s="3" t="s">
        <v>262</v>
      </c>
      <c r="B1290" s="45" t="s">
        <v>2746</v>
      </c>
      <c r="C1290" s="45" t="s">
        <v>2747</v>
      </c>
      <c r="D1290" s="46" t="s">
        <v>2748</v>
      </c>
      <c r="E1290" s="3">
        <v>168</v>
      </c>
      <c r="F1290" s="3">
        <v>187</v>
      </c>
      <c r="G1290" s="3">
        <v>118</v>
      </c>
      <c r="H1290" s="3">
        <v>0</v>
      </c>
      <c r="I1290" s="9">
        <v>40185</v>
      </c>
      <c r="J1290" s="47">
        <v>0.69086805555555564</v>
      </c>
    </row>
    <row r="1291" spans="1:10" x14ac:dyDescent="0.25">
      <c r="A1291" s="3" t="s">
        <v>262</v>
      </c>
      <c r="B1291" s="45" t="s">
        <v>2571</v>
      </c>
      <c r="C1291" s="45" t="s">
        <v>2572</v>
      </c>
      <c r="D1291" s="46" t="s">
        <v>2573</v>
      </c>
      <c r="E1291" s="3">
        <v>121</v>
      </c>
      <c r="F1291" s="3">
        <v>218</v>
      </c>
      <c r="G1291" s="3">
        <v>116</v>
      </c>
      <c r="H1291" s="3">
        <v>3</v>
      </c>
      <c r="I1291" s="9">
        <v>40940</v>
      </c>
      <c r="J1291" s="47">
        <v>0.45472222222222225</v>
      </c>
    </row>
    <row r="1292" spans="1:10" ht="30" x14ac:dyDescent="0.25">
      <c r="A1292" s="3" t="s">
        <v>262</v>
      </c>
      <c r="B1292" s="45" t="s">
        <v>3385</v>
      </c>
      <c r="C1292" s="45" t="s">
        <v>44</v>
      </c>
      <c r="D1292" s="46" t="s">
        <v>3386</v>
      </c>
      <c r="E1292" s="3">
        <v>97</v>
      </c>
      <c r="F1292" s="3">
        <v>46</v>
      </c>
      <c r="G1292" s="3">
        <v>116</v>
      </c>
      <c r="H1292" s="3">
        <v>7</v>
      </c>
      <c r="I1292" s="9">
        <v>41381</v>
      </c>
      <c r="J1292" s="47">
        <v>0.49314814814814811</v>
      </c>
    </row>
    <row r="1293" spans="1:10" x14ac:dyDescent="0.25">
      <c r="A1293" s="3" t="s">
        <v>262</v>
      </c>
      <c r="B1293" s="45" t="s">
        <v>3293</v>
      </c>
      <c r="D1293" s="46" t="s">
        <v>3294</v>
      </c>
      <c r="E1293" s="3">
        <v>115</v>
      </c>
      <c r="F1293" s="3">
        <v>65</v>
      </c>
      <c r="G1293" s="3">
        <v>115</v>
      </c>
      <c r="H1293" s="3">
        <v>123</v>
      </c>
      <c r="I1293" s="9">
        <v>42293</v>
      </c>
      <c r="J1293" s="47">
        <v>0.42019675925925926</v>
      </c>
    </row>
    <row r="1294" spans="1:10" ht="30" x14ac:dyDescent="0.25">
      <c r="A1294" s="3" t="s">
        <v>262</v>
      </c>
      <c r="B1294" s="45" t="s">
        <v>2582</v>
      </c>
      <c r="C1294" s="45" t="s">
        <v>2583</v>
      </c>
      <c r="D1294" s="46" t="s">
        <v>2584</v>
      </c>
      <c r="E1294" s="3">
        <v>106</v>
      </c>
      <c r="F1294" s="3">
        <v>217</v>
      </c>
      <c r="G1294" s="3">
        <v>113</v>
      </c>
      <c r="H1294" s="3">
        <v>28</v>
      </c>
      <c r="I1294" s="9">
        <v>41802</v>
      </c>
      <c r="J1294" s="47">
        <v>0.56663194444444442</v>
      </c>
    </row>
    <row r="1295" spans="1:10" x14ac:dyDescent="0.25">
      <c r="A1295" s="3" t="s">
        <v>262</v>
      </c>
      <c r="B1295" s="45" t="s">
        <v>2983</v>
      </c>
      <c r="C1295" s="45" t="s">
        <v>2821</v>
      </c>
      <c r="D1295" s="46" t="s">
        <v>2984</v>
      </c>
      <c r="E1295" s="3">
        <v>244</v>
      </c>
      <c r="F1295" s="3">
        <v>142</v>
      </c>
      <c r="G1295" s="3">
        <v>112</v>
      </c>
      <c r="H1295" s="3">
        <v>4</v>
      </c>
      <c r="I1295" s="9">
        <v>41704</v>
      </c>
      <c r="J1295" s="47">
        <v>0.42622685185185188</v>
      </c>
    </row>
    <row r="1296" spans="1:10" x14ac:dyDescent="0.25">
      <c r="A1296" s="3" t="s">
        <v>262</v>
      </c>
      <c r="B1296" s="45" t="s">
        <v>2953</v>
      </c>
      <c r="D1296" s="46" t="s">
        <v>2954</v>
      </c>
      <c r="E1296" s="3">
        <v>168</v>
      </c>
      <c r="F1296" s="3">
        <v>150</v>
      </c>
      <c r="G1296" s="3">
        <v>111</v>
      </c>
      <c r="H1296" s="3">
        <v>4</v>
      </c>
      <c r="I1296" s="9">
        <v>41591</v>
      </c>
      <c r="J1296" s="47">
        <v>0.41987268518518522</v>
      </c>
    </row>
    <row r="1297" spans="1:10" x14ac:dyDescent="0.25">
      <c r="A1297" s="3" t="s">
        <v>262</v>
      </c>
      <c r="B1297" s="45" t="s">
        <v>3356</v>
      </c>
      <c r="D1297" s="46" t="s">
        <v>3357</v>
      </c>
      <c r="E1297" s="3">
        <v>135</v>
      </c>
      <c r="F1297" s="3">
        <v>52</v>
      </c>
      <c r="G1297" s="3">
        <v>111</v>
      </c>
      <c r="H1297" s="3">
        <v>107</v>
      </c>
      <c r="I1297" s="9">
        <v>42787</v>
      </c>
      <c r="J1297" s="47">
        <v>0.54123842592592586</v>
      </c>
    </row>
    <row r="1298" spans="1:10" x14ac:dyDescent="0.25">
      <c r="A1298" s="3" t="s">
        <v>262</v>
      </c>
      <c r="B1298" s="45" t="s">
        <v>3246</v>
      </c>
      <c r="C1298" s="45" t="s">
        <v>3247</v>
      </c>
      <c r="D1298" s="46" t="s">
        <v>3248</v>
      </c>
      <c r="E1298" s="3">
        <v>63</v>
      </c>
      <c r="F1298" s="3">
        <v>73</v>
      </c>
      <c r="G1298" s="3">
        <v>110</v>
      </c>
      <c r="H1298" s="3">
        <v>19</v>
      </c>
      <c r="I1298" s="9">
        <v>40507</v>
      </c>
      <c r="J1298" s="47">
        <v>0.67565972222222215</v>
      </c>
    </row>
    <row r="1299" spans="1:10" x14ac:dyDescent="0.25">
      <c r="A1299" s="3" t="s">
        <v>262</v>
      </c>
      <c r="B1299" s="45" t="s">
        <v>3370</v>
      </c>
      <c r="D1299" s="46" t="s">
        <v>3371</v>
      </c>
      <c r="E1299" s="3">
        <v>107</v>
      </c>
      <c r="F1299" s="3">
        <v>48</v>
      </c>
      <c r="G1299" s="3">
        <v>110</v>
      </c>
      <c r="H1299" s="3">
        <v>15</v>
      </c>
      <c r="I1299" s="9">
        <v>41459</v>
      </c>
      <c r="J1299" s="47">
        <v>0.70276620370370368</v>
      </c>
    </row>
    <row r="1300" spans="1:10" x14ac:dyDescent="0.25">
      <c r="A1300" s="3" t="s">
        <v>262</v>
      </c>
      <c r="B1300" s="45" t="s">
        <v>3482</v>
      </c>
      <c r="C1300" s="45" t="s">
        <v>3483</v>
      </c>
      <c r="D1300" s="46" t="s">
        <v>3484</v>
      </c>
      <c r="E1300" s="3">
        <v>0</v>
      </c>
      <c r="F1300" s="3">
        <v>21</v>
      </c>
      <c r="G1300" s="3">
        <v>107</v>
      </c>
      <c r="H1300" s="3">
        <v>0</v>
      </c>
      <c r="I1300" s="9">
        <v>39923</v>
      </c>
      <c r="J1300" s="47">
        <v>0.77366898148148155</v>
      </c>
    </row>
    <row r="1301" spans="1:10" ht="30" x14ac:dyDescent="0.25">
      <c r="A1301" s="3" t="s">
        <v>262</v>
      </c>
      <c r="B1301" s="45" t="s">
        <v>3109</v>
      </c>
      <c r="C1301" s="45" t="s">
        <v>926</v>
      </c>
      <c r="D1301" s="46" t="s">
        <v>3110</v>
      </c>
      <c r="E1301" s="3">
        <v>427</v>
      </c>
      <c r="F1301" s="3">
        <v>106</v>
      </c>
      <c r="G1301" s="3">
        <v>101</v>
      </c>
      <c r="H1301" s="3">
        <v>83</v>
      </c>
      <c r="I1301" s="9">
        <v>42635</v>
      </c>
      <c r="J1301" s="47">
        <v>0.61865740740740738</v>
      </c>
    </row>
    <row r="1302" spans="1:10" x14ac:dyDescent="0.25">
      <c r="A1302" s="3" t="s">
        <v>262</v>
      </c>
      <c r="B1302" s="45" t="s">
        <v>3378</v>
      </c>
      <c r="C1302" s="45" t="s">
        <v>514</v>
      </c>
      <c r="D1302" s="46" t="s">
        <v>3379</v>
      </c>
      <c r="E1302" s="3">
        <v>166</v>
      </c>
      <c r="F1302" s="3">
        <v>48</v>
      </c>
      <c r="G1302" s="3">
        <v>101</v>
      </c>
      <c r="H1302" s="3">
        <v>0</v>
      </c>
      <c r="I1302" s="9">
        <v>42690</v>
      </c>
      <c r="J1302" s="47">
        <v>0.60045138888888883</v>
      </c>
    </row>
    <row r="1303" spans="1:10" ht="30" x14ac:dyDescent="0.25">
      <c r="A1303" s="3" t="s">
        <v>262</v>
      </c>
      <c r="B1303" s="45" t="s">
        <v>3404</v>
      </c>
      <c r="C1303" s="45" t="s">
        <v>20</v>
      </c>
      <c r="D1303" s="46" t="s">
        <v>3405</v>
      </c>
      <c r="E1303" s="3">
        <v>27</v>
      </c>
      <c r="F1303" s="3">
        <v>41</v>
      </c>
      <c r="G1303" s="3">
        <v>101</v>
      </c>
      <c r="H1303" s="3">
        <v>26</v>
      </c>
      <c r="I1303" s="9">
        <v>42439</v>
      </c>
      <c r="J1303" s="47">
        <v>0.40991898148148148</v>
      </c>
    </row>
    <row r="1304" spans="1:10" x14ac:dyDescent="0.25">
      <c r="A1304" s="3" t="s">
        <v>262</v>
      </c>
      <c r="B1304" s="45" t="s">
        <v>2883</v>
      </c>
      <c r="C1304" s="45" t="s">
        <v>2884</v>
      </c>
      <c r="D1304" s="46" t="s">
        <v>2885</v>
      </c>
      <c r="E1304" s="3">
        <v>233</v>
      </c>
      <c r="F1304" s="3">
        <v>163</v>
      </c>
      <c r="G1304" s="3">
        <v>99</v>
      </c>
      <c r="H1304" s="3">
        <v>164</v>
      </c>
      <c r="I1304" s="9">
        <v>42604</v>
      </c>
      <c r="J1304" s="47">
        <v>0.29596064814814815</v>
      </c>
    </row>
    <row r="1305" spans="1:10" x14ac:dyDescent="0.25">
      <c r="A1305" s="3" t="s">
        <v>262</v>
      </c>
      <c r="B1305" s="45" t="s">
        <v>2526</v>
      </c>
      <c r="C1305" s="45" t="s">
        <v>688</v>
      </c>
      <c r="D1305" s="46" t="s">
        <v>2527</v>
      </c>
      <c r="E1305" s="3">
        <v>1026</v>
      </c>
      <c r="F1305" s="3">
        <v>229</v>
      </c>
      <c r="G1305" s="3">
        <v>98</v>
      </c>
      <c r="H1305" s="3">
        <v>12</v>
      </c>
      <c r="I1305" s="9">
        <v>42292</v>
      </c>
      <c r="J1305" s="47">
        <v>0.5091782407407407</v>
      </c>
    </row>
    <row r="1306" spans="1:10" x14ac:dyDescent="0.25">
      <c r="A1306" s="3" t="s">
        <v>262</v>
      </c>
      <c r="B1306" s="45" t="s">
        <v>395</v>
      </c>
      <c r="D1306" s="46" t="s">
        <v>2643</v>
      </c>
      <c r="E1306" s="3">
        <v>274</v>
      </c>
      <c r="F1306" s="3">
        <v>204</v>
      </c>
      <c r="G1306" s="3">
        <v>98</v>
      </c>
      <c r="H1306" s="3">
        <v>125</v>
      </c>
      <c r="I1306" s="9">
        <v>42447</v>
      </c>
      <c r="J1306" s="47">
        <v>0.5163078703703704</v>
      </c>
    </row>
    <row r="1307" spans="1:10" x14ac:dyDescent="0.25">
      <c r="A1307" s="3" t="s">
        <v>262</v>
      </c>
      <c r="B1307" s="45" t="s">
        <v>3278</v>
      </c>
      <c r="C1307" s="45" t="s">
        <v>3279</v>
      </c>
      <c r="E1307" s="3">
        <v>331</v>
      </c>
      <c r="F1307" s="3">
        <v>69</v>
      </c>
      <c r="G1307" s="3">
        <v>98</v>
      </c>
      <c r="H1307" s="3">
        <v>137</v>
      </c>
      <c r="I1307" s="9">
        <v>42747</v>
      </c>
      <c r="J1307" s="47">
        <v>0.56125000000000003</v>
      </c>
    </row>
    <row r="1308" spans="1:10" x14ac:dyDescent="0.25">
      <c r="A1308" s="3" t="s">
        <v>262</v>
      </c>
      <c r="B1308" s="45" t="s">
        <v>3459</v>
      </c>
      <c r="E1308" s="3">
        <v>23</v>
      </c>
      <c r="F1308" s="3">
        <v>26</v>
      </c>
      <c r="G1308" s="3">
        <v>98</v>
      </c>
      <c r="H1308" s="3">
        <v>4</v>
      </c>
      <c r="I1308" s="9">
        <v>42332</v>
      </c>
      <c r="J1308" s="47">
        <v>0.65361111111111114</v>
      </c>
    </row>
    <row r="1309" spans="1:10" x14ac:dyDescent="0.25">
      <c r="A1309" s="3" t="s">
        <v>262</v>
      </c>
      <c r="B1309" s="45" t="s">
        <v>3353</v>
      </c>
      <c r="C1309" s="45" t="s">
        <v>3354</v>
      </c>
      <c r="D1309" s="46" t="s">
        <v>3355</v>
      </c>
      <c r="E1309" s="3">
        <v>22</v>
      </c>
      <c r="F1309" s="3">
        <v>52</v>
      </c>
      <c r="G1309" s="3">
        <v>97</v>
      </c>
      <c r="H1309" s="3">
        <v>0</v>
      </c>
      <c r="I1309" s="9">
        <v>42668</v>
      </c>
      <c r="J1309" s="47">
        <v>0.73960648148148145</v>
      </c>
    </row>
    <row r="1310" spans="1:10" x14ac:dyDescent="0.25">
      <c r="A1310" s="3" t="s">
        <v>262</v>
      </c>
      <c r="B1310" s="45" t="s">
        <v>3394</v>
      </c>
      <c r="C1310" s="45" t="s">
        <v>3395</v>
      </c>
      <c r="E1310" s="3">
        <v>58</v>
      </c>
      <c r="F1310" s="3">
        <v>45</v>
      </c>
      <c r="G1310" s="3">
        <v>93</v>
      </c>
      <c r="H1310" s="3">
        <v>70</v>
      </c>
      <c r="I1310" s="9">
        <v>42794</v>
      </c>
      <c r="J1310" s="47">
        <v>0.48472222222222222</v>
      </c>
    </row>
    <row r="1311" spans="1:10" x14ac:dyDescent="0.25">
      <c r="A1311" s="3" t="s">
        <v>262</v>
      </c>
      <c r="B1311" s="45" t="s">
        <v>3255</v>
      </c>
      <c r="C1311" s="45" t="s">
        <v>3256</v>
      </c>
      <c r="D1311" s="46" t="s">
        <v>3257</v>
      </c>
      <c r="E1311" s="3">
        <v>93</v>
      </c>
      <c r="F1311" s="3">
        <v>72</v>
      </c>
      <c r="G1311" s="3">
        <v>91</v>
      </c>
      <c r="H1311" s="3">
        <v>29</v>
      </c>
      <c r="I1311" s="9">
        <v>42278</v>
      </c>
      <c r="J1311" s="47">
        <v>0.32678240740740744</v>
      </c>
    </row>
    <row r="1312" spans="1:10" x14ac:dyDescent="0.25">
      <c r="A1312" s="3" t="s">
        <v>262</v>
      </c>
      <c r="B1312" s="45" t="s">
        <v>1464</v>
      </c>
      <c r="C1312" s="45" t="s">
        <v>3328</v>
      </c>
      <c r="D1312" s="46" t="s">
        <v>3329</v>
      </c>
      <c r="E1312" s="3">
        <v>172</v>
      </c>
      <c r="F1312" s="3">
        <v>58</v>
      </c>
      <c r="G1312" s="3">
        <v>83</v>
      </c>
      <c r="H1312" s="3">
        <v>14</v>
      </c>
      <c r="I1312" s="9">
        <v>42160</v>
      </c>
      <c r="J1312" s="47">
        <v>0.41318287037037038</v>
      </c>
    </row>
    <row r="1313" spans="1:10" x14ac:dyDescent="0.25">
      <c r="A1313" s="3" t="s">
        <v>262</v>
      </c>
      <c r="B1313" s="45" t="s">
        <v>2736</v>
      </c>
      <c r="E1313" s="3">
        <v>50</v>
      </c>
      <c r="F1313" s="3">
        <v>189</v>
      </c>
      <c r="G1313" s="3">
        <v>82</v>
      </c>
      <c r="H1313" s="3">
        <v>91</v>
      </c>
      <c r="I1313" s="9">
        <v>42086</v>
      </c>
      <c r="J1313" s="47">
        <v>0.76129629629629625</v>
      </c>
    </row>
    <row r="1314" spans="1:10" x14ac:dyDescent="0.25">
      <c r="A1314" s="3" t="s">
        <v>262</v>
      </c>
      <c r="B1314" s="45" t="s">
        <v>3077</v>
      </c>
      <c r="E1314" s="3">
        <v>59</v>
      </c>
      <c r="F1314" s="3">
        <v>115</v>
      </c>
      <c r="G1314" s="3">
        <v>82</v>
      </c>
      <c r="H1314" s="3">
        <v>52</v>
      </c>
      <c r="I1314" s="9">
        <v>41992</v>
      </c>
      <c r="J1314" s="47">
        <v>0.41607638888888893</v>
      </c>
    </row>
    <row r="1315" spans="1:10" x14ac:dyDescent="0.25">
      <c r="A1315" s="3" t="s">
        <v>262</v>
      </c>
      <c r="B1315" s="45" t="s">
        <v>2559</v>
      </c>
      <c r="C1315" s="45" t="s">
        <v>477</v>
      </c>
      <c r="D1315" s="46" t="s">
        <v>2560</v>
      </c>
      <c r="E1315" s="3">
        <v>118</v>
      </c>
      <c r="F1315" s="3">
        <v>224</v>
      </c>
      <c r="G1315" s="3">
        <v>79</v>
      </c>
      <c r="H1315" s="3">
        <v>25</v>
      </c>
      <c r="I1315" s="9">
        <v>42389</v>
      </c>
      <c r="J1315" s="47">
        <v>0.58253472222222225</v>
      </c>
    </row>
    <row r="1316" spans="1:10" x14ac:dyDescent="0.25">
      <c r="A1316" s="3" t="s">
        <v>262</v>
      </c>
      <c r="B1316" s="45" t="s">
        <v>3166</v>
      </c>
      <c r="C1316" s="45" t="s">
        <v>3167</v>
      </c>
      <c r="D1316" s="46" t="s">
        <v>3168</v>
      </c>
      <c r="E1316" s="3">
        <v>376</v>
      </c>
      <c r="F1316" s="3">
        <v>93</v>
      </c>
      <c r="G1316" s="3">
        <v>78</v>
      </c>
      <c r="H1316" s="3">
        <v>27</v>
      </c>
      <c r="I1316" s="9">
        <v>42800</v>
      </c>
      <c r="J1316" s="47">
        <v>0.59697916666666673</v>
      </c>
    </row>
    <row r="1317" spans="1:10" x14ac:dyDescent="0.25">
      <c r="A1317" s="3" t="s">
        <v>262</v>
      </c>
      <c r="B1317" s="45" t="s">
        <v>3346</v>
      </c>
      <c r="C1317" s="45" t="s">
        <v>3347</v>
      </c>
      <c r="D1317" s="46" t="s">
        <v>3348</v>
      </c>
      <c r="E1317" s="3">
        <v>12</v>
      </c>
      <c r="F1317" s="3">
        <v>53</v>
      </c>
      <c r="G1317" s="3">
        <v>74</v>
      </c>
      <c r="H1317" s="3">
        <v>32</v>
      </c>
      <c r="I1317" s="9">
        <v>42094</v>
      </c>
      <c r="J1317" s="47">
        <v>0.65973379629629625</v>
      </c>
    </row>
    <row r="1318" spans="1:10" x14ac:dyDescent="0.25">
      <c r="A1318" s="3" t="s">
        <v>262</v>
      </c>
      <c r="B1318" s="45" t="s">
        <v>3468</v>
      </c>
      <c r="C1318" s="45" t="s">
        <v>3469</v>
      </c>
      <c r="D1318" s="46" t="s">
        <v>3470</v>
      </c>
      <c r="E1318" s="3">
        <v>52</v>
      </c>
      <c r="F1318" s="3">
        <v>25</v>
      </c>
      <c r="G1318" s="3">
        <v>72</v>
      </c>
      <c r="H1318" s="3">
        <v>13</v>
      </c>
      <c r="I1318" s="9">
        <v>42073</v>
      </c>
      <c r="J1318" s="47">
        <v>0.72685185185185175</v>
      </c>
    </row>
    <row r="1319" spans="1:10" ht="30" x14ac:dyDescent="0.25">
      <c r="A1319" s="3" t="s">
        <v>262</v>
      </c>
      <c r="B1319" s="45" t="s">
        <v>3272</v>
      </c>
      <c r="C1319" s="45" t="s">
        <v>3273</v>
      </c>
      <c r="D1319" s="46" t="s">
        <v>3274</v>
      </c>
      <c r="E1319" s="3">
        <v>82</v>
      </c>
      <c r="F1319" s="3">
        <v>70</v>
      </c>
      <c r="G1319" s="3">
        <v>71</v>
      </c>
      <c r="H1319" s="3">
        <v>39</v>
      </c>
      <c r="I1319" s="9">
        <v>42353</v>
      </c>
      <c r="J1319" s="47">
        <v>0.48927083333333332</v>
      </c>
    </row>
    <row r="1320" spans="1:10" x14ac:dyDescent="0.25">
      <c r="A1320" s="3" t="s">
        <v>262</v>
      </c>
      <c r="B1320" s="45" t="s">
        <v>3430</v>
      </c>
      <c r="C1320" s="45" t="s">
        <v>3431</v>
      </c>
      <c r="D1320" s="46" t="s">
        <v>3432</v>
      </c>
      <c r="E1320" s="3">
        <v>160</v>
      </c>
      <c r="F1320" s="3">
        <v>34</v>
      </c>
      <c r="G1320" s="3">
        <v>71</v>
      </c>
      <c r="H1320" s="3">
        <v>0</v>
      </c>
      <c r="I1320" s="9">
        <v>42654</v>
      </c>
      <c r="J1320" s="47">
        <v>0.40665509259259264</v>
      </c>
    </row>
    <row r="1321" spans="1:10" x14ac:dyDescent="0.25">
      <c r="A1321" s="3" t="s">
        <v>262</v>
      </c>
      <c r="B1321" s="45" t="s">
        <v>3083</v>
      </c>
      <c r="E1321" s="3">
        <v>193</v>
      </c>
      <c r="F1321" s="3">
        <v>112</v>
      </c>
      <c r="G1321" s="3">
        <v>69</v>
      </c>
      <c r="H1321" s="3">
        <v>68</v>
      </c>
      <c r="I1321" s="9">
        <v>42775</v>
      </c>
      <c r="J1321" s="47">
        <v>0.46836805555555555</v>
      </c>
    </row>
    <row r="1322" spans="1:10" x14ac:dyDescent="0.25">
      <c r="A1322" s="3" t="s">
        <v>262</v>
      </c>
      <c r="B1322" s="45" t="s">
        <v>3309</v>
      </c>
      <c r="D1322" s="46" t="s">
        <v>3310</v>
      </c>
      <c r="E1322" s="3">
        <v>91</v>
      </c>
      <c r="F1322" s="3">
        <v>61</v>
      </c>
      <c r="G1322" s="3">
        <v>69</v>
      </c>
      <c r="H1322" s="3">
        <v>9</v>
      </c>
      <c r="I1322" s="9">
        <v>41652</v>
      </c>
      <c r="J1322" s="47">
        <v>0.53561342592592587</v>
      </c>
    </row>
    <row r="1323" spans="1:10" x14ac:dyDescent="0.25">
      <c r="A1323" s="3" t="s">
        <v>262</v>
      </c>
      <c r="B1323" s="45" t="s">
        <v>2925</v>
      </c>
      <c r="C1323" s="45" t="s">
        <v>477</v>
      </c>
      <c r="D1323" s="46" t="s">
        <v>2926</v>
      </c>
      <c r="E1323" s="3">
        <v>855</v>
      </c>
      <c r="F1323" s="3">
        <v>154</v>
      </c>
      <c r="G1323" s="3">
        <v>67</v>
      </c>
      <c r="H1323" s="3">
        <v>461</v>
      </c>
      <c r="I1323" s="9">
        <v>42724</v>
      </c>
      <c r="J1323" s="47">
        <v>0.4324305555555556</v>
      </c>
    </row>
    <row r="1324" spans="1:10" ht="30" x14ac:dyDescent="0.25">
      <c r="A1324" s="3" t="s">
        <v>262</v>
      </c>
      <c r="B1324" s="45" t="s">
        <v>3198</v>
      </c>
      <c r="C1324" s="45" t="s">
        <v>3199</v>
      </c>
      <c r="D1324" s="46" t="s">
        <v>3200</v>
      </c>
      <c r="E1324" s="3">
        <v>377</v>
      </c>
      <c r="F1324" s="3">
        <v>85</v>
      </c>
      <c r="G1324" s="3">
        <v>67</v>
      </c>
      <c r="H1324" s="3">
        <v>31</v>
      </c>
      <c r="I1324" s="9">
        <v>42075</v>
      </c>
      <c r="J1324" s="47">
        <v>0.71098379629629627</v>
      </c>
    </row>
    <row r="1325" spans="1:10" x14ac:dyDescent="0.25">
      <c r="A1325" s="3" t="s">
        <v>262</v>
      </c>
      <c r="B1325" s="45" t="s">
        <v>3057</v>
      </c>
      <c r="C1325" s="45" t="s">
        <v>3058</v>
      </c>
      <c r="D1325" s="46" t="s">
        <v>3059</v>
      </c>
      <c r="E1325" s="3">
        <v>119</v>
      </c>
      <c r="F1325" s="3">
        <v>123</v>
      </c>
      <c r="G1325" s="3">
        <v>66</v>
      </c>
      <c r="H1325" s="3">
        <v>425</v>
      </c>
      <c r="I1325" s="9">
        <v>42649</v>
      </c>
      <c r="J1325" s="47">
        <v>0.5455092592592593</v>
      </c>
    </row>
    <row r="1326" spans="1:10" ht="30" x14ac:dyDescent="0.25">
      <c r="A1326" s="3" t="s">
        <v>262</v>
      </c>
      <c r="B1326" s="45" t="s">
        <v>3216</v>
      </c>
      <c r="C1326" s="45" t="s">
        <v>3217</v>
      </c>
      <c r="D1326" s="46" t="s">
        <v>3218</v>
      </c>
      <c r="E1326" s="3">
        <v>70</v>
      </c>
      <c r="F1326" s="3">
        <v>81</v>
      </c>
      <c r="G1326" s="3">
        <v>66</v>
      </c>
      <c r="H1326" s="3">
        <v>37</v>
      </c>
      <c r="I1326" s="9">
        <v>42774</v>
      </c>
      <c r="J1326" s="47">
        <v>0.41407407407407404</v>
      </c>
    </row>
    <row r="1327" spans="1:10" x14ac:dyDescent="0.25">
      <c r="A1327" s="3" t="s">
        <v>262</v>
      </c>
      <c r="B1327" s="45" t="s">
        <v>3280</v>
      </c>
      <c r="C1327" s="45" t="s">
        <v>3281</v>
      </c>
      <c r="D1327" s="46" t="s">
        <v>3282</v>
      </c>
      <c r="E1327" s="3">
        <v>130</v>
      </c>
      <c r="F1327" s="3">
        <v>68</v>
      </c>
      <c r="G1327" s="3">
        <v>66</v>
      </c>
      <c r="H1327" s="3">
        <v>4</v>
      </c>
      <c r="I1327" s="9">
        <v>42451</v>
      </c>
      <c r="J1327" s="47">
        <v>0.38002314814814814</v>
      </c>
    </row>
    <row r="1328" spans="1:10" x14ac:dyDescent="0.25">
      <c r="A1328" s="3" t="s">
        <v>262</v>
      </c>
      <c r="B1328" s="45" t="s">
        <v>3351</v>
      </c>
      <c r="C1328" s="45" t="s">
        <v>36</v>
      </c>
      <c r="D1328" s="46" t="s">
        <v>3352</v>
      </c>
      <c r="E1328" s="3">
        <v>85</v>
      </c>
      <c r="F1328" s="3">
        <v>52</v>
      </c>
      <c r="G1328" s="3">
        <v>66</v>
      </c>
      <c r="H1328" s="3">
        <v>24</v>
      </c>
      <c r="I1328" s="9">
        <v>40500</v>
      </c>
      <c r="J1328" s="47">
        <v>0.76077546296296295</v>
      </c>
    </row>
    <row r="1329" spans="1:10" x14ac:dyDescent="0.25">
      <c r="A1329" s="3" t="s">
        <v>262</v>
      </c>
      <c r="B1329" s="45" t="s">
        <v>3397</v>
      </c>
      <c r="C1329" s="45" t="s">
        <v>3398</v>
      </c>
      <c r="E1329" s="3">
        <v>48</v>
      </c>
      <c r="F1329" s="3">
        <v>42</v>
      </c>
      <c r="G1329" s="3">
        <v>64</v>
      </c>
      <c r="H1329" s="3">
        <v>75</v>
      </c>
      <c r="I1329" s="9">
        <v>42439</v>
      </c>
      <c r="J1329" s="47">
        <v>0.42738425925925921</v>
      </c>
    </row>
    <row r="1330" spans="1:10" x14ac:dyDescent="0.25">
      <c r="A1330" s="3" t="s">
        <v>262</v>
      </c>
      <c r="B1330" s="45" t="s">
        <v>3416</v>
      </c>
      <c r="C1330" s="45" t="s">
        <v>2007</v>
      </c>
      <c r="D1330" s="46" t="s">
        <v>3417</v>
      </c>
      <c r="E1330" s="3">
        <v>113</v>
      </c>
      <c r="F1330" s="3">
        <v>38</v>
      </c>
      <c r="G1330" s="3">
        <v>63</v>
      </c>
      <c r="H1330" s="3">
        <v>31</v>
      </c>
      <c r="I1330" s="9">
        <v>42683</v>
      </c>
      <c r="J1330" s="47">
        <v>0.73848379629629635</v>
      </c>
    </row>
    <row r="1331" spans="1:10" ht="30" x14ac:dyDescent="0.25">
      <c r="A1331" s="3" t="s">
        <v>262</v>
      </c>
      <c r="B1331" s="45" t="s">
        <v>3127</v>
      </c>
      <c r="C1331" s="45" t="s">
        <v>477</v>
      </c>
      <c r="D1331" s="46" t="s">
        <v>3128</v>
      </c>
      <c r="E1331" s="3">
        <v>143</v>
      </c>
      <c r="F1331" s="3">
        <v>101</v>
      </c>
      <c r="G1331" s="3">
        <v>62</v>
      </c>
      <c r="H1331" s="3">
        <v>132</v>
      </c>
      <c r="I1331" s="9">
        <v>42536</v>
      </c>
      <c r="J1331" s="47">
        <v>0.56018518518518523</v>
      </c>
    </row>
    <row r="1332" spans="1:10" x14ac:dyDescent="0.25">
      <c r="A1332" s="3" t="s">
        <v>262</v>
      </c>
      <c r="B1332" s="45" t="s">
        <v>3488</v>
      </c>
      <c r="C1332" s="45" t="s">
        <v>3489</v>
      </c>
      <c r="E1332" s="3">
        <v>186</v>
      </c>
      <c r="F1332" s="3">
        <v>19</v>
      </c>
      <c r="G1332" s="3">
        <v>61</v>
      </c>
      <c r="H1332" s="3">
        <v>9</v>
      </c>
      <c r="I1332" s="9">
        <v>42793</v>
      </c>
      <c r="J1332" s="47">
        <v>0.39832175925925922</v>
      </c>
    </row>
    <row r="1333" spans="1:10" x14ac:dyDescent="0.25">
      <c r="A1333" s="3" t="s">
        <v>262</v>
      </c>
      <c r="B1333" s="45" t="s">
        <v>2854</v>
      </c>
      <c r="C1333" s="45" t="s">
        <v>2855</v>
      </c>
      <c r="D1333" s="46" t="s">
        <v>2856</v>
      </c>
      <c r="E1333" s="3">
        <v>496</v>
      </c>
      <c r="F1333" s="3">
        <v>167</v>
      </c>
      <c r="G1333" s="3">
        <v>59</v>
      </c>
      <c r="H1333" s="3">
        <v>13</v>
      </c>
      <c r="I1333" s="9">
        <v>41323</v>
      </c>
      <c r="J1333" s="47">
        <v>0.46386574074074072</v>
      </c>
    </row>
    <row r="1334" spans="1:10" x14ac:dyDescent="0.25">
      <c r="A1334" s="3" t="s">
        <v>262</v>
      </c>
      <c r="B1334" s="45" t="s">
        <v>3396</v>
      </c>
      <c r="C1334" s="45" t="s">
        <v>2007</v>
      </c>
      <c r="E1334" s="3">
        <v>24</v>
      </c>
      <c r="F1334" s="3">
        <v>44</v>
      </c>
      <c r="G1334" s="3">
        <v>59</v>
      </c>
      <c r="H1334" s="3">
        <v>18</v>
      </c>
      <c r="I1334" s="9">
        <v>42402</v>
      </c>
      <c r="J1334" s="47">
        <v>0.4803587962962963</v>
      </c>
    </row>
    <row r="1335" spans="1:10" x14ac:dyDescent="0.25">
      <c r="A1335" s="3" t="s">
        <v>262</v>
      </c>
      <c r="B1335" s="45" t="s">
        <v>3487</v>
      </c>
      <c r="E1335" s="3">
        <v>33</v>
      </c>
      <c r="F1335" s="3">
        <v>20</v>
      </c>
      <c r="G1335" s="3">
        <v>58</v>
      </c>
      <c r="H1335" s="3">
        <v>0</v>
      </c>
      <c r="I1335" s="9">
        <v>42793</v>
      </c>
      <c r="J1335" s="47">
        <v>0.47271990740740738</v>
      </c>
    </row>
    <row r="1336" spans="1:10" x14ac:dyDescent="0.25">
      <c r="A1336" s="3" t="s">
        <v>262</v>
      </c>
      <c r="B1336" s="45" t="s">
        <v>2672</v>
      </c>
      <c r="D1336" s="46" t="s">
        <v>3415</v>
      </c>
      <c r="E1336" s="3">
        <v>91</v>
      </c>
      <c r="F1336" s="3">
        <v>38</v>
      </c>
      <c r="G1336" s="3">
        <v>57</v>
      </c>
      <c r="H1336" s="3">
        <v>18</v>
      </c>
      <c r="I1336" s="9">
        <v>41517</v>
      </c>
      <c r="J1336" s="47">
        <v>0.40469907407407407</v>
      </c>
    </row>
    <row r="1337" spans="1:10" x14ac:dyDescent="0.25">
      <c r="A1337" s="3" t="s">
        <v>262</v>
      </c>
      <c r="B1337" s="45" t="s">
        <v>2939</v>
      </c>
      <c r="E1337" s="3">
        <v>341</v>
      </c>
      <c r="F1337" s="3">
        <v>152</v>
      </c>
      <c r="G1337" s="3">
        <v>53</v>
      </c>
      <c r="H1337" s="3">
        <v>6</v>
      </c>
      <c r="I1337" s="9">
        <v>41827</v>
      </c>
      <c r="J1337" s="47">
        <v>0.35381944444444446</v>
      </c>
    </row>
    <row r="1338" spans="1:10" x14ac:dyDescent="0.25">
      <c r="A1338" s="3" t="s">
        <v>262</v>
      </c>
      <c r="B1338" s="45" t="s">
        <v>3096</v>
      </c>
      <c r="C1338" s="45" t="s">
        <v>3097</v>
      </c>
      <c r="E1338" s="3">
        <v>46</v>
      </c>
      <c r="F1338" s="3">
        <v>109</v>
      </c>
      <c r="G1338" s="3">
        <v>46</v>
      </c>
      <c r="H1338" s="3">
        <v>1</v>
      </c>
      <c r="I1338" s="9">
        <v>41886</v>
      </c>
      <c r="J1338" s="47">
        <v>0.37432870370370369</v>
      </c>
    </row>
    <row r="1339" spans="1:10" ht="30" x14ac:dyDescent="0.25">
      <c r="A1339" s="3" t="s">
        <v>262</v>
      </c>
      <c r="B1339" s="45" t="s">
        <v>2618</v>
      </c>
      <c r="C1339" s="45" t="s">
        <v>2619</v>
      </c>
      <c r="D1339" s="46" t="s">
        <v>2620</v>
      </c>
      <c r="E1339" s="3">
        <v>271</v>
      </c>
      <c r="F1339" s="3">
        <v>210</v>
      </c>
      <c r="G1339" s="3">
        <v>44</v>
      </c>
      <c r="H1339" s="3">
        <v>0</v>
      </c>
      <c r="I1339" s="9">
        <v>42275</v>
      </c>
      <c r="J1339" s="47">
        <v>0.48743055555555559</v>
      </c>
    </row>
    <row r="1340" spans="1:10" x14ac:dyDescent="0.25">
      <c r="A1340" s="3" t="s">
        <v>262</v>
      </c>
      <c r="B1340" s="45" t="s">
        <v>3507</v>
      </c>
      <c r="D1340" s="46" t="s">
        <v>3508</v>
      </c>
      <c r="E1340" s="3">
        <v>22</v>
      </c>
      <c r="F1340" s="3">
        <v>11</v>
      </c>
      <c r="G1340" s="3">
        <v>43</v>
      </c>
      <c r="H1340" s="3">
        <v>0</v>
      </c>
      <c r="I1340" s="9">
        <v>41661</v>
      </c>
      <c r="J1340" s="47">
        <v>0.59672453703703698</v>
      </c>
    </row>
    <row r="1341" spans="1:10" x14ac:dyDescent="0.25">
      <c r="A1341" s="3" t="s">
        <v>262</v>
      </c>
      <c r="B1341" s="45" t="s">
        <v>3406</v>
      </c>
      <c r="D1341" s="46" t="s">
        <v>3407</v>
      </c>
      <c r="E1341" s="3">
        <v>64</v>
      </c>
      <c r="F1341" s="3">
        <v>41</v>
      </c>
      <c r="G1341" s="3">
        <v>41</v>
      </c>
      <c r="H1341" s="3">
        <v>5</v>
      </c>
      <c r="I1341" s="9">
        <v>42677</v>
      </c>
      <c r="J1341" s="47">
        <v>0.40881944444444446</v>
      </c>
    </row>
    <row r="1342" spans="1:10" x14ac:dyDescent="0.25">
      <c r="A1342" s="3" t="s">
        <v>262</v>
      </c>
      <c r="B1342" s="45" t="s">
        <v>3268</v>
      </c>
      <c r="E1342" s="3">
        <v>178</v>
      </c>
      <c r="F1342" s="3">
        <v>71</v>
      </c>
      <c r="G1342" s="3">
        <v>40</v>
      </c>
      <c r="H1342" s="3">
        <v>44</v>
      </c>
      <c r="I1342" s="9">
        <v>42633</v>
      </c>
      <c r="J1342" s="47">
        <v>0.35099537037037037</v>
      </c>
    </row>
    <row r="1343" spans="1:10" x14ac:dyDescent="0.25">
      <c r="A1343" s="3" t="s">
        <v>262</v>
      </c>
      <c r="B1343" s="45" t="s">
        <v>3447</v>
      </c>
      <c r="C1343" s="45" t="s">
        <v>3448</v>
      </c>
      <c r="D1343" s="46" t="s">
        <v>3449</v>
      </c>
      <c r="E1343" s="3">
        <v>39</v>
      </c>
      <c r="F1343" s="3">
        <v>28</v>
      </c>
      <c r="G1343" s="3">
        <v>40</v>
      </c>
      <c r="H1343" s="3">
        <v>0</v>
      </c>
      <c r="I1343" s="9">
        <v>40981</v>
      </c>
      <c r="J1343" s="47">
        <v>0.48072916666666665</v>
      </c>
    </row>
    <row r="1344" spans="1:10" x14ac:dyDescent="0.25">
      <c r="A1344" s="3" t="s">
        <v>262</v>
      </c>
      <c r="B1344" s="45" t="s">
        <v>3427</v>
      </c>
      <c r="C1344" s="45" t="s">
        <v>3428</v>
      </c>
      <c r="D1344" s="46" t="s">
        <v>3429</v>
      </c>
      <c r="E1344" s="3">
        <v>128</v>
      </c>
      <c r="F1344" s="3">
        <v>35</v>
      </c>
      <c r="G1344" s="3">
        <v>38</v>
      </c>
      <c r="H1344" s="3">
        <v>11</v>
      </c>
      <c r="I1344" s="9">
        <v>42803</v>
      </c>
      <c r="J1344" s="47">
        <v>0.58067129629629632</v>
      </c>
    </row>
    <row r="1345" spans="1:10" x14ac:dyDescent="0.25">
      <c r="A1345" s="3" t="s">
        <v>262</v>
      </c>
      <c r="B1345" s="45" t="s">
        <v>3443</v>
      </c>
      <c r="C1345" s="45" t="s">
        <v>569</v>
      </c>
      <c r="E1345" s="3">
        <v>98</v>
      </c>
      <c r="F1345" s="3">
        <v>31</v>
      </c>
      <c r="G1345" s="3">
        <v>34</v>
      </c>
      <c r="H1345" s="3">
        <v>74</v>
      </c>
      <c r="I1345" s="9">
        <v>42870</v>
      </c>
      <c r="J1345" s="47">
        <v>0.31854166666666667</v>
      </c>
    </row>
    <row r="1346" spans="1:10" x14ac:dyDescent="0.25">
      <c r="A1346" s="3" t="s">
        <v>262</v>
      </c>
      <c r="B1346" s="45" t="s">
        <v>3223</v>
      </c>
      <c r="E1346" s="3">
        <v>243</v>
      </c>
      <c r="F1346" s="3">
        <v>79</v>
      </c>
      <c r="G1346" s="3">
        <v>31</v>
      </c>
      <c r="H1346" s="3">
        <v>74</v>
      </c>
      <c r="I1346" s="9">
        <v>42481</v>
      </c>
      <c r="J1346" s="47">
        <v>0.36843749999999997</v>
      </c>
    </row>
    <row r="1347" spans="1:10" x14ac:dyDescent="0.25">
      <c r="A1347" s="3" t="s">
        <v>262</v>
      </c>
      <c r="B1347" s="45" t="s">
        <v>3471</v>
      </c>
      <c r="C1347" s="45" t="s">
        <v>3472</v>
      </c>
      <c r="D1347" s="46" t="s">
        <v>3473</v>
      </c>
      <c r="E1347" s="3">
        <v>68</v>
      </c>
      <c r="F1347" s="3">
        <v>25</v>
      </c>
      <c r="G1347" s="3">
        <v>30</v>
      </c>
      <c r="H1347" s="3">
        <v>4</v>
      </c>
      <c r="I1347" s="9">
        <v>42618</v>
      </c>
      <c r="J1347" s="47">
        <v>0.54274305555555558</v>
      </c>
    </row>
    <row r="1348" spans="1:10" x14ac:dyDescent="0.25">
      <c r="A1348" s="3" t="s">
        <v>262</v>
      </c>
      <c r="B1348" s="45" t="s">
        <v>3118</v>
      </c>
      <c r="C1348" s="45" t="s">
        <v>3119</v>
      </c>
      <c r="D1348" s="46" t="s">
        <v>3120</v>
      </c>
      <c r="E1348" s="3">
        <v>305</v>
      </c>
      <c r="F1348" s="3">
        <v>105</v>
      </c>
      <c r="G1348" s="3">
        <v>28</v>
      </c>
      <c r="H1348" s="3">
        <v>16</v>
      </c>
      <c r="I1348" s="9">
        <v>42878</v>
      </c>
      <c r="J1348" s="47">
        <v>0.34255787037037039</v>
      </c>
    </row>
    <row r="1349" spans="1:10" ht="30" x14ac:dyDescent="0.25">
      <c r="A1349" s="3" t="s">
        <v>262</v>
      </c>
      <c r="B1349" s="45" t="s">
        <v>3302</v>
      </c>
      <c r="C1349" s="45" t="s">
        <v>2107</v>
      </c>
      <c r="D1349" s="46" t="s">
        <v>3303</v>
      </c>
      <c r="E1349" s="3">
        <v>100</v>
      </c>
      <c r="F1349" s="3">
        <v>64</v>
      </c>
      <c r="G1349" s="3">
        <v>28</v>
      </c>
      <c r="H1349" s="3">
        <v>9</v>
      </c>
      <c r="I1349" s="9">
        <v>42790</v>
      </c>
      <c r="J1349" s="47">
        <v>0.43577546296296293</v>
      </c>
    </row>
    <row r="1350" spans="1:10" x14ac:dyDescent="0.25">
      <c r="A1350" s="3" t="s">
        <v>262</v>
      </c>
      <c r="B1350" s="45" t="s">
        <v>3372</v>
      </c>
      <c r="C1350" s="45" t="s">
        <v>3373</v>
      </c>
      <c r="D1350" s="46" t="s">
        <v>3374</v>
      </c>
      <c r="E1350" s="3">
        <v>153</v>
      </c>
      <c r="F1350" s="3">
        <v>48</v>
      </c>
      <c r="G1350" s="3">
        <v>28</v>
      </c>
      <c r="H1350" s="3">
        <v>1</v>
      </c>
      <c r="I1350" s="9">
        <v>41712</v>
      </c>
      <c r="J1350" s="47">
        <v>0.48715277777777777</v>
      </c>
    </row>
    <row r="1351" spans="1:10" x14ac:dyDescent="0.25">
      <c r="A1351" s="3" t="s">
        <v>262</v>
      </c>
      <c r="B1351" s="45" t="s">
        <v>1464</v>
      </c>
      <c r="C1351" s="45" t="s">
        <v>318</v>
      </c>
      <c r="D1351" s="46" t="s">
        <v>3241</v>
      </c>
      <c r="E1351" s="3">
        <v>77</v>
      </c>
      <c r="F1351" s="3">
        <v>75</v>
      </c>
      <c r="G1351" s="3">
        <v>24</v>
      </c>
      <c r="H1351" s="3">
        <v>21</v>
      </c>
      <c r="I1351" s="9">
        <v>42401</v>
      </c>
      <c r="J1351" s="47">
        <v>0.42550925925925925</v>
      </c>
    </row>
    <row r="1352" spans="1:10" x14ac:dyDescent="0.25">
      <c r="A1352" s="3" t="s">
        <v>262</v>
      </c>
      <c r="B1352" s="45" t="s">
        <v>2658</v>
      </c>
      <c r="C1352" s="45" t="s">
        <v>2659</v>
      </c>
      <c r="D1352" s="46" t="s">
        <v>2660</v>
      </c>
      <c r="E1352" s="3">
        <v>572</v>
      </c>
      <c r="F1352" s="3">
        <v>201</v>
      </c>
      <c r="G1352" s="3">
        <v>22</v>
      </c>
      <c r="H1352" s="3">
        <v>4</v>
      </c>
      <c r="I1352" s="9">
        <v>42321</v>
      </c>
      <c r="J1352" s="47">
        <v>0.51239583333333327</v>
      </c>
    </row>
    <row r="1353" spans="1:10" x14ac:dyDescent="0.25">
      <c r="A1353" s="3" t="s">
        <v>262</v>
      </c>
      <c r="B1353" s="45" t="s">
        <v>3511</v>
      </c>
      <c r="C1353" s="45" t="s">
        <v>3512</v>
      </c>
      <c r="E1353" s="3">
        <v>40</v>
      </c>
      <c r="F1353" s="3">
        <v>11</v>
      </c>
      <c r="G1353" s="3">
        <v>18</v>
      </c>
      <c r="H1353" s="3">
        <v>6</v>
      </c>
      <c r="I1353" s="9">
        <v>42880</v>
      </c>
      <c r="J1353" s="47">
        <v>0.47333333333333333</v>
      </c>
    </row>
    <row r="1354" spans="1:10" x14ac:dyDescent="0.25">
      <c r="A1354" s="3" t="s">
        <v>262</v>
      </c>
      <c r="B1354" s="45" t="s">
        <v>3485</v>
      </c>
      <c r="D1354" s="46" t="s">
        <v>3486</v>
      </c>
      <c r="E1354" s="3">
        <v>82</v>
      </c>
      <c r="F1354" s="3">
        <v>21</v>
      </c>
      <c r="G1354" s="3">
        <v>17</v>
      </c>
      <c r="H1354" s="3">
        <v>1</v>
      </c>
      <c r="I1354" s="9">
        <v>41389</v>
      </c>
      <c r="J1354" s="47">
        <v>0.85732638888888879</v>
      </c>
    </row>
    <row r="1355" spans="1:10" ht="45" x14ac:dyDescent="0.25">
      <c r="A1355" s="3" t="s">
        <v>262</v>
      </c>
      <c r="B1355" s="45" t="s">
        <v>3408</v>
      </c>
      <c r="C1355" s="45" t="s">
        <v>3409</v>
      </c>
      <c r="D1355" s="46" t="s">
        <v>3410</v>
      </c>
      <c r="E1355" s="3">
        <v>41</v>
      </c>
      <c r="F1355" s="3">
        <v>41</v>
      </c>
      <c r="G1355" s="3">
        <v>14</v>
      </c>
      <c r="H1355" s="3">
        <v>10</v>
      </c>
      <c r="I1355" s="9">
        <v>42849</v>
      </c>
      <c r="J1355" s="47">
        <v>8.3842592592592594E-2</v>
      </c>
    </row>
    <row r="1356" spans="1:10" x14ac:dyDescent="0.25">
      <c r="A1356" s="3" t="s">
        <v>262</v>
      </c>
      <c r="B1356" s="45" t="s">
        <v>3191</v>
      </c>
      <c r="C1356" s="45" t="s">
        <v>3192</v>
      </c>
      <c r="D1356" s="46" t="s">
        <v>3193</v>
      </c>
      <c r="E1356" s="3">
        <v>43</v>
      </c>
      <c r="F1356" s="3">
        <v>86</v>
      </c>
      <c r="G1356" s="3">
        <v>12</v>
      </c>
      <c r="H1356" s="3">
        <v>14</v>
      </c>
      <c r="I1356" s="9">
        <v>41776</v>
      </c>
      <c r="J1356" s="47">
        <v>0.40266203703703707</v>
      </c>
    </row>
    <row r="1357" spans="1:10" x14ac:dyDescent="0.25">
      <c r="A1357" s="3" t="s">
        <v>262</v>
      </c>
      <c r="B1357" s="45" t="s">
        <v>3490</v>
      </c>
      <c r="E1357" s="3">
        <v>1</v>
      </c>
      <c r="F1357" s="3">
        <v>17</v>
      </c>
      <c r="G1357" s="3">
        <v>8</v>
      </c>
      <c r="H1357" s="3">
        <v>1</v>
      </c>
      <c r="I1357" s="9">
        <v>42398</v>
      </c>
      <c r="J1357" s="47">
        <v>0.40842592592592591</v>
      </c>
    </row>
    <row r="1358" spans="1:10" ht="30" x14ac:dyDescent="0.25">
      <c r="A1358" s="3" t="s">
        <v>262</v>
      </c>
      <c r="B1358" s="45" t="s">
        <v>3175</v>
      </c>
      <c r="C1358" s="45" t="s">
        <v>2102</v>
      </c>
      <c r="D1358" s="46" t="s">
        <v>3176</v>
      </c>
      <c r="E1358" s="3">
        <v>179</v>
      </c>
      <c r="F1358" s="3">
        <v>90</v>
      </c>
      <c r="G1358" s="3">
        <v>7</v>
      </c>
      <c r="H1358" s="3">
        <v>18</v>
      </c>
      <c r="I1358" s="9">
        <v>42488</v>
      </c>
      <c r="J1358" s="47">
        <v>0.44137731481481479</v>
      </c>
    </row>
    <row r="1359" spans="1:10" x14ac:dyDescent="0.25">
      <c r="A1359" s="3" t="s">
        <v>262</v>
      </c>
      <c r="B1359" s="45" t="s">
        <v>3463</v>
      </c>
      <c r="D1359" s="46" t="s">
        <v>3464</v>
      </c>
      <c r="E1359" s="3">
        <v>10</v>
      </c>
      <c r="F1359" s="3">
        <v>25</v>
      </c>
      <c r="G1359" s="3">
        <v>4</v>
      </c>
      <c r="H1359" s="3">
        <v>0</v>
      </c>
      <c r="I1359" s="9">
        <v>39988</v>
      </c>
      <c r="J1359" s="47">
        <v>0.4629861111111111</v>
      </c>
    </row>
    <row r="1360" spans="1:10" x14ac:dyDescent="0.25">
      <c r="A1360" s="3" t="s">
        <v>262</v>
      </c>
      <c r="B1360" s="45" t="s">
        <v>3515</v>
      </c>
      <c r="C1360" s="45" t="s">
        <v>3516</v>
      </c>
      <c r="D1360" s="46" t="s">
        <v>3517</v>
      </c>
      <c r="E1360" s="3">
        <v>14</v>
      </c>
      <c r="F1360" s="3">
        <v>8</v>
      </c>
      <c r="G1360" s="3">
        <v>4</v>
      </c>
      <c r="H1360" s="3">
        <v>0</v>
      </c>
      <c r="I1360" s="9">
        <v>42866</v>
      </c>
      <c r="J1360" s="47">
        <v>0.48461805555555554</v>
      </c>
    </row>
    <row r="1361" spans="1:10" x14ac:dyDescent="0.25">
      <c r="A1361" s="3" t="s">
        <v>262</v>
      </c>
      <c r="B1361" s="45" t="s">
        <v>3510</v>
      </c>
      <c r="E1361" s="3">
        <v>63</v>
      </c>
      <c r="F1361" s="3">
        <v>11</v>
      </c>
      <c r="G1361" s="3">
        <v>3</v>
      </c>
      <c r="H1361" s="3">
        <v>1</v>
      </c>
      <c r="I1361" s="9">
        <v>42815</v>
      </c>
      <c r="J1361" s="47">
        <v>0.56436342592592592</v>
      </c>
    </row>
    <row r="1362" spans="1:10" x14ac:dyDescent="0.25">
      <c r="A1362" s="3" t="s">
        <v>262</v>
      </c>
      <c r="B1362" s="45" t="s">
        <v>3411</v>
      </c>
      <c r="E1362" s="3">
        <v>3</v>
      </c>
      <c r="F1362" s="3">
        <v>40</v>
      </c>
      <c r="G1362" s="3">
        <v>2</v>
      </c>
      <c r="H1362" s="3">
        <v>0</v>
      </c>
      <c r="I1362" s="9">
        <v>42774</v>
      </c>
      <c r="J1362" s="47">
        <v>0.47790509259259256</v>
      </c>
    </row>
    <row r="1363" spans="1:10" x14ac:dyDescent="0.25">
      <c r="A1363" s="3" t="s">
        <v>262</v>
      </c>
      <c r="B1363" s="45" t="s">
        <v>3478</v>
      </c>
      <c r="C1363" s="45" t="s">
        <v>2030</v>
      </c>
      <c r="D1363" s="46" t="s">
        <v>3479</v>
      </c>
      <c r="E1363" s="3">
        <v>32</v>
      </c>
      <c r="F1363" s="3">
        <v>22</v>
      </c>
      <c r="G1363" s="3">
        <v>2</v>
      </c>
      <c r="H1363" s="3">
        <v>0</v>
      </c>
      <c r="I1363" s="9">
        <v>41246</v>
      </c>
      <c r="J1363" s="47">
        <v>0.67329861111111111</v>
      </c>
    </row>
  </sheetData>
  <autoFilter ref="A1:J1363" xr:uid="{00000000-0009-0000-0000-000000000000}">
    <sortState xmlns:xlrd2="http://schemas.microsoft.com/office/spreadsheetml/2017/richdata2" ref="A1026:J1363">
      <sortCondition descending="1" ref="G1:G1363"/>
    </sortState>
  </autoFilter>
  <sortState xmlns:xlrd2="http://schemas.microsoft.com/office/spreadsheetml/2017/richdata2" ref="A2:P1363">
    <sortCondition ref="A2:A1363"/>
    <sortCondition descending="1" ref="F2:F136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605"/>
  <sheetViews>
    <sheetView workbookViewId="0">
      <pane ySplit="1" topLeftCell="A2" activePane="bottomLeft" state="frozen"/>
      <selection activeCell="D1" sqref="D1"/>
      <selection pane="bottomLeft" activeCell="D7" sqref="D7"/>
    </sheetView>
  </sheetViews>
  <sheetFormatPr defaultRowHeight="15" x14ac:dyDescent="0.25"/>
  <cols>
    <col min="1" max="1" width="9.140625" style="33"/>
    <col min="2" max="2" width="17.7109375" style="40" customWidth="1"/>
    <col min="3" max="3" width="21.5703125" style="33" customWidth="1"/>
    <col min="4" max="4" width="24.140625" style="33" customWidth="1"/>
    <col min="5" max="5" width="56.42578125" style="32" customWidth="1"/>
    <col min="6" max="7" width="11.85546875" style="35" customWidth="1"/>
    <col min="8" max="8" width="9.5703125" style="35" customWidth="1"/>
    <col min="9" max="9" width="9.140625" style="35"/>
    <col min="10" max="10" width="18.28515625" style="35" customWidth="1"/>
    <col min="11" max="11" width="15.5703125" style="37" customWidth="1"/>
    <col min="12" max="12" width="18.5703125" style="36" customWidth="1"/>
    <col min="13" max="13" width="17.42578125" style="38" customWidth="1"/>
    <col min="14" max="15" width="9.140625" style="33"/>
    <col min="16" max="16" width="13.5703125" style="33" bestFit="1" customWidth="1"/>
    <col min="17" max="17" width="23.42578125" style="33" bestFit="1" customWidth="1"/>
    <col min="18" max="16384" width="9.140625" style="33"/>
  </cols>
  <sheetData>
    <row r="1" spans="1:16" s="32" customFormat="1" x14ac:dyDescent="0.25">
      <c r="A1" s="30" t="s">
        <v>0</v>
      </c>
      <c r="B1" s="31" t="s">
        <v>3739</v>
      </c>
      <c r="C1" s="30" t="s">
        <v>1</v>
      </c>
      <c r="D1" s="30" t="s">
        <v>2</v>
      </c>
      <c r="E1" s="30" t="s">
        <v>3740</v>
      </c>
      <c r="F1" s="30" t="s">
        <v>4</v>
      </c>
      <c r="G1" s="30" t="s">
        <v>5</v>
      </c>
      <c r="H1" s="30" t="s">
        <v>6</v>
      </c>
      <c r="I1" s="30" t="s">
        <v>7</v>
      </c>
      <c r="J1" s="30" t="s">
        <v>8</v>
      </c>
      <c r="K1" s="30" t="s">
        <v>3749</v>
      </c>
      <c r="L1" s="30" t="s">
        <v>3741</v>
      </c>
      <c r="M1" s="30" t="s">
        <v>3750</v>
      </c>
    </row>
    <row r="2" spans="1:16" ht="30" x14ac:dyDescent="0.25">
      <c r="A2" s="33" t="s">
        <v>14</v>
      </c>
      <c r="B2" s="34" t="str">
        <f>HYPERLINK("http://www.twitter.com/AfrStudiesLib", "AfrStudiesLib")</f>
        <v>AfrStudiesLib</v>
      </c>
      <c r="C2" s="33" t="s">
        <v>751</v>
      </c>
      <c r="D2" s="33" t="s">
        <v>508</v>
      </c>
      <c r="E2" s="32" t="s">
        <v>752</v>
      </c>
      <c r="F2" s="35">
        <v>356</v>
      </c>
      <c r="G2" s="35">
        <v>1757</v>
      </c>
      <c r="H2" s="35">
        <v>9916</v>
      </c>
      <c r="I2" s="35">
        <v>420</v>
      </c>
      <c r="J2" s="36">
        <v>40612</v>
      </c>
      <c r="K2" s="37">
        <v>0.53370370370370368</v>
      </c>
      <c r="L2" s="36">
        <v>42940</v>
      </c>
      <c r="M2" s="38">
        <v>0.47543981481481484</v>
      </c>
    </row>
    <row r="3" spans="1:16" x14ac:dyDescent="0.25">
      <c r="A3" s="33" t="s">
        <v>14</v>
      </c>
      <c r="B3" s="34" t="str">
        <f>HYPERLINK("http://www.twitter.com/hudlibbooks", "hudlibbooks")</f>
        <v>hudlibbooks</v>
      </c>
      <c r="C3" s="33" t="s">
        <v>2368</v>
      </c>
      <c r="D3" s="33" t="s">
        <v>2369</v>
      </c>
      <c r="E3" s="32" t="s">
        <v>2370</v>
      </c>
      <c r="F3" s="35">
        <v>0</v>
      </c>
      <c r="G3" s="35">
        <v>270</v>
      </c>
      <c r="H3" s="35">
        <v>186554</v>
      </c>
      <c r="I3" s="35">
        <v>0</v>
      </c>
      <c r="J3" s="36">
        <v>40004</v>
      </c>
      <c r="K3" s="37">
        <v>0.52483796296296303</v>
      </c>
      <c r="L3" s="36">
        <v>41376</v>
      </c>
      <c r="M3" s="38">
        <v>0.62848379629629625</v>
      </c>
    </row>
    <row r="4" spans="1:16" ht="45" x14ac:dyDescent="0.25">
      <c r="A4" s="33" t="s">
        <v>14</v>
      </c>
      <c r="B4" s="34" t="str">
        <f>HYPERLINK("http://www.twitter.com/nclroblib", "nclroblib")</f>
        <v>nclroblib</v>
      </c>
      <c r="C4" s="33" t="s">
        <v>360</v>
      </c>
      <c r="D4" s="33" t="s">
        <v>361</v>
      </c>
      <c r="E4" s="32" t="s">
        <v>362</v>
      </c>
      <c r="F4" s="35">
        <v>468</v>
      </c>
      <c r="G4" s="35">
        <v>3102</v>
      </c>
      <c r="H4" s="35">
        <v>30308</v>
      </c>
      <c r="I4" s="35">
        <v>3039</v>
      </c>
      <c r="J4" s="36">
        <v>40247</v>
      </c>
      <c r="K4" s="37">
        <v>0.63377314814814811</v>
      </c>
      <c r="L4" s="36">
        <v>42940</v>
      </c>
      <c r="M4" s="38">
        <v>0.66796296296296298</v>
      </c>
    </row>
    <row r="5" spans="1:16" ht="30" x14ac:dyDescent="0.25">
      <c r="A5" s="33" t="s">
        <v>14</v>
      </c>
      <c r="B5" s="34" t="str">
        <f>HYPERLINK("http://www.twitter.com/LivUniLibrary", "LivUniLibrary")</f>
        <v>LivUniLibrary</v>
      </c>
      <c r="C5" s="33" t="s">
        <v>101</v>
      </c>
      <c r="D5" s="33" t="s">
        <v>102</v>
      </c>
      <c r="E5" s="32" t="s">
        <v>103</v>
      </c>
      <c r="F5" s="35">
        <v>1301</v>
      </c>
      <c r="G5" s="35">
        <v>9326</v>
      </c>
      <c r="H5" s="35">
        <v>29226</v>
      </c>
      <c r="I5" s="35">
        <v>11073</v>
      </c>
      <c r="J5" s="36">
        <v>40032</v>
      </c>
      <c r="K5" s="37">
        <v>0.49121527777777779</v>
      </c>
      <c r="L5" s="36">
        <v>42940</v>
      </c>
      <c r="M5" s="38">
        <v>0.67001157407407408</v>
      </c>
    </row>
    <row r="6" spans="1:16" ht="45" x14ac:dyDescent="0.25">
      <c r="A6" s="33" t="s">
        <v>14</v>
      </c>
      <c r="B6" s="34" t="str">
        <f>HYPERLINK("http://www.twitter.com/BeckettLibrary", "BeckettLibrary")</f>
        <v>BeckettLibrary</v>
      </c>
      <c r="C6" s="33" t="s">
        <v>179</v>
      </c>
      <c r="D6" s="33" t="s">
        <v>180</v>
      </c>
      <c r="E6" s="32" t="s">
        <v>181</v>
      </c>
      <c r="F6" s="35">
        <v>2528</v>
      </c>
      <c r="G6" s="35">
        <v>5814</v>
      </c>
      <c r="H6" s="35">
        <v>18748</v>
      </c>
      <c r="I6" s="35">
        <v>1918</v>
      </c>
      <c r="J6" s="36">
        <v>39891</v>
      </c>
      <c r="K6" s="37">
        <v>0.37995370370370374</v>
      </c>
      <c r="L6" s="36">
        <v>42940</v>
      </c>
      <c r="M6" s="38">
        <v>0.59670138888888891</v>
      </c>
    </row>
    <row r="7" spans="1:16" ht="45" x14ac:dyDescent="0.25">
      <c r="A7" s="33" t="s">
        <v>14</v>
      </c>
      <c r="B7" s="34" t="str">
        <f>HYPERLINK("http://www.twitter.com/UniofGreenwich", "UniofGreenwich")</f>
        <v>UniofGreenwich</v>
      </c>
      <c r="C7" s="33" t="s">
        <v>43</v>
      </c>
      <c r="D7" s="33" t="s">
        <v>44</v>
      </c>
      <c r="E7" s="32" t="s">
        <v>45</v>
      </c>
      <c r="F7" s="35">
        <v>1354</v>
      </c>
      <c r="G7" s="35">
        <v>20130</v>
      </c>
      <c r="H7" s="35">
        <v>17177</v>
      </c>
      <c r="I7" s="35">
        <v>4464</v>
      </c>
      <c r="J7" s="36">
        <v>39987</v>
      </c>
      <c r="K7" s="37">
        <v>0.94385416666666666</v>
      </c>
      <c r="L7" s="36">
        <v>42940</v>
      </c>
      <c r="M7" s="38">
        <v>0.63064814814814818</v>
      </c>
    </row>
    <row r="8" spans="1:16" ht="45" x14ac:dyDescent="0.25">
      <c r="A8" s="33" t="s">
        <v>14</v>
      </c>
      <c r="B8" s="34" t="str">
        <f>HYPERLINK("http://www.twitter.com/warwicklibrary", "warwicklibrary")</f>
        <v>warwicklibrary</v>
      </c>
      <c r="C8" s="33" t="s">
        <v>213</v>
      </c>
      <c r="D8" s="33" t="s">
        <v>214</v>
      </c>
      <c r="E8" s="32" t="s">
        <v>215</v>
      </c>
      <c r="F8" s="35">
        <v>283</v>
      </c>
      <c r="G8" s="35">
        <v>4769</v>
      </c>
      <c r="H8" s="35">
        <v>17012</v>
      </c>
      <c r="I8" s="35">
        <v>1053</v>
      </c>
      <c r="J8" s="36">
        <v>39295</v>
      </c>
      <c r="K8" s="37">
        <v>0.57594907407407414</v>
      </c>
      <c r="L8" s="36">
        <v>42940</v>
      </c>
      <c r="M8" s="38">
        <v>0.6774768518518518</v>
      </c>
    </row>
    <row r="9" spans="1:16" ht="30" x14ac:dyDescent="0.25">
      <c r="A9" s="33" t="s">
        <v>14</v>
      </c>
      <c r="B9" s="34" t="str">
        <f>HYPERLINK("http://www.twitter.com/wlv_uni", "wlv_uni")</f>
        <v>wlv_uni</v>
      </c>
      <c r="C9" s="33" t="s">
        <v>38</v>
      </c>
      <c r="D9" s="33" t="s">
        <v>39</v>
      </c>
      <c r="E9" s="32" t="s">
        <v>40</v>
      </c>
      <c r="F9" s="35">
        <v>711</v>
      </c>
      <c r="G9" s="35">
        <v>26921</v>
      </c>
      <c r="H9" s="35">
        <v>14849</v>
      </c>
      <c r="I9" s="35">
        <v>3061</v>
      </c>
      <c r="J9" s="36">
        <v>39947</v>
      </c>
      <c r="K9" s="37">
        <v>0.89050925925925928</v>
      </c>
      <c r="L9" s="36">
        <v>42940</v>
      </c>
      <c r="M9" s="38">
        <v>0.4473611111111111</v>
      </c>
      <c r="O9" s="39"/>
    </row>
    <row r="10" spans="1:16" ht="30" x14ac:dyDescent="0.25">
      <c r="A10" s="33" t="s">
        <v>14</v>
      </c>
      <c r="B10" s="34" t="str">
        <f>HYPERLINK("http://www.twitter.com/UWTSDLib", "UWTSDLib")</f>
        <v>UWTSDLib</v>
      </c>
      <c r="C10" s="33" t="s">
        <v>1297</v>
      </c>
      <c r="E10" s="32" t="s">
        <v>1298</v>
      </c>
      <c r="F10" s="35">
        <v>490</v>
      </c>
      <c r="G10" s="35">
        <v>936</v>
      </c>
      <c r="H10" s="35">
        <v>14779</v>
      </c>
      <c r="I10" s="35">
        <v>385</v>
      </c>
      <c r="J10" s="36">
        <v>40675</v>
      </c>
      <c r="K10" s="37">
        <v>0.56106481481481485</v>
      </c>
      <c r="L10" s="36">
        <v>42940</v>
      </c>
      <c r="M10" s="38">
        <v>0.60994212962962957</v>
      </c>
    </row>
    <row r="11" spans="1:16" ht="45" x14ac:dyDescent="0.25">
      <c r="A11" s="33" t="s">
        <v>14</v>
      </c>
      <c r="B11" s="34" t="str">
        <f>HYPERLINK("http://www.twitter.com/QueensUBelfast", "QueensUBelfast")</f>
        <v>QueensUBelfast</v>
      </c>
      <c r="C11" s="33" t="s">
        <v>26</v>
      </c>
      <c r="D11" s="33" t="s">
        <v>27</v>
      </c>
      <c r="E11" s="32" t="s">
        <v>28</v>
      </c>
      <c r="F11" s="35">
        <v>803</v>
      </c>
      <c r="G11" s="35">
        <v>32098</v>
      </c>
      <c r="H11" s="35">
        <v>14612</v>
      </c>
      <c r="I11" s="35">
        <v>6515</v>
      </c>
      <c r="J11" s="36">
        <v>39934</v>
      </c>
      <c r="K11" s="37">
        <v>0.56892361111111112</v>
      </c>
      <c r="L11" s="36">
        <v>42940</v>
      </c>
      <c r="M11" s="38">
        <v>0.6348611111111111</v>
      </c>
    </row>
    <row r="12" spans="1:16" ht="45" x14ac:dyDescent="0.25">
      <c r="A12" s="33" t="s">
        <v>14</v>
      </c>
      <c r="B12" s="34" t="str">
        <f>HYPERLINK("http://www.twitter.com/TeessideUni", "TeessideUni")</f>
        <v>TeessideUni</v>
      </c>
      <c r="C12" s="33" t="s">
        <v>15</v>
      </c>
      <c r="D12" s="33" t="s">
        <v>16</v>
      </c>
      <c r="E12" s="32" t="s">
        <v>3721</v>
      </c>
      <c r="F12" s="35">
        <v>1632</v>
      </c>
      <c r="G12" s="35">
        <v>40946</v>
      </c>
      <c r="H12" s="35">
        <v>14091</v>
      </c>
      <c r="I12" s="35">
        <v>2178</v>
      </c>
      <c r="J12" s="36">
        <v>39848</v>
      </c>
      <c r="K12" s="37">
        <v>0.68056712962962962</v>
      </c>
      <c r="L12" s="36">
        <v>42940</v>
      </c>
      <c r="M12" s="38">
        <v>0.62508101851851849</v>
      </c>
      <c r="P12" s="40"/>
    </row>
    <row r="13" spans="1:16" ht="30" x14ac:dyDescent="0.25">
      <c r="A13" s="33" t="s">
        <v>14</v>
      </c>
      <c r="B13" s="34" t="str">
        <f>HYPERLINK("http://www.twitter.com/UCLLibraries", "UCLLibraries")</f>
        <v>UCLLibraries</v>
      </c>
      <c r="C13" s="33" t="s">
        <v>269</v>
      </c>
      <c r="D13" s="33" t="s">
        <v>270</v>
      </c>
      <c r="E13" s="32" t="s">
        <v>271</v>
      </c>
      <c r="F13" s="35">
        <v>1309</v>
      </c>
      <c r="G13" s="35">
        <v>3952</v>
      </c>
      <c r="H13" s="35">
        <v>13671</v>
      </c>
      <c r="I13" s="35">
        <v>1315</v>
      </c>
      <c r="J13" s="36">
        <v>40967</v>
      </c>
      <c r="K13" s="37">
        <v>0.69240740740740747</v>
      </c>
      <c r="L13" s="36">
        <v>42936</v>
      </c>
      <c r="M13" s="38">
        <v>0.43603009259259262</v>
      </c>
      <c r="P13" s="40"/>
    </row>
    <row r="14" spans="1:16" x14ac:dyDescent="0.25">
      <c r="A14" s="33" t="s">
        <v>14</v>
      </c>
      <c r="B14" s="34" t="str">
        <f>HYPERLINK("http://www.twitter.com/SheffLibraries", "SheffLibraries")</f>
        <v>SheffLibraries</v>
      </c>
      <c r="C14" s="33" t="s">
        <v>104</v>
      </c>
      <c r="D14" s="33" t="s">
        <v>105</v>
      </c>
      <c r="E14" s="32" t="s">
        <v>106</v>
      </c>
      <c r="F14" s="35">
        <v>1705</v>
      </c>
      <c r="G14" s="35">
        <v>9226</v>
      </c>
      <c r="H14" s="35">
        <v>13337</v>
      </c>
      <c r="I14" s="35">
        <v>1928</v>
      </c>
      <c r="J14" s="36">
        <v>39980</v>
      </c>
      <c r="K14" s="37">
        <v>0.40782407407407412</v>
      </c>
      <c r="L14" s="36">
        <v>42938</v>
      </c>
      <c r="M14" s="38">
        <v>0.77006944444444436</v>
      </c>
      <c r="P14" s="40"/>
    </row>
    <row r="15" spans="1:16" ht="30" x14ac:dyDescent="0.25">
      <c r="A15" s="33" t="s">
        <v>14</v>
      </c>
      <c r="B15" s="34" t="str">
        <f>HYPERLINK("http://www.twitter.com/scharrlib", "scharrlib")</f>
        <v>scharrlib</v>
      </c>
      <c r="C15" s="33" t="s">
        <v>1228</v>
      </c>
      <c r="D15" s="33" t="s">
        <v>219</v>
      </c>
      <c r="E15" s="32" t="s">
        <v>1229</v>
      </c>
      <c r="F15" s="35">
        <v>394</v>
      </c>
      <c r="G15" s="35">
        <v>1014</v>
      </c>
      <c r="H15" s="35">
        <v>10985</v>
      </c>
      <c r="I15" s="35">
        <v>254</v>
      </c>
      <c r="J15" s="36">
        <v>40252</v>
      </c>
      <c r="K15" s="37">
        <v>0.53543981481481484</v>
      </c>
      <c r="L15" s="36">
        <v>42940</v>
      </c>
      <c r="M15" s="38">
        <v>0.55769675925925932</v>
      </c>
      <c r="P15" s="40"/>
    </row>
    <row r="16" spans="1:16" ht="45" x14ac:dyDescent="0.25">
      <c r="A16" s="33" t="s">
        <v>14</v>
      </c>
      <c r="B16" s="34" t="str">
        <f>HYPERLINK("http://www.twitter.com/EdNapLib", "EdNapLib")</f>
        <v>EdNapLib</v>
      </c>
      <c r="C16" s="33" t="s">
        <v>727</v>
      </c>
      <c r="D16" s="33" t="s">
        <v>24</v>
      </c>
      <c r="E16" s="32" t="s">
        <v>728</v>
      </c>
      <c r="F16" s="35">
        <v>1808</v>
      </c>
      <c r="G16" s="35">
        <v>1809</v>
      </c>
      <c r="H16" s="35">
        <v>10776</v>
      </c>
      <c r="I16" s="35">
        <v>379</v>
      </c>
      <c r="J16" s="36">
        <v>39958</v>
      </c>
      <c r="K16" s="37">
        <v>0.66049768518518526</v>
      </c>
      <c r="L16" s="36">
        <v>42940</v>
      </c>
      <c r="M16" s="38">
        <v>0.65703703703703698</v>
      </c>
      <c r="P16" s="40"/>
    </row>
    <row r="17" spans="1:16" ht="45" x14ac:dyDescent="0.25">
      <c r="A17" s="33" t="s">
        <v>14</v>
      </c>
      <c r="B17" s="34" t="str">
        <f>HYPERLINK("http://www.twitter.com/shu_library", "shu_library")</f>
        <v>shu_library</v>
      </c>
      <c r="C17" s="33" t="s">
        <v>458</v>
      </c>
      <c r="D17" s="33" t="s">
        <v>459</v>
      </c>
      <c r="E17" s="32" t="s">
        <v>460</v>
      </c>
      <c r="F17" s="35">
        <v>272</v>
      </c>
      <c r="G17" s="35">
        <v>2670</v>
      </c>
      <c r="H17" s="35">
        <v>10653</v>
      </c>
      <c r="I17" s="35">
        <v>320</v>
      </c>
      <c r="J17" s="36">
        <v>40170</v>
      </c>
      <c r="K17" s="37">
        <v>0.44023148148148145</v>
      </c>
      <c r="L17" s="36">
        <v>42940</v>
      </c>
      <c r="M17" s="38">
        <v>0.66671296296296301</v>
      </c>
      <c r="P17" s="40"/>
    </row>
    <row r="18" spans="1:16" ht="45" x14ac:dyDescent="0.25">
      <c r="A18" s="33" t="s">
        <v>14</v>
      </c>
      <c r="B18" s="34" t="str">
        <f>HYPERLINK("http://www.twitter.com/UniWinLibrary", "UniWinLibrary")</f>
        <v>UniWinLibrary</v>
      </c>
      <c r="C18" s="33" t="s">
        <v>1027</v>
      </c>
      <c r="D18" s="33" t="s">
        <v>189</v>
      </c>
      <c r="E18" s="32" t="s">
        <v>1028</v>
      </c>
      <c r="F18" s="35">
        <v>709</v>
      </c>
      <c r="G18" s="35">
        <v>1232</v>
      </c>
      <c r="H18" s="35">
        <v>10270</v>
      </c>
      <c r="I18" s="35">
        <v>716</v>
      </c>
      <c r="J18" s="36">
        <v>40078</v>
      </c>
      <c r="K18" s="37">
        <v>0.33770833333333333</v>
      </c>
      <c r="L18" s="36">
        <v>42940</v>
      </c>
      <c r="M18" s="38">
        <v>0.71321759259259254</v>
      </c>
      <c r="P18" s="40"/>
    </row>
    <row r="19" spans="1:16" ht="30" x14ac:dyDescent="0.25">
      <c r="A19" s="33" t="s">
        <v>14</v>
      </c>
      <c r="B19" s="34" t="str">
        <f>HYPERLINK("http://www.twitter.com/MMULibrary", "MMULibrary")</f>
        <v>MMULibrary</v>
      </c>
      <c r="C19" s="33" t="s">
        <v>289</v>
      </c>
      <c r="D19" s="33" t="s">
        <v>290</v>
      </c>
      <c r="E19" s="32" t="s">
        <v>291</v>
      </c>
      <c r="F19" s="35">
        <v>1120</v>
      </c>
      <c r="G19" s="35">
        <v>3706</v>
      </c>
      <c r="H19" s="35">
        <v>9793</v>
      </c>
      <c r="I19" s="35">
        <v>844</v>
      </c>
      <c r="J19" s="36">
        <v>40626</v>
      </c>
      <c r="K19" s="37">
        <v>0.42304398148148148</v>
      </c>
      <c r="L19" s="36">
        <v>42940</v>
      </c>
      <c r="M19" s="38">
        <v>0.60449074074074072</v>
      </c>
      <c r="P19" s="40"/>
    </row>
    <row r="20" spans="1:16" ht="30" x14ac:dyDescent="0.25">
      <c r="A20" s="33" t="s">
        <v>14</v>
      </c>
      <c r="B20" s="34" t="str">
        <f>HYPERLINK("http://www.twitter.com/OfficialUoM", "OfficialUoM")</f>
        <v>OfficialUoM</v>
      </c>
      <c r="C20" s="33" t="s">
        <v>32</v>
      </c>
      <c r="D20" s="33" t="s">
        <v>33</v>
      </c>
      <c r="E20" s="32" t="s">
        <v>34</v>
      </c>
      <c r="F20" s="35">
        <v>567</v>
      </c>
      <c r="G20" s="35">
        <v>30275</v>
      </c>
      <c r="H20" s="35">
        <v>9493</v>
      </c>
      <c r="I20" s="35">
        <v>558</v>
      </c>
      <c r="J20" s="36">
        <v>41605</v>
      </c>
      <c r="K20" s="37">
        <v>0.59653935185185192</v>
      </c>
      <c r="L20" s="36">
        <v>42940</v>
      </c>
      <c r="M20" s="38">
        <v>0.67018518518518511</v>
      </c>
      <c r="P20" s="40"/>
    </row>
    <row r="21" spans="1:16" ht="60" x14ac:dyDescent="0.25">
      <c r="A21" s="33" t="s">
        <v>14</v>
      </c>
      <c r="B21" s="34" t="str">
        <f>HYPERLINK("http://www.twitter.com/LSHTMlibrary", "LSHTMlibrary")</f>
        <v>LSHTMlibrary</v>
      </c>
      <c r="C21" s="33" t="s">
        <v>603</v>
      </c>
      <c r="D21" s="33" t="s">
        <v>604</v>
      </c>
      <c r="E21" s="32" t="s">
        <v>605</v>
      </c>
      <c r="F21" s="35">
        <v>770</v>
      </c>
      <c r="G21" s="35">
        <v>2228</v>
      </c>
      <c r="H21" s="35">
        <v>9332</v>
      </c>
      <c r="I21" s="35">
        <v>305</v>
      </c>
      <c r="J21" s="36">
        <v>40719</v>
      </c>
      <c r="K21" s="37">
        <v>0.50449074074074074</v>
      </c>
      <c r="L21" s="36">
        <v>42937</v>
      </c>
      <c r="M21" s="38">
        <v>0.82967592592592598</v>
      </c>
      <c r="P21" s="40"/>
    </row>
    <row r="22" spans="1:16" ht="45" x14ac:dyDescent="0.25">
      <c r="A22" s="33" t="s">
        <v>14</v>
      </c>
      <c r="B22" s="34" t="str">
        <f>HYPERLINK("http://www.twitter.com/UoPlibrary", "UoPlibrary")</f>
        <v>UoPlibrary</v>
      </c>
      <c r="C22" s="33" t="s">
        <v>205</v>
      </c>
      <c r="D22" s="33" t="s">
        <v>206</v>
      </c>
      <c r="E22" s="32" t="s">
        <v>207</v>
      </c>
      <c r="F22" s="35">
        <v>2110</v>
      </c>
      <c r="G22" s="35">
        <v>4824</v>
      </c>
      <c r="H22" s="35">
        <v>9185</v>
      </c>
      <c r="I22" s="35">
        <v>1312</v>
      </c>
      <c r="J22" s="36">
        <v>39841</v>
      </c>
      <c r="K22" s="37">
        <v>0.69537037037037042</v>
      </c>
      <c r="L22" s="36">
        <v>42937</v>
      </c>
      <c r="M22" s="38">
        <v>0.43994212962962959</v>
      </c>
      <c r="P22" s="40"/>
    </row>
    <row r="23" spans="1:16" ht="30" x14ac:dyDescent="0.25">
      <c r="A23" s="33" t="s">
        <v>14</v>
      </c>
      <c r="B23" s="34" t="str">
        <f>HYPERLINK("http://www.twitter.com/UoYLibrary", "UoYLibrary")</f>
        <v>UoYLibrary</v>
      </c>
      <c r="C23" s="33" t="s">
        <v>256</v>
      </c>
      <c r="D23" s="33" t="s">
        <v>257</v>
      </c>
      <c r="E23" s="32" t="s">
        <v>258</v>
      </c>
      <c r="F23" s="35">
        <v>470</v>
      </c>
      <c r="G23" s="35">
        <v>4054</v>
      </c>
      <c r="H23" s="35">
        <v>8828</v>
      </c>
      <c r="I23" s="35">
        <v>1496</v>
      </c>
      <c r="J23" s="36">
        <v>40442</v>
      </c>
      <c r="K23" s="37">
        <v>0.61381944444444447</v>
      </c>
      <c r="L23" s="36">
        <v>42940</v>
      </c>
      <c r="M23" s="38">
        <v>0.39182870370370365</v>
      </c>
      <c r="P23" s="40"/>
    </row>
    <row r="24" spans="1:16" ht="30" x14ac:dyDescent="0.25">
      <c r="A24" s="33" t="s">
        <v>14</v>
      </c>
      <c r="B24" s="34" t="str">
        <f>HYPERLINK("http://www.twitter.com/CityUniLibrary", "CityUniLibrary")</f>
        <v>CityUniLibrary</v>
      </c>
      <c r="C24" s="33" t="s">
        <v>501</v>
      </c>
      <c r="D24" s="33" t="s">
        <v>502</v>
      </c>
      <c r="E24" s="32" t="s">
        <v>503</v>
      </c>
      <c r="F24" s="35">
        <v>1407</v>
      </c>
      <c r="G24" s="35">
        <v>2491</v>
      </c>
      <c r="H24" s="35">
        <v>8710</v>
      </c>
      <c r="I24" s="35">
        <v>4275</v>
      </c>
      <c r="J24" s="36">
        <v>40145</v>
      </c>
      <c r="K24" s="37">
        <v>0.59453703703703698</v>
      </c>
      <c r="L24" s="36">
        <v>42940</v>
      </c>
      <c r="M24" s="38">
        <v>0.57310185185185192</v>
      </c>
      <c r="P24" s="40"/>
    </row>
    <row r="25" spans="1:16" ht="45" x14ac:dyDescent="0.25">
      <c r="A25" s="33" t="s">
        <v>14</v>
      </c>
      <c r="B25" s="34" t="str">
        <f>HYPERLINK("http://www.twitter.com/uofglibrary", "uofglibrary")</f>
        <v>uofglibrary</v>
      </c>
      <c r="C25" s="33" t="s">
        <v>177</v>
      </c>
      <c r="D25" s="33" t="s">
        <v>138</v>
      </c>
      <c r="E25" s="32" t="s">
        <v>178</v>
      </c>
      <c r="F25" s="35">
        <v>1083</v>
      </c>
      <c r="G25" s="35">
        <v>5896</v>
      </c>
      <c r="H25" s="35">
        <v>8533</v>
      </c>
      <c r="I25" s="35">
        <v>4208</v>
      </c>
      <c r="J25" s="36">
        <v>39960</v>
      </c>
      <c r="K25" s="37">
        <v>0.58598379629629627</v>
      </c>
      <c r="L25" s="36">
        <v>42940</v>
      </c>
      <c r="M25" s="38">
        <v>0.69600694444444444</v>
      </c>
      <c r="P25" s="40"/>
    </row>
    <row r="26" spans="1:16" ht="45" x14ac:dyDescent="0.25">
      <c r="A26" s="33" t="s">
        <v>14</v>
      </c>
      <c r="B26" s="34" t="str">
        <f>HYPERLINK("http://www.twitter.com/WhittakerLib", "WhittakerLib")</f>
        <v>WhittakerLib</v>
      </c>
      <c r="C26" s="33" t="s">
        <v>1507</v>
      </c>
      <c r="D26" s="33" t="s">
        <v>1508</v>
      </c>
      <c r="E26" s="32" t="s">
        <v>1509</v>
      </c>
      <c r="F26" s="35">
        <v>1165</v>
      </c>
      <c r="G26" s="35">
        <v>734</v>
      </c>
      <c r="H26" s="35">
        <v>8410</v>
      </c>
      <c r="I26" s="35">
        <v>2374</v>
      </c>
      <c r="J26" s="36">
        <v>41173</v>
      </c>
      <c r="K26" s="37">
        <v>0.43472222222222223</v>
      </c>
      <c r="L26" s="36">
        <v>42940</v>
      </c>
      <c r="M26" s="38">
        <v>0.55591435185185178</v>
      </c>
      <c r="P26" s="40"/>
    </row>
    <row r="27" spans="1:16" ht="45" x14ac:dyDescent="0.25">
      <c r="A27" s="33" t="s">
        <v>14</v>
      </c>
      <c r="B27" s="34" t="str">
        <f>HYPERLINK("http://www.twitter.com/Brunel_Library", "Brunel_Library")</f>
        <v>Brunel_Library</v>
      </c>
      <c r="C27" s="33" t="s">
        <v>374</v>
      </c>
      <c r="D27" s="33" t="s">
        <v>375</v>
      </c>
      <c r="E27" s="32" t="s">
        <v>376</v>
      </c>
      <c r="F27" s="35">
        <v>432</v>
      </c>
      <c r="G27" s="35">
        <v>3006</v>
      </c>
      <c r="H27" s="35">
        <v>8390</v>
      </c>
      <c r="I27" s="35">
        <v>1423</v>
      </c>
      <c r="J27" s="36">
        <v>39968</v>
      </c>
      <c r="K27" s="37">
        <v>0.67181712962962958</v>
      </c>
      <c r="L27" s="36">
        <v>42937</v>
      </c>
      <c r="M27" s="38">
        <v>0.74987268518518524</v>
      </c>
      <c r="P27" s="40"/>
    </row>
    <row r="28" spans="1:16" ht="45" x14ac:dyDescent="0.25">
      <c r="A28" s="33" t="s">
        <v>14</v>
      </c>
      <c r="B28" s="34" t="str">
        <f>HYPERLINK("http://www.twitter.com/CJBSInfoLib", "CJBSInfoLib")</f>
        <v>CJBSInfoLib</v>
      </c>
      <c r="C28" s="33" t="s">
        <v>827</v>
      </c>
      <c r="D28" s="33" t="s">
        <v>61</v>
      </c>
      <c r="E28" s="32" t="s">
        <v>828</v>
      </c>
      <c r="F28" s="35">
        <v>648</v>
      </c>
      <c r="G28" s="35">
        <v>1561</v>
      </c>
      <c r="H28" s="35">
        <v>8246</v>
      </c>
      <c r="I28" s="35">
        <v>148</v>
      </c>
      <c r="J28" s="36">
        <v>39877</v>
      </c>
      <c r="K28" s="37">
        <v>0.61872685185185183</v>
      </c>
      <c r="L28" s="36">
        <v>42940</v>
      </c>
      <c r="M28" s="38">
        <v>0.37604166666666666</v>
      </c>
      <c r="P28" s="40"/>
    </row>
    <row r="29" spans="1:16" ht="45" x14ac:dyDescent="0.25">
      <c r="A29" s="33" t="s">
        <v>14</v>
      </c>
      <c r="B29" s="34" t="str">
        <f>HYPERLINK("http://www.twitter.com/UniWestLib", "UniWestLib")</f>
        <v>UniWestLib</v>
      </c>
      <c r="C29" s="33" t="s">
        <v>814</v>
      </c>
      <c r="D29" s="33" t="s">
        <v>36</v>
      </c>
      <c r="E29" s="32" t="s">
        <v>815</v>
      </c>
      <c r="F29" s="35">
        <v>404</v>
      </c>
      <c r="G29" s="35">
        <v>1590</v>
      </c>
      <c r="H29" s="35">
        <v>8198</v>
      </c>
      <c r="I29" s="35">
        <v>597</v>
      </c>
      <c r="J29" s="36">
        <v>41156</v>
      </c>
      <c r="K29" s="37">
        <v>0.57674768518518515</v>
      </c>
      <c r="L29" s="36">
        <v>42940</v>
      </c>
      <c r="M29" s="38">
        <v>0.3869097222222222</v>
      </c>
      <c r="P29" s="40"/>
    </row>
    <row r="30" spans="1:16" x14ac:dyDescent="0.25">
      <c r="A30" s="33" t="s">
        <v>14</v>
      </c>
      <c r="B30" s="34" t="str">
        <f>HYPERLINK("http://www.twitter.com/edfaclib", "edfaclib")</f>
        <v>edfaclib</v>
      </c>
      <c r="C30" s="33" t="s">
        <v>787</v>
      </c>
      <c r="D30" s="33" t="s">
        <v>788</v>
      </c>
      <c r="E30" s="32" t="s">
        <v>789</v>
      </c>
      <c r="F30" s="35">
        <v>235</v>
      </c>
      <c r="G30" s="35">
        <v>1668</v>
      </c>
      <c r="H30" s="35">
        <v>8167</v>
      </c>
      <c r="I30" s="35">
        <v>718</v>
      </c>
      <c r="J30" s="36">
        <v>40074</v>
      </c>
      <c r="K30" s="37">
        <v>0.43076388888888889</v>
      </c>
      <c r="L30" s="36">
        <v>42940</v>
      </c>
      <c r="M30" s="38">
        <v>0.6858912037037036</v>
      </c>
    </row>
    <row r="31" spans="1:16" ht="45" x14ac:dyDescent="0.25">
      <c r="A31" s="33" t="s">
        <v>14</v>
      </c>
      <c r="B31" s="34" t="str">
        <f>HYPERLINK("http://www.twitter.com/uwslib", "uwslib")</f>
        <v>uwslib</v>
      </c>
      <c r="C31" s="33" t="s">
        <v>542</v>
      </c>
      <c r="D31" s="33" t="s">
        <v>543</v>
      </c>
      <c r="E31" s="32" t="s">
        <v>544</v>
      </c>
      <c r="F31" s="35">
        <v>1075</v>
      </c>
      <c r="G31" s="35">
        <v>2387</v>
      </c>
      <c r="H31" s="35">
        <v>8116</v>
      </c>
      <c r="I31" s="35">
        <v>2414</v>
      </c>
      <c r="J31" s="36">
        <v>39839</v>
      </c>
      <c r="K31" s="37">
        <v>0.40078703703703705</v>
      </c>
      <c r="L31" s="36">
        <v>42935</v>
      </c>
      <c r="M31" s="38">
        <v>0.36318287037037034</v>
      </c>
    </row>
    <row r="32" spans="1:16" ht="45" x14ac:dyDescent="0.25">
      <c r="A32" s="33" t="s">
        <v>14</v>
      </c>
      <c r="B32" s="34" t="str">
        <f>HYPERLINK("http://www.twitter.com/inspiredAUB", "inspiredAUB")</f>
        <v>inspiredAUB</v>
      </c>
      <c r="C32" s="33" t="s">
        <v>117</v>
      </c>
      <c r="D32" s="33" t="s">
        <v>118</v>
      </c>
      <c r="E32" s="32" t="s">
        <v>119</v>
      </c>
      <c r="F32" s="35">
        <v>1730</v>
      </c>
      <c r="G32" s="35">
        <v>7923</v>
      </c>
      <c r="H32" s="35">
        <v>8098</v>
      </c>
      <c r="I32" s="35">
        <v>4817</v>
      </c>
      <c r="J32" s="36">
        <v>39902</v>
      </c>
      <c r="K32" s="37">
        <v>0.51570601851851849</v>
      </c>
      <c r="L32" s="36">
        <v>42940</v>
      </c>
      <c r="M32" s="38">
        <v>0.64402777777777775</v>
      </c>
    </row>
    <row r="33" spans="1:13" ht="45" x14ac:dyDescent="0.25">
      <c r="A33" s="33" t="s">
        <v>14</v>
      </c>
      <c r="B33" s="34" t="str">
        <f>HYPERLINK("http://www.twitter.com/UniOfSunLib", "UniOfSunLib")</f>
        <v>UniOfSunLib</v>
      </c>
      <c r="C33" s="33" t="s">
        <v>651</v>
      </c>
      <c r="D33" s="33" t="s">
        <v>652</v>
      </c>
      <c r="E33" s="32" t="s">
        <v>653</v>
      </c>
      <c r="F33" s="35">
        <v>325</v>
      </c>
      <c r="G33" s="35">
        <v>2055</v>
      </c>
      <c r="H33" s="35">
        <v>7958</v>
      </c>
      <c r="I33" s="35">
        <v>839</v>
      </c>
      <c r="J33" s="36">
        <v>40305</v>
      </c>
      <c r="K33" s="37">
        <v>0.39144675925925926</v>
      </c>
      <c r="L33" s="36">
        <v>42940</v>
      </c>
      <c r="M33" s="38">
        <v>0.58280092592592592</v>
      </c>
    </row>
    <row r="34" spans="1:13" ht="45" x14ac:dyDescent="0.25">
      <c r="A34" s="33" t="s">
        <v>14</v>
      </c>
      <c r="B34" s="34" t="str">
        <f>HYPERLINK("http://www.twitter.com/ButeLibrary", "ButeLibrary")</f>
        <v>ButeLibrary</v>
      </c>
      <c r="C34" s="33" t="s">
        <v>426</v>
      </c>
      <c r="D34" s="33" t="s">
        <v>427</v>
      </c>
      <c r="E34" s="32" t="s">
        <v>3703</v>
      </c>
      <c r="F34" s="35">
        <v>723</v>
      </c>
      <c r="G34" s="35">
        <v>2778</v>
      </c>
      <c r="H34" s="35">
        <v>7705</v>
      </c>
      <c r="I34" s="35">
        <v>2632</v>
      </c>
      <c r="J34" s="36">
        <v>40793</v>
      </c>
      <c r="K34" s="37">
        <v>0.43004629629629632</v>
      </c>
      <c r="L34" s="36">
        <v>42940</v>
      </c>
      <c r="M34" s="38">
        <v>0.57692129629629629</v>
      </c>
    </row>
    <row r="35" spans="1:13" ht="45" x14ac:dyDescent="0.25">
      <c r="A35" s="33" t="s">
        <v>14</v>
      </c>
      <c r="B35" s="34" t="str">
        <f>HYPERLINK("http://www.twitter.com/CSM_Library", "CSM_Library")</f>
        <v>CSM_Library</v>
      </c>
      <c r="C35" s="33" t="s">
        <v>351</v>
      </c>
      <c r="D35" s="33" t="s">
        <v>352</v>
      </c>
      <c r="E35" s="32" t="s">
        <v>353</v>
      </c>
      <c r="F35" s="35">
        <v>1016</v>
      </c>
      <c r="G35" s="35">
        <v>3194</v>
      </c>
      <c r="H35" s="35">
        <v>7689</v>
      </c>
      <c r="I35" s="35">
        <v>308</v>
      </c>
      <c r="J35" s="36">
        <v>40527</v>
      </c>
      <c r="K35" s="37">
        <v>0.51488425925925929</v>
      </c>
      <c r="L35" s="36">
        <v>42936</v>
      </c>
      <c r="M35" s="38">
        <v>0.33509259259259255</v>
      </c>
    </row>
    <row r="36" spans="1:13" ht="30" x14ac:dyDescent="0.25">
      <c r="A36" s="33" t="s">
        <v>14</v>
      </c>
      <c r="B36" s="34" t="str">
        <f>HYPERLINK("http://www.twitter.com/londonmetlib", "londonmetlib")</f>
        <v>londonmetlib</v>
      </c>
      <c r="C36" s="33" t="s">
        <v>519</v>
      </c>
      <c r="D36" s="33" t="s">
        <v>520</v>
      </c>
      <c r="E36" s="32" t="s">
        <v>521</v>
      </c>
      <c r="F36" s="35">
        <v>2395</v>
      </c>
      <c r="G36" s="35">
        <v>2452</v>
      </c>
      <c r="H36" s="35">
        <v>7676</v>
      </c>
      <c r="I36" s="35">
        <v>1378</v>
      </c>
      <c r="J36" s="36">
        <v>40193</v>
      </c>
      <c r="K36" s="37">
        <v>0.42681712962962964</v>
      </c>
      <c r="L36" s="36">
        <v>42940</v>
      </c>
      <c r="M36" s="38">
        <v>0.35609953703703701</v>
      </c>
    </row>
    <row r="37" spans="1:13" ht="45" x14ac:dyDescent="0.25">
      <c r="A37" s="33" t="s">
        <v>14</v>
      </c>
      <c r="B37" s="34" t="str">
        <f>HYPERLINK("http://www.twitter.com/bodleianlibs", "bodleianlibs")</f>
        <v>bodleianlibs</v>
      </c>
      <c r="C37" s="33" t="s">
        <v>11</v>
      </c>
      <c r="D37" s="33" t="s">
        <v>12</v>
      </c>
      <c r="E37" s="32" t="s">
        <v>13</v>
      </c>
      <c r="F37" s="35">
        <v>303</v>
      </c>
      <c r="G37" s="35">
        <v>51501</v>
      </c>
      <c r="H37" s="35">
        <v>7558</v>
      </c>
      <c r="I37" s="35">
        <v>3083</v>
      </c>
      <c r="J37" s="36">
        <v>40289</v>
      </c>
      <c r="K37" s="37">
        <v>0.39304398148148145</v>
      </c>
      <c r="L37" s="36">
        <v>42940</v>
      </c>
      <c r="M37" s="38">
        <v>0.66400462962962969</v>
      </c>
    </row>
    <row r="38" spans="1:13" ht="45" x14ac:dyDescent="0.25">
      <c r="A38" s="33" t="s">
        <v>14</v>
      </c>
      <c r="B38" s="34" t="str">
        <f>HYPERLINK("http://www.twitter.com/UoMLibrary", "UoMLibrary")</f>
        <v>UoMLibrary</v>
      </c>
      <c r="C38" s="33" t="s">
        <v>90</v>
      </c>
      <c r="D38" s="33" t="s">
        <v>33</v>
      </c>
      <c r="E38" s="32" t="s">
        <v>91</v>
      </c>
      <c r="F38" s="35">
        <v>593</v>
      </c>
      <c r="G38" s="35">
        <v>9977</v>
      </c>
      <c r="H38" s="35">
        <v>7257</v>
      </c>
      <c r="I38" s="35">
        <v>1677</v>
      </c>
      <c r="J38" s="36">
        <v>39856</v>
      </c>
      <c r="K38" s="37">
        <v>0.48675925925925928</v>
      </c>
      <c r="L38" s="36">
        <v>42940</v>
      </c>
      <c r="M38" s="38">
        <v>0.43417824074074068</v>
      </c>
    </row>
    <row r="39" spans="1:13" ht="45" x14ac:dyDescent="0.25">
      <c r="A39" s="33" t="s">
        <v>14</v>
      </c>
      <c r="B39" s="34" t="str">
        <f>HYPERLINK("http://www.twitter.com/HullUni_Library", "HullUni_Library")</f>
        <v>HullUni_Library</v>
      </c>
      <c r="C39" s="33" t="s">
        <v>174</v>
      </c>
      <c r="D39" s="33" t="s">
        <v>175</v>
      </c>
      <c r="E39" s="32" t="s">
        <v>176</v>
      </c>
      <c r="F39" s="35">
        <v>873</v>
      </c>
      <c r="G39" s="35">
        <v>6061</v>
      </c>
      <c r="H39" s="35">
        <v>7256</v>
      </c>
      <c r="I39" s="35">
        <v>2336</v>
      </c>
      <c r="J39" s="36">
        <v>40561</v>
      </c>
      <c r="K39" s="37">
        <v>0.67937499999999995</v>
      </c>
      <c r="L39" s="36">
        <v>42940</v>
      </c>
      <c r="M39" s="38">
        <v>0.36416666666666669</v>
      </c>
    </row>
    <row r="40" spans="1:13" ht="45" x14ac:dyDescent="0.25">
      <c r="A40" s="33" t="s">
        <v>14</v>
      </c>
      <c r="B40" s="34" t="str">
        <f>HYPERLINK("http://www.twitter.com/LibraryDMU", "LibraryDMU")</f>
        <v>LibraryDMU</v>
      </c>
      <c r="C40" s="33" t="s">
        <v>466</v>
      </c>
      <c r="D40" s="33" t="s">
        <v>467</v>
      </c>
      <c r="E40" s="32" t="s">
        <v>468</v>
      </c>
      <c r="F40" s="35">
        <v>1308</v>
      </c>
      <c r="G40" s="35">
        <v>2657</v>
      </c>
      <c r="H40" s="35">
        <v>7205</v>
      </c>
      <c r="I40" s="35">
        <v>3370</v>
      </c>
      <c r="J40" s="36">
        <v>40185</v>
      </c>
      <c r="K40" s="37">
        <v>0.701238425925926</v>
      </c>
      <c r="L40" s="36">
        <v>42940</v>
      </c>
      <c r="M40" s="38">
        <v>0.6212847222222222</v>
      </c>
    </row>
    <row r="41" spans="1:13" ht="45" x14ac:dyDescent="0.25">
      <c r="A41" s="33" t="s">
        <v>14</v>
      </c>
      <c r="B41" s="34" t="str">
        <f>HYPERLINK("http://www.twitter.com/BCUlibrary", "BCUlibrary")</f>
        <v>BCUlibrary</v>
      </c>
      <c r="C41" s="33" t="s">
        <v>802</v>
      </c>
      <c r="D41" s="33" t="s">
        <v>725</v>
      </c>
      <c r="E41" s="32" t="s">
        <v>803</v>
      </c>
      <c r="F41" s="35">
        <v>443</v>
      </c>
      <c r="G41" s="35">
        <v>1625</v>
      </c>
      <c r="H41" s="35">
        <v>7188</v>
      </c>
      <c r="I41" s="35">
        <v>295</v>
      </c>
      <c r="J41" s="36">
        <v>40070</v>
      </c>
      <c r="K41" s="37">
        <v>0.56212962962962965</v>
      </c>
      <c r="L41" s="36">
        <v>42937</v>
      </c>
      <c r="M41" s="38">
        <v>0.5794097222222222</v>
      </c>
    </row>
    <row r="42" spans="1:13" x14ac:dyDescent="0.25">
      <c r="A42" s="33" t="s">
        <v>14</v>
      </c>
      <c r="B42" s="34" t="str">
        <f>HYPERLINK("http://www.twitter.com/HSMC_Library", "HSMC_Library")</f>
        <v>HSMC_Library</v>
      </c>
      <c r="C42" s="33" t="s">
        <v>1318</v>
      </c>
      <c r="D42" s="33" t="s">
        <v>725</v>
      </c>
      <c r="F42" s="35">
        <v>1068</v>
      </c>
      <c r="G42" s="35">
        <v>893</v>
      </c>
      <c r="H42" s="35">
        <v>7161</v>
      </c>
      <c r="I42" s="35">
        <v>532</v>
      </c>
      <c r="J42" s="36">
        <v>39876</v>
      </c>
      <c r="K42" s="37">
        <v>0.46696759259259263</v>
      </c>
      <c r="L42" s="36">
        <v>42940</v>
      </c>
      <c r="M42" s="38">
        <v>0.70143518518518511</v>
      </c>
    </row>
    <row r="43" spans="1:13" ht="30" x14ac:dyDescent="0.25">
      <c r="A43" s="33" t="s">
        <v>14</v>
      </c>
      <c r="B43" s="34" t="str">
        <f>HYPERLINK("http://www.twitter.com/EHULearnService", "EHULearnService")</f>
        <v>EHULearnService</v>
      </c>
      <c r="C43" s="33" t="s">
        <v>704</v>
      </c>
      <c r="D43" s="33" t="s">
        <v>705</v>
      </c>
      <c r="E43" s="32" t="s">
        <v>706</v>
      </c>
      <c r="F43" s="35">
        <v>1237</v>
      </c>
      <c r="G43" s="35">
        <v>1892</v>
      </c>
      <c r="H43" s="35">
        <v>7047</v>
      </c>
      <c r="I43" s="35">
        <v>1905</v>
      </c>
      <c r="J43" s="36">
        <v>40515</v>
      </c>
      <c r="K43" s="37">
        <v>0.5882060185185185</v>
      </c>
      <c r="L43" s="36">
        <v>42940</v>
      </c>
      <c r="M43" s="38">
        <v>0.53151620370370367</v>
      </c>
    </row>
    <row r="44" spans="1:13" ht="30" x14ac:dyDescent="0.25">
      <c r="A44" s="33" t="s">
        <v>14</v>
      </c>
      <c r="B44" s="34" t="str">
        <f>HYPERLINK("http://www.twitter.com/dulib", "dulib")</f>
        <v>dulib</v>
      </c>
      <c r="C44" s="33" t="s">
        <v>194</v>
      </c>
      <c r="D44" s="33" t="s">
        <v>195</v>
      </c>
      <c r="E44" s="32" t="s">
        <v>196</v>
      </c>
      <c r="F44" s="35">
        <v>1875</v>
      </c>
      <c r="G44" s="35">
        <v>5402</v>
      </c>
      <c r="H44" s="35">
        <v>6985</v>
      </c>
      <c r="I44" s="35">
        <v>674</v>
      </c>
      <c r="J44" s="36">
        <v>39876</v>
      </c>
      <c r="K44" s="37">
        <v>0.43797453703703698</v>
      </c>
      <c r="L44" s="36">
        <v>42940</v>
      </c>
      <c r="M44" s="38">
        <v>0.37686342592592598</v>
      </c>
    </row>
    <row r="45" spans="1:13" ht="30" x14ac:dyDescent="0.25">
      <c r="A45" s="33" t="s">
        <v>14</v>
      </c>
      <c r="B45" s="34" t="str">
        <f>HYPERLINK("http://www.twitter.com/BristolUniLib", "BristolUniLib")</f>
        <v>BristolUniLib</v>
      </c>
      <c r="C45" s="33" t="s">
        <v>513</v>
      </c>
      <c r="D45" s="33" t="s">
        <v>514</v>
      </c>
      <c r="E45" s="32" t="s">
        <v>515</v>
      </c>
      <c r="F45" s="35">
        <v>465</v>
      </c>
      <c r="G45" s="35">
        <v>2532</v>
      </c>
      <c r="H45" s="35">
        <v>6919</v>
      </c>
      <c r="I45" s="35">
        <v>1152</v>
      </c>
      <c r="J45" s="36">
        <v>41405</v>
      </c>
      <c r="K45" s="37">
        <v>0.39309027777777777</v>
      </c>
      <c r="L45" s="36">
        <v>42940</v>
      </c>
      <c r="M45" s="38">
        <v>0.62315972222222216</v>
      </c>
    </row>
    <row r="46" spans="1:13" ht="45" x14ac:dyDescent="0.25">
      <c r="A46" s="33" t="s">
        <v>14</v>
      </c>
      <c r="B46" s="34" t="str">
        <f>HYPERLINK("http://www.twitter.com/RHUL_Library", "RHUL_Library")</f>
        <v>RHUL_Library</v>
      </c>
      <c r="C46" s="33" t="s">
        <v>435</v>
      </c>
      <c r="D46" s="33" t="s">
        <v>436</v>
      </c>
      <c r="E46" s="32" t="s">
        <v>437</v>
      </c>
      <c r="F46" s="35">
        <v>502</v>
      </c>
      <c r="G46" s="35">
        <v>2773</v>
      </c>
      <c r="H46" s="35">
        <v>6909</v>
      </c>
      <c r="I46" s="35">
        <v>439</v>
      </c>
      <c r="J46" s="36">
        <v>40100</v>
      </c>
      <c r="K46" s="37">
        <v>0.56315972222222221</v>
      </c>
      <c r="L46" s="36">
        <v>42940</v>
      </c>
      <c r="M46" s="38">
        <v>0.64667824074074076</v>
      </c>
    </row>
    <row r="47" spans="1:13" ht="60" x14ac:dyDescent="0.25">
      <c r="A47" s="33" t="s">
        <v>14</v>
      </c>
      <c r="B47" s="34" t="str">
        <f>HYPERLINK("http://www.twitter.com/SOASLibrary", "SOASLibrary")</f>
        <v>SOASLibrary</v>
      </c>
      <c r="C47" s="33" t="s">
        <v>208</v>
      </c>
      <c r="D47" s="33" t="s">
        <v>110</v>
      </c>
      <c r="E47" s="32" t="s">
        <v>209</v>
      </c>
      <c r="F47" s="35">
        <v>396</v>
      </c>
      <c r="G47" s="35">
        <v>4866</v>
      </c>
      <c r="H47" s="35">
        <v>6879</v>
      </c>
      <c r="I47" s="35">
        <v>922</v>
      </c>
      <c r="J47" s="36">
        <v>40065</v>
      </c>
      <c r="K47" s="37">
        <v>0.52685185185185179</v>
      </c>
      <c r="L47" s="36">
        <v>42940</v>
      </c>
      <c r="M47" s="38">
        <v>0.51628472222222221</v>
      </c>
    </row>
    <row r="48" spans="1:13" ht="45" x14ac:dyDescent="0.25">
      <c r="A48" s="33" t="s">
        <v>14</v>
      </c>
      <c r="B48" s="34" t="str">
        <f>HYPERLINK("http://www.twitter.com/Trevliby", "Trevliby")</f>
        <v>Trevliby</v>
      </c>
      <c r="C48" s="33" t="s">
        <v>1145</v>
      </c>
      <c r="D48" s="33" t="s">
        <v>1146</v>
      </c>
      <c r="E48" s="32" t="s">
        <v>1147</v>
      </c>
      <c r="F48" s="35">
        <v>724</v>
      </c>
      <c r="G48" s="35">
        <v>1088</v>
      </c>
      <c r="H48" s="35">
        <v>6724</v>
      </c>
      <c r="I48" s="35">
        <v>692</v>
      </c>
      <c r="J48" s="36">
        <v>40751</v>
      </c>
      <c r="K48" s="37">
        <v>0.57553240740740741</v>
      </c>
      <c r="L48" s="36">
        <v>42940</v>
      </c>
      <c r="M48" s="38">
        <v>0.64189814814814816</v>
      </c>
    </row>
    <row r="49" spans="1:13" ht="45" x14ac:dyDescent="0.25">
      <c r="A49" s="33" t="s">
        <v>14</v>
      </c>
      <c r="B49" s="34" t="str">
        <f>HYPERLINK("http://www.twitter.com/LSELibrary", "LSELibrary")</f>
        <v>LSELibrary</v>
      </c>
      <c r="C49" s="33" t="s">
        <v>107</v>
      </c>
      <c r="D49" s="33" t="s">
        <v>36</v>
      </c>
      <c r="E49" s="32" t="s">
        <v>108</v>
      </c>
      <c r="F49" s="35">
        <v>127</v>
      </c>
      <c r="G49" s="35">
        <v>9051</v>
      </c>
      <c r="H49" s="35">
        <v>6648</v>
      </c>
      <c r="I49" s="35">
        <v>302</v>
      </c>
      <c r="J49" s="36">
        <v>39933</v>
      </c>
      <c r="K49" s="37">
        <v>0.65144675925925932</v>
      </c>
      <c r="L49" s="36">
        <v>42940</v>
      </c>
      <c r="M49" s="38">
        <v>0.70833333333333337</v>
      </c>
    </row>
    <row r="50" spans="1:13" ht="30" x14ac:dyDescent="0.25">
      <c r="A50" s="33" t="s">
        <v>14</v>
      </c>
      <c r="B50" s="34" t="str">
        <f>HYPERLINK("http://www.twitter.com/KingsLibraries", "KingsLibraries")</f>
        <v>KingsLibraries</v>
      </c>
      <c r="C50" s="33" t="s">
        <v>216</v>
      </c>
      <c r="D50" s="33" t="s">
        <v>36</v>
      </c>
      <c r="E50" s="32" t="s">
        <v>217</v>
      </c>
      <c r="F50" s="35">
        <v>378</v>
      </c>
      <c r="G50" s="35">
        <v>4768</v>
      </c>
      <c r="H50" s="35">
        <v>6638</v>
      </c>
      <c r="I50" s="35">
        <v>1991</v>
      </c>
      <c r="J50" s="36">
        <v>39909</v>
      </c>
      <c r="K50" s="37">
        <v>0.4283912037037037</v>
      </c>
      <c r="L50" s="36">
        <v>42940</v>
      </c>
      <c r="M50" s="38">
        <v>0.63605324074074077</v>
      </c>
    </row>
    <row r="51" spans="1:13" ht="30" x14ac:dyDescent="0.25">
      <c r="A51" s="33" t="s">
        <v>14</v>
      </c>
      <c r="B51" s="34" t="str">
        <f>HYPERLINK("http://www.twitter.com/leedsmusiclib", "leedsmusiclib")</f>
        <v>leedsmusiclib</v>
      </c>
      <c r="C51" s="33" t="s">
        <v>1083</v>
      </c>
      <c r="D51" s="33" t="s">
        <v>1084</v>
      </c>
      <c r="E51" s="32" t="s">
        <v>1085</v>
      </c>
      <c r="F51" s="35">
        <v>1464</v>
      </c>
      <c r="G51" s="35">
        <v>1138</v>
      </c>
      <c r="H51" s="35">
        <v>6629</v>
      </c>
      <c r="I51" s="35">
        <v>2071</v>
      </c>
      <c r="J51" s="36">
        <v>40324</v>
      </c>
      <c r="K51" s="37">
        <v>0.6005787037037037</v>
      </c>
      <c r="L51" s="36">
        <v>42938</v>
      </c>
      <c r="M51" s="38">
        <v>0.83501157407407411</v>
      </c>
    </row>
    <row r="52" spans="1:13" ht="45" x14ac:dyDescent="0.25">
      <c r="A52" s="33" t="s">
        <v>14</v>
      </c>
      <c r="B52" s="34" t="str">
        <f>HYPERLINK("http://www.twitter.com/UoLDWL", "UoLDWL")</f>
        <v>UoLDWL</v>
      </c>
      <c r="C52" s="33" t="s">
        <v>550</v>
      </c>
      <c r="D52" s="33" t="s">
        <v>551</v>
      </c>
      <c r="E52" s="32" t="s">
        <v>552</v>
      </c>
      <c r="F52" s="35">
        <v>489</v>
      </c>
      <c r="G52" s="35">
        <v>2364</v>
      </c>
      <c r="H52" s="35">
        <v>6623</v>
      </c>
      <c r="I52" s="35">
        <v>580</v>
      </c>
      <c r="J52" s="36">
        <v>40185</v>
      </c>
      <c r="K52" s="37">
        <v>0.57668981481481485</v>
      </c>
      <c r="L52" s="36">
        <v>42940</v>
      </c>
      <c r="M52" s="38">
        <v>0.62967592592592592</v>
      </c>
    </row>
    <row r="53" spans="1:13" ht="30" x14ac:dyDescent="0.25">
      <c r="A53" s="33" t="s">
        <v>14</v>
      </c>
      <c r="B53" s="34" t="str">
        <f>HYPERLINK("http://www.twitter.com/UniSheffieldLib", "UniSheffieldLib")</f>
        <v>UniSheffieldLib</v>
      </c>
      <c r="C53" s="33" t="s">
        <v>218</v>
      </c>
      <c r="D53" s="33" t="s">
        <v>219</v>
      </c>
      <c r="E53" s="32" t="s">
        <v>220</v>
      </c>
      <c r="F53" s="35">
        <v>37</v>
      </c>
      <c r="G53" s="35">
        <v>4694</v>
      </c>
      <c r="H53" s="35">
        <v>6588</v>
      </c>
      <c r="I53" s="35">
        <v>1374</v>
      </c>
      <c r="J53" s="36">
        <v>39863</v>
      </c>
      <c r="K53" s="37">
        <v>0.65241898148148147</v>
      </c>
      <c r="L53" s="36">
        <v>42940</v>
      </c>
      <c r="M53" s="38">
        <v>0.63717592592592587</v>
      </c>
    </row>
    <row r="54" spans="1:13" ht="45" x14ac:dyDescent="0.25">
      <c r="A54" s="33" t="s">
        <v>14</v>
      </c>
      <c r="B54" s="34" t="str">
        <f>HYPERLINK("http://www.twitter.com/nclliblaw", "nclliblaw")</f>
        <v>nclliblaw</v>
      </c>
      <c r="C54" s="33" t="s">
        <v>1191</v>
      </c>
      <c r="D54" s="33" t="s">
        <v>1192</v>
      </c>
      <c r="E54" s="32" t="s">
        <v>1193</v>
      </c>
      <c r="F54" s="35">
        <v>401</v>
      </c>
      <c r="G54" s="35">
        <v>1014</v>
      </c>
      <c r="H54" s="35">
        <v>6539</v>
      </c>
      <c r="I54" s="35">
        <v>1084</v>
      </c>
      <c r="J54" s="36">
        <v>40150</v>
      </c>
      <c r="K54" s="37">
        <v>0.45844907407407409</v>
      </c>
      <c r="L54" s="36">
        <v>42940</v>
      </c>
      <c r="M54" s="38">
        <v>0.5894907407407407</v>
      </c>
    </row>
    <row r="55" spans="1:13" ht="45" x14ac:dyDescent="0.25">
      <c r="A55" s="33" t="s">
        <v>14</v>
      </c>
      <c r="B55" s="34" t="str">
        <f>HYPERLINK("http://www.twitter.com/TheJohnRylands", "TheJohnRylands")</f>
        <v>TheJohnRylands</v>
      </c>
      <c r="C55" s="33" t="s">
        <v>82</v>
      </c>
      <c r="D55" s="33" t="s">
        <v>33</v>
      </c>
      <c r="E55" s="32" t="s">
        <v>83</v>
      </c>
      <c r="F55" s="35">
        <v>968</v>
      </c>
      <c r="G55" s="35">
        <v>10769</v>
      </c>
      <c r="H55" s="35">
        <v>6517</v>
      </c>
      <c r="I55" s="35">
        <v>2986</v>
      </c>
      <c r="J55" s="36">
        <v>41018</v>
      </c>
      <c r="K55" s="37">
        <v>0.55106481481481484</v>
      </c>
      <c r="L55" s="36">
        <v>42940</v>
      </c>
      <c r="M55" s="38">
        <v>0.44079861111111113</v>
      </c>
    </row>
    <row r="56" spans="1:13" ht="45" x14ac:dyDescent="0.25">
      <c r="A56" s="33" t="s">
        <v>14</v>
      </c>
      <c r="B56" s="34" t="str">
        <f>HYPERLINK("http://www.twitter.com/UEL_Library", "UEL_Library")</f>
        <v>UEL_Library</v>
      </c>
      <c r="C56" s="33" t="s">
        <v>1117</v>
      </c>
      <c r="D56" s="33" t="s">
        <v>1118</v>
      </c>
      <c r="E56" s="32" t="s">
        <v>1119</v>
      </c>
      <c r="F56" s="35">
        <v>537</v>
      </c>
      <c r="G56" s="35">
        <v>1129</v>
      </c>
      <c r="H56" s="35">
        <v>6365</v>
      </c>
      <c r="I56" s="35">
        <v>1119</v>
      </c>
      <c r="J56" s="36">
        <v>40609</v>
      </c>
      <c r="K56" s="37">
        <v>0.45315972222222217</v>
      </c>
      <c r="L56" s="36">
        <v>42940</v>
      </c>
      <c r="M56" s="38">
        <v>0.39980324074074075</v>
      </c>
    </row>
    <row r="57" spans="1:13" ht="45" x14ac:dyDescent="0.25">
      <c r="A57" s="33" t="s">
        <v>14</v>
      </c>
      <c r="B57" s="34" t="str">
        <f>HYPERLINK("http://www.twitter.com/UoNLibraries", "UoNLibraries")</f>
        <v>UoNLibraries</v>
      </c>
      <c r="C57" s="33" t="s">
        <v>647</v>
      </c>
      <c r="D57" s="33" t="s">
        <v>526</v>
      </c>
      <c r="E57" s="32" t="s">
        <v>648</v>
      </c>
      <c r="F57" s="35">
        <v>600</v>
      </c>
      <c r="G57" s="35">
        <v>2077</v>
      </c>
      <c r="H57" s="35">
        <v>6191</v>
      </c>
      <c r="I57" s="35">
        <v>1463</v>
      </c>
      <c r="J57" s="36">
        <v>41895</v>
      </c>
      <c r="K57" s="37">
        <v>0.35478009259259258</v>
      </c>
      <c r="L57" s="36">
        <v>42940</v>
      </c>
      <c r="M57" s="38">
        <v>0.58452546296296293</v>
      </c>
    </row>
    <row r="58" spans="1:13" x14ac:dyDescent="0.25">
      <c r="A58" s="33" t="s">
        <v>14</v>
      </c>
      <c r="B58" s="34" t="str">
        <f>HYPERLINK("http://www.twitter.com/TeesUniLib", "TeesUniLib")</f>
        <v>TeesUniLib</v>
      </c>
      <c r="C58" s="33" t="s">
        <v>1109</v>
      </c>
      <c r="D58" s="33" t="s">
        <v>364</v>
      </c>
      <c r="E58" s="32" t="s">
        <v>1110</v>
      </c>
      <c r="F58" s="35">
        <v>416</v>
      </c>
      <c r="G58" s="35">
        <v>1130</v>
      </c>
      <c r="H58" s="35">
        <v>6048</v>
      </c>
      <c r="I58" s="35">
        <v>922</v>
      </c>
      <c r="J58" s="36">
        <v>41836</v>
      </c>
      <c r="K58" s="37">
        <v>0.31987268518518519</v>
      </c>
      <c r="L58" s="36">
        <v>42940</v>
      </c>
      <c r="M58" s="38">
        <v>0.5333796296296297</v>
      </c>
    </row>
    <row r="59" spans="1:13" ht="30" x14ac:dyDescent="0.25">
      <c r="A59" s="33" t="s">
        <v>14</v>
      </c>
      <c r="B59" s="34" t="str">
        <f>HYPERLINK("http://www.twitter.com/GCWLibrary", "GCWLibrary")</f>
        <v>GCWLibrary</v>
      </c>
      <c r="C59" s="33" t="s">
        <v>278</v>
      </c>
      <c r="D59" s="33" t="s">
        <v>279</v>
      </c>
      <c r="E59" s="32" t="s">
        <v>280</v>
      </c>
      <c r="F59" s="35">
        <v>1528</v>
      </c>
      <c r="G59" s="35">
        <v>3855</v>
      </c>
      <c r="H59" s="35">
        <v>6023</v>
      </c>
      <c r="I59" s="35">
        <v>1735</v>
      </c>
      <c r="J59" s="36">
        <v>40899</v>
      </c>
      <c r="K59" s="37">
        <v>0.50215277777777778</v>
      </c>
      <c r="L59" s="36">
        <v>42935</v>
      </c>
      <c r="M59" s="38">
        <v>0.57964120370370364</v>
      </c>
    </row>
    <row r="60" spans="1:13" ht="45" x14ac:dyDescent="0.25">
      <c r="A60" s="33" t="s">
        <v>14</v>
      </c>
      <c r="B60" s="34" t="str">
        <f>HYPERLINK("http://www.twitter.com/StAndrewsUniLib", "StAndrewsUniLib")</f>
        <v>StAndrewsUniLib</v>
      </c>
      <c r="C60" s="33" t="s">
        <v>395</v>
      </c>
      <c r="D60" s="33" t="s">
        <v>396</v>
      </c>
      <c r="E60" s="32" t="s">
        <v>397</v>
      </c>
      <c r="F60" s="35">
        <v>1924</v>
      </c>
      <c r="G60" s="35">
        <v>2918</v>
      </c>
      <c r="H60" s="35">
        <v>5976</v>
      </c>
      <c r="I60" s="35">
        <v>579</v>
      </c>
      <c r="J60" s="36">
        <v>40358</v>
      </c>
      <c r="K60" s="37">
        <v>0.53640046296296295</v>
      </c>
      <c r="L60" s="36">
        <v>42940</v>
      </c>
      <c r="M60" s="38">
        <v>0.63603009259259258</v>
      </c>
    </row>
    <row r="61" spans="1:13" ht="45" x14ac:dyDescent="0.25">
      <c r="A61" s="33" t="s">
        <v>14</v>
      </c>
      <c r="B61" s="34" t="str">
        <f>HYPERLINK("http://www.twitter.com/UniSotonLibrary", "UniSotonLibrary")</f>
        <v>UniSotonLibrary</v>
      </c>
      <c r="C61" s="33" t="s">
        <v>577</v>
      </c>
      <c r="D61" s="33" t="s">
        <v>578</v>
      </c>
      <c r="E61" s="32" t="s">
        <v>579</v>
      </c>
      <c r="F61" s="35">
        <v>883</v>
      </c>
      <c r="G61" s="35">
        <v>2273</v>
      </c>
      <c r="H61" s="35">
        <v>5862</v>
      </c>
      <c r="I61" s="35">
        <v>716</v>
      </c>
      <c r="J61" s="36">
        <v>40521</v>
      </c>
      <c r="K61" s="37">
        <v>0.48101851851851851</v>
      </c>
      <c r="L61" s="36">
        <v>42940</v>
      </c>
      <c r="M61" s="38">
        <v>0.65814814814814815</v>
      </c>
    </row>
    <row r="62" spans="1:13" ht="60" x14ac:dyDescent="0.25">
      <c r="A62" s="33" t="s">
        <v>14</v>
      </c>
      <c r="B62" s="34" t="str">
        <f>HYPERLINK("http://www.twitter.com/GoldsmithsLib", "GoldsmithsLib")</f>
        <v>GoldsmithsLib</v>
      </c>
      <c r="C62" s="33" t="s">
        <v>386</v>
      </c>
      <c r="D62" s="33" t="s">
        <v>387</v>
      </c>
      <c r="E62" s="32" t="s">
        <v>388</v>
      </c>
      <c r="F62" s="35">
        <v>640</v>
      </c>
      <c r="G62" s="35">
        <v>2984</v>
      </c>
      <c r="H62" s="35">
        <v>5764</v>
      </c>
      <c r="I62" s="35">
        <v>388</v>
      </c>
      <c r="J62" s="36">
        <v>39891</v>
      </c>
      <c r="K62" s="37">
        <v>0.6150578703703703</v>
      </c>
      <c r="L62" s="36">
        <v>42940</v>
      </c>
      <c r="M62" s="38">
        <v>0.58650462962962957</v>
      </c>
    </row>
    <row r="63" spans="1:13" ht="45" x14ac:dyDescent="0.25">
      <c r="A63" s="33" t="s">
        <v>14</v>
      </c>
      <c r="B63" s="34" t="str">
        <f>HYPERLINK("http://www.twitter.com/IOELibrary", "IOELibrary")</f>
        <v>IOELibrary</v>
      </c>
      <c r="C63" s="33" t="s">
        <v>764</v>
      </c>
      <c r="D63" s="33" t="s">
        <v>36</v>
      </c>
      <c r="E63" s="32" t="s">
        <v>765</v>
      </c>
      <c r="F63" s="35">
        <v>591</v>
      </c>
      <c r="G63" s="35">
        <v>1722</v>
      </c>
      <c r="H63" s="35">
        <v>5676</v>
      </c>
      <c r="I63" s="35">
        <v>361</v>
      </c>
      <c r="J63" s="36">
        <v>40715</v>
      </c>
      <c r="K63" s="37">
        <v>0.3919212962962963</v>
      </c>
      <c r="L63" s="36">
        <v>42940</v>
      </c>
      <c r="M63" s="38">
        <v>0.55562500000000004</v>
      </c>
    </row>
    <row r="64" spans="1:13" ht="30" x14ac:dyDescent="0.25">
      <c r="A64" s="33" t="s">
        <v>14</v>
      </c>
      <c r="B64" s="34" t="str">
        <f>HYPERLINK("http://www.twitter.com/UKCLibraryIT", "UKCLibraryIT")</f>
        <v>UKCLibraryIT</v>
      </c>
      <c r="C64" s="33" t="s">
        <v>479</v>
      </c>
      <c r="D64" s="33" t="s">
        <v>480</v>
      </c>
      <c r="E64" s="32" t="s">
        <v>481</v>
      </c>
      <c r="F64" s="35">
        <v>557</v>
      </c>
      <c r="G64" s="35">
        <v>2548</v>
      </c>
      <c r="H64" s="35">
        <v>5651</v>
      </c>
      <c r="I64" s="35">
        <v>541</v>
      </c>
      <c r="J64" s="36">
        <v>40872</v>
      </c>
      <c r="K64" s="37">
        <v>0.5917824074074074</v>
      </c>
      <c r="L64" s="36">
        <v>42940</v>
      </c>
      <c r="M64" s="38">
        <v>0.62155092592592587</v>
      </c>
    </row>
    <row r="65" spans="1:13" ht="45" x14ac:dyDescent="0.25">
      <c r="A65" s="33" t="s">
        <v>14</v>
      </c>
      <c r="B65" s="34" t="str">
        <f>HYPERLINK("http://www.twitter.com/UoLLibrary", "UoLLibrary")</f>
        <v>UoLLibrary</v>
      </c>
      <c r="C65" s="33" t="s">
        <v>389</v>
      </c>
      <c r="D65" s="33" t="s">
        <v>390</v>
      </c>
      <c r="E65" s="32" t="s">
        <v>391</v>
      </c>
      <c r="F65" s="35">
        <v>972</v>
      </c>
      <c r="G65" s="35">
        <v>2949</v>
      </c>
      <c r="H65" s="35">
        <v>5332</v>
      </c>
      <c r="I65" s="35">
        <v>608</v>
      </c>
      <c r="J65" s="36">
        <v>40297</v>
      </c>
      <c r="K65" s="37">
        <v>0.79820601851851858</v>
      </c>
      <c r="L65" s="36">
        <v>42940</v>
      </c>
      <c r="M65" s="38">
        <v>0.58445601851851847</v>
      </c>
    </row>
    <row r="66" spans="1:13" ht="45" x14ac:dyDescent="0.25">
      <c r="A66" s="33" t="s">
        <v>14</v>
      </c>
      <c r="B66" s="34" t="str">
        <f>HYPERLINK("http://www.twitter.com/ARULibrary", "ARULibrary")</f>
        <v>ARULibrary</v>
      </c>
      <c r="C66" s="33" t="s">
        <v>745</v>
      </c>
      <c r="D66" s="33" t="s">
        <v>746</v>
      </c>
      <c r="E66" s="32" t="s">
        <v>747</v>
      </c>
      <c r="F66" s="35">
        <v>325</v>
      </c>
      <c r="G66" s="35">
        <v>1751</v>
      </c>
      <c r="H66" s="35">
        <v>5172</v>
      </c>
      <c r="I66" s="35">
        <v>1224</v>
      </c>
      <c r="J66" s="36">
        <v>40549</v>
      </c>
      <c r="K66" s="37">
        <v>0.46729166666666666</v>
      </c>
      <c r="L66" s="36">
        <v>42940</v>
      </c>
      <c r="M66" s="38">
        <v>0.37533564814814818</v>
      </c>
    </row>
    <row r="67" spans="1:13" ht="45" x14ac:dyDescent="0.25">
      <c r="A67" s="33" t="s">
        <v>14</v>
      </c>
      <c r="B67" s="34" t="str">
        <f>HYPERLINK("http://www.twitter.com/TheLibraryUoS", "TheLibraryUoS")</f>
        <v>TheLibraryUoS</v>
      </c>
      <c r="C67" s="33" t="s">
        <v>482</v>
      </c>
      <c r="D67" s="33" t="s">
        <v>225</v>
      </c>
      <c r="E67" s="32" t="s">
        <v>3697</v>
      </c>
      <c r="F67" s="35">
        <v>972</v>
      </c>
      <c r="G67" s="35">
        <v>2579</v>
      </c>
      <c r="H67" s="35">
        <v>5049</v>
      </c>
      <c r="I67" s="35">
        <v>622</v>
      </c>
      <c r="J67" s="36">
        <v>41094</v>
      </c>
      <c r="K67" s="37">
        <v>0.54940972222222217</v>
      </c>
      <c r="L67" s="36">
        <v>42940</v>
      </c>
      <c r="M67" s="38">
        <v>0.5426967592592592</v>
      </c>
    </row>
    <row r="68" spans="1:13" ht="45" x14ac:dyDescent="0.25">
      <c r="A68" s="33" t="s">
        <v>14</v>
      </c>
      <c r="B68" s="34" t="str">
        <f>HYPERLINK("http://www.twitter.com/sgullibrary", "sgullibrary")</f>
        <v>sgullibrary</v>
      </c>
      <c r="C68" s="33" t="s">
        <v>1256</v>
      </c>
      <c r="D68" s="33" t="s">
        <v>36</v>
      </c>
      <c r="E68" s="32" t="s">
        <v>1257</v>
      </c>
      <c r="F68" s="35">
        <v>382</v>
      </c>
      <c r="G68" s="35">
        <v>968</v>
      </c>
      <c r="H68" s="35">
        <v>5036</v>
      </c>
      <c r="I68" s="35">
        <v>300</v>
      </c>
      <c r="J68" s="36">
        <v>40526</v>
      </c>
      <c r="K68" s="37">
        <v>0.70435185185185178</v>
      </c>
      <c r="L68" s="36">
        <v>42936</v>
      </c>
      <c r="M68" s="38">
        <v>0.56986111111111104</v>
      </c>
    </row>
    <row r="69" spans="1:13" ht="30" x14ac:dyDescent="0.25">
      <c r="A69" s="33" t="s">
        <v>14</v>
      </c>
      <c r="B69" s="34" t="str">
        <f>HYPERLINK("http://www.twitter.com/LibraryUCA", "LibraryUCA")</f>
        <v>LibraryUCA</v>
      </c>
      <c r="C69" s="33" t="s">
        <v>943</v>
      </c>
      <c r="D69" s="33" t="s">
        <v>944</v>
      </c>
      <c r="E69" s="32" t="s">
        <v>945</v>
      </c>
      <c r="F69" s="35">
        <v>745</v>
      </c>
      <c r="G69" s="35">
        <v>1338</v>
      </c>
      <c r="H69" s="35">
        <v>4978</v>
      </c>
      <c r="I69" s="35">
        <v>1097</v>
      </c>
      <c r="J69" s="36">
        <v>40492</v>
      </c>
      <c r="K69" s="37">
        <v>0.58542824074074074</v>
      </c>
      <c r="L69" s="36">
        <v>42940</v>
      </c>
      <c r="M69" s="38">
        <v>0.69246527777777767</v>
      </c>
    </row>
    <row r="70" spans="1:13" ht="30" x14ac:dyDescent="0.25">
      <c r="A70" s="33" t="s">
        <v>14</v>
      </c>
      <c r="B70" s="34" t="str">
        <f>HYPERLINK("http://www.twitter.com/GSALibrary", "GSALibrary")</f>
        <v>GSALibrary</v>
      </c>
      <c r="C70" s="33" t="s">
        <v>472</v>
      </c>
      <c r="D70" s="33" t="s">
        <v>138</v>
      </c>
      <c r="E70" s="32" t="s">
        <v>473</v>
      </c>
      <c r="F70" s="35">
        <v>1293</v>
      </c>
      <c r="G70" s="35">
        <v>2649</v>
      </c>
      <c r="H70" s="35">
        <v>4971</v>
      </c>
      <c r="I70" s="35">
        <v>499</v>
      </c>
      <c r="J70" s="36">
        <v>39969</v>
      </c>
      <c r="K70" s="37">
        <v>0.38974537037037038</v>
      </c>
      <c r="L70" s="36">
        <v>42936</v>
      </c>
      <c r="M70" s="38">
        <v>0.46165509259259258</v>
      </c>
    </row>
    <row r="71" spans="1:13" ht="30" x14ac:dyDescent="0.25">
      <c r="A71" s="33" t="s">
        <v>14</v>
      </c>
      <c r="B71" s="34" t="str">
        <f>HYPERLINK("http://www.twitter.com/theUL", "theUL")</f>
        <v>theUL</v>
      </c>
      <c r="C71" s="33" t="s">
        <v>60</v>
      </c>
      <c r="D71" s="33" t="s">
        <v>61</v>
      </c>
      <c r="E71" s="32" t="s">
        <v>62</v>
      </c>
      <c r="F71" s="35">
        <v>218</v>
      </c>
      <c r="G71" s="35">
        <v>13060</v>
      </c>
      <c r="H71" s="35">
        <v>4842</v>
      </c>
      <c r="I71" s="35">
        <v>566</v>
      </c>
      <c r="J71" s="36">
        <v>39878</v>
      </c>
      <c r="K71" s="37">
        <v>0.42592592592592587</v>
      </c>
      <c r="L71" s="36">
        <v>42940</v>
      </c>
      <c r="M71" s="38">
        <v>0.5690277777777778</v>
      </c>
    </row>
    <row r="72" spans="1:13" ht="45" x14ac:dyDescent="0.25">
      <c r="A72" s="33" t="s">
        <v>14</v>
      </c>
      <c r="B72" s="34" t="str">
        <f>HYPERLINK("http://www.twitter.com/ljmulibrary", "ljmulibrary")</f>
        <v>ljmulibrary</v>
      </c>
      <c r="C72" s="33" t="s">
        <v>464</v>
      </c>
      <c r="D72" s="33" t="s">
        <v>102</v>
      </c>
      <c r="E72" s="32" t="s">
        <v>465</v>
      </c>
      <c r="F72" s="35">
        <v>605</v>
      </c>
      <c r="G72" s="35">
        <v>2685</v>
      </c>
      <c r="H72" s="35">
        <v>4809</v>
      </c>
      <c r="I72" s="35">
        <v>688</v>
      </c>
      <c r="J72" s="36">
        <v>40373</v>
      </c>
      <c r="K72" s="37">
        <v>0.5848726851851852</v>
      </c>
      <c r="L72" s="36">
        <v>42940</v>
      </c>
      <c r="M72" s="38">
        <v>0.64326388888888886</v>
      </c>
    </row>
    <row r="73" spans="1:13" ht="45" x14ac:dyDescent="0.25">
      <c r="A73" s="33" t="s">
        <v>14</v>
      </c>
      <c r="B73" s="34" t="str">
        <f>HYPERLINK("http://www.twitter.com/SolentLibrary", "SolentLibrary")</f>
        <v>SolentLibrary</v>
      </c>
      <c r="C73" s="33" t="s">
        <v>876</v>
      </c>
      <c r="D73" s="33" t="s">
        <v>877</v>
      </c>
      <c r="E73" s="32" t="s">
        <v>878</v>
      </c>
      <c r="F73" s="35">
        <v>359</v>
      </c>
      <c r="G73" s="35">
        <v>1466</v>
      </c>
      <c r="H73" s="35">
        <v>4709</v>
      </c>
      <c r="I73" s="35">
        <v>2466</v>
      </c>
      <c r="J73" s="36">
        <v>40231</v>
      </c>
      <c r="K73" s="37">
        <v>0.40282407407407406</v>
      </c>
      <c r="L73" s="36">
        <v>42937</v>
      </c>
      <c r="M73" s="38">
        <v>0.59296296296296302</v>
      </c>
    </row>
    <row r="74" spans="1:13" ht="45" x14ac:dyDescent="0.25">
      <c r="A74" s="33" t="s">
        <v>14</v>
      </c>
      <c r="B74" s="34" t="str">
        <f>HYPERLINK("http://www.twitter.com/imperiallibrary", "imperiallibrary")</f>
        <v>imperiallibrary</v>
      </c>
      <c r="C74" s="33" t="s">
        <v>304</v>
      </c>
      <c r="D74" s="33" t="s">
        <v>36</v>
      </c>
      <c r="E74" s="32" t="s">
        <v>305</v>
      </c>
      <c r="F74" s="35">
        <v>197</v>
      </c>
      <c r="G74" s="35">
        <v>3593</v>
      </c>
      <c r="H74" s="35">
        <v>4602</v>
      </c>
      <c r="I74" s="35">
        <v>693</v>
      </c>
      <c r="J74" s="36">
        <v>39881</v>
      </c>
      <c r="K74" s="37">
        <v>0.78645833333333337</v>
      </c>
      <c r="L74" s="36">
        <v>42940</v>
      </c>
      <c r="M74" s="38">
        <v>0.68949074074074079</v>
      </c>
    </row>
    <row r="75" spans="1:13" ht="45" x14ac:dyDescent="0.25">
      <c r="A75" s="33" t="s">
        <v>14</v>
      </c>
      <c r="B75" s="34" t="str">
        <f>HYPERLINK("http://www.twitter.com/PlymUniLib", "PlymUniLib")</f>
        <v>PlymUniLib</v>
      </c>
      <c r="C75" s="33" t="s">
        <v>766</v>
      </c>
      <c r="D75" s="33" t="s">
        <v>767</v>
      </c>
      <c r="E75" s="32" t="s">
        <v>768</v>
      </c>
      <c r="F75" s="35">
        <v>126</v>
      </c>
      <c r="G75" s="35">
        <v>1688</v>
      </c>
      <c r="H75" s="35">
        <v>4601</v>
      </c>
      <c r="I75" s="35">
        <v>1373</v>
      </c>
      <c r="J75" s="36">
        <v>40437</v>
      </c>
      <c r="K75" s="37">
        <v>0.63814814814814813</v>
      </c>
      <c r="L75" s="36">
        <v>42935</v>
      </c>
      <c r="M75" s="38">
        <v>0.39944444444444444</v>
      </c>
    </row>
    <row r="76" spans="1:13" ht="45" x14ac:dyDescent="0.25">
      <c r="A76" s="33" t="s">
        <v>14</v>
      </c>
      <c r="B76" s="34" t="str">
        <f>HYPERLINK("http://www.twitter.com/HFLOxford", "HFLOxford")</f>
        <v>HFLOxford</v>
      </c>
      <c r="C76" s="33" t="s">
        <v>240</v>
      </c>
      <c r="D76" s="33" t="s">
        <v>241</v>
      </c>
      <c r="E76" s="32" t="s">
        <v>242</v>
      </c>
      <c r="F76" s="35">
        <v>686</v>
      </c>
      <c r="G76" s="35">
        <v>4302</v>
      </c>
      <c r="H76" s="35">
        <v>4579</v>
      </c>
      <c r="I76" s="35">
        <v>42</v>
      </c>
      <c r="J76" s="36">
        <v>39982</v>
      </c>
      <c r="K76" s="37">
        <v>0.41194444444444445</v>
      </c>
      <c r="L76" s="36">
        <v>42937</v>
      </c>
      <c r="M76" s="38">
        <v>0.65840277777777778</v>
      </c>
    </row>
    <row r="77" spans="1:13" ht="45" x14ac:dyDescent="0.25">
      <c r="A77" s="33" t="s">
        <v>14</v>
      </c>
      <c r="B77" s="34" t="str">
        <f>HYPERLINK("http://www.twitter.com/EdUniMainLib", "EdUniMainLib")</f>
        <v>EdUniMainLib</v>
      </c>
      <c r="C77" s="33" t="s">
        <v>600</v>
      </c>
      <c r="D77" s="33" t="s">
        <v>601</v>
      </c>
      <c r="E77" s="32" t="s">
        <v>602</v>
      </c>
      <c r="F77" s="35">
        <v>566</v>
      </c>
      <c r="G77" s="35">
        <v>2242</v>
      </c>
      <c r="H77" s="35">
        <v>4541</v>
      </c>
      <c r="I77" s="35">
        <v>750</v>
      </c>
      <c r="J77" s="36">
        <v>40504</v>
      </c>
      <c r="K77" s="37">
        <v>0.44937500000000002</v>
      </c>
      <c r="L77" s="36">
        <v>42940</v>
      </c>
      <c r="M77" s="38">
        <v>0.62237268518518518</v>
      </c>
    </row>
    <row r="78" spans="1:13" ht="45" x14ac:dyDescent="0.25">
      <c r="A78" s="33" t="s">
        <v>14</v>
      </c>
      <c r="B78" s="34" t="str">
        <f>HYPERLINK("http://www.twitter.com/PalaceGreenLib", "PalaceGreenLib")</f>
        <v>PalaceGreenLib</v>
      </c>
      <c r="C78" s="33" t="s">
        <v>553</v>
      </c>
      <c r="D78" s="33" t="s">
        <v>554</v>
      </c>
      <c r="E78" s="32" t="s">
        <v>555</v>
      </c>
      <c r="F78" s="35">
        <v>1129</v>
      </c>
      <c r="G78" s="35">
        <v>2393</v>
      </c>
      <c r="H78" s="35">
        <v>4411</v>
      </c>
      <c r="I78" s="35">
        <v>1174</v>
      </c>
      <c r="J78" s="36">
        <v>41397</v>
      </c>
      <c r="K78" s="37">
        <v>0.53849537037037043</v>
      </c>
      <c r="L78" s="36">
        <v>42940</v>
      </c>
      <c r="M78" s="38">
        <v>0.43063657407407407</v>
      </c>
    </row>
    <row r="79" spans="1:13" ht="45" x14ac:dyDescent="0.25">
      <c r="A79" s="33" t="s">
        <v>14</v>
      </c>
      <c r="B79" s="34" t="str">
        <f>HYPERLINK("http://www.twitter.com/UniStrathLibIT", "UniStrathLibIT")</f>
        <v>UniStrathLibIT</v>
      </c>
      <c r="C79" s="33" t="s">
        <v>317</v>
      </c>
      <c r="D79" s="33" t="s">
        <v>318</v>
      </c>
      <c r="E79" s="32" t="s">
        <v>319</v>
      </c>
      <c r="F79" s="35">
        <v>1681</v>
      </c>
      <c r="G79" s="35">
        <v>3468</v>
      </c>
      <c r="H79" s="35">
        <v>4363</v>
      </c>
      <c r="I79" s="35">
        <v>1047</v>
      </c>
      <c r="J79" s="36">
        <v>40858</v>
      </c>
      <c r="K79" s="37">
        <v>0.39178240740740744</v>
      </c>
      <c r="L79" s="36">
        <v>42940</v>
      </c>
      <c r="M79" s="38">
        <v>0.60870370370370364</v>
      </c>
    </row>
    <row r="80" spans="1:13" ht="30" x14ac:dyDescent="0.25">
      <c r="A80" s="33" t="s">
        <v>14</v>
      </c>
      <c r="B80" s="34" t="str">
        <f>HYPERLINK("http://www.twitter.com/livcoll_lrc", "livcoll_lrc")</f>
        <v>livcoll_lrc</v>
      </c>
      <c r="C80" s="33" t="s">
        <v>1619</v>
      </c>
      <c r="D80" s="33" t="s">
        <v>102</v>
      </c>
      <c r="E80" s="32" t="s">
        <v>1620</v>
      </c>
      <c r="F80" s="35">
        <v>651</v>
      </c>
      <c r="G80" s="35">
        <v>641</v>
      </c>
      <c r="H80" s="35">
        <v>4349</v>
      </c>
      <c r="I80" s="35">
        <v>65</v>
      </c>
      <c r="J80" s="36">
        <v>40745</v>
      </c>
      <c r="K80" s="37">
        <v>0.53369212962962964</v>
      </c>
      <c r="L80" s="36">
        <v>42912</v>
      </c>
      <c r="M80" s="38">
        <v>0.49472222222222223</v>
      </c>
    </row>
    <row r="81" spans="1:13" ht="45" x14ac:dyDescent="0.25">
      <c r="A81" s="33" t="s">
        <v>14</v>
      </c>
      <c r="B81" s="34" t="str">
        <f>HYPERLINK("http://www.twitter.com/ucl_crucitwit", "ucl_crucitwit")</f>
        <v>ucl_crucitwit</v>
      </c>
      <c r="C81" s="33" t="s">
        <v>978</v>
      </c>
      <c r="D81" s="33" t="s">
        <v>979</v>
      </c>
      <c r="E81" s="32" t="s">
        <v>980</v>
      </c>
      <c r="F81" s="35">
        <v>1530</v>
      </c>
      <c r="G81" s="35">
        <v>1284</v>
      </c>
      <c r="H81" s="35">
        <v>4335</v>
      </c>
      <c r="I81" s="35">
        <v>39</v>
      </c>
      <c r="J81" s="36">
        <v>40290</v>
      </c>
      <c r="K81" s="37">
        <v>0.57196759259259256</v>
      </c>
      <c r="L81" s="36">
        <v>42934</v>
      </c>
      <c r="M81" s="38">
        <v>0.43900462962962966</v>
      </c>
    </row>
    <row r="82" spans="1:13" ht="30" x14ac:dyDescent="0.25">
      <c r="A82" s="33" t="s">
        <v>14</v>
      </c>
      <c r="B82" s="34" t="str">
        <f>HYPERLINK("http://www.twitter.com/hudlib", "hudlib")</f>
        <v>hudlib</v>
      </c>
      <c r="C82" s="33" t="s">
        <v>659</v>
      </c>
      <c r="D82" s="33" t="s">
        <v>660</v>
      </c>
      <c r="E82" s="32" t="s">
        <v>661</v>
      </c>
      <c r="F82" s="35">
        <v>791</v>
      </c>
      <c r="G82" s="35">
        <v>2015</v>
      </c>
      <c r="H82" s="35">
        <v>4305</v>
      </c>
      <c r="I82" s="35">
        <v>247</v>
      </c>
      <c r="J82" s="36">
        <v>39864</v>
      </c>
      <c r="K82" s="37">
        <v>0.50070601851851848</v>
      </c>
      <c r="L82" s="36">
        <v>42940</v>
      </c>
      <c r="M82" s="38">
        <v>0.64468749999999997</v>
      </c>
    </row>
    <row r="83" spans="1:13" ht="45" x14ac:dyDescent="0.25">
      <c r="A83" s="33" t="s">
        <v>14</v>
      </c>
      <c r="B83" s="34" t="str">
        <f>HYPERLINK("http://www.twitter.com/uhlr", "uhlr")</f>
        <v>uhlr</v>
      </c>
      <c r="C83" s="33" t="s">
        <v>1051</v>
      </c>
      <c r="D83" s="33" t="s">
        <v>1052</v>
      </c>
      <c r="E83" s="32" t="s">
        <v>1053</v>
      </c>
      <c r="F83" s="35">
        <v>153</v>
      </c>
      <c r="G83" s="35">
        <v>1215</v>
      </c>
      <c r="H83" s="35">
        <v>4276</v>
      </c>
      <c r="I83" s="35">
        <v>179</v>
      </c>
      <c r="J83" s="36">
        <v>40190</v>
      </c>
      <c r="K83" s="37">
        <v>0.6928819444444444</v>
      </c>
      <c r="L83" s="36">
        <v>42937</v>
      </c>
      <c r="M83" s="38">
        <v>0.43244212962962963</v>
      </c>
    </row>
    <row r="84" spans="1:13" ht="30" x14ac:dyDescent="0.25">
      <c r="A84" s="33" t="s">
        <v>14</v>
      </c>
      <c r="B84" s="34" t="str">
        <f>HYPERLINK("http://www.twitter.com/UniGlosLib", "UniGlosLib")</f>
        <v>UniGlosLib</v>
      </c>
      <c r="C84" s="33" t="s">
        <v>1197</v>
      </c>
      <c r="D84" s="33" t="s">
        <v>1198</v>
      </c>
      <c r="E84" s="32" t="s">
        <v>1199</v>
      </c>
      <c r="F84" s="35">
        <v>984</v>
      </c>
      <c r="G84" s="35">
        <v>1022</v>
      </c>
      <c r="H84" s="35">
        <v>4221</v>
      </c>
      <c r="I84" s="35">
        <v>234</v>
      </c>
      <c r="J84" s="36">
        <v>40322</v>
      </c>
      <c r="K84" s="37">
        <v>0.53478009259259263</v>
      </c>
      <c r="L84" s="36">
        <v>42937</v>
      </c>
      <c r="M84" s="38">
        <v>0.85868055555555556</v>
      </c>
    </row>
    <row r="85" spans="1:13" ht="45" x14ac:dyDescent="0.25">
      <c r="A85" s="33" t="s">
        <v>14</v>
      </c>
      <c r="B85" s="34" t="str">
        <f>HYPERLINK("http://www.twitter.com/UCLanLibraryIT", "UCLanLibraryIT")</f>
        <v>UCLanLibraryIT</v>
      </c>
      <c r="C85" s="33" t="s">
        <v>761</v>
      </c>
      <c r="D85" s="33" t="s">
        <v>762</v>
      </c>
      <c r="E85" s="32" t="s">
        <v>763</v>
      </c>
      <c r="F85" s="35">
        <v>474</v>
      </c>
      <c r="G85" s="35">
        <v>1716</v>
      </c>
      <c r="H85" s="35">
        <v>4180</v>
      </c>
      <c r="I85" s="35">
        <v>1294</v>
      </c>
      <c r="J85" s="36">
        <v>41178</v>
      </c>
      <c r="K85" s="37">
        <v>0.63141203703703697</v>
      </c>
      <c r="L85" s="36">
        <v>42940</v>
      </c>
      <c r="M85" s="38">
        <v>0.43177083333333338</v>
      </c>
    </row>
    <row r="86" spans="1:13" ht="45" x14ac:dyDescent="0.25">
      <c r="A86" s="33" t="s">
        <v>14</v>
      </c>
      <c r="B86" s="34" t="str">
        <f>HYPERLINK("http://www.twitter.com/Hope_Library", "Hope_Library")</f>
        <v>Hope_Library</v>
      </c>
      <c r="C86" s="33" t="s">
        <v>1519</v>
      </c>
      <c r="D86" s="33" t="s">
        <v>1520</v>
      </c>
      <c r="E86" s="32" t="s">
        <v>1521</v>
      </c>
      <c r="F86" s="35">
        <v>286</v>
      </c>
      <c r="G86" s="35">
        <v>743</v>
      </c>
      <c r="H86" s="35">
        <v>4141</v>
      </c>
      <c r="I86" s="35">
        <v>354</v>
      </c>
      <c r="J86" s="36">
        <v>41473</v>
      </c>
      <c r="K86" s="37">
        <v>0.53591435185185188</v>
      </c>
      <c r="L86" s="36">
        <v>42940</v>
      </c>
      <c r="M86" s="38">
        <v>0.55574074074074076</v>
      </c>
    </row>
    <row r="87" spans="1:13" ht="45" x14ac:dyDescent="0.25">
      <c r="A87" s="33" t="s">
        <v>14</v>
      </c>
      <c r="B87" s="34" t="str">
        <f>HYPERLINK("http://www.twitter.com/UWELibrary", "UWELibrary")</f>
        <v>UWELibrary</v>
      </c>
      <c r="C87" s="33" t="s">
        <v>865</v>
      </c>
      <c r="D87" s="33" t="s">
        <v>514</v>
      </c>
      <c r="E87" s="32" t="s">
        <v>866</v>
      </c>
      <c r="F87" s="35">
        <v>769</v>
      </c>
      <c r="G87" s="35">
        <v>1497</v>
      </c>
      <c r="H87" s="35">
        <v>4115</v>
      </c>
      <c r="I87" s="35">
        <v>651</v>
      </c>
      <c r="J87" s="36">
        <v>41053</v>
      </c>
      <c r="K87" s="37">
        <v>0.37702546296296297</v>
      </c>
      <c r="L87" s="36">
        <v>42940</v>
      </c>
      <c r="M87" s="38">
        <v>0.52435185185185185</v>
      </c>
    </row>
    <row r="88" spans="1:13" ht="30" x14ac:dyDescent="0.25">
      <c r="A88" s="33" t="s">
        <v>14</v>
      </c>
      <c r="B88" s="34" t="str">
        <f>HYPERLINK("http://www.twitter.com/UoGlibraries", "UoGlibraries")</f>
        <v>UoGlibraries</v>
      </c>
      <c r="C88" s="33" t="s">
        <v>1246</v>
      </c>
      <c r="D88" s="33" t="s">
        <v>1247</v>
      </c>
      <c r="E88" s="32" t="s">
        <v>1248</v>
      </c>
      <c r="F88" s="35">
        <v>333</v>
      </c>
      <c r="G88" s="35">
        <v>973</v>
      </c>
      <c r="H88" s="35">
        <v>4079</v>
      </c>
      <c r="I88" s="35">
        <v>618</v>
      </c>
      <c r="J88" s="36">
        <v>40122</v>
      </c>
      <c r="K88" s="37">
        <v>0.4173263888888889</v>
      </c>
      <c r="L88" s="36">
        <v>42939</v>
      </c>
      <c r="M88" s="38">
        <v>0.60409722222222217</v>
      </c>
    </row>
    <row r="89" spans="1:13" ht="45" x14ac:dyDescent="0.25">
      <c r="A89" s="33" t="s">
        <v>14</v>
      </c>
      <c r="B89" s="34" t="str">
        <f>HYPERLINK("http://www.twitter.com/UWTSDllr", "UWTSDllr")</f>
        <v>UWTSDllr</v>
      </c>
      <c r="C89" s="33" t="s">
        <v>1297</v>
      </c>
      <c r="D89" s="33" t="s">
        <v>1438</v>
      </c>
      <c r="E89" s="32" t="s">
        <v>1439</v>
      </c>
      <c r="F89" s="35">
        <v>586</v>
      </c>
      <c r="G89" s="35">
        <v>785</v>
      </c>
      <c r="H89" s="35">
        <v>4075</v>
      </c>
      <c r="I89" s="35">
        <v>331</v>
      </c>
      <c r="J89" s="36">
        <v>39868</v>
      </c>
      <c r="K89" s="37">
        <v>0.83861111111111108</v>
      </c>
      <c r="L89" s="36">
        <v>42937</v>
      </c>
      <c r="M89" s="38">
        <v>0.52645833333333336</v>
      </c>
    </row>
    <row r="90" spans="1:13" ht="45" x14ac:dyDescent="0.25">
      <c r="A90" s="33" t="s">
        <v>14</v>
      </c>
      <c r="B90" s="34" t="str">
        <f>HYPERLINK("http://www.twitter.com/cardiffunilib", "cardiffunilib")</f>
        <v>cardiffunilib</v>
      </c>
      <c r="C90" s="33" t="s">
        <v>484</v>
      </c>
      <c r="D90" s="33" t="s">
        <v>427</v>
      </c>
      <c r="E90" s="32" t="s">
        <v>485</v>
      </c>
      <c r="F90" s="35">
        <v>182</v>
      </c>
      <c r="G90" s="35">
        <v>2561</v>
      </c>
      <c r="H90" s="35">
        <v>4008</v>
      </c>
      <c r="I90" s="35">
        <v>257</v>
      </c>
      <c r="J90" s="36">
        <v>40763</v>
      </c>
      <c r="K90" s="37">
        <v>0.63680555555555551</v>
      </c>
      <c r="L90" s="36">
        <v>42940</v>
      </c>
      <c r="M90" s="38">
        <v>0.49435185185185188</v>
      </c>
    </row>
    <row r="91" spans="1:13" ht="45" x14ac:dyDescent="0.25">
      <c r="A91" s="33" t="s">
        <v>14</v>
      </c>
      <c r="B91" s="34" t="str">
        <f>HYPERLINK("http://www.twitter.com/UCLMainLibrary", "UCLMainLibrary")</f>
        <v>UCLMainLibrary</v>
      </c>
      <c r="C91" s="33" t="s">
        <v>229</v>
      </c>
      <c r="D91" s="33" t="s">
        <v>36</v>
      </c>
      <c r="E91" s="32" t="s">
        <v>230</v>
      </c>
      <c r="F91" s="35">
        <v>621</v>
      </c>
      <c r="G91" s="35">
        <v>4450</v>
      </c>
      <c r="H91" s="35">
        <v>3983</v>
      </c>
      <c r="I91" s="35">
        <v>129</v>
      </c>
      <c r="J91" s="36">
        <v>40287</v>
      </c>
      <c r="K91" s="37">
        <v>0.78646990740740741</v>
      </c>
      <c r="L91" s="36">
        <v>42940</v>
      </c>
      <c r="M91" s="38">
        <v>0.38587962962962963</v>
      </c>
    </row>
    <row r="92" spans="1:13" ht="45" x14ac:dyDescent="0.25">
      <c r="A92" s="33" t="s">
        <v>14</v>
      </c>
      <c r="B92" s="34" t="str">
        <f>HYPERLINK("http://www.twitter.com/UR_Library", "UR_Library")</f>
        <v>UR_Library</v>
      </c>
      <c r="C92" s="33" t="s">
        <v>987</v>
      </c>
      <c r="D92" s="33" t="s">
        <v>988</v>
      </c>
      <c r="E92" s="32" t="s">
        <v>989</v>
      </c>
      <c r="F92" s="35">
        <v>246</v>
      </c>
      <c r="G92" s="35">
        <v>1282</v>
      </c>
      <c r="H92" s="35">
        <v>3980</v>
      </c>
      <c r="I92" s="35">
        <v>512</v>
      </c>
      <c r="J92" s="36">
        <v>40929</v>
      </c>
      <c r="K92" s="37">
        <v>0.50428240740740737</v>
      </c>
      <c r="L92" s="36">
        <v>42940</v>
      </c>
      <c r="M92" s="38">
        <v>0.4826388888888889</v>
      </c>
    </row>
    <row r="93" spans="1:13" ht="45" x14ac:dyDescent="0.25">
      <c r="A93" s="33" t="s">
        <v>14</v>
      </c>
      <c r="B93" s="34" t="str">
        <f>HYPERLINK("http://www.twitter.com/UoBLibServices", "UoBLibServices")</f>
        <v>UoBLibServices</v>
      </c>
      <c r="C93" s="33" t="s">
        <v>531</v>
      </c>
      <c r="D93" s="33" t="s">
        <v>532</v>
      </c>
      <c r="E93" s="32" t="s">
        <v>533</v>
      </c>
      <c r="F93" s="35">
        <v>259</v>
      </c>
      <c r="G93" s="35">
        <v>2401</v>
      </c>
      <c r="H93" s="35">
        <v>3905</v>
      </c>
      <c r="I93" s="35">
        <v>658</v>
      </c>
      <c r="J93" s="36">
        <v>41373</v>
      </c>
      <c r="K93" s="37">
        <v>0.40052083333333338</v>
      </c>
      <c r="L93" s="36">
        <v>42940</v>
      </c>
      <c r="M93" s="38">
        <v>0.51111111111111118</v>
      </c>
    </row>
    <row r="94" spans="1:13" ht="45" x14ac:dyDescent="0.25">
      <c r="A94" s="33" t="s">
        <v>14</v>
      </c>
      <c r="B94" s="34" t="str">
        <f>HYPERLINK("http://www.twitter.com/BirkbeckLibrary", "BirkbeckLibrary")</f>
        <v>BirkbeckLibrary</v>
      </c>
      <c r="C94" s="33" t="s">
        <v>275</v>
      </c>
      <c r="D94" s="33" t="s">
        <v>276</v>
      </c>
      <c r="E94" s="32" t="s">
        <v>277</v>
      </c>
      <c r="F94" s="35">
        <v>351</v>
      </c>
      <c r="G94" s="35">
        <v>3935</v>
      </c>
      <c r="H94" s="35">
        <v>3898</v>
      </c>
      <c r="I94" s="35">
        <v>263</v>
      </c>
      <c r="J94" s="36">
        <v>39727</v>
      </c>
      <c r="K94" s="37">
        <v>0.38342592592592589</v>
      </c>
      <c r="L94" s="36">
        <v>42940</v>
      </c>
      <c r="M94" s="38">
        <v>0.58506944444444442</v>
      </c>
    </row>
    <row r="95" spans="1:13" x14ac:dyDescent="0.25">
      <c r="A95" s="33" t="s">
        <v>14</v>
      </c>
      <c r="B95" s="34" t="str">
        <f>HYPERLINK("http://www.twitter.com/SaltireCentre", "SaltireCentre")</f>
        <v>SaltireCentre</v>
      </c>
      <c r="C95" s="33" t="s">
        <v>909</v>
      </c>
      <c r="D95" s="33" t="s">
        <v>138</v>
      </c>
      <c r="E95" s="32" t="s">
        <v>910</v>
      </c>
      <c r="F95" s="35">
        <v>328</v>
      </c>
      <c r="G95" s="35">
        <v>1447</v>
      </c>
      <c r="H95" s="35">
        <v>3888</v>
      </c>
      <c r="I95" s="35">
        <v>392</v>
      </c>
      <c r="J95" s="36">
        <v>40794</v>
      </c>
      <c r="K95" s="37">
        <v>0.6974421296296297</v>
      </c>
      <c r="L95" s="36">
        <v>42940</v>
      </c>
      <c r="M95" s="38">
        <v>0.37986111111111115</v>
      </c>
    </row>
    <row r="96" spans="1:13" ht="30" x14ac:dyDescent="0.25">
      <c r="A96" s="33" t="s">
        <v>14</v>
      </c>
      <c r="B96" s="34" t="str">
        <f>HYPERLINK("http://www.twitter.com/uoblibrary", "uoblibrary")</f>
        <v>uoblibrary</v>
      </c>
      <c r="C96" s="33" t="s">
        <v>735</v>
      </c>
      <c r="D96" s="33" t="s">
        <v>736</v>
      </c>
      <c r="E96" s="32" t="s">
        <v>737</v>
      </c>
      <c r="F96" s="35">
        <v>61</v>
      </c>
      <c r="G96" s="35">
        <v>1777</v>
      </c>
      <c r="H96" s="35">
        <v>3868</v>
      </c>
      <c r="I96" s="35">
        <v>19</v>
      </c>
      <c r="J96" s="36">
        <v>40085</v>
      </c>
      <c r="K96" s="37">
        <v>0.33899305555555559</v>
      </c>
      <c r="L96" s="36">
        <v>42940</v>
      </c>
      <c r="M96" s="38">
        <v>0.34920138888888891</v>
      </c>
    </row>
    <row r="97" spans="1:13" ht="45" x14ac:dyDescent="0.25">
      <c r="A97" s="33" t="s">
        <v>14</v>
      </c>
      <c r="B97" s="34" t="str">
        <f>HYPERLINK("http://www.twitter.com/OU_Library", "OU_Library")</f>
        <v>OU_Library</v>
      </c>
      <c r="C97" s="33" t="s">
        <v>63</v>
      </c>
      <c r="D97" s="33" t="s">
        <v>64</v>
      </c>
      <c r="E97" s="32" t="s">
        <v>65</v>
      </c>
      <c r="F97" s="35">
        <v>1998</v>
      </c>
      <c r="G97" s="35">
        <v>12896</v>
      </c>
      <c r="H97" s="35">
        <v>3763</v>
      </c>
      <c r="I97" s="35">
        <v>999</v>
      </c>
      <c r="J97" s="36">
        <v>39751</v>
      </c>
      <c r="K97" s="37">
        <v>0.35192129629629632</v>
      </c>
      <c r="L97" s="36">
        <v>42940</v>
      </c>
      <c r="M97" s="38">
        <v>0.67156249999999995</v>
      </c>
    </row>
    <row r="98" spans="1:13" ht="30" x14ac:dyDescent="0.25">
      <c r="A98" s="33" t="s">
        <v>14</v>
      </c>
      <c r="B98" s="34" t="str">
        <f>HYPERLINK("http://www.twitter.com/NULibrary", "NULibrary")</f>
        <v>NULibrary</v>
      </c>
      <c r="C98" s="33" t="s">
        <v>795</v>
      </c>
      <c r="D98" s="33" t="s">
        <v>361</v>
      </c>
      <c r="E98" s="32" t="s">
        <v>3698</v>
      </c>
      <c r="F98" s="35">
        <v>887</v>
      </c>
      <c r="G98" s="35">
        <v>1642</v>
      </c>
      <c r="H98" s="35">
        <v>3682</v>
      </c>
      <c r="I98" s="35">
        <v>1891</v>
      </c>
      <c r="J98" s="36">
        <v>41045</v>
      </c>
      <c r="K98" s="37">
        <v>0.37664351851851857</v>
      </c>
      <c r="L98" s="36">
        <v>42940</v>
      </c>
      <c r="M98" s="38">
        <v>0.68431712962962965</v>
      </c>
    </row>
    <row r="99" spans="1:13" ht="45" x14ac:dyDescent="0.25">
      <c r="A99" s="33" t="s">
        <v>14</v>
      </c>
      <c r="B99" s="34" t="str">
        <f>HYPERLINK("http://www.twitter.com/YSJ_ILS", "YSJ_ILS")</f>
        <v>YSJ_ILS</v>
      </c>
      <c r="C99" s="33" t="s">
        <v>1128</v>
      </c>
      <c r="D99" s="33" t="s">
        <v>1129</v>
      </c>
      <c r="E99" s="32" t="s">
        <v>1130</v>
      </c>
      <c r="F99" s="35">
        <v>375</v>
      </c>
      <c r="G99" s="35">
        <v>1094</v>
      </c>
      <c r="H99" s="35">
        <v>3659</v>
      </c>
      <c r="I99" s="35">
        <v>189</v>
      </c>
      <c r="J99" s="36">
        <v>40707</v>
      </c>
      <c r="K99" s="37">
        <v>0.44175925925925924</v>
      </c>
      <c r="L99" s="36">
        <v>42940</v>
      </c>
      <c r="M99" s="38">
        <v>0.66665509259259259</v>
      </c>
    </row>
    <row r="100" spans="1:13" ht="45" x14ac:dyDescent="0.25">
      <c r="A100" s="33" t="s">
        <v>14</v>
      </c>
      <c r="B100" s="34" t="str">
        <f>HYPERLINK("http://www.twitter.com/ASSLLiby", "ASSLLiby")</f>
        <v>ASSLLiby</v>
      </c>
      <c r="C100" s="33" t="s">
        <v>595</v>
      </c>
      <c r="D100" s="33" t="s">
        <v>427</v>
      </c>
      <c r="E100" s="32" t="s">
        <v>3700</v>
      </c>
      <c r="F100" s="35">
        <v>298</v>
      </c>
      <c r="G100" s="35">
        <v>2204</v>
      </c>
      <c r="H100" s="35">
        <v>3647</v>
      </c>
      <c r="I100" s="35">
        <v>488</v>
      </c>
      <c r="J100" s="36">
        <v>40814</v>
      </c>
      <c r="K100" s="37">
        <v>0.43584490740740739</v>
      </c>
      <c r="L100" s="36">
        <v>42940</v>
      </c>
      <c r="M100" s="38">
        <v>0.65421296296296294</v>
      </c>
    </row>
    <row r="101" spans="1:13" ht="45" x14ac:dyDescent="0.25">
      <c r="A101" s="33" t="s">
        <v>14</v>
      </c>
      <c r="B101" s="34" t="str">
        <f>HYPERLINK("http://www.twitter.com/sussexlibrary", "sussexlibrary")</f>
        <v>sussexlibrary</v>
      </c>
      <c r="C101" s="33" t="s">
        <v>165</v>
      </c>
      <c r="D101" s="33" t="s">
        <v>166</v>
      </c>
      <c r="E101" s="32" t="s">
        <v>167</v>
      </c>
      <c r="F101" s="35">
        <v>1384</v>
      </c>
      <c r="G101" s="35">
        <v>6151</v>
      </c>
      <c r="H101" s="35">
        <v>3633</v>
      </c>
      <c r="I101" s="35">
        <v>358</v>
      </c>
      <c r="J101" s="36">
        <v>39835</v>
      </c>
      <c r="K101" s="37">
        <v>0.70616898148148144</v>
      </c>
      <c r="L101" s="36">
        <v>42940</v>
      </c>
      <c r="M101" s="38">
        <v>0.50265046296296301</v>
      </c>
    </row>
    <row r="102" spans="1:13" ht="45" x14ac:dyDescent="0.25">
      <c r="A102" s="33" t="s">
        <v>14</v>
      </c>
      <c r="B102" s="34" t="str">
        <f>HYPERLINK("http://www.twitter.com/Cass_Library", "Cass_Library")</f>
        <v>Cass_Library</v>
      </c>
      <c r="C102" s="33" t="s">
        <v>1457</v>
      </c>
      <c r="D102" s="33" t="s">
        <v>36</v>
      </c>
      <c r="E102" s="32" t="s">
        <v>1458</v>
      </c>
      <c r="F102" s="35">
        <v>114</v>
      </c>
      <c r="G102" s="35">
        <v>776</v>
      </c>
      <c r="H102" s="35">
        <v>3623</v>
      </c>
      <c r="I102" s="35">
        <v>143</v>
      </c>
      <c r="J102" s="36">
        <v>39941</v>
      </c>
      <c r="K102" s="37">
        <v>0.60412037037037036</v>
      </c>
      <c r="L102" s="36">
        <v>42940</v>
      </c>
      <c r="M102" s="38">
        <v>0.50059027777777776</v>
      </c>
    </row>
    <row r="103" spans="1:13" x14ac:dyDescent="0.25">
      <c r="A103" s="33" t="s">
        <v>14</v>
      </c>
      <c r="B103" s="34" t="str">
        <f>HYPERLINK("http://www.twitter.com/uwelibglen", "uwelibglen")</f>
        <v>uwelibglen</v>
      </c>
      <c r="C103" s="33" t="s">
        <v>1379</v>
      </c>
      <c r="D103" s="33" t="s">
        <v>1295</v>
      </c>
      <c r="E103" s="32" t="s">
        <v>1380</v>
      </c>
      <c r="F103" s="35">
        <v>1142</v>
      </c>
      <c r="G103" s="35">
        <v>863</v>
      </c>
      <c r="H103" s="35">
        <v>3442</v>
      </c>
      <c r="I103" s="35">
        <v>672</v>
      </c>
      <c r="J103" s="36">
        <v>40681</v>
      </c>
      <c r="K103" s="37">
        <v>0.67923611111111104</v>
      </c>
      <c r="L103" s="36">
        <v>42940</v>
      </c>
      <c r="M103" s="38">
        <v>0.32629629629629631</v>
      </c>
    </row>
    <row r="104" spans="1:13" ht="45" x14ac:dyDescent="0.25">
      <c r="A104" s="33" t="s">
        <v>14</v>
      </c>
      <c r="B104" s="34" t="str">
        <f>HYPERLINK("http://www.twitter.com/UniRdg_Library", "UniRdg_Library")</f>
        <v>UniRdg_Library</v>
      </c>
      <c r="C104" s="33" t="s">
        <v>623</v>
      </c>
      <c r="D104" s="33" t="s">
        <v>624</v>
      </c>
      <c r="E104" s="32" t="s">
        <v>625</v>
      </c>
      <c r="F104" s="35">
        <v>112</v>
      </c>
      <c r="G104" s="35">
        <v>2153</v>
      </c>
      <c r="H104" s="35">
        <v>3352</v>
      </c>
      <c r="I104" s="35">
        <v>298</v>
      </c>
      <c r="J104" s="36">
        <v>39997</v>
      </c>
      <c r="K104" s="37">
        <v>0.49483796296296295</v>
      </c>
      <c r="L104" s="36">
        <v>42940</v>
      </c>
      <c r="M104" s="38">
        <v>0.58734953703703707</v>
      </c>
    </row>
    <row r="105" spans="1:13" ht="45" x14ac:dyDescent="0.25">
      <c r="A105" s="33" t="s">
        <v>14</v>
      </c>
      <c r="B105" s="34" t="str">
        <f>HYPERLINK("http://www.twitter.com/ccculibrary", "ccculibrary")</f>
        <v>ccculibrary</v>
      </c>
      <c r="C105" s="33" t="s">
        <v>756</v>
      </c>
      <c r="D105" s="33" t="s">
        <v>757</v>
      </c>
      <c r="E105" s="32" t="s">
        <v>758</v>
      </c>
      <c r="F105" s="35">
        <v>117</v>
      </c>
      <c r="G105" s="35">
        <v>1729</v>
      </c>
      <c r="H105" s="35">
        <v>3321</v>
      </c>
      <c r="I105" s="35">
        <v>385</v>
      </c>
      <c r="J105" s="36">
        <v>41086</v>
      </c>
      <c r="K105" s="37">
        <v>0.44321759259259258</v>
      </c>
      <c r="L105" s="36">
        <v>42940</v>
      </c>
      <c r="M105" s="38">
        <v>0.61319444444444449</v>
      </c>
    </row>
    <row r="106" spans="1:13" ht="30" x14ac:dyDescent="0.25">
      <c r="A106" s="33" t="s">
        <v>14</v>
      </c>
      <c r="B106" s="34" t="str">
        <f>HYPERLINK("http://www.twitter.com/BrookesLibrary", "BrookesLibrary")</f>
        <v>BrookesLibrary</v>
      </c>
      <c r="C106" s="33" t="s">
        <v>895</v>
      </c>
      <c r="D106" s="33" t="s">
        <v>896</v>
      </c>
      <c r="E106" s="32" t="s">
        <v>897</v>
      </c>
      <c r="F106" s="35">
        <v>407</v>
      </c>
      <c r="G106" s="35">
        <v>1456</v>
      </c>
      <c r="H106" s="35">
        <v>3306</v>
      </c>
      <c r="I106" s="35">
        <v>745</v>
      </c>
      <c r="J106" s="36">
        <v>39995</v>
      </c>
      <c r="K106" s="37">
        <v>0.56008101851851855</v>
      </c>
      <c r="L106" s="36">
        <v>42940</v>
      </c>
      <c r="M106" s="38">
        <v>0.47562499999999996</v>
      </c>
    </row>
    <row r="107" spans="1:13" ht="30" x14ac:dyDescent="0.25">
      <c r="A107" s="33" t="s">
        <v>14</v>
      </c>
      <c r="B107" s="34" t="str">
        <f>HYPERLINK("http://www.twitter.com/SenateHouseLib", "SenateHouseLib")</f>
        <v>SenateHouseLib</v>
      </c>
      <c r="C107" s="33" t="s">
        <v>123</v>
      </c>
      <c r="D107" s="33" t="s">
        <v>36</v>
      </c>
      <c r="E107" s="32" t="s">
        <v>3717</v>
      </c>
      <c r="F107" s="35">
        <v>3020</v>
      </c>
      <c r="G107" s="35">
        <v>7390</v>
      </c>
      <c r="H107" s="35">
        <v>3306</v>
      </c>
      <c r="I107" s="35">
        <v>187</v>
      </c>
      <c r="J107" s="36">
        <v>39920</v>
      </c>
      <c r="K107" s="37">
        <v>0.66435185185185186</v>
      </c>
      <c r="L107" s="36">
        <v>42940</v>
      </c>
      <c r="M107" s="38">
        <v>0.45690972222222226</v>
      </c>
    </row>
    <row r="108" spans="1:13" ht="60" x14ac:dyDescent="0.25">
      <c r="A108" s="33" t="s">
        <v>14</v>
      </c>
      <c r="B108" s="34" t="str">
        <f>HYPERLINK("http://www.twitter.com/BucksLib", "BucksLib")</f>
        <v>BucksLib</v>
      </c>
      <c r="C108" s="33" t="s">
        <v>1558</v>
      </c>
      <c r="D108" s="33" t="s">
        <v>1559</v>
      </c>
      <c r="E108" s="32" t="s">
        <v>1560</v>
      </c>
      <c r="F108" s="35">
        <v>545</v>
      </c>
      <c r="G108" s="35">
        <v>709</v>
      </c>
      <c r="H108" s="35">
        <v>3301</v>
      </c>
      <c r="I108" s="35">
        <v>85</v>
      </c>
      <c r="J108" s="36">
        <v>41453</v>
      </c>
      <c r="K108" s="37">
        <v>0.43916666666666665</v>
      </c>
      <c r="L108" s="36">
        <v>42940</v>
      </c>
      <c r="M108" s="38">
        <v>0.6451041666666667</v>
      </c>
    </row>
    <row r="109" spans="1:13" ht="45" x14ac:dyDescent="0.25">
      <c r="A109" s="33" t="s">
        <v>14</v>
      </c>
      <c r="B109" s="34" t="str">
        <f>HYPERLINK("http://www.twitter.com/UlsterUniLib", "UlsterUniLib")</f>
        <v>UlsterUniLib</v>
      </c>
      <c r="C109" s="33" t="s">
        <v>606</v>
      </c>
      <c r="D109" s="33" t="s">
        <v>607</v>
      </c>
      <c r="E109" s="32" t="s">
        <v>608</v>
      </c>
      <c r="F109" s="35">
        <v>705</v>
      </c>
      <c r="G109" s="35">
        <v>2202</v>
      </c>
      <c r="H109" s="35">
        <v>3298</v>
      </c>
      <c r="I109" s="35">
        <v>1187</v>
      </c>
      <c r="J109" s="36">
        <v>40058</v>
      </c>
      <c r="K109" s="37">
        <v>0.40496527777777774</v>
      </c>
      <c r="L109" s="36">
        <v>42937</v>
      </c>
      <c r="M109" s="38">
        <v>0.43118055555555551</v>
      </c>
    </row>
    <row r="110" spans="1:13" ht="30" x14ac:dyDescent="0.25">
      <c r="A110" s="33" t="s">
        <v>14</v>
      </c>
      <c r="B110" s="34" t="str">
        <f>HYPERLINK("http://www.twitter.com/Henley_ARC", "Henley_ARC")</f>
        <v>Henley_ARC</v>
      </c>
      <c r="C110" s="33" t="s">
        <v>3718</v>
      </c>
      <c r="D110" s="33" t="s">
        <v>3719</v>
      </c>
      <c r="E110" s="32" t="s">
        <v>3720</v>
      </c>
      <c r="F110" s="35">
        <v>209</v>
      </c>
      <c r="G110" s="35">
        <v>1584</v>
      </c>
      <c r="H110" s="35">
        <v>3258</v>
      </c>
      <c r="I110" s="35">
        <v>56</v>
      </c>
      <c r="J110" s="36">
        <v>39867</v>
      </c>
      <c r="K110" s="37">
        <v>0.47719907407407408</v>
      </c>
      <c r="L110" s="36">
        <v>42939</v>
      </c>
      <c r="M110" s="38">
        <v>0.46875</v>
      </c>
    </row>
    <row r="111" spans="1:13" ht="45" x14ac:dyDescent="0.25">
      <c r="A111" s="33" t="s">
        <v>14</v>
      </c>
      <c r="B111" s="34" t="str">
        <f>HYPERLINK("http://www.twitter.com/CUSciLiby", "CUSciLiby")</f>
        <v>CUSciLiby</v>
      </c>
      <c r="C111" s="33" t="s">
        <v>1217</v>
      </c>
      <c r="D111" s="33" t="s">
        <v>1218</v>
      </c>
      <c r="E111" s="32" t="s">
        <v>1219</v>
      </c>
      <c r="F111" s="35">
        <v>223</v>
      </c>
      <c r="G111" s="35">
        <v>1015</v>
      </c>
      <c r="H111" s="35">
        <v>3096</v>
      </c>
      <c r="I111" s="35">
        <v>1056</v>
      </c>
      <c r="J111" s="36">
        <v>40763</v>
      </c>
      <c r="K111" s="37">
        <v>0.64454861111111106</v>
      </c>
      <c r="L111" s="36">
        <v>42940</v>
      </c>
      <c r="M111" s="38">
        <v>0.53530092592592593</v>
      </c>
    </row>
    <row r="112" spans="1:13" ht="45" x14ac:dyDescent="0.25">
      <c r="A112" s="33" t="s">
        <v>14</v>
      </c>
      <c r="B112" s="34" t="str">
        <f>HYPERLINK("http://www.twitter.com/SwanseaUniLib", "SwanseaUniLib")</f>
        <v>SwanseaUniLib</v>
      </c>
      <c r="C112" s="33" t="s">
        <v>495</v>
      </c>
      <c r="D112" s="33" t="s">
        <v>496</v>
      </c>
      <c r="E112" s="32" t="s">
        <v>497</v>
      </c>
      <c r="F112" s="35">
        <v>461</v>
      </c>
      <c r="G112" s="35">
        <v>2512</v>
      </c>
      <c r="H112" s="35">
        <v>3073</v>
      </c>
      <c r="I112" s="35">
        <v>382</v>
      </c>
      <c r="J112" s="36">
        <v>40156</v>
      </c>
      <c r="K112" s="37">
        <v>0.39773148148148146</v>
      </c>
      <c r="L112" s="36">
        <v>42940</v>
      </c>
      <c r="M112" s="38">
        <v>0.43913194444444442</v>
      </c>
    </row>
    <row r="113" spans="1:13" ht="45" x14ac:dyDescent="0.25">
      <c r="A113" s="33" t="s">
        <v>14</v>
      </c>
      <c r="B113" s="34" t="str">
        <f>HYPERLINK("http://www.twitter.com/UCLSciLibrary", "UCLSciLibrary")</f>
        <v>UCLSciLibrary</v>
      </c>
      <c r="C113" s="33" t="s">
        <v>286</v>
      </c>
      <c r="D113" s="33" t="s">
        <v>287</v>
      </c>
      <c r="E113" s="32" t="s">
        <v>288</v>
      </c>
      <c r="F113" s="35">
        <v>425</v>
      </c>
      <c r="G113" s="35">
        <v>3733</v>
      </c>
      <c r="H113" s="35">
        <v>3041</v>
      </c>
      <c r="I113" s="35">
        <v>171</v>
      </c>
      <c r="J113" s="36">
        <v>39841</v>
      </c>
      <c r="K113" s="37">
        <v>0.44413194444444443</v>
      </c>
      <c r="L113" s="36">
        <v>42937</v>
      </c>
      <c r="M113" s="38">
        <v>0.70567129629629621</v>
      </c>
    </row>
    <row r="114" spans="1:13" ht="45" x14ac:dyDescent="0.25">
      <c r="A114" s="33" t="s">
        <v>14</v>
      </c>
      <c r="B114" s="34" t="str">
        <f>HYPERLINK("http://www.twitter.com/LCF_Library", "LCF_Library")</f>
        <v>LCF_Library</v>
      </c>
      <c r="C114" s="33" t="s">
        <v>753</v>
      </c>
      <c r="D114" s="33" t="s">
        <v>754</v>
      </c>
      <c r="E114" s="32" t="s">
        <v>755</v>
      </c>
      <c r="F114" s="35">
        <v>749</v>
      </c>
      <c r="G114" s="35">
        <v>1739</v>
      </c>
      <c r="H114" s="35">
        <v>3000</v>
      </c>
      <c r="I114" s="35">
        <v>990</v>
      </c>
      <c r="J114" s="36">
        <v>41025</v>
      </c>
      <c r="K114" s="37">
        <v>0.54189814814814818</v>
      </c>
      <c r="L114" s="36">
        <v>42940</v>
      </c>
      <c r="M114" s="38">
        <v>0.34687499999999999</v>
      </c>
    </row>
    <row r="115" spans="1:13" ht="45" x14ac:dyDescent="0.25">
      <c r="A115" s="33" t="s">
        <v>14</v>
      </c>
      <c r="B115" s="34" t="str">
        <f>HYPERLINK("http://www.twitter.com/UniEssexLibrary", "UniEssexLibrary")</f>
        <v>UniEssexLibrary</v>
      </c>
      <c r="C115" s="33" t="s">
        <v>847</v>
      </c>
      <c r="D115" s="33" t="s">
        <v>848</v>
      </c>
      <c r="E115" s="32" t="s">
        <v>849</v>
      </c>
      <c r="F115" s="35">
        <v>154</v>
      </c>
      <c r="G115" s="35">
        <v>1525</v>
      </c>
      <c r="H115" s="35">
        <v>2942</v>
      </c>
      <c r="I115" s="35">
        <v>716</v>
      </c>
      <c r="J115" s="36">
        <v>41262</v>
      </c>
      <c r="K115" s="37">
        <v>0.59437499999999999</v>
      </c>
      <c r="L115" s="36">
        <v>42940</v>
      </c>
      <c r="M115" s="38">
        <v>0.58546296296296296</v>
      </c>
    </row>
    <row r="116" spans="1:13" ht="45" x14ac:dyDescent="0.25">
      <c r="A116" s="33" t="s">
        <v>14</v>
      </c>
      <c r="B116" s="34" t="str">
        <f>HYPERLINK("http://www.twitter.com/UCLSSEESLibrary", "UCLSSEESLibrary")</f>
        <v>UCLSSEESLibrary</v>
      </c>
      <c r="C116" s="33" t="s">
        <v>672</v>
      </c>
      <c r="D116" s="33" t="s">
        <v>36</v>
      </c>
      <c r="E116" s="32" t="s">
        <v>673</v>
      </c>
      <c r="F116" s="35">
        <v>436</v>
      </c>
      <c r="G116" s="35">
        <v>1997</v>
      </c>
      <c r="H116" s="35">
        <v>2936</v>
      </c>
      <c r="I116" s="35">
        <v>197</v>
      </c>
      <c r="J116" s="36">
        <v>40254</v>
      </c>
      <c r="K116" s="37">
        <v>0.78151620370370367</v>
      </c>
      <c r="L116" s="36">
        <v>42938</v>
      </c>
      <c r="M116" s="38">
        <v>0.69518518518518524</v>
      </c>
    </row>
    <row r="117" spans="1:13" ht="30" x14ac:dyDescent="0.25">
      <c r="A117" s="33" t="s">
        <v>14</v>
      </c>
      <c r="B117" s="34" t="str">
        <f>HYPERLINK("http://www.twitter.com/ComputingNapier", "ComputingNapier")</f>
        <v>ComputingNapier</v>
      </c>
      <c r="C117" s="33" t="s">
        <v>990</v>
      </c>
      <c r="D117" s="33" t="s">
        <v>24</v>
      </c>
      <c r="E117" s="32" t="s">
        <v>991</v>
      </c>
      <c r="F117" s="35">
        <v>1066</v>
      </c>
      <c r="G117" s="35">
        <v>1311</v>
      </c>
      <c r="H117" s="35">
        <v>2916</v>
      </c>
      <c r="I117" s="35">
        <v>105</v>
      </c>
      <c r="J117" s="36">
        <v>40436</v>
      </c>
      <c r="K117" s="37">
        <v>0.74550925925925926</v>
      </c>
      <c r="L117" s="36">
        <v>42940</v>
      </c>
      <c r="M117" s="38">
        <v>0.43943287037037032</v>
      </c>
    </row>
    <row r="118" spans="1:13" ht="30" x14ac:dyDescent="0.25">
      <c r="A118" s="33" t="s">
        <v>14</v>
      </c>
      <c r="B118" s="34" t="str">
        <f>HYPERLINK("http://www.twitter.com/LibraryArtLeeds", "LibraryArtLeeds")</f>
        <v>LibraryArtLeeds</v>
      </c>
      <c r="C118" s="33" t="s">
        <v>3696</v>
      </c>
      <c r="D118" s="33" t="s">
        <v>180</v>
      </c>
      <c r="E118" s="32" t="s">
        <v>1175</v>
      </c>
      <c r="F118" s="35">
        <v>462</v>
      </c>
      <c r="G118" s="35">
        <v>1054</v>
      </c>
      <c r="H118" s="35">
        <v>2910</v>
      </c>
      <c r="I118" s="35">
        <v>360</v>
      </c>
      <c r="J118" s="36">
        <v>41373</v>
      </c>
      <c r="K118" s="37">
        <v>0.44800925925925927</v>
      </c>
      <c r="L118" s="36">
        <v>42940</v>
      </c>
      <c r="M118" s="38">
        <v>0.43636574074074069</v>
      </c>
    </row>
    <row r="119" spans="1:13" ht="30" x14ac:dyDescent="0.25">
      <c r="A119" s="33" t="s">
        <v>14</v>
      </c>
      <c r="B119" s="34" t="str">
        <f>HYPERLINK("http://www.twitter.com/eflcam", "eflcam")</f>
        <v>eflcam</v>
      </c>
      <c r="C119" s="33" t="s">
        <v>548</v>
      </c>
      <c r="D119" s="33" t="s">
        <v>788</v>
      </c>
      <c r="E119" s="32" t="s">
        <v>891</v>
      </c>
      <c r="F119" s="35">
        <v>744</v>
      </c>
      <c r="G119" s="35">
        <v>1487</v>
      </c>
      <c r="H119" s="35">
        <v>2905</v>
      </c>
      <c r="I119" s="35">
        <v>403</v>
      </c>
      <c r="J119" s="36">
        <v>40377</v>
      </c>
      <c r="K119" s="37">
        <v>0.80907407407407417</v>
      </c>
      <c r="L119" s="36">
        <v>42936</v>
      </c>
      <c r="M119" s="38">
        <v>0.46217592592592593</v>
      </c>
    </row>
    <row r="120" spans="1:13" ht="30" x14ac:dyDescent="0.25">
      <c r="A120" s="33" t="s">
        <v>14</v>
      </c>
      <c r="B120" s="34" t="str">
        <f>HYPERLINK("http://www.twitter.com/NuffieldLibrary", "NuffieldLibrary")</f>
        <v>NuffieldLibrary</v>
      </c>
      <c r="C120" s="33" t="s">
        <v>844</v>
      </c>
      <c r="D120" s="33" t="s">
        <v>845</v>
      </c>
      <c r="E120" s="32" t="s">
        <v>846</v>
      </c>
      <c r="F120" s="35">
        <v>593</v>
      </c>
      <c r="G120" s="35">
        <v>1542</v>
      </c>
      <c r="H120" s="35">
        <v>2894</v>
      </c>
      <c r="I120" s="35">
        <v>99</v>
      </c>
      <c r="J120" s="36">
        <v>39934</v>
      </c>
      <c r="K120" s="37">
        <v>0.4463078703703704</v>
      </c>
      <c r="L120" s="36">
        <v>42940</v>
      </c>
      <c r="M120" s="38">
        <v>0.55425925925925923</v>
      </c>
    </row>
    <row r="121" spans="1:13" ht="45" x14ac:dyDescent="0.25">
      <c r="A121" s="33" t="s">
        <v>14</v>
      </c>
      <c r="B121" s="34" t="str">
        <f>HYPERLINK("http://www.twitter.com/EdUniLibraries", "EdUniLibraries")</f>
        <v>EdUniLibraries</v>
      </c>
      <c r="C121" s="33" t="s">
        <v>800</v>
      </c>
      <c r="D121" s="33" t="s">
        <v>487</v>
      </c>
      <c r="E121" s="32" t="s">
        <v>801</v>
      </c>
      <c r="F121" s="35">
        <v>410</v>
      </c>
      <c r="G121" s="35">
        <v>1650</v>
      </c>
      <c r="H121" s="35">
        <v>2881</v>
      </c>
      <c r="I121" s="35">
        <v>425</v>
      </c>
      <c r="J121" s="36">
        <v>41884</v>
      </c>
      <c r="K121" s="37">
        <v>0.65</v>
      </c>
      <c r="L121" s="36">
        <v>42940</v>
      </c>
      <c r="M121" s="38">
        <v>0.6383564814814815</v>
      </c>
    </row>
    <row r="122" spans="1:13" ht="45" x14ac:dyDescent="0.25">
      <c r="A122" s="33" t="s">
        <v>14</v>
      </c>
      <c r="B122" s="34" t="str">
        <f>HYPERLINK("http://www.twitter.com/aberuni_is", "aberuni_is")</f>
        <v>aberuni_is</v>
      </c>
      <c r="C122" s="33" t="s">
        <v>867</v>
      </c>
      <c r="D122" s="33" t="s">
        <v>868</v>
      </c>
      <c r="E122" s="32" t="s">
        <v>869</v>
      </c>
      <c r="F122" s="35">
        <v>523</v>
      </c>
      <c r="G122" s="35">
        <v>1469</v>
      </c>
      <c r="H122" s="35">
        <v>2880</v>
      </c>
      <c r="I122" s="35">
        <v>32</v>
      </c>
      <c r="J122" s="36">
        <v>39939</v>
      </c>
      <c r="K122" s="37">
        <v>0.59342592592592591</v>
      </c>
      <c r="L122" s="36">
        <v>42935</v>
      </c>
      <c r="M122" s="38">
        <v>0.3334375</v>
      </c>
    </row>
    <row r="123" spans="1:13" ht="45" x14ac:dyDescent="0.25">
      <c r="A123" s="33" t="s">
        <v>14</v>
      </c>
      <c r="B123" s="34" t="str">
        <f>HYPERLINK("http://www.twitter.com/ULawLibrary", "ULawLibrary")</f>
        <v>ULawLibrary</v>
      </c>
      <c r="C123" s="33" t="s">
        <v>2077</v>
      </c>
      <c r="D123" s="33" t="s">
        <v>296</v>
      </c>
      <c r="E123" s="32" t="s">
        <v>2078</v>
      </c>
      <c r="F123" s="35">
        <v>296</v>
      </c>
      <c r="G123" s="35">
        <v>384</v>
      </c>
      <c r="H123" s="35">
        <v>2792</v>
      </c>
      <c r="I123" s="35">
        <v>43</v>
      </c>
      <c r="J123" s="36">
        <v>41141</v>
      </c>
      <c r="K123" s="37">
        <v>0.58627314814814813</v>
      </c>
      <c r="L123" s="36">
        <v>42936</v>
      </c>
      <c r="M123" s="38">
        <v>0.4757291666666667</v>
      </c>
    </row>
    <row r="124" spans="1:13" ht="45" x14ac:dyDescent="0.25">
      <c r="A124" s="33" t="s">
        <v>14</v>
      </c>
      <c r="B124" s="34" t="str">
        <f>HYPERLINK("http://www.twitter.com/WCA_Library", "WCA_Library")</f>
        <v>WCA_Library</v>
      </c>
      <c r="C124" s="33" t="s">
        <v>1476</v>
      </c>
      <c r="E124" s="32" t="s">
        <v>1477</v>
      </c>
      <c r="F124" s="35">
        <v>285</v>
      </c>
      <c r="G124" s="35">
        <v>770</v>
      </c>
      <c r="H124" s="35">
        <v>2755</v>
      </c>
      <c r="I124" s="35">
        <v>155</v>
      </c>
      <c r="J124" s="36">
        <v>41178</v>
      </c>
      <c r="K124" s="37">
        <v>0.41765046296296293</v>
      </c>
      <c r="L124" s="36">
        <v>42935</v>
      </c>
      <c r="M124" s="38">
        <v>0.63761574074074068</v>
      </c>
    </row>
    <row r="125" spans="1:13" ht="45" x14ac:dyDescent="0.25">
      <c r="A125" s="33" t="s">
        <v>14</v>
      </c>
      <c r="B125" s="34" t="str">
        <f>HYPERLINK("http://www.twitter.com/LucyCavLib", "LucyCavLib")</f>
        <v>LucyCavLib</v>
      </c>
      <c r="C125" s="33" t="s">
        <v>1640</v>
      </c>
      <c r="D125" s="33" t="s">
        <v>1149</v>
      </c>
      <c r="E125" s="32" t="s">
        <v>1641</v>
      </c>
      <c r="F125" s="35">
        <v>312</v>
      </c>
      <c r="G125" s="35">
        <v>638</v>
      </c>
      <c r="H125" s="35">
        <v>2749</v>
      </c>
      <c r="I125" s="35">
        <v>393</v>
      </c>
      <c r="J125" s="36">
        <v>41162</v>
      </c>
      <c r="K125" s="37">
        <v>0.57939814814814816</v>
      </c>
      <c r="L125" s="36">
        <v>42936</v>
      </c>
      <c r="M125" s="38">
        <v>0.47215277777777781</v>
      </c>
    </row>
    <row r="126" spans="1:13" ht="45" x14ac:dyDescent="0.25">
      <c r="A126" s="33" t="s">
        <v>14</v>
      </c>
      <c r="B126" s="34" t="str">
        <f>HYPERLINK("http://www.twitter.com/CardiffMetLearn", "CardiffMetLearn")</f>
        <v>CardiffMetLearn</v>
      </c>
      <c r="C126" s="33" t="s">
        <v>1205</v>
      </c>
      <c r="D126" s="33" t="s">
        <v>427</v>
      </c>
      <c r="E126" s="32" t="s">
        <v>1206</v>
      </c>
      <c r="F126" s="35">
        <v>401</v>
      </c>
      <c r="G126" s="35">
        <v>1017</v>
      </c>
      <c r="H126" s="35">
        <v>2693</v>
      </c>
      <c r="I126" s="35">
        <v>362</v>
      </c>
      <c r="J126" s="36">
        <v>40092</v>
      </c>
      <c r="K126" s="37">
        <v>0.53362268518518519</v>
      </c>
      <c r="L126" s="36">
        <v>42940</v>
      </c>
      <c r="M126" s="38">
        <v>0.57787037037037037</v>
      </c>
    </row>
    <row r="127" spans="1:13" x14ac:dyDescent="0.25">
      <c r="A127" s="33" t="s">
        <v>14</v>
      </c>
      <c r="B127" s="34" t="str">
        <f>HYPERLINK("http://www.twitter.com/lbinfo", "lbinfo")</f>
        <v>lbinfo</v>
      </c>
      <c r="C127" s="33" t="s">
        <v>580</v>
      </c>
      <c r="D127" s="33" t="s">
        <v>581</v>
      </c>
      <c r="E127" s="32" t="s">
        <v>582</v>
      </c>
      <c r="F127" s="35">
        <v>206</v>
      </c>
      <c r="G127" s="35">
        <v>2232</v>
      </c>
      <c r="H127" s="35">
        <v>2683</v>
      </c>
      <c r="I127" s="35">
        <v>431</v>
      </c>
      <c r="J127" s="36">
        <v>39879</v>
      </c>
      <c r="K127" s="37">
        <v>0.75054398148148149</v>
      </c>
      <c r="L127" s="36">
        <v>42936</v>
      </c>
      <c r="M127" s="38">
        <v>0.50202546296296291</v>
      </c>
    </row>
    <row r="128" spans="1:13" x14ac:dyDescent="0.25">
      <c r="A128" s="33" t="s">
        <v>14</v>
      </c>
      <c r="B128" s="34" t="str">
        <f>HYPERLINK("http://www.twitter.com/uswlibrary", "uswlibrary")</f>
        <v>uswlibrary</v>
      </c>
      <c r="C128" s="33" t="s">
        <v>1048</v>
      </c>
      <c r="D128" s="33" t="s">
        <v>1049</v>
      </c>
      <c r="E128" s="32" t="s">
        <v>1050</v>
      </c>
      <c r="F128" s="35">
        <v>384</v>
      </c>
      <c r="G128" s="35">
        <v>1213</v>
      </c>
      <c r="H128" s="35">
        <v>2665</v>
      </c>
      <c r="I128" s="35">
        <v>197</v>
      </c>
      <c r="J128" s="36">
        <v>39765</v>
      </c>
      <c r="K128" s="37">
        <v>0.61565972222222221</v>
      </c>
      <c r="L128" s="36">
        <v>42940</v>
      </c>
      <c r="M128" s="38">
        <v>0.52543981481481483</v>
      </c>
    </row>
    <row r="129" spans="1:13" ht="30" x14ac:dyDescent="0.25">
      <c r="A129" s="33" t="s">
        <v>14</v>
      </c>
      <c r="B129" s="34" t="str">
        <f>HYPERLINK("http://www.twitter.com/vhllib", "vhllib")</f>
        <v>vhllib</v>
      </c>
      <c r="C129" s="33" t="s">
        <v>1230</v>
      </c>
      <c r="D129" s="33" t="s">
        <v>12</v>
      </c>
      <c r="E129" s="32" t="s">
        <v>1231</v>
      </c>
      <c r="F129" s="35">
        <v>353</v>
      </c>
      <c r="G129" s="35">
        <v>1000</v>
      </c>
      <c r="H129" s="35">
        <v>2656</v>
      </c>
      <c r="I129" s="35">
        <v>79</v>
      </c>
      <c r="J129" s="36">
        <v>39877</v>
      </c>
      <c r="K129" s="37">
        <v>0.65708333333333335</v>
      </c>
      <c r="L129" s="36">
        <v>42940</v>
      </c>
      <c r="M129" s="38">
        <v>0.56015046296296289</v>
      </c>
    </row>
    <row r="130" spans="1:13" ht="30" x14ac:dyDescent="0.25">
      <c r="A130" s="33" t="s">
        <v>14</v>
      </c>
      <c r="B130" s="34" t="str">
        <f>HYPERLINK("http://www.twitter.com/Newman_Uni", "Newman_Uni")</f>
        <v>Newman_Uni</v>
      </c>
      <c r="C130" s="33" t="s">
        <v>309</v>
      </c>
      <c r="D130" s="33" t="s">
        <v>310</v>
      </c>
      <c r="E130" s="32" t="s">
        <v>311</v>
      </c>
      <c r="F130" s="35">
        <v>265</v>
      </c>
      <c r="G130" s="35">
        <v>3572</v>
      </c>
      <c r="H130" s="35">
        <v>2653</v>
      </c>
      <c r="I130" s="35">
        <v>1059</v>
      </c>
      <c r="J130" s="36">
        <v>39827</v>
      </c>
      <c r="K130" s="37">
        <v>0.44771990740740741</v>
      </c>
      <c r="L130" s="36">
        <v>42937</v>
      </c>
      <c r="M130" s="38">
        <v>0.42917824074074074</v>
      </c>
    </row>
    <row r="131" spans="1:13" ht="30" x14ac:dyDescent="0.25">
      <c r="A131" s="33" t="s">
        <v>14</v>
      </c>
      <c r="B131" s="34" t="str">
        <f>HYPERLINK("http://www.twitter.com/isstirling", "isstirling")</f>
        <v>isstirling</v>
      </c>
      <c r="C131" s="33" t="s">
        <v>1200</v>
      </c>
      <c r="D131" s="33" t="s">
        <v>1201</v>
      </c>
      <c r="E131" s="32" t="s">
        <v>1202</v>
      </c>
      <c r="F131" s="35">
        <v>240</v>
      </c>
      <c r="G131" s="35">
        <v>1014</v>
      </c>
      <c r="H131" s="35">
        <v>2641</v>
      </c>
      <c r="I131" s="35">
        <v>792</v>
      </c>
      <c r="J131" s="36">
        <v>40205</v>
      </c>
      <c r="K131" s="37">
        <v>0.65296296296296297</v>
      </c>
      <c r="L131" s="36">
        <v>42940</v>
      </c>
      <c r="M131" s="38">
        <v>0.65743055555555563</v>
      </c>
    </row>
    <row r="132" spans="1:13" ht="30" x14ac:dyDescent="0.25">
      <c r="A132" s="33" t="s">
        <v>14</v>
      </c>
      <c r="B132" s="34" t="str">
        <f>HYPERLINK("http://www.twitter.com/UWL_Library", "UWL_Library")</f>
        <v>UWL_Library</v>
      </c>
      <c r="C132" s="33" t="s">
        <v>957</v>
      </c>
      <c r="D132" s="33" t="s">
        <v>36</v>
      </c>
      <c r="E132" s="32" t="s">
        <v>958</v>
      </c>
      <c r="F132" s="35">
        <v>316</v>
      </c>
      <c r="G132" s="35">
        <v>1343</v>
      </c>
      <c r="H132" s="35">
        <v>2607</v>
      </c>
      <c r="I132" s="35">
        <v>134</v>
      </c>
      <c r="J132" s="36">
        <v>39976</v>
      </c>
      <c r="K132" s="37">
        <v>0.42420138888888892</v>
      </c>
      <c r="L132" s="36">
        <v>42937</v>
      </c>
      <c r="M132" s="38">
        <v>0.41253472222222221</v>
      </c>
    </row>
    <row r="133" spans="1:13" ht="30" x14ac:dyDescent="0.25">
      <c r="A133" s="33" t="s">
        <v>14</v>
      </c>
      <c r="B133" s="34" t="str">
        <f>HYPERLINK("http://www.twitter.com/LancasterUniLib", "LancasterUniLib")</f>
        <v>LancasterUniLib</v>
      </c>
      <c r="C133" s="33" t="s">
        <v>534</v>
      </c>
      <c r="D133" s="33" t="s">
        <v>535</v>
      </c>
      <c r="E133" s="32" t="s">
        <v>536</v>
      </c>
      <c r="F133" s="35">
        <v>252</v>
      </c>
      <c r="G133" s="35">
        <v>2401</v>
      </c>
      <c r="H133" s="35">
        <v>2603</v>
      </c>
      <c r="I133" s="35">
        <v>518</v>
      </c>
      <c r="J133" s="36">
        <v>39931</v>
      </c>
      <c r="K133" s="37">
        <v>0.58255787037037032</v>
      </c>
      <c r="L133" s="36">
        <v>42940</v>
      </c>
      <c r="M133" s="38">
        <v>0.59829861111111116</v>
      </c>
    </row>
    <row r="134" spans="1:13" ht="45" x14ac:dyDescent="0.25">
      <c r="A134" s="33" t="s">
        <v>14</v>
      </c>
      <c r="B134" s="34" t="str">
        <f>HYPERLINK("http://www.twitter.com/CRC_EdUni", "CRC_EdUni")</f>
        <v>CRC_EdUni</v>
      </c>
      <c r="C134" s="33" t="s">
        <v>657</v>
      </c>
      <c r="D134" s="33" t="s">
        <v>67</v>
      </c>
      <c r="E134" s="32" t="s">
        <v>658</v>
      </c>
      <c r="F134" s="35">
        <v>1180</v>
      </c>
      <c r="G134" s="35">
        <v>2058</v>
      </c>
      <c r="H134" s="35">
        <v>2599</v>
      </c>
      <c r="I134" s="35">
        <v>675</v>
      </c>
      <c r="J134" s="36">
        <v>41506</v>
      </c>
      <c r="K134" s="37">
        <v>0.61243055555555559</v>
      </c>
      <c r="L134" s="36">
        <v>42937</v>
      </c>
      <c r="M134" s="38">
        <v>0.40243055555555557</v>
      </c>
    </row>
    <row r="135" spans="1:13" ht="45" x14ac:dyDescent="0.25">
      <c r="A135" s="33" t="s">
        <v>14</v>
      </c>
      <c r="B135" s="34" t="str">
        <f>HYPERLINK("http://www.twitter.com/SawLib", "SawLib")</f>
        <v>SawLib</v>
      </c>
      <c r="C135" s="33" t="s">
        <v>1702</v>
      </c>
      <c r="D135" s="33" t="s">
        <v>1703</v>
      </c>
      <c r="E135" s="32" t="s">
        <v>1704</v>
      </c>
      <c r="F135" s="35">
        <v>576</v>
      </c>
      <c r="G135" s="35">
        <v>577</v>
      </c>
      <c r="H135" s="35">
        <v>2598</v>
      </c>
      <c r="I135" s="35">
        <v>1015</v>
      </c>
      <c r="J135" s="36">
        <v>40718</v>
      </c>
      <c r="K135" s="37">
        <v>0.84410879629629632</v>
      </c>
      <c r="L135" s="36">
        <v>42940</v>
      </c>
      <c r="M135" s="38">
        <v>0.73327546296296298</v>
      </c>
    </row>
    <row r="136" spans="1:13" ht="45" x14ac:dyDescent="0.25">
      <c r="A136" s="33" t="s">
        <v>14</v>
      </c>
      <c r="B136" s="34" t="str">
        <f>HYPERLINK("http://www.twitter.com/JerwoodLib", "JerwoodLib")</f>
        <v>JerwoodLib</v>
      </c>
      <c r="C136" s="33" t="s">
        <v>1384</v>
      </c>
      <c r="D136" s="33" t="s">
        <v>1385</v>
      </c>
      <c r="E136" s="32" t="s">
        <v>1386</v>
      </c>
      <c r="F136" s="35">
        <v>1033</v>
      </c>
      <c r="G136" s="35">
        <v>835</v>
      </c>
      <c r="H136" s="35">
        <v>2536</v>
      </c>
      <c r="I136" s="35">
        <v>120</v>
      </c>
      <c r="J136" s="36">
        <v>40333</v>
      </c>
      <c r="K136" s="37">
        <v>0.60329861111111105</v>
      </c>
      <c r="L136" s="36">
        <v>42940</v>
      </c>
      <c r="M136" s="38">
        <v>0.33413194444444444</v>
      </c>
    </row>
    <row r="137" spans="1:13" ht="60" x14ac:dyDescent="0.25">
      <c r="A137" s="33" t="s">
        <v>14</v>
      </c>
      <c r="B137" s="34" t="str">
        <f>HYPERLINK("http://www.twitter.com/uwlibservices", "uwlibservices")</f>
        <v>uwlibservices</v>
      </c>
      <c r="C137" s="33" t="s">
        <v>1591</v>
      </c>
      <c r="D137" s="33" t="s">
        <v>1592</v>
      </c>
      <c r="E137" s="32" t="s">
        <v>3692</v>
      </c>
      <c r="F137" s="35">
        <v>457</v>
      </c>
      <c r="G137" s="35">
        <v>667</v>
      </c>
      <c r="H137" s="35">
        <v>2499</v>
      </c>
      <c r="I137" s="35">
        <v>430</v>
      </c>
      <c r="J137" s="36">
        <v>42027</v>
      </c>
      <c r="K137" s="37">
        <v>0.47754629629629625</v>
      </c>
      <c r="L137" s="36">
        <v>42940</v>
      </c>
      <c r="M137" s="38">
        <v>0.3967013888888889</v>
      </c>
    </row>
    <row r="138" spans="1:13" ht="45" x14ac:dyDescent="0.25">
      <c r="A138" s="33" t="s">
        <v>14</v>
      </c>
      <c r="B138" s="34" t="str">
        <f>HYPERLINK("http://www.twitter.com/thelawbod", "thelawbod")</f>
        <v>thelawbod</v>
      </c>
      <c r="C138" s="33" t="s">
        <v>504</v>
      </c>
      <c r="D138" s="33" t="s">
        <v>505</v>
      </c>
      <c r="E138" s="32" t="s">
        <v>506</v>
      </c>
      <c r="F138" s="35">
        <v>216</v>
      </c>
      <c r="G138" s="35">
        <v>2464</v>
      </c>
      <c r="H138" s="35">
        <v>2478</v>
      </c>
      <c r="I138" s="35">
        <v>14</v>
      </c>
      <c r="J138" s="36">
        <v>39909</v>
      </c>
      <c r="K138" s="37">
        <v>0.60695601851851855</v>
      </c>
      <c r="L138" s="36">
        <v>42940</v>
      </c>
      <c r="M138" s="38">
        <v>0.60446759259259253</v>
      </c>
    </row>
    <row r="139" spans="1:13" ht="45" x14ac:dyDescent="0.25">
      <c r="A139" s="33" t="s">
        <v>14</v>
      </c>
      <c r="B139" s="34" t="str">
        <f>HYPERLINK("http://www.twitter.com/rosemurlib", "rosemurlib")</f>
        <v>rosemurlib</v>
      </c>
      <c r="C139" s="33" t="s">
        <v>1750</v>
      </c>
      <c r="D139" s="33" t="s">
        <v>61</v>
      </c>
      <c r="E139" s="32" t="s">
        <v>1751</v>
      </c>
      <c r="F139" s="35">
        <v>412</v>
      </c>
      <c r="G139" s="35">
        <v>540</v>
      </c>
      <c r="H139" s="35">
        <v>2469</v>
      </c>
      <c r="I139" s="35">
        <v>279</v>
      </c>
      <c r="J139" s="36">
        <v>40380</v>
      </c>
      <c r="K139" s="37">
        <v>0.58121527777777782</v>
      </c>
      <c r="L139" s="36">
        <v>42940</v>
      </c>
      <c r="M139" s="38">
        <v>0.39666666666666667</v>
      </c>
    </row>
    <row r="140" spans="1:13" ht="45" x14ac:dyDescent="0.25">
      <c r="A140" s="33" t="s">
        <v>14</v>
      </c>
      <c r="B140" s="34" t="str">
        <f>HYPERLINK("http://www.twitter.com/WelLibOxford", "WelLibOxford")</f>
        <v>WelLibOxford</v>
      </c>
      <c r="C140" s="33" t="s">
        <v>792</v>
      </c>
      <c r="D140" s="33" t="s">
        <v>793</v>
      </c>
      <c r="E140" s="32" t="s">
        <v>794</v>
      </c>
      <c r="F140" s="35">
        <v>342</v>
      </c>
      <c r="G140" s="35">
        <v>1647</v>
      </c>
      <c r="H140" s="35">
        <v>2427</v>
      </c>
      <c r="I140" s="35">
        <v>106</v>
      </c>
      <c r="J140" s="36">
        <v>40591</v>
      </c>
      <c r="K140" s="37">
        <v>0.64362268518518517</v>
      </c>
      <c r="L140" s="36">
        <v>42937</v>
      </c>
      <c r="M140" s="38">
        <v>0.43912037037037038</v>
      </c>
    </row>
    <row r="141" spans="1:13" x14ac:dyDescent="0.25">
      <c r="A141" s="33" t="s">
        <v>14</v>
      </c>
      <c r="B141" s="34" t="str">
        <f>HYPERLINK("http://www.twitter.com/ExeterUniLib", "ExeterUniLib")</f>
        <v>ExeterUniLib</v>
      </c>
      <c r="C141" s="33" t="s">
        <v>629</v>
      </c>
      <c r="D141" s="33" t="s">
        <v>630</v>
      </c>
      <c r="E141" s="32" t="s">
        <v>631</v>
      </c>
      <c r="F141" s="35">
        <v>59</v>
      </c>
      <c r="G141" s="35">
        <v>2120</v>
      </c>
      <c r="H141" s="35">
        <v>2421</v>
      </c>
      <c r="I141" s="35">
        <v>31</v>
      </c>
      <c r="J141" s="36">
        <v>40135</v>
      </c>
      <c r="K141" s="37">
        <v>0.66736111111111107</v>
      </c>
      <c r="L141" s="36">
        <v>42940</v>
      </c>
      <c r="M141" s="38">
        <v>0.56290509259259258</v>
      </c>
    </row>
    <row r="142" spans="1:13" ht="30" x14ac:dyDescent="0.25">
      <c r="A142" s="33" t="s">
        <v>14</v>
      </c>
      <c r="B142" s="34" t="str">
        <f>HYPERLINK("http://www.twitter.com/FADA_Library", "FADA_Library")</f>
        <v>FADA_Library</v>
      </c>
      <c r="C142" s="33" t="s">
        <v>2789</v>
      </c>
      <c r="D142" s="33" t="s">
        <v>666</v>
      </c>
      <c r="E142" s="32" t="s">
        <v>2790</v>
      </c>
      <c r="F142" s="35">
        <v>316</v>
      </c>
      <c r="G142" s="35">
        <v>184</v>
      </c>
      <c r="H142" s="35">
        <v>2409</v>
      </c>
      <c r="I142" s="35">
        <v>13</v>
      </c>
      <c r="J142" s="36">
        <v>41897</v>
      </c>
      <c r="K142" s="37">
        <v>0.61693287037037037</v>
      </c>
      <c r="L142" s="36">
        <v>42891</v>
      </c>
      <c r="M142" s="38">
        <v>0.35203703703703698</v>
      </c>
    </row>
    <row r="143" spans="1:13" ht="30" x14ac:dyDescent="0.25">
      <c r="A143" s="33" t="s">
        <v>14</v>
      </c>
      <c r="B143" s="34" t="str">
        <f>HYPERLINK("http://www.twitter.com/QMULRC", "QMULRC")</f>
        <v>QMULRC</v>
      </c>
      <c r="C143" s="33" t="s">
        <v>1282</v>
      </c>
      <c r="D143" s="33" t="s">
        <v>24</v>
      </c>
      <c r="E143" s="32" t="s">
        <v>1283</v>
      </c>
      <c r="F143" s="35">
        <v>699</v>
      </c>
      <c r="G143" s="35">
        <v>967</v>
      </c>
      <c r="H143" s="35">
        <v>2391</v>
      </c>
      <c r="I143" s="35">
        <v>681</v>
      </c>
      <c r="J143" s="36">
        <v>39861</v>
      </c>
      <c r="K143" s="37">
        <v>0.3628587962962963</v>
      </c>
      <c r="L143" s="36">
        <v>42937</v>
      </c>
      <c r="M143" s="38">
        <v>0.50418981481481484</v>
      </c>
    </row>
    <row r="144" spans="1:13" ht="45" x14ac:dyDescent="0.25">
      <c r="A144" s="33" t="s">
        <v>14</v>
      </c>
      <c r="B144" s="34" t="str">
        <f>HYPERLINK("http://www.twitter.com/Chelsea_Library", "Chelsea_Library")</f>
        <v>Chelsea_Library</v>
      </c>
      <c r="C144" s="33" t="s">
        <v>778</v>
      </c>
      <c r="D144" s="33" t="s">
        <v>779</v>
      </c>
      <c r="E144" s="32" t="s">
        <v>780</v>
      </c>
      <c r="F144" s="35">
        <v>949</v>
      </c>
      <c r="G144" s="35">
        <v>1675</v>
      </c>
      <c r="H144" s="35">
        <v>2380</v>
      </c>
      <c r="I144" s="35">
        <v>1572</v>
      </c>
      <c r="J144" s="36">
        <v>41241</v>
      </c>
      <c r="K144" s="37">
        <v>0.46072916666666663</v>
      </c>
      <c r="L144" s="36">
        <v>42940</v>
      </c>
      <c r="M144" s="38">
        <v>0.4337847222222222</v>
      </c>
    </row>
    <row r="145" spans="1:13" ht="30" x14ac:dyDescent="0.25">
      <c r="A145" s="33" t="s">
        <v>14</v>
      </c>
      <c r="B145" s="34" t="str">
        <f>HYPERLINK("http://www.twitter.com/blds_library", "blds_library")</f>
        <v>blds_library</v>
      </c>
      <c r="C145" s="33" t="s">
        <v>1232</v>
      </c>
      <c r="D145" s="33" t="s">
        <v>296</v>
      </c>
      <c r="E145" s="32" t="s">
        <v>1233</v>
      </c>
      <c r="F145" s="35">
        <v>574</v>
      </c>
      <c r="G145" s="35">
        <v>977</v>
      </c>
      <c r="H145" s="35">
        <v>2363</v>
      </c>
      <c r="I145" s="35">
        <v>26</v>
      </c>
      <c r="J145" s="36">
        <v>40070</v>
      </c>
      <c r="K145" s="37">
        <v>0.42394675925925923</v>
      </c>
      <c r="L145" s="36">
        <v>42923</v>
      </c>
      <c r="M145" s="38">
        <v>0.44283564814814813</v>
      </c>
    </row>
    <row r="146" spans="1:13" ht="60" x14ac:dyDescent="0.25">
      <c r="A146" s="33" t="s">
        <v>14</v>
      </c>
      <c r="B146" s="34" t="str">
        <f>HYPERLINK("http://www.twitter.com/surreylib", "surreylib")</f>
        <v>surreylib</v>
      </c>
      <c r="C146" s="33" t="s">
        <v>3706</v>
      </c>
      <c r="D146" s="33" t="s">
        <v>805</v>
      </c>
      <c r="E146" s="32" t="s">
        <v>3707</v>
      </c>
      <c r="F146" s="35">
        <v>155</v>
      </c>
      <c r="G146" s="35">
        <v>1625</v>
      </c>
      <c r="H146" s="35">
        <v>2358</v>
      </c>
      <c r="I146" s="35">
        <v>482</v>
      </c>
      <c r="J146" s="36">
        <v>40632</v>
      </c>
      <c r="K146" s="37">
        <v>0.54017361111111117</v>
      </c>
      <c r="L146" s="36">
        <v>42940</v>
      </c>
      <c r="M146" s="38">
        <v>0.54379629629629633</v>
      </c>
    </row>
    <row r="147" spans="1:13" x14ac:dyDescent="0.25">
      <c r="A147" s="33" t="s">
        <v>14</v>
      </c>
      <c r="B147" s="34" t="str">
        <f>HYPERLINK("http://www.twitter.com/BangorUniLib", "BangorUniLib")</f>
        <v>BangorUniLib</v>
      </c>
      <c r="C147" s="33" t="s">
        <v>966</v>
      </c>
      <c r="D147" s="33" t="s">
        <v>967</v>
      </c>
      <c r="E147" s="32" t="s">
        <v>3715</v>
      </c>
      <c r="F147" s="35">
        <v>413</v>
      </c>
      <c r="G147" s="35">
        <v>1317</v>
      </c>
      <c r="H147" s="35">
        <v>2329</v>
      </c>
      <c r="I147" s="35">
        <v>543</v>
      </c>
      <c r="J147" s="36">
        <v>39983</v>
      </c>
      <c r="K147" s="37">
        <v>0.62692129629629634</v>
      </c>
      <c r="L147" s="36">
        <v>42940</v>
      </c>
      <c r="M147" s="38">
        <v>0.54849537037037044</v>
      </c>
    </row>
    <row r="148" spans="1:13" ht="30" x14ac:dyDescent="0.25">
      <c r="A148" s="33" t="s">
        <v>14</v>
      </c>
      <c r="B148" s="34" t="str">
        <f>HYPERLINK("http://www.twitter.com/UEALibrary", "UEALibrary")</f>
        <v>UEALibrary</v>
      </c>
      <c r="C148" s="33" t="s">
        <v>377</v>
      </c>
      <c r="D148" s="33" t="s">
        <v>378</v>
      </c>
      <c r="E148" s="32" t="s">
        <v>379</v>
      </c>
      <c r="F148" s="35">
        <v>95</v>
      </c>
      <c r="G148" s="35">
        <v>3002</v>
      </c>
      <c r="H148" s="35">
        <v>2320</v>
      </c>
      <c r="I148" s="35">
        <v>68</v>
      </c>
      <c r="J148" s="36">
        <v>40946</v>
      </c>
      <c r="K148" s="37">
        <v>0.75494212962962959</v>
      </c>
      <c r="L148" s="36">
        <v>42940</v>
      </c>
      <c r="M148" s="38">
        <v>0.68052083333333335</v>
      </c>
    </row>
    <row r="149" spans="1:13" ht="30" x14ac:dyDescent="0.25">
      <c r="A149" s="33" t="s">
        <v>14</v>
      </c>
      <c r="B149" s="34" t="str">
        <f>HYPERLINK("http://www.twitter.com/LanguageLibOxf", "LanguageLibOxf")</f>
        <v>LanguageLibOxf</v>
      </c>
      <c r="C149" s="33" t="s">
        <v>1065</v>
      </c>
      <c r="D149" s="33" t="s">
        <v>505</v>
      </c>
      <c r="E149" s="32" t="s">
        <v>3627</v>
      </c>
      <c r="F149" s="35">
        <v>282</v>
      </c>
      <c r="G149" s="35">
        <v>1164</v>
      </c>
      <c r="H149" s="35">
        <v>2312</v>
      </c>
      <c r="I149" s="35">
        <v>92</v>
      </c>
      <c r="J149" s="36">
        <v>40014</v>
      </c>
      <c r="K149" s="37">
        <v>0.57245370370370374</v>
      </c>
      <c r="L149" s="36">
        <v>42940</v>
      </c>
      <c r="M149" s="38">
        <v>0.59046296296296297</v>
      </c>
    </row>
    <row r="150" spans="1:13" ht="45" x14ac:dyDescent="0.25">
      <c r="A150" s="33" t="s">
        <v>14</v>
      </c>
      <c r="B150" s="34" t="str">
        <f>HYPERLINK("http://www.twitter.com/AbertayLibrary", "AbertayLibrary")</f>
        <v>AbertayLibrary</v>
      </c>
      <c r="C150" s="33" t="s">
        <v>1481</v>
      </c>
      <c r="D150" s="33" t="s">
        <v>1482</v>
      </c>
      <c r="E150" s="32" t="s">
        <v>1483</v>
      </c>
      <c r="F150" s="35">
        <v>447</v>
      </c>
      <c r="G150" s="35">
        <v>753</v>
      </c>
      <c r="H150" s="35">
        <v>2289</v>
      </c>
      <c r="I150" s="35">
        <v>865</v>
      </c>
      <c r="J150" s="36">
        <v>40788</v>
      </c>
      <c r="K150" s="37">
        <v>0.45394675925925926</v>
      </c>
      <c r="L150" s="36">
        <v>42940</v>
      </c>
      <c r="M150" s="38">
        <v>0.58123842592592589</v>
      </c>
    </row>
    <row r="151" spans="1:13" ht="60" x14ac:dyDescent="0.25">
      <c r="A151" s="33" t="s">
        <v>14</v>
      </c>
      <c r="B151" s="34" t="str">
        <f>HYPERLINK("http://www.twitter.com/FXLibrary", "FXLibrary")</f>
        <v>FXLibrary</v>
      </c>
      <c r="C151" s="33" t="s">
        <v>1352</v>
      </c>
      <c r="D151" s="33" t="s">
        <v>1353</v>
      </c>
      <c r="E151" s="32" t="s">
        <v>1354</v>
      </c>
      <c r="F151" s="35">
        <v>636</v>
      </c>
      <c r="G151" s="35">
        <v>867</v>
      </c>
      <c r="H151" s="35">
        <v>2275</v>
      </c>
      <c r="I151" s="35">
        <v>454</v>
      </c>
      <c r="J151" s="36">
        <v>39919</v>
      </c>
      <c r="K151" s="37">
        <v>0.38133101851851853</v>
      </c>
      <c r="L151" s="36">
        <v>42940</v>
      </c>
      <c r="M151" s="38">
        <v>0.53728009259259257</v>
      </c>
    </row>
    <row r="152" spans="1:13" ht="30" x14ac:dyDescent="0.25">
      <c r="A152" s="33" t="s">
        <v>14</v>
      </c>
      <c r="B152" s="34" t="str">
        <f>HYPERLINK("http://www.twitter.com/uoppenguin", "uoppenguin")</f>
        <v>uoppenguin</v>
      </c>
      <c r="C152" s="33" t="s">
        <v>1269</v>
      </c>
      <c r="D152" s="33" t="s">
        <v>708</v>
      </c>
      <c r="E152" s="32" t="s">
        <v>1270</v>
      </c>
      <c r="F152" s="35">
        <v>545</v>
      </c>
      <c r="G152" s="35">
        <v>1020</v>
      </c>
      <c r="H152" s="35">
        <v>2235</v>
      </c>
      <c r="I152" s="35">
        <v>1338</v>
      </c>
      <c r="J152" s="36">
        <v>42067</v>
      </c>
      <c r="K152" s="37">
        <v>0.46416666666666667</v>
      </c>
      <c r="L152" s="36">
        <v>42937</v>
      </c>
      <c r="M152" s="38">
        <v>0.63493055555555555</v>
      </c>
    </row>
    <row r="153" spans="1:13" ht="45" x14ac:dyDescent="0.25">
      <c r="A153" s="33" t="s">
        <v>14</v>
      </c>
      <c r="B153" s="34" t="str">
        <f>HYPERLINK("http://www.twitter.com/UoCLiss", "UoCLiss")</f>
        <v>UoCLiss</v>
      </c>
      <c r="C153" s="33" t="s">
        <v>1678</v>
      </c>
      <c r="D153" s="33" t="s">
        <v>1679</v>
      </c>
      <c r="E153" s="32" t="s">
        <v>1680</v>
      </c>
      <c r="F153" s="35">
        <v>452</v>
      </c>
      <c r="G153" s="35">
        <v>594</v>
      </c>
      <c r="H153" s="35">
        <v>2202</v>
      </c>
      <c r="I153" s="35">
        <v>106</v>
      </c>
      <c r="J153" s="36">
        <v>40616</v>
      </c>
      <c r="K153" s="37">
        <v>0.39245370370370369</v>
      </c>
      <c r="L153" s="36">
        <v>42929</v>
      </c>
      <c r="M153" s="38">
        <v>0.39468750000000002</v>
      </c>
    </row>
    <row r="154" spans="1:13" ht="45" x14ac:dyDescent="0.25">
      <c r="A154" s="33" t="s">
        <v>14</v>
      </c>
      <c r="B154" s="34" t="str">
        <f>HYPERLINK("http://www.twitter.com/LBS_LibraryTeam", "LBS_LibraryTeam")</f>
        <v>LBS_LibraryTeam</v>
      </c>
      <c r="C154" s="33" t="s">
        <v>1926</v>
      </c>
      <c r="D154" s="33" t="s">
        <v>1927</v>
      </c>
      <c r="E154" s="32" t="s">
        <v>1928</v>
      </c>
      <c r="F154" s="35">
        <v>229</v>
      </c>
      <c r="G154" s="35">
        <v>432</v>
      </c>
      <c r="H154" s="35">
        <v>2201</v>
      </c>
      <c r="I154" s="35">
        <v>6</v>
      </c>
      <c r="J154" s="36">
        <v>41331</v>
      </c>
      <c r="K154" s="37">
        <v>0.42640046296296297</v>
      </c>
      <c r="L154" s="36">
        <v>42940</v>
      </c>
      <c r="M154" s="38">
        <v>0.63591435185185186</v>
      </c>
    </row>
    <row r="155" spans="1:13" ht="45" x14ac:dyDescent="0.25">
      <c r="A155" s="33" t="s">
        <v>14</v>
      </c>
      <c r="B155" s="34" t="str">
        <f>HYPERLINK("http://www.twitter.com/EFLOxford", "EFLOxford")</f>
        <v>EFLOxford</v>
      </c>
      <c r="C155" s="33" t="s">
        <v>548</v>
      </c>
      <c r="D155" s="33" t="s">
        <v>12</v>
      </c>
      <c r="E155" s="32" t="s">
        <v>549</v>
      </c>
      <c r="F155" s="35">
        <v>429</v>
      </c>
      <c r="G155" s="35">
        <v>2420</v>
      </c>
      <c r="H155" s="35">
        <v>2155</v>
      </c>
      <c r="I155" s="35">
        <v>572</v>
      </c>
      <c r="J155" s="36">
        <v>40193</v>
      </c>
      <c r="K155" s="37">
        <v>0.45057870370370368</v>
      </c>
      <c r="L155" s="36">
        <v>42940</v>
      </c>
      <c r="M155" s="38">
        <v>0.46879629629629632</v>
      </c>
    </row>
    <row r="156" spans="1:13" ht="45" x14ac:dyDescent="0.25">
      <c r="A156" s="33" t="s">
        <v>14</v>
      </c>
      <c r="B156" s="34" t="str">
        <f>HYPERLINK("http://www.twitter.com/ChristsLibrary", "ChristsLibrary")</f>
        <v>ChristsLibrary</v>
      </c>
      <c r="C156" s="33" t="s">
        <v>1301</v>
      </c>
      <c r="D156" s="33" t="s">
        <v>1302</v>
      </c>
      <c r="E156" s="32" t="s">
        <v>1303</v>
      </c>
      <c r="F156" s="35">
        <v>351</v>
      </c>
      <c r="G156" s="35">
        <v>923</v>
      </c>
      <c r="H156" s="35">
        <v>2111</v>
      </c>
      <c r="I156" s="35">
        <v>347</v>
      </c>
      <c r="J156" s="36">
        <v>40533</v>
      </c>
      <c r="K156" s="37">
        <v>0.5929861111111111</v>
      </c>
      <c r="L156" s="36">
        <v>42940</v>
      </c>
      <c r="M156" s="38">
        <v>0.62880787037037034</v>
      </c>
    </row>
    <row r="157" spans="1:13" x14ac:dyDescent="0.25">
      <c r="A157" s="33" t="s">
        <v>14</v>
      </c>
      <c r="B157" s="34" t="str">
        <f>HYPERLINK("http://www.twitter.com/StHughsLibrary", "StHughsLibrary")</f>
        <v>StHughsLibrary</v>
      </c>
      <c r="C157" s="33" t="s">
        <v>1188</v>
      </c>
      <c r="D157" s="33" t="s">
        <v>1189</v>
      </c>
      <c r="E157" s="32" t="s">
        <v>1190</v>
      </c>
      <c r="F157" s="35">
        <v>300</v>
      </c>
      <c r="G157" s="35">
        <v>1040</v>
      </c>
      <c r="H157" s="35">
        <v>2110</v>
      </c>
      <c r="I157" s="35">
        <v>182</v>
      </c>
      <c r="J157" s="36">
        <v>40386</v>
      </c>
      <c r="K157" s="37">
        <v>0.57943287037037039</v>
      </c>
      <c r="L157" s="36">
        <v>42909</v>
      </c>
      <c r="M157" s="38">
        <v>0.56082175925925926</v>
      </c>
    </row>
    <row r="158" spans="1:13" ht="45" x14ac:dyDescent="0.25">
      <c r="A158" s="33" t="s">
        <v>14</v>
      </c>
      <c r="B158" s="34" t="str">
        <f>HYPERLINK("http://www.twitter.com/caiuslib", "caiuslib")</f>
        <v>caiuslib</v>
      </c>
      <c r="C158" s="33" t="s">
        <v>3624</v>
      </c>
      <c r="D158" s="33" t="s">
        <v>61</v>
      </c>
      <c r="E158" s="32" t="s">
        <v>3625</v>
      </c>
      <c r="F158" s="35">
        <v>782</v>
      </c>
      <c r="G158" s="35">
        <v>895</v>
      </c>
      <c r="H158" s="35">
        <v>2088</v>
      </c>
      <c r="I158" s="35">
        <v>516</v>
      </c>
      <c r="J158" s="36">
        <v>41586</v>
      </c>
      <c r="K158" s="37">
        <v>0.67362268518518509</v>
      </c>
      <c r="L158" s="36">
        <v>42935</v>
      </c>
      <c r="M158" s="38">
        <v>0.57374999999999998</v>
      </c>
    </row>
    <row r="159" spans="1:13" ht="30" x14ac:dyDescent="0.25">
      <c r="A159" s="33" t="s">
        <v>14</v>
      </c>
      <c r="B159" s="34" t="str">
        <f>HYPERLINK("http://www.twitter.com/ltulibrary1", "ltulibrary1")</f>
        <v>ltulibrary1</v>
      </c>
      <c r="C159" s="33" t="s">
        <v>821</v>
      </c>
      <c r="D159" s="33" t="s">
        <v>822</v>
      </c>
      <c r="E159" s="32" t="s">
        <v>823</v>
      </c>
      <c r="F159" s="35">
        <v>344</v>
      </c>
      <c r="G159" s="35">
        <v>1548</v>
      </c>
      <c r="H159" s="35">
        <v>2075</v>
      </c>
      <c r="I159" s="35">
        <v>996</v>
      </c>
      <c r="J159" s="36">
        <v>41854</v>
      </c>
      <c r="K159" s="37">
        <v>0.8386689814814815</v>
      </c>
      <c r="L159" s="36">
        <v>42940</v>
      </c>
      <c r="M159" s="38">
        <v>0.35335648148148152</v>
      </c>
    </row>
    <row r="160" spans="1:13" ht="30" x14ac:dyDescent="0.25">
      <c r="A160" s="33" t="s">
        <v>14</v>
      </c>
      <c r="B160" s="34" t="str">
        <f>HYPERLINK("http://www.twitter.com/bathspalib", "bathspalib")</f>
        <v>bathspalib</v>
      </c>
      <c r="C160" s="33" t="s">
        <v>1097</v>
      </c>
      <c r="D160" s="33" t="s">
        <v>1098</v>
      </c>
      <c r="E160" s="32" t="s">
        <v>1099</v>
      </c>
      <c r="F160" s="35">
        <v>198</v>
      </c>
      <c r="G160" s="35">
        <v>1134</v>
      </c>
      <c r="H160" s="35">
        <v>2074</v>
      </c>
      <c r="I160" s="35">
        <v>132</v>
      </c>
      <c r="J160" s="36">
        <v>40728</v>
      </c>
      <c r="K160" s="37">
        <v>0.53204861111111112</v>
      </c>
      <c r="L160" s="36">
        <v>42940</v>
      </c>
      <c r="M160" s="38">
        <v>0.38899305555555558</v>
      </c>
    </row>
    <row r="161" spans="1:13" ht="30" x14ac:dyDescent="0.25">
      <c r="A161" s="33" t="s">
        <v>14</v>
      </c>
      <c r="B161" s="34" t="str">
        <f>HYPERLINK("http://www.twitter.com/WSALibrary", "WSALibrary")</f>
        <v>WSALibrary</v>
      </c>
      <c r="C161" s="33" t="s">
        <v>1433</v>
      </c>
      <c r="D161" s="33" t="s">
        <v>1434</v>
      </c>
      <c r="E161" s="32" t="s">
        <v>1435</v>
      </c>
      <c r="F161" s="35">
        <v>885</v>
      </c>
      <c r="G161" s="35">
        <v>791</v>
      </c>
      <c r="H161" s="35">
        <v>2058</v>
      </c>
      <c r="I161" s="35">
        <v>290</v>
      </c>
      <c r="J161" s="36">
        <v>41456</v>
      </c>
      <c r="K161" s="37">
        <v>0.59195601851851853</v>
      </c>
      <c r="L161" s="36">
        <v>42920</v>
      </c>
      <c r="M161" s="38">
        <v>0.5254861111111111</v>
      </c>
    </row>
    <row r="162" spans="1:13" ht="30" x14ac:dyDescent="0.25">
      <c r="A162" s="33" t="s">
        <v>14</v>
      </c>
      <c r="B162" s="34" t="str">
        <f>HYPERLINK("http://www.twitter.com/AstonUniLibrary", "AstonUniLibrary")</f>
        <v>AstonUniLibrary</v>
      </c>
      <c r="C162" s="33" t="s">
        <v>925</v>
      </c>
      <c r="D162" s="33" t="s">
        <v>926</v>
      </c>
      <c r="E162" s="32" t="s">
        <v>927</v>
      </c>
      <c r="F162" s="35">
        <v>478</v>
      </c>
      <c r="G162" s="35">
        <v>1378</v>
      </c>
      <c r="H162" s="35">
        <v>2054</v>
      </c>
      <c r="I162" s="35">
        <v>387</v>
      </c>
      <c r="J162" s="36">
        <v>39888</v>
      </c>
      <c r="K162" s="37">
        <v>0.62547453703703704</v>
      </c>
      <c r="L162" s="36">
        <v>42940</v>
      </c>
      <c r="M162" s="38">
        <v>0.63376157407407407</v>
      </c>
    </row>
    <row r="163" spans="1:13" ht="30" x14ac:dyDescent="0.25">
      <c r="A163" s="33" t="s">
        <v>14</v>
      </c>
      <c r="B163" s="34" t="str">
        <f>HYPERLINK("http://www.twitter.com/LewyLib", "LewyLib")</f>
        <v>LewyLib</v>
      </c>
      <c r="C163" s="33" t="s">
        <v>1322</v>
      </c>
      <c r="D163" s="33" t="s">
        <v>61</v>
      </c>
      <c r="E163" s="32" t="s">
        <v>1323</v>
      </c>
      <c r="F163" s="35">
        <v>245</v>
      </c>
      <c r="G163" s="35">
        <v>890</v>
      </c>
      <c r="H163" s="35">
        <v>2048</v>
      </c>
      <c r="I163" s="35">
        <v>646</v>
      </c>
      <c r="J163" s="36">
        <v>40260</v>
      </c>
      <c r="K163" s="37">
        <v>0.48206018518518517</v>
      </c>
      <c r="L163" s="36">
        <v>42936</v>
      </c>
      <c r="M163" s="38">
        <v>0.33979166666666666</v>
      </c>
    </row>
    <row r="164" spans="1:13" ht="30" x14ac:dyDescent="0.25">
      <c r="A164" s="33" t="s">
        <v>14</v>
      </c>
      <c r="B164" s="34" t="str">
        <f>HYPERLINK("http://www.twitter.com/drillhalllib", "drillhalllib")</f>
        <v>drillhalllib</v>
      </c>
      <c r="C164" s="33" t="s">
        <v>1123</v>
      </c>
      <c r="D164" s="33" t="s">
        <v>1124</v>
      </c>
      <c r="E164" s="32" t="s">
        <v>3722</v>
      </c>
      <c r="F164" s="35">
        <v>179</v>
      </c>
      <c r="G164" s="35">
        <v>1105</v>
      </c>
      <c r="H164" s="35">
        <v>2045</v>
      </c>
      <c r="I164" s="35">
        <v>470</v>
      </c>
      <c r="J164" s="36">
        <v>39449</v>
      </c>
      <c r="K164" s="37">
        <v>0.42480324074074072</v>
      </c>
      <c r="L164" s="36">
        <v>42940</v>
      </c>
      <c r="M164" s="38">
        <v>0.34097222222222223</v>
      </c>
    </row>
    <row r="165" spans="1:13" ht="120" x14ac:dyDescent="0.25">
      <c r="A165" s="33" t="s">
        <v>14</v>
      </c>
      <c r="B165" s="34" t="str">
        <f>HYPERLINK("http://www.twitter.com/UAL_Libraries", "UAL_Libraries")</f>
        <v>UAL_Libraries</v>
      </c>
      <c r="C165" s="33" t="s">
        <v>941</v>
      </c>
      <c r="E165" s="32" t="s">
        <v>942</v>
      </c>
      <c r="F165" s="35">
        <v>142</v>
      </c>
      <c r="G165" s="35">
        <v>1379</v>
      </c>
      <c r="H165" s="35">
        <v>2040</v>
      </c>
      <c r="I165" s="35">
        <v>554</v>
      </c>
      <c r="J165" s="36">
        <v>40274</v>
      </c>
      <c r="K165" s="37">
        <v>0.32925925925925925</v>
      </c>
      <c r="L165" s="36">
        <v>42935</v>
      </c>
      <c r="M165" s="38">
        <v>0.65557870370370364</v>
      </c>
    </row>
    <row r="166" spans="1:13" ht="30" x14ac:dyDescent="0.25">
      <c r="A166" s="33" t="s">
        <v>14</v>
      </c>
      <c r="B166" s="34" t="str">
        <f>HYPERLINK("http://www.twitter.com/regentslibrary", "regentslibrary")</f>
        <v>regentslibrary</v>
      </c>
      <c r="C166" s="33" t="s">
        <v>1881</v>
      </c>
      <c r="D166" s="33" t="s">
        <v>1882</v>
      </c>
      <c r="E166" s="32" t="s">
        <v>1883</v>
      </c>
      <c r="F166" s="35">
        <v>443</v>
      </c>
      <c r="G166" s="35">
        <v>454</v>
      </c>
      <c r="H166" s="35">
        <v>2020</v>
      </c>
      <c r="I166" s="35">
        <v>307</v>
      </c>
      <c r="J166" s="36">
        <v>40870</v>
      </c>
      <c r="K166" s="37">
        <v>0.36833333333333335</v>
      </c>
      <c r="L166" s="36">
        <v>42926</v>
      </c>
      <c r="M166" s="38">
        <v>0.552800925925926</v>
      </c>
    </row>
    <row r="167" spans="1:13" ht="30" x14ac:dyDescent="0.25">
      <c r="A167" s="33" t="s">
        <v>14</v>
      </c>
      <c r="B167" s="34" t="str">
        <f>HYPERLINK("http://www.twitter.com/RGULibrary", "RGULibrary")</f>
        <v>RGULibrary</v>
      </c>
      <c r="C167" s="33" t="s">
        <v>807</v>
      </c>
      <c r="D167" s="33" t="s">
        <v>808</v>
      </c>
      <c r="E167" s="32" t="s">
        <v>809</v>
      </c>
      <c r="F167" s="35">
        <v>846</v>
      </c>
      <c r="G167" s="35">
        <v>1607</v>
      </c>
      <c r="H167" s="35">
        <v>2019</v>
      </c>
      <c r="I167" s="35">
        <v>470</v>
      </c>
      <c r="J167" s="36">
        <v>40140</v>
      </c>
      <c r="K167" s="37">
        <v>0.79364583333333327</v>
      </c>
      <c r="L167" s="36">
        <v>42936</v>
      </c>
      <c r="M167" s="38">
        <v>0.56438657407407411</v>
      </c>
    </row>
    <row r="168" spans="1:13" ht="45" x14ac:dyDescent="0.25">
      <c r="A168" s="33" t="s">
        <v>14</v>
      </c>
      <c r="B168" s="34" t="str">
        <f>HYPERLINK("http://www.twitter.com/100objectsbrad", "100objectsbrad")</f>
        <v>100objectsbrad</v>
      </c>
      <c r="C168" s="33" t="s">
        <v>1038</v>
      </c>
      <c r="D168" s="33" t="s">
        <v>336</v>
      </c>
      <c r="E168" s="32" t="s">
        <v>3711</v>
      </c>
      <c r="F168" s="35">
        <v>1167</v>
      </c>
      <c r="G168" s="35">
        <v>1223</v>
      </c>
      <c r="H168" s="35">
        <v>1992</v>
      </c>
      <c r="I168" s="35">
        <v>288</v>
      </c>
      <c r="J168" s="36">
        <v>40551</v>
      </c>
      <c r="K168" s="37">
        <v>0.86844907407407401</v>
      </c>
      <c r="L168" s="36">
        <v>42929</v>
      </c>
      <c r="M168" s="38">
        <v>0.32579861111111114</v>
      </c>
    </row>
    <row r="169" spans="1:13" ht="30" x14ac:dyDescent="0.25">
      <c r="A169" s="33" t="s">
        <v>14</v>
      </c>
      <c r="B169" s="34" t="str">
        <f>HYPERLINK("http://www.twitter.com/UCLBartlettLib", "UCLBartlettLib")</f>
        <v>UCLBartlettLib</v>
      </c>
      <c r="C169" s="33" t="s">
        <v>901</v>
      </c>
      <c r="D169" s="33" t="s">
        <v>902</v>
      </c>
      <c r="E169" s="32" t="s">
        <v>903</v>
      </c>
      <c r="F169" s="35">
        <v>361</v>
      </c>
      <c r="G169" s="35">
        <v>1447</v>
      </c>
      <c r="H169" s="35">
        <v>1980</v>
      </c>
      <c r="I169" s="35">
        <v>16</v>
      </c>
      <c r="J169" s="36">
        <v>40084</v>
      </c>
      <c r="K169" s="37">
        <v>0.37091435185185184</v>
      </c>
      <c r="L169" s="36">
        <v>42940</v>
      </c>
      <c r="M169" s="38">
        <v>0.37828703703703703</v>
      </c>
    </row>
    <row r="170" spans="1:13" ht="30" x14ac:dyDescent="0.25">
      <c r="A170" s="33" t="s">
        <v>14</v>
      </c>
      <c r="B170" s="34" t="str">
        <f>HYPERLINK("http://www.twitter.com/PuseyHouseLib", "PuseyHouseLib")</f>
        <v>PuseyHouseLib</v>
      </c>
      <c r="C170" s="33" t="s">
        <v>1544</v>
      </c>
      <c r="D170" s="33" t="s">
        <v>1545</v>
      </c>
      <c r="E170" s="32" t="s">
        <v>1546</v>
      </c>
      <c r="F170" s="35">
        <v>725</v>
      </c>
      <c r="G170" s="35">
        <v>744</v>
      </c>
      <c r="H170" s="35">
        <v>1972</v>
      </c>
      <c r="I170" s="35">
        <v>1054</v>
      </c>
      <c r="J170" s="36">
        <v>42110</v>
      </c>
      <c r="K170" s="37">
        <v>0.59048611111111116</v>
      </c>
      <c r="L170" s="36">
        <v>42940</v>
      </c>
      <c r="M170" s="38">
        <v>0.66792824074074064</v>
      </c>
    </row>
    <row r="171" spans="1:13" ht="45" x14ac:dyDescent="0.25">
      <c r="A171" s="33" t="s">
        <v>14</v>
      </c>
      <c r="B171" s="34" t="str">
        <f>HYPERLINK("http://www.twitter.com/AbcyLiby", "AbcyLiby")</f>
        <v>AbcyLiby</v>
      </c>
      <c r="C171" s="33" t="s">
        <v>1330</v>
      </c>
      <c r="D171" s="33" t="s">
        <v>1331</v>
      </c>
      <c r="E171" s="32" t="s">
        <v>1332</v>
      </c>
      <c r="F171" s="35">
        <v>214</v>
      </c>
      <c r="G171" s="35">
        <v>880</v>
      </c>
      <c r="H171" s="35">
        <v>1954</v>
      </c>
      <c r="I171" s="35">
        <v>287</v>
      </c>
      <c r="J171" s="36">
        <v>40630</v>
      </c>
      <c r="K171" s="37">
        <v>0.57553240740740741</v>
      </c>
      <c r="L171" s="36">
        <v>42940</v>
      </c>
      <c r="M171" s="38">
        <v>0.65819444444444442</v>
      </c>
    </row>
    <row r="172" spans="1:13" ht="45" x14ac:dyDescent="0.25">
      <c r="A172" s="33" t="s">
        <v>14</v>
      </c>
      <c r="B172" s="34" t="str">
        <f>HYPERLINK("http://www.twitter.com/CUBiomedLiby", "CUBiomedLiby")</f>
        <v>CUBiomedLiby</v>
      </c>
      <c r="C172" s="33" t="s">
        <v>3704</v>
      </c>
      <c r="D172" s="33" t="s">
        <v>1218</v>
      </c>
      <c r="E172" s="32" t="s">
        <v>3705</v>
      </c>
      <c r="F172" s="35">
        <v>164</v>
      </c>
      <c r="G172" s="35">
        <v>1127</v>
      </c>
      <c r="H172" s="35">
        <v>1932</v>
      </c>
      <c r="I172" s="35">
        <v>643</v>
      </c>
      <c r="J172" s="36">
        <v>40763</v>
      </c>
      <c r="K172" s="37">
        <v>0.66878472222222218</v>
      </c>
      <c r="L172" s="36">
        <v>42892</v>
      </c>
      <c r="M172" s="38">
        <v>0.46379629629629626</v>
      </c>
    </row>
    <row r="173" spans="1:13" x14ac:dyDescent="0.25">
      <c r="A173" s="33" t="s">
        <v>14</v>
      </c>
      <c r="B173" s="34" t="str">
        <f>HYPERLINK("http://www.twitter.com/squire_law", "squire_law")</f>
        <v>squire_law</v>
      </c>
      <c r="C173" s="33" t="s">
        <v>2383</v>
      </c>
      <c r="F173" s="35">
        <v>189</v>
      </c>
      <c r="G173" s="35">
        <v>300</v>
      </c>
      <c r="H173" s="35">
        <v>1833</v>
      </c>
      <c r="I173" s="35">
        <v>77</v>
      </c>
      <c r="J173" s="36">
        <v>42082</v>
      </c>
      <c r="K173" s="37">
        <v>0.73038194444444438</v>
      </c>
      <c r="L173" s="36">
        <v>42940</v>
      </c>
      <c r="M173" s="38">
        <v>0.64012731481481489</v>
      </c>
    </row>
    <row r="174" spans="1:13" ht="45" x14ac:dyDescent="0.25">
      <c r="A174" s="33" t="s">
        <v>14</v>
      </c>
      <c r="B174" s="34" t="str">
        <f>HYPERLINK("http://www.twitter.com/CovUniLibrary", "CovUniLibrary")</f>
        <v>CovUniLibrary</v>
      </c>
      <c r="C174" s="33" t="s">
        <v>873</v>
      </c>
      <c r="D174" s="33" t="s">
        <v>874</v>
      </c>
      <c r="E174" s="32" t="s">
        <v>875</v>
      </c>
      <c r="F174" s="35">
        <v>173</v>
      </c>
      <c r="G174" s="35">
        <v>1496</v>
      </c>
      <c r="H174" s="35">
        <v>1824</v>
      </c>
      <c r="I174" s="35">
        <v>234</v>
      </c>
      <c r="J174" s="36">
        <v>41309</v>
      </c>
      <c r="K174" s="37">
        <v>0.61598379629629629</v>
      </c>
      <c r="L174" s="36">
        <v>42940</v>
      </c>
      <c r="M174" s="38">
        <v>0.64700231481481485</v>
      </c>
    </row>
    <row r="175" spans="1:13" ht="30" x14ac:dyDescent="0.25">
      <c r="A175" s="33" t="s">
        <v>14</v>
      </c>
      <c r="B175" s="34" t="str">
        <f>HYPERLINK("http://www.twitter.com/homlib", "homlib")</f>
        <v>homlib</v>
      </c>
      <c r="C175" s="33" t="s">
        <v>964</v>
      </c>
      <c r="D175" s="33" t="s">
        <v>61</v>
      </c>
      <c r="E175" s="32" t="s">
        <v>965</v>
      </c>
      <c r="F175" s="35">
        <v>253</v>
      </c>
      <c r="G175" s="35">
        <v>1310</v>
      </c>
      <c r="H175" s="35">
        <v>1818</v>
      </c>
      <c r="I175" s="35">
        <v>55</v>
      </c>
      <c r="J175" s="36">
        <v>39881</v>
      </c>
      <c r="K175" s="37">
        <v>0.66920138888888892</v>
      </c>
      <c r="L175" s="36">
        <v>42940</v>
      </c>
      <c r="M175" s="38">
        <v>0.33909722222222222</v>
      </c>
    </row>
    <row r="176" spans="1:13" ht="45" x14ac:dyDescent="0.25">
      <c r="A176" s="33" t="s">
        <v>14</v>
      </c>
      <c r="B176" s="34" t="str">
        <f>HYPERLINK("http://www.twitter.com/IMRGU", "IMRGU")</f>
        <v>IMRGU</v>
      </c>
      <c r="C176" s="33" t="s">
        <v>1555</v>
      </c>
      <c r="D176" s="33" t="s">
        <v>1556</v>
      </c>
      <c r="E176" s="32" t="s">
        <v>1557</v>
      </c>
      <c r="F176" s="35">
        <v>299</v>
      </c>
      <c r="G176" s="35">
        <v>724</v>
      </c>
      <c r="H176" s="35">
        <v>1803</v>
      </c>
      <c r="I176" s="35">
        <v>163</v>
      </c>
      <c r="J176" s="36">
        <v>40325</v>
      </c>
      <c r="K176" s="37">
        <v>0.48074074074074075</v>
      </c>
      <c r="L176" s="36">
        <v>42936</v>
      </c>
      <c r="M176" s="38">
        <v>0.58163194444444444</v>
      </c>
    </row>
    <row r="177" spans="1:13" ht="30" x14ac:dyDescent="0.25">
      <c r="A177" s="33" t="s">
        <v>14</v>
      </c>
      <c r="B177" s="34" t="str">
        <f>HYPERLINK("http://www.twitter.com/MDXLibrary", "MDXLibrary")</f>
        <v>MDXLibrary</v>
      </c>
      <c r="C177" s="33" t="s">
        <v>1971</v>
      </c>
      <c r="D177" s="33" t="s">
        <v>36</v>
      </c>
      <c r="E177" s="32" t="s">
        <v>3716</v>
      </c>
      <c r="F177" s="35">
        <v>213</v>
      </c>
      <c r="G177" s="35">
        <v>439</v>
      </c>
      <c r="H177" s="35">
        <v>1788</v>
      </c>
      <c r="I177" s="35">
        <v>139</v>
      </c>
      <c r="J177" s="36">
        <v>39968</v>
      </c>
      <c r="K177" s="37">
        <v>0.65204861111111112</v>
      </c>
      <c r="L177" s="36">
        <v>42937</v>
      </c>
      <c r="M177" s="38">
        <v>0.48275462962962962</v>
      </c>
    </row>
    <row r="178" spans="1:13" x14ac:dyDescent="0.25">
      <c r="A178" s="33" t="s">
        <v>14</v>
      </c>
      <c r="B178" s="34" t="str">
        <f>HYPERLINK("http://www.twitter.com/staffsunilib", "staffsunilib")</f>
        <v>staffsunilib</v>
      </c>
      <c r="C178" s="33" t="s">
        <v>1446</v>
      </c>
      <c r="D178" s="33" t="s">
        <v>1447</v>
      </c>
      <c r="E178" s="32" t="s">
        <v>1448</v>
      </c>
      <c r="F178" s="35">
        <v>135</v>
      </c>
      <c r="G178" s="35">
        <v>781</v>
      </c>
      <c r="H178" s="35">
        <v>1776</v>
      </c>
      <c r="I178" s="35">
        <v>64</v>
      </c>
      <c r="J178" s="36">
        <v>39568</v>
      </c>
      <c r="K178" s="37">
        <v>0.91447916666666673</v>
      </c>
      <c r="L178" s="36">
        <v>42937</v>
      </c>
      <c r="M178" s="38">
        <v>0.55229166666666674</v>
      </c>
    </row>
    <row r="179" spans="1:13" ht="45" x14ac:dyDescent="0.25">
      <c r="A179" s="33" t="s">
        <v>14</v>
      </c>
      <c r="B179" s="34" t="str">
        <f>HYPERLINK("http://www.twitter.com/AldrichLib", "AldrichLib")</f>
        <v>AldrichLib</v>
      </c>
      <c r="C179" s="33" t="s">
        <v>1979</v>
      </c>
      <c r="D179" s="33" t="s">
        <v>1980</v>
      </c>
      <c r="E179" s="32" t="s">
        <v>3695</v>
      </c>
      <c r="F179" s="35">
        <v>195</v>
      </c>
      <c r="G179" s="35">
        <v>417</v>
      </c>
      <c r="H179" s="35">
        <v>1754</v>
      </c>
      <c r="I179" s="35">
        <v>389</v>
      </c>
      <c r="J179" s="36">
        <v>41466</v>
      </c>
      <c r="K179" s="37">
        <v>0.54322916666666665</v>
      </c>
      <c r="L179" s="36">
        <v>42939</v>
      </c>
      <c r="M179" s="38">
        <v>0.33334490740740735</v>
      </c>
    </row>
    <row r="180" spans="1:13" x14ac:dyDescent="0.25">
      <c r="A180" s="33" t="s">
        <v>14</v>
      </c>
      <c r="B180" s="34" t="str">
        <f>HYPERLINK("http://www.twitter.com/RNCMLibrary", "RNCMLibrary")</f>
        <v>RNCMLibrary</v>
      </c>
      <c r="C180" s="33" t="s">
        <v>1436</v>
      </c>
      <c r="D180" s="33" t="s">
        <v>33</v>
      </c>
      <c r="E180" s="32" t="s">
        <v>1437</v>
      </c>
      <c r="F180" s="35">
        <v>303</v>
      </c>
      <c r="G180" s="35">
        <v>796</v>
      </c>
      <c r="H180" s="35">
        <v>1730</v>
      </c>
      <c r="I180" s="35">
        <v>52</v>
      </c>
      <c r="J180" s="36">
        <v>41213</v>
      </c>
      <c r="K180" s="37">
        <v>0.65582175925925923</v>
      </c>
      <c r="L180" s="36">
        <v>42935</v>
      </c>
      <c r="M180" s="38">
        <v>0.63954861111111116</v>
      </c>
    </row>
    <row r="181" spans="1:13" ht="45" x14ac:dyDescent="0.25">
      <c r="A181" s="33" t="s">
        <v>14</v>
      </c>
      <c r="B181" s="34" t="str">
        <f>HYPERLINK("http://www.twitter.com/CCA_Library", "CCA_Library")</f>
        <v>CCA_Library</v>
      </c>
      <c r="C181" s="33" t="s">
        <v>1289</v>
      </c>
      <c r="D181" s="33" t="s">
        <v>1290</v>
      </c>
      <c r="E181" s="32" t="s">
        <v>1291</v>
      </c>
      <c r="F181" s="35">
        <v>622</v>
      </c>
      <c r="G181" s="35">
        <v>943</v>
      </c>
      <c r="H181" s="35">
        <v>1724</v>
      </c>
      <c r="I181" s="35">
        <v>335</v>
      </c>
      <c r="J181" s="36">
        <v>41250</v>
      </c>
      <c r="K181" s="37">
        <v>0.54642361111111104</v>
      </c>
      <c r="L181" s="36">
        <v>42938</v>
      </c>
      <c r="M181" s="38">
        <v>0.60106481481481489</v>
      </c>
    </row>
    <row r="182" spans="1:13" ht="45" x14ac:dyDescent="0.25">
      <c r="A182" s="33" t="s">
        <v>14</v>
      </c>
      <c r="B182" s="34" t="str">
        <f>HYPERLINK("http://www.twitter.com/LibraryUoB", "LibraryUoB")</f>
        <v>LibraryUoB</v>
      </c>
      <c r="C182" s="33" t="s">
        <v>1401</v>
      </c>
      <c r="D182" s="33" t="s">
        <v>1402</v>
      </c>
      <c r="E182" s="32" t="s">
        <v>1403</v>
      </c>
      <c r="F182" s="35">
        <v>394</v>
      </c>
      <c r="G182" s="35">
        <v>818</v>
      </c>
      <c r="H182" s="35">
        <v>1714</v>
      </c>
      <c r="I182" s="35">
        <v>214</v>
      </c>
      <c r="J182" s="36">
        <v>40973</v>
      </c>
      <c r="K182" s="37">
        <v>0.41340277777777779</v>
      </c>
      <c r="L182" s="36">
        <v>42934</v>
      </c>
      <c r="M182" s="38">
        <v>0.68946759259259249</v>
      </c>
    </row>
    <row r="183" spans="1:13" ht="45" x14ac:dyDescent="0.25">
      <c r="A183" s="33" t="s">
        <v>14</v>
      </c>
      <c r="B183" s="34" t="str">
        <f>HYPERLINK("http://www.twitter.com/LCC_Library", "LCC_Library")</f>
        <v>LCC_Library</v>
      </c>
      <c r="C183" s="33" t="s">
        <v>997</v>
      </c>
      <c r="E183" s="32" t="s">
        <v>998</v>
      </c>
      <c r="F183" s="35">
        <v>387</v>
      </c>
      <c r="G183" s="35">
        <v>1316</v>
      </c>
      <c r="H183" s="35">
        <v>1683</v>
      </c>
      <c r="I183" s="35">
        <v>308</v>
      </c>
      <c r="J183" s="36">
        <v>41312</v>
      </c>
      <c r="K183" s="37">
        <v>0.61706018518518524</v>
      </c>
      <c r="L183" s="36">
        <v>42937</v>
      </c>
      <c r="M183" s="38">
        <v>0.34456018518518516</v>
      </c>
    </row>
    <row r="184" spans="1:13" ht="45" x14ac:dyDescent="0.25">
      <c r="A184" s="33" t="s">
        <v>14</v>
      </c>
      <c r="B184" s="34" t="str">
        <f>HYPERLINK("http://www.twitter.com/MarshallLibrary", "MarshallLibrary")</f>
        <v>MarshallLibrary</v>
      </c>
      <c r="C184" s="33" t="s">
        <v>1495</v>
      </c>
      <c r="D184" s="33" t="s">
        <v>61</v>
      </c>
      <c r="E184" s="32" t="s">
        <v>1496</v>
      </c>
      <c r="F184" s="35">
        <v>226</v>
      </c>
      <c r="G184" s="35">
        <v>754</v>
      </c>
      <c r="H184" s="35">
        <v>1682</v>
      </c>
      <c r="I184" s="35">
        <v>198</v>
      </c>
      <c r="J184" s="36">
        <v>39847</v>
      </c>
      <c r="K184" s="37">
        <v>0.63923611111111112</v>
      </c>
      <c r="L184" s="36">
        <v>42940</v>
      </c>
      <c r="M184" s="38">
        <v>0.41289351851851852</v>
      </c>
    </row>
    <row r="185" spans="1:13" ht="45" x14ac:dyDescent="0.25">
      <c r="A185" s="33" t="s">
        <v>14</v>
      </c>
      <c r="B185" s="34" t="str">
        <f>HYPERLINK("http://www.twitter.com/ClareFMLib", "ClareFMLib")</f>
        <v>ClareFMLib</v>
      </c>
      <c r="C185" s="33" t="s">
        <v>2182</v>
      </c>
      <c r="D185" s="33" t="s">
        <v>788</v>
      </c>
      <c r="E185" s="32" t="s">
        <v>2183</v>
      </c>
      <c r="F185" s="35">
        <v>459</v>
      </c>
      <c r="G185" s="35">
        <v>345</v>
      </c>
      <c r="H185" s="35">
        <v>1636</v>
      </c>
      <c r="I185" s="35">
        <v>46</v>
      </c>
      <c r="J185" s="36">
        <v>41904</v>
      </c>
      <c r="K185" s="37">
        <v>0.5975462962962963</v>
      </c>
      <c r="L185" s="36">
        <v>42923</v>
      </c>
      <c r="M185" s="38">
        <v>0.48806712962962967</v>
      </c>
    </row>
    <row r="186" spans="1:13" ht="45" x14ac:dyDescent="0.25">
      <c r="A186" s="33" t="s">
        <v>14</v>
      </c>
      <c r="B186" s="34" t="str">
        <f>HYPERLINK("http://www.twitter.com/KNL_MIRC", "KNL_MIRC")</f>
        <v>KNL_MIRC</v>
      </c>
      <c r="C186" s="33" t="s">
        <v>1370</v>
      </c>
      <c r="D186" s="33" t="s">
        <v>1371</v>
      </c>
      <c r="E186" s="32" t="s">
        <v>1372</v>
      </c>
      <c r="F186" s="35">
        <v>218</v>
      </c>
      <c r="G186" s="35">
        <v>858</v>
      </c>
      <c r="H186" s="35">
        <v>1632</v>
      </c>
      <c r="I186" s="35">
        <v>325</v>
      </c>
      <c r="J186" s="36">
        <v>40589</v>
      </c>
      <c r="K186" s="37">
        <v>0.68236111111111108</v>
      </c>
      <c r="L186" s="36">
        <v>42934</v>
      </c>
      <c r="M186" s="38">
        <v>0.55528935185185191</v>
      </c>
    </row>
    <row r="187" spans="1:13" ht="30" x14ac:dyDescent="0.25">
      <c r="A187" s="33" t="s">
        <v>14</v>
      </c>
      <c r="B187" s="34" t="str">
        <f>HYPERLINK("http://www.twitter.com/radcliffescilib", "radcliffescilib")</f>
        <v>radcliffescilib</v>
      </c>
      <c r="C187" s="33" t="s">
        <v>1043</v>
      </c>
      <c r="D187" s="33" t="s">
        <v>505</v>
      </c>
      <c r="E187" s="32" t="s">
        <v>1044</v>
      </c>
      <c r="F187" s="35">
        <v>439</v>
      </c>
      <c r="G187" s="35">
        <v>1211</v>
      </c>
      <c r="H187" s="35">
        <v>1621</v>
      </c>
      <c r="I187" s="35">
        <v>128</v>
      </c>
      <c r="J187" s="36">
        <v>40352</v>
      </c>
      <c r="K187" s="37">
        <v>0.59155092592592595</v>
      </c>
      <c r="L187" s="36">
        <v>42935</v>
      </c>
      <c r="M187" s="38">
        <v>0.46653935185185186</v>
      </c>
    </row>
    <row r="188" spans="1:13" ht="45" x14ac:dyDescent="0.25">
      <c r="A188" s="33" t="s">
        <v>14</v>
      </c>
      <c r="B188" s="34" t="str">
        <f>HYPERLINK("http://www.twitter.com/CadburyRL", "CadburyRL")</f>
        <v>CadburyRL</v>
      </c>
      <c r="C188" s="33" t="s">
        <v>724</v>
      </c>
      <c r="D188" s="33" t="s">
        <v>725</v>
      </c>
      <c r="E188" s="32" t="s">
        <v>726</v>
      </c>
      <c r="F188" s="35">
        <v>977</v>
      </c>
      <c r="G188" s="35">
        <v>1832</v>
      </c>
      <c r="H188" s="35">
        <v>1606</v>
      </c>
      <c r="I188" s="35">
        <v>2722</v>
      </c>
      <c r="J188" s="36">
        <v>40758</v>
      </c>
      <c r="K188" s="37">
        <v>0.45599537037037036</v>
      </c>
      <c r="L188" s="36">
        <v>42934</v>
      </c>
      <c r="M188" s="38">
        <v>0.57564814814814813</v>
      </c>
    </row>
    <row r="189" spans="1:13" ht="45" x14ac:dyDescent="0.25">
      <c r="A189" s="33" t="s">
        <v>14</v>
      </c>
      <c r="B189" s="34" t="str">
        <f>HYPERLINK("http://www.twitter.com/CitySHSLibrary", "CitySHSLibrary")</f>
        <v>CitySHSLibrary</v>
      </c>
      <c r="C189" s="33" t="s">
        <v>1539</v>
      </c>
      <c r="D189" s="33" t="s">
        <v>2197</v>
      </c>
      <c r="E189" s="32" t="s">
        <v>2198</v>
      </c>
      <c r="F189" s="35">
        <v>194</v>
      </c>
      <c r="G189" s="35">
        <v>327</v>
      </c>
      <c r="H189" s="35">
        <v>1568</v>
      </c>
      <c r="I189" s="35">
        <v>34</v>
      </c>
      <c r="J189" s="36">
        <v>40195</v>
      </c>
      <c r="K189" s="37">
        <v>0.75346064814814817</v>
      </c>
      <c r="L189" s="36">
        <v>42167</v>
      </c>
      <c r="M189" s="38">
        <v>0.66068287037037032</v>
      </c>
    </row>
    <row r="190" spans="1:13" ht="30" x14ac:dyDescent="0.25">
      <c r="A190" s="33" t="s">
        <v>14</v>
      </c>
      <c r="B190" s="34" t="str">
        <f>HYPERLINK("http://www.twitter.com/COGCLibraries", "COGCLibraries")</f>
        <v>COGCLibraries</v>
      </c>
      <c r="C190" s="33" t="s">
        <v>1299</v>
      </c>
      <c r="D190" s="33" t="s">
        <v>138</v>
      </c>
      <c r="E190" s="32" t="s">
        <v>1300</v>
      </c>
      <c r="F190" s="35">
        <v>254</v>
      </c>
      <c r="G190" s="35">
        <v>942</v>
      </c>
      <c r="H190" s="35">
        <v>1566</v>
      </c>
      <c r="I190" s="35">
        <v>949</v>
      </c>
      <c r="J190" s="36">
        <v>39854</v>
      </c>
      <c r="K190" s="37">
        <v>0.46802083333333333</v>
      </c>
      <c r="L190" s="36">
        <v>42928</v>
      </c>
      <c r="M190" s="38">
        <v>0.64721064814814822</v>
      </c>
    </row>
    <row r="191" spans="1:13" ht="45" x14ac:dyDescent="0.25">
      <c r="A191" s="33" t="s">
        <v>14</v>
      </c>
      <c r="B191" s="34" t="str">
        <f>HYPERLINK("http://www.twitter.com/BrisUniSpColl", "BrisUniSpColl")</f>
        <v>BrisUniSpColl</v>
      </c>
      <c r="C191" s="33" t="s">
        <v>842</v>
      </c>
      <c r="D191" s="33" t="s">
        <v>514</v>
      </c>
      <c r="E191" s="32" t="s">
        <v>1255</v>
      </c>
      <c r="F191" s="35">
        <v>680</v>
      </c>
      <c r="G191" s="35">
        <v>1002</v>
      </c>
      <c r="H191" s="35">
        <v>1564</v>
      </c>
      <c r="I191" s="35">
        <v>1072</v>
      </c>
      <c r="J191" s="36">
        <v>42090</v>
      </c>
      <c r="K191" s="37">
        <v>0.41035879629629629</v>
      </c>
      <c r="L191" s="36">
        <v>42937</v>
      </c>
      <c r="M191" s="38">
        <v>0.59403935185185186</v>
      </c>
    </row>
    <row r="192" spans="1:13" ht="45" x14ac:dyDescent="0.25">
      <c r="A192" s="33" t="s">
        <v>14</v>
      </c>
      <c r="B192" s="34" t="str">
        <f>HYPERLINK("http://www.twitter.com/chemlibcam", "chemlibcam")</f>
        <v>chemlibcam</v>
      </c>
      <c r="C192" s="33" t="s">
        <v>2277</v>
      </c>
      <c r="D192" s="33" t="s">
        <v>61</v>
      </c>
      <c r="E192" s="32" t="s">
        <v>2278</v>
      </c>
      <c r="F192" s="35">
        <v>553</v>
      </c>
      <c r="G192" s="35">
        <v>320</v>
      </c>
      <c r="H192" s="35">
        <v>1549</v>
      </c>
      <c r="I192" s="35">
        <v>365</v>
      </c>
      <c r="J192" s="36">
        <v>42020</v>
      </c>
      <c r="K192" s="37">
        <v>0.44137731481481479</v>
      </c>
      <c r="L192" s="36">
        <v>42940</v>
      </c>
      <c r="M192" s="38">
        <v>0.62148148148148141</v>
      </c>
    </row>
    <row r="193" spans="1:13" ht="45" x14ac:dyDescent="0.25">
      <c r="A193" s="33" t="s">
        <v>14</v>
      </c>
      <c r="B193" s="34" t="str">
        <f>HYPERLINK("http://www.twitter.com/stjohnslibcam", "stjohnslibcam")</f>
        <v>stjohnslibcam</v>
      </c>
      <c r="C193" s="33" t="s">
        <v>1148</v>
      </c>
      <c r="D193" s="33" t="s">
        <v>1149</v>
      </c>
      <c r="E193" s="32" t="s">
        <v>1150</v>
      </c>
      <c r="F193" s="35">
        <v>319</v>
      </c>
      <c r="G193" s="35">
        <v>1074</v>
      </c>
      <c r="H193" s="35">
        <v>1517</v>
      </c>
      <c r="I193" s="35">
        <v>133</v>
      </c>
      <c r="J193" s="36">
        <v>41171</v>
      </c>
      <c r="K193" s="37">
        <v>0.65561342592592597</v>
      </c>
      <c r="L193" s="36">
        <v>42940</v>
      </c>
      <c r="M193" s="38">
        <v>0.38532407407407404</v>
      </c>
    </row>
    <row r="194" spans="1:13" ht="45" x14ac:dyDescent="0.25">
      <c r="A194" s="33" t="s">
        <v>14</v>
      </c>
      <c r="B194" s="34" t="str">
        <f>HYPERLINK("http://www.twitter.com/LibraryStMarys", "LibraryStMarys")</f>
        <v>LibraryStMarys</v>
      </c>
      <c r="C194" s="33" t="s">
        <v>1600</v>
      </c>
      <c r="D194" s="33" t="s">
        <v>1601</v>
      </c>
      <c r="E194" s="32" t="s">
        <v>1602</v>
      </c>
      <c r="F194" s="35">
        <v>174</v>
      </c>
      <c r="G194" s="35">
        <v>666</v>
      </c>
      <c r="H194" s="35">
        <v>1470</v>
      </c>
      <c r="I194" s="35">
        <v>126</v>
      </c>
      <c r="J194" s="36">
        <v>41043</v>
      </c>
      <c r="K194" s="37">
        <v>0.43960648148148151</v>
      </c>
      <c r="L194" s="36">
        <v>42940</v>
      </c>
      <c r="M194" s="38">
        <v>0.56622685185185184</v>
      </c>
    </row>
    <row r="195" spans="1:13" ht="45" x14ac:dyDescent="0.25">
      <c r="A195" s="33" t="s">
        <v>14</v>
      </c>
      <c r="B195" s="34" t="str">
        <f>HYPERLINK("http://www.twitter.com/aberdeenunilib", "aberdeenunilib")</f>
        <v>aberdeenunilib</v>
      </c>
      <c r="C195" s="33" t="s">
        <v>568</v>
      </c>
      <c r="D195" s="33" t="s">
        <v>569</v>
      </c>
      <c r="E195" s="32" t="s">
        <v>570</v>
      </c>
      <c r="F195" s="35">
        <v>180</v>
      </c>
      <c r="G195" s="35">
        <v>2278</v>
      </c>
      <c r="H195" s="35">
        <v>1468</v>
      </c>
      <c r="I195" s="35">
        <v>216</v>
      </c>
      <c r="J195" s="36">
        <v>39866</v>
      </c>
      <c r="K195" s="37">
        <v>0.59121527777777783</v>
      </c>
      <c r="L195" s="36">
        <v>42940</v>
      </c>
      <c r="M195" s="38">
        <v>0.5403472222222222</v>
      </c>
    </row>
    <row r="196" spans="1:13" ht="45" x14ac:dyDescent="0.25">
      <c r="A196" s="33" t="s">
        <v>14</v>
      </c>
      <c r="B196" s="34" t="str">
        <f>HYPERLINK("http://www.twitter.com/UCLHJSLibrary", "UCLHJSLibrary")</f>
        <v>UCLHJSLibrary</v>
      </c>
      <c r="C196" s="33" t="s">
        <v>3693</v>
      </c>
      <c r="D196" s="33" t="s">
        <v>36</v>
      </c>
      <c r="E196" s="32" t="s">
        <v>3694</v>
      </c>
      <c r="F196" s="35">
        <v>14</v>
      </c>
      <c r="G196" s="35">
        <v>320</v>
      </c>
      <c r="H196" s="35">
        <v>1460</v>
      </c>
      <c r="I196" s="35">
        <v>0</v>
      </c>
      <c r="J196" s="36">
        <v>41702</v>
      </c>
      <c r="K196" s="37">
        <v>0.47841435185185183</v>
      </c>
      <c r="L196" s="36">
        <v>42937</v>
      </c>
      <c r="M196" s="38">
        <v>0.4609375</v>
      </c>
    </row>
    <row r="197" spans="1:13" ht="45" x14ac:dyDescent="0.25">
      <c r="A197" s="33" t="s">
        <v>14</v>
      </c>
      <c r="B197" s="34" t="str">
        <f>HYPERLINK("http://www.twitter.com/CamEngLib", "CamEngLib")</f>
        <v>CamEngLib</v>
      </c>
      <c r="C197" s="33" t="s">
        <v>2174</v>
      </c>
      <c r="D197" s="33" t="s">
        <v>788</v>
      </c>
      <c r="E197" s="32" t="s">
        <v>2175</v>
      </c>
      <c r="F197" s="35">
        <v>435</v>
      </c>
      <c r="G197" s="35">
        <v>386</v>
      </c>
      <c r="H197" s="35">
        <v>1460</v>
      </c>
      <c r="I197" s="35">
        <v>325</v>
      </c>
      <c r="J197" s="36">
        <v>41614</v>
      </c>
      <c r="K197" s="37">
        <v>0.36874999999999997</v>
      </c>
      <c r="L197" s="36">
        <v>42940</v>
      </c>
      <c r="M197" s="38">
        <v>0.59155092592592595</v>
      </c>
    </row>
    <row r="198" spans="1:13" ht="30" x14ac:dyDescent="0.25">
      <c r="A198" s="33" t="s">
        <v>14</v>
      </c>
      <c r="B198" s="34" t="str">
        <f>HYPERLINK("http://www.twitter.com/QMLibrary", "QMLibrary")</f>
        <v>QMLibrary</v>
      </c>
      <c r="C198" s="33" t="s">
        <v>398</v>
      </c>
      <c r="E198" s="32" t="s">
        <v>399</v>
      </c>
      <c r="F198" s="35">
        <v>250</v>
      </c>
      <c r="G198" s="35">
        <v>2890</v>
      </c>
      <c r="H198" s="35">
        <v>1418</v>
      </c>
      <c r="I198" s="35">
        <v>245</v>
      </c>
      <c r="J198" s="36">
        <v>39962</v>
      </c>
      <c r="K198" s="37">
        <v>0.531712962962963</v>
      </c>
      <c r="L198" s="36">
        <v>42940</v>
      </c>
      <c r="M198" s="38">
        <v>0.65678240740740745</v>
      </c>
    </row>
    <row r="199" spans="1:13" ht="45" x14ac:dyDescent="0.25">
      <c r="A199" s="33" t="s">
        <v>14</v>
      </c>
      <c r="B199" s="34" t="str">
        <f>HYPERLINK("http://www.twitter.com/TAYOxford", "TAYOxford")</f>
        <v>TAYOxford</v>
      </c>
      <c r="C199" s="33" t="s">
        <v>885</v>
      </c>
      <c r="D199" s="33" t="s">
        <v>886</v>
      </c>
      <c r="E199" s="32" t="s">
        <v>887</v>
      </c>
      <c r="F199" s="35">
        <v>189</v>
      </c>
      <c r="G199" s="35">
        <v>1470</v>
      </c>
      <c r="H199" s="35">
        <v>1417</v>
      </c>
      <c r="I199" s="35">
        <v>790</v>
      </c>
      <c r="J199" s="36">
        <v>40308</v>
      </c>
      <c r="K199" s="37">
        <v>0.63400462962962967</v>
      </c>
      <c r="L199" s="36">
        <v>42933</v>
      </c>
      <c r="M199" s="38">
        <v>0.36451388888888886</v>
      </c>
    </row>
    <row r="200" spans="1:13" ht="30" x14ac:dyDescent="0.25">
      <c r="A200" s="33" t="s">
        <v>14</v>
      </c>
      <c r="B200" s="34" t="str">
        <f>HYPERLINK("http://www.twitter.com/RareBooksOfBod", "RareBooksOfBod")</f>
        <v>RareBooksOfBod</v>
      </c>
      <c r="C200" s="33" t="s">
        <v>55</v>
      </c>
      <c r="D200" s="33" t="s">
        <v>12</v>
      </c>
      <c r="E200" s="32" t="s">
        <v>56</v>
      </c>
      <c r="F200" s="35">
        <v>495</v>
      </c>
      <c r="G200" s="35">
        <v>13590</v>
      </c>
      <c r="H200" s="35">
        <v>1391</v>
      </c>
      <c r="I200" s="35">
        <v>589</v>
      </c>
      <c r="J200" s="36">
        <v>41687</v>
      </c>
      <c r="K200" s="37">
        <v>0.66370370370370368</v>
      </c>
      <c r="L200" s="36">
        <v>42940</v>
      </c>
      <c r="M200" s="38">
        <v>0.47951388888888885</v>
      </c>
    </row>
    <row r="201" spans="1:13" x14ac:dyDescent="0.25">
      <c r="A201" s="33" t="s">
        <v>14</v>
      </c>
      <c r="B201" s="34" t="str">
        <f>HYPERLINK("http://www.twitter.com/MarjonLibrary", "MarjonLibrary")</f>
        <v>MarjonLibrary</v>
      </c>
      <c r="C201" s="33" t="s">
        <v>2321</v>
      </c>
      <c r="D201" s="33" t="s">
        <v>2322</v>
      </c>
      <c r="E201" s="32" t="s">
        <v>2323</v>
      </c>
      <c r="F201" s="35">
        <v>136</v>
      </c>
      <c r="G201" s="35">
        <v>288</v>
      </c>
      <c r="H201" s="35">
        <v>1383</v>
      </c>
      <c r="I201" s="35">
        <v>181</v>
      </c>
      <c r="J201" s="36">
        <v>41099</v>
      </c>
      <c r="K201" s="37">
        <v>0.35099537037037037</v>
      </c>
      <c r="L201" s="36">
        <v>42940</v>
      </c>
      <c r="M201" s="38">
        <v>0.5591666666666667</v>
      </c>
    </row>
    <row r="202" spans="1:13" ht="60" x14ac:dyDescent="0.25">
      <c r="A202" s="33" t="s">
        <v>14</v>
      </c>
      <c r="B202" s="34" t="str">
        <f>HYPERLINK("http://www.twitter.com/DerbyUniLibrary", "DerbyUniLibrary")</f>
        <v>DerbyUniLibrary</v>
      </c>
      <c r="C202" s="33" t="s">
        <v>1987</v>
      </c>
      <c r="D202" s="33" t="s">
        <v>1988</v>
      </c>
      <c r="E202" s="32" t="s">
        <v>1989</v>
      </c>
      <c r="F202" s="35">
        <v>382</v>
      </c>
      <c r="G202" s="35">
        <v>422</v>
      </c>
      <c r="H202" s="35">
        <v>1319</v>
      </c>
      <c r="I202" s="35">
        <v>332</v>
      </c>
      <c r="J202" s="36">
        <v>41422</v>
      </c>
      <c r="K202" s="37">
        <v>0.57229166666666664</v>
      </c>
      <c r="L202" s="36">
        <v>42940</v>
      </c>
      <c r="M202" s="38">
        <v>0.37555555555555559</v>
      </c>
    </row>
    <row r="203" spans="1:13" ht="45" x14ac:dyDescent="0.25">
      <c r="A203" s="33" t="s">
        <v>14</v>
      </c>
      <c r="B203" s="34" t="str">
        <f>HYPERLINK("http://www.twitter.com/BodEdLib", "BodEdLib")</f>
        <v>BodEdLib</v>
      </c>
      <c r="C203" s="33" t="s">
        <v>787</v>
      </c>
      <c r="D203" s="33" t="s">
        <v>505</v>
      </c>
      <c r="E203" s="32" t="s">
        <v>1671</v>
      </c>
      <c r="F203" s="35">
        <v>156</v>
      </c>
      <c r="G203" s="35">
        <v>605</v>
      </c>
      <c r="H203" s="35">
        <v>1310</v>
      </c>
      <c r="I203" s="35">
        <v>62</v>
      </c>
      <c r="J203" s="36">
        <v>40591</v>
      </c>
      <c r="K203" s="37">
        <v>0.53009259259259256</v>
      </c>
      <c r="L203" s="36">
        <v>42940</v>
      </c>
      <c r="M203" s="38">
        <v>0.66519675925925925</v>
      </c>
    </row>
    <row r="204" spans="1:13" ht="45" x14ac:dyDescent="0.25">
      <c r="A204" s="33" t="s">
        <v>14</v>
      </c>
      <c r="B204" s="34" t="str">
        <f>HYPERLINK("http://www.twitter.com/MooreLib", "MooreLib")</f>
        <v>MooreLib</v>
      </c>
      <c r="C204" s="33" t="s">
        <v>2012</v>
      </c>
      <c r="D204" s="33" t="s">
        <v>936</v>
      </c>
      <c r="E204" s="32" t="s">
        <v>2013</v>
      </c>
      <c r="F204" s="35">
        <v>317</v>
      </c>
      <c r="G204" s="35">
        <v>428</v>
      </c>
      <c r="H204" s="35">
        <v>1274</v>
      </c>
      <c r="I204" s="35">
        <v>740</v>
      </c>
      <c r="J204" s="36">
        <v>41677</v>
      </c>
      <c r="K204" s="37">
        <v>0.77718750000000003</v>
      </c>
      <c r="L204" s="36">
        <v>42940</v>
      </c>
      <c r="M204" s="38">
        <v>0.67436342592592602</v>
      </c>
    </row>
    <row r="205" spans="1:13" ht="45" x14ac:dyDescent="0.25">
      <c r="A205" s="33" t="s">
        <v>14</v>
      </c>
      <c r="B205" s="34" t="str">
        <f>HYPERLINK("http://www.twitter.com/SSLBod", "SSLBod")</f>
        <v>SSLBod</v>
      </c>
      <c r="C205" s="33" t="s">
        <v>1522</v>
      </c>
      <c r="D205" s="33" t="s">
        <v>1523</v>
      </c>
      <c r="E205" s="32" t="s">
        <v>1524</v>
      </c>
      <c r="F205" s="35">
        <v>227</v>
      </c>
      <c r="G205" s="35">
        <v>739</v>
      </c>
      <c r="H205" s="35">
        <v>1264</v>
      </c>
      <c r="I205" s="35">
        <v>525</v>
      </c>
      <c r="J205" s="36">
        <v>41541</v>
      </c>
      <c r="K205" s="37">
        <v>0.59490740740740744</v>
      </c>
      <c r="L205" s="36">
        <v>42930</v>
      </c>
      <c r="M205" s="38">
        <v>0.54167824074074067</v>
      </c>
    </row>
    <row r="206" spans="1:13" ht="45" x14ac:dyDescent="0.25">
      <c r="A206" s="33" t="s">
        <v>14</v>
      </c>
      <c r="B206" s="34" t="str">
        <f>HYPERLINK("http://www.twitter.com/libatcam", "libatcam")</f>
        <v>libatcam</v>
      </c>
      <c r="C206" s="33" t="s">
        <v>888</v>
      </c>
      <c r="D206" s="33" t="s">
        <v>889</v>
      </c>
      <c r="E206" s="32" t="s">
        <v>890</v>
      </c>
      <c r="F206" s="35">
        <v>353</v>
      </c>
      <c r="G206" s="35">
        <v>1447</v>
      </c>
      <c r="H206" s="35">
        <v>1226</v>
      </c>
      <c r="I206" s="35">
        <v>8</v>
      </c>
      <c r="J206" s="36">
        <v>40205</v>
      </c>
      <c r="K206" s="37">
        <v>0.64234953703703701</v>
      </c>
      <c r="L206" s="36">
        <v>42090</v>
      </c>
      <c r="M206" s="38">
        <v>0.50097222222222226</v>
      </c>
    </row>
    <row r="207" spans="1:13" ht="45" x14ac:dyDescent="0.25">
      <c r="A207" s="33" t="s">
        <v>14</v>
      </c>
      <c r="B207" s="34" t="str">
        <f>HYPERLINK("http://www.twitter.com/Senglibrary", "Senglibrary")</f>
        <v>Senglibrary</v>
      </c>
      <c r="C207" s="33" t="s">
        <v>1769</v>
      </c>
      <c r="D207" s="33" t="s">
        <v>1770</v>
      </c>
      <c r="E207" s="32" t="s">
        <v>3699</v>
      </c>
      <c r="F207" s="35">
        <v>337</v>
      </c>
      <c r="G207" s="35">
        <v>536</v>
      </c>
      <c r="H207" s="35">
        <v>1200</v>
      </c>
      <c r="I207" s="35">
        <v>559</v>
      </c>
      <c r="J207" s="36">
        <v>41020</v>
      </c>
      <c r="K207" s="37">
        <v>0.61658564814814809</v>
      </c>
      <c r="L207" s="36">
        <v>42940</v>
      </c>
      <c r="M207" s="38">
        <v>0.54201388888888891</v>
      </c>
    </row>
    <row r="208" spans="1:13" ht="45" x14ac:dyDescent="0.25">
      <c r="A208" s="33" t="s">
        <v>14</v>
      </c>
      <c r="B208" s="34" t="str">
        <f>HYPERLINK("http://www.twitter.com/UOS_LrnServices", "UOS_LrnServices")</f>
        <v>UOS_LrnServices</v>
      </c>
      <c r="C208" s="33" t="s">
        <v>1597</v>
      </c>
      <c r="D208" s="33" t="s">
        <v>1598</v>
      </c>
      <c r="E208" s="32" t="s">
        <v>1599</v>
      </c>
      <c r="F208" s="35">
        <v>113</v>
      </c>
      <c r="G208" s="35">
        <v>659</v>
      </c>
      <c r="H208" s="35">
        <v>1187</v>
      </c>
      <c r="I208" s="35">
        <v>22</v>
      </c>
      <c r="J208" s="36">
        <v>40514</v>
      </c>
      <c r="K208" s="37">
        <v>0.47364583333333332</v>
      </c>
      <c r="L208" s="36">
        <v>42938</v>
      </c>
      <c r="M208" s="38">
        <v>0.40136574074074072</v>
      </c>
    </row>
    <row r="209" spans="1:13" ht="45" x14ac:dyDescent="0.25">
      <c r="A209" s="33" t="s">
        <v>14</v>
      </c>
      <c r="B209" s="34" t="str">
        <f>HYPERLINK("http://www.twitter.com/SainsburyLib", "SainsburyLib")</f>
        <v>SainsburyLib</v>
      </c>
      <c r="C209" s="33" t="s">
        <v>1342</v>
      </c>
      <c r="D209" s="33" t="s">
        <v>12</v>
      </c>
      <c r="E209" s="32" t="s">
        <v>1343</v>
      </c>
      <c r="F209" s="35">
        <v>1204</v>
      </c>
      <c r="G209" s="35">
        <v>867</v>
      </c>
      <c r="H209" s="35">
        <v>1186</v>
      </c>
      <c r="I209" s="35">
        <v>86</v>
      </c>
      <c r="J209" s="36">
        <v>40141</v>
      </c>
      <c r="K209" s="37">
        <v>0.58225694444444442</v>
      </c>
      <c r="L209" s="36">
        <v>42940</v>
      </c>
      <c r="M209" s="38">
        <v>0.63164351851851852</v>
      </c>
    </row>
    <row r="210" spans="1:13" ht="45" x14ac:dyDescent="0.25">
      <c r="A210" s="33" t="s">
        <v>14</v>
      </c>
      <c r="B210" s="34" t="str">
        <f>HYPERLINK("http://www.twitter.com/SwanseaLawLib", "SwanseaLawLib")</f>
        <v>SwanseaLawLib</v>
      </c>
      <c r="C210" s="33" t="s">
        <v>2724</v>
      </c>
      <c r="D210" s="33" t="s">
        <v>2725</v>
      </c>
      <c r="E210" s="32" t="s">
        <v>2726</v>
      </c>
      <c r="F210" s="35">
        <v>236</v>
      </c>
      <c r="G210" s="35">
        <v>195</v>
      </c>
      <c r="H210" s="35">
        <v>1168</v>
      </c>
      <c r="I210" s="35">
        <v>15</v>
      </c>
      <c r="J210" s="36">
        <v>42384</v>
      </c>
      <c r="K210" s="37">
        <v>0.62034722222222227</v>
      </c>
      <c r="L210" s="36">
        <v>42935</v>
      </c>
      <c r="M210" s="38">
        <v>0.32613425925925926</v>
      </c>
    </row>
    <row r="211" spans="1:13" ht="30" x14ac:dyDescent="0.25">
      <c r="A211" s="33" t="s">
        <v>14</v>
      </c>
      <c r="B211" s="34" t="str">
        <f>HYPERLINK("http://www.twitter.com/QueensLib", "QueensLib")</f>
        <v>QueensLib</v>
      </c>
      <c r="C211" s="33" t="s">
        <v>995</v>
      </c>
      <c r="D211" s="33" t="s">
        <v>505</v>
      </c>
      <c r="E211" s="32" t="s">
        <v>996</v>
      </c>
      <c r="F211" s="35">
        <v>323</v>
      </c>
      <c r="G211" s="35">
        <v>1278</v>
      </c>
      <c r="H211" s="35">
        <v>1159</v>
      </c>
      <c r="I211" s="35">
        <v>596</v>
      </c>
      <c r="J211" s="36">
        <v>40423</v>
      </c>
      <c r="K211" s="37">
        <v>0.51337962962962969</v>
      </c>
      <c r="L211" s="36">
        <v>42940</v>
      </c>
      <c r="M211" s="38">
        <v>0.33266203703703706</v>
      </c>
    </row>
    <row r="212" spans="1:13" ht="45" x14ac:dyDescent="0.25">
      <c r="A212" s="33" t="s">
        <v>14</v>
      </c>
      <c r="B212" s="34" t="str">
        <f>HYPERLINK("http://www.twitter.com/CambridgeHPS", "CambridgeHPS")</f>
        <v>CambridgeHPS</v>
      </c>
      <c r="C212" s="33" t="s">
        <v>366</v>
      </c>
      <c r="D212" s="33" t="s">
        <v>61</v>
      </c>
      <c r="E212" s="32" t="s">
        <v>367</v>
      </c>
      <c r="F212" s="35">
        <v>99</v>
      </c>
      <c r="G212" s="35">
        <v>3101</v>
      </c>
      <c r="H212" s="35">
        <v>1152</v>
      </c>
      <c r="I212" s="35">
        <v>0</v>
      </c>
      <c r="J212" s="36">
        <v>40416</v>
      </c>
      <c r="K212" s="37">
        <v>0.63314814814814813</v>
      </c>
      <c r="L212" s="36">
        <v>42923</v>
      </c>
      <c r="M212" s="38">
        <v>0.37361111111111112</v>
      </c>
    </row>
    <row r="213" spans="1:13" ht="30" x14ac:dyDescent="0.25">
      <c r="A213" s="33" t="s">
        <v>14</v>
      </c>
      <c r="B213" s="34" t="str">
        <f>HYPERLINK("http://www.twitter.com/SPSLibraryInfo", "SPSLibraryInfo")</f>
        <v>SPSLibraryInfo</v>
      </c>
      <c r="C213" s="33" t="s">
        <v>2387</v>
      </c>
      <c r="D213" s="33" t="s">
        <v>508</v>
      </c>
      <c r="E213" s="32" t="s">
        <v>2388</v>
      </c>
      <c r="F213" s="35">
        <v>563</v>
      </c>
      <c r="G213" s="35">
        <v>278</v>
      </c>
      <c r="H213" s="35">
        <v>1134</v>
      </c>
      <c r="I213" s="35">
        <v>108</v>
      </c>
      <c r="J213" s="36">
        <v>42271</v>
      </c>
      <c r="K213" s="37">
        <v>0.63045138888888885</v>
      </c>
      <c r="L213" s="36">
        <v>42940</v>
      </c>
      <c r="M213" s="38">
        <v>0.41122685185185182</v>
      </c>
    </row>
    <row r="214" spans="1:13" ht="45" x14ac:dyDescent="0.25">
      <c r="A214" s="33" t="s">
        <v>14</v>
      </c>
      <c r="B214" s="34" t="str">
        <f>HYPERLINK("http://www.twitter.com/scc_aberdeen", "scc_aberdeen")</f>
        <v>scc_aberdeen</v>
      </c>
      <c r="C214" s="33" t="s">
        <v>842</v>
      </c>
      <c r="D214" s="33" t="s">
        <v>808</v>
      </c>
      <c r="E214" s="32" t="s">
        <v>843</v>
      </c>
      <c r="F214" s="35">
        <v>500</v>
      </c>
      <c r="G214" s="35">
        <v>1555</v>
      </c>
      <c r="H214" s="35">
        <v>1068</v>
      </c>
      <c r="I214" s="35">
        <v>471</v>
      </c>
      <c r="J214" s="36">
        <v>41177</v>
      </c>
      <c r="K214" s="37">
        <v>0.60385416666666669</v>
      </c>
      <c r="L214" s="36">
        <v>42937</v>
      </c>
      <c r="M214" s="38">
        <v>0.40565972222222224</v>
      </c>
    </row>
    <row r="215" spans="1:13" x14ac:dyDescent="0.25">
      <c r="A215" s="33" t="s">
        <v>14</v>
      </c>
      <c r="B215" s="34" t="str">
        <f>HYPERLINK("http://www.twitter.com/NewnhamLibrary", "NewnhamLibrary")</f>
        <v>NewnhamLibrary</v>
      </c>
      <c r="C215" s="33" t="s">
        <v>1449</v>
      </c>
      <c r="D215" s="33" t="s">
        <v>936</v>
      </c>
      <c r="E215" s="32" t="s">
        <v>1450</v>
      </c>
      <c r="F215" s="35">
        <v>135</v>
      </c>
      <c r="G215" s="35">
        <v>799</v>
      </c>
      <c r="H215" s="35">
        <v>1057</v>
      </c>
      <c r="I215" s="35">
        <v>299</v>
      </c>
      <c r="J215" s="36">
        <v>40568</v>
      </c>
      <c r="K215" s="37">
        <v>0.61863425925925919</v>
      </c>
      <c r="L215" s="36">
        <v>42936</v>
      </c>
      <c r="M215" s="38">
        <v>0.36806712962962962</v>
      </c>
    </row>
    <row r="216" spans="1:13" x14ac:dyDescent="0.25">
      <c r="A216" s="33" t="s">
        <v>14</v>
      </c>
      <c r="B216" s="34" t="str">
        <f>HYPERLINK("http://www.twitter.com/jerwoodlibrary", "jerwoodlibrary")</f>
        <v>jerwoodlibrary</v>
      </c>
      <c r="C216" s="33" t="s">
        <v>1681</v>
      </c>
      <c r="D216" s="33" t="s">
        <v>788</v>
      </c>
      <c r="E216" s="32" t="s">
        <v>1682</v>
      </c>
      <c r="F216" s="35">
        <v>206</v>
      </c>
      <c r="G216" s="35">
        <v>606</v>
      </c>
      <c r="H216" s="35">
        <v>1050</v>
      </c>
      <c r="I216" s="35">
        <v>35</v>
      </c>
      <c r="J216" s="36">
        <v>40290</v>
      </c>
      <c r="K216" s="37">
        <v>0.53353009259259265</v>
      </c>
      <c r="L216" s="36">
        <v>42933</v>
      </c>
      <c r="M216" s="38">
        <v>0.47545138888888888</v>
      </c>
    </row>
    <row r="217" spans="1:13" ht="30" x14ac:dyDescent="0.25">
      <c r="A217" s="33" t="s">
        <v>14</v>
      </c>
      <c r="B217" s="34" t="str">
        <f>HYPERLINK("http://www.twitter.com/bishopglibrary", "bishopglibrary")</f>
        <v>bishopglibrary</v>
      </c>
      <c r="C217" s="33" t="s">
        <v>2141</v>
      </c>
      <c r="D217" s="33" t="s">
        <v>2142</v>
      </c>
      <c r="E217" s="32" t="s">
        <v>2143</v>
      </c>
      <c r="F217" s="35">
        <v>167</v>
      </c>
      <c r="G217" s="35">
        <v>357</v>
      </c>
      <c r="H217" s="35">
        <v>1029</v>
      </c>
      <c r="I217" s="35">
        <v>63</v>
      </c>
      <c r="J217" s="36">
        <v>39910</v>
      </c>
      <c r="K217" s="37">
        <v>0.50844907407407403</v>
      </c>
      <c r="L217" s="36">
        <v>42940</v>
      </c>
      <c r="M217" s="38">
        <v>0.33534722222222224</v>
      </c>
    </row>
    <row r="218" spans="1:13" ht="45" x14ac:dyDescent="0.25">
      <c r="A218" s="33" t="s">
        <v>14</v>
      </c>
      <c r="B218" s="34" t="str">
        <f>HYPERLINK("http://www.twitter.com/Colour_Library", "Colour_Library")</f>
        <v>Colour_Library</v>
      </c>
      <c r="C218" s="33" t="s">
        <v>722</v>
      </c>
      <c r="D218" s="33" t="s">
        <v>110</v>
      </c>
      <c r="E218" s="32" t="s">
        <v>723</v>
      </c>
      <c r="F218" s="35">
        <v>830</v>
      </c>
      <c r="G218" s="35">
        <v>1827</v>
      </c>
      <c r="H218" s="35">
        <v>1020</v>
      </c>
      <c r="I218" s="35">
        <v>562</v>
      </c>
      <c r="J218" s="36">
        <v>40638</v>
      </c>
      <c r="K218" s="37">
        <v>0.42107638888888888</v>
      </c>
      <c r="L218" s="36">
        <v>42929</v>
      </c>
      <c r="M218" s="38">
        <v>0.50326388888888884</v>
      </c>
    </row>
    <row r="219" spans="1:13" ht="45" x14ac:dyDescent="0.25">
      <c r="A219" s="33" t="s">
        <v>14</v>
      </c>
      <c r="B219" s="34" t="str">
        <f>HYPERLINK("http://www.twitter.com/CamDivLib", "CamDivLib")</f>
        <v>CamDivLib</v>
      </c>
      <c r="C219" s="33" t="s">
        <v>2443</v>
      </c>
      <c r="D219" s="33" t="s">
        <v>508</v>
      </c>
      <c r="E219" s="32" t="s">
        <v>2444</v>
      </c>
      <c r="F219" s="35">
        <v>141</v>
      </c>
      <c r="G219" s="35">
        <v>276</v>
      </c>
      <c r="H219" s="35">
        <v>1016</v>
      </c>
      <c r="I219" s="35">
        <v>72</v>
      </c>
      <c r="J219" s="36">
        <v>42263</v>
      </c>
      <c r="K219" s="37">
        <v>0.6152199074074074</v>
      </c>
      <c r="L219" s="36">
        <v>42930</v>
      </c>
      <c r="M219" s="38">
        <v>0.33136574074074071</v>
      </c>
    </row>
    <row r="220" spans="1:13" ht="30" x14ac:dyDescent="0.25">
      <c r="A220" s="33" t="s">
        <v>14</v>
      </c>
      <c r="B220" s="34" t="str">
        <f>HYPERLINK("http://www.twitter.com/SPHLibrary", "SPHLibrary")</f>
        <v>SPHLibrary</v>
      </c>
      <c r="C220" s="33" t="s">
        <v>1832</v>
      </c>
      <c r="D220" s="33" t="s">
        <v>1833</v>
      </c>
      <c r="E220" s="32" t="s">
        <v>1834</v>
      </c>
      <c r="F220" s="35">
        <v>683</v>
      </c>
      <c r="G220" s="35">
        <v>498</v>
      </c>
      <c r="H220" s="35">
        <v>1016</v>
      </c>
      <c r="I220" s="35">
        <v>206</v>
      </c>
      <c r="J220" s="36">
        <v>40973</v>
      </c>
      <c r="K220" s="37">
        <v>0.48076388888888894</v>
      </c>
      <c r="L220" s="36">
        <v>42940</v>
      </c>
      <c r="M220" s="38">
        <v>0.68194444444444446</v>
      </c>
    </row>
    <row r="221" spans="1:13" ht="30" x14ac:dyDescent="0.25">
      <c r="A221" s="33" t="s">
        <v>14</v>
      </c>
      <c r="B221" s="34" t="str">
        <f>HYPERLINK("http://www.twitter.com/BrookesWLibrary", "BrookesWLibrary")</f>
        <v>BrookesWLibrary</v>
      </c>
      <c r="C221" s="33" t="s">
        <v>2972</v>
      </c>
      <c r="D221" s="33" t="s">
        <v>2973</v>
      </c>
      <c r="E221" s="32" t="s">
        <v>2974</v>
      </c>
      <c r="F221" s="35">
        <v>260</v>
      </c>
      <c r="G221" s="35">
        <v>151</v>
      </c>
      <c r="H221" s="35">
        <v>1012</v>
      </c>
      <c r="I221" s="35">
        <v>36</v>
      </c>
      <c r="J221" s="36">
        <v>42223</v>
      </c>
      <c r="K221" s="37">
        <v>0.54715277777777771</v>
      </c>
      <c r="L221" s="36">
        <v>42940</v>
      </c>
      <c r="M221" s="38">
        <v>0.39795138888888887</v>
      </c>
    </row>
    <row r="222" spans="1:13" ht="45" x14ac:dyDescent="0.25">
      <c r="A222" s="33" t="s">
        <v>14</v>
      </c>
      <c r="B222" s="34" t="str">
        <f>HYPERLINK("http://www.twitter.com/MusiCB3t", "MusiCB3t")</f>
        <v>MusiCB3t</v>
      </c>
      <c r="C222" s="33" t="s">
        <v>2201</v>
      </c>
      <c r="D222" s="33" t="s">
        <v>2202</v>
      </c>
      <c r="E222" s="32" t="s">
        <v>2203</v>
      </c>
      <c r="F222" s="35">
        <v>128</v>
      </c>
      <c r="G222" s="35">
        <v>327</v>
      </c>
      <c r="H222" s="35">
        <v>998</v>
      </c>
      <c r="I222" s="35">
        <v>1</v>
      </c>
      <c r="J222" s="36">
        <v>40189</v>
      </c>
      <c r="K222" s="37">
        <v>0.46746527777777774</v>
      </c>
      <c r="L222" s="36">
        <v>42937</v>
      </c>
      <c r="M222" s="38">
        <v>0.36192129629629632</v>
      </c>
    </row>
    <row r="223" spans="1:13" ht="45" x14ac:dyDescent="0.25">
      <c r="A223" s="33" t="s">
        <v>14</v>
      </c>
      <c r="B223" s="34" t="str">
        <f>HYPERLINK("http://www.twitter.com/TheSeeleyLib", "TheSeeleyLib")</f>
        <v>TheSeeleyLib</v>
      </c>
      <c r="C223" s="33" t="s">
        <v>1571</v>
      </c>
      <c r="D223" s="33" t="s">
        <v>1149</v>
      </c>
      <c r="E223" s="32" t="s">
        <v>1572</v>
      </c>
      <c r="F223" s="35">
        <v>388</v>
      </c>
      <c r="G223" s="35">
        <v>691</v>
      </c>
      <c r="H223" s="35">
        <v>979</v>
      </c>
      <c r="I223" s="35">
        <v>110</v>
      </c>
      <c r="J223" s="36">
        <v>41288</v>
      </c>
      <c r="K223" s="37">
        <v>0.52144675925925921</v>
      </c>
      <c r="L223" s="36">
        <v>42940</v>
      </c>
      <c r="M223" s="38">
        <v>0.39026620370370368</v>
      </c>
    </row>
    <row r="224" spans="1:13" ht="30" x14ac:dyDescent="0.25">
      <c r="A224" s="33" t="s">
        <v>14</v>
      </c>
      <c r="B224" s="34" t="str">
        <f>HYPERLINK("http://www.twitter.com/RWCMDLibrary", "RWCMDLibrary")</f>
        <v>RWCMDLibrary</v>
      </c>
      <c r="C224" s="33" t="s">
        <v>2204</v>
      </c>
      <c r="D224" s="33" t="s">
        <v>427</v>
      </c>
      <c r="E224" s="32" t="s">
        <v>2205</v>
      </c>
      <c r="F224" s="35">
        <v>375</v>
      </c>
      <c r="G224" s="35">
        <v>336</v>
      </c>
      <c r="H224" s="35">
        <v>952</v>
      </c>
      <c r="I224" s="35">
        <v>409</v>
      </c>
      <c r="J224" s="36">
        <v>42215</v>
      </c>
      <c r="K224" s="37">
        <v>0.55577546296296299</v>
      </c>
      <c r="L224" s="36">
        <v>42937</v>
      </c>
      <c r="M224" s="38">
        <v>0.59817129629629628</v>
      </c>
    </row>
    <row r="225" spans="1:13" ht="45" x14ac:dyDescent="0.25">
      <c r="A225" s="33" t="s">
        <v>14</v>
      </c>
      <c r="B225" s="34" t="str">
        <f>HYPERLINK("http://www.twitter.com/NTUYourLibrary", "NTUYourLibrary")</f>
        <v>NTUYourLibrary</v>
      </c>
      <c r="C225" s="33" t="s">
        <v>2106</v>
      </c>
      <c r="D225" s="33" t="s">
        <v>2107</v>
      </c>
      <c r="E225" s="32" t="s">
        <v>2108</v>
      </c>
      <c r="F225" s="35">
        <v>193</v>
      </c>
      <c r="G225" s="35">
        <v>387</v>
      </c>
      <c r="H225" s="35">
        <v>933</v>
      </c>
      <c r="I225" s="35">
        <v>323</v>
      </c>
      <c r="J225" s="36">
        <v>42472</v>
      </c>
      <c r="K225" s="37">
        <v>0.36030092592592594</v>
      </c>
      <c r="L225" s="36">
        <v>42940</v>
      </c>
      <c r="M225" s="38">
        <v>0.47193287037037041</v>
      </c>
    </row>
    <row r="226" spans="1:13" x14ac:dyDescent="0.25">
      <c r="A226" s="33" t="s">
        <v>14</v>
      </c>
      <c r="B226" s="34" t="str">
        <f>HYPERLINK("http://www.twitter.com/QUBSONM", "QUBSONM")</f>
        <v>QUBSONM</v>
      </c>
      <c r="C226" s="33" t="s">
        <v>1100</v>
      </c>
      <c r="E226" s="32" t="s">
        <v>1101</v>
      </c>
      <c r="F226" s="35">
        <v>494</v>
      </c>
      <c r="G226" s="35">
        <v>1144</v>
      </c>
      <c r="H226" s="35">
        <v>920</v>
      </c>
      <c r="I226" s="35">
        <v>403</v>
      </c>
      <c r="J226" s="36">
        <v>41345</v>
      </c>
      <c r="K226" s="37">
        <v>0.7053356481481482</v>
      </c>
      <c r="L226" s="36">
        <v>42927</v>
      </c>
      <c r="M226" s="38">
        <v>0.44090277777777781</v>
      </c>
    </row>
    <row r="227" spans="1:13" ht="45" x14ac:dyDescent="0.25">
      <c r="A227" s="33" t="s">
        <v>14</v>
      </c>
      <c r="B227" s="34" t="str">
        <f>HYPERLINK("http://www.twitter.com/BoltonUniLib", "BoltonUniLib")</f>
        <v>BoltonUniLib</v>
      </c>
      <c r="C227" s="33" t="s">
        <v>1857</v>
      </c>
      <c r="E227" s="32" t="s">
        <v>1858</v>
      </c>
      <c r="F227" s="35">
        <v>149</v>
      </c>
      <c r="G227" s="35">
        <v>482</v>
      </c>
      <c r="H227" s="35">
        <v>889</v>
      </c>
      <c r="I227" s="35">
        <v>59</v>
      </c>
      <c r="J227" s="36">
        <v>40882</v>
      </c>
      <c r="K227" s="37">
        <v>0.58572916666666663</v>
      </c>
      <c r="L227" s="36">
        <v>42935</v>
      </c>
      <c r="M227" s="38">
        <v>0.39579861111111114</v>
      </c>
    </row>
    <row r="228" spans="1:13" ht="30" x14ac:dyDescent="0.25">
      <c r="A228" s="33" t="s">
        <v>14</v>
      </c>
      <c r="B228" s="34" t="str">
        <f>HYPERLINK("http://www.twitter.com/RVC_LISD", "RVC_LISD")</f>
        <v>RVC_LISD</v>
      </c>
      <c r="C228" s="33" t="s">
        <v>1853</v>
      </c>
      <c r="E228" s="32" t="s">
        <v>1854</v>
      </c>
      <c r="F228" s="35">
        <v>609</v>
      </c>
      <c r="G228" s="35">
        <v>475</v>
      </c>
      <c r="H228" s="35">
        <v>860</v>
      </c>
      <c r="I228" s="35">
        <v>224</v>
      </c>
      <c r="J228" s="36">
        <v>41225</v>
      </c>
      <c r="K228" s="37">
        <v>0.66061342592592587</v>
      </c>
      <c r="L228" s="36">
        <v>42934</v>
      </c>
      <c r="M228" s="38">
        <v>0.74584490740740739</v>
      </c>
    </row>
    <row r="229" spans="1:13" ht="45" x14ac:dyDescent="0.25">
      <c r="A229" s="33" t="s">
        <v>14</v>
      </c>
      <c r="B229" s="34" t="str">
        <f>HYPERLINK("http://www.twitter.com/glynlib", "glynlib")</f>
        <v>glynlib</v>
      </c>
      <c r="C229" s="33" t="s">
        <v>1516</v>
      </c>
      <c r="D229" s="33" t="s">
        <v>1517</v>
      </c>
      <c r="E229" s="32" t="s">
        <v>1518</v>
      </c>
      <c r="F229" s="35">
        <v>654</v>
      </c>
      <c r="G229" s="35">
        <v>734</v>
      </c>
      <c r="H229" s="35">
        <v>853</v>
      </c>
      <c r="I229" s="35">
        <v>5</v>
      </c>
      <c r="J229" s="36">
        <v>40430</v>
      </c>
      <c r="K229" s="37">
        <v>0.62349537037037039</v>
      </c>
      <c r="L229" s="36">
        <v>42892</v>
      </c>
      <c r="M229" s="38">
        <v>0.64730324074074075</v>
      </c>
    </row>
    <row r="230" spans="1:13" ht="45" x14ac:dyDescent="0.25">
      <c r="A230" s="33" t="s">
        <v>14</v>
      </c>
      <c r="B230" s="34" t="str">
        <f>HYPERLINK("http://www.twitter.com/TABSOxford", "TABSOxford")</f>
        <v>TABSOxford</v>
      </c>
      <c r="C230" s="33" t="s">
        <v>1410</v>
      </c>
      <c r="D230" s="33" t="s">
        <v>1411</v>
      </c>
      <c r="E230" s="32" t="s">
        <v>1412</v>
      </c>
      <c r="F230" s="35">
        <v>172</v>
      </c>
      <c r="G230" s="35">
        <v>799</v>
      </c>
      <c r="H230" s="35">
        <v>847</v>
      </c>
      <c r="I230" s="35">
        <v>29</v>
      </c>
      <c r="J230" s="36">
        <v>40288</v>
      </c>
      <c r="K230" s="37">
        <v>0.64317129629629632</v>
      </c>
      <c r="L230" s="36">
        <v>42898</v>
      </c>
      <c r="M230" s="38">
        <v>0.61539351851851853</v>
      </c>
    </row>
    <row r="231" spans="1:13" ht="30" x14ac:dyDescent="0.25">
      <c r="A231" s="33" t="s">
        <v>14</v>
      </c>
      <c r="B231" s="34" t="str">
        <f>HYPERLINK("http://www.twitter.com/ArchiLibrary", "ArchiLibrary")</f>
        <v>ArchiLibrary</v>
      </c>
      <c r="C231" s="33" t="s">
        <v>917</v>
      </c>
      <c r="D231" s="33" t="s">
        <v>427</v>
      </c>
      <c r="E231" s="32" t="s">
        <v>918</v>
      </c>
      <c r="F231" s="35">
        <v>373</v>
      </c>
      <c r="G231" s="35">
        <v>1415</v>
      </c>
      <c r="H231" s="35">
        <v>836</v>
      </c>
      <c r="I231" s="35">
        <v>73</v>
      </c>
      <c r="J231" s="36">
        <v>40310</v>
      </c>
      <c r="K231" s="37">
        <v>0.55600694444444443</v>
      </c>
      <c r="L231" s="36">
        <v>42935</v>
      </c>
      <c r="M231" s="38">
        <v>0.34957175925925926</v>
      </c>
    </row>
    <row r="232" spans="1:13" x14ac:dyDescent="0.25">
      <c r="A232" s="33" t="s">
        <v>14</v>
      </c>
      <c r="B232" s="34" t="str">
        <f>HYPERLINK("http://www.twitter.com/StAnnesLibrary", "StAnnesLibrary")</f>
        <v>StAnnesLibrary</v>
      </c>
      <c r="C232" s="33" t="s">
        <v>1470</v>
      </c>
      <c r="D232" s="33" t="s">
        <v>1471</v>
      </c>
      <c r="E232" s="32" t="s">
        <v>1472</v>
      </c>
      <c r="F232" s="35">
        <v>160</v>
      </c>
      <c r="G232" s="35">
        <v>769</v>
      </c>
      <c r="H232" s="35">
        <v>809</v>
      </c>
      <c r="I232" s="35">
        <v>45</v>
      </c>
      <c r="J232" s="36">
        <v>40816</v>
      </c>
      <c r="K232" s="37">
        <v>0.35925925925925922</v>
      </c>
      <c r="L232" s="36">
        <v>42922</v>
      </c>
      <c r="M232" s="38">
        <v>0.56055555555555558</v>
      </c>
    </row>
    <row r="233" spans="1:13" ht="45" x14ac:dyDescent="0.25">
      <c r="A233" s="33" t="s">
        <v>14</v>
      </c>
      <c r="B233" s="34" t="str">
        <f>HYPERLINK("http://www.twitter.com/TrinCollLibCam", "TrinCollLibCam")</f>
        <v>TrinCollLibCam</v>
      </c>
      <c r="C233" s="33" t="s">
        <v>1102</v>
      </c>
      <c r="D233" s="33" t="s">
        <v>61</v>
      </c>
      <c r="E233" s="32" t="s">
        <v>1103</v>
      </c>
      <c r="F233" s="35">
        <v>207</v>
      </c>
      <c r="G233" s="35">
        <v>1166</v>
      </c>
      <c r="H233" s="35">
        <v>799</v>
      </c>
      <c r="I233" s="35">
        <v>502</v>
      </c>
      <c r="J233" s="36">
        <v>41936</v>
      </c>
      <c r="K233" s="37">
        <v>0.63567129629629626</v>
      </c>
      <c r="L233" s="36">
        <v>42937</v>
      </c>
      <c r="M233" s="38">
        <v>0.66284722222222225</v>
      </c>
    </row>
    <row r="234" spans="1:13" ht="45" x14ac:dyDescent="0.25">
      <c r="A234" s="33" t="s">
        <v>14</v>
      </c>
      <c r="B234" s="34" t="str">
        <f>HYPERLINK("http://www.twitter.com/LibraryYW", "LibraryYW")</f>
        <v>LibraryYW</v>
      </c>
      <c r="C234" s="33" t="s">
        <v>2655</v>
      </c>
      <c r="D234" s="33" t="s">
        <v>2656</v>
      </c>
      <c r="E234" s="32" t="s">
        <v>2657</v>
      </c>
      <c r="F234" s="35">
        <v>21</v>
      </c>
      <c r="G234" s="35">
        <v>201</v>
      </c>
      <c r="H234" s="35">
        <v>796</v>
      </c>
      <c r="I234" s="35">
        <v>23</v>
      </c>
      <c r="J234" s="36">
        <v>39876</v>
      </c>
      <c r="K234" s="37">
        <v>0.46994212962962961</v>
      </c>
      <c r="L234" s="36">
        <v>42873</v>
      </c>
      <c r="M234" s="38">
        <v>0.45703703703703707</v>
      </c>
    </row>
    <row r="235" spans="1:13" ht="30" x14ac:dyDescent="0.25">
      <c r="A235" s="33" t="s">
        <v>14</v>
      </c>
      <c r="B235" s="34" t="str">
        <f>HYPERLINK("http://www.twitter.com/MMLLib", "MMLLib")</f>
        <v>MMLLib</v>
      </c>
      <c r="C235" s="33" t="s">
        <v>1614</v>
      </c>
      <c r="D235" s="33" t="s">
        <v>1149</v>
      </c>
      <c r="E235" s="32" t="s">
        <v>1615</v>
      </c>
      <c r="F235" s="35">
        <v>196</v>
      </c>
      <c r="G235" s="35">
        <v>661</v>
      </c>
      <c r="H235" s="35">
        <v>795</v>
      </c>
      <c r="I235" s="35">
        <v>155</v>
      </c>
      <c r="J235" s="36">
        <v>40403</v>
      </c>
      <c r="K235" s="37">
        <v>0.53415509259259253</v>
      </c>
      <c r="L235" s="36">
        <v>42912</v>
      </c>
      <c r="M235" s="38">
        <v>0.47765046296296299</v>
      </c>
    </row>
    <row r="236" spans="1:13" ht="45" x14ac:dyDescent="0.25">
      <c r="A236" s="33" t="s">
        <v>14</v>
      </c>
      <c r="B236" s="34" t="str">
        <f>HYPERLINK("http://www.twitter.com/swminerslibrary", "swminerslibrary")</f>
        <v>swminerslibrary</v>
      </c>
      <c r="C236" s="33" t="s">
        <v>1275</v>
      </c>
      <c r="D236" s="33" t="s">
        <v>496</v>
      </c>
      <c r="E236" s="32" t="s">
        <v>1276</v>
      </c>
      <c r="F236" s="35">
        <v>627</v>
      </c>
      <c r="G236" s="35">
        <v>980</v>
      </c>
      <c r="H236" s="35">
        <v>760</v>
      </c>
      <c r="I236" s="35">
        <v>388</v>
      </c>
      <c r="J236" s="36">
        <v>41547</v>
      </c>
      <c r="K236" s="37">
        <v>0.42579861111111111</v>
      </c>
      <c r="L236" s="36">
        <v>42936</v>
      </c>
      <c r="M236" s="38">
        <v>0.65019675925925924</v>
      </c>
    </row>
    <row r="237" spans="1:13" x14ac:dyDescent="0.25">
      <c r="A237" s="33" t="s">
        <v>14</v>
      </c>
      <c r="B237" s="34" t="str">
        <f>HYPERLINK("http://www.twitter.com/BrunelSpecColl", "BrunelSpecColl")</f>
        <v>BrunelSpecColl</v>
      </c>
      <c r="C237" s="33" t="s">
        <v>1277</v>
      </c>
      <c r="D237" s="33" t="s">
        <v>110</v>
      </c>
      <c r="E237" s="32" t="s">
        <v>1278</v>
      </c>
      <c r="F237" s="35">
        <v>1246</v>
      </c>
      <c r="G237" s="35">
        <v>957</v>
      </c>
      <c r="H237" s="35">
        <v>746</v>
      </c>
      <c r="I237" s="35">
        <v>122</v>
      </c>
      <c r="J237" s="36">
        <v>41261</v>
      </c>
      <c r="K237" s="37">
        <v>0.70135416666666661</v>
      </c>
      <c r="L237" s="36">
        <v>42936</v>
      </c>
      <c r="M237" s="38">
        <v>0.43435185185185188</v>
      </c>
    </row>
    <row r="238" spans="1:13" ht="30" x14ac:dyDescent="0.25">
      <c r="A238" s="33" t="s">
        <v>14</v>
      </c>
      <c r="B238" s="34" t="str">
        <f>HYPERLINK("http://www.twitter.com/LivUniLondonLib", "LivUniLondonLib")</f>
        <v>LivUniLondonLib</v>
      </c>
      <c r="C238" s="33" t="s">
        <v>2317</v>
      </c>
      <c r="D238" s="33" t="s">
        <v>36</v>
      </c>
      <c r="E238" s="32" t="s">
        <v>2318</v>
      </c>
      <c r="F238" s="35">
        <v>231</v>
      </c>
      <c r="G238" s="35">
        <v>290</v>
      </c>
      <c r="H238" s="35">
        <v>727</v>
      </c>
      <c r="I238" s="35">
        <v>51</v>
      </c>
      <c r="J238" s="36">
        <v>42066</v>
      </c>
      <c r="K238" s="37">
        <v>0.42570601851851847</v>
      </c>
      <c r="L238" s="36">
        <v>42940</v>
      </c>
      <c r="M238" s="38">
        <v>0.4380324074074074</v>
      </c>
    </row>
    <row r="239" spans="1:13" ht="45" x14ac:dyDescent="0.25">
      <c r="A239" s="33" t="s">
        <v>14</v>
      </c>
      <c r="B239" s="34" t="str">
        <f>HYPERLINK("http://www.twitter.com/UBHLibrary", "UBHLibrary")</f>
        <v>UBHLibrary</v>
      </c>
      <c r="C239" s="33" t="s">
        <v>2488</v>
      </c>
      <c r="D239" s="33" t="s">
        <v>2489</v>
      </c>
      <c r="E239" s="32" t="s">
        <v>2490</v>
      </c>
      <c r="F239" s="35">
        <v>98</v>
      </c>
      <c r="G239" s="35">
        <v>246</v>
      </c>
      <c r="H239" s="35">
        <v>704</v>
      </c>
      <c r="I239" s="35">
        <v>33</v>
      </c>
      <c r="J239" s="36">
        <v>41155</v>
      </c>
      <c r="K239" s="37">
        <v>0.58812500000000001</v>
      </c>
      <c r="L239" s="36">
        <v>42934</v>
      </c>
      <c r="M239" s="38">
        <v>0.34688657407407408</v>
      </c>
    </row>
    <row r="240" spans="1:13" x14ac:dyDescent="0.25">
      <c r="A240" s="33" t="s">
        <v>14</v>
      </c>
      <c r="B240" s="34" t="str">
        <f>HYPERLINK("http://www.twitter.com/chiunilib", "chiunilib")</f>
        <v>chiunilib</v>
      </c>
      <c r="C240" s="33" t="s">
        <v>1653</v>
      </c>
      <c r="D240" s="33" t="s">
        <v>1654</v>
      </c>
      <c r="E240" s="32" t="s">
        <v>1655</v>
      </c>
      <c r="F240" s="35">
        <v>78</v>
      </c>
      <c r="G240" s="35">
        <v>622</v>
      </c>
      <c r="H240" s="35">
        <v>704</v>
      </c>
      <c r="I240" s="35">
        <v>65</v>
      </c>
      <c r="J240" s="36">
        <v>39856</v>
      </c>
      <c r="K240" s="37">
        <v>0.53822916666666665</v>
      </c>
      <c r="L240" s="36">
        <v>42940</v>
      </c>
      <c r="M240" s="38">
        <v>0.42769675925925926</v>
      </c>
    </row>
    <row r="241" spans="1:13" ht="30" x14ac:dyDescent="0.25">
      <c r="A241" s="33" t="s">
        <v>14</v>
      </c>
      <c r="B241" s="34" t="str">
        <f>HYPERLINK("http://www.twitter.com/NUALibrary", "NUALibrary")</f>
        <v>NUALibrary</v>
      </c>
      <c r="C241" s="33" t="s">
        <v>1510</v>
      </c>
      <c r="D241" s="33" t="s">
        <v>1511</v>
      </c>
      <c r="E241" s="32" t="s">
        <v>1512</v>
      </c>
      <c r="F241" s="35">
        <v>308</v>
      </c>
      <c r="G241" s="35">
        <v>759</v>
      </c>
      <c r="H241" s="35">
        <v>681</v>
      </c>
      <c r="I241" s="35">
        <v>300</v>
      </c>
      <c r="J241" s="36">
        <v>40953</v>
      </c>
      <c r="K241" s="37">
        <v>0.65334490740740747</v>
      </c>
      <c r="L241" s="36">
        <v>42937</v>
      </c>
      <c r="M241" s="38">
        <v>0.45646990740740739</v>
      </c>
    </row>
    <row r="242" spans="1:13" ht="45" x14ac:dyDescent="0.25">
      <c r="A242" s="33" t="s">
        <v>14</v>
      </c>
      <c r="B242" s="34" t="str">
        <f>HYPERLINK("http://www.twitter.com/QWLibrary", "QWLibrary")</f>
        <v>QWLibrary</v>
      </c>
      <c r="C242" s="33" t="s">
        <v>2599</v>
      </c>
      <c r="E242" s="32" t="s">
        <v>2600</v>
      </c>
      <c r="F242" s="35">
        <v>208</v>
      </c>
      <c r="G242" s="35">
        <v>213</v>
      </c>
      <c r="H242" s="35">
        <v>673</v>
      </c>
      <c r="I242" s="35">
        <v>41</v>
      </c>
      <c r="J242" s="36">
        <v>41337</v>
      </c>
      <c r="K242" s="37">
        <v>0.61049768518518521</v>
      </c>
      <c r="L242" s="36">
        <v>42936</v>
      </c>
      <c r="M242" s="38">
        <v>0.60935185185185181</v>
      </c>
    </row>
    <row r="243" spans="1:13" ht="45" x14ac:dyDescent="0.25">
      <c r="A243" s="33" t="s">
        <v>14</v>
      </c>
      <c r="B243" s="34" t="str">
        <f>HYPERLINK("http://www.twitter.com/Warburg_Library", "Warburg_Library")</f>
        <v>Warburg_Library</v>
      </c>
      <c r="C243" s="33" t="s">
        <v>1162</v>
      </c>
      <c r="D243" s="33" t="s">
        <v>1163</v>
      </c>
      <c r="E243" s="32" t="s">
        <v>1164</v>
      </c>
      <c r="F243" s="35">
        <v>477</v>
      </c>
      <c r="G243" s="35">
        <v>1162</v>
      </c>
      <c r="H243" s="35">
        <v>601</v>
      </c>
      <c r="I243" s="35">
        <v>249</v>
      </c>
      <c r="J243" s="36">
        <v>42402</v>
      </c>
      <c r="K243" s="37">
        <v>0.68341435185185195</v>
      </c>
      <c r="L243" s="36">
        <v>42936</v>
      </c>
      <c r="M243" s="38">
        <v>0.78306712962962965</v>
      </c>
    </row>
    <row r="244" spans="1:13" ht="30" x14ac:dyDescent="0.25">
      <c r="A244" s="33" t="s">
        <v>14</v>
      </c>
      <c r="B244" s="34" t="str">
        <f>HYPERLINK("http://www.twitter.com/Bodleian_Music", "Bodleian_Music")</f>
        <v>Bodleian_Music</v>
      </c>
      <c r="C244" s="33" t="s">
        <v>812</v>
      </c>
      <c r="E244" s="32" t="s">
        <v>813</v>
      </c>
      <c r="F244" s="35">
        <v>121</v>
      </c>
      <c r="G244" s="35">
        <v>1608</v>
      </c>
      <c r="H244" s="35">
        <v>593</v>
      </c>
      <c r="I244" s="35">
        <v>4</v>
      </c>
      <c r="J244" s="36">
        <v>40771</v>
      </c>
      <c r="K244" s="37">
        <v>0.54932870370370368</v>
      </c>
      <c r="L244" s="36">
        <v>42912</v>
      </c>
      <c r="M244" s="38">
        <v>0.36655092592592592</v>
      </c>
    </row>
    <row r="245" spans="1:13" ht="45" x14ac:dyDescent="0.25">
      <c r="A245" s="33" t="s">
        <v>14</v>
      </c>
      <c r="B245" s="34" t="str">
        <f>HYPERLINK("http://www.twitter.com/LLRlsbu", "LLRlsbu")</f>
        <v>LLRlsbu</v>
      </c>
      <c r="C245" s="33" t="s">
        <v>2329</v>
      </c>
      <c r="D245" s="33" t="s">
        <v>477</v>
      </c>
      <c r="E245" s="32" t="s">
        <v>2330</v>
      </c>
      <c r="F245" s="35">
        <v>206</v>
      </c>
      <c r="G245" s="35">
        <v>301</v>
      </c>
      <c r="H245" s="35">
        <v>580</v>
      </c>
      <c r="I245" s="35">
        <v>210</v>
      </c>
      <c r="J245" s="36">
        <v>42433</v>
      </c>
      <c r="K245" s="37">
        <v>0.41711805555555559</v>
      </c>
      <c r="L245" s="36">
        <v>42937</v>
      </c>
      <c r="M245" s="38">
        <v>0.62811342592592589</v>
      </c>
    </row>
    <row r="246" spans="1:13" ht="30" x14ac:dyDescent="0.25">
      <c r="A246" s="33" t="s">
        <v>14</v>
      </c>
      <c r="B246" s="34" t="str">
        <f>HYPERLINK("http://www.twitter.com/FalmerLib", "FalmerLib")</f>
        <v>FalmerLib</v>
      </c>
      <c r="C246" s="33" t="s">
        <v>1645</v>
      </c>
      <c r="D246" s="33" t="s">
        <v>1646</v>
      </c>
      <c r="E246" s="32" t="s">
        <v>1647</v>
      </c>
      <c r="F246" s="35">
        <v>203</v>
      </c>
      <c r="G246" s="35">
        <v>623</v>
      </c>
      <c r="H246" s="35">
        <v>570</v>
      </c>
      <c r="I246" s="35">
        <v>53</v>
      </c>
      <c r="J246" s="36">
        <v>40661</v>
      </c>
      <c r="K246" s="37">
        <v>0.65565972222222224</v>
      </c>
      <c r="L246" s="36">
        <v>42937</v>
      </c>
      <c r="M246" s="38">
        <v>0.76597222222222217</v>
      </c>
    </row>
    <row r="247" spans="1:13" ht="60" x14ac:dyDescent="0.25">
      <c r="A247" s="33" t="s">
        <v>14</v>
      </c>
      <c r="B247" s="34" t="str">
        <f>HYPERLINK("http://www.twitter.com/LCBlibrary", "LCBlibrary")</f>
        <v>LCBlibrary</v>
      </c>
      <c r="C247" s="33" t="s">
        <v>3113</v>
      </c>
      <c r="D247" s="33" t="s">
        <v>93</v>
      </c>
      <c r="E247" s="32" t="s">
        <v>3114</v>
      </c>
      <c r="F247" s="35">
        <v>204</v>
      </c>
      <c r="G247" s="35">
        <v>110</v>
      </c>
      <c r="H247" s="35">
        <v>560</v>
      </c>
      <c r="I247" s="35">
        <v>166</v>
      </c>
      <c r="J247" s="36">
        <v>42240</v>
      </c>
      <c r="K247" s="37">
        <v>0.58331018518518518</v>
      </c>
      <c r="L247" s="36">
        <v>42921</v>
      </c>
      <c r="M247" s="38">
        <v>0.32339120370370372</v>
      </c>
    </row>
    <row r="248" spans="1:13" ht="30" x14ac:dyDescent="0.25">
      <c r="A248" s="33" t="s">
        <v>14</v>
      </c>
      <c r="B248" s="34" t="str">
        <f>HYPERLINK("http://www.twitter.com/UCBLibrary", "UCBLibrary")</f>
        <v>UCBLibrary</v>
      </c>
      <c r="C248" s="33" t="s">
        <v>2029</v>
      </c>
      <c r="D248" s="33" t="s">
        <v>2030</v>
      </c>
      <c r="E248" s="32" t="s">
        <v>2031</v>
      </c>
      <c r="F248" s="35">
        <v>65</v>
      </c>
      <c r="G248" s="35">
        <v>396</v>
      </c>
      <c r="H248" s="35">
        <v>552</v>
      </c>
      <c r="I248" s="35">
        <v>19</v>
      </c>
      <c r="J248" s="36">
        <v>40983</v>
      </c>
      <c r="K248" s="37">
        <v>0.60065972222222219</v>
      </c>
      <c r="L248" s="36">
        <v>42940</v>
      </c>
      <c r="M248" s="38">
        <v>0.56901620370370376</v>
      </c>
    </row>
    <row r="249" spans="1:13" ht="30" x14ac:dyDescent="0.25">
      <c r="A249" s="33" t="s">
        <v>14</v>
      </c>
      <c r="B249" s="34" t="str">
        <f>HYPERLINK("http://www.twitter.com/LJMUResearch", "LJMUResearch")</f>
        <v>LJMUResearch</v>
      </c>
      <c r="C249" s="33" t="s">
        <v>2863</v>
      </c>
      <c r="D249" s="33" t="s">
        <v>2864</v>
      </c>
      <c r="E249" s="32" t="s">
        <v>2865</v>
      </c>
      <c r="F249" s="35">
        <v>178</v>
      </c>
      <c r="G249" s="35">
        <v>210</v>
      </c>
      <c r="H249" s="35">
        <v>547</v>
      </c>
      <c r="I249" s="35">
        <v>61</v>
      </c>
      <c r="J249" s="36">
        <v>42641</v>
      </c>
      <c r="K249" s="37">
        <v>0.62288194444444445</v>
      </c>
      <c r="L249" s="36">
        <v>42940</v>
      </c>
      <c r="M249" s="38">
        <v>0.52012731481481478</v>
      </c>
    </row>
    <row r="250" spans="1:13" ht="45" x14ac:dyDescent="0.25">
      <c r="A250" s="33" t="s">
        <v>14</v>
      </c>
      <c r="B250" s="34" t="str">
        <f>HYPERLINK("http://www.twitter.com/MagdLibAndArch", "MagdLibAndArch")</f>
        <v>MagdLibAndArch</v>
      </c>
      <c r="C250" s="33" t="s">
        <v>1451</v>
      </c>
      <c r="D250" s="33" t="s">
        <v>1452</v>
      </c>
      <c r="E250" s="32" t="s">
        <v>1453</v>
      </c>
      <c r="F250" s="35">
        <v>474</v>
      </c>
      <c r="G250" s="35">
        <v>821</v>
      </c>
      <c r="H250" s="35">
        <v>535</v>
      </c>
      <c r="I250" s="35">
        <v>123</v>
      </c>
      <c r="J250" s="36">
        <v>41179</v>
      </c>
      <c r="K250" s="37">
        <v>0.56519675925925927</v>
      </c>
      <c r="L250" s="36">
        <v>42937</v>
      </c>
      <c r="M250" s="38">
        <v>0.37973379629629633</v>
      </c>
    </row>
    <row r="251" spans="1:13" ht="60" x14ac:dyDescent="0.25">
      <c r="A251" s="33" t="s">
        <v>14</v>
      </c>
      <c r="B251" s="34" t="str">
        <f>HYPERLINK("http://www.twitter.com/Queens_Lib", "Queens_Lib")</f>
        <v>Queens_Lib</v>
      </c>
      <c r="C251" s="33" t="s">
        <v>1387</v>
      </c>
      <c r="D251" s="33" t="s">
        <v>1388</v>
      </c>
      <c r="E251" s="32" t="s">
        <v>1389</v>
      </c>
      <c r="F251" s="35">
        <v>244</v>
      </c>
      <c r="G251" s="35">
        <v>850</v>
      </c>
      <c r="H251" s="35">
        <v>522</v>
      </c>
      <c r="I251" s="35">
        <v>74</v>
      </c>
      <c r="J251" s="36">
        <v>41051</v>
      </c>
      <c r="K251" s="37">
        <v>0.42026620370370371</v>
      </c>
      <c r="L251" s="36">
        <v>42937</v>
      </c>
      <c r="M251" s="38">
        <v>0.35968749999999999</v>
      </c>
    </row>
    <row r="252" spans="1:13" ht="60" x14ac:dyDescent="0.25">
      <c r="A252" s="33" t="s">
        <v>14</v>
      </c>
      <c r="B252" s="34" t="str">
        <f>HYPERLINK("http://www.twitter.com/hpslib", "hpslib")</f>
        <v>hpslib</v>
      </c>
      <c r="C252" s="33" t="s">
        <v>935</v>
      </c>
      <c r="D252" s="33" t="s">
        <v>936</v>
      </c>
      <c r="E252" s="32" t="s">
        <v>937</v>
      </c>
      <c r="F252" s="35">
        <v>223</v>
      </c>
      <c r="G252" s="35">
        <v>1384</v>
      </c>
      <c r="H252" s="35">
        <v>517</v>
      </c>
      <c r="I252" s="35">
        <v>89</v>
      </c>
      <c r="J252" s="36">
        <v>40599</v>
      </c>
      <c r="K252" s="37">
        <v>0.69153935185185189</v>
      </c>
      <c r="L252" s="36">
        <v>42921</v>
      </c>
      <c r="M252" s="38">
        <v>0.62916666666666665</v>
      </c>
    </row>
    <row r="253" spans="1:13" ht="45" x14ac:dyDescent="0.25">
      <c r="A253" s="33" t="s">
        <v>14</v>
      </c>
      <c r="B253" s="34" t="str">
        <f>HYPERLINK("http://www.twitter.com/lincolllib", "lincolllib")</f>
        <v>lincolllib</v>
      </c>
      <c r="C253" s="33" t="s">
        <v>1486</v>
      </c>
      <c r="D253" s="33" t="s">
        <v>1487</v>
      </c>
      <c r="E253" s="32" t="s">
        <v>1488</v>
      </c>
      <c r="F253" s="35">
        <v>112</v>
      </c>
      <c r="G253" s="35">
        <v>746</v>
      </c>
      <c r="H253" s="35">
        <v>504</v>
      </c>
      <c r="I253" s="35">
        <v>6</v>
      </c>
      <c r="J253" s="36">
        <v>40386</v>
      </c>
      <c r="K253" s="37">
        <v>0.58008101851851845</v>
      </c>
      <c r="L253" s="36">
        <v>42671</v>
      </c>
      <c r="M253" s="38">
        <v>0.67980324074074072</v>
      </c>
    </row>
    <row r="254" spans="1:13" ht="45" x14ac:dyDescent="0.25">
      <c r="A254" s="33" t="s">
        <v>14</v>
      </c>
      <c r="B254" s="34" t="str">
        <f>HYPERLINK("http://www.twitter.com/theunlibrary", "theunlibrary")</f>
        <v>theunlibrary</v>
      </c>
      <c r="C254" s="33" t="s">
        <v>1504</v>
      </c>
      <c r="D254" s="33" t="s">
        <v>1505</v>
      </c>
      <c r="E254" s="32" t="s">
        <v>1506</v>
      </c>
      <c r="F254" s="35">
        <v>218</v>
      </c>
      <c r="G254" s="35">
        <v>735</v>
      </c>
      <c r="H254" s="35">
        <v>503</v>
      </c>
      <c r="I254" s="35">
        <v>0</v>
      </c>
      <c r="J254" s="36">
        <v>40337</v>
      </c>
      <c r="K254" s="37">
        <v>0.47846064814814815</v>
      </c>
      <c r="L254" s="36">
        <v>41025</v>
      </c>
      <c r="M254" s="38">
        <v>0.37505787037037036</v>
      </c>
    </row>
    <row r="255" spans="1:13" x14ac:dyDescent="0.25">
      <c r="A255" s="33" t="s">
        <v>14</v>
      </c>
      <c r="B255" s="34" t="str">
        <f>HYPERLINK("http://www.twitter.com/CSLCam", "CSLCam")</f>
        <v>CSLCam</v>
      </c>
      <c r="C255" s="33" t="s">
        <v>2734</v>
      </c>
      <c r="D255" s="33" t="s">
        <v>61</v>
      </c>
      <c r="E255" s="32" t="s">
        <v>2735</v>
      </c>
      <c r="F255" s="35">
        <v>262</v>
      </c>
      <c r="G255" s="35">
        <v>187</v>
      </c>
      <c r="H255" s="35">
        <v>502</v>
      </c>
      <c r="I255" s="35">
        <v>47</v>
      </c>
      <c r="J255" s="36">
        <v>41981</v>
      </c>
      <c r="K255" s="37">
        <v>0.43111111111111117</v>
      </c>
      <c r="L255" s="36">
        <v>42541</v>
      </c>
      <c r="M255" s="38">
        <v>0.25809027777777777</v>
      </c>
    </row>
    <row r="256" spans="1:13" ht="30" x14ac:dyDescent="0.25">
      <c r="A256" s="33" t="s">
        <v>14</v>
      </c>
      <c r="B256" s="34" t="str">
        <f>HYPERLINK("http://www.twitter.com/magdlibs", "magdlibs")</f>
        <v>magdlibs</v>
      </c>
      <c r="C256" s="33" t="s">
        <v>1779</v>
      </c>
      <c r="D256" s="33" t="s">
        <v>61</v>
      </c>
      <c r="E256" s="32" t="s">
        <v>1780</v>
      </c>
      <c r="F256" s="35">
        <v>155</v>
      </c>
      <c r="G256" s="35">
        <v>517</v>
      </c>
      <c r="H256" s="35">
        <v>494</v>
      </c>
      <c r="I256" s="35">
        <v>65</v>
      </c>
      <c r="J256" s="36">
        <v>41768</v>
      </c>
      <c r="K256" s="37">
        <v>0.54353009259259266</v>
      </c>
      <c r="L256" s="36">
        <v>42933</v>
      </c>
      <c r="M256" s="38">
        <v>0.6384953703703703</v>
      </c>
    </row>
    <row r="257" spans="1:13" ht="45" x14ac:dyDescent="0.25">
      <c r="A257" s="33" t="s">
        <v>14</v>
      </c>
      <c r="B257" s="34" t="str">
        <f>HYPERLINK("http://www.twitter.com/oiloxford", "oiloxford")</f>
        <v>oiloxford</v>
      </c>
      <c r="C257" s="33" t="s">
        <v>1396</v>
      </c>
      <c r="D257" s="33" t="s">
        <v>12</v>
      </c>
      <c r="E257" s="32" t="s">
        <v>1397</v>
      </c>
      <c r="F257" s="35">
        <v>43</v>
      </c>
      <c r="G257" s="35">
        <v>833</v>
      </c>
      <c r="H257" s="35">
        <v>470</v>
      </c>
      <c r="I257" s="35">
        <v>0</v>
      </c>
      <c r="J257" s="36">
        <v>40395</v>
      </c>
      <c r="K257" s="37">
        <v>0.60435185185185192</v>
      </c>
      <c r="L257" s="36">
        <v>42936</v>
      </c>
      <c r="M257" s="38">
        <v>0.32329861111111108</v>
      </c>
    </row>
    <row r="258" spans="1:13" ht="30" x14ac:dyDescent="0.25">
      <c r="A258" s="33" t="s">
        <v>14</v>
      </c>
      <c r="B258" s="34" t="str">
        <f>HYPERLINK("http://www.twitter.com/NewmanLibrary", "NewmanLibrary")</f>
        <v>NewmanLibrary</v>
      </c>
      <c r="C258" s="33" t="s">
        <v>2331</v>
      </c>
      <c r="D258" s="33" t="s">
        <v>310</v>
      </c>
      <c r="E258" s="32" t="s">
        <v>2332</v>
      </c>
      <c r="F258" s="35">
        <v>143</v>
      </c>
      <c r="G258" s="35">
        <v>283</v>
      </c>
      <c r="H258" s="35">
        <v>462</v>
      </c>
      <c r="I258" s="35">
        <v>69</v>
      </c>
      <c r="J258" s="36">
        <v>40710</v>
      </c>
      <c r="K258" s="37">
        <v>0.34638888888888886</v>
      </c>
      <c r="L258" s="36">
        <v>42929</v>
      </c>
      <c r="M258" s="38">
        <v>0.48322916666666665</v>
      </c>
    </row>
    <row r="259" spans="1:13" ht="45" x14ac:dyDescent="0.25">
      <c r="A259" s="33" t="s">
        <v>14</v>
      </c>
      <c r="B259" s="34" t="str">
        <f>HYPERLINK("http://www.twitter.com/SquareLibrary", "SquareLibrary")</f>
        <v>SquareLibrary</v>
      </c>
      <c r="C259" s="33" t="s">
        <v>3712</v>
      </c>
      <c r="D259" s="33" t="s">
        <v>3713</v>
      </c>
      <c r="E259" s="32" t="s">
        <v>3714</v>
      </c>
      <c r="F259" s="35">
        <v>626</v>
      </c>
      <c r="G259" s="35">
        <v>407</v>
      </c>
      <c r="H259" s="35">
        <v>460</v>
      </c>
      <c r="I259" s="35">
        <v>106</v>
      </c>
      <c r="J259" s="36">
        <v>40452</v>
      </c>
      <c r="K259" s="37">
        <v>0.38615740740740739</v>
      </c>
      <c r="L259" s="36">
        <v>42935</v>
      </c>
      <c r="M259" s="38">
        <v>0.39373842592592595</v>
      </c>
    </row>
    <row r="260" spans="1:13" ht="45" x14ac:dyDescent="0.25">
      <c r="A260" s="33" t="s">
        <v>14</v>
      </c>
      <c r="B260" s="34" t="str">
        <f>HYPERLINK("http://www.twitter.com/CFLcam", "CFLcam")</f>
        <v>CFLcam</v>
      </c>
      <c r="C260" s="33" t="s">
        <v>1686</v>
      </c>
      <c r="D260" s="33" t="s">
        <v>61</v>
      </c>
      <c r="E260" s="32" t="s">
        <v>1687</v>
      </c>
      <c r="F260" s="35">
        <v>149</v>
      </c>
      <c r="G260" s="35">
        <v>597</v>
      </c>
      <c r="H260" s="35">
        <v>421</v>
      </c>
      <c r="I260" s="35">
        <v>4</v>
      </c>
      <c r="J260" s="36">
        <v>41282</v>
      </c>
      <c r="K260" s="37">
        <v>0.62020833333333336</v>
      </c>
      <c r="L260" s="36">
        <v>42907</v>
      </c>
      <c r="M260" s="38">
        <v>0.59858796296296302</v>
      </c>
    </row>
    <row r="261" spans="1:13" ht="30" x14ac:dyDescent="0.25">
      <c r="A261" s="33" t="s">
        <v>14</v>
      </c>
      <c r="B261" s="34" t="str">
        <f>HYPERLINK("http://www.twitter.com/UoBSchool_Lib", "UoBSchool_Lib")</f>
        <v>UoBSchool_Lib</v>
      </c>
      <c r="C261" s="33" t="s">
        <v>2374</v>
      </c>
      <c r="E261" s="32" t="s">
        <v>2375</v>
      </c>
      <c r="F261" s="35">
        <v>444</v>
      </c>
      <c r="G261" s="35">
        <v>303</v>
      </c>
      <c r="H261" s="35">
        <v>420</v>
      </c>
      <c r="I261" s="35">
        <v>114</v>
      </c>
      <c r="J261" s="36">
        <v>42292</v>
      </c>
      <c r="K261" s="37">
        <v>0.62873842592592599</v>
      </c>
      <c r="L261" s="36">
        <v>42940</v>
      </c>
      <c r="M261" s="38">
        <v>0.55542824074074071</v>
      </c>
    </row>
    <row r="262" spans="1:13" ht="30" x14ac:dyDescent="0.25">
      <c r="A262" s="33" t="s">
        <v>14</v>
      </c>
      <c r="B262" s="34" t="str">
        <f>HYPERLINK("http://www.twitter.com/HaddonLibrary", "HaddonLibrary")</f>
        <v>HaddonLibrary</v>
      </c>
      <c r="C262" s="33" t="s">
        <v>1777</v>
      </c>
      <c r="D262" s="33" t="s">
        <v>61</v>
      </c>
      <c r="E262" s="32" t="s">
        <v>1778</v>
      </c>
      <c r="F262" s="35">
        <v>22</v>
      </c>
      <c r="G262" s="35">
        <v>522</v>
      </c>
      <c r="H262" s="35">
        <v>416</v>
      </c>
      <c r="I262" s="35">
        <v>0</v>
      </c>
      <c r="J262" s="36">
        <v>40343</v>
      </c>
      <c r="K262" s="37">
        <v>0.69614583333333335</v>
      </c>
      <c r="L262" s="36">
        <v>42926</v>
      </c>
      <c r="M262" s="38">
        <v>0.65865740740740741</v>
      </c>
    </row>
    <row r="263" spans="1:13" ht="30" x14ac:dyDescent="0.25">
      <c r="A263" s="33" t="s">
        <v>14</v>
      </c>
      <c r="B263" s="34" t="str">
        <f>HYPERLINK("http://www.twitter.com/KeeleLibrary", "KeeleLibrary")</f>
        <v>KeeleLibrary</v>
      </c>
      <c r="C263" s="33" t="s">
        <v>1427</v>
      </c>
      <c r="D263" s="33" t="s">
        <v>1428</v>
      </c>
      <c r="E263" s="32" t="s">
        <v>1429</v>
      </c>
      <c r="F263" s="35">
        <v>89</v>
      </c>
      <c r="G263" s="35">
        <v>807</v>
      </c>
      <c r="H263" s="35">
        <v>409</v>
      </c>
      <c r="I263" s="35">
        <v>33</v>
      </c>
      <c r="J263" s="36">
        <v>40770</v>
      </c>
      <c r="K263" s="37">
        <v>0.52756944444444442</v>
      </c>
      <c r="L263" s="36">
        <v>42940</v>
      </c>
      <c r="M263" s="38">
        <v>0.63475694444444442</v>
      </c>
    </row>
    <row r="264" spans="1:13" ht="30" x14ac:dyDescent="0.25">
      <c r="A264" s="33" t="s">
        <v>14</v>
      </c>
      <c r="B264" s="34" t="str">
        <f>HYPERLINK("http://www.twitter.com/QUBMedicalLib", "QUBMedicalLib")</f>
        <v>QUBMedicalLib</v>
      </c>
      <c r="C264" s="33" t="s">
        <v>2881</v>
      </c>
      <c r="D264" s="33" t="s">
        <v>135</v>
      </c>
      <c r="E264" s="32" t="s">
        <v>2882</v>
      </c>
      <c r="F264" s="35">
        <v>300</v>
      </c>
      <c r="G264" s="35">
        <v>184</v>
      </c>
      <c r="H264" s="35">
        <v>400</v>
      </c>
      <c r="I264" s="35">
        <v>59</v>
      </c>
      <c r="J264" s="36">
        <v>42600</v>
      </c>
      <c r="K264" s="37">
        <v>0.46194444444444444</v>
      </c>
      <c r="L264" s="36">
        <v>42937</v>
      </c>
      <c r="M264" s="38">
        <v>0.58914351851851854</v>
      </c>
    </row>
    <row r="265" spans="1:13" ht="45" x14ac:dyDescent="0.25">
      <c r="A265" s="33" t="s">
        <v>14</v>
      </c>
      <c r="B265" s="34" t="str">
        <f>HYPERLINK("http://www.twitter.com/musicliby", "musicliby")</f>
        <v>musicliby</v>
      </c>
      <c r="C265" s="33" t="s">
        <v>3701</v>
      </c>
      <c r="D265" s="33" t="s">
        <v>427</v>
      </c>
      <c r="E265" s="32" t="s">
        <v>3702</v>
      </c>
      <c r="F265" s="35">
        <v>258</v>
      </c>
      <c r="G265" s="35">
        <v>555</v>
      </c>
      <c r="H265" s="35">
        <v>372</v>
      </c>
      <c r="I265" s="35">
        <v>242</v>
      </c>
      <c r="J265" s="36">
        <v>40813</v>
      </c>
      <c r="K265" s="37">
        <v>0.70012731481481483</v>
      </c>
      <c r="L265" s="36">
        <v>42936</v>
      </c>
      <c r="M265" s="38">
        <v>0.62710648148148151</v>
      </c>
    </row>
    <row r="266" spans="1:13" ht="45" x14ac:dyDescent="0.25">
      <c r="A266" s="33" t="s">
        <v>14</v>
      </c>
      <c r="B266" s="34" t="str">
        <f>HYPERLINK("http://www.twitter.com/WolfsonLibrary", "WolfsonLibrary")</f>
        <v>WolfsonLibrary</v>
      </c>
      <c r="C266" s="33" t="s">
        <v>2297</v>
      </c>
      <c r="D266" s="33" t="s">
        <v>2298</v>
      </c>
      <c r="E266" s="32" t="s">
        <v>2299</v>
      </c>
      <c r="F266" s="35">
        <v>209</v>
      </c>
      <c r="G266" s="35">
        <v>303</v>
      </c>
      <c r="H266" s="35">
        <v>342</v>
      </c>
      <c r="I266" s="35">
        <v>60</v>
      </c>
      <c r="J266" s="36">
        <v>40072</v>
      </c>
      <c r="K266" s="37">
        <v>0.56177083333333333</v>
      </c>
      <c r="L266" s="36">
        <v>42898</v>
      </c>
      <c r="M266" s="38">
        <v>0.42004629629629631</v>
      </c>
    </row>
    <row r="267" spans="1:13" ht="30" x14ac:dyDescent="0.25">
      <c r="A267" s="33" t="s">
        <v>14</v>
      </c>
      <c r="B267" s="34" t="str">
        <f>HYPERLINK("http://www.twitter.com/VM_library", "VM_library")</f>
        <v>VM_library</v>
      </c>
      <c r="C267" s="33" t="s">
        <v>3012</v>
      </c>
      <c r="D267" s="33" t="s">
        <v>663</v>
      </c>
      <c r="E267" s="32" t="s">
        <v>3013</v>
      </c>
      <c r="F267" s="35">
        <v>101</v>
      </c>
      <c r="G267" s="35">
        <v>134</v>
      </c>
      <c r="H267" s="35">
        <v>321</v>
      </c>
      <c r="I267" s="35">
        <v>86</v>
      </c>
      <c r="J267" s="36">
        <v>42019</v>
      </c>
      <c r="K267" s="37">
        <v>0.38721064814814815</v>
      </c>
      <c r="L267" s="36">
        <v>42892</v>
      </c>
      <c r="M267" s="38">
        <v>0.34648148148148145</v>
      </c>
    </row>
    <row r="268" spans="1:13" ht="45" x14ac:dyDescent="0.25">
      <c r="A268" s="33" t="s">
        <v>14</v>
      </c>
      <c r="B268" s="34" t="str">
        <f>HYPERLINK("http://www.twitter.com/QuinLib", "QuinLib")</f>
        <v>QuinLib</v>
      </c>
      <c r="C268" s="33" t="s">
        <v>2504</v>
      </c>
      <c r="E268" s="32" t="s">
        <v>2505</v>
      </c>
      <c r="F268" s="35">
        <v>31</v>
      </c>
      <c r="G268" s="35">
        <v>243</v>
      </c>
      <c r="H268" s="35">
        <v>311</v>
      </c>
      <c r="I268" s="35">
        <v>10</v>
      </c>
      <c r="J268" s="36">
        <v>40408</v>
      </c>
      <c r="K268" s="37">
        <v>0.42824074074074076</v>
      </c>
      <c r="L268" s="36">
        <v>42905</v>
      </c>
      <c r="M268" s="38">
        <v>0.5746296296296296</v>
      </c>
    </row>
    <row r="269" spans="1:13" ht="45" x14ac:dyDescent="0.25">
      <c r="A269" s="33" t="s">
        <v>14</v>
      </c>
      <c r="B269" s="34" t="str">
        <f>HYPERLINK("http://www.twitter.com/PTFLOxford", "PTFLOxford")</f>
        <v>PTFLOxford</v>
      </c>
      <c r="C269" s="33" t="s">
        <v>2859</v>
      </c>
      <c r="D269" s="33" t="s">
        <v>1189</v>
      </c>
      <c r="E269" s="32" t="s">
        <v>2860</v>
      </c>
      <c r="F269" s="35">
        <v>77</v>
      </c>
      <c r="G269" s="35">
        <v>175</v>
      </c>
      <c r="H269" s="35">
        <v>309</v>
      </c>
      <c r="I269" s="35">
        <v>113</v>
      </c>
      <c r="J269" s="36">
        <v>42612</v>
      </c>
      <c r="K269" s="37">
        <v>0.56567129629629631</v>
      </c>
      <c r="L269" s="36">
        <v>42937</v>
      </c>
      <c r="M269" s="38">
        <v>0.39421296296296293</v>
      </c>
    </row>
    <row r="270" spans="1:13" ht="45" x14ac:dyDescent="0.25">
      <c r="A270" s="33" t="s">
        <v>14</v>
      </c>
      <c r="B270" s="34" t="str">
        <f>HYPERLINK("http://www.twitter.com/RCALibrary", "RCALibrary")</f>
        <v>RCALibrary</v>
      </c>
      <c r="C270" s="33" t="s">
        <v>1804</v>
      </c>
      <c r="D270" s="33" t="s">
        <v>36</v>
      </c>
      <c r="E270" s="32" t="s">
        <v>1805</v>
      </c>
      <c r="F270" s="35">
        <v>375</v>
      </c>
      <c r="G270" s="35">
        <v>504</v>
      </c>
      <c r="H270" s="35">
        <v>291</v>
      </c>
      <c r="I270" s="35">
        <v>89</v>
      </c>
      <c r="J270" s="36">
        <v>41086</v>
      </c>
      <c r="K270" s="37">
        <v>0.43925925925925924</v>
      </c>
      <c r="L270" s="36">
        <v>42921</v>
      </c>
      <c r="M270" s="38">
        <v>0.76931712962962961</v>
      </c>
    </row>
    <row r="271" spans="1:13" x14ac:dyDescent="0.25">
      <c r="A271" s="33" t="s">
        <v>14</v>
      </c>
      <c r="B271" s="34" t="str">
        <f>HYPERLINK("http://www.twitter.com/univlib", "univlib")</f>
        <v>univlib</v>
      </c>
      <c r="C271" s="33" t="s">
        <v>1787</v>
      </c>
      <c r="D271" s="33" t="s">
        <v>12</v>
      </c>
      <c r="E271" s="32" t="s">
        <v>1788</v>
      </c>
      <c r="F271" s="35">
        <v>68</v>
      </c>
      <c r="G271" s="35">
        <v>517</v>
      </c>
      <c r="H271" s="35">
        <v>286</v>
      </c>
      <c r="I271" s="35">
        <v>48</v>
      </c>
      <c r="J271" s="36">
        <v>40710</v>
      </c>
      <c r="K271" s="37">
        <v>0.62710648148148151</v>
      </c>
      <c r="L271" s="36">
        <v>42933</v>
      </c>
      <c r="M271" s="38">
        <v>0.47158564814814818</v>
      </c>
    </row>
    <row r="272" spans="1:13" ht="45" x14ac:dyDescent="0.25">
      <c r="A272" s="33" t="s">
        <v>14</v>
      </c>
      <c r="B272" s="34" t="str">
        <f>HYPERLINK("http://www.twitter.com/CoryLibrary", "CoryLibrary")</f>
        <v>CoryLibrary</v>
      </c>
      <c r="C272" s="33" t="s">
        <v>3622</v>
      </c>
      <c r="E272" s="32" t="s">
        <v>3623</v>
      </c>
      <c r="F272" s="35">
        <v>141</v>
      </c>
      <c r="G272" s="35">
        <v>293</v>
      </c>
      <c r="H272" s="35">
        <v>270</v>
      </c>
      <c r="I272" s="35">
        <v>89</v>
      </c>
      <c r="J272" s="36">
        <v>41605</v>
      </c>
      <c r="K272" s="37">
        <v>0.38704861111111111</v>
      </c>
      <c r="L272" s="36">
        <v>42928</v>
      </c>
      <c r="M272" s="38">
        <v>0.52865740740740741</v>
      </c>
    </row>
    <row r="273" spans="1:13" ht="45" x14ac:dyDescent="0.25">
      <c r="A273" s="33" t="s">
        <v>14</v>
      </c>
      <c r="B273" s="34" t="str">
        <f>HYPERLINK("http://www.twitter.com/UCLSpecColl", "UCLSpecColl")</f>
        <v>UCLSpecColl</v>
      </c>
      <c r="C273" s="33" t="s">
        <v>741</v>
      </c>
      <c r="D273" s="33" t="s">
        <v>36</v>
      </c>
      <c r="E273" s="32" t="s">
        <v>742</v>
      </c>
      <c r="F273" s="35">
        <v>318</v>
      </c>
      <c r="G273" s="35">
        <v>1778</v>
      </c>
      <c r="H273" s="35">
        <v>250</v>
      </c>
      <c r="I273" s="35">
        <v>3</v>
      </c>
      <c r="J273" s="36">
        <v>40590</v>
      </c>
      <c r="K273" s="37">
        <v>0.66407407407407404</v>
      </c>
      <c r="L273" s="36">
        <v>42893</v>
      </c>
      <c r="M273" s="38">
        <v>0.4820949074074074</v>
      </c>
    </row>
    <row r="274" spans="1:13" ht="45" x14ac:dyDescent="0.25">
      <c r="A274" s="33" t="s">
        <v>14</v>
      </c>
      <c r="B274" s="34" t="str">
        <f>HYPERLINK("http://www.twitter.com/ChurLibrary", "ChurLibrary")</f>
        <v>ChurLibrary</v>
      </c>
      <c r="C274" s="33" t="s">
        <v>2752</v>
      </c>
      <c r="D274" s="33" t="s">
        <v>2753</v>
      </c>
      <c r="E274" s="32" t="s">
        <v>2754</v>
      </c>
      <c r="F274" s="35">
        <v>85</v>
      </c>
      <c r="G274" s="35">
        <v>198</v>
      </c>
      <c r="H274" s="35">
        <v>242</v>
      </c>
      <c r="I274" s="35">
        <v>78</v>
      </c>
      <c r="J274" s="36">
        <v>42335</v>
      </c>
      <c r="K274" s="37">
        <v>0.57752314814814809</v>
      </c>
      <c r="L274" s="36">
        <v>42940</v>
      </c>
      <c r="M274" s="38">
        <v>0.53437499999999993</v>
      </c>
    </row>
    <row r="275" spans="1:13" ht="30" x14ac:dyDescent="0.25">
      <c r="A275" s="33" t="s">
        <v>14</v>
      </c>
      <c r="B275" s="34" t="str">
        <f>HYPERLINK("http://www.twitter.com/JohnSmithsBooks", "JohnSmithsBooks")</f>
        <v>JohnSmithsBooks</v>
      </c>
      <c r="C275" s="33" t="s">
        <v>1966</v>
      </c>
      <c r="D275" s="33" t="s">
        <v>1967</v>
      </c>
      <c r="E275" s="32" t="s">
        <v>1968</v>
      </c>
      <c r="F275" s="35">
        <v>606</v>
      </c>
      <c r="G275" s="35">
        <v>417</v>
      </c>
      <c r="H275" s="35">
        <v>240</v>
      </c>
      <c r="I275" s="35">
        <v>34</v>
      </c>
      <c r="J275" s="36">
        <v>40246</v>
      </c>
      <c r="K275" s="37">
        <v>0.67538194444444455</v>
      </c>
      <c r="L275" s="36">
        <v>42915</v>
      </c>
      <c r="M275" s="38">
        <v>0.54984953703703698</v>
      </c>
    </row>
    <row r="276" spans="1:13" ht="45" x14ac:dyDescent="0.25">
      <c r="A276" s="33" t="s">
        <v>14</v>
      </c>
      <c r="B276" s="34" t="str">
        <f>HYPERLINK("http://www.twitter.com/StJohnsLib", "StJohnsLib")</f>
        <v>StJohnsLib</v>
      </c>
      <c r="C276" s="33" t="s">
        <v>1148</v>
      </c>
      <c r="D276" s="33" t="s">
        <v>1046</v>
      </c>
      <c r="E276" s="32" t="s">
        <v>2848</v>
      </c>
      <c r="F276" s="35">
        <v>14</v>
      </c>
      <c r="G276" s="35">
        <v>168</v>
      </c>
      <c r="H276" s="35">
        <v>231</v>
      </c>
      <c r="I276" s="35">
        <v>0</v>
      </c>
      <c r="J276" s="36">
        <v>39911</v>
      </c>
      <c r="K276" s="37">
        <v>0.57045138888888891</v>
      </c>
      <c r="L276" s="36">
        <v>42633</v>
      </c>
      <c r="M276" s="38">
        <v>0.3429976851851852</v>
      </c>
    </row>
    <row r="277" spans="1:13" x14ac:dyDescent="0.25">
      <c r="A277" s="33" t="s">
        <v>14</v>
      </c>
      <c r="B277" s="34" t="str">
        <f>HYPERLINK("http://www.twitter.com/keblelib", "keblelib")</f>
        <v>keblelib</v>
      </c>
      <c r="C277" s="33" t="s">
        <v>1314</v>
      </c>
      <c r="D277" s="33" t="s">
        <v>505</v>
      </c>
      <c r="E277" s="32" t="s">
        <v>1315</v>
      </c>
      <c r="F277" s="35">
        <v>56</v>
      </c>
      <c r="G277" s="35">
        <v>902</v>
      </c>
      <c r="H277" s="35">
        <v>228</v>
      </c>
      <c r="I277" s="35">
        <v>0</v>
      </c>
      <c r="J277" s="36">
        <v>40393</v>
      </c>
      <c r="K277" s="37">
        <v>0.58771990740740743</v>
      </c>
      <c r="L277" s="36">
        <v>42867</v>
      </c>
      <c r="M277" s="38">
        <v>0.66706018518518517</v>
      </c>
    </row>
    <row r="278" spans="1:13" ht="30" x14ac:dyDescent="0.25">
      <c r="A278" s="33" t="s">
        <v>14</v>
      </c>
      <c r="B278" s="34" t="str">
        <f>HYPERLINK("http://www.twitter.com/TheMaughan", "TheMaughan")</f>
        <v>TheMaughan</v>
      </c>
      <c r="C278" s="33" t="s">
        <v>1606</v>
      </c>
      <c r="D278" s="33" t="s">
        <v>1607</v>
      </c>
      <c r="E278" s="32" t="s">
        <v>1608</v>
      </c>
      <c r="F278" s="35">
        <v>64</v>
      </c>
      <c r="G278" s="35">
        <v>647</v>
      </c>
      <c r="H278" s="35">
        <v>204</v>
      </c>
      <c r="I278" s="35">
        <v>3</v>
      </c>
      <c r="J278" s="36">
        <v>40919</v>
      </c>
      <c r="K278" s="37">
        <v>0.64403935185185179</v>
      </c>
      <c r="L278" s="36">
        <v>41403</v>
      </c>
      <c r="M278" s="38">
        <v>0.94593749999999999</v>
      </c>
    </row>
    <row r="279" spans="1:13" ht="75" x14ac:dyDescent="0.25">
      <c r="A279" s="33" t="s">
        <v>14</v>
      </c>
      <c r="B279" s="34" t="str">
        <f>HYPERLINK("http://www.twitter.com/sparsholtlib", "sparsholtlib")</f>
        <v>sparsholtlib</v>
      </c>
      <c r="C279" s="33" t="s">
        <v>2711</v>
      </c>
      <c r="D279" s="33" t="s">
        <v>2712</v>
      </c>
      <c r="E279" s="32" t="s">
        <v>2713</v>
      </c>
      <c r="F279" s="35">
        <v>68</v>
      </c>
      <c r="G279" s="35">
        <v>192</v>
      </c>
      <c r="H279" s="35">
        <v>196</v>
      </c>
      <c r="I279" s="35">
        <v>11</v>
      </c>
      <c r="J279" s="36">
        <v>39899</v>
      </c>
      <c r="K279" s="37">
        <v>0.48667824074074079</v>
      </c>
      <c r="L279" s="36">
        <v>42905</v>
      </c>
      <c r="M279" s="38">
        <v>0.63145833333333334</v>
      </c>
    </row>
    <row r="280" spans="1:13" ht="45" x14ac:dyDescent="0.25">
      <c r="A280" s="33" t="s">
        <v>14</v>
      </c>
      <c r="B280" s="34" t="str">
        <f>HYPERLINK("http://www.twitter.com/hackneylibrary", "hackneylibrary")</f>
        <v>hackneylibrary</v>
      </c>
      <c r="C280" s="33" t="s">
        <v>3708</v>
      </c>
      <c r="D280" s="33" t="s">
        <v>3709</v>
      </c>
      <c r="E280" s="32" t="s">
        <v>3710</v>
      </c>
      <c r="F280" s="35">
        <v>0</v>
      </c>
      <c r="G280" s="35">
        <v>56</v>
      </c>
      <c r="H280" s="35">
        <v>192</v>
      </c>
      <c r="I280" s="35">
        <v>0</v>
      </c>
      <c r="J280" s="36">
        <v>40592</v>
      </c>
      <c r="K280" s="37">
        <v>0.689386574074074</v>
      </c>
      <c r="L280" s="36">
        <v>42915</v>
      </c>
      <c r="M280" s="38">
        <v>0.82162037037037028</v>
      </c>
    </row>
    <row r="281" spans="1:13" ht="45" x14ac:dyDescent="0.25">
      <c r="A281" s="33" t="s">
        <v>14</v>
      </c>
      <c r="B281" s="34" t="str">
        <f>HYPERLINK("http://www.twitter.com/RayLibCam", "RayLibCam")</f>
        <v>RayLibCam</v>
      </c>
      <c r="C281" s="33" t="s">
        <v>2920</v>
      </c>
      <c r="D281" s="33" t="s">
        <v>508</v>
      </c>
      <c r="E281" s="32" t="s">
        <v>2921</v>
      </c>
      <c r="F281" s="35">
        <v>277</v>
      </c>
      <c r="G281" s="35">
        <v>161</v>
      </c>
      <c r="H281" s="35">
        <v>187</v>
      </c>
      <c r="I281" s="35">
        <v>60</v>
      </c>
      <c r="J281" s="36">
        <v>42178</v>
      </c>
      <c r="K281" s="37">
        <v>0.44765046296296296</v>
      </c>
      <c r="L281" s="36">
        <v>42940</v>
      </c>
      <c r="M281" s="38">
        <v>0.62473379629629633</v>
      </c>
    </row>
    <row r="282" spans="1:13" ht="30" x14ac:dyDescent="0.25">
      <c r="A282" s="33" t="s">
        <v>14</v>
      </c>
      <c r="B282" s="34" t="str">
        <f>HYPERLINK("http://www.twitter.com/QUBPostdoc_Soc", "QUBPostdoc_Soc")</f>
        <v>QUBPostdoc_Soc</v>
      </c>
      <c r="C282" s="33" t="s">
        <v>2574</v>
      </c>
      <c r="D282" s="33" t="s">
        <v>2575</v>
      </c>
      <c r="E282" s="32" t="s">
        <v>2576</v>
      </c>
      <c r="F282" s="35">
        <v>666</v>
      </c>
      <c r="G282" s="35">
        <v>241</v>
      </c>
      <c r="H282" s="35">
        <v>161</v>
      </c>
      <c r="I282" s="35">
        <v>59</v>
      </c>
      <c r="J282" s="36">
        <v>42692</v>
      </c>
      <c r="K282" s="37">
        <v>0.45098379629629631</v>
      </c>
      <c r="L282" s="36">
        <v>42940</v>
      </c>
      <c r="M282" s="38">
        <v>0.66104166666666664</v>
      </c>
    </row>
    <row r="283" spans="1:13" ht="30" x14ac:dyDescent="0.25">
      <c r="A283" s="33" t="s">
        <v>14</v>
      </c>
      <c r="B283" s="34" t="str">
        <f>HYPERLINK("http://www.twitter.com/AFBILibrary", "AFBILibrary")</f>
        <v>AFBILibrary</v>
      </c>
      <c r="C283" s="33" t="s">
        <v>3269</v>
      </c>
      <c r="D283" s="33" t="s">
        <v>135</v>
      </c>
      <c r="E283" s="32" t="s">
        <v>3270</v>
      </c>
      <c r="F283" s="35">
        <v>251</v>
      </c>
      <c r="G283" s="35">
        <v>91</v>
      </c>
      <c r="H283" s="35">
        <v>149</v>
      </c>
      <c r="I283" s="35">
        <v>114</v>
      </c>
      <c r="J283" s="36">
        <v>41022</v>
      </c>
      <c r="K283" s="37">
        <v>0.58556712962962965</v>
      </c>
      <c r="L283" s="36">
        <v>42940</v>
      </c>
      <c r="M283" s="38">
        <v>0.57668981481481485</v>
      </c>
    </row>
    <row r="284" spans="1:13" ht="30" x14ac:dyDescent="0.25">
      <c r="A284" s="33" t="s">
        <v>14</v>
      </c>
      <c r="B284" s="34" t="str">
        <f>HYPERLINK("http://www.twitter.com/HatfieldColLib", "HatfieldColLib")</f>
        <v>HatfieldColLib</v>
      </c>
      <c r="C284" s="33" t="s">
        <v>2727</v>
      </c>
      <c r="D284" s="33" t="s">
        <v>837</v>
      </c>
      <c r="E284" s="32" t="s">
        <v>2728</v>
      </c>
      <c r="F284" s="35">
        <v>541</v>
      </c>
      <c r="G284" s="35">
        <v>192</v>
      </c>
      <c r="H284" s="35">
        <v>141</v>
      </c>
      <c r="I284" s="35">
        <v>14</v>
      </c>
      <c r="J284" s="36">
        <v>42514</v>
      </c>
      <c r="K284" s="37">
        <v>0.45304398148148151</v>
      </c>
      <c r="L284" s="36">
        <v>42912</v>
      </c>
      <c r="M284" s="38">
        <v>0.59143518518518523</v>
      </c>
    </row>
    <row r="285" spans="1:13" x14ac:dyDescent="0.25">
      <c r="A285" s="33" t="s">
        <v>14</v>
      </c>
      <c r="B285" s="34" t="str">
        <f>HYPERLINK("http://www.twitter.com/OxUnionLibrary", "OxUnionLibrary")</f>
        <v>OxUnionLibrary</v>
      </c>
      <c r="C285" s="33" t="s">
        <v>2654</v>
      </c>
      <c r="F285" s="35">
        <v>32</v>
      </c>
      <c r="G285" s="35">
        <v>204</v>
      </c>
      <c r="H285" s="35">
        <v>133</v>
      </c>
      <c r="I285" s="35">
        <v>8</v>
      </c>
      <c r="J285" s="36">
        <v>41533</v>
      </c>
      <c r="K285" s="37">
        <v>0.41805555555555557</v>
      </c>
      <c r="L285" s="36">
        <v>42927</v>
      </c>
      <c r="M285" s="38">
        <v>0.65814814814814815</v>
      </c>
    </row>
    <row r="286" spans="1:13" ht="45" x14ac:dyDescent="0.25">
      <c r="A286" s="33" t="s">
        <v>14</v>
      </c>
      <c r="B286" s="34" t="str">
        <f>HYPERLINK("http://www.twitter.com/MCatheul", "MCatheul")</f>
        <v>MCatheul</v>
      </c>
      <c r="C286" s="33" t="s">
        <v>3418</v>
      </c>
      <c r="D286" s="33" t="s">
        <v>61</v>
      </c>
      <c r="E286" s="32" t="s">
        <v>3419</v>
      </c>
      <c r="F286" s="35">
        <v>2</v>
      </c>
      <c r="G286" s="35">
        <v>37</v>
      </c>
      <c r="H286" s="35">
        <v>129</v>
      </c>
      <c r="I286" s="35">
        <v>0</v>
      </c>
      <c r="J286" s="36">
        <v>40417</v>
      </c>
      <c r="K286" s="37">
        <v>0.37197916666666669</v>
      </c>
      <c r="L286" s="36">
        <v>41149</v>
      </c>
      <c r="M286" s="38">
        <v>0.65534722222222219</v>
      </c>
    </row>
    <row r="287" spans="1:13" ht="30" x14ac:dyDescent="0.25">
      <c r="A287" s="33" t="s">
        <v>14</v>
      </c>
      <c r="B287" s="34" t="str">
        <f>HYPERLINK("http://www.twitter.com/AHALibCam", "AHALibCam")</f>
        <v>AHALibCam</v>
      </c>
      <c r="C287" s="33" t="s">
        <v>2802</v>
      </c>
      <c r="D287" s="33" t="s">
        <v>788</v>
      </c>
      <c r="E287" s="32" t="s">
        <v>2803</v>
      </c>
      <c r="F287" s="35">
        <v>125</v>
      </c>
      <c r="G287" s="35">
        <v>180</v>
      </c>
      <c r="H287" s="35">
        <v>116</v>
      </c>
      <c r="I287" s="35">
        <v>0</v>
      </c>
      <c r="J287" s="36">
        <v>41773</v>
      </c>
      <c r="K287" s="37">
        <v>0.52968749999999998</v>
      </c>
      <c r="L287" s="36">
        <v>42479</v>
      </c>
      <c r="M287" s="38">
        <v>0.46680555555555553</v>
      </c>
    </row>
    <row r="288" spans="1:13" ht="45" x14ac:dyDescent="0.25">
      <c r="A288" s="33" t="s">
        <v>14</v>
      </c>
      <c r="B288" s="34" t="str">
        <f>HYPERLINK("http://www.twitter.com/Exeoxlibrary", "Exeoxlibrary")</f>
        <v>Exeoxlibrary</v>
      </c>
      <c r="C288" s="33" t="s">
        <v>2509</v>
      </c>
      <c r="D288" s="33" t="s">
        <v>505</v>
      </c>
      <c r="E288" s="32" t="s">
        <v>2510</v>
      </c>
      <c r="F288" s="35">
        <v>196</v>
      </c>
      <c r="G288" s="35">
        <v>239</v>
      </c>
      <c r="H288" s="35">
        <v>111</v>
      </c>
      <c r="I288" s="35">
        <v>56</v>
      </c>
      <c r="J288" s="36">
        <v>42076</v>
      </c>
      <c r="K288" s="37">
        <v>0.47561342592592593</v>
      </c>
      <c r="L288" s="36">
        <v>42937</v>
      </c>
      <c r="M288" s="38">
        <v>0.42160879629629627</v>
      </c>
    </row>
    <row r="289" spans="1:13" ht="30" x14ac:dyDescent="0.25">
      <c r="A289" s="33" t="s">
        <v>14</v>
      </c>
      <c r="B289" s="34" t="str">
        <f>HYPERLINK("http://www.twitter.com/UCLLaSSLibrary", "UCLLaSSLibrary")</f>
        <v>UCLLaSSLibrary</v>
      </c>
      <c r="C289" s="33" t="s">
        <v>3390</v>
      </c>
      <c r="E289" s="32" t="s">
        <v>3391</v>
      </c>
      <c r="F289" s="35">
        <v>49</v>
      </c>
      <c r="G289" s="35">
        <v>53</v>
      </c>
      <c r="H289" s="35">
        <v>94</v>
      </c>
      <c r="I289" s="35">
        <v>13</v>
      </c>
      <c r="J289" s="36">
        <v>42742</v>
      </c>
      <c r="K289" s="37">
        <v>0.68744212962962958</v>
      </c>
      <c r="L289" s="36">
        <v>42935</v>
      </c>
      <c r="M289" s="38">
        <v>0.38608796296296299</v>
      </c>
    </row>
    <row r="290" spans="1:13" ht="45" x14ac:dyDescent="0.25">
      <c r="A290" s="33" t="s">
        <v>14</v>
      </c>
      <c r="B290" s="34" t="str">
        <f>HYPERLINK("http://www.twitter.com/TwISLS", "TwISLS")</f>
        <v>TwISLS</v>
      </c>
      <c r="C290" s="33" t="s">
        <v>3286</v>
      </c>
      <c r="D290" s="33" t="s">
        <v>3287</v>
      </c>
      <c r="E290" s="32" t="s">
        <v>3288</v>
      </c>
      <c r="F290" s="35">
        <v>141</v>
      </c>
      <c r="G290" s="35">
        <v>67</v>
      </c>
      <c r="H290" s="35">
        <v>82</v>
      </c>
      <c r="I290" s="35">
        <v>3</v>
      </c>
      <c r="J290" s="36">
        <v>40619</v>
      </c>
      <c r="K290" s="37">
        <v>0.61107638888888893</v>
      </c>
      <c r="L290" s="36">
        <v>41071</v>
      </c>
      <c r="M290" s="38">
        <v>0.36864583333333334</v>
      </c>
    </row>
    <row r="291" spans="1:13" ht="45" x14ac:dyDescent="0.25">
      <c r="A291" s="33" t="s">
        <v>14</v>
      </c>
      <c r="B291" s="34" t="str">
        <f>HYPERLINK("http://www.twitter.com/SacklerLibrary", "SacklerLibrary")</f>
        <v>SacklerLibrary</v>
      </c>
      <c r="C291" s="33" t="s">
        <v>1845</v>
      </c>
      <c r="D291" s="33" t="s">
        <v>1846</v>
      </c>
      <c r="E291" s="32" t="s">
        <v>1847</v>
      </c>
      <c r="F291" s="35">
        <v>113</v>
      </c>
      <c r="G291" s="35">
        <v>483</v>
      </c>
      <c r="H291" s="35">
        <v>82</v>
      </c>
      <c r="I291" s="35">
        <v>0</v>
      </c>
      <c r="J291" s="36">
        <v>40668</v>
      </c>
      <c r="K291" s="37">
        <v>0.59526620370370364</v>
      </c>
      <c r="L291" s="36">
        <v>41904</v>
      </c>
      <c r="M291" s="38">
        <v>0.57871527777777776</v>
      </c>
    </row>
    <row r="292" spans="1:13" ht="45" x14ac:dyDescent="0.25">
      <c r="A292" s="33" t="s">
        <v>14</v>
      </c>
      <c r="B292" s="34" t="str">
        <f>HYPERLINK("http://www.twitter.com/SAE_UK_Library", "SAE_UK_Library")</f>
        <v>SAE_UK_Library</v>
      </c>
      <c r="C292" s="33" t="s">
        <v>3500</v>
      </c>
      <c r="D292" s="33" t="s">
        <v>477</v>
      </c>
      <c r="E292" s="32" t="s">
        <v>3501</v>
      </c>
      <c r="F292" s="35">
        <v>41</v>
      </c>
      <c r="G292" s="35">
        <v>13</v>
      </c>
      <c r="H292" s="35">
        <v>79</v>
      </c>
      <c r="I292" s="35">
        <v>16</v>
      </c>
      <c r="J292" s="36">
        <v>42538</v>
      </c>
      <c r="K292" s="37">
        <v>0.40037037037037032</v>
      </c>
      <c r="L292" s="36">
        <v>42926</v>
      </c>
      <c r="M292" s="38">
        <v>0.33075231481481482</v>
      </c>
    </row>
    <row r="293" spans="1:13" ht="45" x14ac:dyDescent="0.25">
      <c r="A293" s="33" t="s">
        <v>14</v>
      </c>
      <c r="B293" s="34" t="str">
        <f>HYPERLINK("http://www.twitter.com/GoldsNightLib", "GoldsNightLib")</f>
        <v>GoldsNightLib</v>
      </c>
      <c r="C293" s="33" t="s">
        <v>3465</v>
      </c>
      <c r="D293" s="33" t="s">
        <v>3466</v>
      </c>
      <c r="E293" s="32" t="s">
        <v>3467</v>
      </c>
      <c r="F293" s="35">
        <v>105</v>
      </c>
      <c r="G293" s="35">
        <v>23</v>
      </c>
      <c r="H293" s="35">
        <v>75</v>
      </c>
      <c r="I293" s="35">
        <v>3</v>
      </c>
      <c r="J293" s="36">
        <v>41649</v>
      </c>
      <c r="K293" s="37">
        <v>0.98376157407407405</v>
      </c>
      <c r="L293" s="36">
        <v>41782</v>
      </c>
      <c r="M293" s="38">
        <v>0.66468749999999999</v>
      </c>
    </row>
    <row r="294" spans="1:13" x14ac:dyDescent="0.25">
      <c r="A294" s="33" t="s">
        <v>14</v>
      </c>
      <c r="B294" s="34" t="str">
        <f>HYPERLINK("http://www.twitter.com/Library_UoL", "Library_UoL")</f>
        <v>Library_UoL</v>
      </c>
      <c r="C294" s="33" t="s">
        <v>389</v>
      </c>
      <c r="D294" s="33" t="s">
        <v>3690</v>
      </c>
      <c r="E294" s="32" t="s">
        <v>3691</v>
      </c>
      <c r="F294" s="35">
        <v>37</v>
      </c>
      <c r="G294" s="35">
        <v>20</v>
      </c>
      <c r="H294" s="35">
        <v>45</v>
      </c>
      <c r="I294" s="35">
        <v>2</v>
      </c>
      <c r="J294" s="36">
        <v>42809</v>
      </c>
      <c r="K294" s="37">
        <v>0.60337962962962965</v>
      </c>
      <c r="L294" s="36">
        <v>42928</v>
      </c>
      <c r="M294" s="38">
        <v>0.42094907407407406</v>
      </c>
    </row>
    <row r="295" spans="1:13" ht="30" x14ac:dyDescent="0.25">
      <c r="A295" s="33" t="s">
        <v>14</v>
      </c>
      <c r="B295" s="34" t="str">
        <f>HYPERLINK("http://www.twitter.com/LCCRC", "LCCRC")</f>
        <v>LCCRC</v>
      </c>
      <c r="C295" s="33" t="s">
        <v>3451</v>
      </c>
      <c r="D295" s="33" t="s">
        <v>180</v>
      </c>
      <c r="E295" s="32" t="s">
        <v>3452</v>
      </c>
      <c r="F295" s="35">
        <v>21</v>
      </c>
      <c r="G295" s="35">
        <v>27</v>
      </c>
      <c r="H295" s="35">
        <v>41</v>
      </c>
      <c r="I295" s="35">
        <v>0</v>
      </c>
      <c r="J295" s="36">
        <v>40093</v>
      </c>
      <c r="K295" s="37">
        <v>0.33159722222222221</v>
      </c>
      <c r="L295" s="36">
        <v>40203</v>
      </c>
      <c r="M295" s="38">
        <v>0.70172453703703708</v>
      </c>
    </row>
    <row r="296" spans="1:13" ht="45" x14ac:dyDescent="0.25">
      <c r="A296" s="33" t="s">
        <v>14</v>
      </c>
      <c r="B296" s="34" t="str">
        <f>HYPERLINK("http://www.twitter.com/CodringtonLib", "CodringtonLib")</f>
        <v>CodringtonLib</v>
      </c>
      <c r="C296" s="33" t="s">
        <v>2075</v>
      </c>
      <c r="D296" s="33" t="s">
        <v>12</v>
      </c>
      <c r="E296" s="32" t="s">
        <v>2076</v>
      </c>
      <c r="F296" s="35">
        <v>100</v>
      </c>
      <c r="G296" s="35">
        <v>374</v>
      </c>
      <c r="H296" s="35">
        <v>15</v>
      </c>
      <c r="I296" s="35">
        <v>3</v>
      </c>
      <c r="J296" s="36">
        <v>41473</v>
      </c>
      <c r="K296" s="37">
        <v>0.86230324074074083</v>
      </c>
      <c r="L296" s="36">
        <v>42396</v>
      </c>
      <c r="M296" s="38">
        <v>0.67373842592592592</v>
      </c>
    </row>
    <row r="297" spans="1:13" ht="30" x14ac:dyDescent="0.25">
      <c r="A297" s="33" t="s">
        <v>14</v>
      </c>
      <c r="B297" s="34" t="str">
        <f>HYPERLINK("http://www.twitter.com/uonis", "uonis")</f>
        <v>uonis</v>
      </c>
      <c r="C297" s="33" t="s">
        <v>3295</v>
      </c>
      <c r="D297" s="33" t="s">
        <v>3296</v>
      </c>
      <c r="E297" s="32" t="s">
        <v>3297</v>
      </c>
      <c r="F297" s="35">
        <v>2</v>
      </c>
      <c r="G297" s="35">
        <v>64</v>
      </c>
      <c r="H297" s="35">
        <v>12</v>
      </c>
      <c r="I297" s="35">
        <v>0</v>
      </c>
      <c r="J297" s="36">
        <v>39972</v>
      </c>
      <c r="K297" s="37">
        <v>0.57498842592592592</v>
      </c>
      <c r="L297" s="36">
        <v>40049</v>
      </c>
      <c r="M297" s="38">
        <v>0.4142824074074074</v>
      </c>
    </row>
    <row r="298" spans="1:13" x14ac:dyDescent="0.25">
      <c r="A298" s="33" t="s">
        <v>14</v>
      </c>
      <c r="B298" s="34" t="str">
        <f>HYPERLINK("http://www.twitter.com/hugheslibrary", "hugheslibrary")</f>
        <v>hugheslibrary</v>
      </c>
      <c r="C298" s="33" t="s">
        <v>3363</v>
      </c>
      <c r="F298" s="35">
        <v>66</v>
      </c>
      <c r="G298" s="35">
        <v>49</v>
      </c>
      <c r="H298" s="35">
        <v>8</v>
      </c>
      <c r="I298" s="35">
        <v>0</v>
      </c>
      <c r="J298" s="36">
        <v>40317</v>
      </c>
      <c r="K298" s="37">
        <v>0.44373842592592588</v>
      </c>
      <c r="L298" s="36">
        <v>41219</v>
      </c>
      <c r="M298" s="38">
        <v>0.41246527777777775</v>
      </c>
    </row>
    <row r="299" spans="1:13" x14ac:dyDescent="0.25">
      <c r="A299" s="33" t="s">
        <v>14</v>
      </c>
      <c r="B299" s="34" t="str">
        <f>HYPERLINK("http://www.twitter.com/INILibrary", "INILibrary")</f>
        <v>INILibrary</v>
      </c>
      <c r="C299" s="33" t="s">
        <v>3626</v>
      </c>
      <c r="D299" s="33" t="s">
        <v>61</v>
      </c>
      <c r="F299" s="35">
        <v>12</v>
      </c>
      <c r="G299" s="35">
        <v>17</v>
      </c>
      <c r="H299" s="35">
        <v>3</v>
      </c>
      <c r="I299" s="35">
        <v>0</v>
      </c>
      <c r="J299" s="36">
        <v>40315</v>
      </c>
      <c r="K299" s="37">
        <v>0.42553240740740739</v>
      </c>
      <c r="L299" s="36">
        <v>40326</v>
      </c>
      <c r="M299" s="38">
        <v>0.56130787037037033</v>
      </c>
    </row>
    <row r="300" spans="1:13" ht="45" x14ac:dyDescent="0.25">
      <c r="A300" s="33" t="s">
        <v>72</v>
      </c>
      <c r="B300" s="34" t="str">
        <f>HYPERLINK("http://www.twitter.com/IllingworthInfo", "IllingworthInfo")</f>
        <v>IllingworthInfo</v>
      </c>
      <c r="C300" s="33" t="s">
        <v>2264</v>
      </c>
      <c r="D300" s="33" t="s">
        <v>459</v>
      </c>
      <c r="E300" s="32" t="s">
        <v>2265</v>
      </c>
      <c r="F300" s="35">
        <v>208</v>
      </c>
      <c r="G300" s="35">
        <v>299</v>
      </c>
      <c r="H300" s="35">
        <v>30412</v>
      </c>
      <c r="I300" s="35">
        <v>28</v>
      </c>
      <c r="J300" s="36">
        <v>40875</v>
      </c>
      <c r="K300" s="37">
        <v>0.50162037037037044</v>
      </c>
      <c r="L300" s="36">
        <v>42940</v>
      </c>
      <c r="M300" s="38">
        <v>0.72429398148148139</v>
      </c>
    </row>
    <row r="301" spans="1:13" ht="45" x14ac:dyDescent="0.25">
      <c r="A301" s="33" t="s">
        <v>72</v>
      </c>
      <c r="B301" s="34" t="str">
        <f>HYPERLINK("http://www.twitter.com/LSTM_Library", "LSTM_Library")</f>
        <v>LSTM_Library</v>
      </c>
      <c r="C301" s="33" t="s">
        <v>641</v>
      </c>
      <c r="D301" s="33" t="s">
        <v>642</v>
      </c>
      <c r="E301" s="32" t="s">
        <v>643</v>
      </c>
      <c r="F301" s="35">
        <v>3047</v>
      </c>
      <c r="G301" s="35">
        <v>2126</v>
      </c>
      <c r="H301" s="35">
        <v>13620</v>
      </c>
      <c r="I301" s="35">
        <v>15302</v>
      </c>
      <c r="J301" s="36">
        <v>40233</v>
      </c>
      <c r="K301" s="37">
        <v>0.47351851851851851</v>
      </c>
      <c r="L301" s="36">
        <v>42940</v>
      </c>
      <c r="M301" s="38">
        <v>0.42358796296296292</v>
      </c>
    </row>
    <row r="302" spans="1:13" ht="45" x14ac:dyDescent="0.25">
      <c r="A302" s="33" t="s">
        <v>72</v>
      </c>
      <c r="B302" s="34" t="str">
        <f>HYPERLINK("http://www.twitter.com/HearingLibrary", "HearingLibrary")</f>
        <v>HearingLibrary</v>
      </c>
      <c r="C302" s="33" t="s">
        <v>818</v>
      </c>
      <c r="D302" s="33" t="s">
        <v>819</v>
      </c>
      <c r="E302" s="32" t="s">
        <v>820</v>
      </c>
      <c r="F302" s="35">
        <v>527</v>
      </c>
      <c r="G302" s="35">
        <v>1599</v>
      </c>
      <c r="H302" s="35">
        <v>12902</v>
      </c>
      <c r="I302" s="35">
        <v>1217</v>
      </c>
      <c r="J302" s="36">
        <v>40843</v>
      </c>
      <c r="K302" s="37">
        <v>0.50473379629629633</v>
      </c>
      <c r="L302" s="36">
        <v>42940</v>
      </c>
      <c r="M302" s="38">
        <v>0.53049768518518514</v>
      </c>
    </row>
    <row r="303" spans="1:13" ht="45" x14ac:dyDescent="0.25">
      <c r="A303" s="33" t="s">
        <v>72</v>
      </c>
      <c r="B303" s="34" t="str">
        <f>HYPERLINK("http://www.twitter.com/ArthurRankHouse", "ArthurRankHouse")</f>
        <v>ArthurRankHouse</v>
      </c>
      <c r="C303" s="33" t="s">
        <v>507</v>
      </c>
      <c r="D303" s="33" t="s">
        <v>508</v>
      </c>
      <c r="E303" s="32" t="s">
        <v>509</v>
      </c>
      <c r="F303" s="35">
        <v>1315</v>
      </c>
      <c r="G303" s="35">
        <v>2504</v>
      </c>
      <c r="H303" s="35">
        <v>11800</v>
      </c>
      <c r="I303" s="35">
        <v>4679</v>
      </c>
      <c r="J303" s="36">
        <v>40457</v>
      </c>
      <c r="K303" s="37">
        <v>0.43092592592592593</v>
      </c>
      <c r="L303" s="36">
        <v>42940</v>
      </c>
      <c r="M303" s="38">
        <v>0.70972222222222225</v>
      </c>
    </row>
    <row r="304" spans="1:13" ht="45" x14ac:dyDescent="0.25">
      <c r="A304" s="33" t="s">
        <v>72</v>
      </c>
      <c r="B304" s="34" t="str">
        <f>HYPERLINK("http://www.twitter.com/BloomsburyL", "BloomsburyL")</f>
        <v>BloomsburyL</v>
      </c>
      <c r="C304" s="33" t="s">
        <v>1945</v>
      </c>
      <c r="D304" s="33" t="s">
        <v>1946</v>
      </c>
      <c r="E304" s="32" t="s">
        <v>1947</v>
      </c>
      <c r="F304" s="35">
        <v>935</v>
      </c>
      <c r="G304" s="35">
        <v>465</v>
      </c>
      <c r="H304" s="35">
        <v>11557</v>
      </c>
      <c r="I304" s="35">
        <v>97</v>
      </c>
      <c r="J304" s="36">
        <v>42013</v>
      </c>
      <c r="K304" s="37">
        <v>0.39283564814814814</v>
      </c>
      <c r="L304" s="36">
        <v>42940</v>
      </c>
      <c r="M304" s="38">
        <v>0.44734953703703706</v>
      </c>
    </row>
    <row r="305" spans="1:13" ht="30" x14ac:dyDescent="0.25">
      <c r="A305" s="33" t="s">
        <v>72</v>
      </c>
      <c r="B305" s="34" t="str">
        <f>HYPERLINK("http://www.twitter.com/NHFTNHSLibrary", "NHFTNHSLibrary")</f>
        <v>NHFTNHSLibrary</v>
      </c>
      <c r="C305" s="33" t="s">
        <v>1032</v>
      </c>
      <c r="D305" s="33" t="s">
        <v>1033</v>
      </c>
      <c r="E305" s="32" t="s">
        <v>1034</v>
      </c>
      <c r="F305" s="35">
        <v>1784</v>
      </c>
      <c r="G305" s="35">
        <v>1253</v>
      </c>
      <c r="H305" s="35">
        <v>10824</v>
      </c>
      <c r="I305" s="35">
        <v>1205</v>
      </c>
      <c r="J305" s="36">
        <v>40959</v>
      </c>
      <c r="K305" s="37">
        <v>0.45428240740740744</v>
      </c>
      <c r="L305" s="36">
        <v>42940</v>
      </c>
      <c r="M305" s="38">
        <v>0.4716319444444444</v>
      </c>
    </row>
    <row r="306" spans="1:13" ht="45" x14ac:dyDescent="0.25">
      <c r="A306" s="33" t="s">
        <v>72</v>
      </c>
      <c r="B306" s="34" t="str">
        <f>HYPERLINK("http://www.twitter.com/kingsfund_lib", "kingsfund_lib")</f>
        <v>kingsfund_lib</v>
      </c>
      <c r="C306" s="33" t="s">
        <v>149</v>
      </c>
      <c r="D306" s="33" t="s">
        <v>110</v>
      </c>
      <c r="E306" s="32" t="s">
        <v>150</v>
      </c>
      <c r="F306" s="35">
        <v>357</v>
      </c>
      <c r="G306" s="35">
        <v>6597</v>
      </c>
      <c r="H306" s="35">
        <v>9054</v>
      </c>
      <c r="I306" s="35">
        <v>136</v>
      </c>
      <c r="J306" s="36">
        <v>40185</v>
      </c>
      <c r="K306" s="37">
        <v>0.6053587962962963</v>
      </c>
      <c r="L306" s="36">
        <v>42940</v>
      </c>
      <c r="M306" s="38">
        <v>0.63837962962962969</v>
      </c>
    </row>
    <row r="307" spans="1:13" ht="45" x14ac:dyDescent="0.25">
      <c r="A307" s="33" t="s">
        <v>72</v>
      </c>
      <c r="B307" s="34" t="str">
        <f>HYPERLINK("http://www.twitter.com/tapchat", "tapchat")</f>
        <v>tapchat</v>
      </c>
      <c r="C307" s="33" t="s">
        <v>450</v>
      </c>
      <c r="D307" s="33" t="s">
        <v>36</v>
      </c>
      <c r="E307" s="32" t="s">
        <v>451</v>
      </c>
      <c r="F307" s="35">
        <v>1312</v>
      </c>
      <c r="G307" s="35">
        <v>2733</v>
      </c>
      <c r="H307" s="35">
        <v>8607</v>
      </c>
      <c r="I307" s="35">
        <v>785</v>
      </c>
      <c r="J307" s="36">
        <v>40119</v>
      </c>
      <c r="K307" s="37">
        <v>0.76858796296296295</v>
      </c>
      <c r="L307" s="36">
        <v>42940</v>
      </c>
      <c r="M307" s="38">
        <v>0.47918981481481482</v>
      </c>
    </row>
    <row r="308" spans="1:13" ht="45" x14ac:dyDescent="0.25">
      <c r="A308" s="33" t="s">
        <v>72</v>
      </c>
      <c r="B308" s="34" t="str">
        <f>HYPERLINK("http://www.twitter.com/VCCLibrary", "VCCLibrary")</f>
        <v>VCCLibrary</v>
      </c>
      <c r="C308" s="33" t="s">
        <v>1632</v>
      </c>
      <c r="D308" s="33" t="s">
        <v>1218</v>
      </c>
      <c r="E308" s="32" t="s">
        <v>1633</v>
      </c>
      <c r="F308" s="35">
        <v>486</v>
      </c>
      <c r="G308" s="35">
        <v>639</v>
      </c>
      <c r="H308" s="35">
        <v>8215</v>
      </c>
      <c r="I308" s="35">
        <v>6</v>
      </c>
      <c r="J308" s="36">
        <v>41355</v>
      </c>
      <c r="K308" s="37">
        <v>0.4201388888888889</v>
      </c>
      <c r="L308" s="36">
        <v>42940</v>
      </c>
      <c r="M308" s="38">
        <v>0.63567129629629626</v>
      </c>
    </row>
    <row r="309" spans="1:13" ht="45" x14ac:dyDescent="0.25">
      <c r="A309" s="33" t="s">
        <v>72</v>
      </c>
      <c r="B309" s="34" t="str">
        <f>HYPERLINK("http://www.twitter.com/LibraryatQUB", "LibraryatQUB")</f>
        <v>LibraryatQUB</v>
      </c>
      <c r="C309" s="33" t="s">
        <v>134</v>
      </c>
      <c r="D309" s="33" t="s">
        <v>135</v>
      </c>
      <c r="E309" s="32" t="s">
        <v>136</v>
      </c>
      <c r="F309" s="35">
        <v>3290</v>
      </c>
      <c r="G309" s="35">
        <v>7014</v>
      </c>
      <c r="H309" s="35">
        <v>7728</v>
      </c>
      <c r="I309" s="35">
        <v>1879</v>
      </c>
      <c r="J309" s="36">
        <v>39888</v>
      </c>
      <c r="K309" s="37">
        <v>0.37116898148148153</v>
      </c>
      <c r="L309" s="36">
        <v>42940</v>
      </c>
      <c r="M309" s="38">
        <v>0.54731481481481481</v>
      </c>
    </row>
    <row r="310" spans="1:13" ht="45" x14ac:dyDescent="0.25">
      <c r="A310" s="33" t="s">
        <v>72</v>
      </c>
      <c r="B310" s="34" t="str">
        <f>HYPERLINK("http://www.twitter.com/lypftlib", "lypftlib")</f>
        <v>lypftlib</v>
      </c>
      <c r="C310" s="33" t="s">
        <v>1589</v>
      </c>
      <c r="D310" s="33" t="s">
        <v>180</v>
      </c>
      <c r="E310" s="32" t="s">
        <v>1590</v>
      </c>
      <c r="F310" s="35">
        <v>935</v>
      </c>
      <c r="G310" s="35">
        <v>682</v>
      </c>
      <c r="H310" s="35">
        <v>7331</v>
      </c>
      <c r="I310" s="35">
        <v>1532</v>
      </c>
      <c r="J310" s="36">
        <v>40752</v>
      </c>
      <c r="K310" s="37">
        <v>0.44684027777777779</v>
      </c>
      <c r="L310" s="36">
        <v>42940</v>
      </c>
      <c r="M310" s="38">
        <v>0.64631944444444445</v>
      </c>
    </row>
    <row r="311" spans="1:13" ht="45" x14ac:dyDescent="0.25">
      <c r="A311" s="33" t="s">
        <v>72</v>
      </c>
      <c r="B311" s="34" t="str">
        <f>HYPERLINK("http://www.twitter.com/cmftlibraries", "cmftlibraries")</f>
        <v>cmftlibraries</v>
      </c>
      <c r="C311" s="33" t="s">
        <v>1143</v>
      </c>
      <c r="D311" s="33" t="s">
        <v>33</v>
      </c>
      <c r="E311" s="32" t="s">
        <v>1144</v>
      </c>
      <c r="F311" s="35">
        <v>810</v>
      </c>
      <c r="G311" s="35">
        <v>1102</v>
      </c>
      <c r="H311" s="35">
        <v>7124</v>
      </c>
      <c r="I311" s="35">
        <v>757</v>
      </c>
      <c r="J311" s="36">
        <v>40659</v>
      </c>
      <c r="K311" s="37">
        <v>0.44078703703703703</v>
      </c>
      <c r="L311" s="36">
        <v>42940</v>
      </c>
      <c r="M311" s="38">
        <v>0.56343750000000004</v>
      </c>
    </row>
    <row r="312" spans="1:13" ht="45" x14ac:dyDescent="0.25">
      <c r="A312" s="33" t="s">
        <v>72</v>
      </c>
      <c r="B312" s="34" t="str">
        <f>HYPERLINK("http://www.twitter.com/NELFT", "NELFT")</f>
        <v>NELFT</v>
      </c>
      <c r="C312" s="33" t="s">
        <v>3732</v>
      </c>
      <c r="D312" s="33" t="s">
        <v>3733</v>
      </c>
      <c r="E312" s="32" t="s">
        <v>3734</v>
      </c>
      <c r="F312" s="35">
        <v>974</v>
      </c>
      <c r="G312" s="35">
        <v>3477</v>
      </c>
      <c r="H312" s="35">
        <v>6861</v>
      </c>
      <c r="I312" s="35">
        <v>2722</v>
      </c>
      <c r="J312" s="36">
        <v>41250</v>
      </c>
      <c r="K312" s="37">
        <v>0.49315972222222221</v>
      </c>
      <c r="L312" s="36">
        <v>42940</v>
      </c>
      <c r="M312" s="38">
        <v>0.54770833333333335</v>
      </c>
    </row>
    <row r="313" spans="1:13" ht="45" x14ac:dyDescent="0.25">
      <c r="A313" s="33" t="s">
        <v>72</v>
      </c>
      <c r="B313" s="34" t="str">
        <f>HYPERLINK("http://www.twitter.com/KGHNHSLibrary", "KGHNHSLibrary")</f>
        <v>KGHNHSLibrary</v>
      </c>
      <c r="C313" s="33" t="s">
        <v>2069</v>
      </c>
      <c r="D313" s="33" t="s">
        <v>2070</v>
      </c>
      <c r="E313" s="32" t="s">
        <v>2071</v>
      </c>
      <c r="F313" s="35">
        <v>505</v>
      </c>
      <c r="G313" s="35">
        <v>384</v>
      </c>
      <c r="H313" s="35">
        <v>6742</v>
      </c>
      <c r="I313" s="35">
        <v>25</v>
      </c>
      <c r="J313" s="36">
        <v>42241</v>
      </c>
      <c r="K313" s="37">
        <v>0.3432291666666667</v>
      </c>
      <c r="L313" s="36">
        <v>42940</v>
      </c>
      <c r="M313" s="38">
        <v>0.69802083333333342</v>
      </c>
    </row>
    <row r="314" spans="1:13" x14ac:dyDescent="0.25">
      <c r="A314" s="33" t="s">
        <v>72</v>
      </c>
      <c r="B314" s="34" t="str">
        <f>HYPERLINK("http://www.twitter.com/WelshHealthLib", "WelshHealthLib")</f>
        <v>WelshHealthLib</v>
      </c>
      <c r="C314" s="33" t="s">
        <v>2147</v>
      </c>
      <c r="D314" s="33" t="s">
        <v>883</v>
      </c>
      <c r="E314" s="32" t="s">
        <v>2148</v>
      </c>
      <c r="F314" s="35">
        <v>375</v>
      </c>
      <c r="G314" s="35">
        <v>378</v>
      </c>
      <c r="H314" s="35">
        <v>6589</v>
      </c>
      <c r="I314" s="35">
        <v>3849</v>
      </c>
      <c r="J314" s="36">
        <v>42396</v>
      </c>
      <c r="K314" s="37">
        <v>0.40842592592592591</v>
      </c>
      <c r="L314" s="36">
        <v>42940</v>
      </c>
      <c r="M314" s="38">
        <v>0.36881944444444442</v>
      </c>
    </row>
    <row r="315" spans="1:13" ht="45" x14ac:dyDescent="0.25">
      <c r="A315" s="33" t="s">
        <v>72</v>
      </c>
      <c r="B315" s="34" t="str">
        <f>HYPERLINK("http://www.twitter.com/HHLibService", "HHLibService")</f>
        <v>HHLibService</v>
      </c>
      <c r="C315" s="33" t="s">
        <v>1789</v>
      </c>
      <c r="D315" s="33" t="s">
        <v>1790</v>
      </c>
      <c r="E315" s="32" t="s">
        <v>1791</v>
      </c>
      <c r="F315" s="35">
        <v>825</v>
      </c>
      <c r="G315" s="35">
        <v>527</v>
      </c>
      <c r="H315" s="35">
        <v>6546</v>
      </c>
      <c r="I315" s="35">
        <v>253</v>
      </c>
      <c r="J315" s="36">
        <v>41414</v>
      </c>
      <c r="K315" s="37">
        <v>0.49718749999999995</v>
      </c>
      <c r="L315" s="36">
        <v>42940</v>
      </c>
      <c r="M315" s="38">
        <v>0.67746527777777776</v>
      </c>
    </row>
    <row r="316" spans="1:13" ht="45" x14ac:dyDescent="0.25">
      <c r="A316" s="33" t="s">
        <v>72</v>
      </c>
      <c r="B316" s="34" t="str">
        <f>HYPERLINK("http://www.twitter.com/CECLibrary", "CECLibrary")</f>
        <v>CECLibrary</v>
      </c>
      <c r="C316" s="33" t="s">
        <v>1292</v>
      </c>
      <c r="D316" s="33" t="s">
        <v>1547</v>
      </c>
      <c r="E316" s="32" t="s">
        <v>1548</v>
      </c>
      <c r="F316" s="35">
        <v>449</v>
      </c>
      <c r="G316" s="35">
        <v>729</v>
      </c>
      <c r="H316" s="35">
        <v>6360</v>
      </c>
      <c r="I316" s="35">
        <v>47</v>
      </c>
      <c r="J316" s="36">
        <v>40778</v>
      </c>
      <c r="K316" s="37">
        <v>0.5310879629629629</v>
      </c>
      <c r="L316" s="36">
        <v>42940</v>
      </c>
      <c r="M316" s="38">
        <v>0.54275462962962961</v>
      </c>
    </row>
    <row r="317" spans="1:13" ht="45" x14ac:dyDescent="0.25">
      <c r="A317" s="33" t="s">
        <v>72</v>
      </c>
      <c r="B317" s="34" t="str">
        <f>HYPERLINK("http://www.twitter.com/midyorkslibrary", "midyorkslibrary")</f>
        <v>midyorkslibrary</v>
      </c>
      <c r="C317" s="33" t="s">
        <v>1060</v>
      </c>
      <c r="D317" s="33" t="s">
        <v>1061</v>
      </c>
      <c r="E317" s="32" t="s">
        <v>3730</v>
      </c>
      <c r="F317" s="35">
        <v>2334</v>
      </c>
      <c r="G317" s="35">
        <v>1216</v>
      </c>
      <c r="H317" s="35">
        <v>6288</v>
      </c>
      <c r="I317" s="35">
        <v>963</v>
      </c>
      <c r="J317" s="36">
        <v>41648</v>
      </c>
      <c r="K317" s="37">
        <v>0.64087962962962963</v>
      </c>
      <c r="L317" s="36">
        <v>42940</v>
      </c>
      <c r="M317" s="38">
        <v>0.57999999999999996</v>
      </c>
    </row>
    <row r="318" spans="1:13" ht="45" x14ac:dyDescent="0.25">
      <c r="A318" s="33" t="s">
        <v>72</v>
      </c>
      <c r="B318" s="34" t="str">
        <f>HYPERLINK("http://www.twitter.com/SASHLibs", "SASHLibs")</f>
        <v>SASHLibs</v>
      </c>
      <c r="C318" s="33" t="s">
        <v>1840</v>
      </c>
      <c r="D318" s="33" t="s">
        <v>1841</v>
      </c>
      <c r="E318" s="32" t="s">
        <v>1842</v>
      </c>
      <c r="F318" s="35">
        <v>597</v>
      </c>
      <c r="G318" s="35">
        <v>510</v>
      </c>
      <c r="H318" s="35">
        <v>5753</v>
      </c>
      <c r="I318" s="35">
        <v>1331</v>
      </c>
      <c r="J318" s="36">
        <v>41344</v>
      </c>
      <c r="K318" s="37">
        <v>0.65356481481481488</v>
      </c>
      <c r="L318" s="36">
        <v>42940</v>
      </c>
      <c r="M318" s="38">
        <v>0.64565972222222223</v>
      </c>
    </row>
    <row r="319" spans="1:13" ht="45" x14ac:dyDescent="0.25">
      <c r="A319" s="33" t="s">
        <v>72</v>
      </c>
      <c r="B319" s="34" t="str">
        <f>HYPERLINK("http://www.twitter.com/NWASLibrary", "NWASLibrary")</f>
        <v>NWASLibrary</v>
      </c>
      <c r="C319" s="33" t="s">
        <v>1421</v>
      </c>
      <c r="D319" s="33" t="s">
        <v>1422</v>
      </c>
      <c r="E319" s="32" t="s">
        <v>1423</v>
      </c>
      <c r="F319" s="35">
        <v>472</v>
      </c>
      <c r="G319" s="35">
        <v>812</v>
      </c>
      <c r="H319" s="35">
        <v>5657</v>
      </c>
      <c r="I319" s="35">
        <v>1301</v>
      </c>
      <c r="J319" s="36">
        <v>40462</v>
      </c>
      <c r="K319" s="37">
        <v>0.75483796296296291</v>
      </c>
      <c r="L319" s="36">
        <v>42940</v>
      </c>
      <c r="M319" s="38">
        <v>0.57899305555555558</v>
      </c>
    </row>
    <row r="320" spans="1:13" ht="45" x14ac:dyDescent="0.25">
      <c r="A320" s="33" t="s">
        <v>72</v>
      </c>
      <c r="B320" s="34" t="str">
        <f>HYPERLINK("http://www.twitter.com/WHHKES", "WHHKES")</f>
        <v>WHHKES</v>
      </c>
      <c r="C320" s="33" t="s">
        <v>1691</v>
      </c>
      <c r="D320" s="33" t="s">
        <v>1692</v>
      </c>
      <c r="E320" s="32" t="s">
        <v>1693</v>
      </c>
      <c r="F320" s="35">
        <v>1114</v>
      </c>
      <c r="G320" s="35">
        <v>605</v>
      </c>
      <c r="H320" s="35">
        <v>5339</v>
      </c>
      <c r="I320" s="35">
        <v>380</v>
      </c>
      <c r="J320" s="36">
        <v>40860</v>
      </c>
      <c r="K320" s="37">
        <v>0.27714120370370371</v>
      </c>
      <c r="L320" s="36">
        <v>42939</v>
      </c>
      <c r="M320" s="38">
        <v>0.36170138888888892</v>
      </c>
    </row>
    <row r="321" spans="1:13" ht="45" x14ac:dyDescent="0.25">
      <c r="A321" s="33" t="s">
        <v>72</v>
      </c>
      <c r="B321" s="34" t="str">
        <f>HYPERLINK("http://www.twitter.com/DBHLib", "DBHLib")</f>
        <v>DBHLib</v>
      </c>
      <c r="C321" s="33" t="s">
        <v>1864</v>
      </c>
      <c r="D321" s="33" t="s">
        <v>1865</v>
      </c>
      <c r="E321" s="32" t="s">
        <v>1866</v>
      </c>
      <c r="F321" s="35">
        <v>433</v>
      </c>
      <c r="G321" s="35">
        <v>485</v>
      </c>
      <c r="H321" s="35">
        <v>5207</v>
      </c>
      <c r="I321" s="35">
        <v>1089</v>
      </c>
      <c r="J321" s="36">
        <v>42088</v>
      </c>
      <c r="K321" s="37">
        <v>0.6818981481481482</v>
      </c>
      <c r="L321" s="36">
        <v>42940</v>
      </c>
      <c r="M321" s="38">
        <v>0.64249999999999996</v>
      </c>
    </row>
    <row r="322" spans="1:13" ht="30" x14ac:dyDescent="0.25">
      <c r="A322" s="33" t="s">
        <v>72</v>
      </c>
      <c r="B322" s="34" t="str">
        <f>HYPERLINK("http://www.twitter.com/GEHLibrary", "GEHLibrary")</f>
        <v>GEHLibrary</v>
      </c>
      <c r="C322" s="33" t="s">
        <v>2024</v>
      </c>
      <c r="D322" s="33" t="s">
        <v>2025</v>
      </c>
      <c r="E322" s="32" t="s">
        <v>2026</v>
      </c>
      <c r="F322" s="35">
        <v>311</v>
      </c>
      <c r="G322" s="35">
        <v>399</v>
      </c>
      <c r="H322" s="35">
        <v>4886</v>
      </c>
      <c r="I322" s="35">
        <v>55</v>
      </c>
      <c r="J322" s="36">
        <v>40507</v>
      </c>
      <c r="K322" s="37">
        <v>0.40267361111111111</v>
      </c>
      <c r="L322" s="36">
        <v>42940</v>
      </c>
      <c r="M322" s="38">
        <v>0.44494212962962965</v>
      </c>
    </row>
    <row r="323" spans="1:13" ht="45" x14ac:dyDescent="0.25">
      <c r="A323" s="33" t="s">
        <v>72</v>
      </c>
      <c r="B323" s="34" t="str">
        <f>HYPERLINK("http://www.twitter.com/BHRUT_Libraries", "BHRUT_Libraries")</f>
        <v>BHRUT_Libraries</v>
      </c>
      <c r="C323" s="33" t="s">
        <v>943</v>
      </c>
      <c r="D323" s="33" t="s">
        <v>2401</v>
      </c>
      <c r="E323" s="32" t="s">
        <v>2402</v>
      </c>
      <c r="F323" s="35">
        <v>258</v>
      </c>
      <c r="G323" s="35">
        <v>277</v>
      </c>
      <c r="H323" s="35">
        <v>4755</v>
      </c>
      <c r="I323" s="35">
        <v>2559</v>
      </c>
      <c r="J323" s="36">
        <v>42254</v>
      </c>
      <c r="K323" s="37">
        <v>0.61350694444444442</v>
      </c>
      <c r="L323" s="36">
        <v>42936</v>
      </c>
      <c r="M323" s="38">
        <v>0.57829861111111114</v>
      </c>
    </row>
    <row r="324" spans="1:13" ht="45" x14ac:dyDescent="0.25">
      <c r="A324" s="33" t="s">
        <v>72</v>
      </c>
      <c r="B324" s="34" t="str">
        <f>HYPERLINK("http://www.twitter.com/NewcombLibrary", "NewcombLibrary")</f>
        <v>NewcombLibrary</v>
      </c>
      <c r="C324" s="33" t="s">
        <v>1626</v>
      </c>
      <c r="D324" s="33" t="s">
        <v>36</v>
      </c>
      <c r="E324" s="32" t="s">
        <v>3736</v>
      </c>
      <c r="F324" s="35">
        <v>555</v>
      </c>
      <c r="G324" s="35">
        <v>654</v>
      </c>
      <c r="H324" s="35">
        <v>4416</v>
      </c>
      <c r="I324" s="35">
        <v>2408</v>
      </c>
      <c r="J324" s="36">
        <v>40683</v>
      </c>
      <c r="K324" s="37">
        <v>0.47876157407407405</v>
      </c>
      <c r="L324" s="36">
        <v>42940</v>
      </c>
      <c r="M324" s="38">
        <v>0.64824074074074078</v>
      </c>
    </row>
    <row r="325" spans="1:13" ht="45" x14ac:dyDescent="0.25">
      <c r="A325" s="33" t="s">
        <v>72</v>
      </c>
      <c r="B325" s="34" t="str">
        <f>HYPERLINK("http://www.twitter.com/RCPSGlibrary", "RCPSGlibrary")</f>
        <v>RCPSGlibrary</v>
      </c>
      <c r="C325" s="33" t="s">
        <v>73</v>
      </c>
      <c r="D325" s="33" t="s">
        <v>74</v>
      </c>
      <c r="E325" s="32" t="s">
        <v>75</v>
      </c>
      <c r="F325" s="35">
        <v>785</v>
      </c>
      <c r="G325" s="35">
        <v>12152</v>
      </c>
      <c r="H325" s="35">
        <v>3958</v>
      </c>
      <c r="I325" s="35">
        <v>1083</v>
      </c>
      <c r="J325" s="36">
        <v>41228</v>
      </c>
      <c r="K325" s="37">
        <v>0.59995370370370371</v>
      </c>
      <c r="L325" s="36">
        <v>42940</v>
      </c>
      <c r="M325" s="38">
        <v>0.46182870370370371</v>
      </c>
    </row>
    <row r="326" spans="1:13" ht="45" x14ac:dyDescent="0.25">
      <c r="A326" s="33" t="s">
        <v>72</v>
      </c>
      <c r="B326" s="34" t="str">
        <f>HYPERLINK("http://www.twitter.com/RCNLibraries", "RCNLibraries")</f>
        <v>RCNLibraries</v>
      </c>
      <c r="C326" s="33" t="s">
        <v>556</v>
      </c>
      <c r="D326" s="33" t="s">
        <v>557</v>
      </c>
      <c r="E326" s="32" t="s">
        <v>558</v>
      </c>
      <c r="F326" s="35">
        <v>940</v>
      </c>
      <c r="G326" s="35">
        <v>2423</v>
      </c>
      <c r="H326" s="35">
        <v>3815</v>
      </c>
      <c r="I326" s="35">
        <v>3115</v>
      </c>
      <c r="J326" s="36">
        <v>42016</v>
      </c>
      <c r="K326" s="37">
        <v>0.39525462962962959</v>
      </c>
      <c r="L326" s="36">
        <v>42940</v>
      </c>
      <c r="M326" s="38">
        <v>0.4583564814814815</v>
      </c>
    </row>
    <row r="327" spans="1:13" ht="30" x14ac:dyDescent="0.25">
      <c r="A327" s="33" t="s">
        <v>72</v>
      </c>
      <c r="B327" s="34" t="str">
        <f>HYPERLINK("http://www.twitter.com/UHCWLibrary", "UHCWLibrary")</f>
        <v>UHCWLibrary</v>
      </c>
      <c r="C327" s="33" t="s">
        <v>2098</v>
      </c>
      <c r="D327" s="33" t="s">
        <v>2099</v>
      </c>
      <c r="E327" s="32" t="s">
        <v>2100</v>
      </c>
      <c r="F327" s="35">
        <v>172</v>
      </c>
      <c r="G327" s="35">
        <v>378</v>
      </c>
      <c r="H327" s="35">
        <v>3503</v>
      </c>
      <c r="I327" s="35">
        <v>112</v>
      </c>
      <c r="J327" s="36">
        <v>40777</v>
      </c>
      <c r="K327" s="37">
        <v>0.32792824074074073</v>
      </c>
      <c r="L327" s="36">
        <v>42940</v>
      </c>
      <c r="M327" s="38">
        <v>0.6077893518518519</v>
      </c>
    </row>
    <row r="328" spans="1:13" ht="45" x14ac:dyDescent="0.25">
      <c r="A328" s="33" t="s">
        <v>72</v>
      </c>
      <c r="B328" s="34" t="str">
        <f>HYPERLINK("http://www.twitter.com/STHLibrarian", "STHLibrarian")</f>
        <v>STHLibrarian</v>
      </c>
      <c r="C328" s="33" t="s">
        <v>2056</v>
      </c>
      <c r="D328" s="33" t="s">
        <v>459</v>
      </c>
      <c r="E328" s="32" t="s">
        <v>2057</v>
      </c>
      <c r="F328" s="35">
        <v>382</v>
      </c>
      <c r="G328" s="35">
        <v>399</v>
      </c>
      <c r="H328" s="35">
        <v>3376</v>
      </c>
      <c r="I328" s="35">
        <v>231</v>
      </c>
      <c r="J328" s="36">
        <v>40127</v>
      </c>
      <c r="K328" s="37">
        <v>0.66763888888888889</v>
      </c>
      <c r="L328" s="36">
        <v>42940</v>
      </c>
      <c r="M328" s="38">
        <v>0.63098379629629631</v>
      </c>
    </row>
    <row r="329" spans="1:13" ht="45" x14ac:dyDescent="0.25">
      <c r="A329" s="33" t="s">
        <v>72</v>
      </c>
      <c r="B329" s="34" t="str">
        <f>HYPERLINK("http://www.twitter.com/RBHT_Library", "RBHT_Library")</f>
        <v>RBHT_Library</v>
      </c>
      <c r="C329" s="33" t="s">
        <v>1951</v>
      </c>
      <c r="D329" s="33" t="s">
        <v>1952</v>
      </c>
      <c r="E329" s="32" t="s">
        <v>1953</v>
      </c>
      <c r="F329" s="35">
        <v>398</v>
      </c>
      <c r="G329" s="35">
        <v>425</v>
      </c>
      <c r="H329" s="35">
        <v>3351</v>
      </c>
      <c r="I329" s="35">
        <v>24</v>
      </c>
      <c r="J329" s="36">
        <v>40024</v>
      </c>
      <c r="K329" s="37">
        <v>0.69074074074074077</v>
      </c>
      <c r="L329" s="36">
        <v>42933</v>
      </c>
      <c r="M329" s="38">
        <v>0.46423611111111113</v>
      </c>
    </row>
    <row r="330" spans="1:13" ht="45" x14ac:dyDescent="0.25">
      <c r="A330" s="33" t="s">
        <v>72</v>
      </c>
      <c r="B330" s="34" t="str">
        <f>HYPERLINK("http://www.twitter.com/BrightonSx_LKS", "BrightonSx_LKS")</f>
        <v>BrightonSx_LKS</v>
      </c>
      <c r="C330" s="33" t="s">
        <v>1513</v>
      </c>
      <c r="D330" s="33" t="s">
        <v>1514</v>
      </c>
      <c r="E330" s="32" t="s">
        <v>1515</v>
      </c>
      <c r="F330" s="35">
        <v>736</v>
      </c>
      <c r="G330" s="35">
        <v>761</v>
      </c>
      <c r="H330" s="35">
        <v>3179</v>
      </c>
      <c r="I330" s="35">
        <v>84</v>
      </c>
      <c r="J330" s="36">
        <v>41467</v>
      </c>
      <c r="K330" s="37">
        <v>0.54776620370370377</v>
      </c>
      <c r="L330" s="36">
        <v>42940</v>
      </c>
      <c r="M330" s="38">
        <v>0.40211805555555552</v>
      </c>
    </row>
    <row r="331" spans="1:13" ht="45" x14ac:dyDescent="0.25">
      <c r="A331" s="33" t="s">
        <v>72</v>
      </c>
      <c r="B331" s="34" t="str">
        <f>HYPERLINK("http://www.twitter.com/WarnerLibMEHT", "WarnerLibMEHT")</f>
        <v>WarnerLibMEHT</v>
      </c>
      <c r="C331" s="33" t="s">
        <v>1948</v>
      </c>
      <c r="D331" s="33" t="s">
        <v>1949</v>
      </c>
      <c r="E331" s="32" t="s">
        <v>1950</v>
      </c>
      <c r="F331" s="35">
        <v>637</v>
      </c>
      <c r="G331" s="35">
        <v>445</v>
      </c>
      <c r="H331" s="35">
        <v>2974</v>
      </c>
      <c r="I331" s="35">
        <v>204</v>
      </c>
      <c r="J331" s="36">
        <v>40563</v>
      </c>
      <c r="K331" s="37">
        <v>0.6605671296296296</v>
      </c>
      <c r="L331" s="36">
        <v>42940</v>
      </c>
      <c r="M331" s="38">
        <v>0.7257407407407408</v>
      </c>
    </row>
    <row r="332" spans="1:13" x14ac:dyDescent="0.25">
      <c r="A332" s="33" t="s">
        <v>72</v>
      </c>
      <c r="B332" s="34" t="str">
        <f>HYPERLINK("http://www.twitter.com/ncllibmed", "ncllibmed")</f>
        <v>ncllibmed</v>
      </c>
      <c r="C332" s="33" t="s">
        <v>1843</v>
      </c>
      <c r="E332" s="32" t="s">
        <v>1844</v>
      </c>
      <c r="F332" s="35">
        <v>987</v>
      </c>
      <c r="G332" s="35">
        <v>494</v>
      </c>
      <c r="H332" s="35">
        <v>2909</v>
      </c>
      <c r="I332" s="35">
        <v>533</v>
      </c>
      <c r="J332" s="36">
        <v>40735</v>
      </c>
      <c r="K332" s="37">
        <v>0.44800925925925927</v>
      </c>
      <c r="L332" s="36">
        <v>42933</v>
      </c>
      <c r="M332" s="38">
        <v>0.39423611111111106</v>
      </c>
    </row>
    <row r="333" spans="1:13" ht="60" x14ac:dyDescent="0.25">
      <c r="A333" s="33" t="s">
        <v>72</v>
      </c>
      <c r="B333" s="34" t="str">
        <f>HYPERLINK("http://www.twitter.com/neurolib", "neurolib")</f>
        <v>neurolib</v>
      </c>
      <c r="C333" s="33" t="s">
        <v>1344</v>
      </c>
      <c r="D333" s="33" t="s">
        <v>36</v>
      </c>
      <c r="E333" s="32" t="s">
        <v>1345</v>
      </c>
      <c r="F333" s="35">
        <v>329</v>
      </c>
      <c r="G333" s="35">
        <v>882</v>
      </c>
      <c r="H333" s="35">
        <v>2840</v>
      </c>
      <c r="I333" s="35">
        <v>323</v>
      </c>
      <c r="J333" s="36">
        <v>40063</v>
      </c>
      <c r="K333" s="37">
        <v>0.6622569444444445</v>
      </c>
      <c r="L333" s="36">
        <v>42936</v>
      </c>
      <c r="M333" s="38">
        <v>0.29206018518518517</v>
      </c>
    </row>
    <row r="334" spans="1:13" ht="30" x14ac:dyDescent="0.25">
      <c r="A334" s="33" t="s">
        <v>72</v>
      </c>
      <c r="B334" s="34" t="str">
        <f>HYPERLINK("http://www.twitter.com/LGTLibrary", "LGTLibrary")</f>
        <v>LGTLibrary</v>
      </c>
      <c r="C334" s="33" t="s">
        <v>2260</v>
      </c>
      <c r="D334" s="33" t="s">
        <v>36</v>
      </c>
      <c r="E334" s="32" t="s">
        <v>2261</v>
      </c>
      <c r="F334" s="35">
        <v>209</v>
      </c>
      <c r="G334" s="35">
        <v>314</v>
      </c>
      <c r="H334" s="35">
        <v>2826</v>
      </c>
      <c r="I334" s="35">
        <v>14</v>
      </c>
      <c r="J334" s="36">
        <v>40022</v>
      </c>
      <c r="K334" s="37">
        <v>0.42697916666666669</v>
      </c>
      <c r="L334" s="36">
        <v>42940</v>
      </c>
      <c r="M334" s="38">
        <v>0.63282407407407404</v>
      </c>
    </row>
    <row r="335" spans="1:13" ht="45" x14ac:dyDescent="0.25">
      <c r="A335" s="33" t="s">
        <v>72</v>
      </c>
      <c r="B335" s="34" t="str">
        <f>HYPERLINK("http://www.twitter.com/pwlibrary", "pwlibrary")</f>
        <v>pwlibrary</v>
      </c>
      <c r="C335" s="33" t="s">
        <v>1891</v>
      </c>
      <c r="D335" s="33" t="s">
        <v>1892</v>
      </c>
      <c r="E335" s="32" t="s">
        <v>1893</v>
      </c>
      <c r="F335" s="35">
        <v>264</v>
      </c>
      <c r="G335" s="35">
        <v>457</v>
      </c>
      <c r="H335" s="35">
        <v>2782</v>
      </c>
      <c r="I335" s="35">
        <v>711</v>
      </c>
      <c r="J335" s="36">
        <v>40718</v>
      </c>
      <c r="K335" s="37">
        <v>0.47929398148148145</v>
      </c>
      <c r="L335" s="36">
        <v>42937</v>
      </c>
      <c r="M335" s="38">
        <v>0.64574074074074073</v>
      </c>
    </row>
    <row r="336" spans="1:13" ht="30" x14ac:dyDescent="0.25">
      <c r="A336" s="33" t="s">
        <v>72</v>
      </c>
      <c r="B336" s="34" t="str">
        <f>HYPERLINK("http://www.twitter.com/IOWNHSLibrary", "IOWNHSLibrary")</f>
        <v>IOWNHSLibrary</v>
      </c>
      <c r="C336" s="33" t="s">
        <v>2732</v>
      </c>
      <c r="E336" s="32" t="s">
        <v>2733</v>
      </c>
      <c r="F336" s="35">
        <v>215</v>
      </c>
      <c r="G336" s="35">
        <v>188</v>
      </c>
      <c r="H336" s="35">
        <v>2760</v>
      </c>
      <c r="I336" s="35">
        <v>26</v>
      </c>
      <c r="J336" s="36">
        <v>41837</v>
      </c>
      <c r="K336" s="37">
        <v>0.47744212962962962</v>
      </c>
      <c r="L336" s="36">
        <v>42940</v>
      </c>
      <c r="M336" s="38">
        <v>0.34287037037037038</v>
      </c>
    </row>
    <row r="337" spans="1:13" ht="45" x14ac:dyDescent="0.25">
      <c r="A337" s="33" t="s">
        <v>72</v>
      </c>
      <c r="B337" s="34" t="str">
        <f>HYPERLINK("http://www.twitter.com/NUHLibrary", "NUHLibrary")</f>
        <v>NUHLibrary</v>
      </c>
      <c r="C337" s="33" t="s">
        <v>1628</v>
      </c>
      <c r="D337" s="33" t="s">
        <v>526</v>
      </c>
      <c r="E337" s="32" t="s">
        <v>1629</v>
      </c>
      <c r="F337" s="35">
        <v>623</v>
      </c>
      <c r="G337" s="35">
        <v>646</v>
      </c>
      <c r="H337" s="35">
        <v>2668</v>
      </c>
      <c r="I337" s="35">
        <v>482</v>
      </c>
      <c r="J337" s="36">
        <v>41835</v>
      </c>
      <c r="K337" s="37">
        <v>0.47443287037037035</v>
      </c>
      <c r="L337" s="36">
        <v>42940</v>
      </c>
      <c r="M337" s="38">
        <v>0.66684027777777777</v>
      </c>
    </row>
    <row r="338" spans="1:13" ht="30" x14ac:dyDescent="0.25">
      <c r="A338" s="33" t="s">
        <v>72</v>
      </c>
      <c r="B338" s="34" t="str">
        <f>HYPERLINK("http://www.twitter.com/elhtlibrary", "elhtlibrary")</f>
        <v>elhtlibrary</v>
      </c>
      <c r="C338" s="33" t="s">
        <v>2612</v>
      </c>
      <c r="D338" s="33" t="s">
        <v>2613</v>
      </c>
      <c r="E338" s="32" t="s">
        <v>2614</v>
      </c>
      <c r="F338" s="35">
        <v>222</v>
      </c>
      <c r="G338" s="35">
        <v>259</v>
      </c>
      <c r="H338" s="35">
        <v>2651</v>
      </c>
      <c r="I338" s="35">
        <v>846</v>
      </c>
      <c r="J338" s="36">
        <v>42376</v>
      </c>
      <c r="K338" s="37">
        <v>0.4755092592592593</v>
      </c>
      <c r="L338" s="36">
        <v>42940</v>
      </c>
      <c r="M338" s="38">
        <v>0.6189351851851852</v>
      </c>
    </row>
    <row r="339" spans="1:13" ht="45" x14ac:dyDescent="0.25">
      <c r="A339" s="33" t="s">
        <v>72</v>
      </c>
      <c r="B339" s="34" t="str">
        <f>HYPERLINK("http://www.twitter.com/GM_AHSN", "GM_AHSN")</f>
        <v>GM_AHSN</v>
      </c>
      <c r="C339" s="33" t="s">
        <v>320</v>
      </c>
      <c r="D339" s="33" t="s">
        <v>321</v>
      </c>
      <c r="E339" s="32" t="s">
        <v>322</v>
      </c>
      <c r="F339" s="35">
        <v>842</v>
      </c>
      <c r="G339" s="35">
        <v>3570</v>
      </c>
      <c r="H339" s="35">
        <v>2615</v>
      </c>
      <c r="I339" s="35">
        <v>349</v>
      </c>
      <c r="J339" s="36">
        <v>41129</v>
      </c>
      <c r="K339" s="37">
        <v>0.43403935185185188</v>
      </c>
      <c r="L339" s="36">
        <v>42940</v>
      </c>
      <c r="M339" s="38">
        <v>0.6672569444444445</v>
      </c>
    </row>
    <row r="340" spans="1:13" ht="60" x14ac:dyDescent="0.25">
      <c r="A340" s="33" t="s">
        <v>72</v>
      </c>
      <c r="B340" s="34" t="str">
        <f>HYPERLINK("http://www.twitter.com/TheStaffLibrary", "TheStaffLibrary")</f>
        <v>TheStaffLibrary</v>
      </c>
      <c r="C340" s="33" t="s">
        <v>2257</v>
      </c>
      <c r="D340" s="33" t="s">
        <v>2258</v>
      </c>
      <c r="E340" s="32" t="s">
        <v>2259</v>
      </c>
      <c r="F340" s="35">
        <v>196</v>
      </c>
      <c r="G340" s="35">
        <v>319</v>
      </c>
      <c r="H340" s="35">
        <v>2506</v>
      </c>
      <c r="I340" s="35">
        <v>156</v>
      </c>
      <c r="J340" s="36">
        <v>41037</v>
      </c>
      <c r="K340" s="37">
        <v>0.41625000000000001</v>
      </c>
      <c r="L340" s="36">
        <v>42937</v>
      </c>
      <c r="M340" s="38">
        <v>0.34138888888888891</v>
      </c>
    </row>
    <row r="341" spans="1:13" ht="30" x14ac:dyDescent="0.25">
      <c r="A341" s="33" t="s">
        <v>72</v>
      </c>
      <c r="B341" s="34" t="str">
        <f>HYPERLINK("http://www.twitter.com/LibraryCRH", "LibraryCRH")</f>
        <v>LibraryCRH</v>
      </c>
      <c r="C341" s="33" t="s">
        <v>1754</v>
      </c>
      <c r="D341" s="33" t="s">
        <v>1755</v>
      </c>
      <c r="E341" s="32" t="s">
        <v>1756</v>
      </c>
      <c r="F341" s="35">
        <v>488</v>
      </c>
      <c r="G341" s="35">
        <v>530</v>
      </c>
      <c r="H341" s="35">
        <v>2473</v>
      </c>
      <c r="I341" s="35">
        <v>172</v>
      </c>
      <c r="J341" s="36">
        <v>41494</v>
      </c>
      <c r="K341" s="37">
        <v>0.44107638888888889</v>
      </c>
      <c r="L341" s="36">
        <v>42934</v>
      </c>
      <c r="M341" s="38">
        <v>0.60148148148148151</v>
      </c>
    </row>
    <row r="342" spans="1:13" ht="45" x14ac:dyDescent="0.25">
      <c r="A342" s="33" t="s">
        <v>72</v>
      </c>
      <c r="B342" s="34" t="str">
        <f>HYPERLINK("http://www.twitter.com/RotherhamNHSLib", "RotherhamNHSLib")</f>
        <v>RotherhamNHSLib</v>
      </c>
      <c r="C342" s="33" t="s">
        <v>1910</v>
      </c>
      <c r="D342" s="33" t="s">
        <v>299</v>
      </c>
      <c r="E342" s="32" t="s">
        <v>1911</v>
      </c>
      <c r="F342" s="35">
        <v>410</v>
      </c>
      <c r="G342" s="35">
        <v>457</v>
      </c>
      <c r="H342" s="35">
        <v>2440</v>
      </c>
      <c r="I342" s="35">
        <v>51</v>
      </c>
      <c r="J342" s="36">
        <v>41299</v>
      </c>
      <c r="K342" s="37">
        <v>0.61325231481481479</v>
      </c>
      <c r="L342" s="36">
        <v>42940</v>
      </c>
      <c r="M342" s="38">
        <v>0.63840277777777776</v>
      </c>
    </row>
    <row r="343" spans="1:13" ht="30" x14ac:dyDescent="0.25">
      <c r="A343" s="33" t="s">
        <v>72</v>
      </c>
      <c r="B343" s="34" t="str">
        <f>HYPERLINK("http://www.twitter.com/Knowledge_GMMH", "Knowledge_GMMH")</f>
        <v>Knowledge_GMMH</v>
      </c>
      <c r="C343" s="33" t="s">
        <v>1616</v>
      </c>
      <c r="D343" s="33" t="s">
        <v>3728</v>
      </c>
      <c r="E343" s="32" t="s">
        <v>1618</v>
      </c>
      <c r="F343" s="35">
        <v>783</v>
      </c>
      <c r="G343" s="35">
        <v>664</v>
      </c>
      <c r="H343" s="35">
        <v>2252</v>
      </c>
      <c r="I343" s="35">
        <v>331</v>
      </c>
      <c r="J343" s="36">
        <v>41855</v>
      </c>
      <c r="K343" s="37">
        <v>0.59809027777777779</v>
      </c>
      <c r="L343" s="36">
        <v>42940</v>
      </c>
      <c r="M343" s="38">
        <v>0.41032407407407406</v>
      </c>
    </row>
    <row r="344" spans="1:13" ht="45" x14ac:dyDescent="0.25">
      <c r="A344" s="33" t="s">
        <v>72</v>
      </c>
      <c r="B344" s="34" t="str">
        <f>HYPERLINK("http://www.twitter.com/PepperellEdC", "PepperellEdC")</f>
        <v>PepperellEdC</v>
      </c>
      <c r="C344" s="33" t="s">
        <v>1767</v>
      </c>
      <c r="D344" s="33" t="s">
        <v>122</v>
      </c>
      <c r="E344" s="32" t="s">
        <v>1768</v>
      </c>
      <c r="F344" s="35">
        <v>736</v>
      </c>
      <c r="G344" s="35">
        <v>533</v>
      </c>
      <c r="H344" s="35">
        <v>2236</v>
      </c>
      <c r="I344" s="35">
        <v>1303</v>
      </c>
      <c r="J344" s="36">
        <v>40114</v>
      </c>
      <c r="K344" s="37">
        <v>0.71625000000000005</v>
      </c>
      <c r="L344" s="36">
        <v>42936</v>
      </c>
      <c r="M344" s="38">
        <v>0.80594907407407401</v>
      </c>
    </row>
    <row r="345" spans="1:13" ht="45" x14ac:dyDescent="0.25">
      <c r="A345" s="33" t="s">
        <v>72</v>
      </c>
      <c r="B345" s="34" t="str">
        <f>HYPERLINK("http://www.twitter.com/BSO_Library", "BSO_Library")</f>
        <v>BSO_Library</v>
      </c>
      <c r="C345" s="33" t="s">
        <v>2115</v>
      </c>
      <c r="E345" s="32" t="s">
        <v>2116</v>
      </c>
      <c r="F345" s="35">
        <v>15</v>
      </c>
      <c r="G345" s="35">
        <v>364</v>
      </c>
      <c r="H345" s="35">
        <v>2122</v>
      </c>
      <c r="I345" s="35">
        <v>55</v>
      </c>
      <c r="J345" s="36">
        <v>41353</v>
      </c>
      <c r="K345" s="37">
        <v>0.4841435185185185</v>
      </c>
      <c r="L345" s="36">
        <v>42930</v>
      </c>
      <c r="M345" s="38">
        <v>0.49936342592592592</v>
      </c>
    </row>
    <row r="346" spans="1:13" ht="45" x14ac:dyDescent="0.25">
      <c r="A346" s="33" t="s">
        <v>72</v>
      </c>
      <c r="B346" s="34" t="str">
        <f>HYPERLINK("http://www.twitter.com/BTHFTLibrary", "BTHFTLibrary")</f>
        <v>BTHFTLibrary</v>
      </c>
      <c r="C346" s="33" t="s">
        <v>2035</v>
      </c>
      <c r="D346" s="33" t="s">
        <v>2036</v>
      </c>
      <c r="E346" s="32" t="s">
        <v>2037</v>
      </c>
      <c r="F346" s="35">
        <v>339</v>
      </c>
      <c r="G346" s="35">
        <v>409</v>
      </c>
      <c r="H346" s="35">
        <v>2042</v>
      </c>
      <c r="I346" s="35">
        <v>481</v>
      </c>
      <c r="J346" s="36">
        <v>41850</v>
      </c>
      <c r="K346" s="37">
        <v>0.32611111111111107</v>
      </c>
      <c r="L346" s="36">
        <v>42937</v>
      </c>
      <c r="M346" s="38">
        <v>0.57186342592592598</v>
      </c>
    </row>
    <row r="347" spans="1:13" ht="30" x14ac:dyDescent="0.25">
      <c r="A347" s="33" t="s">
        <v>72</v>
      </c>
      <c r="B347" s="34" t="str">
        <f>HYPERLINK("http://www.twitter.com/UHLCL", "UHLCL")</f>
        <v>UHLCL</v>
      </c>
      <c r="C347" s="33" t="s">
        <v>1225</v>
      </c>
      <c r="D347" s="33" t="s">
        <v>1226</v>
      </c>
      <c r="E347" s="32" t="s">
        <v>1227</v>
      </c>
      <c r="F347" s="35">
        <v>1666</v>
      </c>
      <c r="G347" s="35">
        <v>1007</v>
      </c>
      <c r="H347" s="35">
        <v>1800</v>
      </c>
      <c r="I347" s="35">
        <v>668</v>
      </c>
      <c r="J347" s="36">
        <v>41715</v>
      </c>
      <c r="K347" s="37">
        <v>0.66214120370370366</v>
      </c>
      <c r="L347" s="36">
        <v>42937</v>
      </c>
      <c r="M347" s="38">
        <v>0.38620370370370366</v>
      </c>
    </row>
    <row r="348" spans="1:13" ht="30" x14ac:dyDescent="0.25">
      <c r="A348" s="33" t="s">
        <v>72</v>
      </c>
      <c r="B348" s="34" t="str">
        <f>HYPERLINK("http://www.twitter.com/NLPHEngland", "NLPHEngland")</f>
        <v>NLPHEngland</v>
      </c>
      <c r="C348" s="33" t="s">
        <v>662</v>
      </c>
      <c r="D348" s="33" t="s">
        <v>663</v>
      </c>
      <c r="E348" s="32" t="s">
        <v>664</v>
      </c>
      <c r="F348" s="35">
        <v>99</v>
      </c>
      <c r="G348" s="35">
        <v>1980</v>
      </c>
      <c r="H348" s="35">
        <v>1745</v>
      </c>
      <c r="I348" s="35">
        <v>12</v>
      </c>
      <c r="J348" s="36">
        <v>40147</v>
      </c>
      <c r="K348" s="37">
        <v>0.6831018518518519</v>
      </c>
      <c r="L348" s="36">
        <v>40997</v>
      </c>
      <c r="M348" s="38">
        <v>0.46106481481481482</v>
      </c>
    </row>
    <row r="349" spans="1:13" ht="45" x14ac:dyDescent="0.25">
      <c r="A349" s="33" t="s">
        <v>72</v>
      </c>
      <c r="B349" s="34" t="str">
        <f>HYPERLINK("http://www.twitter.com/NSFTlibrary", "NSFTlibrary")</f>
        <v>NSFTlibrary</v>
      </c>
      <c r="C349" s="33" t="s">
        <v>2212</v>
      </c>
      <c r="D349" s="33" t="s">
        <v>2213</v>
      </c>
      <c r="E349" s="32" t="s">
        <v>2214</v>
      </c>
      <c r="F349" s="35">
        <v>187</v>
      </c>
      <c r="G349" s="35">
        <v>326</v>
      </c>
      <c r="H349" s="35">
        <v>1673</v>
      </c>
      <c r="I349" s="35">
        <v>993</v>
      </c>
      <c r="J349" s="36">
        <v>41598</v>
      </c>
      <c r="K349" s="37">
        <v>0.62034722222222227</v>
      </c>
      <c r="L349" s="36">
        <v>42937</v>
      </c>
      <c r="M349" s="38">
        <v>0.79114583333333333</v>
      </c>
    </row>
    <row r="350" spans="1:13" ht="45" x14ac:dyDescent="0.25">
      <c r="A350" s="33" t="s">
        <v>72</v>
      </c>
      <c r="B350" s="34" t="str">
        <f>HYPERLINK("http://www.twitter.com/SONHSLKS", "SONHSLKS")</f>
        <v>SONHSLKS</v>
      </c>
      <c r="C350" s="33" t="s">
        <v>2058</v>
      </c>
      <c r="D350" s="33" t="s">
        <v>2059</v>
      </c>
      <c r="E350" s="32" t="s">
        <v>2060</v>
      </c>
      <c r="F350" s="35">
        <v>563</v>
      </c>
      <c r="G350" s="35">
        <v>385</v>
      </c>
      <c r="H350" s="35">
        <v>1653</v>
      </c>
      <c r="I350" s="35">
        <v>383</v>
      </c>
      <c r="J350" s="36">
        <v>41473</v>
      </c>
      <c r="K350" s="37">
        <v>0.46292824074074074</v>
      </c>
      <c r="L350" s="36">
        <v>42927</v>
      </c>
      <c r="M350" s="38">
        <v>0.33961805555555552</v>
      </c>
    </row>
    <row r="351" spans="1:13" ht="45" x14ac:dyDescent="0.25">
      <c r="A351" s="33" t="s">
        <v>72</v>
      </c>
      <c r="B351" s="34" t="str">
        <f>HYPERLINK("http://www.twitter.com/CNWLlibraries", "CNWLlibraries")</f>
        <v>CNWLlibraries</v>
      </c>
      <c r="C351" s="33" t="s">
        <v>2247</v>
      </c>
      <c r="D351" s="33" t="s">
        <v>2248</v>
      </c>
      <c r="E351" s="32" t="s">
        <v>2249</v>
      </c>
      <c r="F351" s="35">
        <v>737</v>
      </c>
      <c r="G351" s="35">
        <v>313</v>
      </c>
      <c r="H351" s="35">
        <v>1633</v>
      </c>
      <c r="I351" s="35">
        <v>782</v>
      </c>
      <c r="J351" s="36">
        <v>42256</v>
      </c>
      <c r="K351" s="37">
        <v>0.50663194444444448</v>
      </c>
      <c r="L351" s="36">
        <v>42940</v>
      </c>
      <c r="M351" s="38">
        <v>0.49684027777777778</v>
      </c>
    </row>
    <row r="352" spans="1:13" x14ac:dyDescent="0.25">
      <c r="A352" s="33" t="s">
        <v>72</v>
      </c>
      <c r="B352" s="34" t="str">
        <f>HYPERLINK("http://www.twitter.com/ChristieLibrary", "ChristieLibrary")</f>
        <v>ChristieLibrary</v>
      </c>
      <c r="C352" s="33" t="s">
        <v>2606</v>
      </c>
      <c r="D352" s="33" t="s">
        <v>33</v>
      </c>
      <c r="F352" s="35">
        <v>221</v>
      </c>
      <c r="G352" s="35">
        <v>233</v>
      </c>
      <c r="H352" s="35">
        <v>1600</v>
      </c>
      <c r="I352" s="35">
        <v>81</v>
      </c>
      <c r="J352" s="36">
        <v>42184</v>
      </c>
      <c r="K352" s="37">
        <v>0.58591435185185181</v>
      </c>
      <c r="L352" s="36">
        <v>42940</v>
      </c>
      <c r="M352" s="38">
        <v>0.52069444444444446</v>
      </c>
    </row>
    <row r="353" spans="1:13" ht="45" x14ac:dyDescent="0.25">
      <c r="A353" s="33" t="s">
        <v>72</v>
      </c>
      <c r="B353" s="34" t="str">
        <f>HYPERLINK("http://www.twitter.com/KeyllDarree", "KeyllDarree")</f>
        <v>KeyllDarree</v>
      </c>
      <c r="C353" s="33" t="s">
        <v>2640</v>
      </c>
      <c r="D353" s="33" t="s">
        <v>2641</v>
      </c>
      <c r="E353" s="32" t="s">
        <v>2642</v>
      </c>
      <c r="F353" s="35">
        <v>123</v>
      </c>
      <c r="G353" s="35">
        <v>219</v>
      </c>
      <c r="H353" s="35">
        <v>1597</v>
      </c>
      <c r="I353" s="35">
        <v>104</v>
      </c>
      <c r="J353" s="36">
        <v>41813</v>
      </c>
      <c r="K353" s="37">
        <v>0.65230324074074075</v>
      </c>
      <c r="L353" s="36">
        <v>42936</v>
      </c>
      <c r="M353" s="38">
        <v>0.65204861111111112</v>
      </c>
    </row>
    <row r="354" spans="1:13" ht="30" x14ac:dyDescent="0.25">
      <c r="A354" s="33" t="s">
        <v>72</v>
      </c>
      <c r="B354" s="34" t="str">
        <f>HYPERLINK("http://www.twitter.com/iSkillsTavi", "iSkillsTavi")</f>
        <v>iSkillsTavi</v>
      </c>
      <c r="C354" s="33" t="s">
        <v>2392</v>
      </c>
      <c r="D354" s="33" t="s">
        <v>36</v>
      </c>
      <c r="E354" s="32" t="s">
        <v>2393</v>
      </c>
      <c r="F354" s="35">
        <v>499</v>
      </c>
      <c r="G354" s="35">
        <v>265</v>
      </c>
      <c r="H354" s="35">
        <v>1532</v>
      </c>
      <c r="I354" s="35">
        <v>68</v>
      </c>
      <c r="J354" s="36">
        <v>41667</v>
      </c>
      <c r="K354" s="37">
        <v>0.60945601851851849</v>
      </c>
      <c r="L354" s="36">
        <v>42921</v>
      </c>
      <c r="M354" s="38">
        <v>0.63420138888888888</v>
      </c>
    </row>
    <row r="355" spans="1:13" ht="45" x14ac:dyDescent="0.25">
      <c r="A355" s="33" t="s">
        <v>72</v>
      </c>
      <c r="B355" s="34" t="str">
        <f>HYPERLINK("http://www.twitter.com/LCH_Library", "LCH_Library")</f>
        <v>LCH_Library</v>
      </c>
      <c r="C355" s="33" t="s">
        <v>1912</v>
      </c>
      <c r="D355" s="33" t="s">
        <v>93</v>
      </c>
      <c r="E355" s="32" t="s">
        <v>1913</v>
      </c>
      <c r="F355" s="35">
        <v>832</v>
      </c>
      <c r="G355" s="35">
        <v>507</v>
      </c>
      <c r="H355" s="35">
        <v>1532</v>
      </c>
      <c r="I355" s="35">
        <v>2114</v>
      </c>
      <c r="J355" s="36">
        <v>41899</v>
      </c>
      <c r="K355" s="37">
        <v>0.32644675925925926</v>
      </c>
      <c r="L355" s="36">
        <v>42940</v>
      </c>
      <c r="M355" s="38">
        <v>0.45401620370370371</v>
      </c>
    </row>
    <row r="356" spans="1:13" ht="45" x14ac:dyDescent="0.25">
      <c r="A356" s="33" t="s">
        <v>72</v>
      </c>
      <c r="B356" s="34" t="str">
        <f>HYPERLINK("http://www.twitter.com/SSSFTLiA", "SSSFTLiA")</f>
        <v>SSSFTLiA</v>
      </c>
      <c r="C356" s="33" t="s">
        <v>2607</v>
      </c>
      <c r="D356" s="33" t="s">
        <v>2608</v>
      </c>
      <c r="E356" s="32" t="s">
        <v>2609</v>
      </c>
      <c r="F356" s="35">
        <v>319</v>
      </c>
      <c r="G356" s="35">
        <v>223</v>
      </c>
      <c r="H356" s="35">
        <v>1503</v>
      </c>
      <c r="I356" s="35">
        <v>1332</v>
      </c>
      <c r="J356" s="36">
        <v>42194</v>
      </c>
      <c r="K356" s="37">
        <v>0.36179398148148145</v>
      </c>
      <c r="L356" s="36">
        <v>42940</v>
      </c>
      <c r="M356" s="38">
        <v>0.27545138888888893</v>
      </c>
    </row>
    <row r="357" spans="1:13" ht="30" x14ac:dyDescent="0.25">
      <c r="A357" s="33" t="s">
        <v>72</v>
      </c>
      <c r="B357" s="34" t="str">
        <f>HYPERLINK("http://www.twitter.com/QEHKLlib", "QEHKLlib")</f>
        <v>QEHKLlib</v>
      </c>
      <c r="C357" s="33" t="s">
        <v>2179</v>
      </c>
      <c r="D357" s="33" t="s">
        <v>2180</v>
      </c>
      <c r="E357" s="32" t="s">
        <v>2181</v>
      </c>
      <c r="F357" s="35">
        <v>379</v>
      </c>
      <c r="G357" s="35">
        <v>356</v>
      </c>
      <c r="H357" s="35">
        <v>1452</v>
      </c>
      <c r="I357" s="35">
        <v>842</v>
      </c>
      <c r="J357" s="36">
        <v>41284</v>
      </c>
      <c r="K357" s="37">
        <v>0.50943287037037044</v>
      </c>
      <c r="L357" s="36">
        <v>42937</v>
      </c>
      <c r="M357" s="38">
        <v>0.64841435185185181</v>
      </c>
    </row>
    <row r="358" spans="1:13" ht="45" x14ac:dyDescent="0.25">
      <c r="A358" s="33" t="s">
        <v>72</v>
      </c>
      <c r="B358" s="34" t="str">
        <f>HYPERLINK("http://www.twitter.com/UHMBTLibrary", "UHMBTLibrary")</f>
        <v>UHMBTLibrary</v>
      </c>
      <c r="C358" s="33" t="s">
        <v>2038</v>
      </c>
      <c r="E358" s="32" t="s">
        <v>2039</v>
      </c>
      <c r="F358" s="35">
        <v>288</v>
      </c>
      <c r="G358" s="35">
        <v>411</v>
      </c>
      <c r="H358" s="35">
        <v>1425</v>
      </c>
      <c r="I358" s="35">
        <v>793</v>
      </c>
      <c r="J358" s="36">
        <v>42083</v>
      </c>
      <c r="K358" s="37">
        <v>0.62335648148148148</v>
      </c>
      <c r="L358" s="36">
        <v>42940</v>
      </c>
      <c r="M358" s="38">
        <v>0.58408564814814812</v>
      </c>
    </row>
    <row r="359" spans="1:13" ht="30" x14ac:dyDescent="0.25">
      <c r="A359" s="33" t="s">
        <v>72</v>
      </c>
      <c r="B359" s="34" t="str">
        <f>HYPERLINK("http://www.twitter.com/sathlibraries", "sathlibraries")</f>
        <v>sathlibraries</v>
      </c>
      <c r="C359" s="33" t="s">
        <v>2184</v>
      </c>
      <c r="D359" s="33" t="s">
        <v>2185</v>
      </c>
      <c r="E359" s="32" t="s">
        <v>2186</v>
      </c>
      <c r="F359" s="35">
        <v>210</v>
      </c>
      <c r="G359" s="35">
        <v>347</v>
      </c>
      <c r="H359" s="35">
        <v>1366</v>
      </c>
      <c r="I359" s="35">
        <v>159</v>
      </c>
      <c r="J359" s="36">
        <v>40931</v>
      </c>
      <c r="K359" s="37">
        <v>0.68936342592592592</v>
      </c>
      <c r="L359" s="36">
        <v>42930</v>
      </c>
      <c r="M359" s="38">
        <v>0.40412037037037035</v>
      </c>
    </row>
    <row r="360" spans="1:13" ht="45" x14ac:dyDescent="0.25">
      <c r="A360" s="33" t="s">
        <v>72</v>
      </c>
      <c r="B360" s="34" t="str">
        <f>HYPERLINK("http://www.twitter.com/smallwoodlib", "smallwoodlib")</f>
        <v>smallwoodlib</v>
      </c>
      <c r="C360" s="33" t="s">
        <v>2250</v>
      </c>
      <c r="D360" s="33" t="s">
        <v>310</v>
      </c>
      <c r="E360" s="32" t="s">
        <v>2251</v>
      </c>
      <c r="F360" s="35">
        <v>382</v>
      </c>
      <c r="G360" s="35">
        <v>316</v>
      </c>
      <c r="H360" s="35">
        <v>1320</v>
      </c>
      <c r="I360" s="35">
        <v>466</v>
      </c>
      <c r="J360" s="36">
        <v>41702</v>
      </c>
      <c r="K360" s="37">
        <v>0.48972222222222223</v>
      </c>
      <c r="L360" s="36">
        <v>42937</v>
      </c>
      <c r="M360" s="38">
        <v>0.32841435185185186</v>
      </c>
    </row>
    <row r="361" spans="1:13" ht="45" x14ac:dyDescent="0.25">
      <c r="A361" s="33" t="s">
        <v>72</v>
      </c>
      <c r="B361" s="34" t="str">
        <f>HYPERLINK("http://www.twitter.com/PAT_Libraries", "PAT_Libraries")</f>
        <v>PAT_Libraries</v>
      </c>
      <c r="C361" s="33" t="s">
        <v>2027</v>
      </c>
      <c r="D361" s="33" t="s">
        <v>33</v>
      </c>
      <c r="E361" s="32" t="s">
        <v>2028</v>
      </c>
      <c r="F361" s="35">
        <v>395</v>
      </c>
      <c r="G361" s="35">
        <v>406</v>
      </c>
      <c r="H361" s="35">
        <v>1274</v>
      </c>
      <c r="I361" s="35">
        <v>65</v>
      </c>
      <c r="J361" s="36">
        <v>40911</v>
      </c>
      <c r="K361" s="37">
        <v>0.45445601851851852</v>
      </c>
      <c r="L361" s="36">
        <v>42940</v>
      </c>
      <c r="M361" s="38">
        <v>0.52629629629629626</v>
      </c>
    </row>
    <row r="362" spans="1:13" ht="30" x14ac:dyDescent="0.25">
      <c r="A362" s="33" t="s">
        <v>72</v>
      </c>
      <c r="B362" s="34" t="str">
        <f>HYPERLINK("http://www.twitter.com/DHFTLibrary", "DHFTLibrary")</f>
        <v>DHFTLibrary</v>
      </c>
      <c r="C362" s="33" t="s">
        <v>1990</v>
      </c>
      <c r="D362" s="33" t="s">
        <v>1991</v>
      </c>
      <c r="E362" s="32" t="s">
        <v>1992</v>
      </c>
      <c r="F362" s="35">
        <v>538</v>
      </c>
      <c r="G362" s="35">
        <v>421</v>
      </c>
      <c r="H362" s="35">
        <v>1269</v>
      </c>
      <c r="I362" s="35">
        <v>217</v>
      </c>
      <c r="J362" s="36">
        <v>41495</v>
      </c>
      <c r="K362" s="37">
        <v>0.38434027777777779</v>
      </c>
      <c r="L362" s="36">
        <v>42940</v>
      </c>
      <c r="M362" s="38">
        <v>0.47168981481481481</v>
      </c>
    </row>
    <row r="363" spans="1:13" ht="30" x14ac:dyDescent="0.25">
      <c r="A363" s="33" t="s">
        <v>72</v>
      </c>
      <c r="B363" s="34" t="str">
        <f>HYPERLINK("http://www.twitter.com/UKMCL", "UKMCL")</f>
        <v>UKMCL</v>
      </c>
      <c r="C363" s="33" t="s">
        <v>2931</v>
      </c>
      <c r="D363" s="33" t="s">
        <v>2932</v>
      </c>
      <c r="E363" s="32" t="s">
        <v>2933</v>
      </c>
      <c r="F363" s="35">
        <v>90</v>
      </c>
      <c r="G363" s="35">
        <v>154</v>
      </c>
      <c r="H363" s="35">
        <v>1267</v>
      </c>
      <c r="I363" s="35">
        <v>7</v>
      </c>
      <c r="J363" s="36">
        <v>40162</v>
      </c>
      <c r="K363" s="37">
        <v>0.61804398148148143</v>
      </c>
      <c r="L363" s="36">
        <v>42839</v>
      </c>
      <c r="M363" s="38">
        <v>0.55599537037037039</v>
      </c>
    </row>
    <row r="364" spans="1:13" ht="45" x14ac:dyDescent="0.25">
      <c r="A364" s="33" t="s">
        <v>72</v>
      </c>
      <c r="B364" s="34" t="str">
        <f>HYPERLINK("http://www.twitter.com/NNUH_Library", "NNUH_Library")</f>
        <v>NNUH_Library</v>
      </c>
      <c r="C364" s="33" t="s">
        <v>2791</v>
      </c>
      <c r="D364" s="33" t="s">
        <v>2792</v>
      </c>
      <c r="E364" s="32" t="s">
        <v>2793</v>
      </c>
      <c r="F364" s="35">
        <v>42</v>
      </c>
      <c r="G364" s="35">
        <v>184</v>
      </c>
      <c r="H364" s="35">
        <v>1248</v>
      </c>
      <c r="I364" s="35">
        <v>275</v>
      </c>
      <c r="J364" s="36">
        <v>42117</v>
      </c>
      <c r="K364" s="37">
        <v>0.62791666666666668</v>
      </c>
      <c r="L364" s="36">
        <v>42940</v>
      </c>
      <c r="M364" s="38">
        <v>0.65243055555555551</v>
      </c>
    </row>
    <row r="365" spans="1:13" x14ac:dyDescent="0.25">
      <c r="A365" s="33" t="s">
        <v>72</v>
      </c>
      <c r="B365" s="34" t="str">
        <f>HYPERLINK("http://www.twitter.com/COCHLibrary", "COCHLibrary")</f>
        <v>COCHLibrary</v>
      </c>
      <c r="C365" s="33" t="s">
        <v>2394</v>
      </c>
      <c r="D365" s="33" t="s">
        <v>2395</v>
      </c>
      <c r="E365" s="32" t="s">
        <v>2396</v>
      </c>
      <c r="F365" s="35">
        <v>323</v>
      </c>
      <c r="G365" s="35">
        <v>276</v>
      </c>
      <c r="H365" s="35">
        <v>1202</v>
      </c>
      <c r="I365" s="35">
        <v>351</v>
      </c>
      <c r="J365" s="36">
        <v>41674</v>
      </c>
      <c r="K365" s="37">
        <v>0.38243055555555555</v>
      </c>
      <c r="L365" s="36">
        <v>42940</v>
      </c>
      <c r="M365" s="38">
        <v>0.52422453703703698</v>
      </c>
    </row>
    <row r="366" spans="1:13" ht="30" x14ac:dyDescent="0.25">
      <c r="A366" s="33" t="s">
        <v>72</v>
      </c>
      <c r="B366" s="34" t="str">
        <f>HYPERLINK("http://www.twitter.com/OHFTLib", "OHFTLib")</f>
        <v>OHFTLib</v>
      </c>
      <c r="C366" s="33" t="s">
        <v>2486</v>
      </c>
      <c r="D366" s="33" t="s">
        <v>12</v>
      </c>
      <c r="E366" s="32" t="s">
        <v>2487</v>
      </c>
      <c r="F366" s="35">
        <v>307</v>
      </c>
      <c r="G366" s="35">
        <v>266</v>
      </c>
      <c r="H366" s="35">
        <v>1197</v>
      </c>
      <c r="I366" s="35">
        <v>200</v>
      </c>
      <c r="J366" s="36">
        <v>42229</v>
      </c>
      <c r="K366" s="37">
        <v>0.44843749999999999</v>
      </c>
      <c r="L366" s="36">
        <v>42939</v>
      </c>
      <c r="M366" s="38">
        <v>0.78721064814814812</v>
      </c>
    </row>
    <row r="367" spans="1:13" x14ac:dyDescent="0.25">
      <c r="A367" s="33" t="s">
        <v>72</v>
      </c>
      <c r="B367" s="34" t="str">
        <f>HYPERLINK("http://www.twitter.com/mtwnhslibrary", "mtwnhslibrary")</f>
        <v>mtwnhslibrary</v>
      </c>
      <c r="C367" s="33" t="s">
        <v>2043</v>
      </c>
      <c r="D367" s="33" t="s">
        <v>2044</v>
      </c>
      <c r="E367" s="32" t="s">
        <v>2045</v>
      </c>
      <c r="F367" s="35">
        <v>708</v>
      </c>
      <c r="G367" s="35">
        <v>414</v>
      </c>
      <c r="H367" s="35">
        <v>1184</v>
      </c>
      <c r="I367" s="35">
        <v>1049</v>
      </c>
      <c r="J367" s="36">
        <v>40305</v>
      </c>
      <c r="K367" s="37">
        <v>0.40511574074074069</v>
      </c>
      <c r="L367" s="36">
        <v>42940</v>
      </c>
      <c r="M367" s="38">
        <v>0.61798611111111112</v>
      </c>
    </row>
    <row r="368" spans="1:13" ht="45" x14ac:dyDescent="0.25">
      <c r="A368" s="33" t="s">
        <v>72</v>
      </c>
      <c r="B368" s="34" t="str">
        <f>HYPERLINK("http://www.twitter.com/impmedlib", "impmedlib")</f>
        <v>impmedlib</v>
      </c>
      <c r="C368" s="33" t="s">
        <v>2553</v>
      </c>
      <c r="D368" s="33" t="s">
        <v>2554</v>
      </c>
      <c r="E368" s="32" t="s">
        <v>2555</v>
      </c>
      <c r="F368" s="35">
        <v>331</v>
      </c>
      <c r="G368" s="35">
        <v>241</v>
      </c>
      <c r="H368" s="35">
        <v>1163</v>
      </c>
      <c r="I368" s="35">
        <v>111</v>
      </c>
      <c r="J368" s="36">
        <v>42040</v>
      </c>
      <c r="K368" s="37">
        <v>0.65736111111111117</v>
      </c>
      <c r="L368" s="36">
        <v>42940</v>
      </c>
      <c r="M368" s="38">
        <v>0.60863425925925929</v>
      </c>
    </row>
    <row r="369" spans="1:13" ht="45" x14ac:dyDescent="0.25">
      <c r="A369" s="33" t="s">
        <v>72</v>
      </c>
      <c r="B369" s="34" t="str">
        <f>HYPERLINK("http://www.twitter.com/NHSAAALibrary", "NHSAAALibrary")</f>
        <v>NHSAAALibrary</v>
      </c>
      <c r="C369" s="33" t="s">
        <v>2231</v>
      </c>
      <c r="D369" s="33" t="s">
        <v>2232</v>
      </c>
      <c r="E369" s="32" t="s">
        <v>2233</v>
      </c>
      <c r="F369" s="35">
        <v>198</v>
      </c>
      <c r="G369" s="35">
        <v>326</v>
      </c>
      <c r="H369" s="35">
        <v>1144</v>
      </c>
      <c r="I369" s="35">
        <v>146</v>
      </c>
      <c r="J369" s="36">
        <v>41803</v>
      </c>
      <c r="K369" s="37">
        <v>0.35498842592592594</v>
      </c>
      <c r="L369" s="36">
        <v>42937</v>
      </c>
      <c r="M369" s="38">
        <v>0.57030092592592596</v>
      </c>
    </row>
    <row r="370" spans="1:13" ht="45" x14ac:dyDescent="0.25">
      <c r="A370" s="33" t="s">
        <v>72</v>
      </c>
      <c r="B370" s="34" t="str">
        <f>HYPERLINK("http://www.twitter.com/cuhealthliby", "cuhealthliby")</f>
        <v>cuhealthliby</v>
      </c>
      <c r="C370" s="33" t="s">
        <v>1292</v>
      </c>
      <c r="E370" s="32" t="s">
        <v>1293</v>
      </c>
      <c r="F370" s="35">
        <v>325</v>
      </c>
      <c r="G370" s="35">
        <v>921</v>
      </c>
      <c r="H370" s="35">
        <v>1142</v>
      </c>
      <c r="I370" s="35">
        <v>113</v>
      </c>
      <c r="J370" s="36">
        <v>40813</v>
      </c>
      <c r="K370" s="37">
        <v>0.39560185185185182</v>
      </c>
      <c r="L370" s="36">
        <v>42933</v>
      </c>
      <c r="M370" s="38">
        <v>0.43141203703703707</v>
      </c>
    </row>
    <row r="371" spans="1:13" ht="45" x14ac:dyDescent="0.25">
      <c r="A371" s="33" t="s">
        <v>72</v>
      </c>
      <c r="B371" s="34" t="str">
        <f>HYPERLINK("http://www.twitter.com/nhsggclibrary", "nhsggclibrary")</f>
        <v>nhsggclibrary</v>
      </c>
      <c r="C371" s="33" t="s">
        <v>2172</v>
      </c>
      <c r="D371" s="33" t="s">
        <v>318</v>
      </c>
      <c r="E371" s="32" t="s">
        <v>2173</v>
      </c>
      <c r="F371" s="35">
        <v>537</v>
      </c>
      <c r="G371" s="35">
        <v>377</v>
      </c>
      <c r="H371" s="35">
        <v>1118</v>
      </c>
      <c r="I371" s="35">
        <v>335</v>
      </c>
      <c r="J371" s="36">
        <v>42286</v>
      </c>
      <c r="K371" s="37">
        <v>0.55718750000000006</v>
      </c>
      <c r="L371" s="36">
        <v>42940</v>
      </c>
      <c r="M371" s="38">
        <v>0.60234953703703698</v>
      </c>
    </row>
    <row r="372" spans="1:13" ht="45" x14ac:dyDescent="0.25">
      <c r="A372" s="33" t="s">
        <v>72</v>
      </c>
      <c r="B372" s="34" t="str">
        <f>HYPERLINK("http://www.twitter.com/behlibrary", "behlibrary")</f>
        <v>behlibrary</v>
      </c>
      <c r="C372" s="33" t="s">
        <v>2515</v>
      </c>
      <c r="D372" s="33" t="s">
        <v>36</v>
      </c>
      <c r="E372" s="32" t="s">
        <v>2516</v>
      </c>
      <c r="F372" s="35">
        <v>487</v>
      </c>
      <c r="G372" s="35">
        <v>244</v>
      </c>
      <c r="H372" s="35">
        <v>1107</v>
      </c>
      <c r="I372" s="35">
        <v>388</v>
      </c>
      <c r="J372" s="36">
        <v>41618</v>
      </c>
      <c r="K372" s="37">
        <v>0.57582175925925927</v>
      </c>
      <c r="L372" s="36">
        <v>42934</v>
      </c>
      <c r="M372" s="38">
        <v>0.46184027777777775</v>
      </c>
    </row>
    <row r="373" spans="1:13" ht="45" x14ac:dyDescent="0.25">
      <c r="A373" s="33" t="s">
        <v>72</v>
      </c>
      <c r="B373" s="34" t="str">
        <f>HYPERLINK("http://www.twitter.com/RDELibrary", "RDELibrary")</f>
        <v>RDELibrary</v>
      </c>
      <c r="C373" s="33" t="s">
        <v>1822</v>
      </c>
      <c r="D373" s="33" t="s">
        <v>418</v>
      </c>
      <c r="E373" s="32" t="s">
        <v>1823</v>
      </c>
      <c r="F373" s="35">
        <v>290</v>
      </c>
      <c r="G373" s="35">
        <v>506</v>
      </c>
      <c r="H373" s="35">
        <v>1070</v>
      </c>
      <c r="I373" s="35">
        <v>489</v>
      </c>
      <c r="J373" s="36">
        <v>41661</v>
      </c>
      <c r="K373" s="37">
        <v>0.55776620370370367</v>
      </c>
      <c r="L373" s="36">
        <v>42937</v>
      </c>
      <c r="M373" s="38">
        <v>0.64202546296296303</v>
      </c>
    </row>
    <row r="374" spans="1:13" ht="45" x14ac:dyDescent="0.25">
      <c r="A374" s="33" t="s">
        <v>72</v>
      </c>
      <c r="B374" s="34" t="str">
        <f>HYPERLINK("http://www.twitter.com/cam_med_lib", "cam_med_lib")</f>
        <v>cam_med_lib</v>
      </c>
      <c r="C374" s="33" t="s">
        <v>1624</v>
      </c>
      <c r="D374" s="33" t="s">
        <v>788</v>
      </c>
      <c r="E374" s="32" t="s">
        <v>1625</v>
      </c>
      <c r="F374" s="35">
        <v>201</v>
      </c>
      <c r="G374" s="35">
        <v>667</v>
      </c>
      <c r="H374" s="35">
        <v>1063</v>
      </c>
      <c r="I374" s="35">
        <v>61</v>
      </c>
      <c r="J374" s="36">
        <v>40073</v>
      </c>
      <c r="K374" s="37">
        <v>0.47655092592592596</v>
      </c>
      <c r="L374" s="36">
        <v>42940</v>
      </c>
      <c r="M374" s="38">
        <v>0.46069444444444446</v>
      </c>
    </row>
    <row r="375" spans="1:13" ht="45" x14ac:dyDescent="0.25">
      <c r="A375" s="33" t="s">
        <v>72</v>
      </c>
      <c r="B375" s="34" t="str">
        <f>HYPERLINK("http://www.twitter.com/DHCFTLibrary", "DHCFTLibrary")</f>
        <v>DHCFTLibrary</v>
      </c>
      <c r="C375" s="33" t="s">
        <v>2996</v>
      </c>
      <c r="D375" s="33" t="s">
        <v>2997</v>
      </c>
      <c r="E375" s="32" t="s">
        <v>2998</v>
      </c>
      <c r="F375" s="35">
        <v>75</v>
      </c>
      <c r="G375" s="35">
        <v>142</v>
      </c>
      <c r="H375" s="35">
        <v>1047</v>
      </c>
      <c r="I375" s="35">
        <v>92</v>
      </c>
      <c r="J375" s="36">
        <v>41646</v>
      </c>
      <c r="K375" s="37">
        <v>0.43024305555555559</v>
      </c>
      <c r="L375" s="36">
        <v>42915</v>
      </c>
      <c r="M375" s="38">
        <v>0.46546296296296297</v>
      </c>
    </row>
    <row r="376" spans="1:13" ht="45" x14ac:dyDescent="0.25">
      <c r="A376" s="33" t="s">
        <v>72</v>
      </c>
      <c r="B376" s="34" t="str">
        <f>HYPERLINK("http://www.twitter.com/RCPEHeritage", "RCPEHeritage")</f>
        <v>RCPEHeritage</v>
      </c>
      <c r="C376" s="33" t="s">
        <v>486</v>
      </c>
      <c r="D376" s="33" t="s">
        <v>487</v>
      </c>
      <c r="E376" s="32" t="s">
        <v>488</v>
      </c>
      <c r="F376" s="35">
        <v>1091</v>
      </c>
      <c r="G376" s="35">
        <v>2599</v>
      </c>
      <c r="H376" s="35">
        <v>931</v>
      </c>
      <c r="I376" s="35">
        <v>2366</v>
      </c>
      <c r="J376" s="36">
        <v>42221</v>
      </c>
      <c r="K376" s="37">
        <v>0.40785879629629629</v>
      </c>
      <c r="L376" s="36">
        <v>42939</v>
      </c>
      <c r="M376" s="38">
        <v>0.54803240740740744</v>
      </c>
    </row>
    <row r="377" spans="1:13" ht="45" x14ac:dyDescent="0.25">
      <c r="A377" s="33" t="s">
        <v>72</v>
      </c>
      <c r="B377" s="34" t="str">
        <f>HYPERLINK("http://www.twitter.com/BCUHB_Libraries", "BCUHB_Libraries")</f>
        <v>BCUHB_Libraries</v>
      </c>
      <c r="C377" s="33" t="s">
        <v>2133</v>
      </c>
      <c r="D377" s="33" t="s">
        <v>2134</v>
      </c>
      <c r="E377" s="32" t="s">
        <v>2135</v>
      </c>
      <c r="F377" s="35">
        <v>578</v>
      </c>
      <c r="G377" s="35">
        <v>382</v>
      </c>
      <c r="H377" s="35">
        <v>889</v>
      </c>
      <c r="I377" s="35">
        <v>310</v>
      </c>
      <c r="J377" s="36">
        <v>42496</v>
      </c>
      <c r="K377" s="37">
        <v>0.51568287037037031</v>
      </c>
      <c r="L377" s="36">
        <v>42940</v>
      </c>
      <c r="M377" s="38">
        <v>0.44532407407407404</v>
      </c>
    </row>
    <row r="378" spans="1:13" ht="45" x14ac:dyDescent="0.25">
      <c r="A378" s="33" t="s">
        <v>72</v>
      </c>
      <c r="B378" s="34" t="str">
        <f>HYPERLINK("http://www.twitter.com/AintreeLibrary", "AintreeLibrary")</f>
        <v>AintreeLibrary</v>
      </c>
      <c r="C378" s="33" t="s">
        <v>2544</v>
      </c>
      <c r="D378" s="33" t="s">
        <v>2545</v>
      </c>
      <c r="E378" s="32" t="s">
        <v>2546</v>
      </c>
      <c r="F378" s="35">
        <v>344</v>
      </c>
      <c r="G378" s="35">
        <v>255</v>
      </c>
      <c r="H378" s="35">
        <v>856</v>
      </c>
      <c r="I378" s="35">
        <v>68</v>
      </c>
      <c r="J378" s="36">
        <v>42086</v>
      </c>
      <c r="K378" s="37">
        <v>0.48744212962962963</v>
      </c>
      <c r="L378" s="36">
        <v>42937</v>
      </c>
      <c r="M378" s="38">
        <v>0.59531250000000002</v>
      </c>
    </row>
    <row r="379" spans="1:13" ht="75" x14ac:dyDescent="0.25">
      <c r="A379" s="33" t="s">
        <v>72</v>
      </c>
      <c r="B379" s="34" t="str">
        <f>HYPERLINK("http://www.twitter.com/fhft_libraries", "fhft_libraries")</f>
        <v>fhft_libraries</v>
      </c>
      <c r="C379" s="33" t="s">
        <v>2473</v>
      </c>
      <c r="D379" s="33" t="s">
        <v>2474</v>
      </c>
      <c r="E379" s="32" t="s">
        <v>2475</v>
      </c>
      <c r="F379" s="35">
        <v>176</v>
      </c>
      <c r="G379" s="35">
        <v>252</v>
      </c>
      <c r="H379" s="35">
        <v>815</v>
      </c>
      <c r="I379" s="35">
        <v>39</v>
      </c>
      <c r="J379" s="36">
        <v>41971</v>
      </c>
      <c r="K379" s="37">
        <v>0.46891203703703704</v>
      </c>
      <c r="L379" s="36">
        <v>42940</v>
      </c>
      <c r="M379" s="38">
        <v>0.43287037037037041</v>
      </c>
    </row>
    <row r="380" spans="1:13" ht="45" x14ac:dyDescent="0.25">
      <c r="A380" s="33" t="s">
        <v>72</v>
      </c>
      <c r="B380" s="34" t="str">
        <f>HYPERLINK("http://www.twitter.com/wshlibrary", "wshlibrary")</f>
        <v>wshlibrary</v>
      </c>
      <c r="C380" s="33" t="s">
        <v>2547</v>
      </c>
      <c r="D380" s="33" t="s">
        <v>2548</v>
      </c>
      <c r="E380" s="32" t="s">
        <v>2549</v>
      </c>
      <c r="F380" s="35">
        <v>89</v>
      </c>
      <c r="G380" s="35">
        <v>230</v>
      </c>
      <c r="H380" s="35">
        <v>749</v>
      </c>
      <c r="I380" s="35">
        <v>71</v>
      </c>
      <c r="J380" s="36">
        <v>40002</v>
      </c>
      <c r="K380" s="37">
        <v>0.61665509259259255</v>
      </c>
      <c r="L380" s="36">
        <v>42940</v>
      </c>
      <c r="M380" s="38">
        <v>0.36872685185185183</v>
      </c>
    </row>
    <row r="381" spans="1:13" ht="45" x14ac:dyDescent="0.25">
      <c r="A381" s="33" t="s">
        <v>72</v>
      </c>
      <c r="B381" s="34" t="str">
        <f>HYPERLINK("http://www.twitter.com/library_sssft", "library_sssft")</f>
        <v>library_sssft</v>
      </c>
      <c r="C381" s="33" t="s">
        <v>2484</v>
      </c>
      <c r="E381" s="32" t="s">
        <v>3727</v>
      </c>
      <c r="F381" s="35">
        <v>267</v>
      </c>
      <c r="G381" s="35">
        <v>266</v>
      </c>
      <c r="H381" s="35">
        <v>721</v>
      </c>
      <c r="I381" s="35">
        <v>123</v>
      </c>
      <c r="J381" s="36">
        <v>42142</v>
      </c>
      <c r="K381" s="37">
        <v>0.45709490740740738</v>
      </c>
      <c r="L381" s="36">
        <v>42940</v>
      </c>
      <c r="M381" s="38">
        <v>0.58076388888888886</v>
      </c>
    </row>
    <row r="382" spans="1:13" ht="45" x14ac:dyDescent="0.25">
      <c r="A382" s="33" t="s">
        <v>72</v>
      </c>
      <c r="B382" s="34" t="str">
        <f>HYPERLINK("http://www.twitter.com/NottsHClib", "NottsHClib")</f>
        <v>NottsHClib</v>
      </c>
      <c r="C382" s="33" t="s">
        <v>2445</v>
      </c>
      <c r="D382" s="33" t="s">
        <v>2446</v>
      </c>
      <c r="E382" s="32" t="s">
        <v>2447</v>
      </c>
      <c r="F382" s="35">
        <v>592</v>
      </c>
      <c r="G382" s="35">
        <v>267</v>
      </c>
      <c r="H382" s="35">
        <v>720</v>
      </c>
      <c r="I382" s="35">
        <v>92</v>
      </c>
      <c r="J382" s="36">
        <v>41078</v>
      </c>
      <c r="K382" s="37">
        <v>0.4236111111111111</v>
      </c>
      <c r="L382" s="36">
        <v>42940</v>
      </c>
      <c r="M382" s="38">
        <v>0.41328703703703701</v>
      </c>
    </row>
    <row r="383" spans="1:13" ht="60" x14ac:dyDescent="0.25">
      <c r="A383" s="33" t="s">
        <v>72</v>
      </c>
      <c r="B383" s="34" t="str">
        <f>HYPERLINK("http://www.twitter.com/AECCLS", "AECCLS")</f>
        <v>AECCLS</v>
      </c>
      <c r="C383" s="33" t="s">
        <v>2448</v>
      </c>
      <c r="D383" s="33" t="s">
        <v>2449</v>
      </c>
      <c r="E383" s="32" t="s">
        <v>2450</v>
      </c>
      <c r="F383" s="35">
        <v>259</v>
      </c>
      <c r="G383" s="35">
        <v>261</v>
      </c>
      <c r="H383" s="35">
        <v>703</v>
      </c>
      <c r="I383" s="35">
        <v>93</v>
      </c>
      <c r="J383" s="36">
        <v>40197</v>
      </c>
      <c r="K383" s="37">
        <v>0.57902777777777781</v>
      </c>
      <c r="L383" s="36">
        <v>42936</v>
      </c>
      <c r="M383" s="38">
        <v>0.9030555555555555</v>
      </c>
    </row>
    <row r="384" spans="1:13" ht="45" x14ac:dyDescent="0.25">
      <c r="A384" s="33" t="s">
        <v>72</v>
      </c>
      <c r="B384" s="34" t="str">
        <f>HYPERLINK("http://www.twitter.com/rbhlibrary", "rbhlibrary")</f>
        <v>rbhlibrary</v>
      </c>
      <c r="C384" s="33" t="s">
        <v>3042</v>
      </c>
      <c r="D384" s="33" t="s">
        <v>907</v>
      </c>
      <c r="E384" s="32" t="s">
        <v>3043</v>
      </c>
      <c r="F384" s="35">
        <v>38</v>
      </c>
      <c r="G384" s="35">
        <v>129</v>
      </c>
      <c r="H384" s="35">
        <v>695</v>
      </c>
      <c r="I384" s="35">
        <v>22</v>
      </c>
      <c r="J384" s="36">
        <v>40513</v>
      </c>
      <c r="K384" s="37">
        <v>0.41357638888888887</v>
      </c>
      <c r="L384" s="36">
        <v>42923</v>
      </c>
      <c r="M384" s="38">
        <v>0.59105324074074073</v>
      </c>
    </row>
    <row r="385" spans="1:13" ht="45" x14ac:dyDescent="0.25">
      <c r="A385" s="33" t="s">
        <v>72</v>
      </c>
      <c r="B385" s="34" t="str">
        <f>HYPERLINK("http://www.twitter.com/LibraryBHFT", "LibraryBHFT")</f>
        <v>LibraryBHFT</v>
      </c>
      <c r="C385" s="33" t="s">
        <v>2755</v>
      </c>
      <c r="D385" s="33" t="s">
        <v>2756</v>
      </c>
      <c r="E385" s="32" t="s">
        <v>2757</v>
      </c>
      <c r="F385" s="35">
        <v>84</v>
      </c>
      <c r="G385" s="35">
        <v>184</v>
      </c>
      <c r="H385" s="35">
        <v>686</v>
      </c>
      <c r="I385" s="35">
        <v>6</v>
      </c>
      <c r="J385" s="36">
        <v>41808</v>
      </c>
      <c r="K385" s="37">
        <v>0.42625000000000002</v>
      </c>
      <c r="L385" s="36">
        <v>42940</v>
      </c>
      <c r="M385" s="38">
        <v>0.35202546296296294</v>
      </c>
    </row>
    <row r="386" spans="1:13" ht="45" x14ac:dyDescent="0.25">
      <c r="A386" s="33" t="s">
        <v>72</v>
      </c>
      <c r="B386" s="34" t="str">
        <f>HYPERLINK("http://www.twitter.com/TrustLib", "TrustLib")</f>
        <v>TrustLib</v>
      </c>
      <c r="C386" s="33" t="s">
        <v>2511</v>
      </c>
      <c r="D386" s="33" t="s">
        <v>2512</v>
      </c>
      <c r="E386" s="32" t="s">
        <v>2513</v>
      </c>
      <c r="F386" s="35">
        <v>65</v>
      </c>
      <c r="G386" s="35">
        <v>246</v>
      </c>
      <c r="H386" s="35">
        <v>674</v>
      </c>
      <c r="I386" s="35">
        <v>4</v>
      </c>
      <c r="J386" s="36">
        <v>40723</v>
      </c>
      <c r="K386" s="37">
        <v>0.42460648148148145</v>
      </c>
      <c r="L386" s="36">
        <v>42935</v>
      </c>
      <c r="M386" s="38">
        <v>0.43290509259259258</v>
      </c>
    </row>
    <row r="387" spans="1:13" x14ac:dyDescent="0.25">
      <c r="A387" s="33" t="s">
        <v>72</v>
      </c>
      <c r="B387" s="34" t="str">
        <f>HYPERLINK("http://www.twitter.com/CHealthLib", "CHealthLib")</f>
        <v>CHealthLib</v>
      </c>
      <c r="C387" s="33" t="s">
        <v>3106</v>
      </c>
      <c r="D387" s="33" t="s">
        <v>3107</v>
      </c>
      <c r="E387" s="32" t="s">
        <v>3108</v>
      </c>
      <c r="F387" s="35">
        <v>54</v>
      </c>
      <c r="G387" s="35">
        <v>116</v>
      </c>
      <c r="H387" s="35">
        <v>671</v>
      </c>
      <c r="I387" s="35">
        <v>48</v>
      </c>
      <c r="J387" s="36">
        <v>42342</v>
      </c>
      <c r="K387" s="37">
        <v>0.64557870370370374</v>
      </c>
      <c r="L387" s="36">
        <v>42936</v>
      </c>
      <c r="M387" s="38">
        <v>0.38526620370370374</v>
      </c>
    </row>
    <row r="388" spans="1:13" x14ac:dyDescent="0.25">
      <c r="A388" s="33" t="s">
        <v>72</v>
      </c>
      <c r="B388" s="34" t="str">
        <f>HYPERLINK("http://www.twitter.com/academylibrary", "academylibrary")</f>
        <v>academylibrary</v>
      </c>
      <c r="C388" s="33" t="s">
        <v>2344</v>
      </c>
      <c r="D388" s="33" t="s">
        <v>2345</v>
      </c>
      <c r="E388" s="32" t="s">
        <v>2346</v>
      </c>
      <c r="F388" s="35">
        <v>505</v>
      </c>
      <c r="G388" s="35">
        <v>284</v>
      </c>
      <c r="H388" s="35">
        <v>660</v>
      </c>
      <c r="I388" s="35">
        <v>82</v>
      </c>
      <c r="J388" s="36">
        <v>41024</v>
      </c>
      <c r="K388" s="37">
        <v>0.60789351851851847</v>
      </c>
      <c r="L388" s="36">
        <v>42940</v>
      </c>
      <c r="M388" s="38">
        <v>0.46724537037037034</v>
      </c>
    </row>
    <row r="389" spans="1:13" ht="30" x14ac:dyDescent="0.25">
      <c r="A389" s="33" t="s">
        <v>72</v>
      </c>
      <c r="B389" s="34" t="str">
        <f>HYPERLINK("http://www.twitter.com/MCHFTJetLibrary", "MCHFTJetLibrary")</f>
        <v>MCHFTJetLibrary</v>
      </c>
      <c r="C389" s="33" t="s">
        <v>2314</v>
      </c>
      <c r="D389" s="33" t="s">
        <v>2315</v>
      </c>
      <c r="E389" s="32" t="s">
        <v>2316</v>
      </c>
      <c r="F389" s="35">
        <v>313</v>
      </c>
      <c r="G389" s="35">
        <v>300</v>
      </c>
      <c r="H389" s="35">
        <v>636</v>
      </c>
      <c r="I389" s="35">
        <v>118</v>
      </c>
      <c r="J389" s="36">
        <v>42032</v>
      </c>
      <c r="K389" s="37">
        <v>0.66759259259259263</v>
      </c>
      <c r="L389" s="36">
        <v>42929</v>
      </c>
      <c r="M389" s="38">
        <v>0.59392361111111114</v>
      </c>
    </row>
    <row r="390" spans="1:13" ht="45" x14ac:dyDescent="0.25">
      <c r="A390" s="33" t="s">
        <v>72</v>
      </c>
      <c r="B390" s="34" t="str">
        <f>HYPERLINK("http://www.twitter.com/rdashknowledge", "rdashknowledge")</f>
        <v>rdashknowledge</v>
      </c>
      <c r="C390" s="33" t="s">
        <v>2577</v>
      </c>
      <c r="E390" s="32" t="s">
        <v>2578</v>
      </c>
      <c r="F390" s="35">
        <v>55</v>
      </c>
      <c r="G390" s="35">
        <v>219</v>
      </c>
      <c r="H390" s="35">
        <v>619</v>
      </c>
      <c r="I390" s="35">
        <v>0</v>
      </c>
      <c r="J390" s="36">
        <v>40140</v>
      </c>
      <c r="K390" s="37">
        <v>0.59812500000000002</v>
      </c>
      <c r="L390" s="36">
        <v>41599</v>
      </c>
      <c r="M390" s="38">
        <v>0.64142361111111112</v>
      </c>
    </row>
    <row r="391" spans="1:13" ht="45" x14ac:dyDescent="0.25">
      <c r="A391" s="33" t="s">
        <v>72</v>
      </c>
      <c r="B391" s="34" t="str">
        <f>HYPERLINK("http://www.twitter.com/LibraryRuh", "LibraryRuh")</f>
        <v>LibraryRuh</v>
      </c>
      <c r="C391" s="33" t="s">
        <v>2269</v>
      </c>
      <c r="D391" s="33" t="s">
        <v>2270</v>
      </c>
      <c r="E391" s="32" t="s">
        <v>2271</v>
      </c>
      <c r="F391" s="35">
        <v>454</v>
      </c>
      <c r="G391" s="35">
        <v>310</v>
      </c>
      <c r="H391" s="35">
        <v>614</v>
      </c>
      <c r="I391" s="35">
        <v>505</v>
      </c>
      <c r="J391" s="36">
        <v>42206</v>
      </c>
      <c r="K391" s="37">
        <v>0.45872685185185186</v>
      </c>
      <c r="L391" s="36">
        <v>42940</v>
      </c>
      <c r="M391" s="38">
        <v>0.66240740740740744</v>
      </c>
    </row>
    <row r="392" spans="1:13" ht="45" x14ac:dyDescent="0.25">
      <c r="A392" s="33" t="s">
        <v>72</v>
      </c>
      <c r="B392" s="34" t="str">
        <f>HYPERLINK("http://www.twitter.com/CostelloLib", "CostelloLib")</f>
        <v>CostelloLib</v>
      </c>
      <c r="C392" s="33" t="s">
        <v>2980</v>
      </c>
      <c r="D392" s="33" t="s">
        <v>2981</v>
      </c>
      <c r="E392" s="32" t="s">
        <v>2982</v>
      </c>
      <c r="F392" s="35">
        <v>103</v>
      </c>
      <c r="G392" s="35">
        <v>145</v>
      </c>
      <c r="H392" s="35">
        <v>602</v>
      </c>
      <c r="I392" s="35">
        <v>303</v>
      </c>
      <c r="J392" s="36">
        <v>41410</v>
      </c>
      <c r="K392" s="37">
        <v>0.6521527777777778</v>
      </c>
      <c r="L392" s="36">
        <v>42935</v>
      </c>
      <c r="M392" s="38">
        <v>0.46349537037037036</v>
      </c>
    </row>
    <row r="393" spans="1:13" ht="45" x14ac:dyDescent="0.25">
      <c r="A393" s="33" t="s">
        <v>72</v>
      </c>
      <c r="B393" s="34" t="str">
        <f>HYPERLINK("http://www.twitter.com/EdNapLib4Health", "EdNapLib4Health")</f>
        <v>EdNapLib4Health</v>
      </c>
      <c r="C393" s="33" t="s">
        <v>3171</v>
      </c>
      <c r="D393" s="33" t="s">
        <v>487</v>
      </c>
      <c r="E393" s="32" t="s">
        <v>3172</v>
      </c>
      <c r="F393" s="35">
        <v>344</v>
      </c>
      <c r="G393" s="35">
        <v>101</v>
      </c>
      <c r="H393" s="35">
        <v>599</v>
      </c>
      <c r="I393" s="35">
        <v>29</v>
      </c>
      <c r="J393" s="36">
        <v>42634</v>
      </c>
      <c r="K393" s="37">
        <v>0.6152199074074074</v>
      </c>
      <c r="L393" s="36">
        <v>42940</v>
      </c>
      <c r="M393" s="38">
        <v>0.56752314814814808</v>
      </c>
    </row>
    <row r="394" spans="1:13" ht="30" x14ac:dyDescent="0.25">
      <c r="A394" s="33" t="s">
        <v>72</v>
      </c>
      <c r="B394" s="34" t="str">
        <f>HYPERLINK("http://www.twitter.com/uhllib", "uhllib")</f>
        <v>uhllib</v>
      </c>
      <c r="C394" s="33" t="s">
        <v>1875</v>
      </c>
      <c r="D394" s="33" t="s">
        <v>1876</v>
      </c>
      <c r="E394" s="32" t="s">
        <v>1877</v>
      </c>
      <c r="F394" s="35">
        <v>756</v>
      </c>
      <c r="G394" s="35">
        <v>475</v>
      </c>
      <c r="H394" s="35">
        <v>596</v>
      </c>
      <c r="I394" s="35">
        <v>105</v>
      </c>
      <c r="J394" s="36">
        <v>40679</v>
      </c>
      <c r="K394" s="37">
        <v>0.63901620370370371</v>
      </c>
      <c r="L394" s="36">
        <v>42940</v>
      </c>
      <c r="M394" s="38">
        <v>0.54385416666666664</v>
      </c>
    </row>
    <row r="395" spans="1:13" ht="45" x14ac:dyDescent="0.25">
      <c r="A395" s="33" t="s">
        <v>72</v>
      </c>
      <c r="B395" s="34" t="str">
        <f>HYPERLINK("http://www.twitter.com/ESussex_NHSLibs", "ESussex_NHSLibs")</f>
        <v>ESussex_NHSLibs</v>
      </c>
      <c r="C395" s="33" t="s">
        <v>2585</v>
      </c>
      <c r="E395" s="32" t="s">
        <v>2586</v>
      </c>
      <c r="F395" s="35">
        <v>355</v>
      </c>
      <c r="G395" s="35">
        <v>219</v>
      </c>
      <c r="H395" s="35">
        <v>590</v>
      </c>
      <c r="I395" s="35">
        <v>45</v>
      </c>
      <c r="J395" s="36">
        <v>41435</v>
      </c>
      <c r="K395" s="37">
        <v>0.3982060185185185</v>
      </c>
      <c r="L395" s="36">
        <v>42930</v>
      </c>
      <c r="M395" s="38">
        <v>0.64721064814814822</v>
      </c>
    </row>
    <row r="396" spans="1:13" ht="45" x14ac:dyDescent="0.25">
      <c r="A396" s="33" t="s">
        <v>72</v>
      </c>
      <c r="B396" s="34" t="str">
        <f>HYPERLINK("http://www.twitter.com/SFHTLibrary", "SFHTLibrary")</f>
        <v>SFHTLibrary</v>
      </c>
      <c r="C396" s="33" t="s">
        <v>3229</v>
      </c>
      <c r="D396" s="33" t="s">
        <v>3230</v>
      </c>
      <c r="E396" s="32" t="s">
        <v>3231</v>
      </c>
      <c r="F396" s="35">
        <v>179</v>
      </c>
      <c r="G396" s="35">
        <v>101</v>
      </c>
      <c r="H396" s="35">
        <v>573</v>
      </c>
      <c r="I396" s="35">
        <v>121</v>
      </c>
      <c r="J396" s="36">
        <v>42657</v>
      </c>
      <c r="K396" s="37">
        <v>0.47675925925925927</v>
      </c>
      <c r="L396" s="36">
        <v>42940</v>
      </c>
      <c r="M396" s="38">
        <v>0.53518518518518521</v>
      </c>
    </row>
    <row r="397" spans="1:13" x14ac:dyDescent="0.25">
      <c r="A397" s="33" t="s">
        <v>72</v>
      </c>
      <c r="B397" s="34" t="str">
        <f>HYPERLINK("http://www.twitter.com/hhl_nhs", "hhl_nhs")</f>
        <v>hhl_nhs</v>
      </c>
      <c r="C397" s="33" t="s">
        <v>2089</v>
      </c>
      <c r="D397" s="33" t="s">
        <v>2090</v>
      </c>
      <c r="E397" s="32" t="s">
        <v>2091</v>
      </c>
      <c r="F397" s="35">
        <v>235</v>
      </c>
      <c r="G397" s="35">
        <v>373</v>
      </c>
      <c r="H397" s="35">
        <v>573</v>
      </c>
      <c r="I397" s="35">
        <v>264</v>
      </c>
      <c r="J397" s="36">
        <v>39905</v>
      </c>
      <c r="K397" s="37">
        <v>0.68515046296296289</v>
      </c>
      <c r="L397" s="36">
        <v>42936</v>
      </c>
      <c r="M397" s="38">
        <v>0.63299768518518518</v>
      </c>
    </row>
    <row r="398" spans="1:13" ht="45" x14ac:dyDescent="0.25">
      <c r="A398" s="33" t="s">
        <v>72</v>
      </c>
      <c r="B398" s="34" t="str">
        <f>HYPERLINK("http://www.twitter.com/stenhouse_lib", "stenhouse_lib")</f>
        <v>stenhouse_lib</v>
      </c>
      <c r="C398" s="33" t="s">
        <v>3232</v>
      </c>
      <c r="D398" s="33" t="s">
        <v>3233</v>
      </c>
      <c r="E398" s="32" t="s">
        <v>3234</v>
      </c>
      <c r="F398" s="35">
        <v>167</v>
      </c>
      <c r="G398" s="35">
        <v>87</v>
      </c>
      <c r="H398" s="35">
        <v>547</v>
      </c>
      <c r="I398" s="35">
        <v>28</v>
      </c>
      <c r="J398" s="36">
        <v>42045</v>
      </c>
      <c r="K398" s="37">
        <v>0.51500000000000001</v>
      </c>
      <c r="L398" s="36">
        <v>42940</v>
      </c>
      <c r="M398" s="38">
        <v>0.42402777777777773</v>
      </c>
    </row>
    <row r="399" spans="1:13" ht="45" x14ac:dyDescent="0.25">
      <c r="A399" s="33" t="s">
        <v>72</v>
      </c>
      <c r="B399" s="34" t="str">
        <f>HYPERLINK("http://www.twitter.com/EKHUFTlibraries", "EKHUFTlibraries")</f>
        <v>EKHUFTlibraries</v>
      </c>
      <c r="C399" s="33" t="s">
        <v>2160</v>
      </c>
      <c r="D399" s="33" t="s">
        <v>3735</v>
      </c>
      <c r="E399" s="32" t="s">
        <v>2162</v>
      </c>
      <c r="F399" s="35">
        <v>287</v>
      </c>
      <c r="G399" s="35">
        <v>360</v>
      </c>
      <c r="H399" s="35">
        <v>538</v>
      </c>
      <c r="I399" s="35">
        <v>45</v>
      </c>
      <c r="J399" s="36">
        <v>41151</v>
      </c>
      <c r="K399" s="37">
        <v>0.59207175925925926</v>
      </c>
      <c r="L399" s="36">
        <v>42940</v>
      </c>
      <c r="M399" s="38">
        <v>0.54122685185185182</v>
      </c>
    </row>
    <row r="400" spans="1:13" ht="45" x14ac:dyDescent="0.25">
      <c r="A400" s="33" t="s">
        <v>72</v>
      </c>
      <c r="B400" s="34" t="str">
        <f>HYPERLINK("http://www.twitter.com/HSCMedicalLib", "HSCMedicalLib")</f>
        <v>HSCMedicalLib</v>
      </c>
      <c r="C400" s="33" t="s">
        <v>2942</v>
      </c>
      <c r="D400" s="33" t="s">
        <v>248</v>
      </c>
      <c r="E400" s="32" t="s">
        <v>2943</v>
      </c>
      <c r="F400" s="35">
        <v>419</v>
      </c>
      <c r="G400" s="35">
        <v>168</v>
      </c>
      <c r="H400" s="35">
        <v>526</v>
      </c>
      <c r="I400" s="35">
        <v>74</v>
      </c>
      <c r="J400" s="36">
        <v>42600</v>
      </c>
      <c r="K400" s="37">
        <v>0.59548611111111105</v>
      </c>
      <c r="L400" s="36">
        <v>42940</v>
      </c>
      <c r="M400" s="38">
        <v>0.64841435185185181</v>
      </c>
    </row>
    <row r="401" spans="1:13" ht="45" x14ac:dyDescent="0.25">
      <c r="A401" s="33" t="s">
        <v>72</v>
      </c>
      <c r="B401" s="34" t="str">
        <f>HYPERLINK("http://www.twitter.com/YDHLibrary", "YDHLibrary")</f>
        <v>YDHLibrary</v>
      </c>
      <c r="C401" s="33" t="s">
        <v>2468</v>
      </c>
      <c r="D401" s="33" t="s">
        <v>1810</v>
      </c>
      <c r="E401" s="32" t="s">
        <v>2469</v>
      </c>
      <c r="F401" s="35">
        <v>304</v>
      </c>
      <c r="G401" s="35">
        <v>261</v>
      </c>
      <c r="H401" s="35">
        <v>482</v>
      </c>
      <c r="I401" s="35">
        <v>37</v>
      </c>
      <c r="J401" s="36">
        <v>41375</v>
      </c>
      <c r="K401" s="37">
        <v>0.52946759259259257</v>
      </c>
      <c r="L401" s="36">
        <v>42940</v>
      </c>
      <c r="M401" s="38">
        <v>0.4626736111111111</v>
      </c>
    </row>
    <row r="402" spans="1:13" ht="45" x14ac:dyDescent="0.25">
      <c r="A402" s="33" t="s">
        <v>72</v>
      </c>
      <c r="B402" s="34" t="str">
        <f>HYPERLINK("http://www.twitter.com/ULHTLKS", "ULHTLKS")</f>
        <v>ULHTLKS</v>
      </c>
      <c r="C402" s="33" t="s">
        <v>2517</v>
      </c>
      <c r="D402" s="33" t="s">
        <v>2518</v>
      </c>
      <c r="E402" s="32" t="s">
        <v>3723</v>
      </c>
      <c r="F402" s="35">
        <v>566</v>
      </c>
      <c r="G402" s="35">
        <v>258</v>
      </c>
      <c r="H402" s="35">
        <v>471</v>
      </c>
      <c r="I402" s="35">
        <v>90</v>
      </c>
      <c r="J402" s="36">
        <v>42569</v>
      </c>
      <c r="K402" s="37">
        <v>0.59916666666666674</v>
      </c>
      <c r="L402" s="36">
        <v>42940</v>
      </c>
      <c r="M402" s="38">
        <v>0.35675925925925928</v>
      </c>
    </row>
    <row r="403" spans="1:13" ht="30" x14ac:dyDescent="0.25">
      <c r="A403" s="33" t="s">
        <v>72</v>
      </c>
      <c r="B403" s="34" t="str">
        <f>HYPERLINK("http://www.twitter.com/UHCW_CEBIS", "UHCW_CEBIS")</f>
        <v>UHCW_CEBIS</v>
      </c>
      <c r="C403" s="33" t="s">
        <v>2857</v>
      </c>
      <c r="D403" s="33" t="s">
        <v>688</v>
      </c>
      <c r="E403" s="32" t="s">
        <v>2858</v>
      </c>
      <c r="F403" s="35">
        <v>140</v>
      </c>
      <c r="G403" s="35">
        <v>171</v>
      </c>
      <c r="H403" s="35">
        <v>460</v>
      </c>
      <c r="I403" s="35">
        <v>95</v>
      </c>
      <c r="J403" s="36">
        <v>42335</v>
      </c>
      <c r="K403" s="37">
        <v>0.49366898148148147</v>
      </c>
      <c r="L403" s="36">
        <v>42937</v>
      </c>
      <c r="M403" s="38">
        <v>0.48696759259259265</v>
      </c>
    </row>
    <row r="404" spans="1:13" ht="30" x14ac:dyDescent="0.25">
      <c r="A404" s="33" t="s">
        <v>72</v>
      </c>
      <c r="B404" s="34" t="str">
        <f>HYPERLINK("http://www.twitter.com/NorthCumbriaLKS", "NorthCumbriaLKS")</f>
        <v>NorthCumbriaLKS</v>
      </c>
      <c r="C404" s="33" t="s">
        <v>2350</v>
      </c>
      <c r="D404" s="33" t="s">
        <v>1417</v>
      </c>
      <c r="E404" s="32" t="s">
        <v>2351</v>
      </c>
      <c r="F404" s="35">
        <v>227</v>
      </c>
      <c r="G404" s="35">
        <v>284</v>
      </c>
      <c r="H404" s="35">
        <v>438</v>
      </c>
      <c r="I404" s="35">
        <v>8</v>
      </c>
      <c r="J404" s="36">
        <v>41981</v>
      </c>
      <c r="K404" s="37">
        <v>0.51215277777777779</v>
      </c>
      <c r="L404" s="36">
        <v>42933</v>
      </c>
      <c r="M404" s="38">
        <v>0.52415509259259252</v>
      </c>
    </row>
    <row r="405" spans="1:13" ht="30" x14ac:dyDescent="0.25">
      <c r="A405" s="33" t="s">
        <v>72</v>
      </c>
      <c r="B405" s="34" t="str">
        <f>HYPERLINK("http://www.twitter.com/AshStPetersLibs", "AshStPetersLibs")</f>
        <v>AshStPetersLibs</v>
      </c>
      <c r="C405" s="33" t="s">
        <v>1867</v>
      </c>
      <c r="D405" s="33" t="s">
        <v>1868</v>
      </c>
      <c r="E405" s="32" t="s">
        <v>1869</v>
      </c>
      <c r="F405" s="35">
        <v>1042</v>
      </c>
      <c r="G405" s="35">
        <v>522</v>
      </c>
      <c r="H405" s="35">
        <v>421</v>
      </c>
      <c r="I405" s="35">
        <v>624</v>
      </c>
      <c r="J405" s="36">
        <v>41180</v>
      </c>
      <c r="K405" s="37">
        <v>0.39971064814814811</v>
      </c>
      <c r="L405" s="36">
        <v>42940</v>
      </c>
      <c r="M405" s="38">
        <v>0.64355324074074072</v>
      </c>
    </row>
    <row r="406" spans="1:13" x14ac:dyDescent="0.25">
      <c r="A406" s="33" t="s">
        <v>72</v>
      </c>
      <c r="B406" s="34" t="str">
        <f>HYPERLINK("http://www.twitter.com/BMALibrary", "BMALibrary")</f>
        <v>BMALibrary</v>
      </c>
      <c r="C406" s="33" t="s">
        <v>1851</v>
      </c>
      <c r="D406" s="33" t="s">
        <v>110</v>
      </c>
      <c r="E406" s="32" t="s">
        <v>1852</v>
      </c>
      <c r="F406" s="35">
        <v>237</v>
      </c>
      <c r="G406" s="35">
        <v>488</v>
      </c>
      <c r="H406" s="35">
        <v>419</v>
      </c>
      <c r="I406" s="35">
        <v>3</v>
      </c>
      <c r="J406" s="36">
        <v>40833</v>
      </c>
      <c r="K406" s="37">
        <v>0.67373842592592592</v>
      </c>
      <c r="L406" s="36">
        <v>42935</v>
      </c>
      <c r="M406" s="38">
        <v>0.35377314814814814</v>
      </c>
    </row>
    <row r="407" spans="1:13" ht="45" x14ac:dyDescent="0.25">
      <c r="A407" s="33" t="s">
        <v>72</v>
      </c>
      <c r="B407" s="34" t="str">
        <f>HYPERLINK("http://www.twitter.com/HCLU2012", "HCLU2012")</f>
        <v>HCLU2012</v>
      </c>
      <c r="C407" s="33" t="s">
        <v>2376</v>
      </c>
      <c r="D407" s="33" t="s">
        <v>2377</v>
      </c>
      <c r="E407" s="32" t="s">
        <v>2378</v>
      </c>
      <c r="F407" s="35">
        <v>102</v>
      </c>
      <c r="G407" s="35">
        <v>277</v>
      </c>
      <c r="H407" s="35">
        <v>386</v>
      </c>
      <c r="I407" s="35">
        <v>3</v>
      </c>
      <c r="J407" s="36">
        <v>41144</v>
      </c>
      <c r="K407" s="37">
        <v>0.56873842592592594</v>
      </c>
      <c r="L407" s="36">
        <v>42930</v>
      </c>
      <c r="M407" s="38">
        <v>0.43781249999999999</v>
      </c>
    </row>
    <row r="408" spans="1:13" ht="45" x14ac:dyDescent="0.25">
      <c r="A408" s="33" t="s">
        <v>72</v>
      </c>
      <c r="B408" s="34" t="str">
        <f>HYPERLINK("http://www.twitter.com/nlaglibs", "nlaglibs")</f>
        <v>nlaglibs</v>
      </c>
      <c r="C408" s="33" t="s">
        <v>3067</v>
      </c>
      <c r="D408" s="33" t="s">
        <v>70</v>
      </c>
      <c r="E408" s="32" t="s">
        <v>3068</v>
      </c>
      <c r="F408" s="35">
        <v>121</v>
      </c>
      <c r="G408" s="35">
        <v>137</v>
      </c>
      <c r="H408" s="35">
        <v>384</v>
      </c>
      <c r="I408" s="35">
        <v>120</v>
      </c>
      <c r="J408" s="36">
        <v>42594</v>
      </c>
      <c r="K408" s="37">
        <v>0.38716435185185188</v>
      </c>
      <c r="L408" s="36">
        <v>42940</v>
      </c>
      <c r="M408" s="38">
        <v>0.38876157407407402</v>
      </c>
    </row>
    <row r="409" spans="1:13" ht="30" x14ac:dyDescent="0.25">
      <c r="A409" s="33" t="s">
        <v>72</v>
      </c>
      <c r="B409" s="34" t="str">
        <f>HYPERLINK("http://www.twitter.com/DCHLib", "DCHLib")</f>
        <v>DCHLib</v>
      </c>
      <c r="C409" s="33" t="s">
        <v>2362</v>
      </c>
      <c r="D409" s="33" t="s">
        <v>2363</v>
      </c>
      <c r="E409" s="32" t="s">
        <v>2364</v>
      </c>
      <c r="F409" s="35">
        <v>197</v>
      </c>
      <c r="G409" s="35">
        <v>280</v>
      </c>
      <c r="H409" s="35">
        <v>366</v>
      </c>
      <c r="I409" s="35">
        <v>76</v>
      </c>
      <c r="J409" s="36">
        <v>41103</v>
      </c>
      <c r="K409" s="37">
        <v>0.46454861111111106</v>
      </c>
      <c r="L409" s="36">
        <v>42923</v>
      </c>
      <c r="M409" s="38">
        <v>0.39921296296296299</v>
      </c>
    </row>
    <row r="410" spans="1:13" ht="45" x14ac:dyDescent="0.25">
      <c r="A410" s="33" t="s">
        <v>72</v>
      </c>
      <c r="B410" s="34" t="str">
        <f>HYPERLINK("http://www.twitter.com/library_laxton", "library_laxton")</f>
        <v>library_laxton</v>
      </c>
      <c r="C410" s="33" t="s">
        <v>3024</v>
      </c>
      <c r="D410" s="33" t="s">
        <v>3025</v>
      </c>
      <c r="E410" s="32" t="s">
        <v>3726</v>
      </c>
      <c r="F410" s="35">
        <v>150</v>
      </c>
      <c r="G410" s="35">
        <v>143</v>
      </c>
      <c r="H410" s="35">
        <v>362</v>
      </c>
      <c r="I410" s="35">
        <v>154</v>
      </c>
      <c r="J410" s="36">
        <v>42241</v>
      </c>
      <c r="K410" s="37">
        <v>0.42881944444444442</v>
      </c>
      <c r="L410" s="36">
        <v>42934</v>
      </c>
      <c r="M410" s="38">
        <v>0.83665509259259263</v>
      </c>
    </row>
    <row r="411" spans="1:13" ht="45" x14ac:dyDescent="0.25">
      <c r="A411" s="33" t="s">
        <v>72</v>
      </c>
      <c r="B411" s="34" t="str">
        <f>HYPERLINK("http://www.twitter.com/EastDorsetLKS", "EastDorsetLKS")</f>
        <v>EastDorsetLKS</v>
      </c>
      <c r="C411" s="33" t="s">
        <v>3261</v>
      </c>
      <c r="D411" s="33" t="s">
        <v>3262</v>
      </c>
      <c r="E411" s="32" t="s">
        <v>3263</v>
      </c>
      <c r="F411" s="35">
        <v>226</v>
      </c>
      <c r="G411" s="35">
        <v>85</v>
      </c>
      <c r="H411" s="35">
        <v>349</v>
      </c>
      <c r="I411" s="35">
        <v>33</v>
      </c>
      <c r="J411" s="36">
        <v>42668</v>
      </c>
      <c r="K411" s="37">
        <v>0.33021990740740742</v>
      </c>
      <c r="L411" s="36">
        <v>42937</v>
      </c>
      <c r="M411" s="38">
        <v>0.37280092592592595</v>
      </c>
    </row>
    <row r="412" spans="1:13" ht="30" x14ac:dyDescent="0.25">
      <c r="A412" s="33" t="s">
        <v>72</v>
      </c>
      <c r="B412" s="34" t="str">
        <f>HYPERLINK("http://www.twitter.com/mdh_librarians", "mdh_librarians")</f>
        <v>mdh_librarians</v>
      </c>
      <c r="C412" s="33" t="s">
        <v>2892</v>
      </c>
      <c r="D412" s="33" t="s">
        <v>2893</v>
      </c>
      <c r="E412" s="32" t="s">
        <v>3731</v>
      </c>
      <c r="F412" s="35">
        <v>151</v>
      </c>
      <c r="G412" s="35">
        <v>161</v>
      </c>
      <c r="H412" s="35">
        <v>346</v>
      </c>
      <c r="I412" s="35">
        <v>37</v>
      </c>
      <c r="J412" s="36">
        <v>41437</v>
      </c>
      <c r="K412" s="37">
        <v>0.58556712962962965</v>
      </c>
      <c r="L412" s="36">
        <v>42935</v>
      </c>
      <c r="M412" s="38">
        <v>0.31797453703703704</v>
      </c>
    </row>
    <row r="413" spans="1:13" ht="30" x14ac:dyDescent="0.25">
      <c r="A413" s="33" t="s">
        <v>72</v>
      </c>
      <c r="B413" s="34" t="str">
        <f>HYPERLINK("http://www.twitter.com/Health_Library", "Health_Library")</f>
        <v>Health_Library</v>
      </c>
      <c r="C413" s="33" t="s">
        <v>2009</v>
      </c>
      <c r="D413" s="33" t="s">
        <v>2010</v>
      </c>
      <c r="E413" s="32" t="s">
        <v>2011</v>
      </c>
      <c r="F413" s="35">
        <v>286</v>
      </c>
      <c r="G413" s="35">
        <v>415</v>
      </c>
      <c r="H413" s="35">
        <v>342</v>
      </c>
      <c r="I413" s="35">
        <v>39</v>
      </c>
      <c r="J413" s="36">
        <v>40022</v>
      </c>
      <c r="K413" s="37">
        <v>0.6576157407407407</v>
      </c>
      <c r="L413" s="36">
        <v>42930</v>
      </c>
      <c r="M413" s="38">
        <v>0.64489583333333333</v>
      </c>
    </row>
    <row r="414" spans="1:13" x14ac:dyDescent="0.25">
      <c r="A414" s="33" t="s">
        <v>72</v>
      </c>
      <c r="B414" s="34" t="str">
        <f>HYPERLINK("http://www.twitter.com/WSussexLKS", "WSussexLKS")</f>
        <v>WSussexLKS</v>
      </c>
      <c r="C414" s="33" t="s">
        <v>2563</v>
      </c>
      <c r="D414" s="33" t="s">
        <v>2564</v>
      </c>
      <c r="E414" s="32" t="s">
        <v>2565</v>
      </c>
      <c r="F414" s="35">
        <v>180</v>
      </c>
      <c r="G414" s="35">
        <v>228</v>
      </c>
      <c r="H414" s="35">
        <v>339</v>
      </c>
      <c r="I414" s="35">
        <v>1</v>
      </c>
      <c r="J414" s="36">
        <v>41169</v>
      </c>
      <c r="K414" s="37">
        <v>0.64968749999999997</v>
      </c>
      <c r="L414" s="36">
        <v>42937</v>
      </c>
      <c r="M414" s="38">
        <v>0.46692129629629631</v>
      </c>
    </row>
    <row r="415" spans="1:13" ht="45" x14ac:dyDescent="0.25">
      <c r="A415" s="33" t="s">
        <v>72</v>
      </c>
      <c r="B415" s="34" t="str">
        <f>HYPERLINK("http://www.twitter.com/HEFTLibrary", "HEFTLibrary")</f>
        <v>HEFTLibrary</v>
      </c>
      <c r="C415" s="33" t="s">
        <v>2412</v>
      </c>
      <c r="D415" s="33" t="s">
        <v>2413</v>
      </c>
      <c r="E415" s="32" t="s">
        <v>2414</v>
      </c>
      <c r="F415" s="35">
        <v>126</v>
      </c>
      <c r="G415" s="35">
        <v>264</v>
      </c>
      <c r="H415" s="35">
        <v>334</v>
      </c>
      <c r="I415" s="35">
        <v>16</v>
      </c>
      <c r="J415" s="36">
        <v>41799</v>
      </c>
      <c r="K415" s="37">
        <v>0.51634259259259263</v>
      </c>
      <c r="L415" s="36">
        <v>42935</v>
      </c>
      <c r="M415" s="38">
        <v>0.53218750000000004</v>
      </c>
    </row>
    <row r="416" spans="1:13" ht="45" x14ac:dyDescent="0.25">
      <c r="A416" s="33" t="s">
        <v>72</v>
      </c>
      <c r="B416" s="34" t="str">
        <f>HYPERLINK("http://www.twitter.com/pgmclibrary", "pgmclibrary")</f>
        <v>pgmclibrary</v>
      </c>
      <c r="C416" s="33" t="s">
        <v>3131</v>
      </c>
      <c r="D416" s="33" t="s">
        <v>3132</v>
      </c>
      <c r="E416" s="32" t="s">
        <v>3133</v>
      </c>
      <c r="F416" s="35">
        <v>39</v>
      </c>
      <c r="G416" s="35">
        <v>98</v>
      </c>
      <c r="H416" s="35">
        <v>330</v>
      </c>
      <c r="I416" s="35">
        <v>3</v>
      </c>
      <c r="J416" s="36">
        <v>40304</v>
      </c>
      <c r="K416" s="37">
        <v>0.54123842592592586</v>
      </c>
      <c r="L416" s="36">
        <v>42939</v>
      </c>
      <c r="M416" s="38">
        <v>0.33532407407407411</v>
      </c>
    </row>
    <row r="417" spans="1:13" ht="45" x14ac:dyDescent="0.25">
      <c r="A417" s="33" t="s">
        <v>72</v>
      </c>
      <c r="B417" s="34" t="str">
        <f>HYPERLINK("http://www.twitter.com/HWPHLibrary", "HWPHLibrary")</f>
        <v>HWPHLibrary</v>
      </c>
      <c r="C417" s="33" t="s">
        <v>2761</v>
      </c>
      <c r="E417" s="32" t="s">
        <v>2762</v>
      </c>
      <c r="F417" s="35">
        <v>62</v>
      </c>
      <c r="G417" s="35">
        <v>185</v>
      </c>
      <c r="H417" s="35">
        <v>317</v>
      </c>
      <c r="I417" s="35">
        <v>18</v>
      </c>
      <c r="J417" s="36">
        <v>41458</v>
      </c>
      <c r="K417" s="37">
        <v>0.34224537037037034</v>
      </c>
      <c r="L417" s="36">
        <v>42831</v>
      </c>
      <c r="M417" s="38">
        <v>0.34930555555555554</v>
      </c>
    </row>
    <row r="418" spans="1:13" ht="30" x14ac:dyDescent="0.25">
      <c r="A418" s="33" t="s">
        <v>72</v>
      </c>
      <c r="B418" s="34" t="str">
        <f>HYPERLINK("http://www.twitter.com/WhitHealthLib", "WhitHealthLib")</f>
        <v>WhitHealthLib</v>
      </c>
      <c r="C418" s="33" t="s">
        <v>2915</v>
      </c>
      <c r="D418" s="33" t="s">
        <v>36</v>
      </c>
      <c r="E418" s="32" t="s">
        <v>2916</v>
      </c>
      <c r="F418" s="35">
        <v>366</v>
      </c>
      <c r="G418" s="35">
        <v>173</v>
      </c>
      <c r="H418" s="35">
        <v>313</v>
      </c>
      <c r="I418" s="35">
        <v>407</v>
      </c>
      <c r="J418" s="36">
        <v>42565</v>
      </c>
      <c r="K418" s="37">
        <v>0.59613425925925922</v>
      </c>
      <c r="L418" s="36">
        <v>42940</v>
      </c>
      <c r="M418" s="38">
        <v>0.70200231481481479</v>
      </c>
    </row>
    <row r="419" spans="1:13" ht="30" x14ac:dyDescent="0.25">
      <c r="A419" s="33" t="s">
        <v>72</v>
      </c>
      <c r="B419" s="34" t="str">
        <f>HYPERLINK("http://www.twitter.com/bucksnhslibrary", "bucksnhslibrary")</f>
        <v>bucksnhslibrary</v>
      </c>
      <c r="C419" s="33" t="s">
        <v>2934</v>
      </c>
      <c r="D419" s="33" t="s">
        <v>2935</v>
      </c>
      <c r="E419" s="32" t="s">
        <v>2936</v>
      </c>
      <c r="F419" s="35">
        <v>272</v>
      </c>
      <c r="G419" s="35">
        <v>153</v>
      </c>
      <c r="H419" s="35">
        <v>309</v>
      </c>
      <c r="I419" s="35">
        <v>21</v>
      </c>
      <c r="J419" s="36">
        <v>41467</v>
      </c>
      <c r="K419" s="37">
        <v>0.43748842592592596</v>
      </c>
      <c r="L419" s="36">
        <v>42129</v>
      </c>
      <c r="M419" s="38">
        <v>0.38403935185185184</v>
      </c>
    </row>
    <row r="420" spans="1:13" x14ac:dyDescent="0.25">
      <c r="A420" s="33" t="s">
        <v>72</v>
      </c>
      <c r="B420" s="34" t="str">
        <f>HYPERLINK("http://www.twitter.com/HYMSLibrary", "HYMSLibrary")</f>
        <v>HYMSLibrary</v>
      </c>
      <c r="C420" s="33" t="s">
        <v>3076</v>
      </c>
      <c r="F420" s="35">
        <v>53</v>
      </c>
      <c r="G420" s="35">
        <v>121</v>
      </c>
      <c r="H420" s="35">
        <v>306</v>
      </c>
      <c r="I420" s="35">
        <v>20</v>
      </c>
      <c r="J420" s="36">
        <v>41968</v>
      </c>
      <c r="K420" s="37">
        <v>0.61137731481481483</v>
      </c>
      <c r="L420" s="36">
        <v>42919</v>
      </c>
      <c r="M420" s="38">
        <v>0.44640046296296299</v>
      </c>
    </row>
    <row r="421" spans="1:13" x14ac:dyDescent="0.25">
      <c r="A421" s="33" t="s">
        <v>72</v>
      </c>
      <c r="B421" s="34" t="str">
        <f>HYPERLINK("http://www.twitter.com/bcdentallibrary", "bcdentallibrary")</f>
        <v>bcdentallibrary</v>
      </c>
      <c r="C421" s="33" t="s">
        <v>3737</v>
      </c>
      <c r="D421" s="33" t="s">
        <v>427</v>
      </c>
      <c r="E421" s="32" t="s">
        <v>3738</v>
      </c>
      <c r="F421" s="35">
        <v>235</v>
      </c>
      <c r="G421" s="35">
        <v>206</v>
      </c>
      <c r="H421" s="35">
        <v>301</v>
      </c>
      <c r="I421" s="35">
        <v>41</v>
      </c>
      <c r="J421" s="36">
        <v>40599</v>
      </c>
      <c r="K421" s="37">
        <v>0.48380787037037037</v>
      </c>
      <c r="L421" s="36">
        <v>42874</v>
      </c>
      <c r="M421" s="38">
        <v>0.46547453703703701</v>
      </c>
    </row>
    <row r="422" spans="1:13" ht="30" x14ac:dyDescent="0.25">
      <c r="A422" s="33" t="s">
        <v>72</v>
      </c>
      <c r="B422" s="34" t="str">
        <f>HYPERLINK("http://www.twitter.com/worcshealthlib", "worcshealthlib")</f>
        <v>worcshealthlib</v>
      </c>
      <c r="C422" s="33" t="s">
        <v>2701</v>
      </c>
      <c r="D422" s="33" t="s">
        <v>129</v>
      </c>
      <c r="E422" s="32" t="s">
        <v>2702</v>
      </c>
      <c r="F422" s="35">
        <v>191</v>
      </c>
      <c r="G422" s="35">
        <v>206</v>
      </c>
      <c r="H422" s="35">
        <v>295</v>
      </c>
      <c r="I422" s="35">
        <v>10</v>
      </c>
      <c r="J422" s="36">
        <v>42117</v>
      </c>
      <c r="K422" s="37">
        <v>0.52182870370370371</v>
      </c>
      <c r="L422" s="36">
        <v>42929</v>
      </c>
      <c r="M422" s="38">
        <v>0.63398148148148148</v>
      </c>
    </row>
    <row r="423" spans="1:13" x14ac:dyDescent="0.25">
      <c r="A423" s="33" t="s">
        <v>72</v>
      </c>
      <c r="B423" s="34" t="str">
        <f>HYPERLINK("http://www.twitter.com/thecometlibrary", "thecometlibrary")</f>
        <v>thecometlibrary</v>
      </c>
      <c r="C423" s="33" t="s">
        <v>3081</v>
      </c>
      <c r="D423" s="33" t="s">
        <v>3082</v>
      </c>
      <c r="F423" s="35">
        <v>207</v>
      </c>
      <c r="G423" s="35">
        <v>123</v>
      </c>
      <c r="H423" s="35">
        <v>293</v>
      </c>
      <c r="I423" s="35">
        <v>28</v>
      </c>
      <c r="J423" s="36">
        <v>42187</v>
      </c>
      <c r="K423" s="37">
        <v>0.55678240740740736</v>
      </c>
      <c r="L423" s="36">
        <v>42937</v>
      </c>
      <c r="M423" s="38">
        <v>0.34707175925925932</v>
      </c>
    </row>
    <row r="424" spans="1:13" ht="30" x14ac:dyDescent="0.25">
      <c r="A424" s="33" t="s">
        <v>72</v>
      </c>
      <c r="B424" s="34" t="str">
        <f>HYPERLINK("http://www.twitter.com/nddhlibrary", "nddhlibrary")</f>
        <v>nddhlibrary</v>
      </c>
      <c r="C424" s="33" t="s">
        <v>3433</v>
      </c>
      <c r="E424" s="32" t="s">
        <v>3434</v>
      </c>
      <c r="F424" s="35">
        <v>26</v>
      </c>
      <c r="G424" s="35">
        <v>34</v>
      </c>
      <c r="H424" s="35">
        <v>288</v>
      </c>
      <c r="I424" s="35">
        <v>7</v>
      </c>
      <c r="J424" s="36">
        <v>41584</v>
      </c>
      <c r="K424" s="37">
        <v>0.58858796296296301</v>
      </c>
      <c r="L424" s="36">
        <v>41894</v>
      </c>
      <c r="M424" s="38">
        <v>0.67553240740740739</v>
      </c>
    </row>
    <row r="425" spans="1:13" ht="45" x14ac:dyDescent="0.25">
      <c r="A425" s="33" t="s">
        <v>72</v>
      </c>
      <c r="B425" s="34" t="str">
        <f>HYPERLINK("http://www.twitter.com/SMC_Library", "SMC_Library")</f>
        <v>SMC_Library</v>
      </c>
      <c r="C425" s="33" t="s">
        <v>2741</v>
      </c>
      <c r="D425" s="33" t="s">
        <v>2742</v>
      </c>
      <c r="E425" s="32" t="s">
        <v>2743</v>
      </c>
      <c r="F425" s="35">
        <v>128</v>
      </c>
      <c r="G425" s="35">
        <v>195</v>
      </c>
      <c r="H425" s="35">
        <v>274</v>
      </c>
      <c r="I425" s="35">
        <v>22</v>
      </c>
      <c r="J425" s="36">
        <v>42229</v>
      </c>
      <c r="K425" s="37">
        <v>0.43225694444444446</v>
      </c>
      <c r="L425" s="36">
        <v>42926</v>
      </c>
      <c r="M425" s="38">
        <v>0.52351851851851849</v>
      </c>
    </row>
    <row r="426" spans="1:13" ht="45" x14ac:dyDescent="0.25">
      <c r="A426" s="33" t="s">
        <v>72</v>
      </c>
      <c r="B426" s="34" t="str">
        <f>HYPERLINK("http://www.twitter.com/hslib", "hslib")</f>
        <v>hslib</v>
      </c>
      <c r="C426" s="33" t="s">
        <v>3264</v>
      </c>
      <c r="D426" s="33" t="s">
        <v>3137</v>
      </c>
      <c r="E426" s="32" t="s">
        <v>3265</v>
      </c>
      <c r="F426" s="35">
        <v>29</v>
      </c>
      <c r="G426" s="35">
        <v>75</v>
      </c>
      <c r="H426" s="35">
        <v>273</v>
      </c>
      <c r="I426" s="35">
        <v>16</v>
      </c>
      <c r="J426" s="36">
        <v>40659</v>
      </c>
      <c r="K426" s="37">
        <v>0.52171296296296299</v>
      </c>
      <c r="L426" s="36">
        <v>42930</v>
      </c>
      <c r="M426" s="38">
        <v>0.61643518518518514</v>
      </c>
    </row>
    <row r="427" spans="1:13" ht="45" x14ac:dyDescent="0.25">
      <c r="A427" s="33" t="s">
        <v>72</v>
      </c>
      <c r="B427" s="34" t="str">
        <f>HYPERLINK("http://www.twitter.com/CHFTLibrary", "CHFTLibrary")</f>
        <v>CHFTLibrary</v>
      </c>
      <c r="C427" s="33" t="s">
        <v>2305</v>
      </c>
      <c r="D427" s="33" t="s">
        <v>2306</v>
      </c>
      <c r="E427" s="32" t="s">
        <v>2307</v>
      </c>
      <c r="F427" s="35">
        <v>281</v>
      </c>
      <c r="G427" s="35">
        <v>294</v>
      </c>
      <c r="H427" s="35">
        <v>270</v>
      </c>
      <c r="I427" s="35">
        <v>36</v>
      </c>
      <c r="J427" s="36">
        <v>41911</v>
      </c>
      <c r="K427" s="37">
        <v>0.43964120370370369</v>
      </c>
      <c r="L427" s="36">
        <v>42786</v>
      </c>
      <c r="M427" s="38">
        <v>0.64400462962962968</v>
      </c>
    </row>
    <row r="428" spans="1:13" ht="45" x14ac:dyDescent="0.25">
      <c r="A428" s="33" t="s">
        <v>72</v>
      </c>
      <c r="B428" s="34" t="str">
        <f>HYPERLINK("http://www.twitter.com/lthtlib", "lthtlib")</f>
        <v>lthtlib</v>
      </c>
      <c r="C428" s="33" t="s">
        <v>2773</v>
      </c>
      <c r="D428" s="33" t="s">
        <v>2774</v>
      </c>
      <c r="E428" s="32" t="s">
        <v>2775</v>
      </c>
      <c r="F428" s="35">
        <v>238</v>
      </c>
      <c r="G428" s="35">
        <v>203</v>
      </c>
      <c r="H428" s="35">
        <v>268</v>
      </c>
      <c r="I428" s="35">
        <v>137</v>
      </c>
      <c r="J428" s="36">
        <v>42515</v>
      </c>
      <c r="K428" s="37">
        <v>0.3911458333333333</v>
      </c>
      <c r="L428" s="36">
        <v>42937</v>
      </c>
      <c r="M428" s="38">
        <v>0.55746527777777777</v>
      </c>
    </row>
    <row r="429" spans="1:13" ht="45" x14ac:dyDescent="0.25">
      <c r="A429" s="33" t="s">
        <v>72</v>
      </c>
      <c r="B429" s="34" t="str">
        <f>HYPERLINK("http://www.twitter.com/THFTKLS", "THFTKLS")</f>
        <v>THFTKLS</v>
      </c>
      <c r="C429" s="33" t="s">
        <v>3103</v>
      </c>
      <c r="D429" s="33" t="s">
        <v>3104</v>
      </c>
      <c r="E429" s="32" t="s">
        <v>3105</v>
      </c>
      <c r="F429" s="35">
        <v>53</v>
      </c>
      <c r="G429" s="35">
        <v>110</v>
      </c>
      <c r="H429" s="35">
        <v>240</v>
      </c>
      <c r="I429" s="35">
        <v>0</v>
      </c>
      <c r="J429" s="36">
        <v>41535</v>
      </c>
      <c r="K429" s="37">
        <v>0.36186342592592591</v>
      </c>
      <c r="L429" s="36">
        <v>42122</v>
      </c>
      <c r="M429" s="38">
        <v>0.35417824074074072</v>
      </c>
    </row>
    <row r="430" spans="1:13" ht="45" x14ac:dyDescent="0.25">
      <c r="A430" s="33" t="s">
        <v>72</v>
      </c>
      <c r="B430" s="34" t="str">
        <f>HYPERLINK("http://www.twitter.com/musgrovesompar", "musgrovesompar")</f>
        <v>musgrovesompar</v>
      </c>
      <c r="C430" s="33" t="s">
        <v>2810</v>
      </c>
      <c r="D430" s="33" t="s">
        <v>2811</v>
      </c>
      <c r="E430" s="32" t="s">
        <v>3729</v>
      </c>
      <c r="F430" s="35">
        <v>165</v>
      </c>
      <c r="G430" s="35">
        <v>190</v>
      </c>
      <c r="H430" s="35">
        <v>238</v>
      </c>
      <c r="I430" s="35">
        <v>136</v>
      </c>
      <c r="J430" s="36">
        <v>41761</v>
      </c>
      <c r="K430" s="37">
        <v>0.61694444444444441</v>
      </c>
      <c r="L430" s="36">
        <v>42929</v>
      </c>
      <c r="M430" s="38">
        <v>0.49339120370370365</v>
      </c>
    </row>
    <row r="431" spans="1:13" ht="60" x14ac:dyDescent="0.25">
      <c r="A431" s="33" t="s">
        <v>72</v>
      </c>
      <c r="B431" s="34" t="str">
        <f>HYPERLINK("http://www.twitter.com/SWBHLibrary", "SWBHLibrary")</f>
        <v>SWBHLibrary</v>
      </c>
      <c r="C431" s="33" t="s">
        <v>2556</v>
      </c>
      <c r="D431" s="33" t="s">
        <v>2557</v>
      </c>
      <c r="E431" s="32" t="s">
        <v>2558</v>
      </c>
      <c r="F431" s="35">
        <v>221</v>
      </c>
      <c r="G431" s="35">
        <v>236</v>
      </c>
      <c r="H431" s="35">
        <v>236</v>
      </c>
      <c r="I431" s="35">
        <v>210</v>
      </c>
      <c r="J431" s="36">
        <v>42194</v>
      </c>
      <c r="K431" s="37">
        <v>0.62618055555555563</v>
      </c>
      <c r="L431" s="36">
        <v>42940</v>
      </c>
      <c r="M431" s="38">
        <v>0.37644675925925924</v>
      </c>
    </row>
    <row r="432" spans="1:13" ht="30" x14ac:dyDescent="0.25">
      <c r="A432" s="33" t="s">
        <v>72</v>
      </c>
      <c r="B432" s="34" t="str">
        <f>HYPERLINK("http://www.twitter.com/CghLib", "CghLib")</f>
        <v>CghLib</v>
      </c>
      <c r="C432" s="33" t="s">
        <v>2849</v>
      </c>
      <c r="D432" s="33" t="s">
        <v>2850</v>
      </c>
      <c r="E432" s="32" t="s">
        <v>2851</v>
      </c>
      <c r="F432" s="35">
        <v>292</v>
      </c>
      <c r="G432" s="35">
        <v>194</v>
      </c>
      <c r="H432" s="35">
        <v>230</v>
      </c>
      <c r="I432" s="35">
        <v>88</v>
      </c>
      <c r="J432" s="36">
        <v>42321</v>
      </c>
      <c r="K432" s="37">
        <v>0.5390625</v>
      </c>
      <c r="L432" s="36">
        <v>42940</v>
      </c>
      <c r="M432" s="38">
        <v>0.55892361111111111</v>
      </c>
    </row>
    <row r="433" spans="1:13" ht="30" x14ac:dyDescent="0.25">
      <c r="A433" s="33" t="s">
        <v>72</v>
      </c>
      <c r="B433" s="34" t="str">
        <f>HYPERLINK("http://www.twitter.com/discoverylib", "discoverylib")</f>
        <v>discoverylib</v>
      </c>
      <c r="C433" s="33" t="s">
        <v>3142</v>
      </c>
      <c r="D433" s="33" t="s">
        <v>3143</v>
      </c>
      <c r="E433" s="32" t="s">
        <v>3144</v>
      </c>
      <c r="F433" s="35">
        <v>51</v>
      </c>
      <c r="G433" s="35">
        <v>98</v>
      </c>
      <c r="H433" s="35">
        <v>196</v>
      </c>
      <c r="I433" s="35">
        <v>7</v>
      </c>
      <c r="J433" s="36">
        <v>41197</v>
      </c>
      <c r="K433" s="37">
        <v>0.45023148148148145</v>
      </c>
      <c r="L433" s="36">
        <v>42940</v>
      </c>
      <c r="M433" s="38">
        <v>0.61075231481481485</v>
      </c>
    </row>
    <row r="434" spans="1:13" ht="45" x14ac:dyDescent="0.25">
      <c r="A434" s="33" t="s">
        <v>72</v>
      </c>
      <c r="B434" s="34" t="str">
        <f>HYPERLINK("http://www.twitter.com/BodleianHCL", "BodleianHCL")</f>
        <v>BodleianHCL</v>
      </c>
      <c r="C434" s="33" t="s">
        <v>2766</v>
      </c>
      <c r="E434" s="32" t="s">
        <v>2767</v>
      </c>
      <c r="F434" s="35">
        <v>102</v>
      </c>
      <c r="G434" s="35">
        <v>193</v>
      </c>
      <c r="H434" s="35">
        <v>192</v>
      </c>
      <c r="I434" s="35">
        <v>0</v>
      </c>
      <c r="J434" s="36">
        <v>41863</v>
      </c>
      <c r="K434" s="37">
        <v>0.42090277777777779</v>
      </c>
      <c r="L434" s="36">
        <v>42935</v>
      </c>
      <c r="M434" s="38">
        <v>2.3298611111111107E-2</v>
      </c>
    </row>
    <row r="435" spans="1:13" x14ac:dyDescent="0.25">
      <c r="A435" s="33" t="s">
        <v>72</v>
      </c>
      <c r="B435" s="34" t="str">
        <f>HYPERLINK("http://www.twitter.com/FerrimanLib", "FerrimanLib")</f>
        <v>FerrimanLib</v>
      </c>
      <c r="C435" s="33" t="s">
        <v>3235</v>
      </c>
      <c r="D435" s="33" t="s">
        <v>3236</v>
      </c>
      <c r="E435" s="32" t="s">
        <v>3237</v>
      </c>
      <c r="F435" s="35">
        <v>225</v>
      </c>
      <c r="G435" s="35">
        <v>91</v>
      </c>
      <c r="H435" s="35">
        <v>191</v>
      </c>
      <c r="I435" s="35">
        <v>78</v>
      </c>
      <c r="J435" s="36">
        <v>42753</v>
      </c>
      <c r="K435" s="37">
        <v>0.62410879629629623</v>
      </c>
      <c r="L435" s="36">
        <v>42935</v>
      </c>
      <c r="M435" s="38">
        <v>0.5901157407407408</v>
      </c>
    </row>
    <row r="436" spans="1:13" ht="45" x14ac:dyDescent="0.25">
      <c r="A436" s="33" t="s">
        <v>72</v>
      </c>
      <c r="B436" s="34" t="str">
        <f>HYPERLINK("http://www.twitter.com/rschlibrary", "rschlibrary")</f>
        <v>rschlibrary</v>
      </c>
      <c r="C436" s="33" t="s">
        <v>2699</v>
      </c>
      <c r="D436" s="33" t="s">
        <v>296</v>
      </c>
      <c r="E436" s="32" t="s">
        <v>2700</v>
      </c>
      <c r="F436" s="35">
        <v>320</v>
      </c>
      <c r="G436" s="35">
        <v>198</v>
      </c>
      <c r="H436" s="35">
        <v>168</v>
      </c>
      <c r="I436" s="35">
        <v>28</v>
      </c>
      <c r="J436" s="36">
        <v>41299</v>
      </c>
      <c r="K436" s="37">
        <v>0.39825231481481477</v>
      </c>
      <c r="L436" s="36">
        <v>42934</v>
      </c>
      <c r="M436" s="38">
        <v>0.42768518518518522</v>
      </c>
    </row>
    <row r="437" spans="1:13" ht="30" x14ac:dyDescent="0.25">
      <c r="A437" s="33" t="s">
        <v>72</v>
      </c>
      <c r="B437" s="34" t="str">
        <f>HYPERLINK("http://www.twitter.com/LibraryBoltonft", "LibraryBoltonft")</f>
        <v>LibraryBoltonft</v>
      </c>
      <c r="C437" s="33" t="s">
        <v>2675</v>
      </c>
      <c r="D437" s="33" t="s">
        <v>2676</v>
      </c>
      <c r="E437" s="32" t="s">
        <v>2677</v>
      </c>
      <c r="F437" s="35">
        <v>49</v>
      </c>
      <c r="G437" s="35">
        <v>217</v>
      </c>
      <c r="H437" s="35">
        <v>164</v>
      </c>
      <c r="I437" s="35">
        <v>15</v>
      </c>
      <c r="J437" s="36">
        <v>41302</v>
      </c>
      <c r="K437" s="37">
        <v>0.56175925925925929</v>
      </c>
      <c r="L437" s="36">
        <v>42937</v>
      </c>
      <c r="M437" s="38">
        <v>0.42498842592592595</v>
      </c>
    </row>
    <row r="438" spans="1:13" ht="30" x14ac:dyDescent="0.25">
      <c r="A438" s="33" t="s">
        <v>72</v>
      </c>
      <c r="B438" s="34" t="str">
        <f>HYPERLINK("http://www.twitter.com/bwclibrary", "bwclibrary")</f>
        <v>bwclibrary</v>
      </c>
      <c r="C438" s="33" t="s">
        <v>3724</v>
      </c>
      <c r="D438" s="33" t="s">
        <v>926</v>
      </c>
      <c r="E438" s="32" t="s">
        <v>3725</v>
      </c>
      <c r="F438" s="35">
        <v>112</v>
      </c>
      <c r="G438" s="35">
        <v>124</v>
      </c>
      <c r="H438" s="35">
        <v>153</v>
      </c>
      <c r="I438" s="35">
        <v>62</v>
      </c>
      <c r="J438" s="36">
        <v>42409</v>
      </c>
      <c r="K438" s="37">
        <v>0.66934027777777771</v>
      </c>
      <c r="L438" s="36">
        <v>42940</v>
      </c>
      <c r="M438" s="38">
        <v>0.57037037037037031</v>
      </c>
    </row>
    <row r="439" spans="1:13" x14ac:dyDescent="0.25">
      <c r="A439" s="33" t="s">
        <v>72</v>
      </c>
      <c r="B439" s="34" t="str">
        <f>HYPERLINK("http://www.twitter.com/EoELibraries", "EoELibraries")</f>
        <v>EoELibraries</v>
      </c>
      <c r="C439" s="33" t="s">
        <v>3052</v>
      </c>
      <c r="E439" s="32" t="s">
        <v>3053</v>
      </c>
      <c r="F439" s="35">
        <v>81</v>
      </c>
      <c r="G439" s="35">
        <v>137</v>
      </c>
      <c r="H439" s="35">
        <v>152</v>
      </c>
      <c r="I439" s="35">
        <v>41</v>
      </c>
      <c r="J439" s="36">
        <v>42279</v>
      </c>
      <c r="K439" s="37">
        <v>0.84190972222222227</v>
      </c>
      <c r="L439" s="36">
        <v>42935</v>
      </c>
      <c r="M439" s="38">
        <v>0.60542824074074075</v>
      </c>
    </row>
    <row r="440" spans="1:13" ht="45" x14ac:dyDescent="0.25">
      <c r="A440" s="33" t="s">
        <v>72</v>
      </c>
      <c r="B440" s="34" t="str">
        <f>HYPERLINK("http://www.twitter.com/BTH_Library", "BTH_Library")</f>
        <v>BTH_Library</v>
      </c>
      <c r="C440" s="33" t="s">
        <v>2703</v>
      </c>
      <c r="D440" s="33" t="s">
        <v>2704</v>
      </c>
      <c r="E440" s="32" t="s">
        <v>2705</v>
      </c>
      <c r="F440" s="35">
        <v>151</v>
      </c>
      <c r="G440" s="35">
        <v>208</v>
      </c>
      <c r="H440" s="35">
        <v>150</v>
      </c>
      <c r="I440" s="35">
        <v>50</v>
      </c>
      <c r="J440" s="36">
        <v>42200</v>
      </c>
      <c r="K440" s="37">
        <v>0.53379629629629632</v>
      </c>
      <c r="L440" s="36">
        <v>42908</v>
      </c>
      <c r="M440" s="38">
        <v>0.55640046296296297</v>
      </c>
    </row>
    <row r="441" spans="1:13" ht="45" x14ac:dyDescent="0.25">
      <c r="A441" s="33" t="s">
        <v>72</v>
      </c>
      <c r="B441" s="34" t="str">
        <f>HYPERLINK("http://www.twitter.com/esthLISeducat", "esthLISeducat")</f>
        <v>esthLISeducat</v>
      </c>
      <c r="C441" s="33" t="s">
        <v>3435</v>
      </c>
      <c r="D441" s="33" t="s">
        <v>3436</v>
      </c>
      <c r="E441" s="32" t="s">
        <v>3437</v>
      </c>
      <c r="F441" s="35">
        <v>182</v>
      </c>
      <c r="G441" s="35">
        <v>72</v>
      </c>
      <c r="H441" s="35">
        <v>128</v>
      </c>
      <c r="I441" s="35">
        <v>160</v>
      </c>
      <c r="J441" s="36">
        <v>42229</v>
      </c>
      <c r="K441" s="37">
        <v>0.15439814814814815</v>
      </c>
      <c r="L441" s="36">
        <v>42940</v>
      </c>
      <c r="M441" s="38">
        <v>0.6449421296296296</v>
      </c>
    </row>
    <row r="442" spans="1:13" ht="45" x14ac:dyDescent="0.25">
      <c r="A442" s="33" t="s">
        <v>72</v>
      </c>
      <c r="B442" s="34" t="str">
        <f>HYPERLINK("http://www.twitter.com/YorkNHSLibrary", "YorkNHSLibrary")</f>
        <v>YorkNHSLibrary</v>
      </c>
      <c r="C442" s="33" t="s">
        <v>3177</v>
      </c>
      <c r="E442" s="32" t="s">
        <v>3178</v>
      </c>
      <c r="F442" s="35">
        <v>85</v>
      </c>
      <c r="G442" s="35">
        <v>102</v>
      </c>
      <c r="H442" s="35">
        <v>125</v>
      </c>
      <c r="I442" s="35">
        <v>51</v>
      </c>
      <c r="J442" s="36">
        <v>42678</v>
      </c>
      <c r="K442" s="37">
        <v>0.64931712962962962</v>
      </c>
      <c r="L442" s="36">
        <v>42940</v>
      </c>
      <c r="M442" s="38">
        <v>0.55145833333333327</v>
      </c>
    </row>
    <row r="443" spans="1:13" ht="30" x14ac:dyDescent="0.25">
      <c r="A443" s="33" t="s">
        <v>72</v>
      </c>
      <c r="B443" s="34" t="str">
        <f>HYPERLINK("http://www.twitter.com/nhctls", "nhctls")</f>
        <v>nhctls</v>
      </c>
      <c r="C443" s="33" t="s">
        <v>3182</v>
      </c>
      <c r="E443" s="32" t="s">
        <v>3183</v>
      </c>
      <c r="F443" s="35">
        <v>134</v>
      </c>
      <c r="G443" s="35">
        <v>100</v>
      </c>
      <c r="H443" s="35">
        <v>115</v>
      </c>
      <c r="I443" s="35">
        <v>14</v>
      </c>
      <c r="J443" s="36">
        <v>41171</v>
      </c>
      <c r="K443" s="37">
        <v>0.51474537037037038</v>
      </c>
      <c r="L443" s="36">
        <v>42940</v>
      </c>
      <c r="M443" s="38">
        <v>0.44497685185185182</v>
      </c>
    </row>
    <row r="444" spans="1:13" ht="45" x14ac:dyDescent="0.25">
      <c r="A444" s="33" t="s">
        <v>72</v>
      </c>
      <c r="B444" s="34" t="str">
        <f>HYPERLINK("http://www.twitter.com/RFHMLibrary", "RFHMLibrary")</f>
        <v>RFHMLibrary</v>
      </c>
      <c r="C444" s="33" t="s">
        <v>2967</v>
      </c>
      <c r="D444" s="33" t="s">
        <v>477</v>
      </c>
      <c r="E444" s="32" t="s">
        <v>2968</v>
      </c>
      <c r="F444" s="35">
        <v>358</v>
      </c>
      <c r="G444" s="35">
        <v>156</v>
      </c>
      <c r="H444" s="35">
        <v>113</v>
      </c>
      <c r="I444" s="35">
        <v>31</v>
      </c>
      <c r="J444" s="36">
        <v>42409</v>
      </c>
      <c r="K444" s="37">
        <v>0.65512731481481479</v>
      </c>
      <c r="L444" s="36">
        <v>42936</v>
      </c>
      <c r="M444" s="38">
        <v>0.44474537037037037</v>
      </c>
    </row>
    <row r="445" spans="1:13" ht="45" x14ac:dyDescent="0.25">
      <c r="A445" s="33" t="s">
        <v>72</v>
      </c>
      <c r="B445" s="34" t="str">
        <f>HYPERLINK("http://www.twitter.com/LibraryBW", "LibraryBW")</f>
        <v>LibraryBW</v>
      </c>
      <c r="C445" s="33" t="s">
        <v>3085</v>
      </c>
      <c r="D445" s="33" t="s">
        <v>3040</v>
      </c>
      <c r="E445" s="32" t="s">
        <v>3086</v>
      </c>
      <c r="F445" s="35">
        <v>165</v>
      </c>
      <c r="G445" s="35">
        <v>141</v>
      </c>
      <c r="H445" s="35">
        <v>111</v>
      </c>
      <c r="I445" s="35">
        <v>159</v>
      </c>
      <c r="J445" s="36">
        <v>42649</v>
      </c>
      <c r="K445" s="37">
        <v>0.66100694444444441</v>
      </c>
      <c r="L445" s="36">
        <v>42921</v>
      </c>
      <c r="M445" s="38">
        <v>0.80342592592592599</v>
      </c>
    </row>
    <row r="446" spans="1:13" ht="45" x14ac:dyDescent="0.25">
      <c r="A446" s="33" t="s">
        <v>72</v>
      </c>
      <c r="B446" s="34" t="str">
        <f>HYPERLINK("http://www.twitter.com/STHKNHSLibrary", "STHKNHSLibrary")</f>
        <v>STHKNHSLibrary</v>
      </c>
      <c r="C446" s="33" t="s">
        <v>3039</v>
      </c>
      <c r="D446" s="33" t="s">
        <v>3040</v>
      </c>
      <c r="E446" s="32" t="s">
        <v>3041</v>
      </c>
      <c r="F446" s="35">
        <v>188</v>
      </c>
      <c r="G446" s="35">
        <v>143</v>
      </c>
      <c r="H446" s="35">
        <v>111</v>
      </c>
      <c r="I446" s="35">
        <v>57</v>
      </c>
      <c r="J446" s="36">
        <v>42541</v>
      </c>
      <c r="K446" s="37">
        <v>0.56641203703703702</v>
      </c>
      <c r="L446" s="36">
        <v>42940</v>
      </c>
      <c r="M446" s="38">
        <v>0.37498842592592596</v>
      </c>
    </row>
    <row r="447" spans="1:13" ht="30" x14ac:dyDescent="0.25">
      <c r="A447" s="33" t="s">
        <v>72</v>
      </c>
      <c r="B447" s="34" t="str">
        <f>HYPERLINK("http://www.twitter.com/nelft_library", "nelft_library")</f>
        <v>nelft_library</v>
      </c>
      <c r="C447" s="33" t="s">
        <v>3275</v>
      </c>
      <c r="D447" s="33" t="s">
        <v>3276</v>
      </c>
      <c r="E447" s="32" t="s">
        <v>3277</v>
      </c>
      <c r="F447" s="35">
        <v>120</v>
      </c>
      <c r="G447" s="35">
        <v>101</v>
      </c>
      <c r="H447" s="35">
        <v>105</v>
      </c>
      <c r="I447" s="35">
        <v>68</v>
      </c>
      <c r="J447" s="36">
        <v>42665</v>
      </c>
      <c r="K447" s="37">
        <v>0.78679398148148139</v>
      </c>
      <c r="L447" s="36">
        <v>42937</v>
      </c>
      <c r="M447" s="38">
        <v>0.55971064814814808</v>
      </c>
    </row>
    <row r="448" spans="1:13" ht="30" x14ac:dyDescent="0.25">
      <c r="A448" s="33" t="s">
        <v>72</v>
      </c>
      <c r="B448" s="34" t="str">
        <f>HYPERLINK("http://www.twitter.com/bhl_nhs", "bhl_nhs")</f>
        <v>bhl_nhs</v>
      </c>
      <c r="C448" s="33" t="s">
        <v>2878</v>
      </c>
      <c r="D448" s="33" t="s">
        <v>2879</v>
      </c>
      <c r="E448" s="32" t="s">
        <v>2880</v>
      </c>
      <c r="F448" s="35">
        <v>221</v>
      </c>
      <c r="G448" s="35">
        <v>173</v>
      </c>
      <c r="H448" s="35">
        <v>96</v>
      </c>
      <c r="I448" s="35">
        <v>4</v>
      </c>
      <c r="J448" s="36">
        <v>42513</v>
      </c>
      <c r="K448" s="37">
        <v>0.53857638888888892</v>
      </c>
      <c r="L448" s="36">
        <v>42935</v>
      </c>
      <c r="M448" s="38">
        <v>0.33380787037037035</v>
      </c>
    </row>
    <row r="449" spans="1:13" x14ac:dyDescent="0.25">
      <c r="A449" s="33" t="s">
        <v>72</v>
      </c>
      <c r="B449" s="34" t="str">
        <f>HYPERLINK("http://www.twitter.com/WHHKLS", "WHHKLS")</f>
        <v>WHHKLS</v>
      </c>
      <c r="C449" s="33" t="s">
        <v>3392</v>
      </c>
      <c r="D449" s="33" t="s">
        <v>251</v>
      </c>
      <c r="E449" s="32" t="s">
        <v>3393</v>
      </c>
      <c r="F449" s="35">
        <v>5</v>
      </c>
      <c r="G449" s="35">
        <v>46</v>
      </c>
      <c r="H449" s="35">
        <v>95</v>
      </c>
      <c r="I449" s="35">
        <v>0</v>
      </c>
      <c r="J449" s="36">
        <v>39933</v>
      </c>
      <c r="K449" s="37">
        <v>0.43800925925925926</v>
      </c>
      <c r="L449" s="36">
        <v>41753</v>
      </c>
      <c r="M449" s="38">
        <v>0.77553240740740748</v>
      </c>
    </row>
    <row r="450" spans="1:13" ht="30" x14ac:dyDescent="0.25">
      <c r="A450" s="33" t="s">
        <v>72</v>
      </c>
      <c r="B450" s="34" t="str">
        <f>HYPERLINK("http://www.twitter.com/KfHLearningZone", "KfHLearningZone")</f>
        <v>KfHLearningZone</v>
      </c>
      <c r="C450" s="33" t="s">
        <v>3244</v>
      </c>
      <c r="E450" s="32" t="s">
        <v>3245</v>
      </c>
      <c r="F450" s="35">
        <v>65</v>
      </c>
      <c r="G450" s="35">
        <v>79</v>
      </c>
      <c r="H450" s="35">
        <v>94</v>
      </c>
      <c r="I450" s="35">
        <v>5</v>
      </c>
      <c r="J450" s="36">
        <v>42328</v>
      </c>
      <c r="K450" s="37">
        <v>0.45853009259259259</v>
      </c>
      <c r="L450" s="36">
        <v>42825</v>
      </c>
      <c r="M450" s="38">
        <v>0.48092592592592592</v>
      </c>
    </row>
    <row r="451" spans="1:13" ht="45" x14ac:dyDescent="0.25">
      <c r="A451" s="33" t="s">
        <v>72</v>
      </c>
      <c r="B451" s="34" t="str">
        <f>HYPERLINK("http://www.twitter.com/ABMU_libraries5", "ABMU_libraries5")</f>
        <v>ABMU_libraries5</v>
      </c>
      <c r="C451" s="33" t="s">
        <v>2965</v>
      </c>
      <c r="E451" s="32" t="s">
        <v>2966</v>
      </c>
      <c r="F451" s="35">
        <v>199</v>
      </c>
      <c r="G451" s="35">
        <v>163</v>
      </c>
      <c r="H451" s="35">
        <v>91</v>
      </c>
      <c r="I451" s="35">
        <v>23</v>
      </c>
      <c r="J451" s="36">
        <v>42025</v>
      </c>
      <c r="K451" s="37">
        <v>0.52771990740740737</v>
      </c>
      <c r="L451" s="36">
        <v>42936</v>
      </c>
      <c r="M451" s="38">
        <v>0.61354166666666665</v>
      </c>
    </row>
    <row r="452" spans="1:13" ht="30" x14ac:dyDescent="0.25">
      <c r="A452" s="33" t="s">
        <v>72</v>
      </c>
      <c r="B452" s="34" t="str">
        <f>HYPERLINK("http://www.twitter.com/SWFTLibrary", "SWFTLibrary")</f>
        <v>SWFTLibrary</v>
      </c>
      <c r="C452" s="33" t="s">
        <v>3456</v>
      </c>
      <c r="D452" s="33" t="s">
        <v>3457</v>
      </c>
      <c r="E452" s="32" t="s">
        <v>3458</v>
      </c>
      <c r="F452" s="35">
        <v>87</v>
      </c>
      <c r="G452" s="35">
        <v>30</v>
      </c>
      <c r="H452" s="35">
        <v>90</v>
      </c>
      <c r="I452" s="35">
        <v>0</v>
      </c>
      <c r="J452" s="36">
        <v>42089</v>
      </c>
      <c r="K452" s="37">
        <v>0.40023148148148152</v>
      </c>
      <c r="L452" s="36">
        <v>42919</v>
      </c>
      <c r="M452" s="38">
        <v>0.66728009259259258</v>
      </c>
    </row>
    <row r="453" spans="1:13" x14ac:dyDescent="0.25">
      <c r="A453" s="33" t="s">
        <v>72</v>
      </c>
      <c r="B453" s="34" t="str">
        <f>HYPERLINK("http://www.twitter.com/WHHTLibraries", "WHHTLibraries")</f>
        <v>WHHTLibraries</v>
      </c>
      <c r="C453" s="33" t="s">
        <v>3499</v>
      </c>
      <c r="F453" s="35">
        <v>23</v>
      </c>
      <c r="G453" s="35">
        <v>15</v>
      </c>
      <c r="H453" s="35">
        <v>71</v>
      </c>
      <c r="I453" s="35">
        <v>1</v>
      </c>
      <c r="J453" s="36">
        <v>42437</v>
      </c>
      <c r="K453" s="37">
        <v>0.4679976851851852</v>
      </c>
      <c r="L453" s="36">
        <v>42940</v>
      </c>
      <c r="M453" s="38">
        <v>0.41572916666666665</v>
      </c>
    </row>
    <row r="454" spans="1:13" ht="45" x14ac:dyDescent="0.25">
      <c r="A454" s="33" t="s">
        <v>72</v>
      </c>
      <c r="B454" s="34" t="str">
        <f>HYPERLINK("http://www.twitter.com/AwpLibrary", "AwpLibrary")</f>
        <v>AwpLibrary</v>
      </c>
      <c r="C454" s="33" t="s">
        <v>3358</v>
      </c>
      <c r="D454" s="33" t="s">
        <v>2679</v>
      </c>
      <c r="E454" s="32" t="s">
        <v>3359</v>
      </c>
      <c r="F454" s="35">
        <v>95</v>
      </c>
      <c r="G454" s="35">
        <v>68</v>
      </c>
      <c r="H454" s="35">
        <v>70</v>
      </c>
      <c r="I454" s="35">
        <v>9</v>
      </c>
      <c r="J454" s="36">
        <v>42849</v>
      </c>
      <c r="K454" s="37">
        <v>0.61368055555555556</v>
      </c>
      <c r="L454" s="36">
        <v>42940</v>
      </c>
      <c r="M454" s="38">
        <v>0.39656249999999998</v>
      </c>
    </row>
    <row r="455" spans="1:13" ht="45" x14ac:dyDescent="0.25">
      <c r="A455" s="33" t="s">
        <v>72</v>
      </c>
      <c r="B455" s="34" t="str">
        <f>HYPERLINK("http://www.twitter.com/InnovateNHSLMC", "InnovateNHSLMC")</f>
        <v>InnovateNHSLMC</v>
      </c>
      <c r="C455" s="33" t="s">
        <v>3027</v>
      </c>
      <c r="D455" s="33" t="s">
        <v>3169</v>
      </c>
      <c r="E455" s="32" t="s">
        <v>3170</v>
      </c>
      <c r="F455" s="35">
        <v>59</v>
      </c>
      <c r="G455" s="35">
        <v>92</v>
      </c>
      <c r="H455" s="35">
        <v>65</v>
      </c>
      <c r="I455" s="35">
        <v>9</v>
      </c>
      <c r="J455" s="36">
        <v>42269</v>
      </c>
      <c r="K455" s="37">
        <v>0.56495370370370368</v>
      </c>
      <c r="L455" s="36">
        <v>42649</v>
      </c>
      <c r="M455" s="38">
        <v>0.78015046296296298</v>
      </c>
    </row>
    <row r="456" spans="1:13" ht="30" x14ac:dyDescent="0.25">
      <c r="A456" s="33" t="s">
        <v>72</v>
      </c>
      <c r="B456" s="34" t="str">
        <f>HYPERLINK("http://www.twitter.com/HEYLKS", "HEYLKS")</f>
        <v>HEYLKS</v>
      </c>
      <c r="C456" s="33" t="s">
        <v>2491</v>
      </c>
      <c r="D456" s="33" t="s">
        <v>2492</v>
      </c>
      <c r="E456" s="32" t="s">
        <v>2493</v>
      </c>
      <c r="F456" s="35">
        <v>285</v>
      </c>
      <c r="G456" s="35">
        <v>252</v>
      </c>
      <c r="H456" s="35">
        <v>65</v>
      </c>
      <c r="I456" s="35">
        <v>0</v>
      </c>
      <c r="J456" s="36">
        <v>42241</v>
      </c>
      <c r="K456" s="37">
        <v>0.43932870370370369</v>
      </c>
      <c r="L456" s="36">
        <v>42919</v>
      </c>
      <c r="M456" s="38">
        <v>0.66763888888888889</v>
      </c>
    </row>
    <row r="457" spans="1:13" ht="30" x14ac:dyDescent="0.25">
      <c r="A457" s="33" t="s">
        <v>72</v>
      </c>
      <c r="B457" s="34" t="str">
        <f>HYPERLINK("http://www.twitter.com/UoNMHSLib", "UoNMHSLib")</f>
        <v>UoNMHSLib</v>
      </c>
      <c r="C457" s="33" t="s">
        <v>3090</v>
      </c>
      <c r="D457" s="33" t="s">
        <v>3091</v>
      </c>
      <c r="E457" s="32" t="s">
        <v>3092</v>
      </c>
      <c r="F457" s="35">
        <v>173</v>
      </c>
      <c r="G457" s="35">
        <v>110</v>
      </c>
      <c r="H457" s="35">
        <v>63</v>
      </c>
      <c r="I457" s="35">
        <v>1</v>
      </c>
      <c r="J457" s="36">
        <v>40533</v>
      </c>
      <c r="K457" s="37">
        <v>0.50810185185185186</v>
      </c>
      <c r="L457" s="36">
        <v>41684</v>
      </c>
      <c r="M457" s="38">
        <v>0.40340277777777778</v>
      </c>
    </row>
    <row r="458" spans="1:13" ht="45" x14ac:dyDescent="0.25">
      <c r="A458" s="33" t="s">
        <v>72</v>
      </c>
      <c r="B458" s="34" t="str">
        <f>HYPERLINK("http://www.twitter.com/jpagetlibrary", "jpagetlibrary")</f>
        <v>jpagetlibrary</v>
      </c>
      <c r="C458" s="33" t="s">
        <v>3156</v>
      </c>
      <c r="D458" s="33" t="s">
        <v>3157</v>
      </c>
      <c r="E458" s="32" t="s">
        <v>3158</v>
      </c>
      <c r="F458" s="35">
        <v>35</v>
      </c>
      <c r="G458" s="35">
        <v>103</v>
      </c>
      <c r="H458" s="35">
        <v>42</v>
      </c>
      <c r="I458" s="35">
        <v>75</v>
      </c>
      <c r="J458" s="36">
        <v>42475</v>
      </c>
      <c r="K458" s="37">
        <v>0.4304398148148148</v>
      </c>
      <c r="L458" s="36">
        <v>42907</v>
      </c>
      <c r="M458" s="38">
        <v>0.43313657407407408</v>
      </c>
    </row>
    <row r="459" spans="1:13" ht="30" x14ac:dyDescent="0.25">
      <c r="A459" s="33" t="s">
        <v>72</v>
      </c>
      <c r="B459" s="34" t="str">
        <f>HYPERLINK("http://www.twitter.com/CpftLibrary", "CpftLibrary")</f>
        <v>CpftLibrary</v>
      </c>
      <c r="C459" s="33" t="s">
        <v>3349</v>
      </c>
      <c r="E459" s="32" t="s">
        <v>3350</v>
      </c>
      <c r="F459" s="35">
        <v>11</v>
      </c>
      <c r="G459" s="35">
        <v>56</v>
      </c>
      <c r="H459" s="35">
        <v>29</v>
      </c>
      <c r="I459" s="35">
        <v>2</v>
      </c>
      <c r="J459" s="36">
        <v>42206</v>
      </c>
      <c r="K459" s="37">
        <v>0.393587962962963</v>
      </c>
      <c r="L459" s="36">
        <v>42851</v>
      </c>
      <c r="M459" s="38">
        <v>0.49546296296296299</v>
      </c>
    </row>
    <row r="460" spans="1:13" x14ac:dyDescent="0.25">
      <c r="A460" s="33" t="s">
        <v>72</v>
      </c>
      <c r="B460" s="34" t="str">
        <f>HYPERLINK("http://www.twitter.com/KLSBartsHealth", "KLSBartsHealth")</f>
        <v>KLSBartsHealth</v>
      </c>
      <c r="C460" s="33" t="s">
        <v>3493</v>
      </c>
      <c r="E460" s="32" t="s">
        <v>3494</v>
      </c>
      <c r="F460" s="35">
        <v>12</v>
      </c>
      <c r="G460" s="35">
        <v>15</v>
      </c>
      <c r="H460" s="35">
        <v>22</v>
      </c>
      <c r="I460" s="35">
        <v>0</v>
      </c>
      <c r="J460" s="36">
        <v>41004</v>
      </c>
      <c r="K460" s="37">
        <v>0.39420138888888889</v>
      </c>
      <c r="L460" s="36">
        <v>41165</v>
      </c>
      <c r="M460" s="38">
        <v>0.40559027777777779</v>
      </c>
    </row>
    <row r="461" spans="1:13" ht="30" x14ac:dyDescent="0.25">
      <c r="A461" s="33" t="s">
        <v>72</v>
      </c>
      <c r="B461" s="34" t="str">
        <f>HYPERLINK("http://www.twitter.com/HBlibrary", "HBlibrary")</f>
        <v>HBlibrary</v>
      </c>
      <c r="C461" s="33" t="s">
        <v>3343</v>
      </c>
      <c r="D461" s="33" t="s">
        <v>3344</v>
      </c>
      <c r="E461" s="32" t="s">
        <v>3345</v>
      </c>
      <c r="F461" s="35">
        <v>23</v>
      </c>
      <c r="G461" s="35">
        <v>54</v>
      </c>
      <c r="H461" s="35">
        <v>19</v>
      </c>
      <c r="I461" s="35">
        <v>0</v>
      </c>
      <c r="J461" s="36">
        <v>41031</v>
      </c>
      <c r="K461" s="37">
        <v>0.69517361111111109</v>
      </c>
      <c r="L461" s="36">
        <v>42717</v>
      </c>
      <c r="M461" s="38">
        <v>0.51871527777777782</v>
      </c>
    </row>
    <row r="462" spans="1:13" ht="45" x14ac:dyDescent="0.25">
      <c r="A462" s="33" t="s">
        <v>72</v>
      </c>
      <c r="B462" s="34" t="str">
        <f>HYPERLINK("http://www.twitter.com/eshNHS", "eshNHS")</f>
        <v>eshNHS</v>
      </c>
      <c r="C462" s="33" t="s">
        <v>3506</v>
      </c>
      <c r="D462" s="33" t="s">
        <v>296</v>
      </c>
      <c r="E462" s="32" t="s">
        <v>1842</v>
      </c>
      <c r="F462" s="35">
        <v>0</v>
      </c>
      <c r="G462" s="35">
        <v>13</v>
      </c>
      <c r="H462" s="35">
        <v>1</v>
      </c>
      <c r="I462" s="35">
        <v>0</v>
      </c>
      <c r="J462" s="36">
        <v>42031</v>
      </c>
      <c r="K462" s="37">
        <v>0.46028935185185182</v>
      </c>
      <c r="L462" s="36">
        <v>42031</v>
      </c>
      <c r="M462" s="38">
        <v>0.4767939814814815</v>
      </c>
    </row>
    <row r="463" spans="1:13" x14ac:dyDescent="0.25">
      <c r="A463" s="33" t="s">
        <v>72</v>
      </c>
      <c r="B463" s="34" t="str">
        <f>HYPERLINK("http://www.twitter.com/EdUniMedLIbrary", "EdUniMedLIbrary")</f>
        <v>EdUniMedLIbrary</v>
      </c>
      <c r="C463" s="33" t="s">
        <v>3505</v>
      </c>
      <c r="D463" s="33" t="s">
        <v>487</v>
      </c>
      <c r="F463" s="35">
        <v>31</v>
      </c>
      <c r="G463" s="35">
        <v>13</v>
      </c>
      <c r="H463" s="35">
        <v>0</v>
      </c>
      <c r="I463" s="35">
        <v>0</v>
      </c>
      <c r="J463" s="36">
        <v>42593</v>
      </c>
      <c r="K463" s="37">
        <v>0.59144675925925927</v>
      </c>
    </row>
    <row r="464" spans="1:13" ht="75" x14ac:dyDescent="0.25">
      <c r="A464" s="33" t="s">
        <v>22</v>
      </c>
      <c r="B464" s="34" t="str">
        <f>HYPERLINK("http://www.twitter.com/ByLeavesWeLive", "ByLeavesWeLive")</f>
        <v>ByLeavesWeLive</v>
      </c>
      <c r="C464" s="33" t="s">
        <v>23</v>
      </c>
      <c r="D464" s="33" t="s">
        <v>24</v>
      </c>
      <c r="E464" s="32" t="s">
        <v>25</v>
      </c>
      <c r="F464" s="35">
        <v>10982</v>
      </c>
      <c r="G464" s="35">
        <v>33376</v>
      </c>
      <c r="H464" s="35">
        <v>63843</v>
      </c>
      <c r="I464" s="35">
        <v>506</v>
      </c>
      <c r="J464" s="36">
        <v>39868</v>
      </c>
      <c r="K464" s="37">
        <v>0.62315972222222216</v>
      </c>
      <c r="L464" s="36">
        <v>42940</v>
      </c>
      <c r="M464" s="38">
        <v>0.67740740740740746</v>
      </c>
    </row>
    <row r="465" spans="1:13" ht="45" x14ac:dyDescent="0.25">
      <c r="A465" s="33" t="s">
        <v>22</v>
      </c>
      <c r="B465" s="34" t="str">
        <f>HYPERLINK("http://www.twitter.com/inner_temple", "inner_temple")</f>
        <v>inner_temple</v>
      </c>
      <c r="C465" s="33" t="s">
        <v>112</v>
      </c>
      <c r="D465" s="33" t="s">
        <v>36</v>
      </c>
      <c r="E465" s="32" t="s">
        <v>113</v>
      </c>
      <c r="F465" s="35">
        <v>404</v>
      </c>
      <c r="G465" s="35">
        <v>8749</v>
      </c>
      <c r="H465" s="35">
        <v>46849</v>
      </c>
      <c r="I465" s="35">
        <v>250</v>
      </c>
      <c r="J465" s="36">
        <v>39303</v>
      </c>
      <c r="K465" s="37">
        <v>0.45098379629629631</v>
      </c>
      <c r="L465" s="36">
        <v>42940</v>
      </c>
      <c r="M465" s="38">
        <v>0.46543981481481483</v>
      </c>
    </row>
    <row r="466" spans="1:13" ht="45" x14ac:dyDescent="0.25">
      <c r="A466" s="33" t="s">
        <v>22</v>
      </c>
      <c r="B466" s="34" t="str">
        <f>HYPERLINK("http://www.twitter.com/gladlib", "gladlib")</f>
        <v>gladlib</v>
      </c>
      <c r="C466" s="33" t="s">
        <v>154</v>
      </c>
      <c r="D466" s="33" t="s">
        <v>155</v>
      </c>
      <c r="E466" s="32" t="s">
        <v>156</v>
      </c>
      <c r="F466" s="35">
        <v>3540</v>
      </c>
      <c r="G466" s="35">
        <v>6556</v>
      </c>
      <c r="H466" s="35">
        <v>12049</v>
      </c>
      <c r="I466" s="35">
        <v>6327</v>
      </c>
      <c r="J466" s="36">
        <v>40408</v>
      </c>
      <c r="K466" s="37">
        <v>0.63671296296296298</v>
      </c>
      <c r="L466" s="36">
        <v>42940</v>
      </c>
      <c r="M466" s="38">
        <v>0.7087500000000001</v>
      </c>
    </row>
    <row r="467" spans="1:13" ht="45" x14ac:dyDescent="0.25">
      <c r="A467" s="33" t="s">
        <v>22</v>
      </c>
      <c r="B467" s="34" t="str">
        <f>HYPERLINK("http://www.twitter.com/womenslibrary", "womenslibrary")</f>
        <v>womenslibrary</v>
      </c>
      <c r="C467" s="33" t="s">
        <v>98</v>
      </c>
      <c r="D467" s="33" t="s">
        <v>99</v>
      </c>
      <c r="E467" s="32" t="s">
        <v>100</v>
      </c>
      <c r="F467" s="35">
        <v>6273</v>
      </c>
      <c r="G467" s="35">
        <v>10139</v>
      </c>
      <c r="H467" s="35">
        <v>11891</v>
      </c>
      <c r="I467" s="35">
        <v>11631</v>
      </c>
      <c r="J467" s="36">
        <v>39652</v>
      </c>
      <c r="K467" s="37">
        <v>0.42260416666666667</v>
      </c>
      <c r="L467" s="36">
        <v>42940</v>
      </c>
      <c r="M467" s="38">
        <v>0.59195601851851853</v>
      </c>
    </row>
    <row r="468" spans="1:13" ht="45" x14ac:dyDescent="0.25">
      <c r="A468" s="33" t="s">
        <v>22</v>
      </c>
      <c r="B468" s="34" t="str">
        <f>HYPERLINK("http://www.twitter.com/wienerlibrary", "wienerlibrary")</f>
        <v>wienerlibrary</v>
      </c>
      <c r="C468" s="33" t="s">
        <v>160</v>
      </c>
      <c r="D468" s="33" t="s">
        <v>36</v>
      </c>
      <c r="E468" s="32" t="s">
        <v>161</v>
      </c>
      <c r="F468" s="35">
        <v>1380</v>
      </c>
      <c r="G468" s="35">
        <v>6441</v>
      </c>
      <c r="H468" s="35">
        <v>9296</v>
      </c>
      <c r="I468" s="35">
        <v>4838</v>
      </c>
      <c r="J468" s="36">
        <v>40065</v>
      </c>
      <c r="K468" s="37">
        <v>0.35085648148148146</v>
      </c>
      <c r="L468" s="36">
        <v>42940</v>
      </c>
      <c r="M468" s="38">
        <v>0.6222685185185185</v>
      </c>
    </row>
    <row r="469" spans="1:13" ht="30" x14ac:dyDescent="0.25">
      <c r="A469" s="33" t="s">
        <v>22</v>
      </c>
      <c r="B469" s="34" t="str">
        <f>HYPERLINK("http://www.twitter.com/WellcomeLibrary", "WellcomeLibrary")</f>
        <v>WellcomeLibrary</v>
      </c>
      <c r="C469" s="33" t="s">
        <v>35</v>
      </c>
      <c r="D469" s="33" t="s">
        <v>36</v>
      </c>
      <c r="E469" s="32" t="s">
        <v>37</v>
      </c>
      <c r="F469" s="35">
        <v>1648</v>
      </c>
      <c r="G469" s="35">
        <v>26965</v>
      </c>
      <c r="H469" s="35">
        <v>9214</v>
      </c>
      <c r="I469" s="35">
        <v>2005</v>
      </c>
      <c r="J469" s="36">
        <v>39839</v>
      </c>
      <c r="K469" s="37">
        <v>0.68133101851851852</v>
      </c>
      <c r="L469" s="36">
        <v>42940</v>
      </c>
      <c r="M469" s="38">
        <v>0.52251157407407411</v>
      </c>
    </row>
    <row r="470" spans="1:13" ht="45" x14ac:dyDescent="0.25">
      <c r="A470" s="33" t="s">
        <v>22</v>
      </c>
      <c r="B470" s="34" t="str">
        <f>HYPERLINK("http://www.twitter.com/TheHiveWorcs", "TheHiveWorcs")</f>
        <v>TheHiveWorcs</v>
      </c>
      <c r="C470" s="33" t="s">
        <v>128</v>
      </c>
      <c r="D470" s="33" t="s">
        <v>129</v>
      </c>
      <c r="E470" s="32" t="s">
        <v>130</v>
      </c>
      <c r="F470" s="35">
        <v>1403</v>
      </c>
      <c r="G470" s="35">
        <v>7310</v>
      </c>
      <c r="H470" s="35">
        <v>9083</v>
      </c>
      <c r="I470" s="35">
        <v>336</v>
      </c>
      <c r="J470" s="36">
        <v>40879</v>
      </c>
      <c r="K470" s="37">
        <v>0.50224537037037031</v>
      </c>
      <c r="L470" s="36">
        <v>42940</v>
      </c>
      <c r="M470" s="38">
        <v>0.69101851851851848</v>
      </c>
    </row>
    <row r="471" spans="1:13" ht="30" x14ac:dyDescent="0.25">
      <c r="A471" s="33" t="s">
        <v>22</v>
      </c>
      <c r="B471" s="34" t="str">
        <f>HYPERLINK("http://www.twitter.com/feministlibrary", "feministlibrary")</f>
        <v>feministlibrary</v>
      </c>
      <c r="C471" s="33" t="s">
        <v>29</v>
      </c>
      <c r="D471" s="33" t="s">
        <v>30</v>
      </c>
      <c r="E471" s="32" t="s">
        <v>31</v>
      </c>
      <c r="F471" s="35">
        <v>2942</v>
      </c>
      <c r="G471" s="35">
        <v>30340</v>
      </c>
      <c r="H471" s="35">
        <v>8341</v>
      </c>
      <c r="I471" s="35">
        <v>1709</v>
      </c>
      <c r="J471" s="36">
        <v>39863</v>
      </c>
      <c r="K471" s="37">
        <v>0.49251157407407403</v>
      </c>
      <c r="L471" s="36">
        <v>42939</v>
      </c>
      <c r="M471" s="38">
        <v>0.82465277777777779</v>
      </c>
    </row>
    <row r="472" spans="1:13" ht="45" x14ac:dyDescent="0.25">
      <c r="A472" s="33" t="s">
        <v>22</v>
      </c>
      <c r="B472" s="34" t="str">
        <f>HYPERLINK("http://www.twitter.com/BishopsgateInst", "BishopsgateInst")</f>
        <v>BishopsgateInst</v>
      </c>
      <c r="C472" s="33" t="s">
        <v>131</v>
      </c>
      <c r="D472" s="33" t="s">
        <v>132</v>
      </c>
      <c r="E472" s="32" t="s">
        <v>133</v>
      </c>
      <c r="F472" s="35">
        <v>2692</v>
      </c>
      <c r="G472" s="35">
        <v>7219</v>
      </c>
      <c r="H472" s="35">
        <v>7666</v>
      </c>
      <c r="I472" s="35">
        <v>2376</v>
      </c>
      <c r="J472" s="36">
        <v>40144</v>
      </c>
      <c r="K472" s="37">
        <v>0.68795138888888896</v>
      </c>
      <c r="L472" s="36">
        <v>42940</v>
      </c>
      <c r="M472" s="38">
        <v>0.63900462962962956</v>
      </c>
    </row>
    <row r="473" spans="1:13" ht="45" x14ac:dyDescent="0.25">
      <c r="A473" s="33" t="s">
        <v>22</v>
      </c>
      <c r="B473" s="34" t="str">
        <f>HYPERLINK("http://www.twitter.com/Innerpeffray", "Innerpeffray")</f>
        <v>Innerpeffray</v>
      </c>
      <c r="C473" s="33" t="s">
        <v>469</v>
      </c>
      <c r="D473" s="33" t="s">
        <v>470</v>
      </c>
      <c r="E473" s="32" t="s">
        <v>471</v>
      </c>
      <c r="F473" s="35">
        <v>2910</v>
      </c>
      <c r="G473" s="35">
        <v>2665</v>
      </c>
      <c r="H473" s="35">
        <v>6887</v>
      </c>
      <c r="I473" s="35">
        <v>1699</v>
      </c>
      <c r="J473" s="36">
        <v>40450</v>
      </c>
      <c r="K473" s="37">
        <v>0.64552083333333332</v>
      </c>
      <c r="L473" s="36">
        <v>42940</v>
      </c>
      <c r="M473" s="38">
        <v>0.50876157407407407</v>
      </c>
    </row>
    <row r="474" spans="1:13" ht="45" x14ac:dyDescent="0.25">
      <c r="A474" s="33" t="s">
        <v>22</v>
      </c>
      <c r="B474" s="34" t="str">
        <f>HYPERLINK("http://www.twitter.com/TheLondonLib", "TheLondonLib")</f>
        <v>TheLondonLib</v>
      </c>
      <c r="C474" s="33" t="s">
        <v>49</v>
      </c>
      <c r="D474" s="33" t="s">
        <v>50</v>
      </c>
      <c r="E474" s="32" t="s">
        <v>51</v>
      </c>
      <c r="F474" s="35">
        <v>3363</v>
      </c>
      <c r="G474" s="35">
        <v>16857</v>
      </c>
      <c r="H474" s="35">
        <v>6858</v>
      </c>
      <c r="I474" s="35">
        <v>1661</v>
      </c>
      <c r="J474" s="36">
        <v>40462</v>
      </c>
      <c r="K474" s="37">
        <v>0.48030092592592594</v>
      </c>
      <c r="L474" s="36">
        <v>42940</v>
      </c>
      <c r="M474" s="38">
        <v>0.42725694444444445</v>
      </c>
    </row>
    <row r="475" spans="1:13" ht="30" x14ac:dyDescent="0.25">
      <c r="A475" s="33" t="s">
        <v>22</v>
      </c>
      <c r="B475" s="34" t="str">
        <f>HYPERLINK("http://www.twitter.com/theleedslibrary", "theleedslibrary")</f>
        <v>theleedslibrary</v>
      </c>
      <c r="C475" s="33" t="s">
        <v>743</v>
      </c>
      <c r="D475" s="33" t="s">
        <v>180</v>
      </c>
      <c r="E475" s="32" t="s">
        <v>744</v>
      </c>
      <c r="F475" s="35">
        <v>739</v>
      </c>
      <c r="G475" s="35">
        <v>1789</v>
      </c>
      <c r="H475" s="35">
        <v>6831</v>
      </c>
      <c r="I475" s="35">
        <v>5862</v>
      </c>
      <c r="J475" s="36">
        <v>40644</v>
      </c>
      <c r="K475" s="37">
        <v>0.43188657407407405</v>
      </c>
      <c r="L475" s="36">
        <v>42940</v>
      </c>
      <c r="M475" s="38">
        <v>0.29219907407407408</v>
      </c>
    </row>
    <row r="476" spans="1:13" ht="45" x14ac:dyDescent="0.25">
      <c r="A476" s="33" t="s">
        <v>22</v>
      </c>
      <c r="B476" s="34" t="str">
        <f>HYPERLINK("http://www.twitter.com/RNIBLibrary", "RNIBLibrary")</f>
        <v>RNIBLibrary</v>
      </c>
      <c r="C476" s="33" t="s">
        <v>295</v>
      </c>
      <c r="D476" s="33" t="s">
        <v>296</v>
      </c>
      <c r="E476" s="32" t="s">
        <v>297</v>
      </c>
      <c r="F476" s="35">
        <v>746</v>
      </c>
      <c r="G476" s="35">
        <v>3656</v>
      </c>
      <c r="H476" s="35">
        <v>6806</v>
      </c>
      <c r="I476" s="35">
        <v>351</v>
      </c>
      <c r="J476" s="36">
        <v>40221</v>
      </c>
      <c r="K476" s="37">
        <v>0.61267361111111118</v>
      </c>
      <c r="L476" s="36">
        <v>42940</v>
      </c>
      <c r="M476" s="38">
        <v>0.53508101851851853</v>
      </c>
    </row>
    <row r="477" spans="1:13" ht="30" x14ac:dyDescent="0.25">
      <c r="A477" s="33" t="s">
        <v>22</v>
      </c>
      <c r="B477" s="34" t="str">
        <f>HYPERLINK("http://www.twitter.com/BarbicanMusic", "BarbicanMusic")</f>
        <v>BarbicanMusic</v>
      </c>
      <c r="C477" s="33" t="s">
        <v>528</v>
      </c>
      <c r="D477" s="33" t="s">
        <v>529</v>
      </c>
      <c r="E477" s="32" t="s">
        <v>530</v>
      </c>
      <c r="F477" s="35">
        <v>2418</v>
      </c>
      <c r="G477" s="35">
        <v>2427</v>
      </c>
      <c r="H477" s="35">
        <v>5666</v>
      </c>
      <c r="I477" s="35">
        <v>5563</v>
      </c>
      <c r="J477" s="36">
        <v>40939</v>
      </c>
      <c r="K477" s="37">
        <v>0.60939814814814819</v>
      </c>
      <c r="L477" s="36">
        <v>42940</v>
      </c>
      <c r="M477" s="38">
        <v>0.67719907407407398</v>
      </c>
    </row>
    <row r="478" spans="1:13" ht="45" x14ac:dyDescent="0.25">
      <c r="A478" s="33" t="s">
        <v>22</v>
      </c>
      <c r="B478" s="34" t="str">
        <f>HYPERLINK("http://www.twitter.com/ChawtonHouse", "ChawtonHouse")</f>
        <v>ChawtonHouse</v>
      </c>
      <c r="C478" s="33" t="s">
        <v>151</v>
      </c>
      <c r="D478" s="33" t="s">
        <v>152</v>
      </c>
      <c r="E478" s="32" t="s">
        <v>153</v>
      </c>
      <c r="F478" s="35">
        <v>1789</v>
      </c>
      <c r="G478" s="35">
        <v>6664</v>
      </c>
      <c r="H478" s="35">
        <v>5416</v>
      </c>
      <c r="I478" s="35">
        <v>3093</v>
      </c>
      <c r="J478" s="36">
        <v>39981</v>
      </c>
      <c r="K478" s="37">
        <v>0.42494212962962963</v>
      </c>
      <c r="L478" s="36">
        <v>42940</v>
      </c>
      <c r="M478" s="38">
        <v>0.70537037037037031</v>
      </c>
    </row>
    <row r="479" spans="1:13" ht="45" x14ac:dyDescent="0.25">
      <c r="A479" s="33" t="s">
        <v>22</v>
      </c>
      <c r="B479" s="34" t="str">
        <f>HYPERLINK("http://www.twitter.com/GuildhallLib", "GuildhallLib")</f>
        <v>GuildhallLib</v>
      </c>
      <c r="C479" s="33" t="s">
        <v>162</v>
      </c>
      <c r="D479" s="33" t="s">
        <v>163</v>
      </c>
      <c r="E479" s="32" t="s">
        <v>164</v>
      </c>
      <c r="F479" s="35">
        <v>1377</v>
      </c>
      <c r="G479" s="35">
        <v>6259</v>
      </c>
      <c r="H479" s="35">
        <v>5361</v>
      </c>
      <c r="I479" s="35">
        <v>495</v>
      </c>
      <c r="J479" s="36">
        <v>40941</v>
      </c>
      <c r="K479" s="37">
        <v>0.65438657407407408</v>
      </c>
      <c r="L479" s="36">
        <v>42928</v>
      </c>
      <c r="M479" s="38">
        <v>0.50039351851851854</v>
      </c>
    </row>
    <row r="480" spans="1:13" ht="45" x14ac:dyDescent="0.25">
      <c r="A480" s="33" t="s">
        <v>22</v>
      </c>
      <c r="B480" s="34" t="str">
        <f>HYPERLINK("http://www.twitter.com/stbridelibrary", "stbridelibrary")</f>
        <v>stbridelibrary</v>
      </c>
      <c r="C480" s="33" t="s">
        <v>87</v>
      </c>
      <c r="D480" s="33" t="s">
        <v>88</v>
      </c>
      <c r="E480" s="32" t="s">
        <v>89</v>
      </c>
      <c r="F480" s="35">
        <v>5442</v>
      </c>
      <c r="G480" s="35">
        <v>10475</v>
      </c>
      <c r="H480" s="35">
        <v>5213</v>
      </c>
      <c r="I480" s="35">
        <v>3165</v>
      </c>
      <c r="J480" s="36">
        <v>39550</v>
      </c>
      <c r="K480" s="37">
        <v>0.39310185185185187</v>
      </c>
      <c r="L480" s="36">
        <v>42940</v>
      </c>
      <c r="M480" s="38">
        <v>0.64103009259259258</v>
      </c>
    </row>
    <row r="481" spans="1:13" ht="45" x14ac:dyDescent="0.25">
      <c r="A481" s="33" t="s">
        <v>22</v>
      </c>
      <c r="B481" s="34" t="str">
        <f>HYPERLINK("http://www.twitter.com/TheFlorrie", "TheFlorrie")</f>
        <v>TheFlorrie</v>
      </c>
      <c r="C481" s="33" t="s">
        <v>259</v>
      </c>
      <c r="D481" s="33" t="s">
        <v>260</v>
      </c>
      <c r="E481" s="32" t="s">
        <v>261</v>
      </c>
      <c r="F481" s="35">
        <v>1466</v>
      </c>
      <c r="G481" s="35">
        <v>4114</v>
      </c>
      <c r="H481" s="35">
        <v>4927</v>
      </c>
      <c r="I481" s="35">
        <v>5813</v>
      </c>
      <c r="J481" s="36">
        <v>40884</v>
      </c>
      <c r="K481" s="37">
        <v>0.62717592592592586</v>
      </c>
      <c r="L481" s="36">
        <v>42940</v>
      </c>
      <c r="M481" s="38">
        <v>0.56026620370370372</v>
      </c>
    </row>
    <row r="482" spans="1:13" ht="45" x14ac:dyDescent="0.25">
      <c r="A482" s="33" t="s">
        <v>22</v>
      </c>
      <c r="B482" s="34" t="str">
        <f>HYPERLINK("http://www.twitter.com/NHM_Library", "NHM_Library")</f>
        <v>NHM_Library</v>
      </c>
      <c r="C482" s="33" t="s">
        <v>143</v>
      </c>
      <c r="D482" s="33" t="s">
        <v>144</v>
      </c>
      <c r="E482" s="32" t="s">
        <v>145</v>
      </c>
      <c r="F482" s="35">
        <v>1012</v>
      </c>
      <c r="G482" s="35">
        <v>6928</v>
      </c>
      <c r="H482" s="35">
        <v>4887</v>
      </c>
      <c r="I482" s="35">
        <v>797</v>
      </c>
      <c r="J482" s="36">
        <v>41149</v>
      </c>
      <c r="K482" s="37">
        <v>0.49313657407407407</v>
      </c>
      <c r="L482" s="36">
        <v>42938</v>
      </c>
      <c r="M482" s="38">
        <v>0.89189814814814816</v>
      </c>
    </row>
    <row r="483" spans="1:13" x14ac:dyDescent="0.25">
      <c r="A483" s="33" t="s">
        <v>22</v>
      </c>
      <c r="B483" s="34" t="str">
        <f>HYPERLINK("http://www.twitter.com/Amgueddfa_Lib", "Amgueddfa_Lib")</f>
        <v>Amgueddfa_Lib</v>
      </c>
      <c r="C483" s="33" t="s">
        <v>1310</v>
      </c>
      <c r="D483" s="33" t="s">
        <v>427</v>
      </c>
      <c r="E483" s="32" t="s">
        <v>1311</v>
      </c>
      <c r="F483" s="35">
        <v>352</v>
      </c>
      <c r="G483" s="35">
        <v>952</v>
      </c>
      <c r="H483" s="35">
        <v>4740</v>
      </c>
      <c r="I483" s="35">
        <v>536</v>
      </c>
      <c r="J483" s="36">
        <v>40870</v>
      </c>
      <c r="K483" s="37">
        <v>0.67211805555555548</v>
      </c>
      <c r="L483" s="36">
        <v>42940</v>
      </c>
      <c r="M483" s="38">
        <v>0.55678240740740736</v>
      </c>
    </row>
    <row r="484" spans="1:13" ht="45" x14ac:dyDescent="0.25">
      <c r="A484" s="33" t="s">
        <v>22</v>
      </c>
      <c r="B484" s="34" t="str">
        <f>HYPERLINK("http://www.twitter.com/Iniva_arts", "Iniva_arts")</f>
        <v>Iniva_arts</v>
      </c>
      <c r="C484" s="33" t="s">
        <v>52</v>
      </c>
      <c r="D484" s="33" t="s">
        <v>53</v>
      </c>
      <c r="E484" s="32" t="s">
        <v>54</v>
      </c>
      <c r="F484" s="35">
        <v>1861</v>
      </c>
      <c r="G484" s="35">
        <v>13826</v>
      </c>
      <c r="H484" s="35">
        <v>4301</v>
      </c>
      <c r="I484" s="35">
        <v>780</v>
      </c>
      <c r="J484" s="36">
        <v>40186</v>
      </c>
      <c r="K484" s="37">
        <v>0.60707175925925927</v>
      </c>
      <c r="L484" s="36">
        <v>42940</v>
      </c>
      <c r="M484" s="38">
        <v>0.55549768518518516</v>
      </c>
    </row>
    <row r="485" spans="1:13" ht="45" x14ac:dyDescent="0.25">
      <c r="A485" s="33" t="s">
        <v>22</v>
      </c>
      <c r="B485" s="34" t="str">
        <f>HYPERLINK("http://www.twitter.com/WetBlackBough", "WetBlackBough")</f>
        <v>WetBlackBough</v>
      </c>
      <c r="C485" s="33" t="s">
        <v>57</v>
      </c>
      <c r="D485" s="33" t="s">
        <v>58</v>
      </c>
      <c r="E485" s="32" t="s">
        <v>59</v>
      </c>
      <c r="F485" s="35">
        <v>993</v>
      </c>
      <c r="G485" s="35">
        <v>13242</v>
      </c>
      <c r="H485" s="35">
        <v>4184</v>
      </c>
      <c r="I485" s="35">
        <v>1315</v>
      </c>
      <c r="J485" s="36">
        <v>40192</v>
      </c>
      <c r="K485" s="37">
        <v>0.44710648148148152</v>
      </c>
      <c r="L485" s="36">
        <v>42937</v>
      </c>
      <c r="M485" s="38">
        <v>0.46916666666666668</v>
      </c>
    </row>
    <row r="486" spans="1:13" ht="30" x14ac:dyDescent="0.25">
      <c r="A486" s="33" t="s">
        <v>22</v>
      </c>
      <c r="B486" s="34" t="str">
        <f>HYPERLINK("http://www.twitter.com/chethamslibrary", "chethamslibrary")</f>
        <v>chethamslibrary</v>
      </c>
      <c r="C486" s="33" t="s">
        <v>200</v>
      </c>
      <c r="D486" s="33" t="s">
        <v>33</v>
      </c>
      <c r="E486" s="32" t="s">
        <v>201</v>
      </c>
      <c r="F486" s="35">
        <v>709</v>
      </c>
      <c r="G486" s="35">
        <v>5226</v>
      </c>
      <c r="H486" s="35">
        <v>3969</v>
      </c>
      <c r="I486" s="35">
        <v>1425</v>
      </c>
      <c r="J486" s="36">
        <v>41124</v>
      </c>
      <c r="K486" s="37">
        <v>0.44702546296296292</v>
      </c>
      <c r="L486" s="36">
        <v>42940</v>
      </c>
      <c r="M486" s="38">
        <v>0.69606481481481486</v>
      </c>
    </row>
    <row r="487" spans="1:13" ht="45" x14ac:dyDescent="0.25">
      <c r="A487" s="33" t="s">
        <v>22</v>
      </c>
      <c r="B487" s="34" t="str">
        <f>HYPERLINK("http://www.twitter.com/wcmlibrary", "wcmlibrary")</f>
        <v>wcmlibrary</v>
      </c>
      <c r="C487" s="33" t="s">
        <v>224</v>
      </c>
      <c r="D487" s="33" t="s">
        <v>225</v>
      </c>
      <c r="E487" s="32" t="s">
        <v>226</v>
      </c>
      <c r="F487" s="35">
        <v>502</v>
      </c>
      <c r="G487" s="35">
        <v>4588</v>
      </c>
      <c r="H487" s="35">
        <v>3964</v>
      </c>
      <c r="I487" s="35">
        <v>534</v>
      </c>
      <c r="J487" s="36">
        <v>40220</v>
      </c>
      <c r="K487" s="37">
        <v>0.45715277777777774</v>
      </c>
      <c r="L487" s="36">
        <v>42940</v>
      </c>
      <c r="M487" s="38">
        <v>0.67082175925925924</v>
      </c>
    </row>
    <row r="488" spans="1:13" ht="45" x14ac:dyDescent="0.25">
      <c r="A488" s="33" t="s">
        <v>22</v>
      </c>
      <c r="B488" s="34" t="str">
        <f>HYPERLINK("http://www.twitter.com/ThePortico", "ThePortico")</f>
        <v>ThePortico</v>
      </c>
      <c r="C488" s="33" t="s">
        <v>171</v>
      </c>
      <c r="D488" s="33" t="s">
        <v>172</v>
      </c>
      <c r="E488" s="32" t="s">
        <v>173</v>
      </c>
      <c r="F488" s="35">
        <v>812</v>
      </c>
      <c r="G488" s="35">
        <v>6109</v>
      </c>
      <c r="H488" s="35">
        <v>3081</v>
      </c>
      <c r="I488" s="35">
        <v>1036</v>
      </c>
      <c r="J488" s="36">
        <v>40287</v>
      </c>
      <c r="K488" s="37">
        <v>0.36528935185185185</v>
      </c>
      <c r="L488" s="36">
        <v>42940</v>
      </c>
      <c r="M488" s="38">
        <v>0.58334490740740741</v>
      </c>
    </row>
    <row r="489" spans="1:13" ht="45" x14ac:dyDescent="0.25">
      <c r="A489" s="33" t="s">
        <v>22</v>
      </c>
      <c r="B489" s="34" t="str">
        <f>HYPERLINK("http://www.twitter.com/lampallib", "lampallib")</f>
        <v>lampallib</v>
      </c>
      <c r="C489" s="33" t="s">
        <v>125</v>
      </c>
      <c r="D489" s="33" t="s">
        <v>126</v>
      </c>
      <c r="E489" s="32" t="s">
        <v>127</v>
      </c>
      <c r="F489" s="35">
        <v>2574</v>
      </c>
      <c r="G489" s="35">
        <v>7381</v>
      </c>
      <c r="H489" s="35">
        <v>2646</v>
      </c>
      <c r="I489" s="35">
        <v>1759</v>
      </c>
      <c r="J489" s="36">
        <v>41335</v>
      </c>
      <c r="K489" s="37">
        <v>0.61391203703703701</v>
      </c>
      <c r="L489" s="36">
        <v>42937</v>
      </c>
      <c r="M489" s="38">
        <v>0.67525462962962957</v>
      </c>
    </row>
    <row r="490" spans="1:13" ht="45" x14ac:dyDescent="0.25">
      <c r="A490" s="33" t="s">
        <v>22</v>
      </c>
      <c r="B490" s="34" t="str">
        <f>HYPERLINK("http://www.twitter.com/litandphil", "litandphil")</f>
        <v>litandphil</v>
      </c>
      <c r="C490" s="33" t="s">
        <v>168</v>
      </c>
      <c r="D490" s="33" t="s">
        <v>169</v>
      </c>
      <c r="E490" s="32" t="s">
        <v>170</v>
      </c>
      <c r="F490" s="35">
        <v>458</v>
      </c>
      <c r="G490" s="35">
        <v>6057</v>
      </c>
      <c r="H490" s="35">
        <v>2632</v>
      </c>
      <c r="I490" s="35">
        <v>1479</v>
      </c>
      <c r="J490" s="36">
        <v>40151</v>
      </c>
      <c r="K490" s="37">
        <v>0.64034722222222229</v>
      </c>
      <c r="L490" s="36">
        <v>42938</v>
      </c>
      <c r="M490" s="38">
        <v>0.44167824074074075</v>
      </c>
    </row>
    <row r="491" spans="1:13" ht="45" x14ac:dyDescent="0.25">
      <c r="A491" s="33" t="s">
        <v>22</v>
      </c>
      <c r="B491" s="34" t="str">
        <f>HYPERLINK("http://www.twitter.com/commonslibrary", "commonslibrary")</f>
        <v>commonslibrary</v>
      </c>
      <c r="C491" s="33" t="s">
        <v>69</v>
      </c>
      <c r="D491" s="33" t="s">
        <v>70</v>
      </c>
      <c r="E491" s="32" t="s">
        <v>71</v>
      </c>
      <c r="F491" s="35">
        <v>1068</v>
      </c>
      <c r="G491" s="35">
        <v>14569</v>
      </c>
      <c r="H491" s="35">
        <v>2572</v>
      </c>
      <c r="I491" s="35">
        <v>11</v>
      </c>
      <c r="J491" s="36">
        <v>40777</v>
      </c>
      <c r="K491" s="37">
        <v>0.46912037037037035</v>
      </c>
      <c r="L491" s="36">
        <v>42940</v>
      </c>
      <c r="M491" s="38">
        <v>0.58424768518518522</v>
      </c>
    </row>
    <row r="492" spans="1:13" ht="45" x14ac:dyDescent="0.25">
      <c r="A492" s="33" t="s">
        <v>22</v>
      </c>
      <c r="B492" s="34" t="str">
        <f>HYPERLINK("http://www.twitter.com/HighgateLitSci", "HighgateLitSci")</f>
        <v>HighgateLitSci</v>
      </c>
      <c r="C492" s="33" t="s">
        <v>719</v>
      </c>
      <c r="D492" s="33" t="s">
        <v>720</v>
      </c>
      <c r="E492" s="32" t="s">
        <v>721</v>
      </c>
      <c r="F492" s="35">
        <v>2234</v>
      </c>
      <c r="G492" s="35">
        <v>1854</v>
      </c>
      <c r="H492" s="35">
        <v>2548</v>
      </c>
      <c r="I492" s="35">
        <v>150</v>
      </c>
      <c r="J492" s="36">
        <v>40933</v>
      </c>
      <c r="K492" s="37">
        <v>0.67180555555555566</v>
      </c>
      <c r="L492" s="36">
        <v>42937</v>
      </c>
      <c r="M492" s="38">
        <v>0.62067129629629625</v>
      </c>
    </row>
    <row r="493" spans="1:13" ht="60" x14ac:dyDescent="0.25">
      <c r="A493" s="33" t="s">
        <v>22</v>
      </c>
      <c r="B493" s="34" t="str">
        <f>HYPERLINK("http://www.twitter.com/BromleyHouseLib", "BromleyHouseLib")</f>
        <v>BromleyHouseLib</v>
      </c>
      <c r="C493" s="33" t="s">
        <v>1045</v>
      </c>
      <c r="D493" s="33" t="s">
        <v>1046</v>
      </c>
      <c r="E493" s="32" t="s">
        <v>1047</v>
      </c>
      <c r="F493" s="35">
        <v>103</v>
      </c>
      <c r="G493" s="35">
        <v>1253</v>
      </c>
      <c r="H493" s="35">
        <v>2350</v>
      </c>
      <c r="I493" s="35">
        <v>1224</v>
      </c>
      <c r="J493" s="36">
        <v>41374</v>
      </c>
      <c r="K493" s="37">
        <v>0.55259259259259264</v>
      </c>
      <c r="L493" s="36">
        <v>42940</v>
      </c>
      <c r="M493" s="38">
        <v>0.65059027777777778</v>
      </c>
    </row>
    <row r="494" spans="1:13" ht="45" x14ac:dyDescent="0.25">
      <c r="A494" s="33" t="s">
        <v>22</v>
      </c>
      <c r="B494" s="34" t="str">
        <f>HYPERLINK("http://www.twitter.com/BRLSI", "BRLSI")</f>
        <v>BRLSI</v>
      </c>
      <c r="C494" s="33" t="s">
        <v>1242</v>
      </c>
      <c r="D494" s="33" t="s">
        <v>1098</v>
      </c>
      <c r="E494" s="32" t="s">
        <v>1243</v>
      </c>
      <c r="F494" s="35">
        <v>188</v>
      </c>
      <c r="G494" s="35">
        <v>987</v>
      </c>
      <c r="H494" s="35">
        <v>2238</v>
      </c>
      <c r="I494" s="35">
        <v>450</v>
      </c>
      <c r="J494" s="36">
        <v>40415</v>
      </c>
      <c r="K494" s="37">
        <v>0.53989583333333335</v>
      </c>
      <c r="L494" s="36">
        <v>42940</v>
      </c>
      <c r="M494" s="38">
        <v>0.28598379629629628</v>
      </c>
    </row>
    <row r="495" spans="1:13" ht="45" x14ac:dyDescent="0.25">
      <c r="A495" s="33" t="s">
        <v>22</v>
      </c>
      <c r="B495" s="34" t="str">
        <f>HYPERLINK("http://www.twitter.com/StuartHallLib", "StuartHallLib")</f>
        <v>StuartHallLib</v>
      </c>
      <c r="C495" s="33" t="s">
        <v>281</v>
      </c>
      <c r="D495" s="33" t="s">
        <v>53</v>
      </c>
      <c r="E495" s="32" t="s">
        <v>282</v>
      </c>
      <c r="F495" s="35">
        <v>1629</v>
      </c>
      <c r="G495" s="35">
        <v>3792</v>
      </c>
      <c r="H495" s="35">
        <v>2207</v>
      </c>
      <c r="I495" s="35">
        <v>160</v>
      </c>
      <c r="J495" s="36">
        <v>40451</v>
      </c>
      <c r="K495" s="37">
        <v>0.66005787037037034</v>
      </c>
      <c r="L495" s="36">
        <v>42934</v>
      </c>
      <c r="M495" s="38">
        <v>0.30069444444444443</v>
      </c>
    </row>
    <row r="496" spans="1:13" ht="30" x14ac:dyDescent="0.25">
      <c r="A496" s="33" t="s">
        <v>22</v>
      </c>
      <c r="B496" s="34" t="str">
        <f>HYPERLINK("http://www.twitter.com/BLMaps", "BLMaps")</f>
        <v>BLMaps</v>
      </c>
      <c r="C496" s="33" t="s">
        <v>109</v>
      </c>
      <c r="D496" s="33" t="s">
        <v>110</v>
      </c>
      <c r="E496" s="32" t="s">
        <v>111</v>
      </c>
      <c r="F496" s="35">
        <v>612</v>
      </c>
      <c r="G496" s="35">
        <v>9074</v>
      </c>
      <c r="H496" s="35">
        <v>2151</v>
      </c>
      <c r="I496" s="35">
        <v>544</v>
      </c>
      <c r="J496" s="36">
        <v>40822</v>
      </c>
      <c r="K496" s="37">
        <v>0.51005787037037031</v>
      </c>
      <c r="L496" s="36">
        <v>42935</v>
      </c>
      <c r="M496" s="38">
        <v>0.92792824074074076</v>
      </c>
    </row>
    <row r="497" spans="1:13" ht="60" x14ac:dyDescent="0.25">
      <c r="A497" s="33" t="s">
        <v>22</v>
      </c>
      <c r="B497" s="34" t="str">
        <f>HYPERLINK("http://www.twitter.com/RSM_Library", "RSM_Library")</f>
        <v>RSM_Library</v>
      </c>
      <c r="C497" s="33" t="s">
        <v>1443</v>
      </c>
      <c r="D497" s="33" t="s">
        <v>1444</v>
      </c>
      <c r="E497" s="32" t="s">
        <v>1445</v>
      </c>
      <c r="F497" s="35">
        <v>973</v>
      </c>
      <c r="G497" s="35">
        <v>817</v>
      </c>
      <c r="H497" s="35">
        <v>2048</v>
      </c>
      <c r="I497" s="35">
        <v>131</v>
      </c>
      <c r="J497" s="36">
        <v>40305</v>
      </c>
      <c r="K497" s="37">
        <v>0.47783564814814811</v>
      </c>
      <c r="L497" s="36">
        <v>42940</v>
      </c>
      <c r="M497" s="38">
        <v>0.50096064814814811</v>
      </c>
    </row>
    <row r="498" spans="1:13" ht="45" x14ac:dyDescent="0.25">
      <c r="A498" s="33" t="s">
        <v>22</v>
      </c>
      <c r="B498" s="34" t="str">
        <f>HYPERLINK("http://www.twitter.com/thelinenhall", "thelinenhall")</f>
        <v>thelinenhall</v>
      </c>
      <c r="C498" s="33" t="s">
        <v>227</v>
      </c>
      <c r="D498" s="33" t="s">
        <v>135</v>
      </c>
      <c r="E498" s="32" t="s">
        <v>228</v>
      </c>
      <c r="F498" s="35">
        <v>422</v>
      </c>
      <c r="G498" s="35">
        <v>4469</v>
      </c>
      <c r="H498" s="35">
        <v>2008</v>
      </c>
      <c r="I498" s="35">
        <v>24</v>
      </c>
      <c r="J498" s="36">
        <v>39888</v>
      </c>
      <c r="K498" s="37">
        <v>0.62862268518518516</v>
      </c>
      <c r="L498" s="36">
        <v>42940</v>
      </c>
      <c r="M498" s="38">
        <v>0.61738425925925922</v>
      </c>
    </row>
    <row r="499" spans="1:13" ht="45" x14ac:dyDescent="0.25">
      <c r="A499" s="33" t="s">
        <v>22</v>
      </c>
      <c r="B499" s="34" t="str">
        <f>HYPERLINK("http://www.twitter.com/CommonsSES", "CommonsSES")</f>
        <v>CommonsSES</v>
      </c>
      <c r="C499" s="33" t="s">
        <v>931</v>
      </c>
      <c r="D499" s="33" t="s">
        <v>70</v>
      </c>
      <c r="E499" s="32" t="s">
        <v>932</v>
      </c>
      <c r="F499" s="35">
        <v>817</v>
      </c>
      <c r="G499" s="35">
        <v>1426</v>
      </c>
      <c r="H499" s="35">
        <v>1974</v>
      </c>
      <c r="I499" s="35">
        <v>12</v>
      </c>
      <c r="J499" s="36">
        <v>41549</v>
      </c>
      <c r="K499" s="37">
        <v>0.53697916666666667</v>
      </c>
      <c r="L499" s="36">
        <v>42940</v>
      </c>
      <c r="M499" s="38">
        <v>0.64620370370370372</v>
      </c>
    </row>
    <row r="500" spans="1:13" ht="45" x14ac:dyDescent="0.25">
      <c r="A500" s="33" t="s">
        <v>22</v>
      </c>
      <c r="B500" s="34" t="str">
        <f>HYPERLINK("http://www.twitter.com/bmi1854", "bmi1854")</f>
        <v>bmi1854</v>
      </c>
      <c r="C500" s="33" t="s">
        <v>1240</v>
      </c>
      <c r="D500" s="33" t="s">
        <v>926</v>
      </c>
      <c r="E500" s="32" t="s">
        <v>1241</v>
      </c>
      <c r="F500" s="35">
        <v>879</v>
      </c>
      <c r="G500" s="35">
        <v>1008</v>
      </c>
      <c r="H500" s="35">
        <v>1732</v>
      </c>
      <c r="I500" s="35">
        <v>1148</v>
      </c>
      <c r="J500" s="36">
        <v>42221</v>
      </c>
      <c r="K500" s="37">
        <v>0.41974537037037035</v>
      </c>
      <c r="L500" s="36">
        <v>42937</v>
      </c>
      <c r="M500" s="38">
        <v>0.79268518518518516</v>
      </c>
    </row>
    <row r="501" spans="1:13" ht="30" x14ac:dyDescent="0.25">
      <c r="A501" s="33" t="s">
        <v>22</v>
      </c>
      <c r="B501" s="34" t="str">
        <f>HYPERLINK("http://www.twitter.com/TheWord_UK", "TheWord_UK")</f>
        <v>TheWord_UK</v>
      </c>
      <c r="C501" s="33" t="s">
        <v>914</v>
      </c>
      <c r="D501" s="33" t="s">
        <v>915</v>
      </c>
      <c r="E501" s="32" t="s">
        <v>916</v>
      </c>
      <c r="F501" s="35">
        <v>372</v>
      </c>
      <c r="G501" s="35">
        <v>1517</v>
      </c>
      <c r="H501" s="35">
        <v>1679</v>
      </c>
      <c r="I501" s="35">
        <v>1010</v>
      </c>
      <c r="J501" s="36">
        <v>42388</v>
      </c>
      <c r="K501" s="37">
        <v>0.6436574074074074</v>
      </c>
      <c r="L501" s="36">
        <v>42940</v>
      </c>
      <c r="M501" s="38">
        <v>0.59707175925925926</v>
      </c>
    </row>
    <row r="502" spans="1:13" ht="45" x14ac:dyDescent="0.25">
      <c r="A502" s="33" t="s">
        <v>22</v>
      </c>
      <c r="B502" s="34" t="str">
        <f>HYPERLINK("http://www.twitter.com/LSlawlibrary", "LSlawlibrary")</f>
        <v>LSlawlibrary</v>
      </c>
      <c r="C502" s="33" t="s">
        <v>609</v>
      </c>
      <c r="D502" s="33" t="s">
        <v>610</v>
      </c>
      <c r="E502" s="32" t="s">
        <v>3621</v>
      </c>
      <c r="F502" s="35">
        <v>263</v>
      </c>
      <c r="G502" s="35">
        <v>2227</v>
      </c>
      <c r="H502" s="35">
        <v>1510</v>
      </c>
      <c r="I502" s="35">
        <v>142</v>
      </c>
      <c r="J502" s="36">
        <v>41464</v>
      </c>
      <c r="K502" s="37">
        <v>0.41390046296296296</v>
      </c>
      <c r="L502" s="36">
        <v>42940</v>
      </c>
      <c r="M502" s="38">
        <v>0.56111111111111112</v>
      </c>
    </row>
    <row r="503" spans="1:13" ht="45" x14ac:dyDescent="0.25">
      <c r="A503" s="33" t="s">
        <v>22</v>
      </c>
      <c r="B503" s="34" t="str">
        <f>HYPERLINK("http://www.twitter.com/IHR_Library", "IHR_Library")</f>
        <v>IHR_Library</v>
      </c>
      <c r="C503" s="33" t="s">
        <v>1279</v>
      </c>
      <c r="D503" s="33" t="s">
        <v>1280</v>
      </c>
      <c r="E503" s="32" t="s">
        <v>3619</v>
      </c>
      <c r="F503" s="35">
        <v>785</v>
      </c>
      <c r="G503" s="35">
        <v>961</v>
      </c>
      <c r="H503" s="35">
        <v>1488</v>
      </c>
      <c r="I503" s="35">
        <v>365</v>
      </c>
      <c r="J503" s="36">
        <v>42472</v>
      </c>
      <c r="K503" s="37">
        <v>0.34372685185185187</v>
      </c>
      <c r="L503" s="36">
        <v>42940</v>
      </c>
      <c r="M503" s="38">
        <v>0.66237268518518522</v>
      </c>
    </row>
    <row r="504" spans="1:13" ht="30" x14ac:dyDescent="0.25">
      <c r="A504" s="33" t="s">
        <v>22</v>
      </c>
      <c r="B504" s="34" t="str">
        <f>HYPERLINK("http://www.twitter.com/GraysInnLibrary", "GraysInnLibrary")</f>
        <v>GraysInnLibrary</v>
      </c>
      <c r="C504" s="33" t="s">
        <v>1564</v>
      </c>
      <c r="D504" s="33" t="s">
        <v>477</v>
      </c>
      <c r="E504" s="32" t="s">
        <v>1565</v>
      </c>
      <c r="F504" s="35">
        <v>471</v>
      </c>
      <c r="G504" s="35">
        <v>725</v>
      </c>
      <c r="H504" s="35">
        <v>1209</v>
      </c>
      <c r="I504" s="35">
        <v>486</v>
      </c>
      <c r="J504" s="36">
        <v>42258</v>
      </c>
      <c r="K504" s="37">
        <v>0.46608796296296301</v>
      </c>
      <c r="L504" s="36">
        <v>42940</v>
      </c>
      <c r="M504" s="38">
        <v>0.58442129629629636</v>
      </c>
    </row>
    <row r="505" spans="1:13" x14ac:dyDescent="0.25">
      <c r="A505" s="33" t="s">
        <v>22</v>
      </c>
      <c r="B505" s="34" t="str">
        <f>HYPERLINK("http://www.twitter.com/WMFSLibrary", "WMFSLibrary")</f>
        <v>WMFSLibrary</v>
      </c>
      <c r="C505" s="33" t="s">
        <v>2155</v>
      </c>
      <c r="D505" s="33" t="s">
        <v>2156</v>
      </c>
      <c r="E505" s="32" t="s">
        <v>2157</v>
      </c>
      <c r="F505" s="35">
        <v>638</v>
      </c>
      <c r="G505" s="35">
        <v>356</v>
      </c>
      <c r="H505" s="35">
        <v>1127</v>
      </c>
      <c r="I505" s="35">
        <v>85</v>
      </c>
      <c r="J505" s="36">
        <v>41915</v>
      </c>
      <c r="K505" s="37">
        <v>0.56668981481481484</v>
      </c>
      <c r="L505" s="36">
        <v>42936</v>
      </c>
      <c r="M505" s="38">
        <v>0.9083564814814814</v>
      </c>
    </row>
    <row r="506" spans="1:13" x14ac:dyDescent="0.25">
      <c r="A506" s="33" t="s">
        <v>22</v>
      </c>
      <c r="B506" s="34" t="str">
        <f>HYPERLINK("http://www.twitter.com/librarychl", "librarychl")</f>
        <v>librarychl</v>
      </c>
      <c r="C506" s="33" t="s">
        <v>943</v>
      </c>
      <c r="D506" s="33" t="s">
        <v>1765</v>
      </c>
      <c r="E506" s="32" t="s">
        <v>1766</v>
      </c>
      <c r="F506" s="35">
        <v>941</v>
      </c>
      <c r="G506" s="35">
        <v>514</v>
      </c>
      <c r="H506" s="35">
        <v>1096</v>
      </c>
      <c r="I506" s="35">
        <v>25</v>
      </c>
      <c r="J506" s="36">
        <v>39983</v>
      </c>
      <c r="K506" s="37">
        <v>0.39855324074074078</v>
      </c>
      <c r="L506" s="36">
        <v>41620</v>
      </c>
      <c r="M506" s="38">
        <v>0.38221064814814815</v>
      </c>
    </row>
    <row r="507" spans="1:13" ht="45" x14ac:dyDescent="0.25">
      <c r="A507" s="33" t="s">
        <v>22</v>
      </c>
      <c r="B507" s="34" t="str">
        <f>HYPERLINK("http://www.twitter.com/HurdLibrary", "HurdLibrary")</f>
        <v>HurdLibrary</v>
      </c>
      <c r="C507" s="33" t="s">
        <v>1917</v>
      </c>
      <c r="D507" s="33" t="s">
        <v>1918</v>
      </c>
      <c r="E507" s="32" t="s">
        <v>1919</v>
      </c>
      <c r="F507" s="35">
        <v>414</v>
      </c>
      <c r="G507" s="35">
        <v>429</v>
      </c>
      <c r="H507" s="35">
        <v>1040</v>
      </c>
      <c r="I507" s="35">
        <v>8</v>
      </c>
      <c r="J507" s="36">
        <v>40851</v>
      </c>
      <c r="K507" s="37">
        <v>0.50041666666666662</v>
      </c>
      <c r="L507" s="36">
        <v>42937</v>
      </c>
      <c r="M507" s="38">
        <v>0.69009259259259259</v>
      </c>
    </row>
    <row r="508" spans="1:13" ht="45" x14ac:dyDescent="0.25">
      <c r="A508" s="33" t="s">
        <v>22</v>
      </c>
      <c r="B508" s="34" t="str">
        <f>HYPERLINK("http://www.twitter.com/BedesBooks", "BedesBooks")</f>
        <v>BedesBooks</v>
      </c>
      <c r="C508" s="33" t="s">
        <v>836</v>
      </c>
      <c r="D508" s="33" t="s">
        <v>837</v>
      </c>
      <c r="E508" s="32" t="s">
        <v>838</v>
      </c>
      <c r="F508" s="35">
        <v>707</v>
      </c>
      <c r="G508" s="35">
        <v>1552</v>
      </c>
      <c r="H508" s="35">
        <v>953</v>
      </c>
      <c r="I508" s="35">
        <v>32</v>
      </c>
      <c r="J508" s="36">
        <v>41172</v>
      </c>
      <c r="K508" s="37">
        <v>0.72229166666666667</v>
      </c>
      <c r="L508" s="36">
        <v>42940</v>
      </c>
      <c r="M508" s="38">
        <v>0.42418981481481483</v>
      </c>
    </row>
    <row r="509" spans="1:13" ht="45" x14ac:dyDescent="0.25">
      <c r="A509" s="33" t="s">
        <v>22</v>
      </c>
      <c r="B509" s="34" t="str">
        <f>HYPERLINK("http://www.twitter.com/WCCMusicLibrary", "WCCMusicLibrary")</f>
        <v>WCCMusicLibrary</v>
      </c>
      <c r="C509" s="33" t="s">
        <v>1923</v>
      </c>
      <c r="D509" s="33" t="s">
        <v>1924</v>
      </c>
      <c r="E509" s="32" t="s">
        <v>1925</v>
      </c>
      <c r="F509" s="35">
        <v>558</v>
      </c>
      <c r="G509" s="35">
        <v>437</v>
      </c>
      <c r="H509" s="35">
        <v>889</v>
      </c>
      <c r="I509" s="35">
        <v>3</v>
      </c>
      <c r="J509" s="36">
        <v>40978</v>
      </c>
      <c r="K509" s="37">
        <v>0.42921296296296302</v>
      </c>
      <c r="L509" s="36">
        <v>42940</v>
      </c>
      <c r="M509" s="38">
        <v>0.35143518518518518</v>
      </c>
    </row>
    <row r="510" spans="1:13" ht="30" x14ac:dyDescent="0.25">
      <c r="A510" s="33" t="s">
        <v>22</v>
      </c>
      <c r="B510" s="34" t="str">
        <f>HYPERLINK("http://www.twitter.com/GuildfordInst", "GuildfordInst")</f>
        <v>GuildfordInst</v>
      </c>
      <c r="C510" s="33" t="s">
        <v>1552</v>
      </c>
      <c r="D510" s="33" t="s">
        <v>1553</v>
      </c>
      <c r="E510" s="32" t="s">
        <v>1554</v>
      </c>
      <c r="F510" s="35">
        <v>582</v>
      </c>
      <c r="G510" s="35">
        <v>733</v>
      </c>
      <c r="H510" s="35">
        <v>684</v>
      </c>
      <c r="I510" s="35">
        <v>161</v>
      </c>
      <c r="J510" s="36">
        <v>41732</v>
      </c>
      <c r="K510" s="37">
        <v>0.38434027777777779</v>
      </c>
      <c r="L510" s="36">
        <v>42935</v>
      </c>
      <c r="M510" s="38">
        <v>0.45848379629629626</v>
      </c>
    </row>
    <row r="511" spans="1:13" ht="30" x14ac:dyDescent="0.25">
      <c r="A511" s="33" t="s">
        <v>22</v>
      </c>
      <c r="B511" s="34" t="str">
        <f>HYPERLINK("http://www.twitter.com/Libtog", "Libtog")</f>
        <v>Libtog</v>
      </c>
      <c r="C511" s="33" t="s">
        <v>2630</v>
      </c>
      <c r="D511" s="33" t="s">
        <v>2631</v>
      </c>
      <c r="E511" s="32" t="s">
        <v>2632</v>
      </c>
      <c r="F511" s="35">
        <v>213</v>
      </c>
      <c r="G511" s="35">
        <v>210</v>
      </c>
      <c r="H511" s="35">
        <v>682</v>
      </c>
      <c r="I511" s="35">
        <v>502</v>
      </c>
      <c r="J511" s="36">
        <v>41743</v>
      </c>
      <c r="K511" s="37">
        <v>0.35438657407407409</v>
      </c>
      <c r="L511" s="36">
        <v>42904</v>
      </c>
      <c r="M511" s="38">
        <v>0.84650462962962969</v>
      </c>
    </row>
    <row r="512" spans="1:13" ht="45" x14ac:dyDescent="0.25">
      <c r="A512" s="33" t="s">
        <v>22</v>
      </c>
      <c r="B512" s="34" t="str">
        <f>HYPERLINK("http://www.twitter.com/StPaulsColls", "StPaulsColls")</f>
        <v>StPaulsColls</v>
      </c>
      <c r="C512" s="33" t="s">
        <v>670</v>
      </c>
      <c r="E512" s="32" t="s">
        <v>671</v>
      </c>
      <c r="F512" s="35">
        <v>2954</v>
      </c>
      <c r="G512" s="35">
        <v>2039</v>
      </c>
      <c r="H512" s="35">
        <v>675</v>
      </c>
      <c r="I512" s="35">
        <v>654</v>
      </c>
      <c r="J512" s="36">
        <v>41477</v>
      </c>
      <c r="K512" s="37">
        <v>0.36990740740740741</v>
      </c>
      <c r="L512" s="36">
        <v>42911</v>
      </c>
      <c r="M512" s="38">
        <v>0.54166666666666663</v>
      </c>
    </row>
    <row r="513" spans="1:13" ht="45" x14ac:dyDescent="0.25">
      <c r="A513" s="33" t="s">
        <v>22</v>
      </c>
      <c r="B513" s="34" t="str">
        <f>HYPERLINK("http://www.twitter.com/devon_ex_inst", "devon_ex_inst")</f>
        <v>devon_ex_inst</v>
      </c>
      <c r="C513" s="33" t="s">
        <v>1960</v>
      </c>
      <c r="E513" s="32" t="s">
        <v>3620</v>
      </c>
      <c r="F513" s="35">
        <v>410</v>
      </c>
      <c r="G513" s="35">
        <v>426</v>
      </c>
      <c r="H513" s="35">
        <v>619</v>
      </c>
      <c r="I513" s="35">
        <v>733</v>
      </c>
      <c r="J513" s="36">
        <v>42123</v>
      </c>
      <c r="K513" s="37">
        <v>0.68572916666666661</v>
      </c>
      <c r="L513" s="36">
        <v>42937</v>
      </c>
      <c r="M513" s="38">
        <v>0.77674768518518522</v>
      </c>
    </row>
    <row r="514" spans="1:13" ht="45" x14ac:dyDescent="0.25">
      <c r="A514" s="33" t="s">
        <v>22</v>
      </c>
      <c r="B514" s="34" t="str">
        <f>HYPERLINK("http://www.twitter.com/NT_Libraries", "NT_Libraries")</f>
        <v>NT_Libraries</v>
      </c>
      <c r="C514" s="33" t="s">
        <v>1067</v>
      </c>
      <c r="D514" s="33" t="s">
        <v>296</v>
      </c>
      <c r="E514" s="32" t="s">
        <v>1068</v>
      </c>
      <c r="F514" s="35">
        <v>582</v>
      </c>
      <c r="G514" s="35">
        <v>1172</v>
      </c>
      <c r="H514" s="35">
        <v>409</v>
      </c>
      <c r="I514" s="35">
        <v>11</v>
      </c>
      <c r="J514" s="36">
        <v>40882</v>
      </c>
      <c r="K514" s="37">
        <v>0.84453703703703698</v>
      </c>
      <c r="L514" s="36">
        <v>42935</v>
      </c>
      <c r="M514" s="38">
        <v>0.81142361111111105</v>
      </c>
    </row>
    <row r="515" spans="1:13" ht="45" x14ac:dyDescent="0.25">
      <c r="A515" s="33" t="s">
        <v>22</v>
      </c>
      <c r="B515" s="34" t="str">
        <f>HYPERLINK("http://www.twitter.com/KILibrary", "KILibrary")</f>
        <v>KILibrary</v>
      </c>
      <c r="C515" s="33" t="s">
        <v>1835</v>
      </c>
      <c r="D515" s="33" t="s">
        <v>1836</v>
      </c>
      <c r="E515" s="32" t="s">
        <v>1837</v>
      </c>
      <c r="F515" s="35">
        <v>139</v>
      </c>
      <c r="G515" s="35">
        <v>512</v>
      </c>
      <c r="H515" s="35">
        <v>357</v>
      </c>
      <c r="I515" s="35">
        <v>128</v>
      </c>
      <c r="J515" s="36">
        <v>42076</v>
      </c>
      <c r="K515" s="37">
        <v>0.48910879629629633</v>
      </c>
      <c r="L515" s="36">
        <v>42930</v>
      </c>
      <c r="M515" s="38">
        <v>0.35076388888888888</v>
      </c>
    </row>
    <row r="516" spans="1:13" ht="30" x14ac:dyDescent="0.25">
      <c r="A516" s="33" t="s">
        <v>22</v>
      </c>
      <c r="B516" s="34" t="str">
        <f>HYPERLINK("http://www.twitter.com/WorCathLibrary", "WorCathLibrary")</f>
        <v>WorCathLibrary</v>
      </c>
      <c r="C516" s="33" t="s">
        <v>1861</v>
      </c>
      <c r="D516" s="33" t="s">
        <v>1862</v>
      </c>
      <c r="E516" s="32" t="s">
        <v>1863</v>
      </c>
      <c r="F516" s="35">
        <v>403</v>
      </c>
      <c r="G516" s="35">
        <v>471</v>
      </c>
      <c r="H516" s="35">
        <v>196</v>
      </c>
      <c r="I516" s="35">
        <v>70</v>
      </c>
      <c r="J516" s="36">
        <v>42164</v>
      </c>
      <c r="K516" s="37">
        <v>0.49437500000000001</v>
      </c>
      <c r="L516" s="36">
        <v>42938</v>
      </c>
      <c r="M516" s="38">
        <v>0.62594907407407407</v>
      </c>
    </row>
    <row r="517" spans="1:13" x14ac:dyDescent="0.25">
      <c r="A517" s="33" t="s">
        <v>22</v>
      </c>
      <c r="B517" s="34" t="str">
        <f>HYPERLINK("http://www.twitter.com/UKLittleLibrary", "UKLittleLibrary")</f>
        <v>UKLittleLibrary</v>
      </c>
      <c r="C517" s="33" t="s">
        <v>1774</v>
      </c>
      <c r="D517" s="33" t="s">
        <v>1775</v>
      </c>
      <c r="E517" s="32" t="s">
        <v>1776</v>
      </c>
      <c r="F517" s="35">
        <v>254</v>
      </c>
      <c r="G517" s="35">
        <v>515</v>
      </c>
      <c r="H517" s="35">
        <v>184</v>
      </c>
      <c r="I517" s="35">
        <v>6</v>
      </c>
      <c r="J517" s="36">
        <v>40490</v>
      </c>
      <c r="K517" s="37">
        <v>0.931574074074074</v>
      </c>
      <c r="L517" s="36">
        <v>42843</v>
      </c>
      <c r="M517" s="38">
        <v>0.57603009259259264</v>
      </c>
    </row>
    <row r="518" spans="1:13" ht="45" x14ac:dyDescent="0.25">
      <c r="A518" s="33" t="s">
        <v>22</v>
      </c>
      <c r="B518" s="34" t="str">
        <f>HYPERLINK("http://www.twitter.com/morrablibrary", "morrablibrary")</f>
        <v>morrablibrary</v>
      </c>
      <c r="C518" s="33" t="s">
        <v>2550</v>
      </c>
      <c r="D518" s="33" t="s">
        <v>2551</v>
      </c>
      <c r="E518" s="32" t="s">
        <v>2552</v>
      </c>
      <c r="F518" s="35">
        <v>51</v>
      </c>
      <c r="G518" s="35">
        <v>239</v>
      </c>
      <c r="H518" s="35">
        <v>72</v>
      </c>
      <c r="I518" s="35">
        <v>0</v>
      </c>
      <c r="J518" s="36">
        <v>41569</v>
      </c>
      <c r="K518" s="37">
        <v>0.25989583333333333</v>
      </c>
      <c r="L518" s="36">
        <v>42887</v>
      </c>
      <c r="M518" s="38">
        <v>0.47784722222222226</v>
      </c>
    </row>
    <row r="519" spans="1:13" ht="45" x14ac:dyDescent="0.25">
      <c r="A519" s="33" t="s">
        <v>22</v>
      </c>
      <c r="B519" s="34" t="str">
        <f>HYPERLINK("http://www.twitter.com/policelibrary", "policelibrary")</f>
        <v>policelibrary</v>
      </c>
      <c r="C519" s="33" t="s">
        <v>1694</v>
      </c>
      <c r="D519" s="33" t="s">
        <v>1695</v>
      </c>
      <c r="E519" s="32" t="s">
        <v>1696</v>
      </c>
      <c r="F519" s="35">
        <v>943</v>
      </c>
      <c r="G519" s="35">
        <v>632</v>
      </c>
      <c r="H519" s="35">
        <v>45</v>
      </c>
      <c r="I519" s="35">
        <v>49</v>
      </c>
      <c r="J519" s="36">
        <v>41860</v>
      </c>
      <c r="K519" s="37">
        <v>0.84895833333333337</v>
      </c>
      <c r="L519" s="36">
        <v>42937</v>
      </c>
      <c r="M519" s="38">
        <v>0.61304398148148154</v>
      </c>
    </row>
    <row r="520" spans="1:13" x14ac:dyDescent="0.25">
      <c r="A520" s="33" t="s">
        <v>22</v>
      </c>
      <c r="B520" s="34" t="str">
        <f>HYPERLINK("http://www.twitter.com/LpoolAthenaeum", "LpoolAthenaeum")</f>
        <v>LpoolAthenaeum</v>
      </c>
      <c r="C520" s="33" t="s">
        <v>3495</v>
      </c>
      <c r="F520" s="35">
        <v>0</v>
      </c>
      <c r="G520" s="35">
        <v>14</v>
      </c>
      <c r="H520" s="35">
        <v>0</v>
      </c>
      <c r="I520" s="35">
        <v>0</v>
      </c>
      <c r="J520" s="36">
        <v>41238</v>
      </c>
      <c r="K520" s="37">
        <v>0.85918981481481482</v>
      </c>
    </row>
    <row r="521" spans="1:13" ht="45" x14ac:dyDescent="0.25">
      <c r="A521" s="33" t="s">
        <v>18</v>
      </c>
      <c r="B521" s="34" t="str">
        <f>HYPERLINK("http://www.twitter.com/saveUNlibrary", "saveUNlibrary")</f>
        <v>saveUNlibrary</v>
      </c>
      <c r="C521" s="33" t="s">
        <v>380</v>
      </c>
      <c r="D521" s="33" t="s">
        <v>381</v>
      </c>
      <c r="E521" s="32" t="s">
        <v>382</v>
      </c>
      <c r="F521" s="35">
        <v>2106</v>
      </c>
      <c r="G521" s="35">
        <v>2948</v>
      </c>
      <c r="H521" s="35">
        <v>33512</v>
      </c>
      <c r="I521" s="35">
        <v>1434</v>
      </c>
      <c r="J521" s="36">
        <v>40870</v>
      </c>
      <c r="K521" s="37">
        <v>0.75013888888888891</v>
      </c>
      <c r="L521" s="36">
        <v>42939</v>
      </c>
      <c r="M521" s="38">
        <v>0.91349537037037043</v>
      </c>
    </row>
    <row r="522" spans="1:13" ht="45" x14ac:dyDescent="0.25">
      <c r="A522" s="33" t="s">
        <v>18</v>
      </c>
      <c r="B522" s="34" t="str">
        <f>HYPERLINK("http://www.twitter.com/LibraryLine", "LibraryLine")</f>
        <v>LibraryLine</v>
      </c>
      <c r="C522" s="33" t="s">
        <v>283</v>
      </c>
      <c r="D522" s="33" t="s">
        <v>284</v>
      </c>
      <c r="E522" s="32" t="s">
        <v>338</v>
      </c>
      <c r="F522" s="35">
        <v>273</v>
      </c>
      <c r="G522" s="35">
        <v>3356</v>
      </c>
      <c r="H522" s="35">
        <v>28030</v>
      </c>
      <c r="I522" s="35">
        <v>92</v>
      </c>
      <c r="J522" s="36">
        <v>40424</v>
      </c>
      <c r="K522" s="37">
        <v>0.61563657407407402</v>
      </c>
      <c r="L522" s="36">
        <v>42940</v>
      </c>
      <c r="M522" s="38">
        <v>0.64304398148148145</v>
      </c>
    </row>
    <row r="523" spans="1:13" x14ac:dyDescent="0.25">
      <c r="A523" s="33" t="s">
        <v>18</v>
      </c>
      <c r="B523" s="34" t="str">
        <f>HYPERLINK("http://www.twitter.com/OrkneyLibrary", "OrkneyLibrary")</f>
        <v>OrkneyLibrary</v>
      </c>
      <c r="C523" s="33" t="s">
        <v>19</v>
      </c>
      <c r="D523" s="33" t="s">
        <v>20</v>
      </c>
      <c r="E523" s="32" t="s">
        <v>21</v>
      </c>
      <c r="F523" s="35">
        <v>12665</v>
      </c>
      <c r="G523" s="35">
        <v>35075</v>
      </c>
      <c r="H523" s="35">
        <v>19300</v>
      </c>
      <c r="I523" s="35">
        <v>9280</v>
      </c>
      <c r="J523" s="36">
        <v>39993</v>
      </c>
      <c r="K523" s="37">
        <v>0.62197916666666664</v>
      </c>
      <c r="L523" s="36">
        <v>42940</v>
      </c>
      <c r="M523" s="38">
        <v>0.66873842592592592</v>
      </c>
    </row>
    <row r="524" spans="1:13" ht="30" x14ac:dyDescent="0.25">
      <c r="A524" s="33" t="s">
        <v>18</v>
      </c>
      <c r="B524" s="34" t="str">
        <f>HYPERLINK("http://www.twitter.com/NACLibraries", "NACLibraries")</f>
        <v>NACLibraries</v>
      </c>
      <c r="C524" s="33" t="s">
        <v>713</v>
      </c>
      <c r="D524" s="33" t="s">
        <v>714</v>
      </c>
      <c r="E524" s="32" t="s">
        <v>715</v>
      </c>
      <c r="F524" s="35">
        <v>800</v>
      </c>
      <c r="G524" s="35">
        <v>1863</v>
      </c>
      <c r="H524" s="35">
        <v>17248</v>
      </c>
      <c r="I524" s="35">
        <v>663</v>
      </c>
      <c r="J524" s="36">
        <v>40237</v>
      </c>
      <c r="K524" s="37">
        <v>0.65156249999999993</v>
      </c>
      <c r="L524" s="36">
        <v>42940</v>
      </c>
      <c r="M524" s="38">
        <v>0.65649305555555559</v>
      </c>
    </row>
    <row r="525" spans="1:13" ht="45" x14ac:dyDescent="0.25">
      <c r="A525" s="33" t="s">
        <v>18</v>
      </c>
      <c r="B525" s="34" t="str">
        <f>HYPERLINK("http://www.twitter.com/BargoedLib", "BargoedLib")</f>
        <v>BargoedLib</v>
      </c>
      <c r="C525" s="33" t="s">
        <v>1063</v>
      </c>
      <c r="E525" s="32" t="s">
        <v>3647</v>
      </c>
      <c r="F525" s="35">
        <v>907</v>
      </c>
      <c r="G525" s="35">
        <v>1207</v>
      </c>
      <c r="H525" s="35">
        <v>15725</v>
      </c>
      <c r="I525" s="35">
        <v>2597</v>
      </c>
      <c r="J525" s="36">
        <v>41656</v>
      </c>
      <c r="K525" s="37">
        <v>0.53200231481481486</v>
      </c>
      <c r="L525" s="36">
        <v>42940</v>
      </c>
      <c r="M525" s="38">
        <v>0.7265625</v>
      </c>
    </row>
    <row r="526" spans="1:13" ht="60" x14ac:dyDescent="0.25">
      <c r="A526" s="33" t="s">
        <v>18</v>
      </c>
      <c r="B526" s="34" t="str">
        <f>HYPERLINK("http://www.twitter.com/SwindonLocal", "SwindonLocal")</f>
        <v>SwindonLocal</v>
      </c>
      <c r="C526" s="33" t="s">
        <v>292</v>
      </c>
      <c r="D526" s="33" t="s">
        <v>293</v>
      </c>
      <c r="E526" s="32" t="s">
        <v>294</v>
      </c>
      <c r="F526" s="35">
        <v>1660</v>
      </c>
      <c r="G526" s="35">
        <v>3630</v>
      </c>
      <c r="H526" s="35">
        <v>11991</v>
      </c>
      <c r="I526" s="35">
        <v>12587</v>
      </c>
      <c r="J526" s="36">
        <v>39984</v>
      </c>
      <c r="K526" s="37">
        <v>0.61643518518518514</v>
      </c>
      <c r="L526" s="36">
        <v>42938</v>
      </c>
      <c r="M526" s="38">
        <v>0.58944444444444444</v>
      </c>
    </row>
    <row r="527" spans="1:13" ht="45" x14ac:dyDescent="0.25">
      <c r="A527" s="33" t="s">
        <v>18</v>
      </c>
      <c r="B527" s="34" t="str">
        <f>HYPERLINK("http://www.twitter.com/gloslibs", "gloslibs")</f>
        <v>gloslibs</v>
      </c>
      <c r="C527" s="33" t="s">
        <v>870</v>
      </c>
      <c r="D527" s="33" t="s">
        <v>871</v>
      </c>
      <c r="E527" s="32" t="s">
        <v>872</v>
      </c>
      <c r="F527" s="35">
        <v>1091</v>
      </c>
      <c r="G527" s="35">
        <v>1517</v>
      </c>
      <c r="H527" s="35">
        <v>10302</v>
      </c>
      <c r="I527" s="35">
        <v>3270</v>
      </c>
      <c r="J527" s="36">
        <v>41110</v>
      </c>
      <c r="K527" s="37">
        <v>0.41465277777777776</v>
      </c>
      <c r="L527" s="36">
        <v>42940</v>
      </c>
      <c r="M527" s="38">
        <v>0.70819444444444446</v>
      </c>
    </row>
    <row r="528" spans="1:13" ht="45" x14ac:dyDescent="0.25">
      <c r="A528" s="33" t="s">
        <v>18</v>
      </c>
      <c r="B528" s="34" t="str">
        <f>HYPERLINK("http://www.twitter.com/BanbridgeLib", "BanbridgeLib")</f>
        <v>BanbridgeLib</v>
      </c>
      <c r="C528" s="33" t="s">
        <v>1021</v>
      </c>
      <c r="D528" s="33" t="s">
        <v>1022</v>
      </c>
      <c r="E528" s="32" t="s">
        <v>1023</v>
      </c>
      <c r="F528" s="35">
        <v>993</v>
      </c>
      <c r="G528" s="35">
        <v>1229</v>
      </c>
      <c r="H528" s="35">
        <v>9571</v>
      </c>
      <c r="I528" s="35">
        <v>7321</v>
      </c>
      <c r="J528" s="36">
        <v>41331</v>
      </c>
      <c r="K528" s="37">
        <v>0.66893518518518524</v>
      </c>
      <c r="L528" s="36">
        <v>42938</v>
      </c>
      <c r="M528" s="38">
        <v>0.79166666666666663</v>
      </c>
    </row>
    <row r="529" spans="1:13" ht="30" x14ac:dyDescent="0.25">
      <c r="A529" s="33" t="s">
        <v>18</v>
      </c>
      <c r="B529" s="34" t="str">
        <f>HYPERLINK("http://www.twitter.com/StoryhouseLive", "StoryhouseLive")</f>
        <v>StoryhouseLive</v>
      </c>
      <c r="C529" s="33" t="s">
        <v>76</v>
      </c>
      <c r="D529" s="33" t="s">
        <v>77</v>
      </c>
      <c r="E529" s="32" t="s">
        <v>78</v>
      </c>
      <c r="F529" s="35">
        <v>4837</v>
      </c>
      <c r="G529" s="35">
        <v>11967</v>
      </c>
      <c r="H529" s="35">
        <v>9037</v>
      </c>
      <c r="I529" s="35">
        <v>6539</v>
      </c>
      <c r="J529" s="36">
        <v>39930</v>
      </c>
      <c r="K529" s="37">
        <v>0.66518518518518521</v>
      </c>
      <c r="L529" s="36">
        <v>42940</v>
      </c>
      <c r="M529" s="38">
        <v>0.48872685185185188</v>
      </c>
    </row>
    <row r="530" spans="1:13" ht="45" x14ac:dyDescent="0.25">
      <c r="A530" s="33" t="s">
        <v>18</v>
      </c>
      <c r="B530" s="34" t="str">
        <f>HYPERLINK("http://www.twitter.com/BelfastCentLib", "BelfastCentLib")</f>
        <v>BelfastCentLib</v>
      </c>
      <c r="C530" s="33" t="s">
        <v>392</v>
      </c>
      <c r="D530" s="33" t="s">
        <v>393</v>
      </c>
      <c r="E530" s="32" t="s">
        <v>3655</v>
      </c>
      <c r="F530" s="35">
        <v>405</v>
      </c>
      <c r="G530" s="35">
        <v>2905</v>
      </c>
      <c r="H530" s="35">
        <v>8552</v>
      </c>
      <c r="I530" s="35">
        <v>6071</v>
      </c>
      <c r="J530" s="36">
        <v>41327</v>
      </c>
      <c r="K530" s="37">
        <v>0.61211805555555554</v>
      </c>
      <c r="L530" s="36">
        <v>42940</v>
      </c>
      <c r="M530" s="38">
        <v>0.3333564814814815</v>
      </c>
    </row>
    <row r="531" spans="1:13" ht="30" x14ac:dyDescent="0.25">
      <c r="A531" s="33" t="s">
        <v>18</v>
      </c>
      <c r="B531" s="34" t="str">
        <f>HYPERLINK("http://www.twitter.com/fyldelibraries", "fyldelibraries")</f>
        <v>fyldelibraries</v>
      </c>
      <c r="C531" s="33" t="s">
        <v>3681</v>
      </c>
      <c r="D531" s="33" t="s">
        <v>3682</v>
      </c>
      <c r="E531" s="32" t="s">
        <v>3683</v>
      </c>
      <c r="F531" s="35">
        <v>765</v>
      </c>
      <c r="G531" s="35">
        <v>2826</v>
      </c>
      <c r="H531" s="35">
        <v>7796</v>
      </c>
      <c r="I531" s="35">
        <v>473</v>
      </c>
      <c r="J531" s="36">
        <v>39951</v>
      </c>
      <c r="K531" s="37">
        <v>0.79982638888888891</v>
      </c>
      <c r="L531" s="36">
        <v>42735</v>
      </c>
      <c r="M531" s="38">
        <v>0.45145833333333335</v>
      </c>
    </row>
    <row r="532" spans="1:13" x14ac:dyDescent="0.25">
      <c r="A532" s="33" t="s">
        <v>18</v>
      </c>
      <c r="B532" s="34" t="str">
        <f>HYPERLINK("http://www.twitter.com/LibFalkirk", "LibFalkirk")</f>
        <v>LibFalkirk</v>
      </c>
      <c r="C532" s="33" t="s">
        <v>354</v>
      </c>
      <c r="D532" s="33" t="s">
        <v>355</v>
      </c>
      <c r="E532" s="32" t="s">
        <v>356</v>
      </c>
      <c r="F532" s="35">
        <v>1221</v>
      </c>
      <c r="G532" s="35">
        <v>3223</v>
      </c>
      <c r="H532" s="35">
        <v>7536</v>
      </c>
      <c r="I532" s="35">
        <v>2499</v>
      </c>
      <c r="J532" s="36">
        <v>40323</v>
      </c>
      <c r="K532" s="37">
        <v>0.65511574074074075</v>
      </c>
      <c r="L532" s="36">
        <v>42940</v>
      </c>
      <c r="M532" s="38">
        <v>0.66771990740740739</v>
      </c>
    </row>
    <row r="533" spans="1:13" ht="45" x14ac:dyDescent="0.25">
      <c r="A533" s="33" t="s">
        <v>18</v>
      </c>
      <c r="B533" s="34" t="str">
        <f>HYPERLINK("http://www.twitter.com/GuildfordLib", "GuildfordLib")</f>
        <v>GuildfordLib</v>
      </c>
      <c r="C533" s="33" t="s">
        <v>400</v>
      </c>
      <c r="D533" s="33" t="s">
        <v>401</v>
      </c>
      <c r="E533" s="32" t="s">
        <v>402</v>
      </c>
      <c r="F533" s="35">
        <v>798</v>
      </c>
      <c r="G533" s="35">
        <v>2893</v>
      </c>
      <c r="H533" s="35">
        <v>7246</v>
      </c>
      <c r="I533" s="35">
        <v>3900</v>
      </c>
      <c r="J533" s="36">
        <v>40407</v>
      </c>
      <c r="K533" s="37">
        <v>0.58015046296296291</v>
      </c>
      <c r="L533" s="36">
        <v>42938</v>
      </c>
      <c r="M533" s="38">
        <v>0.60673611111111114</v>
      </c>
    </row>
    <row r="534" spans="1:13" ht="45" x14ac:dyDescent="0.25">
      <c r="A534" s="33" t="s">
        <v>18</v>
      </c>
      <c r="B534" s="34" t="str">
        <f>HYPERLINK("http://www.twitter.com/ExeterLibrary", "ExeterLibrary")</f>
        <v>ExeterLibrary</v>
      </c>
      <c r="C534" s="33" t="s">
        <v>417</v>
      </c>
      <c r="D534" s="33" t="s">
        <v>418</v>
      </c>
      <c r="E534" s="32" t="s">
        <v>419</v>
      </c>
      <c r="F534" s="35">
        <v>487</v>
      </c>
      <c r="G534" s="35">
        <v>2859</v>
      </c>
      <c r="H534" s="35">
        <v>6451</v>
      </c>
      <c r="I534" s="35">
        <v>956</v>
      </c>
      <c r="J534" s="36">
        <v>41689</v>
      </c>
      <c r="K534" s="37">
        <v>0.49120370370370375</v>
      </c>
      <c r="L534" s="36">
        <v>42940</v>
      </c>
      <c r="M534" s="38">
        <v>0.57401620370370365</v>
      </c>
    </row>
    <row r="535" spans="1:13" ht="45" x14ac:dyDescent="0.25">
      <c r="A535" s="33" t="s">
        <v>18</v>
      </c>
      <c r="B535" s="34" t="str">
        <f>HYPERLINK("http://www.twitter.com/MillenniumLib", "MillenniumLib")</f>
        <v>MillenniumLib</v>
      </c>
      <c r="C535" s="33" t="s">
        <v>565</v>
      </c>
      <c r="D535" s="33" t="s">
        <v>566</v>
      </c>
      <c r="E535" s="32" t="s">
        <v>567</v>
      </c>
      <c r="F535" s="35">
        <v>939</v>
      </c>
      <c r="G535" s="35">
        <v>2352</v>
      </c>
      <c r="H535" s="35">
        <v>6199</v>
      </c>
      <c r="I535" s="35">
        <v>382</v>
      </c>
      <c r="J535" s="36">
        <v>41383</v>
      </c>
      <c r="K535" s="37">
        <v>0.45653935185185185</v>
      </c>
      <c r="L535" s="36">
        <v>42940</v>
      </c>
      <c r="M535" s="38">
        <v>0.59052083333333327</v>
      </c>
    </row>
    <row r="536" spans="1:13" ht="45" x14ac:dyDescent="0.25">
      <c r="A536" s="33" t="s">
        <v>18</v>
      </c>
      <c r="B536" s="34" t="str">
        <f>HYPERLINK("http://www.twitter.com/WinchesterDC", "WinchesterDC")</f>
        <v>WinchesterDC</v>
      </c>
      <c r="C536" s="33" t="s">
        <v>188</v>
      </c>
      <c r="D536" s="33" t="s">
        <v>189</v>
      </c>
      <c r="E536" s="32" t="s">
        <v>3676</v>
      </c>
      <c r="F536" s="35">
        <v>286</v>
      </c>
      <c r="G536" s="35">
        <v>5555</v>
      </c>
      <c r="H536" s="35">
        <v>6138</v>
      </c>
      <c r="I536" s="35">
        <v>60</v>
      </c>
      <c r="J536" s="36">
        <v>40291</v>
      </c>
      <c r="K536" s="37">
        <v>0.6497222222222222</v>
      </c>
      <c r="L536" s="36">
        <v>42935</v>
      </c>
      <c r="M536" s="38">
        <v>0.49535879629629626</v>
      </c>
    </row>
    <row r="537" spans="1:13" ht="30" x14ac:dyDescent="0.25">
      <c r="A537" s="33" t="s">
        <v>18</v>
      </c>
      <c r="B537" s="34" t="str">
        <f>HYPERLINK("http://www.twitter.com/LibraryofBham", "LibraryofBham")</f>
        <v>LibraryofBham</v>
      </c>
      <c r="C537" s="33" t="s">
        <v>41</v>
      </c>
      <c r="E537" s="32" t="s">
        <v>42</v>
      </c>
      <c r="F537" s="35">
        <v>296</v>
      </c>
      <c r="G537" s="35">
        <v>24762</v>
      </c>
      <c r="H537" s="35">
        <v>6088</v>
      </c>
      <c r="I537" s="35">
        <v>493</v>
      </c>
      <c r="J537" s="36">
        <v>40291</v>
      </c>
      <c r="K537" s="37">
        <v>0.42306712962962961</v>
      </c>
      <c r="L537" s="36">
        <v>42938</v>
      </c>
      <c r="M537" s="38">
        <v>0.3758333333333333</v>
      </c>
    </row>
    <row r="538" spans="1:13" ht="30" x14ac:dyDescent="0.25">
      <c r="A538" s="33" t="s">
        <v>18</v>
      </c>
      <c r="B538" s="34" t="str">
        <f>HYPERLINK("http://www.twitter.com/RhymneyLibrary", "RhymneyLibrary")</f>
        <v>RhymneyLibrary</v>
      </c>
      <c r="C538" s="33" t="s">
        <v>1220</v>
      </c>
      <c r="D538" s="33" t="s">
        <v>1221</v>
      </c>
      <c r="E538" s="32" t="s">
        <v>1222</v>
      </c>
      <c r="F538" s="35">
        <v>1738</v>
      </c>
      <c r="G538" s="35">
        <v>1079</v>
      </c>
      <c r="H538" s="35">
        <v>5974</v>
      </c>
      <c r="I538" s="35">
        <v>3492</v>
      </c>
      <c r="J538" s="36">
        <v>41893</v>
      </c>
      <c r="K538" s="37">
        <v>0.38822916666666668</v>
      </c>
      <c r="L538" s="36">
        <v>42940</v>
      </c>
      <c r="M538" s="38">
        <v>0.7038888888888889</v>
      </c>
    </row>
    <row r="539" spans="1:13" ht="30" x14ac:dyDescent="0.25">
      <c r="A539" s="33" t="s">
        <v>18</v>
      </c>
      <c r="B539" s="34" t="str">
        <f>HYPERLINK("http://www.twitter.com/OswestryLibrary", "OswestryLibrary")</f>
        <v>OswestryLibrary</v>
      </c>
      <c r="C539" s="33" t="s">
        <v>696</v>
      </c>
      <c r="D539" s="33" t="s">
        <v>697</v>
      </c>
      <c r="E539" s="32" t="s">
        <v>698</v>
      </c>
      <c r="F539" s="35">
        <v>944</v>
      </c>
      <c r="G539" s="35">
        <v>1926</v>
      </c>
      <c r="H539" s="35">
        <v>5869</v>
      </c>
      <c r="I539" s="35">
        <v>1019</v>
      </c>
      <c r="J539" s="36">
        <v>41265</v>
      </c>
      <c r="K539" s="37">
        <v>0.65512731481481479</v>
      </c>
      <c r="L539" s="36">
        <v>42939</v>
      </c>
      <c r="M539" s="38">
        <v>0.56752314814814808</v>
      </c>
    </row>
    <row r="540" spans="1:13" ht="30" x14ac:dyDescent="0.25">
      <c r="A540" s="33" t="s">
        <v>18</v>
      </c>
      <c r="B540" s="34" t="str">
        <f>HYPERLINK("http://www.twitter.com/OldhamLibraries", "OldhamLibraries")</f>
        <v>OldhamLibraries</v>
      </c>
      <c r="C540" s="33" t="s">
        <v>632</v>
      </c>
      <c r="D540" s="33" t="s">
        <v>633</v>
      </c>
      <c r="E540" s="32" t="s">
        <v>634</v>
      </c>
      <c r="F540" s="35">
        <v>1211</v>
      </c>
      <c r="G540" s="35">
        <v>2162</v>
      </c>
      <c r="H540" s="35">
        <v>5789</v>
      </c>
      <c r="I540" s="35">
        <v>1838</v>
      </c>
      <c r="J540" s="36">
        <v>41934</v>
      </c>
      <c r="K540" s="37">
        <v>0.57320601851851849</v>
      </c>
      <c r="L540" s="36">
        <v>42940</v>
      </c>
      <c r="M540" s="38">
        <v>0.6564120370370371</v>
      </c>
    </row>
    <row r="541" spans="1:13" ht="60" x14ac:dyDescent="0.25">
      <c r="A541" s="33" t="s">
        <v>18</v>
      </c>
      <c r="B541" s="34" t="str">
        <f>HYPERLINK("http://www.twitter.com/ShetlandLibrary", "ShetlandLibrary")</f>
        <v>ShetlandLibrary</v>
      </c>
      <c r="C541" s="33" t="s">
        <v>114</v>
      </c>
      <c r="D541" s="33" t="s">
        <v>115</v>
      </c>
      <c r="E541" s="32" t="s">
        <v>3673</v>
      </c>
      <c r="F541" s="35">
        <v>925</v>
      </c>
      <c r="G541" s="35">
        <v>8377</v>
      </c>
      <c r="H541" s="35">
        <v>5745</v>
      </c>
      <c r="I541" s="35">
        <v>22046</v>
      </c>
      <c r="J541" s="36">
        <v>40473</v>
      </c>
      <c r="K541" s="37">
        <v>0.81739583333333332</v>
      </c>
      <c r="L541" s="36">
        <v>42938</v>
      </c>
      <c r="M541" s="38">
        <v>0.75241898148148145</v>
      </c>
    </row>
    <row r="542" spans="1:13" ht="30" x14ac:dyDescent="0.25">
      <c r="A542" s="33" t="s">
        <v>18</v>
      </c>
      <c r="B542" s="34" t="str">
        <f>HYPERLINK("http://www.twitter.com/YorkExplore", "YorkExplore")</f>
        <v>YorkExplore</v>
      </c>
      <c r="C542" s="33" t="s">
        <v>403</v>
      </c>
      <c r="D542" s="33" t="s">
        <v>404</v>
      </c>
      <c r="E542" s="32" t="s">
        <v>405</v>
      </c>
      <c r="F542" s="35">
        <v>1348</v>
      </c>
      <c r="G542" s="35">
        <v>2941</v>
      </c>
      <c r="H542" s="35">
        <v>5660</v>
      </c>
      <c r="I542" s="35">
        <v>988</v>
      </c>
      <c r="J542" s="36">
        <v>41407</v>
      </c>
      <c r="K542" s="37">
        <v>0.70655092592592583</v>
      </c>
      <c r="L542" s="36">
        <v>42940</v>
      </c>
      <c r="M542" s="38">
        <v>0.36452546296296301</v>
      </c>
    </row>
    <row r="543" spans="1:13" ht="30" x14ac:dyDescent="0.25">
      <c r="A543" s="33" t="s">
        <v>18</v>
      </c>
      <c r="B543" s="34" t="str">
        <f>HYPERLINK("http://www.twitter.com/Eco_Com_Library", "Eco_Com_Library")</f>
        <v>Eco_Com_Library</v>
      </c>
      <c r="C543" s="33" t="s">
        <v>2804</v>
      </c>
      <c r="D543" s="33" t="s">
        <v>2805</v>
      </c>
      <c r="E543" s="32" t="s">
        <v>2806</v>
      </c>
      <c r="F543" s="35">
        <v>96</v>
      </c>
      <c r="G543" s="35">
        <v>185</v>
      </c>
      <c r="H543" s="35">
        <v>5649</v>
      </c>
      <c r="I543" s="35">
        <v>31</v>
      </c>
      <c r="J543" s="36">
        <v>41922</v>
      </c>
      <c r="K543" s="37">
        <v>0.58938657407407413</v>
      </c>
      <c r="L543" s="36">
        <v>42940</v>
      </c>
      <c r="M543" s="38">
        <v>0.71879629629629627</v>
      </c>
    </row>
    <row r="544" spans="1:13" ht="30" x14ac:dyDescent="0.25">
      <c r="A544" s="33" t="s">
        <v>18</v>
      </c>
      <c r="B544" s="34" t="str">
        <f>HYPERLINK("http://www.twitter.com/DorsetLibraries", "DorsetLibraries")</f>
        <v>DorsetLibraries</v>
      </c>
      <c r="C544" s="33" t="s">
        <v>3686</v>
      </c>
      <c r="E544" s="32" t="s">
        <v>1127</v>
      </c>
      <c r="F544" s="35">
        <v>173</v>
      </c>
      <c r="G544" s="35">
        <v>1115</v>
      </c>
      <c r="H544" s="35">
        <v>5392</v>
      </c>
      <c r="I544" s="35">
        <v>571</v>
      </c>
      <c r="J544" s="36">
        <v>39888</v>
      </c>
      <c r="K544" s="37">
        <v>0.49053240740740739</v>
      </c>
      <c r="L544" s="36">
        <v>42940</v>
      </c>
      <c r="M544" s="38">
        <v>0.67925925925925934</v>
      </c>
    </row>
    <row r="545" spans="1:13" x14ac:dyDescent="0.25">
      <c r="A545" s="33" t="s">
        <v>18</v>
      </c>
      <c r="B545" s="34" t="str">
        <f>HYPERLINK("http://www.twitter.com/EpsomLibrary", "EpsomLibrary")</f>
        <v>EpsomLibrary</v>
      </c>
      <c r="C545" s="33" t="s">
        <v>682</v>
      </c>
      <c r="D545" s="33" t="s">
        <v>683</v>
      </c>
      <c r="F545" s="35">
        <v>74</v>
      </c>
      <c r="G545" s="35">
        <v>1942</v>
      </c>
      <c r="H545" s="35">
        <v>5306</v>
      </c>
      <c r="I545" s="35">
        <v>16400</v>
      </c>
      <c r="J545" s="36">
        <v>40764</v>
      </c>
      <c r="K545" s="37">
        <v>0.59548611111111105</v>
      </c>
      <c r="L545" s="36">
        <v>42938</v>
      </c>
      <c r="M545" s="38">
        <v>0.57511574074074068</v>
      </c>
    </row>
    <row r="546" spans="1:13" x14ac:dyDescent="0.25">
      <c r="A546" s="33" t="s">
        <v>18</v>
      </c>
      <c r="B546" s="34" t="str">
        <f>HYPERLINK("http://www.twitter.com/LudlowLibrary", "LudlowLibrary")</f>
        <v>LudlowLibrary</v>
      </c>
      <c r="C546" s="33" t="s">
        <v>859</v>
      </c>
      <c r="D546" s="33" t="s">
        <v>860</v>
      </c>
      <c r="E546" s="32" t="s">
        <v>861</v>
      </c>
      <c r="F546" s="35">
        <v>934</v>
      </c>
      <c r="G546" s="35">
        <v>1500</v>
      </c>
      <c r="H546" s="35">
        <v>4986</v>
      </c>
      <c r="I546" s="35">
        <v>2450</v>
      </c>
      <c r="J546" s="36">
        <v>41277</v>
      </c>
      <c r="K546" s="37">
        <v>0.65506944444444437</v>
      </c>
      <c r="L546" s="36">
        <v>42929</v>
      </c>
      <c r="M546" s="38">
        <v>0.56115740740740738</v>
      </c>
    </row>
    <row r="547" spans="1:13" ht="30" x14ac:dyDescent="0.25">
      <c r="A547" s="33" t="s">
        <v>18</v>
      </c>
      <c r="B547" s="34" t="str">
        <f>HYPERLINK("http://www.twitter.com/edcentrallib", "edcentrallib")</f>
        <v>edcentrallib</v>
      </c>
      <c r="C547" s="33" t="s">
        <v>816</v>
      </c>
      <c r="D547" s="33" t="s">
        <v>24</v>
      </c>
      <c r="E547" s="32" t="s">
        <v>817</v>
      </c>
      <c r="F547" s="35">
        <v>572</v>
      </c>
      <c r="G547" s="35">
        <v>1632</v>
      </c>
      <c r="H547" s="35">
        <v>4863</v>
      </c>
      <c r="I547" s="35">
        <v>586</v>
      </c>
      <c r="J547" s="36">
        <v>41317</v>
      </c>
      <c r="K547" s="37">
        <v>0.61532407407407408</v>
      </c>
      <c r="L547" s="36">
        <v>42940</v>
      </c>
      <c r="M547" s="38">
        <v>0.65716435185185185</v>
      </c>
    </row>
    <row r="548" spans="1:13" ht="30" x14ac:dyDescent="0.25">
      <c r="A548" s="33" t="s">
        <v>18</v>
      </c>
      <c r="B548" s="34" t="str">
        <f>HYPERLINK("http://www.twitter.com/ShrewslibraryUK", "ShrewslibraryUK")</f>
        <v>ShrewslibraryUK</v>
      </c>
      <c r="C548" s="33" t="s">
        <v>574</v>
      </c>
      <c r="D548" s="33" t="s">
        <v>575</v>
      </c>
      <c r="E548" s="32" t="s">
        <v>576</v>
      </c>
      <c r="F548" s="35">
        <v>363</v>
      </c>
      <c r="G548" s="35">
        <v>2281</v>
      </c>
      <c r="H548" s="35">
        <v>4855</v>
      </c>
      <c r="I548" s="35">
        <v>1034</v>
      </c>
      <c r="J548" s="36">
        <v>41289</v>
      </c>
      <c r="K548" s="37">
        <v>0.61406250000000007</v>
      </c>
      <c r="L548" s="36">
        <v>42940</v>
      </c>
      <c r="M548" s="38">
        <v>0.58070601851851855</v>
      </c>
    </row>
    <row r="549" spans="1:13" ht="30" x14ac:dyDescent="0.25">
      <c r="A549" s="33" t="s">
        <v>18</v>
      </c>
      <c r="B549" s="34" t="str">
        <f>HYPERLINK("http://www.twitter.com/LDNLibraries", "LDNLibraries")</f>
        <v>LDNLibraries</v>
      </c>
      <c r="C549" s="33" t="s">
        <v>476</v>
      </c>
      <c r="D549" s="33" t="s">
        <v>477</v>
      </c>
      <c r="E549" s="32" t="s">
        <v>3631</v>
      </c>
      <c r="F549" s="35">
        <v>4944</v>
      </c>
      <c r="G549" s="35">
        <v>2959</v>
      </c>
      <c r="H549" s="35">
        <v>4755</v>
      </c>
      <c r="I549" s="35">
        <v>12546</v>
      </c>
      <c r="J549" s="36">
        <v>42660</v>
      </c>
      <c r="K549" s="37">
        <v>0.3486805555555556</v>
      </c>
      <c r="L549" s="36">
        <v>42940</v>
      </c>
      <c r="M549" s="38">
        <v>0.68592592592592594</v>
      </c>
    </row>
    <row r="550" spans="1:13" x14ac:dyDescent="0.25">
      <c r="A550" s="33" t="s">
        <v>18</v>
      </c>
      <c r="B550" s="34" t="str">
        <f>HYPERLINK("http://www.twitter.com/eastlothianlibs", "eastlothianlibs")</f>
        <v>eastlothianlibs</v>
      </c>
      <c r="C550" s="33" t="s">
        <v>699</v>
      </c>
      <c r="D550" s="33" t="s">
        <v>700</v>
      </c>
      <c r="F550" s="35">
        <v>440</v>
      </c>
      <c r="G550" s="35">
        <v>1917</v>
      </c>
      <c r="H550" s="35">
        <v>4740</v>
      </c>
      <c r="I550" s="35">
        <v>397</v>
      </c>
      <c r="J550" s="36">
        <v>40108</v>
      </c>
      <c r="K550" s="37">
        <v>0.76807870370370368</v>
      </c>
      <c r="L550" s="36">
        <v>42940</v>
      </c>
      <c r="M550" s="38">
        <v>0.59847222222222218</v>
      </c>
    </row>
    <row r="551" spans="1:13" ht="45" x14ac:dyDescent="0.25">
      <c r="A551" s="33" t="s">
        <v>18</v>
      </c>
      <c r="B551" s="34" t="str">
        <f>HYPERLINK("http://www.twitter.com/BallymenaLib", "BallymenaLib")</f>
        <v>BallymenaLib</v>
      </c>
      <c r="C551" s="33" t="s">
        <v>1497</v>
      </c>
      <c r="D551" s="33" t="s">
        <v>1498</v>
      </c>
      <c r="E551" s="32" t="s">
        <v>3642</v>
      </c>
      <c r="F551" s="35">
        <v>388</v>
      </c>
      <c r="G551" s="35">
        <v>751</v>
      </c>
      <c r="H551" s="35">
        <v>4424</v>
      </c>
      <c r="I551" s="35">
        <v>3245</v>
      </c>
      <c r="J551" s="36">
        <v>41753</v>
      </c>
      <c r="K551" s="37">
        <v>0.58174768518518516</v>
      </c>
      <c r="L551" s="36">
        <v>42939</v>
      </c>
      <c r="M551" s="38">
        <v>0.80923611111111116</v>
      </c>
    </row>
    <row r="552" spans="1:13" ht="30" x14ac:dyDescent="0.25">
      <c r="A552" s="33" t="s">
        <v>18</v>
      </c>
      <c r="B552" s="34" t="str">
        <f>HYPERLINK("http://www.twitter.com/CPKLibraries", "CPKLibraries")</f>
        <v>CPKLibraries</v>
      </c>
      <c r="C552" s="33" t="s">
        <v>1069</v>
      </c>
      <c r="D552" s="33" t="s">
        <v>517</v>
      </c>
      <c r="E552" s="32" t="s">
        <v>1070</v>
      </c>
      <c r="F552" s="35">
        <v>348</v>
      </c>
      <c r="G552" s="35">
        <v>1181</v>
      </c>
      <c r="H552" s="35">
        <v>4193</v>
      </c>
      <c r="I552" s="35">
        <v>1480</v>
      </c>
      <c r="J552" s="36">
        <v>41584</v>
      </c>
      <c r="K552" s="37">
        <v>0.48792824074074076</v>
      </c>
      <c r="L552" s="36">
        <v>42937</v>
      </c>
      <c r="M552" s="38">
        <v>0.71877314814814808</v>
      </c>
    </row>
    <row r="553" spans="1:13" ht="30" x14ac:dyDescent="0.25">
      <c r="A553" s="33" t="s">
        <v>18</v>
      </c>
      <c r="B553" s="34" t="str">
        <f>HYPERLINK("http://www.twitter.com/RiscaLibrary", "RiscaLibrary")</f>
        <v>RiscaLibrary</v>
      </c>
      <c r="C553" s="33" t="s">
        <v>853</v>
      </c>
      <c r="D553" s="33" t="s">
        <v>854</v>
      </c>
      <c r="E553" s="32" t="s">
        <v>855</v>
      </c>
      <c r="F553" s="35">
        <v>1409</v>
      </c>
      <c r="G553" s="35">
        <v>1516</v>
      </c>
      <c r="H553" s="35">
        <v>4084</v>
      </c>
      <c r="I553" s="35">
        <v>3753</v>
      </c>
      <c r="J553" s="36">
        <v>41582</v>
      </c>
      <c r="K553" s="37">
        <v>0.45968750000000003</v>
      </c>
      <c r="L553" s="36">
        <v>42940</v>
      </c>
      <c r="M553" s="38">
        <v>0.56641203703703702</v>
      </c>
    </row>
    <row r="554" spans="1:13" ht="45" x14ac:dyDescent="0.25">
      <c r="A554" s="33" t="s">
        <v>18</v>
      </c>
      <c r="B554" s="34" t="str">
        <f>HYPERLINK("http://www.twitter.com/acombexplore", "acombexplore")</f>
        <v>acombexplore</v>
      </c>
      <c r="C554" s="33" t="s">
        <v>759</v>
      </c>
      <c r="E554" s="32" t="s">
        <v>760</v>
      </c>
      <c r="F554" s="35">
        <v>1575</v>
      </c>
      <c r="G554" s="35">
        <v>1740</v>
      </c>
      <c r="H554" s="35">
        <v>3964</v>
      </c>
      <c r="I554" s="35">
        <v>2063</v>
      </c>
      <c r="J554" s="36">
        <v>41410</v>
      </c>
      <c r="K554" s="37">
        <v>0.4347569444444444</v>
      </c>
      <c r="L554" s="36">
        <v>42937</v>
      </c>
      <c r="M554" s="38">
        <v>0.62682870370370369</v>
      </c>
    </row>
    <row r="555" spans="1:13" ht="30" x14ac:dyDescent="0.25">
      <c r="A555" s="33" t="s">
        <v>18</v>
      </c>
      <c r="B555" s="34" t="str">
        <f>HYPERLINK("http://www.twitter.com/BreconLibrary", "BreconLibrary")</f>
        <v>BreconLibrary</v>
      </c>
      <c r="C555" s="33" t="s">
        <v>1603</v>
      </c>
      <c r="D555" s="33" t="s">
        <v>1604</v>
      </c>
      <c r="E555" s="32" t="s">
        <v>1605</v>
      </c>
      <c r="F555" s="35">
        <v>509</v>
      </c>
      <c r="G555" s="35">
        <v>658</v>
      </c>
      <c r="H555" s="35">
        <v>3832</v>
      </c>
      <c r="I555" s="35">
        <v>1086</v>
      </c>
      <c r="J555" s="36">
        <v>41984</v>
      </c>
      <c r="K555" s="37">
        <v>0.70516203703703706</v>
      </c>
      <c r="L555" s="36">
        <v>42936</v>
      </c>
      <c r="M555" s="38">
        <v>0.47671296296296295</v>
      </c>
    </row>
    <row r="556" spans="1:13" ht="45" x14ac:dyDescent="0.25">
      <c r="A556" s="33" t="s">
        <v>18</v>
      </c>
      <c r="B556" s="34" t="str">
        <f>HYPERLINK("http://www.twitter.com/YorkLibrariesUK", "YorkLibrariesUK")</f>
        <v>YorkLibrariesUK</v>
      </c>
      <c r="C556" s="33" t="s">
        <v>345</v>
      </c>
      <c r="D556" s="33" t="s">
        <v>346</v>
      </c>
      <c r="E556" s="32" t="s">
        <v>347</v>
      </c>
      <c r="F556" s="35">
        <v>922</v>
      </c>
      <c r="G556" s="35">
        <v>3307</v>
      </c>
      <c r="H556" s="35">
        <v>3822</v>
      </c>
      <c r="I556" s="35">
        <v>626</v>
      </c>
      <c r="J556" s="36">
        <v>40484</v>
      </c>
      <c r="K556" s="37">
        <v>0.76620370370370372</v>
      </c>
      <c r="L556" s="36">
        <v>42940</v>
      </c>
      <c r="M556" s="38">
        <v>0.39380787037037041</v>
      </c>
    </row>
    <row r="557" spans="1:13" ht="30" x14ac:dyDescent="0.25">
      <c r="A557" s="33" t="s">
        <v>18</v>
      </c>
      <c r="B557" s="34" t="str">
        <f>HYPERLINK("http://www.twitter.com/DarlLibs", "DarlLibs")</f>
        <v>DarlLibs</v>
      </c>
      <c r="C557" s="33" t="s">
        <v>1002</v>
      </c>
      <c r="D557" s="33" t="s">
        <v>1003</v>
      </c>
      <c r="E557" s="32" t="s">
        <v>1004</v>
      </c>
      <c r="F557" s="35">
        <v>594</v>
      </c>
      <c r="G557" s="35">
        <v>1274</v>
      </c>
      <c r="H557" s="35">
        <v>3789</v>
      </c>
      <c r="I557" s="35">
        <v>3315</v>
      </c>
      <c r="J557" s="36">
        <v>41670</v>
      </c>
      <c r="K557" s="37">
        <v>0.44798611111111114</v>
      </c>
      <c r="L557" s="36">
        <v>42940</v>
      </c>
      <c r="M557" s="38">
        <v>0.47579861111111116</v>
      </c>
    </row>
    <row r="558" spans="1:13" ht="45" x14ac:dyDescent="0.25">
      <c r="A558" s="33" t="s">
        <v>18</v>
      </c>
      <c r="B558" s="34" t="str">
        <f>HYPERLINK("http://www.twitter.com/wnorwoodlibrary", "wnorwoodlibrary")</f>
        <v>wnorwoodlibrary</v>
      </c>
      <c r="C558" s="33" t="s">
        <v>668</v>
      </c>
      <c r="D558" s="33" t="s">
        <v>110</v>
      </c>
      <c r="E558" s="32" t="s">
        <v>669</v>
      </c>
      <c r="F558" s="35">
        <v>592</v>
      </c>
      <c r="G558" s="35">
        <v>1996</v>
      </c>
      <c r="H558" s="35">
        <v>3739</v>
      </c>
      <c r="I558" s="35">
        <v>315</v>
      </c>
      <c r="J558" s="36">
        <v>40567</v>
      </c>
      <c r="K558" s="37">
        <v>0.44532407407407404</v>
      </c>
      <c r="L558" s="36">
        <v>42937</v>
      </c>
      <c r="M558" s="38">
        <v>0.65295138888888882</v>
      </c>
    </row>
    <row r="559" spans="1:13" ht="45" x14ac:dyDescent="0.25">
      <c r="A559" s="33" t="s">
        <v>18</v>
      </c>
      <c r="B559" s="34" t="str">
        <f>HYPERLINK("http://www.twitter.com/WokingLibrary", "WokingLibrary")</f>
        <v>WokingLibrary</v>
      </c>
      <c r="C559" s="33" t="s">
        <v>829</v>
      </c>
      <c r="D559" s="33" t="s">
        <v>830</v>
      </c>
      <c r="E559" s="32" t="s">
        <v>831</v>
      </c>
      <c r="F559" s="35">
        <v>728</v>
      </c>
      <c r="G559" s="35">
        <v>1566</v>
      </c>
      <c r="H559" s="35">
        <v>3704</v>
      </c>
      <c r="I559" s="35">
        <v>201</v>
      </c>
      <c r="J559" s="36">
        <v>41288</v>
      </c>
      <c r="K559" s="37">
        <v>0.60572916666666665</v>
      </c>
      <c r="L559" s="36">
        <v>42940</v>
      </c>
      <c r="M559" s="38">
        <v>0.6590625</v>
      </c>
    </row>
    <row r="560" spans="1:13" ht="45" x14ac:dyDescent="0.25">
      <c r="A560" s="33" t="s">
        <v>18</v>
      </c>
      <c r="B560" s="34" t="str">
        <f>HYPERLINK("http://www.twitter.com/DeptfordLounge", "DeptfordLounge")</f>
        <v>DeptfordLounge</v>
      </c>
      <c r="C560" s="33" t="s">
        <v>197</v>
      </c>
      <c r="D560" s="33" t="s">
        <v>198</v>
      </c>
      <c r="E560" s="32" t="s">
        <v>199</v>
      </c>
      <c r="F560" s="35">
        <v>1158</v>
      </c>
      <c r="G560" s="35">
        <v>5122</v>
      </c>
      <c r="H560" s="35">
        <v>3514</v>
      </c>
      <c r="I560" s="35">
        <v>497</v>
      </c>
      <c r="J560" s="36">
        <v>40861</v>
      </c>
      <c r="K560" s="37">
        <v>0.38746527777777778</v>
      </c>
      <c r="L560" s="36">
        <v>42940</v>
      </c>
      <c r="M560" s="38">
        <v>0.67569444444444438</v>
      </c>
    </row>
    <row r="561" spans="1:13" ht="60" x14ac:dyDescent="0.25">
      <c r="A561" s="33" t="s">
        <v>18</v>
      </c>
      <c r="B561" s="34" t="str">
        <f>HYPERLINK("http://www.twitter.com/WRIRCLib", "WRIRCLib")</f>
        <v>WRIRCLib</v>
      </c>
      <c r="C561" s="33" t="s">
        <v>1366</v>
      </c>
      <c r="E561" s="32" t="s">
        <v>1064</v>
      </c>
      <c r="F561" s="35">
        <v>999</v>
      </c>
      <c r="G561" s="35">
        <v>862</v>
      </c>
      <c r="H561" s="35">
        <v>3494</v>
      </c>
      <c r="I561" s="35">
        <v>621</v>
      </c>
      <c r="J561" s="36">
        <v>41656</v>
      </c>
      <c r="K561" s="37">
        <v>0.55098379629629635</v>
      </c>
      <c r="L561" s="36">
        <v>42936</v>
      </c>
      <c r="M561" s="38">
        <v>0.4755092592592593</v>
      </c>
    </row>
    <row r="562" spans="1:13" ht="45" x14ac:dyDescent="0.25">
      <c r="A562" s="33" t="s">
        <v>18</v>
      </c>
      <c r="B562" s="34" t="str">
        <f>HYPERLINK("http://www.twitter.com/BromsgroveLib", "BromsgroveLib")</f>
        <v>BromsgroveLib</v>
      </c>
      <c r="C562" s="33" t="s">
        <v>738</v>
      </c>
      <c r="D562" s="33" t="s">
        <v>739</v>
      </c>
      <c r="E562" s="32" t="s">
        <v>740</v>
      </c>
      <c r="F562" s="35">
        <v>1006</v>
      </c>
      <c r="G562" s="35">
        <v>1795</v>
      </c>
      <c r="H562" s="35">
        <v>3230</v>
      </c>
      <c r="I562" s="35">
        <v>363</v>
      </c>
      <c r="J562" s="36">
        <v>40956</v>
      </c>
      <c r="K562" s="37">
        <v>0.85609953703703701</v>
      </c>
      <c r="L562" s="36">
        <v>42937</v>
      </c>
      <c r="M562" s="38">
        <v>0.80631944444444448</v>
      </c>
    </row>
    <row r="563" spans="1:13" ht="45" x14ac:dyDescent="0.25">
      <c r="A563" s="33" t="s">
        <v>18</v>
      </c>
      <c r="B563" s="34" t="str">
        <f>HYPERLINK("http://www.twitter.com/streathamlib", "streathamlib")</f>
        <v>streathamlib</v>
      </c>
      <c r="C563" s="33" t="s">
        <v>583</v>
      </c>
      <c r="D563" s="33" t="s">
        <v>584</v>
      </c>
      <c r="E563" s="32" t="s">
        <v>585</v>
      </c>
      <c r="F563" s="35">
        <v>492</v>
      </c>
      <c r="G563" s="35">
        <v>2256</v>
      </c>
      <c r="H563" s="35">
        <v>3130</v>
      </c>
      <c r="I563" s="35">
        <v>360</v>
      </c>
      <c r="J563" s="36">
        <v>40505</v>
      </c>
      <c r="K563" s="37">
        <v>0.43679398148148146</v>
      </c>
      <c r="L563" s="36">
        <v>42923</v>
      </c>
      <c r="M563" s="38">
        <v>0.5420949074074074</v>
      </c>
    </row>
    <row r="564" spans="1:13" ht="30" x14ac:dyDescent="0.25">
      <c r="A564" s="33" t="s">
        <v>18</v>
      </c>
      <c r="B564" s="34" t="str">
        <f>HYPERLINK("http://www.twitter.com/brixtonlibrary", "brixtonlibrary")</f>
        <v>brixtonlibrary</v>
      </c>
      <c r="C564" s="33" t="s">
        <v>326</v>
      </c>
      <c r="D564" s="33" t="s">
        <v>327</v>
      </c>
      <c r="E564" s="32" t="s">
        <v>328</v>
      </c>
      <c r="F564" s="35">
        <v>797</v>
      </c>
      <c r="G564" s="35">
        <v>3455</v>
      </c>
      <c r="H564" s="35">
        <v>3096</v>
      </c>
      <c r="I564" s="35">
        <v>834</v>
      </c>
      <c r="J564" s="36">
        <v>40314</v>
      </c>
      <c r="K564" s="37">
        <v>0.87162037037037043</v>
      </c>
      <c r="L564" s="36">
        <v>42940</v>
      </c>
      <c r="M564" s="38">
        <v>0.32846064814814818</v>
      </c>
    </row>
    <row r="565" spans="1:13" ht="45" x14ac:dyDescent="0.25">
      <c r="A565" s="33" t="s">
        <v>18</v>
      </c>
      <c r="B565" s="34" t="str">
        <f>HYPERLINK("http://www.twitter.com/CranleighLib", "CranleighLib")</f>
        <v>CranleighLib</v>
      </c>
      <c r="C565" s="33" t="s">
        <v>1054</v>
      </c>
      <c r="D565" s="33" t="s">
        <v>1055</v>
      </c>
      <c r="E565" s="32" t="s">
        <v>1056</v>
      </c>
      <c r="F565" s="35">
        <v>536</v>
      </c>
      <c r="G565" s="35">
        <v>1201</v>
      </c>
      <c r="H565" s="35">
        <v>2972</v>
      </c>
      <c r="I565" s="35">
        <v>748</v>
      </c>
      <c r="J565" s="36">
        <v>40672</v>
      </c>
      <c r="K565" s="37">
        <v>0.62954861111111116</v>
      </c>
      <c r="L565" s="36">
        <v>42927</v>
      </c>
      <c r="M565" s="38">
        <v>0.41996527777777781</v>
      </c>
    </row>
    <row r="566" spans="1:13" ht="45" x14ac:dyDescent="0.25">
      <c r="A566" s="33" t="s">
        <v>18</v>
      </c>
      <c r="B566" s="34" t="str">
        <f>HYPERLINK("http://www.twitter.com/HaslemereLib", "HaslemereLib")</f>
        <v>HaslemereLib</v>
      </c>
      <c r="C566" s="33" t="s">
        <v>1307</v>
      </c>
      <c r="D566" s="33" t="s">
        <v>1308</v>
      </c>
      <c r="E566" s="32" t="s">
        <v>1309</v>
      </c>
      <c r="F566" s="35">
        <v>128</v>
      </c>
      <c r="G566" s="35">
        <v>899</v>
      </c>
      <c r="H566" s="35">
        <v>2869</v>
      </c>
      <c r="I566" s="35">
        <v>55</v>
      </c>
      <c r="J566" s="36">
        <v>40711</v>
      </c>
      <c r="K566" s="37">
        <v>0.5604513888888889</v>
      </c>
      <c r="L566" s="36">
        <v>42938</v>
      </c>
      <c r="M566" s="38">
        <v>0.36120370370370369</v>
      </c>
    </row>
    <row r="567" spans="1:13" ht="45" x14ac:dyDescent="0.25">
      <c r="A567" s="33" t="s">
        <v>18</v>
      </c>
      <c r="B567" s="34" t="str">
        <f>HYPERLINK("http://www.twitter.com/StalhamLibrary", "StalhamLibrary")</f>
        <v>StalhamLibrary</v>
      </c>
      <c r="C567" s="33" t="s">
        <v>1907</v>
      </c>
      <c r="D567" s="33" t="s">
        <v>1908</v>
      </c>
      <c r="E567" s="32" t="s">
        <v>1909</v>
      </c>
      <c r="F567" s="35">
        <v>588</v>
      </c>
      <c r="G567" s="35">
        <v>444</v>
      </c>
      <c r="H567" s="35">
        <v>2821</v>
      </c>
      <c r="I567" s="35">
        <v>277</v>
      </c>
      <c r="J567" s="36">
        <v>41018</v>
      </c>
      <c r="K567" s="37">
        <v>0.47386574074074073</v>
      </c>
      <c r="L567" s="36">
        <v>42940</v>
      </c>
      <c r="M567" s="38">
        <v>0.4377199074074074</v>
      </c>
    </row>
    <row r="568" spans="1:13" ht="45" x14ac:dyDescent="0.25">
      <c r="A568" s="33" t="s">
        <v>18</v>
      </c>
      <c r="B568" s="34" t="str">
        <f>HYPERLINK("http://www.twitter.com/FriernBarnetLib", "FriernBarnetLib")</f>
        <v>FriernBarnetLib</v>
      </c>
      <c r="C568" s="33" t="s">
        <v>1120</v>
      </c>
      <c r="D568" s="33" t="s">
        <v>1121</v>
      </c>
      <c r="E568" s="32" t="s">
        <v>1122</v>
      </c>
      <c r="F568" s="35">
        <v>2082</v>
      </c>
      <c r="G568" s="35">
        <v>1107</v>
      </c>
      <c r="H568" s="35">
        <v>2819</v>
      </c>
      <c r="I568" s="35">
        <v>341</v>
      </c>
      <c r="J568" s="36">
        <v>40672</v>
      </c>
      <c r="K568" s="37">
        <v>0.7612268518518519</v>
      </c>
      <c r="L568" s="36">
        <v>42876</v>
      </c>
      <c r="M568" s="38">
        <v>0.81649305555555562</v>
      </c>
    </row>
    <row r="569" spans="1:13" ht="30" x14ac:dyDescent="0.25">
      <c r="A569" s="33" t="s">
        <v>18</v>
      </c>
      <c r="B569" s="34" t="str">
        <f>HYPERLINK("http://www.twitter.com/GYlibrary", "GYlibrary")</f>
        <v>GYlibrary</v>
      </c>
      <c r="C569" s="33" t="s">
        <v>856</v>
      </c>
      <c r="D569" s="33" t="s">
        <v>857</v>
      </c>
      <c r="E569" s="32" t="s">
        <v>858</v>
      </c>
      <c r="F569" s="35">
        <v>494</v>
      </c>
      <c r="G569" s="35">
        <v>1496</v>
      </c>
      <c r="H569" s="35">
        <v>2798</v>
      </c>
      <c r="I569" s="35">
        <v>607</v>
      </c>
      <c r="J569" s="36">
        <v>39613</v>
      </c>
      <c r="K569" s="37">
        <v>0.47964120370370367</v>
      </c>
      <c r="L569" s="36">
        <v>42938</v>
      </c>
      <c r="M569" s="38">
        <v>0.71915509259259258</v>
      </c>
    </row>
    <row r="570" spans="1:13" ht="90" x14ac:dyDescent="0.25">
      <c r="A570" s="33" t="s">
        <v>18</v>
      </c>
      <c r="B570" s="34" t="str">
        <f>HYPERLINK("http://www.twitter.com/BiltonLibrary", "BiltonLibrary")</f>
        <v>BiltonLibrary</v>
      </c>
      <c r="C570" s="33" t="s">
        <v>2092</v>
      </c>
      <c r="D570" s="33" t="s">
        <v>2093</v>
      </c>
      <c r="E570" s="32" t="s">
        <v>2094</v>
      </c>
      <c r="F570" s="35">
        <v>184</v>
      </c>
      <c r="G570" s="35">
        <v>381</v>
      </c>
      <c r="H570" s="35">
        <v>2777</v>
      </c>
      <c r="I570" s="35">
        <v>94</v>
      </c>
      <c r="J570" s="36">
        <v>41113</v>
      </c>
      <c r="K570" s="37">
        <v>0.86143518518518514</v>
      </c>
      <c r="L570" s="36">
        <v>42940</v>
      </c>
      <c r="M570" s="38">
        <v>0.35675925925925928</v>
      </c>
    </row>
    <row r="571" spans="1:13" ht="30" x14ac:dyDescent="0.25">
      <c r="A571" s="33" t="s">
        <v>18</v>
      </c>
      <c r="B571" s="34" t="str">
        <f>HYPERLINK("http://www.twitter.com/Eco_CP_Library", "Eco_CP_Library")</f>
        <v>Eco_CP_Library</v>
      </c>
      <c r="C571" s="33" t="s">
        <v>898</v>
      </c>
      <c r="D571" s="33" t="s">
        <v>899</v>
      </c>
      <c r="E571" s="32" t="s">
        <v>900</v>
      </c>
      <c r="F571" s="35">
        <v>473</v>
      </c>
      <c r="G571" s="35">
        <v>1468</v>
      </c>
      <c r="H571" s="35">
        <v>2640</v>
      </c>
      <c r="I571" s="35">
        <v>662</v>
      </c>
      <c r="J571" s="36">
        <v>41051</v>
      </c>
      <c r="K571" s="37">
        <v>0.67851851851851841</v>
      </c>
      <c r="L571" s="36">
        <v>42938</v>
      </c>
      <c r="M571" s="38">
        <v>0.32438657407407406</v>
      </c>
    </row>
    <row r="572" spans="1:13" x14ac:dyDescent="0.25">
      <c r="A572" s="33" t="s">
        <v>18</v>
      </c>
      <c r="B572" s="34" t="str">
        <f>HYPERLINK("http://www.twitter.com/LowestoftLib", "LowestoftLib")</f>
        <v>LowestoftLib</v>
      </c>
      <c r="C572" s="33" t="s">
        <v>1252</v>
      </c>
      <c r="D572" s="33" t="s">
        <v>1253</v>
      </c>
      <c r="E572" s="32" t="s">
        <v>1254</v>
      </c>
      <c r="F572" s="35">
        <v>260</v>
      </c>
      <c r="G572" s="35">
        <v>1004</v>
      </c>
      <c r="H572" s="35">
        <v>2626</v>
      </c>
      <c r="I572" s="35">
        <v>223</v>
      </c>
      <c r="J572" s="36">
        <v>41500</v>
      </c>
      <c r="K572" s="37">
        <v>0.35927083333333337</v>
      </c>
      <c r="L572" s="36">
        <v>42940</v>
      </c>
      <c r="M572" s="38">
        <v>0.64280092592592586</v>
      </c>
    </row>
    <row r="573" spans="1:13" ht="45" x14ac:dyDescent="0.25">
      <c r="A573" s="33" t="s">
        <v>18</v>
      </c>
      <c r="B573" s="34" t="str">
        <f>HYPERLINK("http://www.twitter.com/yorkulibraries", "yorkulibraries")</f>
        <v>yorkulibraries</v>
      </c>
      <c r="C573" s="33" t="s">
        <v>3687</v>
      </c>
      <c r="D573" s="33" t="s">
        <v>3688</v>
      </c>
      <c r="E573" s="32" t="s">
        <v>3689</v>
      </c>
      <c r="F573" s="35">
        <v>824</v>
      </c>
      <c r="G573" s="35">
        <v>2350</v>
      </c>
      <c r="H573" s="35">
        <v>2621</v>
      </c>
      <c r="I573" s="35">
        <v>168</v>
      </c>
      <c r="J573" s="36">
        <v>39800</v>
      </c>
      <c r="K573" s="37">
        <v>0.83967592592592588</v>
      </c>
      <c r="L573" s="36">
        <v>42930</v>
      </c>
      <c r="M573" s="38">
        <v>0.75655092592592599</v>
      </c>
    </row>
    <row r="574" spans="1:13" x14ac:dyDescent="0.25">
      <c r="A574" s="33" t="s">
        <v>18</v>
      </c>
      <c r="B574" s="34" t="str">
        <f>HYPERLINK("http://www.twitter.com/LlyfrGwyneddLib", "LlyfrGwyneddLib")</f>
        <v>LlyfrGwyneddLib</v>
      </c>
      <c r="C574" s="33" t="s">
        <v>1024</v>
      </c>
      <c r="D574" s="33" t="s">
        <v>1025</v>
      </c>
      <c r="E574" s="32" t="s">
        <v>1026</v>
      </c>
      <c r="F574" s="35">
        <v>870</v>
      </c>
      <c r="G574" s="35">
        <v>1242</v>
      </c>
      <c r="H574" s="35">
        <v>2590</v>
      </c>
      <c r="I574" s="35">
        <v>217</v>
      </c>
      <c r="J574" s="36">
        <v>40743</v>
      </c>
      <c r="K574" s="37">
        <v>0.36074074074074075</v>
      </c>
      <c r="L574" s="36">
        <v>42940</v>
      </c>
      <c r="M574" s="38">
        <v>0.6877199074074074</v>
      </c>
    </row>
    <row r="575" spans="1:13" ht="30" x14ac:dyDescent="0.25">
      <c r="A575" s="33" t="s">
        <v>18</v>
      </c>
      <c r="B575" s="34" t="str">
        <f>HYPERLINK("http://www.twitter.com/lymingtonlib", "lymingtonlib")</f>
        <v>lymingtonlib</v>
      </c>
      <c r="C575" s="33" t="s">
        <v>1712</v>
      </c>
      <c r="D575" s="33" t="s">
        <v>1713</v>
      </c>
      <c r="E575" s="32" t="s">
        <v>1714</v>
      </c>
      <c r="F575" s="35">
        <v>180</v>
      </c>
      <c r="G575" s="35">
        <v>570</v>
      </c>
      <c r="H575" s="35">
        <v>2523</v>
      </c>
      <c r="I575" s="35">
        <v>193</v>
      </c>
      <c r="J575" s="36">
        <v>41706</v>
      </c>
      <c r="K575" s="37">
        <v>0.44969907407407406</v>
      </c>
      <c r="L575" s="36">
        <v>42916</v>
      </c>
      <c r="M575" s="38">
        <v>0.37003472222222222</v>
      </c>
    </row>
    <row r="576" spans="1:13" ht="45" x14ac:dyDescent="0.25">
      <c r="A576" s="33" t="s">
        <v>18</v>
      </c>
      <c r="B576" s="34" t="str">
        <f>HYPERLINK("http://www.twitter.com/GodalmingLib", "GodalmingLib")</f>
        <v>GodalmingLib</v>
      </c>
      <c r="C576" s="33" t="s">
        <v>892</v>
      </c>
      <c r="D576" s="33" t="s">
        <v>893</v>
      </c>
      <c r="E576" s="32" t="s">
        <v>894</v>
      </c>
      <c r="F576" s="35">
        <v>434</v>
      </c>
      <c r="G576" s="35">
        <v>1452</v>
      </c>
      <c r="H576" s="35">
        <v>2501</v>
      </c>
      <c r="I576" s="35">
        <v>230</v>
      </c>
      <c r="J576" s="36">
        <v>40781</v>
      </c>
      <c r="K576" s="37">
        <v>0.4902199074074074</v>
      </c>
      <c r="L576" s="36">
        <v>42938</v>
      </c>
      <c r="M576" s="38">
        <v>0.70835648148148145</v>
      </c>
    </row>
    <row r="577" spans="1:13" ht="45" x14ac:dyDescent="0.25">
      <c r="A577" s="33" t="s">
        <v>18</v>
      </c>
      <c r="B577" s="34" t="str">
        <f>HYPERLINK("http://www.twitter.com/WroLibrary", "WroLibrary")</f>
        <v>WroLibrary</v>
      </c>
      <c r="C577" s="33" t="s">
        <v>1489</v>
      </c>
      <c r="D577" s="33" t="s">
        <v>1490</v>
      </c>
      <c r="E577" s="32" t="s">
        <v>1491</v>
      </c>
      <c r="F577" s="35">
        <v>755</v>
      </c>
      <c r="G577" s="35">
        <v>756</v>
      </c>
      <c r="H577" s="35">
        <v>2471</v>
      </c>
      <c r="I577" s="35">
        <v>135</v>
      </c>
      <c r="J577" s="36">
        <v>40512</v>
      </c>
      <c r="K577" s="37">
        <v>0.69126157407407407</v>
      </c>
      <c r="L577" s="36">
        <v>42940</v>
      </c>
      <c r="M577" s="38">
        <v>0.47234953703703703</v>
      </c>
    </row>
    <row r="578" spans="1:13" ht="60" x14ac:dyDescent="0.25">
      <c r="A578" s="33" t="s">
        <v>18</v>
      </c>
      <c r="B578" s="34" t="str">
        <f>HYPERLINK("http://www.twitter.com/ShoeLaneLib", "ShoeLaneLib")</f>
        <v>ShoeLaneLib</v>
      </c>
      <c r="C578" s="33" t="s">
        <v>1151</v>
      </c>
      <c r="D578" s="33" t="s">
        <v>1152</v>
      </c>
      <c r="E578" s="32" t="s">
        <v>1153</v>
      </c>
      <c r="F578" s="35">
        <v>1329</v>
      </c>
      <c r="G578" s="35">
        <v>1090</v>
      </c>
      <c r="H578" s="35">
        <v>2460</v>
      </c>
      <c r="I578" s="35">
        <v>292</v>
      </c>
      <c r="J578" s="36">
        <v>40968</v>
      </c>
      <c r="K578" s="37">
        <v>0.69396990740740738</v>
      </c>
      <c r="L578" s="36">
        <v>42940</v>
      </c>
      <c r="M578" s="38">
        <v>0.69862268518518522</v>
      </c>
    </row>
    <row r="579" spans="1:13" ht="45" x14ac:dyDescent="0.25">
      <c r="A579" s="33" t="s">
        <v>18</v>
      </c>
      <c r="B579" s="34" t="str">
        <f>HYPERLINK("http://www.twitter.com/RedhillLibrary", "RedhillLibrary")</f>
        <v>RedhillLibrary</v>
      </c>
      <c r="C579" s="33" t="s">
        <v>946</v>
      </c>
      <c r="D579" s="33" t="s">
        <v>947</v>
      </c>
      <c r="E579" s="32" t="s">
        <v>948</v>
      </c>
      <c r="F579" s="35">
        <v>985</v>
      </c>
      <c r="G579" s="35">
        <v>1358</v>
      </c>
      <c r="H579" s="35">
        <v>2387</v>
      </c>
      <c r="I579" s="35">
        <v>555</v>
      </c>
      <c r="J579" s="36">
        <v>40781</v>
      </c>
      <c r="K579" s="37">
        <v>0.48430555555555554</v>
      </c>
      <c r="L579" s="36">
        <v>42938</v>
      </c>
      <c r="M579" s="38">
        <v>0.5914814814814815</v>
      </c>
    </row>
    <row r="580" spans="1:13" ht="45" x14ac:dyDescent="0.25">
      <c r="A580" s="33" t="s">
        <v>18</v>
      </c>
      <c r="B580" s="34" t="str">
        <f>HYPERLINK("http://www.twitter.com/claphamlib", "claphamlib")</f>
        <v>claphamlib</v>
      </c>
      <c r="C580" s="33" t="s">
        <v>522</v>
      </c>
      <c r="D580" s="33" t="s">
        <v>523</v>
      </c>
      <c r="E580" s="32" t="s">
        <v>524</v>
      </c>
      <c r="F580" s="35">
        <v>2247</v>
      </c>
      <c r="G580" s="35">
        <v>2396</v>
      </c>
      <c r="H580" s="35">
        <v>2360</v>
      </c>
      <c r="I580" s="35">
        <v>150</v>
      </c>
      <c r="J580" s="36">
        <v>40981</v>
      </c>
      <c r="K580" s="37">
        <v>0.61956018518518519</v>
      </c>
      <c r="L580" s="36">
        <v>42936</v>
      </c>
      <c r="M580" s="38">
        <v>0.53543981481481484</v>
      </c>
    </row>
    <row r="581" spans="1:13" ht="45" x14ac:dyDescent="0.25">
      <c r="A581" s="33" t="s">
        <v>18</v>
      </c>
      <c r="B581" s="34" t="str">
        <f>HYPERLINK("http://www.twitter.com/EveshamLib", "EveshamLib")</f>
        <v>EveshamLib</v>
      </c>
      <c r="C581" s="33" t="s">
        <v>1131</v>
      </c>
      <c r="D581" s="33" t="s">
        <v>1132</v>
      </c>
      <c r="E581" s="32" t="s">
        <v>1133</v>
      </c>
      <c r="F581" s="35">
        <v>199</v>
      </c>
      <c r="G581" s="35">
        <v>1091</v>
      </c>
      <c r="H581" s="35">
        <v>2335</v>
      </c>
      <c r="I581" s="35">
        <v>15</v>
      </c>
      <c r="J581" s="36">
        <v>41235</v>
      </c>
      <c r="K581" s="37">
        <v>0.54633101851851851</v>
      </c>
      <c r="L581" s="36">
        <v>42937</v>
      </c>
      <c r="M581" s="38">
        <v>0.66285879629629629</v>
      </c>
    </row>
    <row r="582" spans="1:13" ht="45" x14ac:dyDescent="0.25">
      <c r="A582" s="33" t="s">
        <v>18</v>
      </c>
      <c r="B582" s="34" t="str">
        <f>HYPERLINK("http://www.twitter.com/librarystrensal", "librarystrensal")</f>
        <v>librarystrensal</v>
      </c>
      <c r="C582" s="33" t="s">
        <v>1819</v>
      </c>
      <c r="D582" s="33" t="s">
        <v>1820</v>
      </c>
      <c r="E582" s="32" t="s">
        <v>1821</v>
      </c>
      <c r="F582" s="35">
        <v>22</v>
      </c>
      <c r="G582" s="35">
        <v>505</v>
      </c>
      <c r="H582" s="35">
        <v>2321</v>
      </c>
      <c r="I582" s="35">
        <v>1</v>
      </c>
      <c r="J582" s="36">
        <v>41396</v>
      </c>
      <c r="K582" s="37">
        <v>0.81660879629629635</v>
      </c>
      <c r="L582" s="36">
        <v>42940</v>
      </c>
      <c r="M582" s="38">
        <v>0.56737268518518513</v>
      </c>
    </row>
    <row r="583" spans="1:13" x14ac:dyDescent="0.25">
      <c r="A583" s="33" t="s">
        <v>18</v>
      </c>
      <c r="B583" s="34" t="str">
        <f>HYPERLINK("http://www.twitter.com/PowysLibraries", "PowysLibraries")</f>
        <v>PowysLibraries</v>
      </c>
      <c r="C583" s="33" t="s">
        <v>1244</v>
      </c>
      <c r="D583" s="33" t="s">
        <v>1245</v>
      </c>
      <c r="F583" s="35">
        <v>376</v>
      </c>
      <c r="G583" s="35">
        <v>983</v>
      </c>
      <c r="H583" s="35">
        <v>2316</v>
      </c>
      <c r="I583" s="35">
        <v>273</v>
      </c>
      <c r="J583" s="36">
        <v>40875</v>
      </c>
      <c r="K583" s="37">
        <v>0.49317129629629625</v>
      </c>
      <c r="L583" s="36">
        <v>42936</v>
      </c>
      <c r="M583" s="38">
        <v>0.55306712962962956</v>
      </c>
    </row>
    <row r="584" spans="1:13" ht="30" x14ac:dyDescent="0.25">
      <c r="A584" s="33" t="s">
        <v>18</v>
      </c>
      <c r="B584" s="34" t="str">
        <f>HYPERLINK("http://www.twitter.com/BasingstokeDC", "BasingstokeDC")</f>
        <v>BasingstokeDC</v>
      </c>
      <c r="C584" s="33" t="s">
        <v>188</v>
      </c>
      <c r="D584" s="33" t="s">
        <v>677</v>
      </c>
      <c r="E584" s="32" t="s">
        <v>678</v>
      </c>
      <c r="F584" s="35">
        <v>765</v>
      </c>
      <c r="G584" s="35">
        <v>1982</v>
      </c>
      <c r="H584" s="35">
        <v>2288</v>
      </c>
      <c r="I584" s="35">
        <v>278</v>
      </c>
      <c r="J584" s="36">
        <v>40416</v>
      </c>
      <c r="K584" s="37">
        <v>0.63196759259259261</v>
      </c>
      <c r="L584" s="36">
        <v>42940</v>
      </c>
      <c r="M584" s="38">
        <v>0.50167824074074074</v>
      </c>
    </row>
    <row r="585" spans="1:13" ht="45" x14ac:dyDescent="0.25">
      <c r="A585" s="33" t="s">
        <v>18</v>
      </c>
      <c r="B585" s="34" t="str">
        <f>HYPERLINK("http://www.twitter.com/PrestonLib", "PrestonLib")</f>
        <v>PrestonLib</v>
      </c>
      <c r="C585" s="33" t="s">
        <v>1993</v>
      </c>
      <c r="D585" s="33" t="s">
        <v>1994</v>
      </c>
      <c r="E585" s="32" t="s">
        <v>1995</v>
      </c>
      <c r="F585" s="35">
        <v>298</v>
      </c>
      <c r="G585" s="35">
        <v>414</v>
      </c>
      <c r="H585" s="35">
        <v>2271</v>
      </c>
      <c r="I585" s="35">
        <v>358</v>
      </c>
      <c r="J585" s="36">
        <v>40661</v>
      </c>
      <c r="K585" s="37">
        <v>0.6390393518518519</v>
      </c>
      <c r="L585" s="36">
        <v>42932</v>
      </c>
      <c r="M585" s="38">
        <v>0.88024305555555549</v>
      </c>
    </row>
    <row r="586" spans="1:13" ht="45" x14ac:dyDescent="0.25">
      <c r="A586" s="33" t="s">
        <v>18</v>
      </c>
      <c r="B586" s="34" t="str">
        <f>HYPERLINK("http://www.twitter.com/SaveFriernBtLib", "SaveFriernBtLib")</f>
        <v>SaveFriernBtLib</v>
      </c>
      <c r="C586" s="33" t="s">
        <v>1611</v>
      </c>
      <c r="D586" s="33" t="s">
        <v>1612</v>
      </c>
      <c r="E586" s="32" t="s">
        <v>1613</v>
      </c>
      <c r="F586" s="35">
        <v>539</v>
      </c>
      <c r="G586" s="35">
        <v>646</v>
      </c>
      <c r="H586" s="35">
        <v>2182</v>
      </c>
      <c r="I586" s="35">
        <v>197</v>
      </c>
      <c r="J586" s="36">
        <v>40671</v>
      </c>
      <c r="K586" s="37">
        <v>0.86965277777777772</v>
      </c>
      <c r="L586" s="36">
        <v>41715</v>
      </c>
      <c r="M586" s="38">
        <v>0.47856481481481478</v>
      </c>
    </row>
    <row r="587" spans="1:13" ht="45" x14ac:dyDescent="0.25">
      <c r="A587" s="33" t="s">
        <v>18</v>
      </c>
      <c r="B587" s="34" t="str">
        <f>HYPERLINK("http://www.twitter.com/SunburyLibrary", "SunburyLibrary")</f>
        <v>SunburyLibrary</v>
      </c>
      <c r="C587" s="33" t="s">
        <v>1209</v>
      </c>
      <c r="D587" s="33" t="s">
        <v>1210</v>
      </c>
      <c r="E587" s="32" t="s">
        <v>1211</v>
      </c>
      <c r="F587" s="35">
        <v>257</v>
      </c>
      <c r="G587" s="35">
        <v>1015</v>
      </c>
      <c r="H587" s="35">
        <v>2151</v>
      </c>
      <c r="I587" s="35">
        <v>83</v>
      </c>
      <c r="J587" s="36">
        <v>40781</v>
      </c>
      <c r="K587" s="37">
        <v>0.4814930555555556</v>
      </c>
      <c r="L587" s="36">
        <v>42940</v>
      </c>
      <c r="M587" s="38">
        <v>0.39937500000000004</v>
      </c>
    </row>
    <row r="588" spans="1:13" ht="45" x14ac:dyDescent="0.25">
      <c r="A588" s="33" t="s">
        <v>18</v>
      </c>
      <c r="B588" s="34" t="str">
        <f>HYPERLINK("http://www.twitter.com/Minet_Library", "Minet_Library")</f>
        <v>Minet_Library</v>
      </c>
      <c r="C588" s="33" t="s">
        <v>1074</v>
      </c>
      <c r="D588" s="33" t="s">
        <v>1075</v>
      </c>
      <c r="E588" s="32" t="s">
        <v>1076</v>
      </c>
      <c r="F588" s="35">
        <v>934</v>
      </c>
      <c r="G588" s="35">
        <v>1144</v>
      </c>
      <c r="H588" s="35">
        <v>2109</v>
      </c>
      <c r="I588" s="35">
        <v>59</v>
      </c>
      <c r="J588" s="36">
        <v>40669</v>
      </c>
      <c r="K588" s="37">
        <v>0.35019675925925925</v>
      </c>
      <c r="L588" s="36">
        <v>42453</v>
      </c>
      <c r="M588" s="38">
        <v>0.73393518518518519</v>
      </c>
    </row>
    <row r="589" spans="1:13" ht="30" x14ac:dyDescent="0.25">
      <c r="A589" s="33" t="s">
        <v>18</v>
      </c>
      <c r="B589" s="34" t="str">
        <f>HYPERLINK("http://www.twitter.com/BedwasLib", "BedwasLib")</f>
        <v>BedwasLib</v>
      </c>
      <c r="C589" s="33" t="s">
        <v>2117</v>
      </c>
      <c r="D589" s="33" t="s">
        <v>2118</v>
      </c>
      <c r="E589" s="32" t="s">
        <v>2088</v>
      </c>
      <c r="F589" s="35">
        <v>263</v>
      </c>
      <c r="G589" s="35">
        <v>374</v>
      </c>
      <c r="H589" s="35">
        <v>2078</v>
      </c>
      <c r="I589" s="35">
        <v>809</v>
      </c>
      <c r="J589" s="36">
        <v>42160</v>
      </c>
      <c r="K589" s="37">
        <v>0.59429398148148149</v>
      </c>
      <c r="L589" s="36">
        <v>42940</v>
      </c>
      <c r="M589" s="38">
        <v>0.56527777777777777</v>
      </c>
    </row>
    <row r="590" spans="1:13" ht="30" x14ac:dyDescent="0.25">
      <c r="A590" s="33" t="s">
        <v>18</v>
      </c>
      <c r="B590" s="34" t="str">
        <f>HYPERLINK("http://www.twitter.com/AbingdonLibrary", "AbingdonLibrary")</f>
        <v>AbingdonLibrary</v>
      </c>
      <c r="C590" s="33" t="s">
        <v>1035</v>
      </c>
      <c r="D590" s="33" t="s">
        <v>1036</v>
      </c>
      <c r="E590" s="32" t="s">
        <v>1037</v>
      </c>
      <c r="F590" s="35">
        <v>948</v>
      </c>
      <c r="G590" s="35">
        <v>1214</v>
      </c>
      <c r="H590" s="35">
        <v>1994</v>
      </c>
      <c r="I590" s="35">
        <v>109</v>
      </c>
      <c r="J590" s="36">
        <v>40966</v>
      </c>
      <c r="K590" s="37">
        <v>0.52077546296296295</v>
      </c>
      <c r="L590" s="36">
        <v>42822</v>
      </c>
      <c r="M590" s="38">
        <v>0.43984953703703705</v>
      </c>
    </row>
    <row r="591" spans="1:13" x14ac:dyDescent="0.25">
      <c r="A591" s="33" t="s">
        <v>18</v>
      </c>
      <c r="B591" s="34" t="str">
        <f>HYPERLINK("http://www.twitter.com/LiverpoolPubLib", "LiverpoolPubLib")</f>
        <v>LiverpoolPubLib</v>
      </c>
      <c r="C591" s="33" t="s">
        <v>1089</v>
      </c>
      <c r="D591" s="33" t="s">
        <v>1090</v>
      </c>
      <c r="E591" s="32" t="s">
        <v>1091</v>
      </c>
      <c r="F591" s="35">
        <v>1366</v>
      </c>
      <c r="G591" s="35">
        <v>1139</v>
      </c>
      <c r="H591" s="35">
        <v>1958</v>
      </c>
      <c r="I591" s="35">
        <v>451</v>
      </c>
      <c r="J591" s="36">
        <v>40520</v>
      </c>
      <c r="K591" s="37">
        <v>0.7192708333333333</v>
      </c>
      <c r="L591" s="36">
        <v>42940</v>
      </c>
      <c r="M591" s="38">
        <v>0.67763888888888879</v>
      </c>
    </row>
    <row r="592" spans="1:13" ht="45" x14ac:dyDescent="0.25">
      <c r="A592" s="33" t="s">
        <v>18</v>
      </c>
      <c r="B592" s="34" t="str">
        <f>HYPERLINK("http://www.twitter.com/FarnhamLibrary", "FarnhamLibrary")</f>
        <v>FarnhamLibrary</v>
      </c>
      <c r="C592" s="33" t="s">
        <v>911</v>
      </c>
      <c r="D592" s="33" t="s">
        <v>912</v>
      </c>
      <c r="E592" s="32" t="s">
        <v>913</v>
      </c>
      <c r="F592" s="35">
        <v>695</v>
      </c>
      <c r="G592" s="35">
        <v>1418</v>
      </c>
      <c r="H592" s="35">
        <v>1956</v>
      </c>
      <c r="I592" s="35">
        <v>17</v>
      </c>
      <c r="J592" s="36">
        <v>40875</v>
      </c>
      <c r="K592" s="37">
        <v>0.47170138888888885</v>
      </c>
      <c r="L592" s="36">
        <v>42935</v>
      </c>
      <c r="M592" s="38">
        <v>0.64319444444444451</v>
      </c>
    </row>
    <row r="593" spans="1:13" ht="45" x14ac:dyDescent="0.25">
      <c r="A593" s="33" t="s">
        <v>18</v>
      </c>
      <c r="B593" s="34" t="str">
        <f>HYPERLINK("http://www.twitter.com/newxlearning", "newxlearning")</f>
        <v>newxlearning</v>
      </c>
      <c r="C593" s="33" t="s">
        <v>769</v>
      </c>
      <c r="D593" s="33" t="s">
        <v>770</v>
      </c>
      <c r="E593" s="32" t="s">
        <v>771</v>
      </c>
      <c r="F593" s="35">
        <v>956</v>
      </c>
      <c r="G593" s="35">
        <v>1706</v>
      </c>
      <c r="H593" s="35">
        <v>1831</v>
      </c>
      <c r="I593" s="35">
        <v>35</v>
      </c>
      <c r="J593" s="36">
        <v>40757</v>
      </c>
      <c r="K593" s="37">
        <v>0.8665046296296296</v>
      </c>
      <c r="L593" s="36">
        <v>42940</v>
      </c>
      <c r="M593" s="38">
        <v>0.64182870370370371</v>
      </c>
    </row>
    <row r="594" spans="1:13" ht="45" x14ac:dyDescent="0.25">
      <c r="A594" s="33" t="s">
        <v>18</v>
      </c>
      <c r="B594" s="34" t="str">
        <f>HYPERLINK("http://www.twitter.com/HytheLibrary", "HytheLibrary")</f>
        <v>HytheLibrary</v>
      </c>
      <c r="C594" s="33" t="s">
        <v>1741</v>
      </c>
      <c r="D594" s="33" t="s">
        <v>1742</v>
      </c>
      <c r="E594" s="32" t="s">
        <v>1743</v>
      </c>
      <c r="F594" s="35">
        <v>373</v>
      </c>
      <c r="G594" s="35">
        <v>545</v>
      </c>
      <c r="H594" s="35">
        <v>1822</v>
      </c>
      <c r="I594" s="35">
        <v>741</v>
      </c>
      <c r="J594" s="36">
        <v>41775</v>
      </c>
      <c r="K594" s="37">
        <v>0.51315972222222228</v>
      </c>
      <c r="L594" s="36">
        <v>42935</v>
      </c>
      <c r="M594" s="38">
        <v>0.53312499999999996</v>
      </c>
    </row>
    <row r="595" spans="1:13" ht="30" x14ac:dyDescent="0.25">
      <c r="A595" s="33" t="s">
        <v>18</v>
      </c>
      <c r="B595" s="34" t="str">
        <f>HYPERLINK("http://www.twitter.com/YarmouthLib", "YarmouthLib")</f>
        <v>YarmouthLib</v>
      </c>
      <c r="C595" s="33" t="s">
        <v>1561</v>
      </c>
      <c r="D595" s="33" t="s">
        <v>1562</v>
      </c>
      <c r="E595" s="32" t="s">
        <v>1563</v>
      </c>
      <c r="F595" s="35">
        <v>1097</v>
      </c>
      <c r="G595" s="35">
        <v>702</v>
      </c>
      <c r="H595" s="35">
        <v>1803</v>
      </c>
      <c r="I595" s="35">
        <v>89</v>
      </c>
      <c r="J595" s="36">
        <v>42391</v>
      </c>
      <c r="K595" s="37">
        <v>0.51339120370370372</v>
      </c>
      <c r="L595" s="36">
        <v>42940</v>
      </c>
      <c r="M595" s="38">
        <v>0.64525462962962965</v>
      </c>
    </row>
    <row r="596" spans="1:13" ht="45" x14ac:dyDescent="0.25">
      <c r="A596" s="33" t="s">
        <v>18</v>
      </c>
      <c r="B596" s="34" t="str">
        <f>HYPERLINK("http://www.twitter.com/whitchurchLib", "whitchurchLib")</f>
        <v>whitchurchLib</v>
      </c>
      <c r="C596" s="33" t="s">
        <v>1473</v>
      </c>
      <c r="D596" s="33" t="s">
        <v>1474</v>
      </c>
      <c r="E596" s="32" t="s">
        <v>1475</v>
      </c>
      <c r="F596" s="35">
        <v>62</v>
      </c>
      <c r="G596" s="35">
        <v>776</v>
      </c>
      <c r="H596" s="35">
        <v>1766</v>
      </c>
      <c r="I596" s="35">
        <v>15</v>
      </c>
      <c r="J596" s="36">
        <v>41492</v>
      </c>
      <c r="K596" s="37">
        <v>0.45916666666666667</v>
      </c>
      <c r="L596" s="36">
        <v>42936</v>
      </c>
      <c r="M596" s="38">
        <v>0.36896990740740737</v>
      </c>
    </row>
    <row r="597" spans="1:13" ht="30" x14ac:dyDescent="0.25">
      <c r="A597" s="33" t="s">
        <v>18</v>
      </c>
      <c r="B597" s="34" t="str">
        <f>HYPERLINK("http://www.twitter.com/MDraytonLibrary", "MDraytonLibrary")</f>
        <v>MDraytonLibrary</v>
      </c>
      <c r="C597" s="33" t="s">
        <v>1806</v>
      </c>
      <c r="D597" s="33" t="s">
        <v>1807</v>
      </c>
      <c r="E597" s="32" t="s">
        <v>1808</v>
      </c>
      <c r="F597" s="35">
        <v>257</v>
      </c>
      <c r="G597" s="35">
        <v>509</v>
      </c>
      <c r="H597" s="35">
        <v>1754</v>
      </c>
      <c r="I597" s="35">
        <v>141</v>
      </c>
      <c r="J597" s="36">
        <v>41984</v>
      </c>
      <c r="K597" s="37">
        <v>0.41241898148148143</v>
      </c>
      <c r="L597" s="36">
        <v>42940</v>
      </c>
      <c r="M597" s="38">
        <v>0.47032407407407412</v>
      </c>
    </row>
    <row r="598" spans="1:13" ht="45" x14ac:dyDescent="0.25">
      <c r="A598" s="33" t="s">
        <v>18</v>
      </c>
      <c r="B598" s="34" t="str">
        <f>HYPERLINK("http://www.twitter.com/BelsizeLibrary", "BelsizeLibrary")</f>
        <v>BelsizeLibrary</v>
      </c>
      <c r="C598" s="33" t="s">
        <v>1364</v>
      </c>
      <c r="D598" s="33" t="s">
        <v>36</v>
      </c>
      <c r="E598" s="32" t="s">
        <v>1365</v>
      </c>
      <c r="F598" s="35">
        <v>579</v>
      </c>
      <c r="G598" s="35">
        <v>868</v>
      </c>
      <c r="H598" s="35">
        <v>1737</v>
      </c>
      <c r="I598" s="35">
        <v>138</v>
      </c>
      <c r="J598" s="36">
        <v>41038</v>
      </c>
      <c r="K598" s="37">
        <v>0.42386574074074074</v>
      </c>
      <c r="L598" s="36">
        <v>42892</v>
      </c>
      <c r="M598" s="38">
        <v>0.63668981481481479</v>
      </c>
    </row>
    <row r="599" spans="1:13" ht="30" x14ac:dyDescent="0.25">
      <c r="A599" s="33" t="s">
        <v>18</v>
      </c>
      <c r="B599" s="34" t="str">
        <f>HYPERLINK("http://www.twitter.com/BridgnorthLib", "BridgnorthLib")</f>
        <v>BridgnorthLib</v>
      </c>
      <c r="C599" s="33" t="s">
        <v>1258</v>
      </c>
      <c r="D599" s="33" t="s">
        <v>1259</v>
      </c>
      <c r="E599" s="32" t="s">
        <v>1260</v>
      </c>
      <c r="F599" s="35">
        <v>110</v>
      </c>
      <c r="G599" s="35">
        <v>974</v>
      </c>
      <c r="H599" s="35">
        <v>1694</v>
      </c>
      <c r="I599" s="35">
        <v>66</v>
      </c>
      <c r="J599" s="36">
        <v>41391</v>
      </c>
      <c r="K599" s="37">
        <v>0.58783564814814815</v>
      </c>
      <c r="L599" s="36">
        <v>42937</v>
      </c>
      <c r="M599" s="38">
        <v>0.72476851851851853</v>
      </c>
    </row>
    <row r="600" spans="1:13" ht="30" x14ac:dyDescent="0.25">
      <c r="A600" s="33" t="s">
        <v>18</v>
      </c>
      <c r="B600" s="34" t="str">
        <f>HYPERLINK("http://www.twitter.com/CBL_London", "CBL_London")</f>
        <v>CBL_London</v>
      </c>
      <c r="C600" s="33" t="s">
        <v>961</v>
      </c>
      <c r="D600" s="33" t="s">
        <v>962</v>
      </c>
      <c r="E600" s="32" t="s">
        <v>963</v>
      </c>
      <c r="F600" s="35">
        <v>344</v>
      </c>
      <c r="G600" s="35">
        <v>1331</v>
      </c>
      <c r="H600" s="35">
        <v>1666</v>
      </c>
      <c r="I600" s="35">
        <v>90</v>
      </c>
      <c r="J600" s="36">
        <v>40892</v>
      </c>
      <c r="K600" s="37">
        <v>0.38585648148148149</v>
      </c>
      <c r="L600" s="36">
        <v>42940</v>
      </c>
      <c r="M600" s="38">
        <v>0.69464120370370364</v>
      </c>
    </row>
    <row r="601" spans="1:13" ht="45" x14ac:dyDescent="0.25">
      <c r="A601" s="33" t="s">
        <v>18</v>
      </c>
      <c r="B601" s="34" t="str">
        <f>HYPERLINK("http://www.twitter.com/barbicanlib", "barbicanlib")</f>
        <v>barbicanlib</v>
      </c>
      <c r="C601" s="33" t="s">
        <v>810</v>
      </c>
      <c r="D601" s="33" t="s">
        <v>36</v>
      </c>
      <c r="E601" s="32" t="s">
        <v>811</v>
      </c>
      <c r="F601" s="35">
        <v>1111</v>
      </c>
      <c r="G601" s="35">
        <v>1642</v>
      </c>
      <c r="H601" s="35">
        <v>1653</v>
      </c>
      <c r="I601" s="35">
        <v>361</v>
      </c>
      <c r="J601" s="36">
        <v>41177</v>
      </c>
      <c r="K601" s="37">
        <v>0.61953703703703711</v>
      </c>
      <c r="L601" s="36">
        <v>42940</v>
      </c>
      <c r="M601" s="38">
        <v>0.54888888888888887</v>
      </c>
    </row>
    <row r="602" spans="1:13" ht="45" x14ac:dyDescent="0.25">
      <c r="A602" s="33" t="s">
        <v>18</v>
      </c>
      <c r="B602" s="34" t="str">
        <f>HYPERLINK("http://www.twitter.com/BangorLib", "BangorLib")</f>
        <v>BangorLib</v>
      </c>
      <c r="C602" s="33" t="s">
        <v>2169</v>
      </c>
      <c r="D602" s="33" t="s">
        <v>2170</v>
      </c>
      <c r="E602" s="32" t="s">
        <v>2171</v>
      </c>
      <c r="F602" s="35">
        <v>192</v>
      </c>
      <c r="G602" s="35">
        <v>341</v>
      </c>
      <c r="H602" s="35">
        <v>1651</v>
      </c>
      <c r="I602" s="35">
        <v>567</v>
      </c>
      <c r="J602" s="36">
        <v>41163</v>
      </c>
      <c r="K602" s="37">
        <v>0.60221064814814818</v>
      </c>
      <c r="L602" s="36">
        <v>42464</v>
      </c>
      <c r="M602" s="38">
        <v>0.4226273148148148</v>
      </c>
    </row>
    <row r="603" spans="1:13" ht="30" x14ac:dyDescent="0.25">
      <c r="A603" s="33" t="s">
        <v>18</v>
      </c>
      <c r="B603" s="34" t="str">
        <f>HYPERLINK("http://www.twitter.com/Coppice_blueSCI", "Coppice_blueSCI")</f>
        <v>Coppice_blueSCI</v>
      </c>
      <c r="C603" s="33" t="s">
        <v>1762</v>
      </c>
      <c r="D603" s="33" t="s">
        <v>1763</v>
      </c>
      <c r="E603" s="32" t="s">
        <v>1764</v>
      </c>
      <c r="F603" s="35">
        <v>518</v>
      </c>
      <c r="G603" s="35">
        <v>530</v>
      </c>
      <c r="H603" s="35">
        <v>1635</v>
      </c>
      <c r="I603" s="35">
        <v>726</v>
      </c>
      <c r="J603" s="36">
        <v>42177</v>
      </c>
      <c r="K603" s="37">
        <v>0.6072453703703703</v>
      </c>
      <c r="L603" s="36">
        <v>42937</v>
      </c>
      <c r="M603" s="38">
        <v>0.67136574074074085</v>
      </c>
    </row>
    <row r="604" spans="1:13" ht="30" x14ac:dyDescent="0.25">
      <c r="A604" s="33" t="s">
        <v>18</v>
      </c>
      <c r="B604" s="34" t="str">
        <f>HYPERLINK("http://www.twitter.com/LibrarySE23", "LibrarySE23")</f>
        <v>LibrarySE23</v>
      </c>
      <c r="C604" s="33" t="s">
        <v>1573</v>
      </c>
      <c r="D604" s="33" t="s">
        <v>1574</v>
      </c>
      <c r="E604" s="32" t="s">
        <v>1575</v>
      </c>
      <c r="F604" s="35">
        <v>543</v>
      </c>
      <c r="G604" s="35">
        <v>797</v>
      </c>
      <c r="H604" s="35">
        <v>1595</v>
      </c>
      <c r="I604" s="35">
        <v>661</v>
      </c>
      <c r="J604" s="36">
        <v>42569</v>
      </c>
      <c r="K604" s="37">
        <v>0.85740740740740751</v>
      </c>
      <c r="L604" s="36">
        <v>42940</v>
      </c>
      <c r="M604" s="38">
        <v>0.4173263888888889</v>
      </c>
    </row>
    <row r="605" spans="1:13" ht="45" x14ac:dyDescent="0.25">
      <c r="A605" s="33" t="s">
        <v>18</v>
      </c>
      <c r="B605" s="34" t="str">
        <f>HYPERLINK("http://www.twitter.com/dringlibrary", "dringlibrary")</f>
        <v>dringlibrary</v>
      </c>
      <c r="C605" s="33" t="s">
        <v>1536</v>
      </c>
      <c r="D605" s="33" t="s">
        <v>1537</v>
      </c>
      <c r="E605" s="32" t="s">
        <v>1538</v>
      </c>
      <c r="F605" s="35">
        <v>379</v>
      </c>
      <c r="G605" s="35">
        <v>741</v>
      </c>
      <c r="H605" s="35">
        <v>1562</v>
      </c>
      <c r="I605" s="35">
        <v>559</v>
      </c>
      <c r="J605" s="36">
        <v>41403</v>
      </c>
      <c r="K605" s="37">
        <v>0.45081018518518517</v>
      </c>
      <c r="L605" s="36">
        <v>42940</v>
      </c>
      <c r="M605" s="38">
        <v>0.64180555555555552</v>
      </c>
    </row>
    <row r="606" spans="1:13" ht="45" x14ac:dyDescent="0.25">
      <c r="A606" s="33" t="s">
        <v>18</v>
      </c>
      <c r="B606" s="34" t="str">
        <f>HYPERLINK("http://www.twitter.com/KnaphillLib", "KnaphillLib")</f>
        <v>KnaphillLib</v>
      </c>
      <c r="C606" s="33" t="s">
        <v>1367</v>
      </c>
      <c r="D606" s="33" t="s">
        <v>1368</v>
      </c>
      <c r="E606" s="32" t="s">
        <v>1369</v>
      </c>
      <c r="F606" s="35">
        <v>423</v>
      </c>
      <c r="G606" s="35">
        <v>860</v>
      </c>
      <c r="H606" s="35">
        <v>1560</v>
      </c>
      <c r="I606" s="35">
        <v>5</v>
      </c>
      <c r="J606" s="36">
        <v>40765</v>
      </c>
      <c r="K606" s="37">
        <v>0.57689814814814822</v>
      </c>
      <c r="L606" s="36">
        <v>42922</v>
      </c>
      <c r="M606" s="38">
        <v>0.5736458333333333</v>
      </c>
    </row>
    <row r="607" spans="1:13" ht="45" x14ac:dyDescent="0.25">
      <c r="A607" s="33" t="s">
        <v>18</v>
      </c>
      <c r="B607" s="34" t="str">
        <f>HYPERLINK("http://www.twitter.com/DerbyLibraries", "DerbyLibraries")</f>
        <v>DerbyLibraries</v>
      </c>
      <c r="C607" s="33" t="s">
        <v>3669</v>
      </c>
      <c r="D607" s="33" t="s">
        <v>3670</v>
      </c>
      <c r="E607" s="32" t="s">
        <v>3671</v>
      </c>
      <c r="F607" s="35">
        <v>781</v>
      </c>
      <c r="G607" s="35">
        <v>961</v>
      </c>
      <c r="H607" s="35">
        <v>1536</v>
      </c>
      <c r="I607" s="35">
        <v>82</v>
      </c>
      <c r="J607" s="36">
        <v>40528</v>
      </c>
      <c r="K607" s="37">
        <v>0.59835648148148146</v>
      </c>
      <c r="L607" s="36">
        <v>42936</v>
      </c>
      <c r="M607" s="38">
        <v>0.3222800925925926</v>
      </c>
    </row>
    <row r="608" spans="1:13" ht="60" x14ac:dyDescent="0.25">
      <c r="A608" s="33" t="s">
        <v>18</v>
      </c>
      <c r="B608" s="34" t="str">
        <f>HYPERLINK("http://www.twitter.com/CaerphillyLib", "CaerphillyLib")</f>
        <v>CaerphillyLib</v>
      </c>
      <c r="C608" s="33" t="s">
        <v>1071</v>
      </c>
      <c r="D608" s="33" t="s">
        <v>1072</v>
      </c>
      <c r="E608" s="32" t="s">
        <v>1073</v>
      </c>
      <c r="F608" s="35">
        <v>530</v>
      </c>
      <c r="G608" s="35">
        <v>1192</v>
      </c>
      <c r="H608" s="35">
        <v>1531</v>
      </c>
      <c r="I608" s="35">
        <v>518</v>
      </c>
      <c r="J608" s="36">
        <v>41656</v>
      </c>
      <c r="K608" s="37">
        <v>0.5438425925925926</v>
      </c>
      <c r="L608" s="36">
        <v>42940</v>
      </c>
      <c r="M608" s="38">
        <v>0.59920138888888885</v>
      </c>
    </row>
    <row r="609" spans="1:13" ht="45" x14ac:dyDescent="0.25">
      <c r="A609" s="33" t="s">
        <v>18</v>
      </c>
      <c r="B609" s="34" t="str">
        <f>HYPERLINK("http://www.twitter.com/SouthHamLibrary", "SouthHamLibrary")</f>
        <v>SouthHamLibrary</v>
      </c>
      <c r="C609" s="33" t="s">
        <v>1878</v>
      </c>
      <c r="D609" s="33" t="s">
        <v>1879</v>
      </c>
      <c r="E609" s="32" t="s">
        <v>1880</v>
      </c>
      <c r="F609" s="35">
        <v>359</v>
      </c>
      <c r="G609" s="35">
        <v>455</v>
      </c>
      <c r="H609" s="35">
        <v>1510</v>
      </c>
      <c r="I609" s="35">
        <v>64</v>
      </c>
      <c r="J609" s="36">
        <v>40592</v>
      </c>
      <c r="K609" s="37">
        <v>0.5872222222222222</v>
      </c>
      <c r="L609" s="36">
        <v>42851</v>
      </c>
      <c r="M609" s="38">
        <v>0.5376967592592593</v>
      </c>
    </row>
    <row r="610" spans="1:13" ht="45" x14ac:dyDescent="0.25">
      <c r="A610" s="33" t="s">
        <v>18</v>
      </c>
      <c r="B610" s="34" t="str">
        <f>HYPERLINK("http://www.twitter.com/BHLibrary_Pool", "BHLibrary_Pool")</f>
        <v>BHLibrary_Pool</v>
      </c>
      <c r="C610" s="33" t="s">
        <v>2051</v>
      </c>
      <c r="D610" s="33" t="s">
        <v>2052</v>
      </c>
      <c r="E610" s="32" t="s">
        <v>2053</v>
      </c>
      <c r="F610" s="35">
        <v>203</v>
      </c>
      <c r="G610" s="35">
        <v>385</v>
      </c>
      <c r="H610" s="35">
        <v>1491</v>
      </c>
      <c r="I610" s="35">
        <v>31</v>
      </c>
      <c r="J610" s="36">
        <v>40948</v>
      </c>
      <c r="K610" s="37">
        <v>0.66920138888888892</v>
      </c>
      <c r="L610" s="36">
        <v>42940</v>
      </c>
      <c r="M610" s="38">
        <v>0.41715277777777776</v>
      </c>
    </row>
    <row r="611" spans="1:13" ht="45" x14ac:dyDescent="0.25">
      <c r="A611" s="33" t="s">
        <v>18</v>
      </c>
      <c r="B611" s="34" t="str">
        <f>HYPERLINK("http://www.twitter.com/AbercarnLibrary", "AbercarnLibrary")</f>
        <v>AbercarnLibrary</v>
      </c>
      <c r="C611" s="33" t="s">
        <v>2274</v>
      </c>
      <c r="D611" s="33" t="s">
        <v>2275</v>
      </c>
      <c r="E611" s="32" t="s">
        <v>2276</v>
      </c>
      <c r="F611" s="35">
        <v>149</v>
      </c>
      <c r="G611" s="35">
        <v>304</v>
      </c>
      <c r="H611" s="35">
        <v>1488</v>
      </c>
      <c r="I611" s="35">
        <v>234</v>
      </c>
      <c r="J611" s="36">
        <v>42158</v>
      </c>
      <c r="K611" s="37">
        <v>0.39096064814814818</v>
      </c>
      <c r="L611" s="36">
        <v>42936</v>
      </c>
      <c r="M611" s="38">
        <v>0.45101851851851849</v>
      </c>
    </row>
    <row r="612" spans="1:13" ht="30" x14ac:dyDescent="0.25">
      <c r="A612" s="33" t="s">
        <v>18</v>
      </c>
      <c r="B612" s="34" t="str">
        <f>HYPERLINK("http://www.twitter.com/WaltonLibrary", "WaltonLibrary")</f>
        <v>WaltonLibrary</v>
      </c>
      <c r="C612" s="33" t="s">
        <v>999</v>
      </c>
      <c r="D612" s="33" t="s">
        <v>1000</v>
      </c>
      <c r="E612" s="32" t="s">
        <v>1001</v>
      </c>
      <c r="F612" s="35">
        <v>387</v>
      </c>
      <c r="G612" s="35">
        <v>1260</v>
      </c>
      <c r="H612" s="35">
        <v>1480</v>
      </c>
      <c r="I612" s="35">
        <v>413</v>
      </c>
      <c r="J612" s="36">
        <v>40763</v>
      </c>
      <c r="K612" s="37">
        <v>0.67163194444444452</v>
      </c>
      <c r="L612" s="36">
        <v>42938</v>
      </c>
      <c r="M612" s="38">
        <v>0.57597222222222222</v>
      </c>
    </row>
    <row r="613" spans="1:13" ht="45" x14ac:dyDescent="0.25">
      <c r="A613" s="33" t="s">
        <v>18</v>
      </c>
      <c r="B613" s="34" t="str">
        <f>HYPERLINK("http://www.twitter.com/FleetLibrary", "FleetLibrary")</f>
        <v>FleetLibrary</v>
      </c>
      <c r="C613" s="33" t="s">
        <v>1154</v>
      </c>
      <c r="D613" s="33" t="s">
        <v>1155</v>
      </c>
      <c r="E613" s="32" t="s">
        <v>1156</v>
      </c>
      <c r="F613" s="35">
        <v>249</v>
      </c>
      <c r="G613" s="35">
        <v>1078</v>
      </c>
      <c r="H613" s="35">
        <v>1468</v>
      </c>
      <c r="I613" s="35">
        <v>330</v>
      </c>
      <c r="J613" s="36">
        <v>41006</v>
      </c>
      <c r="K613" s="37">
        <v>0.49049768518518522</v>
      </c>
      <c r="L613" s="36">
        <v>42935</v>
      </c>
      <c r="M613" s="38">
        <v>0.68925925925925924</v>
      </c>
    </row>
    <row r="614" spans="1:13" ht="30" x14ac:dyDescent="0.25">
      <c r="A614" s="33" t="s">
        <v>18</v>
      </c>
      <c r="B614" s="34" t="str">
        <f>HYPERLINK("http://www.twitter.com/LeithLibrary", "LeithLibrary")</f>
        <v>LeithLibrary</v>
      </c>
      <c r="C614" s="33" t="s">
        <v>1104</v>
      </c>
      <c r="D614" s="33" t="s">
        <v>1105</v>
      </c>
      <c r="E614" s="32" t="s">
        <v>1106</v>
      </c>
      <c r="F614" s="35">
        <v>400</v>
      </c>
      <c r="G614" s="35">
        <v>1112</v>
      </c>
      <c r="H614" s="35">
        <v>1461</v>
      </c>
      <c r="I614" s="35">
        <v>427</v>
      </c>
      <c r="J614" s="36">
        <v>41177</v>
      </c>
      <c r="K614" s="37">
        <v>0.61234953703703698</v>
      </c>
      <c r="L614" s="36">
        <v>42432</v>
      </c>
      <c r="M614" s="38">
        <v>0.34372685185185187</v>
      </c>
    </row>
    <row r="615" spans="1:13" ht="30" x14ac:dyDescent="0.25">
      <c r="A615" s="33" t="s">
        <v>18</v>
      </c>
      <c r="B615" s="34" t="str">
        <f>HYPERLINK("http://www.twitter.com/YstradMynachLib", "YstradMynachLib")</f>
        <v>YstradMynachLib</v>
      </c>
      <c r="C615" s="33" t="s">
        <v>1274</v>
      </c>
      <c r="D615" s="33" t="s">
        <v>1221</v>
      </c>
      <c r="E615" s="32" t="s">
        <v>884</v>
      </c>
      <c r="F615" s="35">
        <v>768</v>
      </c>
      <c r="G615" s="35">
        <v>949</v>
      </c>
      <c r="H615" s="35">
        <v>1460</v>
      </c>
      <c r="I615" s="35">
        <v>303</v>
      </c>
      <c r="J615" s="36">
        <v>41939</v>
      </c>
      <c r="K615" s="37">
        <v>0.5914814814814815</v>
      </c>
      <c r="L615" s="36">
        <v>42936</v>
      </c>
      <c r="M615" s="38">
        <v>0.43332175925925925</v>
      </c>
    </row>
    <row r="616" spans="1:13" ht="45" x14ac:dyDescent="0.25">
      <c r="A616" s="33" t="s">
        <v>18</v>
      </c>
      <c r="B616" s="34" t="str">
        <f>HYPERLINK("http://www.twitter.com/PassmoreEdwards", "PassmoreEdwards")</f>
        <v>PassmoreEdwards</v>
      </c>
      <c r="C616" s="33" t="s">
        <v>1724</v>
      </c>
      <c r="D616" s="33" t="s">
        <v>1725</v>
      </c>
      <c r="E616" s="32" t="s">
        <v>1726</v>
      </c>
      <c r="F616" s="35">
        <v>285</v>
      </c>
      <c r="G616" s="35">
        <v>544</v>
      </c>
      <c r="H616" s="35">
        <v>1411</v>
      </c>
      <c r="I616" s="35">
        <v>217</v>
      </c>
      <c r="J616" s="36">
        <v>41359</v>
      </c>
      <c r="K616" s="37">
        <v>0.62331018518518522</v>
      </c>
      <c r="L616" s="36">
        <v>42934</v>
      </c>
      <c r="M616" s="38">
        <v>0.75868055555555547</v>
      </c>
    </row>
    <row r="617" spans="1:13" ht="45" x14ac:dyDescent="0.25">
      <c r="A617" s="33" t="s">
        <v>18</v>
      </c>
      <c r="B617" s="34" t="str">
        <f>HYPERLINK("http://www.twitter.com/BroomhilLibrary", "BroomhilLibrary")</f>
        <v>BroomhilLibrary</v>
      </c>
      <c r="C617" s="33" t="s">
        <v>2462</v>
      </c>
      <c r="D617" s="33" t="s">
        <v>2463</v>
      </c>
      <c r="E617" s="32" t="s">
        <v>2464</v>
      </c>
      <c r="F617" s="35">
        <v>137</v>
      </c>
      <c r="G617" s="35">
        <v>265</v>
      </c>
      <c r="H617" s="35">
        <v>1410</v>
      </c>
      <c r="I617" s="35">
        <v>279</v>
      </c>
      <c r="J617" s="36">
        <v>42446</v>
      </c>
      <c r="K617" s="37">
        <v>0.87164351851851851</v>
      </c>
      <c r="L617" s="36">
        <v>42938</v>
      </c>
      <c r="M617" s="38">
        <v>0.63045138888888885</v>
      </c>
    </row>
    <row r="618" spans="1:13" x14ac:dyDescent="0.25">
      <c r="A618" s="33" t="s">
        <v>18</v>
      </c>
      <c r="B618" s="34" t="str">
        <f>HYPERLINK("http://www.twitter.com/SudburyLibrary", "SudburyLibrary")</f>
        <v>SudburyLibrary</v>
      </c>
      <c r="C618" s="33" t="s">
        <v>1502</v>
      </c>
      <c r="D618" s="33" t="s">
        <v>1503</v>
      </c>
      <c r="F618" s="35">
        <v>407</v>
      </c>
      <c r="G618" s="35">
        <v>763</v>
      </c>
      <c r="H618" s="35">
        <v>1382</v>
      </c>
      <c r="I618" s="35">
        <v>206</v>
      </c>
      <c r="J618" s="36">
        <v>41620</v>
      </c>
      <c r="K618" s="37">
        <v>0.66409722222222223</v>
      </c>
      <c r="L618" s="36">
        <v>42937</v>
      </c>
      <c r="M618" s="38">
        <v>0.65248842592592593</v>
      </c>
    </row>
    <row r="619" spans="1:13" ht="30" x14ac:dyDescent="0.25">
      <c r="A619" s="33" t="s">
        <v>18</v>
      </c>
      <c r="B619" s="34" t="str">
        <f>HYPERLINK("http://www.twitter.com/BlackwoodLib", "BlackwoodLib")</f>
        <v>BlackwoodLib</v>
      </c>
      <c r="C619" s="33" t="s">
        <v>1459</v>
      </c>
      <c r="D619" s="33" t="s">
        <v>1460</v>
      </c>
      <c r="E619" s="32" t="s">
        <v>884</v>
      </c>
      <c r="F619" s="35">
        <v>182</v>
      </c>
      <c r="G619" s="35">
        <v>799</v>
      </c>
      <c r="H619" s="35">
        <v>1375</v>
      </c>
      <c r="I619" s="35">
        <v>98</v>
      </c>
      <c r="J619" s="36">
        <v>41656</v>
      </c>
      <c r="K619" s="37">
        <v>0.53950231481481481</v>
      </c>
      <c r="L619" s="36">
        <v>42940</v>
      </c>
      <c r="M619" s="38">
        <v>0.63939814814814822</v>
      </c>
    </row>
    <row r="620" spans="1:13" x14ac:dyDescent="0.25">
      <c r="A620" s="33" t="s">
        <v>18</v>
      </c>
      <c r="B620" s="34" t="str">
        <f>HYPERLINK("http://www.twitter.com/FileyLibrary", "FileyLibrary")</f>
        <v>FileyLibrary</v>
      </c>
      <c r="C620" s="33" t="s">
        <v>1029</v>
      </c>
      <c r="D620" s="33" t="s">
        <v>1030</v>
      </c>
      <c r="E620" s="32" t="s">
        <v>1031</v>
      </c>
      <c r="F620" s="35">
        <v>1527</v>
      </c>
      <c r="G620" s="35">
        <v>1222</v>
      </c>
      <c r="H620" s="35">
        <v>1363</v>
      </c>
      <c r="I620" s="35">
        <v>338</v>
      </c>
      <c r="J620" s="36">
        <v>41737</v>
      </c>
      <c r="K620" s="37">
        <v>0.29200231481481481</v>
      </c>
      <c r="L620" s="36">
        <v>42892</v>
      </c>
      <c r="M620" s="38">
        <v>0.71626157407407398</v>
      </c>
    </row>
    <row r="621" spans="1:13" ht="30" x14ac:dyDescent="0.25">
      <c r="A621" s="33" t="s">
        <v>18</v>
      </c>
      <c r="B621" s="34" t="str">
        <f>HYPERLINK("http://www.twitter.com/gxlibrary", "gxlibrary")</f>
        <v>gxlibrary</v>
      </c>
      <c r="C621" s="33" t="s">
        <v>2647</v>
      </c>
      <c r="D621" s="33" t="s">
        <v>2648</v>
      </c>
      <c r="E621" s="32" t="s">
        <v>2649</v>
      </c>
      <c r="F621" s="35">
        <v>267</v>
      </c>
      <c r="G621" s="35">
        <v>217</v>
      </c>
      <c r="H621" s="35">
        <v>1355</v>
      </c>
      <c r="I621" s="35">
        <v>697</v>
      </c>
      <c r="J621" s="36">
        <v>41156</v>
      </c>
      <c r="K621" s="37">
        <v>0.65467592592592594</v>
      </c>
      <c r="L621" s="36">
        <v>42940</v>
      </c>
      <c r="M621" s="38">
        <v>0.30262731481481481</v>
      </c>
    </row>
    <row r="622" spans="1:13" x14ac:dyDescent="0.25">
      <c r="A622" s="33" t="s">
        <v>18</v>
      </c>
      <c r="B622" s="34" t="str">
        <f>HYPERLINK("http://www.twitter.com/phc_library", "phc_library")</f>
        <v>phc_library</v>
      </c>
      <c r="C622" s="33" t="s">
        <v>1661</v>
      </c>
      <c r="F622" s="35">
        <v>404</v>
      </c>
      <c r="G622" s="35">
        <v>626</v>
      </c>
      <c r="H622" s="35">
        <v>1327</v>
      </c>
      <c r="I622" s="35">
        <v>56</v>
      </c>
      <c r="J622" s="36">
        <v>41008</v>
      </c>
      <c r="K622" s="37">
        <v>0.6853935185185186</v>
      </c>
      <c r="L622" s="36">
        <v>42936</v>
      </c>
      <c r="M622" s="38">
        <v>0.50112268518518521</v>
      </c>
    </row>
    <row r="623" spans="1:13" x14ac:dyDescent="0.25">
      <c r="A623" s="33" t="s">
        <v>18</v>
      </c>
      <c r="B623" s="34" t="str">
        <f>HYPERLINK("http://www.twitter.com/BridgendLibs", "BridgendLibs")</f>
        <v>BridgendLibs</v>
      </c>
      <c r="C623" s="33" t="s">
        <v>1107</v>
      </c>
      <c r="D623" s="33" t="s">
        <v>1108</v>
      </c>
      <c r="F623" s="35">
        <v>167</v>
      </c>
      <c r="G623" s="35">
        <v>1112</v>
      </c>
      <c r="H623" s="35">
        <v>1288</v>
      </c>
      <c r="I623" s="35">
        <v>33</v>
      </c>
      <c r="J623" s="36">
        <v>40941</v>
      </c>
      <c r="K623" s="37">
        <v>0.79078703703703701</v>
      </c>
      <c r="L623" s="36">
        <v>42940</v>
      </c>
      <c r="M623" s="38">
        <v>0.60490740740740734</v>
      </c>
    </row>
    <row r="624" spans="1:13" ht="45" x14ac:dyDescent="0.25">
      <c r="A624" s="33" t="s">
        <v>18</v>
      </c>
      <c r="B624" s="34" t="str">
        <f>HYPERLINK("http://www.twitter.com/HaxbyExplore", "HaxbyExplore")</f>
        <v>HaxbyExplore</v>
      </c>
      <c r="C624" s="33" t="s">
        <v>1594</v>
      </c>
      <c r="D624" s="33" t="s">
        <v>1595</v>
      </c>
      <c r="E624" s="32" t="s">
        <v>1596</v>
      </c>
      <c r="F624" s="35">
        <v>226</v>
      </c>
      <c r="G624" s="35">
        <v>682</v>
      </c>
      <c r="H624" s="35">
        <v>1274</v>
      </c>
      <c r="I624" s="35">
        <v>247</v>
      </c>
      <c r="J624" s="36">
        <v>41446</v>
      </c>
      <c r="K624" s="37">
        <v>0.62037037037037035</v>
      </c>
      <c r="L624" s="36">
        <v>42940</v>
      </c>
      <c r="M624" s="38">
        <v>0.51722222222222225</v>
      </c>
    </row>
    <row r="625" spans="1:13" ht="45" x14ac:dyDescent="0.25">
      <c r="A625" s="33" t="s">
        <v>18</v>
      </c>
      <c r="B625" s="34" t="str">
        <f>HYPERLINK("http://www.twitter.com/LearningComm", "LearningComm")</f>
        <v>LearningComm</v>
      </c>
      <c r="C625" s="33" t="s">
        <v>1549</v>
      </c>
      <c r="D625" s="33" t="s">
        <v>1550</v>
      </c>
      <c r="E625" s="32" t="s">
        <v>1551</v>
      </c>
      <c r="F625" s="35">
        <v>1218</v>
      </c>
      <c r="G625" s="35">
        <v>722</v>
      </c>
      <c r="H625" s="35">
        <v>1267</v>
      </c>
      <c r="I625" s="35">
        <v>312</v>
      </c>
      <c r="J625" s="36">
        <v>40688</v>
      </c>
      <c r="K625" s="37">
        <v>0.59518518518518515</v>
      </c>
      <c r="L625" s="36">
        <v>42937</v>
      </c>
      <c r="M625" s="38">
        <v>0.37584490740740745</v>
      </c>
    </row>
    <row r="626" spans="1:13" ht="45" x14ac:dyDescent="0.25">
      <c r="A626" s="33" t="s">
        <v>18</v>
      </c>
      <c r="B626" s="34" t="str">
        <f>HYPERLINK("http://www.twitter.com/UskHub", "UskHub")</f>
        <v>UskHub</v>
      </c>
      <c r="C626" s="33" t="s">
        <v>928</v>
      </c>
      <c r="D626" s="33" t="s">
        <v>929</v>
      </c>
      <c r="E626" s="32" t="s">
        <v>930</v>
      </c>
      <c r="F626" s="35">
        <v>1792</v>
      </c>
      <c r="G626" s="35">
        <v>1378</v>
      </c>
      <c r="H626" s="35">
        <v>1261</v>
      </c>
      <c r="I626" s="35">
        <v>391</v>
      </c>
      <c r="J626" s="36">
        <v>41291</v>
      </c>
      <c r="K626" s="37">
        <v>0.69072916666666673</v>
      </c>
      <c r="L626" s="36">
        <v>42940</v>
      </c>
      <c r="M626" s="38">
        <v>0.6647453703703704</v>
      </c>
    </row>
    <row r="627" spans="1:13" ht="30" x14ac:dyDescent="0.25">
      <c r="A627" s="33" t="s">
        <v>18</v>
      </c>
      <c r="B627" s="34" t="str">
        <f>HYPERLINK("http://www.twitter.com/ChinehamLibrary", "ChinehamLibrary")</f>
        <v>ChinehamLibrary</v>
      </c>
      <c r="C627" s="33" t="s">
        <v>1999</v>
      </c>
      <c r="E627" s="32" t="s">
        <v>2000</v>
      </c>
      <c r="F627" s="35">
        <v>128</v>
      </c>
      <c r="G627" s="35">
        <v>418</v>
      </c>
      <c r="H627" s="35">
        <v>1241</v>
      </c>
      <c r="I627" s="35">
        <v>4</v>
      </c>
      <c r="J627" s="36">
        <v>41332</v>
      </c>
      <c r="K627" s="37">
        <v>0.61075231481481485</v>
      </c>
      <c r="L627" s="36">
        <v>42940</v>
      </c>
      <c r="M627" s="38">
        <v>0.39631944444444445</v>
      </c>
    </row>
    <row r="628" spans="1:13" ht="30" x14ac:dyDescent="0.25">
      <c r="A628" s="33" t="s">
        <v>18</v>
      </c>
      <c r="B628" s="34" t="str">
        <f>HYPERLINK("http://www.twitter.com/DeriLibrary", "DeriLibrary")</f>
        <v>DeriLibrary</v>
      </c>
      <c r="C628" s="33" t="s">
        <v>2114</v>
      </c>
      <c r="D628" s="33" t="s">
        <v>1221</v>
      </c>
      <c r="E628" s="32" t="s">
        <v>884</v>
      </c>
      <c r="F628" s="35">
        <v>484</v>
      </c>
      <c r="G628" s="35">
        <v>370</v>
      </c>
      <c r="H628" s="35">
        <v>1232</v>
      </c>
      <c r="I628" s="35">
        <v>710</v>
      </c>
      <c r="J628" s="36">
        <v>42026</v>
      </c>
      <c r="K628" s="37">
        <v>0.3888888888888889</v>
      </c>
      <c r="L628" s="36">
        <v>42940</v>
      </c>
      <c r="M628" s="38">
        <v>0.69762731481481488</v>
      </c>
    </row>
    <row r="629" spans="1:13" ht="45" x14ac:dyDescent="0.25">
      <c r="A629" s="33" t="s">
        <v>18</v>
      </c>
      <c r="B629" s="34" t="str">
        <f>HYPERLINK("http://www.twitter.com/GorlestonLib", "GorlestonLib")</f>
        <v>GorlestonLib</v>
      </c>
      <c r="C629" s="33" t="s">
        <v>1576</v>
      </c>
      <c r="D629" s="33" t="s">
        <v>1577</v>
      </c>
      <c r="E629" s="32" t="s">
        <v>1578</v>
      </c>
      <c r="F629" s="35">
        <v>985</v>
      </c>
      <c r="G629" s="35">
        <v>693</v>
      </c>
      <c r="H629" s="35">
        <v>1230</v>
      </c>
      <c r="I629" s="35">
        <v>788</v>
      </c>
      <c r="J629" s="36">
        <v>42291</v>
      </c>
      <c r="K629" s="37">
        <v>0.48246527777777781</v>
      </c>
      <c r="L629" s="36">
        <v>42940</v>
      </c>
      <c r="M629" s="38">
        <v>0.61093750000000002</v>
      </c>
    </row>
    <row r="630" spans="1:13" ht="30" x14ac:dyDescent="0.25">
      <c r="A630" s="33" t="s">
        <v>18</v>
      </c>
      <c r="B630" s="34" t="str">
        <f>HYPERLINK("http://www.twitter.com/DenbsLibs", "DenbsLibs")</f>
        <v>DenbsLibs</v>
      </c>
      <c r="C630" s="33" t="s">
        <v>1781</v>
      </c>
      <c r="D630" s="33" t="s">
        <v>1782</v>
      </c>
      <c r="E630" s="32" t="s">
        <v>1783</v>
      </c>
      <c r="F630" s="35">
        <v>227</v>
      </c>
      <c r="G630" s="35">
        <v>530</v>
      </c>
      <c r="H630" s="35">
        <v>1189</v>
      </c>
      <c r="I630" s="35">
        <v>394</v>
      </c>
      <c r="J630" s="36">
        <v>41901</v>
      </c>
      <c r="K630" s="37">
        <v>0.56082175925925926</v>
      </c>
      <c r="L630" s="36">
        <v>42940</v>
      </c>
      <c r="M630" s="38">
        <v>0.64696759259259262</v>
      </c>
    </row>
    <row r="631" spans="1:13" ht="45" x14ac:dyDescent="0.25">
      <c r="A631" s="33" t="s">
        <v>18</v>
      </c>
      <c r="B631" s="34" t="str">
        <f>HYPERLINK("http://www.twitter.com/AshfordLib", "AshfordLib")</f>
        <v>AshfordLib</v>
      </c>
      <c r="C631" s="33" t="s">
        <v>1339</v>
      </c>
      <c r="D631" s="33" t="s">
        <v>1340</v>
      </c>
      <c r="E631" s="32" t="s">
        <v>1341</v>
      </c>
      <c r="F631" s="35">
        <v>345</v>
      </c>
      <c r="G631" s="35">
        <v>880</v>
      </c>
      <c r="H631" s="35">
        <v>1183</v>
      </c>
      <c r="I631" s="35">
        <v>40</v>
      </c>
      <c r="J631" s="36">
        <v>41155</v>
      </c>
      <c r="K631" s="37">
        <v>0.46865740740740741</v>
      </c>
      <c r="L631" s="36">
        <v>42940</v>
      </c>
      <c r="M631" s="38">
        <v>0.41733796296296299</v>
      </c>
    </row>
    <row r="632" spans="1:13" ht="45" x14ac:dyDescent="0.25">
      <c r="A632" s="33" t="s">
        <v>18</v>
      </c>
      <c r="B632" s="34" t="str">
        <f>HYPERLINK("http://www.twitter.com/NewEarsLibrary", "NewEarsLibrary")</f>
        <v>NewEarsLibrary</v>
      </c>
      <c r="C632" s="33" t="s">
        <v>1721</v>
      </c>
      <c r="D632" s="33" t="s">
        <v>1722</v>
      </c>
      <c r="E632" s="32" t="s">
        <v>1723</v>
      </c>
      <c r="F632" s="35">
        <v>208</v>
      </c>
      <c r="G632" s="35">
        <v>556</v>
      </c>
      <c r="H632" s="35">
        <v>1169</v>
      </c>
      <c r="I632" s="35">
        <v>112</v>
      </c>
      <c r="J632" s="36">
        <v>41030</v>
      </c>
      <c r="K632" s="37">
        <v>0.6482754629629629</v>
      </c>
      <c r="L632" s="36">
        <v>42940</v>
      </c>
      <c r="M632" s="38">
        <v>0.5741087962962963</v>
      </c>
    </row>
    <row r="633" spans="1:13" ht="30" x14ac:dyDescent="0.25">
      <c r="A633" s="33" t="s">
        <v>18</v>
      </c>
      <c r="B633" s="34" t="str">
        <f>HYPERLINK("http://www.twitter.com/Nelson_Lib", "Nelson_Lib")</f>
        <v>Nelson_Lib</v>
      </c>
      <c r="C633" s="33" t="s">
        <v>1656</v>
      </c>
      <c r="D633" s="33" t="s">
        <v>1657</v>
      </c>
      <c r="E633" s="32" t="s">
        <v>1658</v>
      </c>
      <c r="F633" s="35">
        <v>469</v>
      </c>
      <c r="G633" s="35">
        <v>625</v>
      </c>
      <c r="H633" s="35">
        <v>1167</v>
      </c>
      <c r="I633" s="35">
        <v>667</v>
      </c>
      <c r="J633" s="36">
        <v>41856</v>
      </c>
      <c r="K633" s="37">
        <v>0.39038194444444446</v>
      </c>
      <c r="L633" s="36">
        <v>42940</v>
      </c>
      <c r="M633" s="38">
        <v>0.64953703703703702</v>
      </c>
    </row>
    <row r="634" spans="1:13" ht="45" x14ac:dyDescent="0.25">
      <c r="A634" s="33" t="s">
        <v>18</v>
      </c>
      <c r="B634" s="34" t="str">
        <f>HYPERLINK("http://www.twitter.com/artizanlibrary", "artizanlibrary")</f>
        <v>artizanlibrary</v>
      </c>
      <c r="C634" s="33" t="s">
        <v>1381</v>
      </c>
      <c r="D634" s="33" t="s">
        <v>1382</v>
      </c>
      <c r="E634" s="32" t="s">
        <v>1383</v>
      </c>
      <c r="F634" s="35">
        <v>944</v>
      </c>
      <c r="G634" s="35">
        <v>849</v>
      </c>
      <c r="H634" s="35">
        <v>1156</v>
      </c>
      <c r="I634" s="35">
        <v>123</v>
      </c>
      <c r="J634" s="36">
        <v>40963</v>
      </c>
      <c r="K634" s="37">
        <v>0.4557060185185185</v>
      </c>
      <c r="L634" s="36">
        <v>42940</v>
      </c>
      <c r="M634" s="38">
        <v>0.52634259259259253</v>
      </c>
    </row>
    <row r="635" spans="1:13" x14ac:dyDescent="0.25">
      <c r="A635" s="33" t="s">
        <v>18</v>
      </c>
      <c r="B635" s="34" t="str">
        <f>HYPERLINK("http://www.twitter.com/AxLibrary", "AxLibrary")</f>
        <v>AxLibrary</v>
      </c>
      <c r="C635" s="33" t="s">
        <v>1942</v>
      </c>
      <c r="D635" s="33" t="s">
        <v>1943</v>
      </c>
      <c r="E635" s="32" t="s">
        <v>1944</v>
      </c>
      <c r="F635" s="35">
        <v>306</v>
      </c>
      <c r="G635" s="35">
        <v>432</v>
      </c>
      <c r="H635" s="35">
        <v>1141</v>
      </c>
      <c r="I635" s="35">
        <v>254</v>
      </c>
      <c r="J635" s="36">
        <v>42026</v>
      </c>
      <c r="K635" s="37">
        <v>0.80954861111111109</v>
      </c>
      <c r="L635" s="36">
        <v>42888</v>
      </c>
      <c r="M635" s="38">
        <v>0.61670138888888892</v>
      </c>
    </row>
    <row r="636" spans="1:13" ht="45" x14ac:dyDescent="0.25">
      <c r="A636" s="33" t="s">
        <v>18</v>
      </c>
      <c r="B636" s="34" t="str">
        <f>HYPERLINK("http://www.twitter.com/HaverhilLibrary", "HaverhilLibrary")</f>
        <v>HaverhilLibrary</v>
      </c>
      <c r="C636" s="33" t="s">
        <v>1705</v>
      </c>
      <c r="D636" s="33" t="s">
        <v>1706</v>
      </c>
      <c r="E636" s="32" t="s">
        <v>1707</v>
      </c>
      <c r="F636" s="35">
        <v>571</v>
      </c>
      <c r="G636" s="35">
        <v>616</v>
      </c>
      <c r="H636" s="35">
        <v>1138</v>
      </c>
      <c r="I636" s="35">
        <v>218</v>
      </c>
      <c r="J636" s="36">
        <v>41783</v>
      </c>
      <c r="K636" s="37">
        <v>0.34587962962962965</v>
      </c>
      <c r="L636" s="36">
        <v>42940</v>
      </c>
      <c r="M636" s="38">
        <v>0.50457175925925923</v>
      </c>
    </row>
    <row r="637" spans="1:13" ht="45" x14ac:dyDescent="0.25">
      <c r="A637" s="33" t="s">
        <v>18</v>
      </c>
      <c r="B637" s="34" t="str">
        <f>HYPERLINK("http://www.twitter.com/BuryLibSuffolk", "BuryLibSuffolk")</f>
        <v>BuryLibSuffolk</v>
      </c>
      <c r="C637" s="33" t="s">
        <v>1531</v>
      </c>
      <c r="D637" s="33" t="s">
        <v>1532</v>
      </c>
      <c r="E637" s="32" t="s">
        <v>1533</v>
      </c>
      <c r="F637" s="35">
        <v>446</v>
      </c>
      <c r="G637" s="35">
        <v>744</v>
      </c>
      <c r="H637" s="35">
        <v>1137</v>
      </c>
      <c r="I637" s="35">
        <v>293</v>
      </c>
      <c r="J637" s="36">
        <v>41556</v>
      </c>
      <c r="K637" s="37">
        <v>0.64258101851851845</v>
      </c>
      <c r="L637" s="36">
        <v>42934</v>
      </c>
      <c r="M637" s="38">
        <v>0.42472222222222222</v>
      </c>
    </row>
    <row r="638" spans="1:13" ht="45" x14ac:dyDescent="0.25">
      <c r="A638" s="33" t="s">
        <v>18</v>
      </c>
      <c r="B638" s="34" t="str">
        <f>HYPERLINK("http://www.twitter.com/FLLCsheffield", "FLLCsheffield")</f>
        <v>FLLCsheffield</v>
      </c>
      <c r="C638" s="33" t="s">
        <v>955</v>
      </c>
      <c r="D638" s="33" t="s">
        <v>219</v>
      </c>
      <c r="E638" s="32" t="s">
        <v>956</v>
      </c>
      <c r="F638" s="35">
        <v>1986</v>
      </c>
      <c r="G638" s="35">
        <v>1336</v>
      </c>
      <c r="H638" s="35">
        <v>1128</v>
      </c>
      <c r="I638" s="35">
        <v>625</v>
      </c>
      <c r="J638" s="36">
        <v>41874</v>
      </c>
      <c r="K638" s="37">
        <v>0.55451388888888886</v>
      </c>
      <c r="L638" s="36">
        <v>42939</v>
      </c>
      <c r="M638" s="38">
        <v>0.61732638888888891</v>
      </c>
    </row>
    <row r="639" spans="1:13" ht="45" x14ac:dyDescent="0.25">
      <c r="A639" s="33" t="s">
        <v>18</v>
      </c>
      <c r="B639" s="34" t="str">
        <f>HYPERLINK("http://www.twitter.com/CaldicotHub", "CaldicotHub")</f>
        <v>CaldicotHub</v>
      </c>
      <c r="C639" s="33" t="s">
        <v>1440</v>
      </c>
      <c r="D639" s="33" t="s">
        <v>1441</v>
      </c>
      <c r="E639" s="32" t="s">
        <v>1442</v>
      </c>
      <c r="F639" s="35">
        <v>526</v>
      </c>
      <c r="G639" s="35">
        <v>801</v>
      </c>
      <c r="H639" s="35">
        <v>1119</v>
      </c>
      <c r="I639" s="35">
        <v>135</v>
      </c>
      <c r="J639" s="36">
        <v>41590</v>
      </c>
      <c r="K639" s="37">
        <v>0.77490740740740749</v>
      </c>
      <c r="L639" s="36">
        <v>42940</v>
      </c>
      <c r="M639" s="38">
        <v>0.39559027777777778</v>
      </c>
    </row>
    <row r="640" spans="1:13" ht="45" x14ac:dyDescent="0.25">
      <c r="A640" s="33" t="s">
        <v>18</v>
      </c>
      <c r="B640" s="34" t="str">
        <f>HYPERLINK("http://www.twitter.com/RedditchLibrary", "RedditchLibrary")</f>
        <v>RedditchLibrary</v>
      </c>
      <c r="C640" s="33" t="s">
        <v>1237</v>
      </c>
      <c r="D640" s="33" t="s">
        <v>1238</v>
      </c>
      <c r="E640" s="32" t="s">
        <v>1239</v>
      </c>
      <c r="F640" s="35">
        <v>112</v>
      </c>
      <c r="G640" s="35">
        <v>997</v>
      </c>
      <c r="H640" s="35">
        <v>1115</v>
      </c>
      <c r="I640" s="35">
        <v>29</v>
      </c>
      <c r="J640" s="36">
        <v>41262</v>
      </c>
      <c r="K640" s="37">
        <v>0.60719907407407414</v>
      </c>
      <c r="L640" s="36">
        <v>42940</v>
      </c>
      <c r="M640" s="38">
        <v>0.65491898148148142</v>
      </c>
    </row>
    <row r="641" spans="1:13" ht="45" x14ac:dyDescent="0.25">
      <c r="A641" s="33" t="s">
        <v>18</v>
      </c>
      <c r="B641" s="34" t="str">
        <f>HYPERLINK("http://www.twitter.com/MereGreenLib", "MereGreenLib")</f>
        <v>MereGreenLib</v>
      </c>
      <c r="C641" s="33" t="s">
        <v>1461</v>
      </c>
      <c r="D641" s="33" t="s">
        <v>1462</v>
      </c>
      <c r="E641" s="32" t="s">
        <v>1463</v>
      </c>
      <c r="F641" s="35">
        <v>220</v>
      </c>
      <c r="G641" s="35">
        <v>782</v>
      </c>
      <c r="H641" s="35">
        <v>1109</v>
      </c>
      <c r="I641" s="35">
        <v>33</v>
      </c>
      <c r="J641" s="36">
        <v>41491</v>
      </c>
      <c r="K641" s="37">
        <v>0.62824074074074077</v>
      </c>
      <c r="L641" s="36">
        <v>42931</v>
      </c>
      <c r="M641" s="38">
        <v>0.61328703703703702</v>
      </c>
    </row>
    <row r="642" spans="1:13" ht="30" x14ac:dyDescent="0.25">
      <c r="A642" s="33" t="s">
        <v>18</v>
      </c>
      <c r="B642" s="34" t="str">
        <f>HYPERLINK("http://www.twitter.com/SouthwoldLib", "SouthwoldLib")</f>
        <v>SouthwoldLib</v>
      </c>
      <c r="C642" s="33" t="s">
        <v>1747</v>
      </c>
      <c r="D642" s="33" t="s">
        <v>1748</v>
      </c>
      <c r="E642" s="32" t="s">
        <v>1749</v>
      </c>
      <c r="F642" s="35">
        <v>227</v>
      </c>
      <c r="G642" s="35">
        <v>553</v>
      </c>
      <c r="H642" s="35">
        <v>1098</v>
      </c>
      <c r="I642" s="35">
        <v>219</v>
      </c>
      <c r="J642" s="36">
        <v>42069</v>
      </c>
      <c r="K642" s="37">
        <v>0.73924768518518524</v>
      </c>
      <c r="L642" s="36">
        <v>42940</v>
      </c>
      <c r="M642" s="38">
        <v>0.38903935185185184</v>
      </c>
    </row>
    <row r="643" spans="1:13" ht="45" x14ac:dyDescent="0.25">
      <c r="A643" s="33" t="s">
        <v>18</v>
      </c>
      <c r="B643" s="34" t="str">
        <f>HYPERLINK("http://www.twitter.com/Hayridge", "Hayridge")</f>
        <v>Hayridge</v>
      </c>
      <c r="C643" s="33" t="s">
        <v>1848</v>
      </c>
      <c r="D643" s="33" t="s">
        <v>1849</v>
      </c>
      <c r="E643" s="32" t="s">
        <v>1850</v>
      </c>
      <c r="F643" s="35">
        <v>338</v>
      </c>
      <c r="G643" s="35">
        <v>487</v>
      </c>
      <c r="H643" s="35">
        <v>1073</v>
      </c>
      <c r="I643" s="35">
        <v>5</v>
      </c>
      <c r="J643" s="36">
        <v>41061</v>
      </c>
      <c r="K643" s="37">
        <v>0.36130787037037032</v>
      </c>
      <c r="L643" s="36">
        <v>42938</v>
      </c>
      <c r="M643" s="38">
        <v>0.82743055555555556</v>
      </c>
    </row>
    <row r="644" spans="1:13" ht="45" x14ac:dyDescent="0.25">
      <c r="A644" s="33" t="s">
        <v>18</v>
      </c>
      <c r="B644" s="34" t="str">
        <f>HYPERLINK("http://www.twitter.com/HuntingtonLbry", "HuntingtonLbry")</f>
        <v>HuntingtonLbry</v>
      </c>
      <c r="C644" s="33" t="s">
        <v>1784</v>
      </c>
      <c r="D644" s="33" t="s">
        <v>1785</v>
      </c>
      <c r="E644" s="32" t="s">
        <v>1786</v>
      </c>
      <c r="F644" s="35">
        <v>168</v>
      </c>
      <c r="G644" s="35">
        <v>525</v>
      </c>
      <c r="H644" s="35">
        <v>1038</v>
      </c>
      <c r="I644" s="35">
        <v>40</v>
      </c>
      <c r="J644" s="36">
        <v>41414</v>
      </c>
      <c r="K644" s="37">
        <v>0.74224537037037042</v>
      </c>
      <c r="L644" s="36">
        <v>42933</v>
      </c>
      <c r="M644" s="38">
        <v>0.67531249999999998</v>
      </c>
    </row>
    <row r="645" spans="1:13" ht="30" x14ac:dyDescent="0.25">
      <c r="A645" s="33" t="s">
        <v>18</v>
      </c>
      <c r="B645" s="34" t="str">
        <f>HYPERLINK("http://www.twitter.com/booksSTAND", "booksSTAND")</f>
        <v>booksSTAND</v>
      </c>
      <c r="C645" s="33" t="s">
        <v>1969</v>
      </c>
      <c r="E645" s="32" t="s">
        <v>1970</v>
      </c>
      <c r="F645" s="35">
        <v>286</v>
      </c>
      <c r="G645" s="35">
        <v>421</v>
      </c>
      <c r="H645" s="35">
        <v>1022</v>
      </c>
      <c r="I645" s="35">
        <v>120</v>
      </c>
      <c r="J645" s="36">
        <v>41624</v>
      </c>
      <c r="K645" s="37">
        <v>0.89030092592592591</v>
      </c>
      <c r="L645" s="36">
        <v>42940</v>
      </c>
      <c r="M645" s="38">
        <v>0.29517361111111112</v>
      </c>
    </row>
    <row r="646" spans="1:13" ht="30" x14ac:dyDescent="0.25">
      <c r="A646" s="33" t="s">
        <v>18</v>
      </c>
      <c r="B646" s="34" t="str">
        <f>HYPERLINK("http://www.twitter.com/NthBaddesleyLib", "NthBaddesleyLib")</f>
        <v>NthBaddesleyLib</v>
      </c>
      <c r="C646" s="33" t="s">
        <v>2729</v>
      </c>
      <c r="D646" s="33" t="s">
        <v>2730</v>
      </c>
      <c r="E646" s="32" t="s">
        <v>2731</v>
      </c>
      <c r="F646" s="35">
        <v>134</v>
      </c>
      <c r="G646" s="35">
        <v>192</v>
      </c>
      <c r="H646" s="35">
        <v>1017</v>
      </c>
      <c r="I646" s="35">
        <v>87</v>
      </c>
      <c r="J646" s="36">
        <v>41313</v>
      </c>
      <c r="K646" s="37">
        <v>0.86146990740740748</v>
      </c>
      <c r="L646" s="36">
        <v>42937</v>
      </c>
      <c r="M646" s="38">
        <v>0.79385416666666664</v>
      </c>
    </row>
    <row r="647" spans="1:13" ht="30" x14ac:dyDescent="0.25">
      <c r="A647" s="33" t="s">
        <v>18</v>
      </c>
      <c r="B647" s="34" t="str">
        <f>HYPERLINK("http://www.twitter.com/LlyfrgellDinb", "LlyfrgellDinb")</f>
        <v>LlyfrgellDinb</v>
      </c>
      <c r="C647" s="33" t="s">
        <v>2403</v>
      </c>
      <c r="D647" s="33" t="s">
        <v>2404</v>
      </c>
      <c r="E647" s="32" t="s">
        <v>2405</v>
      </c>
      <c r="F647" s="35">
        <v>135</v>
      </c>
      <c r="G647" s="35">
        <v>278</v>
      </c>
      <c r="H647" s="35">
        <v>1009</v>
      </c>
      <c r="I647" s="35">
        <v>149</v>
      </c>
      <c r="J647" s="36">
        <v>41901</v>
      </c>
      <c r="K647" s="37">
        <v>0.56490740740740741</v>
      </c>
      <c r="L647" s="36">
        <v>42940</v>
      </c>
      <c r="M647" s="38">
        <v>0.65959490740740734</v>
      </c>
    </row>
    <row r="648" spans="1:13" ht="30" x14ac:dyDescent="0.25">
      <c r="A648" s="33" t="s">
        <v>18</v>
      </c>
      <c r="B648" s="34" t="str">
        <f>HYPERLINK("http://www.twitter.com/JesmondLibrary", "JesmondLibrary")</f>
        <v>JesmondLibrary</v>
      </c>
      <c r="C648" s="33" t="s">
        <v>1586</v>
      </c>
      <c r="D648" s="33" t="s">
        <v>1587</v>
      </c>
      <c r="E648" s="32" t="s">
        <v>1588</v>
      </c>
      <c r="F648" s="35">
        <v>619</v>
      </c>
      <c r="G648" s="35">
        <v>665</v>
      </c>
      <c r="H648" s="35">
        <v>1009</v>
      </c>
      <c r="I648" s="35">
        <v>0</v>
      </c>
      <c r="J648" s="36">
        <v>41403</v>
      </c>
      <c r="K648" s="37">
        <v>0.80622685185185183</v>
      </c>
      <c r="L648" s="36">
        <v>42940</v>
      </c>
      <c r="M648" s="38">
        <v>0.48442129629629632</v>
      </c>
    </row>
    <row r="649" spans="1:13" ht="45" x14ac:dyDescent="0.25">
      <c r="A649" s="33" t="s">
        <v>18</v>
      </c>
      <c r="B649" s="34" t="str">
        <f>HYPERLINK("http://www.twitter.com/Slamlib", "Slamlib")</f>
        <v>Slamlib</v>
      </c>
      <c r="C649" s="33" t="s">
        <v>1581</v>
      </c>
      <c r="D649" s="33" t="s">
        <v>1582</v>
      </c>
      <c r="E649" s="32" t="s">
        <v>1583</v>
      </c>
      <c r="F649" s="35">
        <v>515</v>
      </c>
      <c r="G649" s="35">
        <v>702</v>
      </c>
      <c r="H649" s="35">
        <v>1007</v>
      </c>
      <c r="I649" s="35">
        <v>238</v>
      </c>
      <c r="J649" s="36">
        <v>41417</v>
      </c>
      <c r="K649" s="37">
        <v>0.43297453703703703</v>
      </c>
      <c r="L649" s="36">
        <v>42933</v>
      </c>
      <c r="M649" s="38">
        <v>0.45349537037037035</v>
      </c>
    </row>
    <row r="650" spans="1:13" ht="45" x14ac:dyDescent="0.25">
      <c r="A650" s="33" t="s">
        <v>18</v>
      </c>
      <c r="B650" s="34" t="str">
        <f>HYPERLINK("http://www.twitter.com/pontylibrary", "pontylibrary")</f>
        <v>pontylibrary</v>
      </c>
      <c r="C650" s="33" t="s">
        <v>1569</v>
      </c>
      <c r="E650" s="32" t="s">
        <v>1570</v>
      </c>
      <c r="F650" s="35">
        <v>228</v>
      </c>
      <c r="G650" s="35">
        <v>699</v>
      </c>
      <c r="H650" s="35">
        <v>1003</v>
      </c>
      <c r="I650" s="35">
        <v>230</v>
      </c>
      <c r="J650" s="36">
        <v>41046</v>
      </c>
      <c r="K650" s="37">
        <v>0.55019675925925926</v>
      </c>
      <c r="L650" s="36">
        <v>42939</v>
      </c>
      <c r="M650" s="38">
        <v>0.76288194444444446</v>
      </c>
    </row>
    <row r="651" spans="1:13" x14ac:dyDescent="0.25">
      <c r="A651" s="33" t="s">
        <v>18</v>
      </c>
      <c r="B651" s="34" t="str">
        <f>HYPERLINK("http://www.twitter.com/UkWhitbyLibrary", "UkWhitbyLibrary")</f>
        <v>UkWhitbyLibrary</v>
      </c>
      <c r="C651" s="33" t="s">
        <v>1203</v>
      </c>
      <c r="D651" s="33" t="s">
        <v>1204</v>
      </c>
      <c r="F651" s="35">
        <v>941</v>
      </c>
      <c r="G651" s="35">
        <v>1009</v>
      </c>
      <c r="H651" s="35">
        <v>993</v>
      </c>
      <c r="I651" s="35">
        <v>138</v>
      </c>
      <c r="J651" s="36">
        <v>41702</v>
      </c>
      <c r="K651" s="37">
        <v>0.60406250000000006</v>
      </c>
      <c r="L651" s="36">
        <v>42723</v>
      </c>
      <c r="M651" s="38">
        <v>0.82673611111111101</v>
      </c>
    </row>
    <row r="652" spans="1:13" ht="30" x14ac:dyDescent="0.25">
      <c r="A652" s="33" t="s">
        <v>18</v>
      </c>
      <c r="B652" s="34" t="str">
        <f>HYPERLINK("http://www.twitter.com/WallingfordLib", "WallingfordLib")</f>
        <v>WallingfordLib</v>
      </c>
      <c r="C652" s="33" t="s">
        <v>981</v>
      </c>
      <c r="D652" s="33" t="s">
        <v>982</v>
      </c>
      <c r="E652" s="32" t="s">
        <v>983</v>
      </c>
      <c r="F652" s="35">
        <v>885</v>
      </c>
      <c r="G652" s="35">
        <v>1283</v>
      </c>
      <c r="H652" s="35">
        <v>991</v>
      </c>
      <c r="I652" s="35">
        <v>22</v>
      </c>
      <c r="J652" s="36">
        <v>40061</v>
      </c>
      <c r="K652" s="37">
        <v>0.41968749999999999</v>
      </c>
      <c r="L652" s="36">
        <v>42926</v>
      </c>
      <c r="M652" s="38">
        <v>0.59097222222222223</v>
      </c>
    </row>
    <row r="653" spans="1:13" ht="45" x14ac:dyDescent="0.25">
      <c r="A653" s="33" t="s">
        <v>18</v>
      </c>
      <c r="B653" s="34" t="str">
        <f>HYPERLINK("http://www.twitter.com/AshLibrary", "AshLibrary")</f>
        <v>AshLibrary</v>
      </c>
      <c r="C653" s="33" t="s">
        <v>1398</v>
      </c>
      <c r="D653" s="33" t="s">
        <v>1399</v>
      </c>
      <c r="E653" s="32" t="s">
        <v>1400</v>
      </c>
      <c r="F653" s="35">
        <v>240</v>
      </c>
      <c r="G653" s="35">
        <v>828</v>
      </c>
      <c r="H653" s="35">
        <v>977</v>
      </c>
      <c r="I653" s="35">
        <v>15</v>
      </c>
      <c r="J653" s="36">
        <v>40764</v>
      </c>
      <c r="K653" s="37">
        <v>0.48270833333333335</v>
      </c>
      <c r="L653" s="36">
        <v>42929</v>
      </c>
      <c r="M653" s="38">
        <v>0.66961805555555554</v>
      </c>
    </row>
    <row r="654" spans="1:13" ht="30" x14ac:dyDescent="0.25">
      <c r="A654" s="33" t="s">
        <v>18</v>
      </c>
      <c r="B654" s="34" t="str">
        <f>HYPERLINK("http://www.twitter.com/MoleseyLibrary", "MoleseyLibrary")</f>
        <v>MoleseyLibrary</v>
      </c>
      <c r="C654" s="33" t="s">
        <v>1168</v>
      </c>
      <c r="D654" s="33" t="s">
        <v>1169</v>
      </c>
      <c r="E654" s="32" t="s">
        <v>1170</v>
      </c>
      <c r="F654" s="35">
        <v>102</v>
      </c>
      <c r="G654" s="35">
        <v>1059</v>
      </c>
      <c r="H654" s="35">
        <v>975</v>
      </c>
      <c r="I654" s="35">
        <v>530</v>
      </c>
      <c r="J654" s="36">
        <v>40875</v>
      </c>
      <c r="K654" s="37">
        <v>0.47754629629629625</v>
      </c>
      <c r="L654" s="36">
        <v>42938</v>
      </c>
      <c r="M654" s="38">
        <v>0.6564699074074074</v>
      </c>
    </row>
    <row r="655" spans="1:13" ht="30" x14ac:dyDescent="0.25">
      <c r="A655" s="33" t="s">
        <v>18</v>
      </c>
      <c r="B655" s="34" t="str">
        <f>HYPERLINK("http://www.twitter.com/Aberbargoed_Lib", "Aberbargoed_Lib")</f>
        <v>Aberbargoed_Lib</v>
      </c>
      <c r="C655" s="33" t="s">
        <v>1700</v>
      </c>
      <c r="D655" s="33" t="s">
        <v>1221</v>
      </c>
      <c r="E655" s="32" t="s">
        <v>884</v>
      </c>
      <c r="F655" s="35">
        <v>235</v>
      </c>
      <c r="G655" s="35">
        <v>592</v>
      </c>
      <c r="H655" s="35">
        <v>960</v>
      </c>
      <c r="I655" s="35">
        <v>413</v>
      </c>
      <c r="J655" s="36">
        <v>41894</v>
      </c>
      <c r="K655" s="37">
        <v>0.53844907407407405</v>
      </c>
      <c r="L655" s="36">
        <v>42940</v>
      </c>
      <c r="M655" s="38">
        <v>0.56252314814814819</v>
      </c>
    </row>
    <row r="656" spans="1:13" x14ac:dyDescent="0.25">
      <c r="A656" s="33" t="s">
        <v>18</v>
      </c>
      <c r="B656" s="34" t="str">
        <f>HYPERLINK("http://www.twitter.com/HayLibraryPowys", "HayLibraryPowys")</f>
        <v>HayLibraryPowys</v>
      </c>
      <c r="C656" s="33" t="s">
        <v>2910</v>
      </c>
      <c r="D656" s="33" t="s">
        <v>2911</v>
      </c>
      <c r="F656" s="35">
        <v>93</v>
      </c>
      <c r="G656" s="35">
        <v>162</v>
      </c>
      <c r="H656" s="35">
        <v>959</v>
      </c>
      <c r="I656" s="35">
        <v>29</v>
      </c>
      <c r="J656" s="36">
        <v>42507</v>
      </c>
      <c r="K656" s="37">
        <v>0.39782407407407411</v>
      </c>
      <c r="L656" s="36">
        <v>42937</v>
      </c>
      <c r="M656" s="38">
        <v>0.61856481481481485</v>
      </c>
    </row>
    <row r="657" spans="1:13" ht="45" x14ac:dyDescent="0.25">
      <c r="A657" s="33" t="s">
        <v>18</v>
      </c>
      <c r="B657" s="34" t="str">
        <f>HYPERLINK("http://www.twitter.com/TangHallLibrary", "TangHallLibrary")</f>
        <v>TangHallLibrary</v>
      </c>
      <c r="C657" s="33" t="s">
        <v>1579</v>
      </c>
      <c r="E657" s="32" t="s">
        <v>1580</v>
      </c>
      <c r="F657" s="35">
        <v>120</v>
      </c>
      <c r="G657" s="35">
        <v>697</v>
      </c>
      <c r="H657" s="35">
        <v>955</v>
      </c>
      <c r="I657" s="35">
        <v>66</v>
      </c>
      <c r="J657" s="36">
        <v>41405</v>
      </c>
      <c r="K657" s="37">
        <v>0.38998842592592592</v>
      </c>
      <c r="L657" s="36">
        <v>42937</v>
      </c>
      <c r="M657" s="38">
        <v>0.4748148148148148</v>
      </c>
    </row>
    <row r="658" spans="1:13" ht="30" x14ac:dyDescent="0.25">
      <c r="A658" s="33" t="s">
        <v>18</v>
      </c>
      <c r="B658" s="34" t="str">
        <f>HYPERLINK("http://www.twitter.com/BarnstapleLibr", "BarnstapleLibr")</f>
        <v>BarnstapleLibr</v>
      </c>
      <c r="C658" s="33" t="s">
        <v>2336</v>
      </c>
      <c r="E658" s="32" t="s">
        <v>2337</v>
      </c>
      <c r="F658" s="35">
        <v>186</v>
      </c>
      <c r="G658" s="35">
        <v>289</v>
      </c>
      <c r="H658" s="35">
        <v>947</v>
      </c>
      <c r="I658" s="35">
        <v>49</v>
      </c>
      <c r="J658" s="36">
        <v>42186</v>
      </c>
      <c r="K658" s="37">
        <v>0.43589120370370371</v>
      </c>
      <c r="L658" s="36">
        <v>42940</v>
      </c>
      <c r="M658" s="38">
        <v>0.66150462962962964</v>
      </c>
    </row>
    <row r="659" spans="1:13" ht="45" x14ac:dyDescent="0.25">
      <c r="A659" s="33" t="s">
        <v>18</v>
      </c>
      <c r="B659" s="34" t="str">
        <f>HYPERLINK("http://www.twitter.com/WaterlooLib", "WaterlooLib")</f>
        <v>WaterlooLib</v>
      </c>
      <c r="C659" s="33" t="s">
        <v>1407</v>
      </c>
      <c r="D659" s="33" t="s">
        <v>1408</v>
      </c>
      <c r="E659" s="32" t="s">
        <v>1409</v>
      </c>
      <c r="F659" s="35">
        <v>493</v>
      </c>
      <c r="G659" s="35">
        <v>820</v>
      </c>
      <c r="H659" s="35">
        <v>939</v>
      </c>
      <c r="I659" s="35">
        <v>87</v>
      </c>
      <c r="J659" s="36">
        <v>41018</v>
      </c>
      <c r="K659" s="37">
        <v>0.61614583333333328</v>
      </c>
      <c r="L659" s="36">
        <v>42940</v>
      </c>
      <c r="M659" s="38">
        <v>0.7152546296296296</v>
      </c>
    </row>
    <row r="660" spans="1:13" ht="45" x14ac:dyDescent="0.25">
      <c r="A660" s="33" t="s">
        <v>18</v>
      </c>
      <c r="B660" s="34" t="str">
        <f>HYPERLINK("http://www.twitter.com/BansteadLib", "BansteadLib")</f>
        <v>BansteadLib</v>
      </c>
      <c r="C660" s="33" t="s">
        <v>1346</v>
      </c>
      <c r="D660" s="33" t="s">
        <v>1347</v>
      </c>
      <c r="E660" s="32" t="s">
        <v>1348</v>
      </c>
      <c r="F660" s="35">
        <v>289</v>
      </c>
      <c r="G660" s="35">
        <v>863</v>
      </c>
      <c r="H660" s="35">
        <v>920</v>
      </c>
      <c r="I660" s="35">
        <v>14</v>
      </c>
      <c r="J660" s="36">
        <v>40765</v>
      </c>
      <c r="K660" s="37">
        <v>0.34987268518518522</v>
      </c>
      <c r="L660" s="36">
        <v>42935</v>
      </c>
      <c r="M660" s="38">
        <v>0.48256944444444444</v>
      </c>
    </row>
    <row r="661" spans="1:13" x14ac:dyDescent="0.25">
      <c r="A661" s="33" t="s">
        <v>18</v>
      </c>
      <c r="B661" s="34" t="str">
        <f>HYPERLINK("http://www.twitter.com/DownhamLibrary", "DownhamLibrary")</f>
        <v>DownhamLibrary</v>
      </c>
      <c r="C661" s="33" t="s">
        <v>1859</v>
      </c>
      <c r="D661" s="33" t="s">
        <v>1860</v>
      </c>
      <c r="F661" s="35">
        <v>106</v>
      </c>
      <c r="G661" s="35">
        <v>472</v>
      </c>
      <c r="H661" s="35">
        <v>919</v>
      </c>
      <c r="I661" s="35">
        <v>9</v>
      </c>
      <c r="J661" s="36">
        <v>41257</v>
      </c>
      <c r="K661" s="37">
        <v>0.36471064814814813</v>
      </c>
      <c r="L661" s="36">
        <v>42939</v>
      </c>
      <c r="M661" s="38">
        <v>0.56690972222222225</v>
      </c>
    </row>
    <row r="662" spans="1:13" ht="45" x14ac:dyDescent="0.25">
      <c r="A662" s="33" t="s">
        <v>18</v>
      </c>
      <c r="B662" s="34" t="str">
        <f>HYPERLINK("http://www.twitter.com/LancsHospLib", "LancsHospLib")</f>
        <v>LancsHospLib</v>
      </c>
      <c r="C662" s="33" t="s">
        <v>1709</v>
      </c>
      <c r="D662" s="33" t="s">
        <v>1710</v>
      </c>
      <c r="E662" s="32" t="s">
        <v>1711</v>
      </c>
      <c r="F662" s="35">
        <v>973</v>
      </c>
      <c r="G662" s="35">
        <v>594</v>
      </c>
      <c r="H662" s="35">
        <v>908</v>
      </c>
      <c r="I662" s="35">
        <v>777</v>
      </c>
      <c r="J662" s="36">
        <v>42339</v>
      </c>
      <c r="K662" s="37">
        <v>0.72664351851851849</v>
      </c>
      <c r="L662" s="36">
        <v>42940</v>
      </c>
      <c r="M662" s="38">
        <v>0.46137731481481481</v>
      </c>
    </row>
    <row r="663" spans="1:13" ht="30" x14ac:dyDescent="0.25">
      <c r="A663" s="33" t="s">
        <v>18</v>
      </c>
      <c r="B663" s="34" t="str">
        <f>HYPERLINK("http://www.twitter.com/HalesworthLib", "HalesworthLib")</f>
        <v>HalesworthLib</v>
      </c>
      <c r="C663" s="33" t="s">
        <v>1824</v>
      </c>
      <c r="D663" s="33" t="s">
        <v>1825</v>
      </c>
      <c r="E663" s="32" t="s">
        <v>1826</v>
      </c>
      <c r="F663" s="35">
        <v>316</v>
      </c>
      <c r="G663" s="35">
        <v>514</v>
      </c>
      <c r="H663" s="35">
        <v>903</v>
      </c>
      <c r="I663" s="35">
        <v>120</v>
      </c>
      <c r="J663" s="36">
        <v>41514</v>
      </c>
      <c r="K663" s="37">
        <v>0.64836805555555554</v>
      </c>
      <c r="L663" s="36">
        <v>42937</v>
      </c>
      <c r="M663" s="38">
        <v>0.94332175925925921</v>
      </c>
    </row>
    <row r="664" spans="1:13" x14ac:dyDescent="0.25">
      <c r="A664" s="33" t="s">
        <v>18</v>
      </c>
      <c r="B664" s="34" t="str">
        <f>HYPERLINK("http://www.twitter.com/WoodbridgeLib", "WoodbridgeLib")</f>
        <v>WoodbridgeLib</v>
      </c>
      <c r="C664" s="33" t="s">
        <v>1659</v>
      </c>
      <c r="E664" s="32" t="s">
        <v>1660</v>
      </c>
      <c r="F664" s="35">
        <v>406</v>
      </c>
      <c r="G664" s="35">
        <v>647</v>
      </c>
      <c r="H664" s="35">
        <v>890</v>
      </c>
      <c r="I664" s="35">
        <v>327</v>
      </c>
      <c r="J664" s="36">
        <v>41606</v>
      </c>
      <c r="K664" s="37">
        <v>0.45752314814814815</v>
      </c>
      <c r="L664" s="36">
        <v>42937</v>
      </c>
      <c r="M664" s="38">
        <v>0.60218749999999999</v>
      </c>
    </row>
    <row r="665" spans="1:13" ht="45" x14ac:dyDescent="0.25">
      <c r="A665" s="33" t="s">
        <v>18</v>
      </c>
      <c r="B665" s="34" t="str">
        <f>HYPERLINK("http://www.twitter.com/DittonsLibrary", "DittonsLibrary")</f>
        <v>DittonsLibrary</v>
      </c>
      <c r="C665" s="33" t="s">
        <v>1637</v>
      </c>
      <c r="D665" s="33" t="s">
        <v>1638</v>
      </c>
      <c r="E665" s="32" t="s">
        <v>1639</v>
      </c>
      <c r="F665" s="35">
        <v>153</v>
      </c>
      <c r="G665" s="35">
        <v>633</v>
      </c>
      <c r="H665" s="35">
        <v>879</v>
      </c>
      <c r="I665" s="35">
        <v>20</v>
      </c>
      <c r="J665" s="36">
        <v>40029</v>
      </c>
      <c r="K665" s="37">
        <v>0.69305555555555554</v>
      </c>
      <c r="L665" s="36">
        <v>42924</v>
      </c>
      <c r="M665" s="38">
        <v>0.39870370370370373</v>
      </c>
    </row>
    <row r="666" spans="1:13" ht="30" x14ac:dyDescent="0.25">
      <c r="A666" s="33" t="s">
        <v>18</v>
      </c>
      <c r="B666" s="34" t="str">
        <f>HYPERLINK("http://www.twitter.com/AbertridwrLib", "AbertridwrLib")</f>
        <v>AbertridwrLib</v>
      </c>
      <c r="C666" s="33" t="s">
        <v>2087</v>
      </c>
      <c r="E666" s="32" t="s">
        <v>2088</v>
      </c>
      <c r="F666" s="35">
        <v>459</v>
      </c>
      <c r="G666" s="35">
        <v>373</v>
      </c>
      <c r="H666" s="35">
        <v>870</v>
      </c>
      <c r="I666" s="35">
        <v>444</v>
      </c>
      <c r="J666" s="36">
        <v>42159</v>
      </c>
      <c r="K666" s="37">
        <v>0.38877314814814817</v>
      </c>
      <c r="L666" s="36">
        <v>42938</v>
      </c>
      <c r="M666" s="38">
        <v>0.38832175925925921</v>
      </c>
    </row>
    <row r="667" spans="1:13" x14ac:dyDescent="0.25">
      <c r="A667" s="33" t="s">
        <v>18</v>
      </c>
      <c r="B667" s="34" t="str">
        <f>HYPERLINK("http://www.twitter.com/wing_library", "wing_library")</f>
        <v>wing_library</v>
      </c>
      <c r="C667" s="33" t="s">
        <v>3271</v>
      </c>
      <c r="F667" s="35">
        <v>84</v>
      </c>
      <c r="G667" s="35">
        <v>73</v>
      </c>
      <c r="H667" s="35">
        <v>861</v>
      </c>
      <c r="I667" s="35">
        <v>57</v>
      </c>
      <c r="J667" s="36">
        <v>42189</v>
      </c>
      <c r="K667" s="37">
        <v>0.57833333333333337</v>
      </c>
      <c r="L667" s="36">
        <v>42939</v>
      </c>
      <c r="M667" s="38">
        <v>0.71796296296296302</v>
      </c>
    </row>
    <row r="668" spans="1:13" ht="45" x14ac:dyDescent="0.25">
      <c r="A668" s="33" t="s">
        <v>18</v>
      </c>
      <c r="B668" s="34" t="str">
        <f>HYPERLINK("http://www.twitter.com/DurningLibrary", "DurningLibrary")</f>
        <v>DurningLibrary</v>
      </c>
      <c r="C668" s="33" t="s">
        <v>1732</v>
      </c>
      <c r="D668" s="33" t="s">
        <v>1733</v>
      </c>
      <c r="E668" s="32" t="s">
        <v>1734</v>
      </c>
      <c r="F668" s="35">
        <v>487</v>
      </c>
      <c r="G668" s="35">
        <v>553</v>
      </c>
      <c r="H668" s="35">
        <v>861</v>
      </c>
      <c r="I668" s="35">
        <v>226</v>
      </c>
      <c r="J668" s="36">
        <v>41430</v>
      </c>
      <c r="K668" s="37">
        <v>0.40303240740740742</v>
      </c>
      <c r="L668" s="36">
        <v>42940</v>
      </c>
      <c r="M668" s="38">
        <v>0.73010416666666667</v>
      </c>
    </row>
    <row r="669" spans="1:13" ht="45" x14ac:dyDescent="0.25">
      <c r="A669" s="33" t="s">
        <v>18</v>
      </c>
      <c r="B669" s="34" t="str">
        <f>HYPERLINK("http://www.twitter.com/EghamLib", "EghamLib")</f>
        <v>EghamLib</v>
      </c>
      <c r="C669" s="33" t="s">
        <v>1404</v>
      </c>
      <c r="D669" s="33" t="s">
        <v>1405</v>
      </c>
      <c r="E669" s="32" t="s">
        <v>1406</v>
      </c>
      <c r="F669" s="35">
        <v>49</v>
      </c>
      <c r="G669" s="35">
        <v>818</v>
      </c>
      <c r="H669" s="35">
        <v>854</v>
      </c>
      <c r="I669" s="35">
        <v>4</v>
      </c>
      <c r="J669" s="36">
        <v>40612</v>
      </c>
      <c r="K669" s="37">
        <v>0.63396990740740744</v>
      </c>
      <c r="L669" s="36">
        <v>42937</v>
      </c>
      <c r="M669" s="38">
        <v>0.45799768518518519</v>
      </c>
    </row>
    <row r="670" spans="1:13" ht="45" x14ac:dyDescent="0.25">
      <c r="A670" s="33" t="s">
        <v>18</v>
      </c>
      <c r="B670" s="34" t="str">
        <f>HYPERLINK("http://www.twitter.com/almondburylibr1", "almondburylibr1")</f>
        <v>almondburylibr1</v>
      </c>
      <c r="C670" s="33" t="s">
        <v>1827</v>
      </c>
      <c r="D670" s="33" t="s">
        <v>1828</v>
      </c>
      <c r="E670" s="32" t="s">
        <v>1829</v>
      </c>
      <c r="F670" s="35">
        <v>830</v>
      </c>
      <c r="G670" s="35">
        <v>497</v>
      </c>
      <c r="H670" s="35">
        <v>823</v>
      </c>
      <c r="I670" s="35">
        <v>229</v>
      </c>
      <c r="J670" s="36">
        <v>42416</v>
      </c>
      <c r="K670" s="37">
        <v>0.8028587962962962</v>
      </c>
      <c r="L670" s="36">
        <v>42930</v>
      </c>
      <c r="M670" s="38">
        <v>0.86938657407407405</v>
      </c>
    </row>
    <row r="671" spans="1:13" ht="45" x14ac:dyDescent="0.25">
      <c r="A671" s="33" t="s">
        <v>18</v>
      </c>
      <c r="B671" s="34" t="str">
        <f>HYPERLINK("http://www.twitter.com/SaveSSlibrary", "SaveSSlibrary")</f>
        <v>SaveSSlibrary</v>
      </c>
      <c r="C671" s="33" t="s">
        <v>2308</v>
      </c>
      <c r="D671" s="33" t="s">
        <v>2309</v>
      </c>
      <c r="E671" s="32" t="s">
        <v>2310</v>
      </c>
      <c r="F671" s="35">
        <v>326</v>
      </c>
      <c r="G671" s="35">
        <v>286</v>
      </c>
      <c r="H671" s="35">
        <v>808</v>
      </c>
      <c r="I671" s="35">
        <v>5</v>
      </c>
      <c r="J671" s="36">
        <v>40681</v>
      </c>
      <c r="K671" s="37">
        <v>0.40368055555555554</v>
      </c>
      <c r="L671" s="36">
        <v>42652</v>
      </c>
      <c r="M671" s="38">
        <v>0.26359953703703703</v>
      </c>
    </row>
    <row r="672" spans="1:13" ht="30" x14ac:dyDescent="0.25">
      <c r="A672" s="33" t="s">
        <v>18</v>
      </c>
      <c r="B672" s="34" t="str">
        <f>HYPERLINK("http://www.twitter.com/Eco_GP_Library", "Eco_GP_Library")</f>
        <v>Eco_GP_Library</v>
      </c>
      <c r="C672" s="33" t="s">
        <v>2523</v>
      </c>
      <c r="D672" s="33" t="s">
        <v>2524</v>
      </c>
      <c r="E672" s="32" t="s">
        <v>2525</v>
      </c>
      <c r="F672" s="35">
        <v>56</v>
      </c>
      <c r="G672" s="35">
        <v>244</v>
      </c>
      <c r="H672" s="35">
        <v>803</v>
      </c>
      <c r="I672" s="35">
        <v>19</v>
      </c>
      <c r="J672" s="36">
        <v>41172</v>
      </c>
      <c r="K672" s="37">
        <v>0.8455787037037038</v>
      </c>
      <c r="L672" s="36">
        <v>42938</v>
      </c>
      <c r="M672" s="38">
        <v>0.32733796296296297</v>
      </c>
    </row>
    <row r="673" spans="1:13" ht="45" x14ac:dyDescent="0.25">
      <c r="A673" s="33" t="s">
        <v>18</v>
      </c>
      <c r="B673" s="34" t="str">
        <f>HYPERLINK("http://www.twitter.com/EastleighLib", "EastleighLib")</f>
        <v>EastleighLib</v>
      </c>
      <c r="C673" s="33" t="s">
        <v>1816</v>
      </c>
      <c r="D673" s="33" t="s">
        <v>1817</v>
      </c>
      <c r="E673" s="32" t="s">
        <v>1818</v>
      </c>
      <c r="F673" s="35">
        <v>73</v>
      </c>
      <c r="G673" s="35">
        <v>503</v>
      </c>
      <c r="H673" s="35">
        <v>803</v>
      </c>
      <c r="I673" s="35">
        <v>17</v>
      </c>
      <c r="J673" s="36">
        <v>41571</v>
      </c>
      <c r="K673" s="37">
        <v>0.52050925925925928</v>
      </c>
      <c r="L673" s="36">
        <v>42940</v>
      </c>
      <c r="M673" s="38">
        <v>0.61596064814814822</v>
      </c>
    </row>
    <row r="674" spans="1:13" x14ac:dyDescent="0.25">
      <c r="A674" s="33" t="s">
        <v>18</v>
      </c>
      <c r="B674" s="34" t="str">
        <f>HYPERLINK("http://www.twitter.com/Knowsleylib", "Knowsleylib")</f>
        <v>Knowsleylib</v>
      </c>
      <c r="C674" s="33" t="s">
        <v>2621</v>
      </c>
      <c r="D674" s="33" t="s">
        <v>2622</v>
      </c>
      <c r="E674" s="32" t="s">
        <v>2623</v>
      </c>
      <c r="F674" s="35">
        <v>400</v>
      </c>
      <c r="G674" s="35">
        <v>231</v>
      </c>
      <c r="H674" s="35">
        <v>797</v>
      </c>
      <c r="I674" s="35">
        <v>395</v>
      </c>
      <c r="J674" s="36">
        <v>42466</v>
      </c>
      <c r="K674" s="37">
        <v>0.63217592592592597</v>
      </c>
      <c r="L674" s="36">
        <v>42940</v>
      </c>
      <c r="M674" s="38">
        <v>0.64355324074074072</v>
      </c>
    </row>
    <row r="675" spans="1:13" ht="30" x14ac:dyDescent="0.25">
      <c r="A675" s="33" t="s">
        <v>18</v>
      </c>
      <c r="B675" s="34" t="str">
        <f>HYPERLINK("http://www.twitter.com/CrawleyLibrary", "CrawleyLibrary")</f>
        <v>CrawleyLibrary</v>
      </c>
      <c r="C675" s="33" t="s">
        <v>729</v>
      </c>
      <c r="D675" s="33" t="s">
        <v>730</v>
      </c>
      <c r="E675" s="32" t="s">
        <v>731</v>
      </c>
      <c r="F675" s="35">
        <v>873</v>
      </c>
      <c r="G675" s="35">
        <v>1800</v>
      </c>
      <c r="H675" s="35">
        <v>792</v>
      </c>
      <c r="I675" s="35">
        <v>100</v>
      </c>
      <c r="J675" s="36">
        <v>39988</v>
      </c>
      <c r="K675" s="37">
        <v>0.48223379629629631</v>
      </c>
      <c r="L675" s="36">
        <v>42940</v>
      </c>
      <c r="M675" s="38">
        <v>0.61965277777777772</v>
      </c>
    </row>
    <row r="676" spans="1:13" ht="60" x14ac:dyDescent="0.25">
      <c r="A676" s="33" t="s">
        <v>18</v>
      </c>
      <c r="B676" s="34" t="str">
        <f>HYPERLINK("http://www.twitter.com/FORLib", "FORLib")</f>
        <v>FORLib</v>
      </c>
      <c r="C676" s="33" t="s">
        <v>3639</v>
      </c>
      <c r="D676" s="33" t="s">
        <v>3640</v>
      </c>
      <c r="E676" s="32" t="s">
        <v>3641</v>
      </c>
      <c r="F676" s="35">
        <v>214</v>
      </c>
      <c r="G676" s="35">
        <v>171</v>
      </c>
      <c r="H676" s="35">
        <v>767</v>
      </c>
      <c r="I676" s="35">
        <v>401</v>
      </c>
      <c r="J676" s="36">
        <v>41777</v>
      </c>
      <c r="K676" s="37">
        <v>0.63814814814814813</v>
      </c>
      <c r="L676" s="36">
        <v>42938</v>
      </c>
      <c r="M676" s="38">
        <v>0.4816319444444444</v>
      </c>
    </row>
    <row r="677" spans="1:13" ht="45" x14ac:dyDescent="0.25">
      <c r="A677" s="33" t="s">
        <v>18</v>
      </c>
      <c r="B677" s="34" t="str">
        <f>HYPERLINK("http://www.twitter.com/RuberyLibrary", "RuberyLibrary")</f>
        <v>RuberyLibrary</v>
      </c>
      <c r="C677" s="33" t="s">
        <v>1795</v>
      </c>
      <c r="D677" s="33" t="s">
        <v>1796</v>
      </c>
      <c r="E677" s="32" t="s">
        <v>1797</v>
      </c>
      <c r="F677" s="35">
        <v>162</v>
      </c>
      <c r="G677" s="35">
        <v>505</v>
      </c>
      <c r="H677" s="35">
        <v>764</v>
      </c>
      <c r="I677" s="35">
        <v>95</v>
      </c>
      <c r="J677" s="36">
        <v>41288</v>
      </c>
      <c r="K677" s="37">
        <v>0.69034722222222233</v>
      </c>
      <c r="L677" s="36">
        <v>42937</v>
      </c>
      <c r="M677" s="38">
        <v>0.65609953703703705</v>
      </c>
    </row>
    <row r="678" spans="1:13" ht="30" x14ac:dyDescent="0.25">
      <c r="A678" s="33" t="s">
        <v>18</v>
      </c>
      <c r="B678" s="34" t="str">
        <f>HYPERLINK("http://www.twitter.com/AnlabyParkLib", "AnlabyParkLib")</f>
        <v>AnlabyParkLib</v>
      </c>
      <c r="C678" s="33" t="s">
        <v>2950</v>
      </c>
      <c r="D678" s="33" t="s">
        <v>2951</v>
      </c>
      <c r="E678" s="32" t="s">
        <v>2952</v>
      </c>
      <c r="F678" s="35">
        <v>92</v>
      </c>
      <c r="G678" s="35">
        <v>157</v>
      </c>
      <c r="H678" s="35">
        <v>757</v>
      </c>
      <c r="I678" s="35">
        <v>19</v>
      </c>
      <c r="J678" s="36">
        <v>41360</v>
      </c>
      <c r="K678" s="37">
        <v>0.59785879629629635</v>
      </c>
      <c r="L678" s="36">
        <v>42938</v>
      </c>
      <c r="M678" s="38">
        <v>0.84791666666666676</v>
      </c>
    </row>
    <row r="679" spans="1:13" x14ac:dyDescent="0.25">
      <c r="A679" s="33" t="s">
        <v>18</v>
      </c>
      <c r="B679" s="34" t="str">
        <f>HYPERLINK("http://www.twitter.com/MachenLibrary", "MachenLibrary")</f>
        <v>MachenLibrary</v>
      </c>
      <c r="C679" s="33" t="s">
        <v>2165</v>
      </c>
      <c r="F679" s="35">
        <v>299</v>
      </c>
      <c r="G679" s="35">
        <v>356</v>
      </c>
      <c r="H679" s="35">
        <v>744</v>
      </c>
      <c r="I679" s="35">
        <v>187</v>
      </c>
      <c r="J679" s="36">
        <v>42110</v>
      </c>
      <c r="K679" s="37">
        <v>0.61006944444444444</v>
      </c>
      <c r="L679" s="36">
        <v>42936</v>
      </c>
      <c r="M679" s="38">
        <v>0.6221875</v>
      </c>
    </row>
    <row r="680" spans="1:13" ht="45" x14ac:dyDescent="0.25">
      <c r="A680" s="33" t="s">
        <v>18</v>
      </c>
      <c r="B680" s="34" t="str">
        <f>HYPERLINK("http://www.twitter.com/KDLib", "KDLib")</f>
        <v>KDLib</v>
      </c>
      <c r="C680" s="33" t="s">
        <v>1010</v>
      </c>
      <c r="E680" s="32" t="s">
        <v>1011</v>
      </c>
      <c r="F680" s="35">
        <v>894</v>
      </c>
      <c r="G680" s="35">
        <v>1258</v>
      </c>
      <c r="H680" s="35">
        <v>743</v>
      </c>
      <c r="I680" s="35">
        <v>11</v>
      </c>
      <c r="J680" s="36">
        <v>41094</v>
      </c>
      <c r="K680" s="37">
        <v>0.76033564814814814</v>
      </c>
      <c r="L680" s="36">
        <v>42909</v>
      </c>
      <c r="M680" s="38">
        <v>0.75366898148148154</v>
      </c>
    </row>
    <row r="681" spans="1:13" ht="45" x14ac:dyDescent="0.25">
      <c r="A681" s="33" t="s">
        <v>18</v>
      </c>
      <c r="B681" s="34" t="str">
        <f>HYPERLINK("http://www.twitter.com/SuttonLibrary", "SuttonLibrary")</f>
        <v>SuttonLibrary</v>
      </c>
      <c r="C681" s="33" t="s">
        <v>1114</v>
      </c>
      <c r="D681" s="33" t="s">
        <v>3651</v>
      </c>
      <c r="E681" s="32" t="s">
        <v>3652</v>
      </c>
      <c r="F681" s="35">
        <v>334</v>
      </c>
      <c r="G681" s="35">
        <v>1124</v>
      </c>
      <c r="H681" s="35">
        <v>729</v>
      </c>
      <c r="I681" s="35">
        <v>192</v>
      </c>
      <c r="J681" s="36">
        <v>41451</v>
      </c>
      <c r="K681" s="37">
        <v>0.52809027777777773</v>
      </c>
      <c r="L681" s="36">
        <v>42938</v>
      </c>
      <c r="M681" s="38">
        <v>0.35645833333333332</v>
      </c>
    </row>
    <row r="682" spans="1:13" ht="45" x14ac:dyDescent="0.25">
      <c r="A682" s="33" t="s">
        <v>18</v>
      </c>
      <c r="B682" s="34" t="str">
        <f>HYPERLINK("http://www.twitter.com/SaveYGLibrary", "SaveYGLibrary")</f>
        <v>SaveYGLibrary</v>
      </c>
      <c r="C682" s="33" t="s">
        <v>2191</v>
      </c>
      <c r="D682" s="33" t="s">
        <v>2192</v>
      </c>
      <c r="E682" s="32" t="s">
        <v>2193</v>
      </c>
      <c r="F682" s="35">
        <v>178</v>
      </c>
      <c r="G682" s="35">
        <v>331</v>
      </c>
      <c r="H682" s="35">
        <v>724</v>
      </c>
      <c r="I682" s="35">
        <v>1</v>
      </c>
      <c r="J682" s="36">
        <v>40512</v>
      </c>
      <c r="K682" s="37">
        <v>0.94684027777777768</v>
      </c>
      <c r="L682" s="36">
        <v>42931</v>
      </c>
      <c r="M682" s="38">
        <v>0.39337962962962963</v>
      </c>
    </row>
    <row r="683" spans="1:13" ht="45" x14ac:dyDescent="0.25">
      <c r="A683" s="33" t="s">
        <v>18</v>
      </c>
      <c r="B683" s="34" t="str">
        <f>HYPERLINK("http://www.twitter.com/TottonLibrary", "TottonLibrary")</f>
        <v>TottonLibrary</v>
      </c>
      <c r="C683" s="33" t="s">
        <v>2121</v>
      </c>
      <c r="D683" s="33" t="s">
        <v>2122</v>
      </c>
      <c r="E683" s="32" t="s">
        <v>2123</v>
      </c>
      <c r="F683" s="35">
        <v>277</v>
      </c>
      <c r="G683" s="35">
        <v>373</v>
      </c>
      <c r="H683" s="35">
        <v>716</v>
      </c>
      <c r="I683" s="35">
        <v>265</v>
      </c>
      <c r="J683" s="36">
        <v>41821</v>
      </c>
      <c r="K683" s="37">
        <v>0.58667824074074071</v>
      </c>
      <c r="L683" s="36">
        <v>42940</v>
      </c>
      <c r="M683" s="38">
        <v>0.61456018518518518</v>
      </c>
    </row>
    <row r="684" spans="1:13" ht="45" x14ac:dyDescent="0.25">
      <c r="A684" s="33" t="s">
        <v>18</v>
      </c>
      <c r="B684" s="34" t="str">
        <f>HYPERLINK("http://www.twitter.com/PainswickLib", "PainswickLib")</f>
        <v>PainswickLib</v>
      </c>
      <c r="C684" s="33" t="s">
        <v>2341</v>
      </c>
      <c r="D684" s="33" t="s">
        <v>2342</v>
      </c>
      <c r="E684" s="32" t="s">
        <v>2343</v>
      </c>
      <c r="F684" s="35">
        <v>114</v>
      </c>
      <c r="G684" s="35">
        <v>281</v>
      </c>
      <c r="H684" s="35">
        <v>700</v>
      </c>
      <c r="I684" s="35">
        <v>179</v>
      </c>
      <c r="J684" s="36">
        <v>41828</v>
      </c>
      <c r="K684" s="37">
        <v>0.5541666666666667</v>
      </c>
      <c r="L684" s="36">
        <v>42681</v>
      </c>
      <c r="M684" s="38">
        <v>0.5505902777777778</v>
      </c>
    </row>
    <row r="685" spans="1:13" ht="45" x14ac:dyDescent="0.25">
      <c r="A685" s="33" t="s">
        <v>18</v>
      </c>
      <c r="B685" s="34" t="str">
        <f>HYPERLINK("http://www.twitter.com/HonitonLibrary", "HonitonLibrary")</f>
        <v>HonitonLibrary</v>
      </c>
      <c r="C685" s="33" t="s">
        <v>2294</v>
      </c>
      <c r="D685" s="33" t="s">
        <v>2295</v>
      </c>
      <c r="E685" s="32" t="s">
        <v>2296</v>
      </c>
      <c r="F685" s="35">
        <v>78</v>
      </c>
      <c r="G685" s="35">
        <v>297</v>
      </c>
      <c r="H685" s="35">
        <v>698</v>
      </c>
      <c r="I685" s="35">
        <v>16</v>
      </c>
      <c r="J685" s="36">
        <v>42050</v>
      </c>
      <c r="K685" s="37">
        <v>0.44920138888888889</v>
      </c>
      <c r="L685" s="36">
        <v>42939</v>
      </c>
      <c r="M685" s="38">
        <v>0.76725694444444448</v>
      </c>
    </row>
    <row r="686" spans="1:13" ht="30" x14ac:dyDescent="0.25">
      <c r="A686" s="33" t="s">
        <v>18</v>
      </c>
      <c r="B686" s="34" t="str">
        <f>HYPERLINK("http://www.twitter.com/LCCArmleyHub", "LCCArmleyHub")</f>
        <v>LCCArmleyHub</v>
      </c>
      <c r="C686" s="33" t="s">
        <v>2837</v>
      </c>
      <c r="D686" s="33" t="s">
        <v>93</v>
      </c>
      <c r="E686" s="32" t="s">
        <v>2838</v>
      </c>
      <c r="F686" s="35">
        <v>197</v>
      </c>
      <c r="G686" s="35">
        <v>214</v>
      </c>
      <c r="H686" s="35">
        <v>695</v>
      </c>
      <c r="I686" s="35">
        <v>69</v>
      </c>
      <c r="J686" s="36">
        <v>42727</v>
      </c>
      <c r="K686" s="37">
        <v>0.65084490740740741</v>
      </c>
      <c r="L686" s="36">
        <v>42938</v>
      </c>
      <c r="M686" s="38">
        <v>0.54214120370370367</v>
      </c>
    </row>
    <row r="687" spans="1:13" ht="45" x14ac:dyDescent="0.25">
      <c r="A687" s="33" t="s">
        <v>18</v>
      </c>
      <c r="B687" s="34" t="str">
        <f>HYPERLINK("http://www.twitter.com/walkleylibrary", "walkleylibrary")</f>
        <v>walkleylibrary</v>
      </c>
      <c r="C687" s="33" t="s">
        <v>1492</v>
      </c>
      <c r="D687" s="33" t="s">
        <v>1493</v>
      </c>
      <c r="E687" s="32" t="s">
        <v>1494</v>
      </c>
      <c r="F687" s="35">
        <v>369</v>
      </c>
      <c r="G687" s="35">
        <v>756</v>
      </c>
      <c r="H687" s="35">
        <v>693</v>
      </c>
      <c r="I687" s="35">
        <v>33</v>
      </c>
      <c r="J687" s="36">
        <v>41341</v>
      </c>
      <c r="K687" s="37">
        <v>0.5661342592592592</v>
      </c>
      <c r="L687" s="36">
        <v>42937</v>
      </c>
      <c r="M687" s="38">
        <v>0.79041666666666666</v>
      </c>
    </row>
    <row r="688" spans="1:13" ht="45" x14ac:dyDescent="0.25">
      <c r="A688" s="33" t="s">
        <v>18</v>
      </c>
      <c r="B688" s="34" t="str">
        <f>HYPERLINK("http://www.twitter.com/explore_digital", "explore_digital")</f>
        <v>explore_digital</v>
      </c>
      <c r="C688" s="33" t="s">
        <v>3648</v>
      </c>
      <c r="D688" s="33" t="s">
        <v>346</v>
      </c>
      <c r="E688" s="32" t="s">
        <v>3649</v>
      </c>
      <c r="F688" s="35">
        <v>398</v>
      </c>
      <c r="G688" s="35">
        <v>612</v>
      </c>
      <c r="H688" s="35">
        <v>680</v>
      </c>
      <c r="I688" s="35">
        <v>32</v>
      </c>
      <c r="J688" s="36">
        <v>41618</v>
      </c>
      <c r="K688" s="37">
        <v>0.60052083333333328</v>
      </c>
      <c r="L688" s="36">
        <v>42935</v>
      </c>
      <c r="M688" s="38">
        <v>0.45549768518518513</v>
      </c>
    </row>
    <row r="689" spans="1:13" ht="45" x14ac:dyDescent="0.25">
      <c r="A689" s="33" t="s">
        <v>18</v>
      </c>
      <c r="B689" s="34" t="str">
        <f>HYPERLINK("http://www.twitter.com/PoppLibrary", "PoppLibrary")</f>
        <v>PoppLibrary</v>
      </c>
      <c r="C689" s="33" t="s">
        <v>1672</v>
      </c>
      <c r="D689" s="33" t="s">
        <v>1673</v>
      </c>
      <c r="E689" s="32" t="s">
        <v>1674</v>
      </c>
      <c r="F689" s="35">
        <v>629</v>
      </c>
      <c r="G689" s="35">
        <v>603</v>
      </c>
      <c r="H689" s="35">
        <v>671</v>
      </c>
      <c r="I689" s="35">
        <v>245</v>
      </c>
      <c r="J689" s="36">
        <v>41404</v>
      </c>
      <c r="K689" s="37">
        <v>0.72152777777777777</v>
      </c>
      <c r="L689" s="36">
        <v>42937</v>
      </c>
      <c r="M689" s="38">
        <v>0.39908564814814818</v>
      </c>
    </row>
    <row r="690" spans="1:13" ht="45" x14ac:dyDescent="0.25">
      <c r="A690" s="33" t="s">
        <v>18</v>
      </c>
      <c r="B690" s="34" t="str">
        <f>HYPERLINK("http://www.twitter.com/ByfleetLibrary", "ByfleetLibrary")</f>
        <v>ByfleetLibrary</v>
      </c>
      <c r="C690" s="33" t="s">
        <v>3063</v>
      </c>
      <c r="D690" s="33" t="s">
        <v>3064</v>
      </c>
      <c r="E690" s="32" t="s">
        <v>3065</v>
      </c>
      <c r="F690" s="35">
        <v>30</v>
      </c>
      <c r="G690" s="35">
        <v>121</v>
      </c>
      <c r="H690" s="35">
        <v>648</v>
      </c>
      <c r="I690" s="35">
        <v>13</v>
      </c>
      <c r="J690" s="36">
        <v>42044</v>
      </c>
      <c r="K690" s="37">
        <v>0.86379629629629628</v>
      </c>
      <c r="L690" s="36">
        <v>42937</v>
      </c>
      <c r="M690" s="38">
        <v>0.57106481481481486</v>
      </c>
    </row>
    <row r="691" spans="1:13" ht="45" x14ac:dyDescent="0.25">
      <c r="A691" s="33" t="s">
        <v>18</v>
      </c>
      <c r="B691" s="34" t="str">
        <f>HYPERLINK("http://www.twitter.com/PengamLib", "PengamLib")</f>
        <v>PengamLib</v>
      </c>
      <c r="C691" s="33" t="s">
        <v>2459</v>
      </c>
      <c r="D691" s="33" t="s">
        <v>2460</v>
      </c>
      <c r="E691" s="32" t="s">
        <v>2461</v>
      </c>
      <c r="F691" s="35">
        <v>146</v>
      </c>
      <c r="G691" s="35">
        <v>269</v>
      </c>
      <c r="H691" s="35">
        <v>644</v>
      </c>
      <c r="I691" s="35">
        <v>421</v>
      </c>
      <c r="J691" s="36">
        <v>42158</v>
      </c>
      <c r="K691" s="37">
        <v>0.32493055555555556</v>
      </c>
      <c r="L691" s="36">
        <v>42936</v>
      </c>
      <c r="M691" s="38">
        <v>0.63196759259259261</v>
      </c>
    </row>
    <row r="692" spans="1:13" ht="45" x14ac:dyDescent="0.25">
      <c r="A692" s="33" t="s">
        <v>18</v>
      </c>
      <c r="B692" s="34" t="str">
        <f>HYPERLINK("http://www.twitter.com/DewsburyRoadOSC", "DewsburyRoadOSC")</f>
        <v>DewsburyRoadOSC</v>
      </c>
      <c r="C692" s="33" t="s">
        <v>2465</v>
      </c>
      <c r="D692" s="33" t="s">
        <v>2466</v>
      </c>
      <c r="E692" s="32" t="s">
        <v>3629</v>
      </c>
      <c r="F692" s="35">
        <v>826</v>
      </c>
      <c r="G692" s="35">
        <v>335</v>
      </c>
      <c r="H692" s="35">
        <v>644</v>
      </c>
      <c r="I692" s="35">
        <v>474</v>
      </c>
      <c r="J692" s="36">
        <v>42699</v>
      </c>
      <c r="K692" s="37">
        <v>0.47754629629629625</v>
      </c>
      <c r="L692" s="36">
        <v>42940</v>
      </c>
      <c r="M692" s="38">
        <v>0.67939814814814825</v>
      </c>
    </row>
    <row r="693" spans="1:13" ht="45" x14ac:dyDescent="0.25">
      <c r="A693" s="33" t="s">
        <v>18</v>
      </c>
      <c r="B693" s="34" t="str">
        <f>HYPERLINK("http://www.twitter.com/CopLibrary", "CopLibrary")</f>
        <v>CopLibrary</v>
      </c>
      <c r="C693" s="33" t="s">
        <v>1683</v>
      </c>
      <c r="D693" s="33" t="s">
        <v>1684</v>
      </c>
      <c r="E693" s="32" t="s">
        <v>1685</v>
      </c>
      <c r="F693" s="35">
        <v>278</v>
      </c>
      <c r="G693" s="35">
        <v>598</v>
      </c>
      <c r="H693" s="35">
        <v>641</v>
      </c>
      <c r="I693" s="35">
        <v>46</v>
      </c>
      <c r="J693" s="36">
        <v>41401</v>
      </c>
      <c r="K693" s="37">
        <v>0.61170138888888892</v>
      </c>
      <c r="L693" s="36">
        <v>42930</v>
      </c>
      <c r="M693" s="38">
        <v>0.55439814814814814</v>
      </c>
    </row>
    <row r="694" spans="1:13" ht="45" x14ac:dyDescent="0.25">
      <c r="A694" s="33" t="s">
        <v>18</v>
      </c>
      <c r="B694" s="34" t="str">
        <f>HYPERLINK("http://www.twitter.com/CFordLibrary", "CFordLibrary")</f>
        <v>CFordLibrary</v>
      </c>
      <c r="C694" s="33" t="s">
        <v>2109</v>
      </c>
      <c r="D694" s="33" t="s">
        <v>2110</v>
      </c>
      <c r="E694" s="32" t="s">
        <v>2111</v>
      </c>
      <c r="F694" s="35">
        <v>168</v>
      </c>
      <c r="G694" s="35">
        <v>364</v>
      </c>
      <c r="H694" s="35">
        <v>639</v>
      </c>
      <c r="I694" s="35">
        <v>61</v>
      </c>
      <c r="J694" s="36">
        <v>41803</v>
      </c>
      <c r="K694" s="37">
        <v>0.39428240740740739</v>
      </c>
      <c r="L694" s="36">
        <v>42937</v>
      </c>
      <c r="M694" s="38">
        <v>0.5450694444444445</v>
      </c>
    </row>
    <row r="695" spans="1:13" ht="30" x14ac:dyDescent="0.25">
      <c r="A695" s="33" t="s">
        <v>18</v>
      </c>
      <c r="B695" s="34" t="str">
        <f>HYPERLINK("http://www.twitter.com/ipswich_library", "ipswich_library")</f>
        <v>ipswich_library</v>
      </c>
      <c r="C695" s="33" t="s">
        <v>1430</v>
      </c>
      <c r="D695" s="33" t="s">
        <v>1431</v>
      </c>
      <c r="E695" s="32" t="s">
        <v>1432</v>
      </c>
      <c r="F695" s="35">
        <v>434</v>
      </c>
      <c r="G695" s="35">
        <v>827</v>
      </c>
      <c r="H695" s="35">
        <v>628</v>
      </c>
      <c r="I695" s="35">
        <v>285</v>
      </c>
      <c r="J695" s="36">
        <v>42249</v>
      </c>
      <c r="K695" s="37">
        <v>0.4155787037037037</v>
      </c>
      <c r="L695" s="36">
        <v>42938</v>
      </c>
      <c r="M695" s="38">
        <v>0.61303240740740739</v>
      </c>
    </row>
    <row r="696" spans="1:13" ht="30" x14ac:dyDescent="0.25">
      <c r="A696" s="33" t="s">
        <v>18</v>
      </c>
      <c r="B696" s="34" t="str">
        <f>HYPERLINK("http://www.twitter.com/RedbournLibrary", "RedbournLibrary")</f>
        <v>RedbournLibrary</v>
      </c>
      <c r="C696" s="33" t="s">
        <v>3115</v>
      </c>
      <c r="D696" s="33" t="s">
        <v>3116</v>
      </c>
      <c r="E696" s="32" t="s">
        <v>3117</v>
      </c>
      <c r="F696" s="35">
        <v>145</v>
      </c>
      <c r="G696" s="35">
        <v>117</v>
      </c>
      <c r="H696" s="35">
        <v>624</v>
      </c>
      <c r="I696" s="35">
        <v>163</v>
      </c>
      <c r="J696" s="36">
        <v>42250</v>
      </c>
      <c r="K696" s="37">
        <v>0.86716435185185192</v>
      </c>
      <c r="L696" s="36">
        <v>42937</v>
      </c>
      <c r="M696" s="38">
        <v>0.28266203703703702</v>
      </c>
    </row>
    <row r="697" spans="1:13" ht="45" x14ac:dyDescent="0.25">
      <c r="A697" s="33" t="s">
        <v>18</v>
      </c>
      <c r="B697" s="34" t="str">
        <f>HYPERLINK("http://www.twitter.com/CatshillLib", "CatshillLib")</f>
        <v>CatshillLib</v>
      </c>
      <c r="C697" s="33" t="s">
        <v>1752</v>
      </c>
      <c r="E697" s="32" t="s">
        <v>1753</v>
      </c>
      <c r="F697" s="35">
        <v>201</v>
      </c>
      <c r="G697" s="35">
        <v>528</v>
      </c>
      <c r="H697" s="35">
        <v>611</v>
      </c>
      <c r="I697" s="35">
        <v>127</v>
      </c>
      <c r="J697" s="36">
        <v>41298</v>
      </c>
      <c r="K697" s="37">
        <v>0.53476851851851859</v>
      </c>
      <c r="L697" s="36">
        <v>42938</v>
      </c>
      <c r="M697" s="38">
        <v>0.34528935185185183</v>
      </c>
    </row>
    <row r="698" spans="1:13" ht="45" x14ac:dyDescent="0.25">
      <c r="A698" s="33" t="s">
        <v>18</v>
      </c>
      <c r="B698" s="34" t="str">
        <f>HYPERLINK("http://www.twitter.com/Eco_SH_Library", "Eco_SH_Library")</f>
        <v>Eco_SH_Library</v>
      </c>
      <c r="C698" s="33" t="s">
        <v>1675</v>
      </c>
      <c r="D698" s="33" t="s">
        <v>1676</v>
      </c>
      <c r="E698" s="32" t="s">
        <v>1677</v>
      </c>
      <c r="F698" s="35">
        <v>179</v>
      </c>
      <c r="G698" s="35">
        <v>602</v>
      </c>
      <c r="H698" s="35">
        <v>605</v>
      </c>
      <c r="I698" s="35">
        <v>46</v>
      </c>
      <c r="J698" s="36">
        <v>40412</v>
      </c>
      <c r="K698" s="37">
        <v>0.77379629629629632</v>
      </c>
      <c r="L698" s="36">
        <v>42938</v>
      </c>
      <c r="M698" s="38">
        <v>0.33475694444444443</v>
      </c>
    </row>
    <row r="699" spans="1:13" x14ac:dyDescent="0.25">
      <c r="A699" s="33" t="s">
        <v>18</v>
      </c>
      <c r="B699" s="34" t="str">
        <f>HYPERLINK("http://www.twitter.com/TotnesLibrary", "TotnesLibrary")</f>
        <v>TotnesLibrary</v>
      </c>
      <c r="C699" s="33" t="s">
        <v>1894</v>
      </c>
      <c r="F699" s="35">
        <v>490</v>
      </c>
      <c r="G699" s="35">
        <v>454</v>
      </c>
      <c r="H699" s="35">
        <v>602</v>
      </c>
      <c r="I699" s="35">
        <v>159</v>
      </c>
      <c r="J699" s="36">
        <v>42109</v>
      </c>
      <c r="K699" s="37">
        <v>0.56799768518518523</v>
      </c>
      <c r="L699" s="36">
        <v>42940</v>
      </c>
      <c r="M699" s="38">
        <v>0.53087962962962965</v>
      </c>
    </row>
    <row r="700" spans="1:13" ht="30" x14ac:dyDescent="0.25">
      <c r="A700" s="33" t="s">
        <v>18</v>
      </c>
      <c r="B700" s="34" t="str">
        <f>HYPERLINK("http://www.twitter.com/penarthlibrary", "penarthlibrary")</f>
        <v>penarthlibrary</v>
      </c>
      <c r="C700" s="33" t="s">
        <v>1212</v>
      </c>
      <c r="D700" s="33" t="s">
        <v>1213</v>
      </c>
      <c r="E700" s="32" t="s">
        <v>1214</v>
      </c>
      <c r="F700" s="35">
        <v>611</v>
      </c>
      <c r="G700" s="35">
        <v>1013</v>
      </c>
      <c r="H700" s="35">
        <v>592</v>
      </c>
      <c r="I700" s="35">
        <v>271</v>
      </c>
      <c r="J700" s="36">
        <v>41292</v>
      </c>
      <c r="K700" s="37">
        <v>0.64763888888888888</v>
      </c>
      <c r="L700" s="36">
        <v>42937</v>
      </c>
      <c r="M700" s="38">
        <v>0.69900462962962961</v>
      </c>
    </row>
    <row r="701" spans="1:13" x14ac:dyDescent="0.25">
      <c r="A701" s="33" t="s">
        <v>18</v>
      </c>
      <c r="B701" s="34" t="str">
        <f>HYPERLINK("http://www.twitter.com/RomseyLibrary", "RomseyLibrary")</f>
        <v>RomseyLibrary</v>
      </c>
      <c r="C701" s="33" t="s">
        <v>2255</v>
      </c>
      <c r="D701" s="33" t="s">
        <v>2256</v>
      </c>
      <c r="F701" s="35">
        <v>265</v>
      </c>
      <c r="G701" s="35">
        <v>325</v>
      </c>
      <c r="H701" s="35">
        <v>588</v>
      </c>
      <c r="I701" s="35">
        <v>581</v>
      </c>
      <c r="J701" s="36">
        <v>42269</v>
      </c>
      <c r="K701" s="37">
        <v>0.49565972222222227</v>
      </c>
      <c r="L701" s="36">
        <v>42937</v>
      </c>
      <c r="M701" s="38">
        <v>0.70843750000000005</v>
      </c>
    </row>
    <row r="702" spans="1:13" x14ac:dyDescent="0.25">
      <c r="A702" s="33" t="s">
        <v>18</v>
      </c>
      <c r="B702" s="34" t="str">
        <f>HYPERLINK("http://www.twitter.com/NeathLibrary", "NeathLibrary")</f>
        <v>NeathLibrary</v>
      </c>
      <c r="C702" s="33" t="s">
        <v>1355</v>
      </c>
      <c r="D702" s="33" t="s">
        <v>1356</v>
      </c>
      <c r="E702" s="32" t="s">
        <v>1357</v>
      </c>
      <c r="F702" s="35">
        <v>159</v>
      </c>
      <c r="G702" s="35">
        <v>875</v>
      </c>
      <c r="H702" s="35">
        <v>583</v>
      </c>
      <c r="I702" s="35">
        <v>136</v>
      </c>
      <c r="J702" s="36">
        <v>40966</v>
      </c>
      <c r="K702" s="37">
        <v>0.48465277777777777</v>
      </c>
      <c r="L702" s="36">
        <v>42939</v>
      </c>
      <c r="M702" s="38">
        <v>0.64486111111111111</v>
      </c>
    </row>
    <row r="703" spans="1:13" ht="30" x14ac:dyDescent="0.25">
      <c r="A703" s="33" t="s">
        <v>18</v>
      </c>
      <c r="B703" s="34" t="str">
        <f>HYPERLINK("http://www.twitter.com/KinverLibrary", "KinverLibrary")</f>
        <v>KinverLibrary</v>
      </c>
      <c r="C703" s="33" t="s">
        <v>3159</v>
      </c>
      <c r="E703" s="32" t="s">
        <v>3160</v>
      </c>
      <c r="F703" s="35">
        <v>147</v>
      </c>
      <c r="G703" s="35">
        <v>111</v>
      </c>
      <c r="H703" s="35">
        <v>579</v>
      </c>
      <c r="I703" s="35">
        <v>89</v>
      </c>
      <c r="J703" s="36">
        <v>42646</v>
      </c>
      <c r="K703" s="37">
        <v>0.77475694444444443</v>
      </c>
      <c r="L703" s="36">
        <v>42940</v>
      </c>
      <c r="M703" s="38">
        <v>0.48203703703703704</v>
      </c>
    </row>
    <row r="704" spans="1:13" ht="45" x14ac:dyDescent="0.25">
      <c r="A704" s="33" t="s">
        <v>18</v>
      </c>
      <c r="B704" s="34" t="str">
        <f>HYPERLINK("http://www.twitter.com/E11Library", "E11Library")</f>
        <v>E11Library</v>
      </c>
      <c r="C704" s="33" t="s">
        <v>1976</v>
      </c>
      <c r="D704" s="33" t="s">
        <v>1977</v>
      </c>
      <c r="E704" s="32" t="s">
        <v>1978</v>
      </c>
      <c r="F704" s="35">
        <v>503</v>
      </c>
      <c r="G704" s="35">
        <v>414</v>
      </c>
      <c r="H704" s="35">
        <v>553</v>
      </c>
      <c r="I704" s="35">
        <v>30</v>
      </c>
      <c r="J704" s="36">
        <v>41376</v>
      </c>
      <c r="K704" s="37">
        <v>0.68011574074074066</v>
      </c>
      <c r="L704" s="36">
        <v>42569</v>
      </c>
      <c r="M704" s="38">
        <v>0.57613425925925921</v>
      </c>
    </row>
    <row r="705" spans="1:13" ht="45" x14ac:dyDescent="0.25">
      <c r="A705" s="33" t="s">
        <v>18</v>
      </c>
      <c r="B705" s="34" t="str">
        <f>HYPERLINK("http://www.twitter.com/LibraryAskern", "LibraryAskern")</f>
        <v>LibraryAskern</v>
      </c>
      <c r="C705" s="33" t="s">
        <v>2834</v>
      </c>
      <c r="D705" s="33" t="s">
        <v>2835</v>
      </c>
      <c r="E705" s="32" t="s">
        <v>2836</v>
      </c>
      <c r="F705" s="35">
        <v>108</v>
      </c>
      <c r="G705" s="35">
        <v>178</v>
      </c>
      <c r="H705" s="35">
        <v>544</v>
      </c>
      <c r="I705" s="35">
        <v>0</v>
      </c>
      <c r="J705" s="36">
        <v>42091</v>
      </c>
      <c r="K705" s="37">
        <v>0.47988425925925932</v>
      </c>
      <c r="L705" s="36">
        <v>42938</v>
      </c>
      <c r="M705" s="38">
        <v>0.46872685185185187</v>
      </c>
    </row>
    <row r="706" spans="1:13" ht="45" x14ac:dyDescent="0.25">
      <c r="A706" s="33" t="s">
        <v>18</v>
      </c>
      <c r="B706" s="34" t="str">
        <f>HYPERLINK("http://www.twitter.com/FrimleyGreenLib", "FrimleyGreenLib")</f>
        <v>FrimleyGreenLib</v>
      </c>
      <c r="C706" s="33" t="s">
        <v>1813</v>
      </c>
      <c r="D706" s="33" t="s">
        <v>1814</v>
      </c>
      <c r="E706" s="32" t="s">
        <v>1815</v>
      </c>
      <c r="F706" s="35">
        <v>383</v>
      </c>
      <c r="G706" s="35">
        <v>494</v>
      </c>
      <c r="H706" s="35">
        <v>544</v>
      </c>
      <c r="I706" s="35">
        <v>14</v>
      </c>
      <c r="J706" s="36">
        <v>41395</v>
      </c>
      <c r="K706" s="37">
        <v>0.60836805555555562</v>
      </c>
      <c r="L706" s="36">
        <v>42885</v>
      </c>
      <c r="M706" s="38">
        <v>0.4189930555555556</v>
      </c>
    </row>
    <row r="707" spans="1:13" ht="60" x14ac:dyDescent="0.25">
      <c r="A707" s="33" t="s">
        <v>18</v>
      </c>
      <c r="B707" s="34" t="str">
        <f>HYPERLINK("http://www.twitter.com/ExmouthLibrary", "ExmouthLibrary")</f>
        <v>ExmouthLibrary</v>
      </c>
      <c r="C707" s="33" t="s">
        <v>2016</v>
      </c>
      <c r="D707" s="33" t="s">
        <v>2017</v>
      </c>
      <c r="E707" s="32" t="s">
        <v>2018</v>
      </c>
      <c r="F707" s="35">
        <v>198</v>
      </c>
      <c r="G707" s="35">
        <v>412</v>
      </c>
      <c r="H707" s="35">
        <v>535</v>
      </c>
      <c r="I707" s="35">
        <v>236</v>
      </c>
      <c r="J707" s="36">
        <v>41677</v>
      </c>
      <c r="K707" s="37">
        <v>0.83510416666666665</v>
      </c>
      <c r="L707" s="36">
        <v>42931</v>
      </c>
      <c r="M707" s="38">
        <v>0.45523148148148151</v>
      </c>
    </row>
    <row r="708" spans="1:13" ht="45" x14ac:dyDescent="0.25">
      <c r="A708" s="33" t="s">
        <v>18</v>
      </c>
      <c r="B708" s="34" t="str">
        <f>HYPERLINK("http://www.twitter.com/YateleyLibrary", "YateleyLibrary")</f>
        <v>YateleyLibrary</v>
      </c>
      <c r="C708" s="33" t="s">
        <v>1838</v>
      </c>
      <c r="D708" s="33" t="s">
        <v>1490</v>
      </c>
      <c r="E708" s="32" t="s">
        <v>1839</v>
      </c>
      <c r="F708" s="35">
        <v>90</v>
      </c>
      <c r="G708" s="35">
        <v>488</v>
      </c>
      <c r="H708" s="35">
        <v>524</v>
      </c>
      <c r="I708" s="35">
        <v>91</v>
      </c>
      <c r="J708" s="36">
        <v>41181</v>
      </c>
      <c r="K708" s="37">
        <v>0.4457638888888889</v>
      </c>
      <c r="L708" s="36">
        <v>42930</v>
      </c>
      <c r="M708" s="38">
        <v>0.3291203703703704</v>
      </c>
    </row>
    <row r="709" spans="1:13" ht="30" x14ac:dyDescent="0.25">
      <c r="A709" s="33" t="s">
        <v>18</v>
      </c>
      <c r="B709" s="34" t="str">
        <f>HYPERLINK("http://www.twitter.com/SandownLibrary", "SandownLibrary")</f>
        <v>SandownLibrary</v>
      </c>
      <c r="C709" s="33" t="s">
        <v>3661</v>
      </c>
      <c r="D709" s="33" t="s">
        <v>3662</v>
      </c>
      <c r="E709" s="32" t="s">
        <v>3663</v>
      </c>
      <c r="F709" s="35">
        <v>827</v>
      </c>
      <c r="G709" s="35">
        <v>377</v>
      </c>
      <c r="H709" s="35">
        <v>515</v>
      </c>
      <c r="I709" s="35">
        <v>120</v>
      </c>
      <c r="J709" s="36">
        <v>41000</v>
      </c>
      <c r="K709" s="37">
        <v>0.81969907407407405</v>
      </c>
      <c r="L709" s="36">
        <v>42934</v>
      </c>
      <c r="M709" s="38">
        <v>0.56972222222222224</v>
      </c>
    </row>
    <row r="710" spans="1:13" ht="45" x14ac:dyDescent="0.25">
      <c r="A710" s="33" t="s">
        <v>18</v>
      </c>
      <c r="B710" s="34" t="str">
        <f>HYPERLINK("http://www.twitter.com/HorleyLibrary", "HorleyLibrary")</f>
        <v>HorleyLibrary</v>
      </c>
      <c r="C710" s="33" t="s">
        <v>1333</v>
      </c>
      <c r="D710" s="33" t="s">
        <v>1334</v>
      </c>
      <c r="E710" s="32" t="s">
        <v>1335</v>
      </c>
      <c r="F710" s="35">
        <v>247</v>
      </c>
      <c r="G710" s="35">
        <v>885</v>
      </c>
      <c r="H710" s="35">
        <v>515</v>
      </c>
      <c r="I710" s="35">
        <v>6</v>
      </c>
      <c r="J710" s="36">
        <v>40792</v>
      </c>
      <c r="K710" s="37">
        <v>0.49820601851851848</v>
      </c>
      <c r="L710" s="36">
        <v>42931</v>
      </c>
      <c r="M710" s="38">
        <v>0.53111111111111109</v>
      </c>
    </row>
    <row r="711" spans="1:13" ht="45" x14ac:dyDescent="0.25">
      <c r="A711" s="33" t="s">
        <v>18</v>
      </c>
      <c r="B711" s="34" t="str">
        <f>HYPERLINK("http://www.twitter.com/BreamLibrary", "BreamLibrary")</f>
        <v>BreamLibrary</v>
      </c>
      <c r="C711" s="33" t="s">
        <v>3145</v>
      </c>
      <c r="D711" s="33" t="s">
        <v>3146</v>
      </c>
      <c r="E711" s="32" t="s">
        <v>3147</v>
      </c>
      <c r="F711" s="35">
        <v>174</v>
      </c>
      <c r="G711" s="35">
        <v>93</v>
      </c>
      <c r="H711" s="35">
        <v>505</v>
      </c>
      <c r="I711" s="35">
        <v>48</v>
      </c>
      <c r="J711" s="36">
        <v>41615</v>
      </c>
      <c r="K711" s="37">
        <v>0.44922453703703707</v>
      </c>
      <c r="L711" s="36">
        <v>42940</v>
      </c>
      <c r="M711" s="38">
        <v>0.49368055555555551</v>
      </c>
    </row>
    <row r="712" spans="1:13" ht="30" x14ac:dyDescent="0.25">
      <c r="A712" s="33" t="s">
        <v>18</v>
      </c>
      <c r="B712" s="34" t="str">
        <f>HYPERLINK("http://www.twitter.com/droitwichlib", "droitwichlib")</f>
        <v>droitwichlib</v>
      </c>
      <c r="C712" s="33" t="s">
        <v>1361</v>
      </c>
      <c r="D712" s="33" t="s">
        <v>1362</v>
      </c>
      <c r="E712" s="32" t="s">
        <v>1363</v>
      </c>
      <c r="F712" s="35">
        <v>149</v>
      </c>
      <c r="G712" s="35">
        <v>872</v>
      </c>
      <c r="H712" s="35">
        <v>505</v>
      </c>
      <c r="I712" s="35">
        <v>64</v>
      </c>
      <c r="J712" s="36">
        <v>41258</v>
      </c>
      <c r="K712" s="37">
        <v>0.43067129629629625</v>
      </c>
      <c r="L712" s="36">
        <v>42928</v>
      </c>
      <c r="M712" s="38">
        <v>0.61555555555555552</v>
      </c>
    </row>
    <row r="713" spans="1:13" x14ac:dyDescent="0.25">
      <c r="A713" s="33" t="s">
        <v>18</v>
      </c>
      <c r="B713" s="34" t="str">
        <f>HYPERLINK("http://www.twitter.com/BishLibrary", "BishLibrary")</f>
        <v>BishLibrary</v>
      </c>
      <c r="C713" s="33" t="s">
        <v>1744</v>
      </c>
      <c r="D713" s="33" t="s">
        <v>1745</v>
      </c>
      <c r="E713" s="32" t="s">
        <v>1746</v>
      </c>
      <c r="F713" s="35">
        <v>233</v>
      </c>
      <c r="G713" s="35">
        <v>550</v>
      </c>
      <c r="H713" s="35">
        <v>504</v>
      </c>
      <c r="I713" s="35">
        <v>60</v>
      </c>
      <c r="J713" s="36">
        <v>41410</v>
      </c>
      <c r="K713" s="37">
        <v>0.51624999999999999</v>
      </c>
      <c r="L713" s="36">
        <v>42905</v>
      </c>
      <c r="M713" s="38">
        <v>0.77262731481481473</v>
      </c>
    </row>
    <row r="714" spans="1:13" x14ac:dyDescent="0.25">
      <c r="A714" s="33" t="s">
        <v>18</v>
      </c>
      <c r="B714" s="34" t="str">
        <f>HYPERLINK("http://www.twitter.com/DWECL", "DWECL")</f>
        <v>DWECL</v>
      </c>
      <c r="C714" s="33" t="s">
        <v>2749</v>
      </c>
      <c r="F714" s="35">
        <v>141</v>
      </c>
      <c r="G714" s="35">
        <v>191</v>
      </c>
      <c r="H714" s="35">
        <v>503</v>
      </c>
      <c r="I714" s="35">
        <v>306</v>
      </c>
      <c r="J714" s="36">
        <v>41812</v>
      </c>
      <c r="K714" s="37">
        <v>0.6662731481481482</v>
      </c>
      <c r="L714" s="36">
        <v>42903</v>
      </c>
      <c r="M714" s="38">
        <v>0.39527777777777778</v>
      </c>
    </row>
    <row r="715" spans="1:13" ht="30" x14ac:dyDescent="0.25">
      <c r="A715" s="33" t="s">
        <v>18</v>
      </c>
      <c r="B715" s="34" t="str">
        <f>HYPERLINK("http://www.twitter.com/WolvesLibraries", "WolvesLibraries")</f>
        <v>WolvesLibraries</v>
      </c>
      <c r="C715" s="33" t="s">
        <v>3664</v>
      </c>
      <c r="D715" s="33" t="s">
        <v>3665</v>
      </c>
      <c r="E715" s="32" t="s">
        <v>3666</v>
      </c>
      <c r="F715" s="35">
        <v>187</v>
      </c>
      <c r="G715" s="35">
        <v>877</v>
      </c>
      <c r="H715" s="35">
        <v>503</v>
      </c>
      <c r="I715" s="35">
        <v>186</v>
      </c>
      <c r="J715" s="36">
        <v>40948</v>
      </c>
      <c r="K715" s="37">
        <v>0.92583333333333329</v>
      </c>
      <c r="L715" s="36">
        <v>42940</v>
      </c>
      <c r="M715" s="38">
        <v>0.68842592592592589</v>
      </c>
    </row>
    <row r="716" spans="1:13" x14ac:dyDescent="0.25">
      <c r="A716" s="33" t="s">
        <v>18</v>
      </c>
      <c r="B716" s="34" t="str">
        <f>HYPERLINK("http://www.twitter.com/PetersfieldLib", "PetersfieldLib")</f>
        <v>PetersfieldLib</v>
      </c>
      <c r="C716" s="33" t="s">
        <v>2361</v>
      </c>
      <c r="F716" s="35">
        <v>44</v>
      </c>
      <c r="G716" s="35">
        <v>290</v>
      </c>
      <c r="H716" s="35">
        <v>498</v>
      </c>
      <c r="I716" s="35">
        <v>153</v>
      </c>
      <c r="J716" s="36">
        <v>42140</v>
      </c>
      <c r="K716" s="37">
        <v>0.40358796296296301</v>
      </c>
      <c r="L716" s="36">
        <v>42938</v>
      </c>
      <c r="M716" s="38">
        <v>0.67375000000000007</v>
      </c>
    </row>
    <row r="717" spans="1:13" ht="45" x14ac:dyDescent="0.25">
      <c r="A717" s="33" t="s">
        <v>18</v>
      </c>
      <c r="B717" s="34" t="str">
        <f>HYPERLINK("http://www.twitter.com/EsherLibrary", "EsherLibrary")</f>
        <v>EsherLibrary</v>
      </c>
      <c r="C717" s="33" t="s">
        <v>1040</v>
      </c>
      <c r="D717" s="33" t="s">
        <v>1041</v>
      </c>
      <c r="E717" s="32" t="s">
        <v>1042</v>
      </c>
      <c r="F717" s="35">
        <v>773</v>
      </c>
      <c r="G717" s="35">
        <v>1207</v>
      </c>
      <c r="H717" s="35">
        <v>493</v>
      </c>
      <c r="I717" s="35">
        <v>136</v>
      </c>
      <c r="J717" s="36">
        <v>40637</v>
      </c>
      <c r="K717" s="37">
        <v>0.67053240740740738</v>
      </c>
      <c r="L717" s="36">
        <v>42930</v>
      </c>
      <c r="M717" s="38">
        <v>0.65186342592592594</v>
      </c>
    </row>
    <row r="718" spans="1:13" ht="45" x14ac:dyDescent="0.25">
      <c r="A718" s="33" t="s">
        <v>18</v>
      </c>
      <c r="B718" s="34" t="str">
        <f>HYPERLINK("http://www.twitter.com/MeashamLibrary", "MeashamLibrary")</f>
        <v>MeashamLibrary</v>
      </c>
      <c r="C718" s="33" t="s">
        <v>3054</v>
      </c>
      <c r="D718" s="33" t="s">
        <v>3055</v>
      </c>
      <c r="E718" s="32" t="s">
        <v>3056</v>
      </c>
      <c r="F718" s="35">
        <v>194</v>
      </c>
      <c r="G718" s="35">
        <v>136</v>
      </c>
      <c r="H718" s="35">
        <v>485</v>
      </c>
      <c r="I718" s="35">
        <v>429</v>
      </c>
      <c r="J718" s="36">
        <v>42422</v>
      </c>
      <c r="K718" s="37">
        <v>0.59818287037037032</v>
      </c>
      <c r="L718" s="36">
        <v>42940</v>
      </c>
      <c r="M718" s="38">
        <v>0.6676157407407407</v>
      </c>
    </row>
    <row r="719" spans="1:13" ht="45" x14ac:dyDescent="0.25">
      <c r="A719" s="33" t="s">
        <v>18</v>
      </c>
      <c r="B719" s="34" t="str">
        <f>HYPERLINK("http://www.twitter.com/farnboroughlib", "farnboroughlib")</f>
        <v>farnboroughlib</v>
      </c>
      <c r="C719" s="33" t="s">
        <v>1920</v>
      </c>
      <c r="D719" s="33" t="s">
        <v>1921</v>
      </c>
      <c r="E719" s="32" t="s">
        <v>1922</v>
      </c>
      <c r="F719" s="35">
        <v>150</v>
      </c>
      <c r="G719" s="35">
        <v>441</v>
      </c>
      <c r="H719" s="35">
        <v>483</v>
      </c>
      <c r="I719" s="35">
        <v>141</v>
      </c>
      <c r="J719" s="36">
        <v>41787</v>
      </c>
      <c r="K719" s="37">
        <v>0.44237268518518519</v>
      </c>
      <c r="L719" s="36">
        <v>42930</v>
      </c>
      <c r="M719" s="38">
        <v>0.62809027777777782</v>
      </c>
    </row>
    <row r="720" spans="1:13" ht="45" x14ac:dyDescent="0.25">
      <c r="A720" s="33" t="s">
        <v>18</v>
      </c>
      <c r="B720" s="34" t="str">
        <f>HYPERLINK("http://www.twitter.com/CorbettLibrary", "CorbettLibrary")</f>
        <v>CorbettLibrary</v>
      </c>
      <c r="C720" s="33" t="s">
        <v>2561</v>
      </c>
      <c r="D720" s="33" t="s">
        <v>387</v>
      </c>
      <c r="E720" s="32" t="s">
        <v>2562</v>
      </c>
      <c r="F720" s="35">
        <v>159</v>
      </c>
      <c r="G720" s="35">
        <v>268</v>
      </c>
      <c r="H720" s="35">
        <v>482</v>
      </c>
      <c r="I720" s="35">
        <v>318</v>
      </c>
      <c r="J720" s="36">
        <v>42748</v>
      </c>
      <c r="K720" s="37">
        <v>0.42442129629629632</v>
      </c>
      <c r="L720" s="36">
        <v>42937</v>
      </c>
      <c r="M720" s="38">
        <v>0.75607638888888884</v>
      </c>
    </row>
    <row r="721" spans="1:13" x14ac:dyDescent="0.25">
      <c r="A721" s="33" t="s">
        <v>18</v>
      </c>
      <c r="B721" s="34" t="str">
        <f>HYPERLINK("http://www.twitter.com/MobileLbryYork", "MobileLbryYork")</f>
        <v>MobileLbryYork</v>
      </c>
      <c r="C721" s="33" t="s">
        <v>2054</v>
      </c>
      <c r="E721" s="32" t="s">
        <v>2055</v>
      </c>
      <c r="F721" s="35">
        <v>41</v>
      </c>
      <c r="G721" s="35">
        <v>412</v>
      </c>
      <c r="H721" s="35">
        <v>476</v>
      </c>
      <c r="I721" s="35">
        <v>15</v>
      </c>
      <c r="J721" s="36">
        <v>41470</v>
      </c>
      <c r="K721" s="37">
        <v>0.62968750000000007</v>
      </c>
      <c r="L721" s="36">
        <v>42922</v>
      </c>
      <c r="M721" s="38">
        <v>0.55011574074074077</v>
      </c>
    </row>
    <row r="722" spans="1:13" ht="30" x14ac:dyDescent="0.25">
      <c r="A722" s="33" t="s">
        <v>18</v>
      </c>
      <c r="B722" s="34" t="str">
        <f>HYPERLINK("http://www.twitter.com/KeatsLibrary", "KeatsLibrary")</f>
        <v>KeatsLibrary</v>
      </c>
      <c r="C722" s="33" t="s">
        <v>1642</v>
      </c>
      <c r="D722" s="33" t="s">
        <v>1643</v>
      </c>
      <c r="E722" s="32" t="s">
        <v>1644</v>
      </c>
      <c r="F722" s="35">
        <v>130</v>
      </c>
      <c r="G722" s="35">
        <v>635</v>
      </c>
      <c r="H722" s="35">
        <v>475</v>
      </c>
      <c r="I722" s="35">
        <v>6</v>
      </c>
      <c r="J722" s="36">
        <v>40920</v>
      </c>
      <c r="K722" s="37">
        <v>0.46934027777777776</v>
      </c>
      <c r="L722" s="36">
        <v>42920</v>
      </c>
      <c r="M722" s="38">
        <v>0.44658564814814811</v>
      </c>
    </row>
    <row r="723" spans="1:13" ht="45" x14ac:dyDescent="0.25">
      <c r="A723" s="33" t="s">
        <v>18</v>
      </c>
      <c r="B723" s="34" t="str">
        <f>HYPERLINK("http://www.twitter.com/HorsleyLibrary", "HorsleyLibrary")</f>
        <v>HorsleyLibrary</v>
      </c>
      <c r="C723" s="33" t="s">
        <v>1413</v>
      </c>
      <c r="D723" s="33" t="s">
        <v>1414</v>
      </c>
      <c r="E723" s="32" t="s">
        <v>1415</v>
      </c>
      <c r="F723" s="35">
        <v>233</v>
      </c>
      <c r="G723" s="35">
        <v>807</v>
      </c>
      <c r="H723" s="35">
        <v>472</v>
      </c>
      <c r="I723" s="35">
        <v>63</v>
      </c>
      <c r="J723" s="36">
        <v>40765</v>
      </c>
      <c r="K723" s="37">
        <v>0.35273148148148148</v>
      </c>
      <c r="L723" s="36">
        <v>42931</v>
      </c>
      <c r="M723" s="38">
        <v>0.44189814814814815</v>
      </c>
    </row>
    <row r="724" spans="1:13" ht="45" x14ac:dyDescent="0.25">
      <c r="A724" s="33" t="s">
        <v>18</v>
      </c>
      <c r="B724" s="34" t="str">
        <f>HYPERLINK("http://www.twitter.com/MalvernLib", "MalvernLib")</f>
        <v>MalvernLib</v>
      </c>
      <c r="C724" s="33" t="s">
        <v>1111</v>
      </c>
      <c r="D724" s="33" t="s">
        <v>1112</v>
      </c>
      <c r="E724" s="32" t="s">
        <v>1113</v>
      </c>
      <c r="F724" s="35">
        <v>89</v>
      </c>
      <c r="G724" s="35">
        <v>1119</v>
      </c>
      <c r="H724" s="35">
        <v>471</v>
      </c>
      <c r="I724" s="35">
        <v>1</v>
      </c>
      <c r="J724" s="36">
        <v>40952</v>
      </c>
      <c r="K724" s="37">
        <v>0.68427083333333327</v>
      </c>
      <c r="L724" s="36">
        <v>42937</v>
      </c>
      <c r="M724" s="38">
        <v>0.57409722222222226</v>
      </c>
    </row>
    <row r="725" spans="1:13" ht="30" x14ac:dyDescent="0.25">
      <c r="A725" s="33" t="s">
        <v>18</v>
      </c>
      <c r="B725" s="34" t="str">
        <f>HYPERLINK("http://www.twitter.com/AnsteyLibrary", "AnsteyLibrary")</f>
        <v>AnsteyLibrary</v>
      </c>
      <c r="C725" s="33" t="s">
        <v>3036</v>
      </c>
      <c r="D725" s="33" t="s">
        <v>3037</v>
      </c>
      <c r="E725" s="32" t="s">
        <v>3038</v>
      </c>
      <c r="F725" s="35">
        <v>247</v>
      </c>
      <c r="G725" s="35">
        <v>134</v>
      </c>
      <c r="H725" s="35">
        <v>448</v>
      </c>
      <c r="I725" s="35">
        <v>99</v>
      </c>
      <c r="J725" s="36">
        <v>41978</v>
      </c>
      <c r="K725" s="37">
        <v>0.48113425925925929</v>
      </c>
      <c r="L725" s="36">
        <v>42937</v>
      </c>
      <c r="M725" s="38">
        <v>0.48292824074074076</v>
      </c>
    </row>
    <row r="726" spans="1:13" ht="30" x14ac:dyDescent="0.25">
      <c r="A726" s="33" t="s">
        <v>18</v>
      </c>
      <c r="B726" s="34" t="str">
        <f>HYPERLINK("http://www.twitter.com/IWlibraries", "IWlibraries")</f>
        <v>IWlibraries</v>
      </c>
      <c r="C726" s="33" t="s">
        <v>3644</v>
      </c>
      <c r="D726" s="33" t="s">
        <v>3645</v>
      </c>
      <c r="E726" s="32" t="s">
        <v>3646</v>
      </c>
      <c r="F726" s="35">
        <v>77</v>
      </c>
      <c r="G726" s="35">
        <v>219</v>
      </c>
      <c r="H726" s="35">
        <v>441</v>
      </c>
      <c r="I726" s="35">
        <v>12</v>
      </c>
      <c r="J726" s="36">
        <v>41697</v>
      </c>
      <c r="K726" s="37">
        <v>0.58416666666666661</v>
      </c>
      <c r="L726" s="36">
        <v>42934</v>
      </c>
      <c r="M726" s="38">
        <v>0.64861111111111114</v>
      </c>
    </row>
    <row r="727" spans="1:13" ht="45" x14ac:dyDescent="0.25">
      <c r="A727" s="33" t="s">
        <v>18</v>
      </c>
      <c r="B727" s="34" t="str">
        <f>HYPERLINK("http://www.twitter.com/AldershotLib", "AldershotLib")</f>
        <v>AldershotLib</v>
      </c>
      <c r="C727" s="33" t="s">
        <v>2371</v>
      </c>
      <c r="D727" s="33" t="s">
        <v>2372</v>
      </c>
      <c r="E727" s="32" t="s">
        <v>2373</v>
      </c>
      <c r="F727" s="35">
        <v>135</v>
      </c>
      <c r="G727" s="35">
        <v>283</v>
      </c>
      <c r="H727" s="35">
        <v>441</v>
      </c>
      <c r="I727" s="35">
        <v>54</v>
      </c>
      <c r="J727" s="36">
        <v>42127</v>
      </c>
      <c r="K727" s="37">
        <v>0.88166666666666671</v>
      </c>
      <c r="L727" s="36">
        <v>42934</v>
      </c>
      <c r="M727" s="38">
        <v>0.42560185185185184</v>
      </c>
    </row>
    <row r="728" spans="1:13" ht="60" x14ac:dyDescent="0.25">
      <c r="A728" s="33" t="s">
        <v>18</v>
      </c>
      <c r="B728" s="34" t="str">
        <f>HYPERLINK("http://www.twitter.com/SheppertonLib", "SheppertonLib")</f>
        <v>SheppertonLib</v>
      </c>
      <c r="C728" s="33" t="s">
        <v>1284</v>
      </c>
      <c r="D728" s="33" t="s">
        <v>1285</v>
      </c>
      <c r="E728" s="32" t="s">
        <v>1286</v>
      </c>
      <c r="F728" s="35">
        <v>654</v>
      </c>
      <c r="G728" s="35">
        <v>937</v>
      </c>
      <c r="H728" s="35">
        <v>438</v>
      </c>
      <c r="I728" s="35">
        <v>7</v>
      </c>
      <c r="J728" s="36">
        <v>40763</v>
      </c>
      <c r="K728" s="37">
        <v>0.66327546296296302</v>
      </c>
      <c r="L728" s="36">
        <v>42933</v>
      </c>
      <c r="M728" s="38">
        <v>0.61644675925925929</v>
      </c>
    </row>
    <row r="729" spans="1:13" ht="30" x14ac:dyDescent="0.25">
      <c r="A729" s="33" t="s">
        <v>18</v>
      </c>
      <c r="B729" s="34" t="str">
        <f>HYPERLINK("http://www.twitter.com/BurngreaveLib", "BurngreaveLib")</f>
        <v>BurngreaveLib</v>
      </c>
      <c r="C729" s="33" t="s">
        <v>2520</v>
      </c>
      <c r="D729" s="33" t="s">
        <v>2521</v>
      </c>
      <c r="E729" s="32" t="s">
        <v>2522</v>
      </c>
      <c r="F729" s="35">
        <v>171</v>
      </c>
      <c r="G729" s="35">
        <v>236</v>
      </c>
      <c r="H729" s="35">
        <v>435</v>
      </c>
      <c r="I729" s="35">
        <v>66</v>
      </c>
      <c r="J729" s="36">
        <v>41736</v>
      </c>
      <c r="K729" s="37">
        <v>0.95081018518518512</v>
      </c>
      <c r="L729" s="36">
        <v>42934</v>
      </c>
      <c r="M729" s="38">
        <v>0.47083333333333338</v>
      </c>
    </row>
    <row r="730" spans="1:13" x14ac:dyDescent="0.25">
      <c r="A730" s="33" t="s">
        <v>18</v>
      </c>
      <c r="B730" s="34" t="str">
        <f>HYPERLINK("http://www.twitter.com/NewbridgeLib", "NewbridgeLib")</f>
        <v>NewbridgeLib</v>
      </c>
      <c r="C730" s="33" t="s">
        <v>2397</v>
      </c>
      <c r="F730" s="35">
        <v>87</v>
      </c>
      <c r="G730" s="35">
        <v>280</v>
      </c>
      <c r="H730" s="35">
        <v>435</v>
      </c>
      <c r="I730" s="35">
        <v>37</v>
      </c>
      <c r="J730" s="36">
        <v>42158</v>
      </c>
      <c r="K730" s="37">
        <v>0.35818287037037039</v>
      </c>
      <c r="L730" s="36">
        <v>42937</v>
      </c>
      <c r="M730" s="38">
        <v>0.45581018518518518</v>
      </c>
    </row>
    <row r="731" spans="1:13" x14ac:dyDescent="0.25">
      <c r="A731" s="33" t="s">
        <v>18</v>
      </c>
      <c r="B731" s="34" t="str">
        <f>HYPERLINK("http://www.twitter.com/alresfordlibra2", "alresfordlibra2")</f>
        <v>alresfordlibra2</v>
      </c>
      <c r="C731" s="33" t="s">
        <v>2776</v>
      </c>
      <c r="D731" s="33" t="s">
        <v>2777</v>
      </c>
      <c r="E731" s="32" t="s">
        <v>2778</v>
      </c>
      <c r="F731" s="35">
        <v>31</v>
      </c>
      <c r="G731" s="35">
        <v>192</v>
      </c>
      <c r="H731" s="35">
        <v>433</v>
      </c>
      <c r="I731" s="35">
        <v>33</v>
      </c>
      <c r="J731" s="36">
        <v>42245</v>
      </c>
      <c r="K731" s="37">
        <v>0.40356481481481482</v>
      </c>
      <c r="L731" s="36">
        <v>42940</v>
      </c>
      <c r="M731" s="38">
        <v>0.33692129629629625</v>
      </c>
    </row>
    <row r="732" spans="1:13" ht="30" x14ac:dyDescent="0.25">
      <c r="A732" s="33" t="s">
        <v>18</v>
      </c>
      <c r="B732" s="34" t="str">
        <f>HYPERLINK("http://www.twitter.com/ThameLibrary", "ThameLibrary")</f>
        <v>ThameLibrary</v>
      </c>
      <c r="C732" s="33" t="s">
        <v>1419</v>
      </c>
      <c r="D732" s="33" t="s">
        <v>296</v>
      </c>
      <c r="E732" s="32" t="s">
        <v>1420</v>
      </c>
      <c r="F732" s="35">
        <v>662</v>
      </c>
      <c r="G732" s="35">
        <v>795</v>
      </c>
      <c r="H732" s="35">
        <v>424</v>
      </c>
      <c r="I732" s="35">
        <v>109</v>
      </c>
      <c r="J732" s="36">
        <v>40304</v>
      </c>
      <c r="K732" s="37">
        <v>0.65346064814814808</v>
      </c>
      <c r="L732" s="36">
        <v>42747</v>
      </c>
      <c r="M732" s="38">
        <v>0.56799768518518523</v>
      </c>
    </row>
    <row r="733" spans="1:13" ht="45" x14ac:dyDescent="0.25">
      <c r="A733" s="33" t="s">
        <v>18</v>
      </c>
      <c r="B733" s="34" t="str">
        <f>HYPERLINK("http://www.twitter.com/hershamlibrary", "hershamlibrary")</f>
        <v>hershamlibrary</v>
      </c>
      <c r="C733" s="33" t="s">
        <v>1792</v>
      </c>
      <c r="D733" s="33" t="s">
        <v>1793</v>
      </c>
      <c r="E733" s="32" t="s">
        <v>1794</v>
      </c>
      <c r="F733" s="35">
        <v>194</v>
      </c>
      <c r="G733" s="35">
        <v>510</v>
      </c>
      <c r="H733" s="35">
        <v>422</v>
      </c>
      <c r="I733" s="35">
        <v>4</v>
      </c>
      <c r="J733" s="36">
        <v>40943</v>
      </c>
      <c r="K733" s="37">
        <v>0.49748842592592596</v>
      </c>
      <c r="L733" s="36">
        <v>42938</v>
      </c>
      <c r="M733" s="38">
        <v>0.59226851851851847</v>
      </c>
    </row>
    <row r="734" spans="1:13" ht="30" x14ac:dyDescent="0.25">
      <c r="A734" s="33" t="s">
        <v>18</v>
      </c>
      <c r="B734" s="34" t="str">
        <f>HYPERLINK("http://www.twitter.com/cliftonlibrary", "cliftonlibrary")</f>
        <v>cliftonlibrary</v>
      </c>
      <c r="C734" s="33" t="s">
        <v>1730</v>
      </c>
      <c r="E734" s="32" t="s">
        <v>1731</v>
      </c>
      <c r="F734" s="35">
        <v>116</v>
      </c>
      <c r="G734" s="35">
        <v>560</v>
      </c>
      <c r="H734" s="35">
        <v>422</v>
      </c>
      <c r="I734" s="35">
        <v>41</v>
      </c>
      <c r="J734" s="36">
        <v>41404</v>
      </c>
      <c r="K734" s="37">
        <v>0.6056597222222222</v>
      </c>
      <c r="L734" s="36">
        <v>42938</v>
      </c>
      <c r="M734" s="38">
        <v>0.47921296296296295</v>
      </c>
    </row>
    <row r="735" spans="1:13" x14ac:dyDescent="0.25">
      <c r="A735" s="33" t="s">
        <v>18</v>
      </c>
      <c r="B735" s="34" t="str">
        <f>HYPERLINK("http://www.twitter.com/RingwoodLibby", "RingwoodLibby")</f>
        <v>RingwoodLibby</v>
      </c>
      <c r="C735" s="33" t="s">
        <v>2818</v>
      </c>
      <c r="D735" s="33" t="s">
        <v>2819</v>
      </c>
      <c r="F735" s="35">
        <v>83</v>
      </c>
      <c r="G735" s="35">
        <v>183</v>
      </c>
      <c r="H735" s="35">
        <v>417</v>
      </c>
      <c r="I735" s="35">
        <v>80</v>
      </c>
      <c r="J735" s="36">
        <v>42264</v>
      </c>
      <c r="K735" s="37">
        <v>0.63949074074074075</v>
      </c>
      <c r="L735" s="36">
        <v>42938</v>
      </c>
      <c r="M735" s="38">
        <v>0.38915509259259262</v>
      </c>
    </row>
    <row r="736" spans="1:13" ht="45" x14ac:dyDescent="0.25">
      <c r="A736" s="33" t="s">
        <v>18</v>
      </c>
      <c r="B736" s="34" t="str">
        <f>HYPERLINK("http://www.twitter.com/SurreyPALibrary", "SurreyPALibrary")</f>
        <v>SurreyPALibrary</v>
      </c>
      <c r="C736" s="33" t="s">
        <v>1373</v>
      </c>
      <c r="D736" s="33" t="s">
        <v>1374</v>
      </c>
      <c r="E736" s="32" t="s">
        <v>1375</v>
      </c>
      <c r="F736" s="35">
        <v>353</v>
      </c>
      <c r="G736" s="35">
        <v>857</v>
      </c>
      <c r="H736" s="35">
        <v>414</v>
      </c>
      <c r="I736" s="35">
        <v>39</v>
      </c>
      <c r="J736" s="36">
        <v>40672</v>
      </c>
      <c r="K736" s="37">
        <v>0.60746527777777781</v>
      </c>
      <c r="L736" s="36">
        <v>42908</v>
      </c>
      <c r="M736" s="38">
        <v>0.54984953703703698</v>
      </c>
    </row>
    <row r="737" spans="1:13" ht="30" x14ac:dyDescent="0.25">
      <c r="A737" s="33" t="s">
        <v>18</v>
      </c>
      <c r="B737" s="34" t="str">
        <f>HYPERLINK("http://www.twitter.com/WarlinghamLibry", "WarlinghamLibry")</f>
        <v>WarlinghamLibry</v>
      </c>
      <c r="C737" s="33" t="s">
        <v>2436</v>
      </c>
      <c r="D737" s="33" t="s">
        <v>141</v>
      </c>
      <c r="E737" s="32" t="s">
        <v>2437</v>
      </c>
      <c r="F737" s="35">
        <v>216</v>
      </c>
      <c r="G737" s="35">
        <v>257</v>
      </c>
      <c r="H737" s="35">
        <v>405</v>
      </c>
      <c r="I737" s="35">
        <v>16</v>
      </c>
      <c r="J737" s="36">
        <v>41661</v>
      </c>
      <c r="K737" s="37">
        <v>0.50505787037037042</v>
      </c>
      <c r="L737" s="36">
        <v>42354</v>
      </c>
      <c r="M737" s="38">
        <v>0.67906250000000001</v>
      </c>
    </row>
    <row r="738" spans="1:13" ht="45" x14ac:dyDescent="0.25">
      <c r="A738" s="33" t="s">
        <v>18</v>
      </c>
      <c r="B738" s="34" t="str">
        <f>HYPERLINK("http://www.twitter.com/AshteadLibrary", "AshteadLibrary")</f>
        <v>AshteadLibrary</v>
      </c>
      <c r="C738" s="33" t="s">
        <v>1390</v>
      </c>
      <c r="D738" s="33" t="s">
        <v>1391</v>
      </c>
      <c r="E738" s="32" t="s">
        <v>1392</v>
      </c>
      <c r="F738" s="35">
        <v>562</v>
      </c>
      <c r="G738" s="35">
        <v>841</v>
      </c>
      <c r="H738" s="35">
        <v>402</v>
      </c>
      <c r="I738" s="35">
        <v>5</v>
      </c>
      <c r="J738" s="36">
        <v>41155</v>
      </c>
      <c r="K738" s="37">
        <v>0.47041666666666665</v>
      </c>
      <c r="L738" s="36">
        <v>42936</v>
      </c>
      <c r="M738" s="38">
        <v>0.53909722222222223</v>
      </c>
    </row>
    <row r="739" spans="1:13" ht="45" x14ac:dyDescent="0.25">
      <c r="A739" s="33" t="s">
        <v>18</v>
      </c>
      <c r="B739" s="34" t="str">
        <f>HYPERLINK("http://www.twitter.com/StJohnsLibrary1", "StJohnsLibrary1")</f>
        <v>StJohnsLibrary1</v>
      </c>
      <c r="C739" s="33" t="s">
        <v>1148</v>
      </c>
      <c r="D739" s="33" t="s">
        <v>2272</v>
      </c>
      <c r="E739" s="32" t="s">
        <v>2273</v>
      </c>
      <c r="F739" s="35">
        <v>22</v>
      </c>
      <c r="G739" s="35">
        <v>302</v>
      </c>
      <c r="H739" s="35">
        <v>392</v>
      </c>
      <c r="I739" s="35">
        <v>3</v>
      </c>
      <c r="J739" s="36">
        <v>41499</v>
      </c>
      <c r="K739" s="37">
        <v>0.73700231481481471</v>
      </c>
      <c r="L739" s="36">
        <v>42937</v>
      </c>
      <c r="M739" s="38">
        <v>0.49437500000000001</v>
      </c>
    </row>
    <row r="740" spans="1:13" ht="60" x14ac:dyDescent="0.25">
      <c r="A740" s="33" t="s">
        <v>18</v>
      </c>
      <c r="B740" s="34" t="str">
        <f>HYPERLINK("http://www.twitter.com/KingsclrLibrary", "KingsclrLibrary")</f>
        <v>KingsclrLibrary</v>
      </c>
      <c r="C740" s="33" t="s">
        <v>2737</v>
      </c>
      <c r="D740" s="33" t="s">
        <v>2738</v>
      </c>
      <c r="E740" s="32" t="s">
        <v>2739</v>
      </c>
      <c r="F740" s="35">
        <v>295</v>
      </c>
      <c r="G740" s="35">
        <v>192</v>
      </c>
      <c r="H740" s="35">
        <v>389</v>
      </c>
      <c r="I740" s="35">
        <v>43</v>
      </c>
      <c r="J740" s="36">
        <v>42225</v>
      </c>
      <c r="K740" s="37">
        <v>0.71689814814814812</v>
      </c>
      <c r="L740" s="36">
        <v>42859</v>
      </c>
      <c r="M740" s="38">
        <v>0.50710648148148152</v>
      </c>
    </row>
    <row r="741" spans="1:13" ht="45" x14ac:dyDescent="0.25">
      <c r="A741" s="33" t="s">
        <v>18</v>
      </c>
      <c r="B741" s="34" t="str">
        <f>HYPERLINK("http://www.twitter.com/BookhamLibrary", "BookhamLibrary")</f>
        <v>BookhamLibrary</v>
      </c>
      <c r="C741" s="33" t="s">
        <v>1266</v>
      </c>
      <c r="D741" s="33" t="s">
        <v>1267</v>
      </c>
      <c r="E741" s="32" t="s">
        <v>1268</v>
      </c>
      <c r="F741" s="35">
        <v>112</v>
      </c>
      <c r="G741" s="35">
        <v>955</v>
      </c>
      <c r="H741" s="35">
        <v>389</v>
      </c>
      <c r="I741" s="35">
        <v>5</v>
      </c>
      <c r="J741" s="36">
        <v>40781</v>
      </c>
      <c r="K741" s="37">
        <v>0.63995370370370364</v>
      </c>
      <c r="L741" s="36">
        <v>42929</v>
      </c>
      <c r="M741" s="38">
        <v>0.64493055555555556</v>
      </c>
    </row>
    <row r="742" spans="1:13" ht="45" x14ac:dyDescent="0.25">
      <c r="A742" s="33" t="s">
        <v>18</v>
      </c>
      <c r="B742" s="34" t="str">
        <f>HYPERLINK("http://www.twitter.com/TivLibDevon", "TivLibDevon")</f>
        <v>TivLibDevon</v>
      </c>
      <c r="C742" s="33" t="s">
        <v>2589</v>
      </c>
      <c r="D742" s="33" t="s">
        <v>1377</v>
      </c>
      <c r="E742" s="32" t="s">
        <v>2590</v>
      </c>
      <c r="F742" s="35">
        <v>342</v>
      </c>
      <c r="G742" s="35">
        <v>246</v>
      </c>
      <c r="H742" s="35">
        <v>386</v>
      </c>
      <c r="I742" s="35">
        <v>68</v>
      </c>
      <c r="J742" s="36">
        <v>42500</v>
      </c>
      <c r="K742" s="37">
        <v>0.4448611111111111</v>
      </c>
      <c r="L742" s="36">
        <v>42939</v>
      </c>
      <c r="M742" s="38">
        <v>0.46491898148148153</v>
      </c>
    </row>
    <row r="743" spans="1:13" ht="45" x14ac:dyDescent="0.25">
      <c r="A743" s="33" t="s">
        <v>18</v>
      </c>
      <c r="B743" s="34" t="str">
        <f>HYPERLINK("http://www.twitter.com/HarburyLibrary", "HarburyLibrary")</f>
        <v>HarburyLibrary</v>
      </c>
      <c r="C743" s="33" t="s">
        <v>2252</v>
      </c>
      <c r="D743" s="33" t="s">
        <v>2253</v>
      </c>
      <c r="E743" s="32" t="s">
        <v>2254</v>
      </c>
      <c r="F743" s="35">
        <v>620</v>
      </c>
      <c r="G743" s="35">
        <v>312</v>
      </c>
      <c r="H743" s="35">
        <v>386</v>
      </c>
      <c r="I743" s="35">
        <v>23</v>
      </c>
      <c r="J743" s="36">
        <v>40936</v>
      </c>
      <c r="K743" s="37">
        <v>0.92633101851851851</v>
      </c>
      <c r="L743" s="36">
        <v>42923</v>
      </c>
      <c r="M743" s="38">
        <v>0.66312499999999996</v>
      </c>
    </row>
    <row r="744" spans="1:13" ht="45" x14ac:dyDescent="0.25">
      <c r="A744" s="33" t="s">
        <v>18</v>
      </c>
      <c r="B744" s="34" t="str">
        <f>HYPERLINK("http://www.twitter.com/Alton_Library", "Alton_Library")</f>
        <v>Alton_Library</v>
      </c>
      <c r="C744" s="33" t="s">
        <v>3049</v>
      </c>
      <c r="D744" s="33" t="s">
        <v>3050</v>
      </c>
      <c r="E744" s="32" t="s">
        <v>3051</v>
      </c>
      <c r="F744" s="35">
        <v>48</v>
      </c>
      <c r="G744" s="35">
        <v>137</v>
      </c>
      <c r="H744" s="35">
        <v>382</v>
      </c>
      <c r="I744" s="35">
        <v>157</v>
      </c>
      <c r="J744" s="36">
        <v>42462</v>
      </c>
      <c r="K744" s="37">
        <v>0.41173611111111108</v>
      </c>
      <c r="L744" s="36">
        <v>42938</v>
      </c>
      <c r="M744" s="38">
        <v>0.44324074074074077</v>
      </c>
    </row>
    <row r="745" spans="1:13" x14ac:dyDescent="0.25">
      <c r="A745" s="33" t="s">
        <v>18</v>
      </c>
      <c r="B745" s="34" t="str">
        <f>HYPERLINK("http://www.twitter.com/BecclesLib", "BecclesLib")</f>
        <v>BecclesLib</v>
      </c>
      <c r="C745" s="33" t="s">
        <v>2494</v>
      </c>
      <c r="F745" s="35">
        <v>332</v>
      </c>
      <c r="G745" s="35">
        <v>270</v>
      </c>
      <c r="H745" s="35">
        <v>379</v>
      </c>
      <c r="I745" s="35">
        <v>245</v>
      </c>
      <c r="J745" s="36">
        <v>42381</v>
      </c>
      <c r="K745" s="37">
        <v>0.43918981481481478</v>
      </c>
      <c r="L745" s="36">
        <v>42927</v>
      </c>
      <c r="M745" s="38">
        <v>0.76907407407407413</v>
      </c>
    </row>
    <row r="746" spans="1:13" ht="30" x14ac:dyDescent="0.25">
      <c r="A746" s="33" t="s">
        <v>18</v>
      </c>
      <c r="B746" s="34" t="str">
        <f>HYPERLINK("http://www.twitter.com/LlandodLibrary", "LlandodLibrary")</f>
        <v>LlandodLibrary</v>
      </c>
      <c r="C746" s="33" t="s">
        <v>3078</v>
      </c>
      <c r="D746" s="33" t="s">
        <v>883</v>
      </c>
      <c r="E746" s="32" t="s">
        <v>3079</v>
      </c>
      <c r="F746" s="35">
        <v>157</v>
      </c>
      <c r="G746" s="35">
        <v>120</v>
      </c>
      <c r="H746" s="35">
        <v>369</v>
      </c>
      <c r="I746" s="35">
        <v>24</v>
      </c>
      <c r="J746" s="36">
        <v>42222</v>
      </c>
      <c r="K746" s="37">
        <v>0.55408564814814809</v>
      </c>
      <c r="L746" s="36">
        <v>42936</v>
      </c>
      <c r="M746" s="38">
        <v>0.55334490740740738</v>
      </c>
    </row>
    <row r="747" spans="1:13" ht="45" x14ac:dyDescent="0.25">
      <c r="A747" s="33" t="s">
        <v>18</v>
      </c>
      <c r="B747" s="34" t="str">
        <f>HYPERLINK("http://www.twitter.com/BrixRefLib", "BrixRefLib")</f>
        <v>BrixRefLib</v>
      </c>
      <c r="C747" s="33" t="s">
        <v>2199</v>
      </c>
      <c r="E747" s="32" t="s">
        <v>2200</v>
      </c>
      <c r="F747" s="35">
        <v>387</v>
      </c>
      <c r="G747" s="35">
        <v>325</v>
      </c>
      <c r="H747" s="35">
        <v>363</v>
      </c>
      <c r="I747" s="35">
        <v>111</v>
      </c>
      <c r="J747" s="36">
        <v>41418</v>
      </c>
      <c r="K747" s="37">
        <v>0.43796296296296294</v>
      </c>
      <c r="L747" s="36">
        <v>42900</v>
      </c>
      <c r="M747" s="38">
        <v>0.45444444444444443</v>
      </c>
    </row>
    <row r="748" spans="1:13" ht="30" x14ac:dyDescent="0.25">
      <c r="A748" s="33" t="s">
        <v>18</v>
      </c>
      <c r="B748" s="34" t="str">
        <f>HYPERLINK("http://www.twitter.com/NewMiltonLib", "NewMiltonLib")</f>
        <v>NewMiltonLib</v>
      </c>
      <c r="C748" s="33" t="s">
        <v>2708</v>
      </c>
      <c r="D748" s="33" t="s">
        <v>2709</v>
      </c>
      <c r="E748" s="32" t="s">
        <v>2710</v>
      </c>
      <c r="F748" s="35">
        <v>101</v>
      </c>
      <c r="G748" s="35">
        <v>200</v>
      </c>
      <c r="H748" s="35">
        <v>352</v>
      </c>
      <c r="I748" s="35">
        <v>36</v>
      </c>
      <c r="J748" s="36">
        <v>42271</v>
      </c>
      <c r="K748" s="37">
        <v>0.85765046296296299</v>
      </c>
      <c r="L748" s="36">
        <v>42940</v>
      </c>
      <c r="M748" s="38">
        <v>0.4533564814814815</v>
      </c>
    </row>
    <row r="749" spans="1:13" ht="45" x14ac:dyDescent="0.25">
      <c r="A749" s="33" t="s">
        <v>18</v>
      </c>
      <c r="B749" s="34" t="str">
        <f>HYPERLINK("http://www.twitter.com/ERidingLMA", "ERidingLMA")</f>
        <v>ERidingLMA</v>
      </c>
      <c r="C749" s="33" t="s">
        <v>2686</v>
      </c>
      <c r="D749" s="33" t="s">
        <v>2687</v>
      </c>
      <c r="E749" s="32" t="s">
        <v>2688</v>
      </c>
      <c r="F749" s="35">
        <v>60</v>
      </c>
      <c r="G749" s="35">
        <v>235</v>
      </c>
      <c r="H749" s="35">
        <v>350</v>
      </c>
      <c r="I749" s="35">
        <v>135</v>
      </c>
      <c r="J749" s="36">
        <v>42762</v>
      </c>
      <c r="K749" s="37">
        <v>0.53005787037037033</v>
      </c>
      <c r="L749" s="36">
        <v>42940</v>
      </c>
      <c r="M749" s="38">
        <v>0.66681712962962969</v>
      </c>
    </row>
    <row r="750" spans="1:13" ht="45" x14ac:dyDescent="0.25">
      <c r="A750" s="33" t="s">
        <v>18</v>
      </c>
      <c r="B750" s="34" t="str">
        <f>HYPERLINK("http://www.twitter.com/FarehamLibrary", "FarehamLibrary")</f>
        <v>FarehamLibrary</v>
      </c>
      <c r="C750" s="33" t="s">
        <v>3226</v>
      </c>
      <c r="D750" s="33" t="s">
        <v>3227</v>
      </c>
      <c r="E750" s="32" t="s">
        <v>3228</v>
      </c>
      <c r="F750" s="35">
        <v>3</v>
      </c>
      <c r="G750" s="35">
        <v>89</v>
      </c>
      <c r="H750" s="35">
        <v>347</v>
      </c>
      <c r="I750" s="35">
        <v>6</v>
      </c>
      <c r="J750" s="36">
        <v>42625</v>
      </c>
      <c r="K750" s="37">
        <v>0.66773148148148154</v>
      </c>
      <c r="L750" s="36">
        <v>42933</v>
      </c>
      <c r="M750" s="38">
        <v>0.51246527777777773</v>
      </c>
    </row>
    <row r="751" spans="1:13" ht="30" x14ac:dyDescent="0.25">
      <c r="A751" s="33" t="s">
        <v>18</v>
      </c>
      <c r="B751" s="34" t="str">
        <f>HYPERLINK("http://www.twitter.com/TotleyLibrary", "TotleyLibrary")</f>
        <v>TotleyLibrary</v>
      </c>
      <c r="C751" s="33" t="s">
        <v>2032</v>
      </c>
      <c r="D751" s="33" t="s">
        <v>2033</v>
      </c>
      <c r="E751" s="32" t="s">
        <v>2034</v>
      </c>
      <c r="F751" s="35">
        <v>463</v>
      </c>
      <c r="G751" s="35">
        <v>398</v>
      </c>
      <c r="H751" s="35">
        <v>346</v>
      </c>
      <c r="I751" s="35">
        <v>12</v>
      </c>
      <c r="J751" s="36">
        <v>41537</v>
      </c>
      <c r="K751" s="37">
        <v>0.59192129629629631</v>
      </c>
      <c r="L751" s="36">
        <v>42937</v>
      </c>
      <c r="M751" s="38">
        <v>0.56332175925925931</v>
      </c>
    </row>
    <row r="752" spans="1:13" ht="45" x14ac:dyDescent="0.25">
      <c r="A752" s="33" t="s">
        <v>18</v>
      </c>
      <c r="B752" s="34" t="str">
        <f>HYPERLINK("http://www.twitter.com/upton_library", "upton_library")</f>
        <v>upton_library</v>
      </c>
      <c r="C752" s="33" t="s">
        <v>3070</v>
      </c>
      <c r="D752" s="33" t="s">
        <v>3071</v>
      </c>
      <c r="E752" s="32" t="s">
        <v>3072</v>
      </c>
      <c r="F752" s="35">
        <v>131</v>
      </c>
      <c r="G752" s="35">
        <v>118</v>
      </c>
      <c r="H752" s="35">
        <v>345</v>
      </c>
      <c r="I752" s="35">
        <v>41</v>
      </c>
      <c r="J752" s="36">
        <v>41390</v>
      </c>
      <c r="K752" s="37">
        <v>0.35366898148148151</v>
      </c>
      <c r="L752" s="36">
        <v>42612</v>
      </c>
      <c r="M752" s="38">
        <v>0.42354166666666665</v>
      </c>
    </row>
    <row r="753" spans="1:13" x14ac:dyDescent="0.25">
      <c r="A753" s="33" t="s">
        <v>18</v>
      </c>
      <c r="B753" s="34" t="str">
        <f>HYPERLINK("http://www.twitter.com/DawlishLibrary", "DawlishLibrary")</f>
        <v>DawlishLibrary</v>
      </c>
      <c r="C753" s="33" t="s">
        <v>2604</v>
      </c>
      <c r="D753" s="33" t="s">
        <v>2605</v>
      </c>
      <c r="F753" s="35">
        <v>253</v>
      </c>
      <c r="G753" s="35">
        <v>237</v>
      </c>
      <c r="H753" s="35">
        <v>333</v>
      </c>
      <c r="I753" s="35">
        <v>29</v>
      </c>
      <c r="J753" s="36">
        <v>42171</v>
      </c>
      <c r="K753" s="37">
        <v>0.50520833333333337</v>
      </c>
      <c r="L753" s="36">
        <v>42940</v>
      </c>
      <c r="M753" s="38">
        <v>0.4987847222222222</v>
      </c>
    </row>
    <row r="754" spans="1:13" x14ac:dyDescent="0.25">
      <c r="A754" s="33" t="s">
        <v>18</v>
      </c>
      <c r="B754" s="34" t="str">
        <f>HYPERLINK("http://www.twitter.com/OakdaleLib", "OakdaleLib")</f>
        <v>OakdaleLib</v>
      </c>
      <c r="C754" s="33" t="s">
        <v>2483</v>
      </c>
      <c r="F754" s="35">
        <v>67</v>
      </c>
      <c r="G754" s="35">
        <v>256</v>
      </c>
      <c r="H754" s="35">
        <v>333</v>
      </c>
      <c r="I754" s="35">
        <v>49</v>
      </c>
      <c r="J754" s="36">
        <v>42107</v>
      </c>
      <c r="K754" s="37">
        <v>0.5995138888888889</v>
      </c>
      <c r="L754" s="36">
        <v>42937</v>
      </c>
      <c r="M754" s="38">
        <v>0.62624999999999997</v>
      </c>
    </row>
    <row r="755" spans="1:13" ht="45" x14ac:dyDescent="0.25">
      <c r="A755" s="33" t="s">
        <v>18</v>
      </c>
      <c r="B755" s="34" t="str">
        <f>HYPERLINK("http://www.twitter.com/LindleyLibrary", "LindleyLibrary")</f>
        <v>LindleyLibrary</v>
      </c>
      <c r="C755" s="33" t="s">
        <v>2418</v>
      </c>
      <c r="E755" s="32" t="s">
        <v>2419</v>
      </c>
      <c r="F755" s="35">
        <v>72</v>
      </c>
      <c r="G755" s="35">
        <v>262</v>
      </c>
      <c r="H755" s="35">
        <v>329</v>
      </c>
      <c r="I755" s="35">
        <v>5</v>
      </c>
      <c r="J755" s="36">
        <v>42143</v>
      </c>
      <c r="K755" s="37">
        <v>0.55184027777777778</v>
      </c>
      <c r="L755" s="36">
        <v>42686</v>
      </c>
      <c r="M755" s="38">
        <v>0.98542824074074076</v>
      </c>
    </row>
    <row r="756" spans="1:13" ht="45" x14ac:dyDescent="0.25">
      <c r="A756" s="33" t="s">
        <v>18</v>
      </c>
      <c r="B756" s="34" t="str">
        <f>HYPERLINK("http://www.twitter.com/WadCommunityLib", "WadCommunityLib")</f>
        <v>WadCommunityLib</v>
      </c>
      <c r="C756" s="33" t="s">
        <v>2794</v>
      </c>
      <c r="D756" s="33" t="s">
        <v>2795</v>
      </c>
      <c r="E756" s="32" t="s">
        <v>2796</v>
      </c>
      <c r="F756" s="35">
        <v>326</v>
      </c>
      <c r="G756" s="35">
        <v>177</v>
      </c>
      <c r="H756" s="35">
        <v>327</v>
      </c>
      <c r="I756" s="35">
        <v>54</v>
      </c>
      <c r="J756" s="36">
        <v>42387</v>
      </c>
      <c r="K756" s="37">
        <v>0.40432870370370372</v>
      </c>
      <c r="L756" s="36">
        <v>42870</v>
      </c>
      <c r="M756" s="38">
        <v>0.43108796296296298</v>
      </c>
    </row>
    <row r="757" spans="1:13" ht="30" x14ac:dyDescent="0.25">
      <c r="A757" s="33" t="s">
        <v>18</v>
      </c>
      <c r="B757" s="34" t="str">
        <f>HYPERLINK("http://www.twitter.com/LibrarySeaton", "LibrarySeaton")</f>
        <v>LibrarySeaton</v>
      </c>
      <c r="C757" s="33" t="s">
        <v>2431</v>
      </c>
      <c r="E757" s="32" t="s">
        <v>2432</v>
      </c>
      <c r="F757" s="35">
        <v>118</v>
      </c>
      <c r="G757" s="35">
        <v>261</v>
      </c>
      <c r="H757" s="35">
        <v>313</v>
      </c>
      <c r="I757" s="35">
        <v>277</v>
      </c>
      <c r="J757" s="36">
        <v>42205</v>
      </c>
      <c r="K757" s="37">
        <v>0.3585416666666667</v>
      </c>
      <c r="L757" s="36">
        <v>42915</v>
      </c>
      <c r="M757" s="38">
        <v>0.29138888888888886</v>
      </c>
    </row>
    <row r="758" spans="1:13" x14ac:dyDescent="0.25">
      <c r="A758" s="33" t="s">
        <v>18</v>
      </c>
      <c r="B758" s="34" t="str">
        <f>HYPERLINK("http://www.twitter.com/BurnageLibrary", "BurnageLibrary")</f>
        <v>BurnageLibrary</v>
      </c>
      <c r="C758" s="33" t="s">
        <v>2908</v>
      </c>
      <c r="D758" s="33" t="s">
        <v>33</v>
      </c>
      <c r="E758" s="32" t="s">
        <v>2909</v>
      </c>
      <c r="F758" s="35">
        <v>96</v>
      </c>
      <c r="G758" s="35">
        <v>163</v>
      </c>
      <c r="H758" s="35">
        <v>311</v>
      </c>
      <c r="I758" s="35">
        <v>8</v>
      </c>
      <c r="J758" s="36">
        <v>41571</v>
      </c>
      <c r="K758" s="37">
        <v>0.65336805555555555</v>
      </c>
      <c r="L758" s="36">
        <v>42928</v>
      </c>
      <c r="M758" s="38">
        <v>0.39634259259259258</v>
      </c>
    </row>
    <row r="759" spans="1:13" x14ac:dyDescent="0.25">
      <c r="A759" s="33" t="s">
        <v>18</v>
      </c>
      <c r="B759" s="34" t="str">
        <f>HYPERLINK("http://www.twitter.com/DartmthLibrary", "DartmthLibrary")</f>
        <v>DartmthLibrary</v>
      </c>
      <c r="C759" s="33" t="s">
        <v>2503</v>
      </c>
      <c r="F759" s="35">
        <v>381</v>
      </c>
      <c r="G759" s="35">
        <v>241</v>
      </c>
      <c r="H759" s="35">
        <v>305</v>
      </c>
      <c r="I759" s="35">
        <v>162</v>
      </c>
      <c r="J759" s="36">
        <v>42044</v>
      </c>
      <c r="K759" s="37">
        <v>0.47273148148148153</v>
      </c>
      <c r="L759" s="36">
        <v>42936</v>
      </c>
      <c r="M759" s="38">
        <v>0.78888888888888886</v>
      </c>
    </row>
    <row r="760" spans="1:13" x14ac:dyDescent="0.25">
      <c r="A760" s="33" t="s">
        <v>18</v>
      </c>
      <c r="B760" s="34" t="str">
        <f>HYPERLINK("http://www.twitter.com/tavilibrary", "tavilibrary")</f>
        <v>tavilibrary</v>
      </c>
      <c r="C760" s="33" t="s">
        <v>2985</v>
      </c>
      <c r="E760" s="32" t="s">
        <v>2986</v>
      </c>
      <c r="F760" s="35">
        <v>88</v>
      </c>
      <c r="G760" s="35">
        <v>150</v>
      </c>
      <c r="H760" s="35">
        <v>304</v>
      </c>
      <c r="I760" s="35">
        <v>57</v>
      </c>
      <c r="J760" s="36">
        <v>42355</v>
      </c>
      <c r="K760" s="37">
        <v>0.57283564814814814</v>
      </c>
      <c r="L760" s="36">
        <v>42938</v>
      </c>
      <c r="M760" s="38">
        <v>0.31376157407407407</v>
      </c>
    </row>
    <row r="761" spans="1:13" ht="45" x14ac:dyDescent="0.25">
      <c r="A761" s="33" t="s">
        <v>18</v>
      </c>
      <c r="B761" s="34" t="str">
        <f>HYPERLINK("http://www.twitter.com/BarbicanKids", "BarbicanKids")</f>
        <v>BarbicanKids</v>
      </c>
      <c r="C761" s="33" t="s">
        <v>1160</v>
      </c>
      <c r="D761" s="33" t="s">
        <v>36</v>
      </c>
      <c r="E761" s="32" t="s">
        <v>1161</v>
      </c>
      <c r="F761" s="35">
        <v>1525</v>
      </c>
      <c r="G761" s="35">
        <v>1059</v>
      </c>
      <c r="H761" s="35">
        <v>302</v>
      </c>
      <c r="I761" s="35">
        <v>37</v>
      </c>
      <c r="J761" s="36">
        <v>41121</v>
      </c>
      <c r="K761" s="37">
        <v>0.56608796296296293</v>
      </c>
      <c r="L761" s="36">
        <v>42853</v>
      </c>
      <c r="M761" s="38">
        <v>0.45739583333333328</v>
      </c>
    </row>
    <row r="762" spans="1:13" ht="45" x14ac:dyDescent="0.25">
      <c r="A762" s="33" t="s">
        <v>18</v>
      </c>
      <c r="B762" s="34" t="str">
        <f>HYPERLINK("http://www.twitter.com/WoCityLib", "WoCityLib")</f>
        <v>WoCityLib</v>
      </c>
      <c r="C762" s="33" t="s">
        <v>1757</v>
      </c>
      <c r="D762" s="33" t="s">
        <v>1758</v>
      </c>
      <c r="E762" s="32" t="s">
        <v>1759</v>
      </c>
      <c r="F762" s="35">
        <v>111</v>
      </c>
      <c r="G762" s="35">
        <v>517</v>
      </c>
      <c r="H762" s="35">
        <v>301</v>
      </c>
      <c r="I762" s="35">
        <v>0</v>
      </c>
      <c r="J762" s="36">
        <v>40908</v>
      </c>
      <c r="K762" s="37">
        <v>0.4588888888888889</v>
      </c>
      <c r="L762" s="36">
        <v>41109</v>
      </c>
      <c r="M762" s="38">
        <v>0.43357638888888889</v>
      </c>
    </row>
    <row r="763" spans="1:13" ht="45" x14ac:dyDescent="0.25">
      <c r="A763" s="33" t="s">
        <v>18</v>
      </c>
      <c r="B763" s="34" t="str">
        <f>HYPERLINK("http://www.twitter.com/LibraryWVL", "LibraryWVL")</f>
        <v>LibraryWVL</v>
      </c>
      <c r="C763" s="33" t="s">
        <v>2384</v>
      </c>
      <c r="D763" s="33" t="s">
        <v>2385</v>
      </c>
      <c r="E763" s="32" t="s">
        <v>2386</v>
      </c>
      <c r="F763" s="35">
        <v>141</v>
      </c>
      <c r="G763" s="35">
        <v>275</v>
      </c>
      <c r="H763" s="35">
        <v>291</v>
      </c>
      <c r="I763" s="35">
        <v>30</v>
      </c>
      <c r="J763" s="36">
        <v>42262</v>
      </c>
      <c r="K763" s="37">
        <v>0.55457175925925928</v>
      </c>
      <c r="L763" s="36">
        <v>42937</v>
      </c>
      <c r="M763" s="38">
        <v>0.6057407407407408</v>
      </c>
    </row>
    <row r="764" spans="1:13" x14ac:dyDescent="0.25">
      <c r="A764" s="33" t="s">
        <v>18</v>
      </c>
      <c r="B764" s="34" t="str">
        <f>HYPERLINK("http://www.twitter.com/TheBrotherton", "TheBrotherton")</f>
        <v>TheBrotherton</v>
      </c>
      <c r="C764" s="33" t="s">
        <v>1287</v>
      </c>
      <c r="D764" s="33" t="s">
        <v>180</v>
      </c>
      <c r="E764" s="32" t="s">
        <v>1288</v>
      </c>
      <c r="F764" s="35">
        <v>500</v>
      </c>
      <c r="G764" s="35">
        <v>918</v>
      </c>
      <c r="H764" s="35">
        <v>291</v>
      </c>
      <c r="I764" s="35">
        <v>13</v>
      </c>
      <c r="J764" s="36">
        <v>40678</v>
      </c>
      <c r="K764" s="37">
        <v>0.70120370370370377</v>
      </c>
      <c r="L764" s="36">
        <v>41357</v>
      </c>
      <c r="M764" s="38">
        <v>0.734375</v>
      </c>
    </row>
    <row r="765" spans="1:13" ht="45" x14ac:dyDescent="0.25">
      <c r="A765" s="33" t="s">
        <v>18</v>
      </c>
      <c r="B765" s="34" t="str">
        <f>HYPERLINK("http://www.twitter.com/andover_library", "andover_library")</f>
        <v>andover_library</v>
      </c>
      <c r="C765" s="33" t="s">
        <v>2358</v>
      </c>
      <c r="D765" s="33" t="s">
        <v>2359</v>
      </c>
      <c r="E765" s="32" t="s">
        <v>2360</v>
      </c>
      <c r="F765" s="35">
        <v>250</v>
      </c>
      <c r="G765" s="35">
        <v>284</v>
      </c>
      <c r="H765" s="35">
        <v>287</v>
      </c>
      <c r="I765" s="35">
        <v>17</v>
      </c>
      <c r="J765" s="36">
        <v>42065</v>
      </c>
      <c r="K765" s="37">
        <v>0.53282407407407406</v>
      </c>
      <c r="L765" s="36">
        <v>42940</v>
      </c>
      <c r="M765" s="38">
        <v>0.6174884259259259</v>
      </c>
    </row>
    <row r="766" spans="1:13" ht="45" x14ac:dyDescent="0.25">
      <c r="A766" s="33" t="s">
        <v>18</v>
      </c>
      <c r="B766" s="34" t="str">
        <f>HYPERLINK("http://www.twitter.com/HagleyLibrary", "HagleyLibrary")</f>
        <v>HagleyLibrary</v>
      </c>
      <c r="C766" s="33" t="s">
        <v>1954</v>
      </c>
      <c r="D766" s="33" t="s">
        <v>1955</v>
      </c>
      <c r="E766" s="32" t="s">
        <v>1956</v>
      </c>
      <c r="F766" s="35">
        <v>93</v>
      </c>
      <c r="G766" s="35">
        <v>426</v>
      </c>
      <c r="H766" s="35">
        <v>286</v>
      </c>
      <c r="I766" s="35">
        <v>8</v>
      </c>
      <c r="J766" s="36">
        <v>41122</v>
      </c>
      <c r="K766" s="37">
        <v>0.50813657407407409</v>
      </c>
      <c r="L766" s="36">
        <v>42758</v>
      </c>
      <c r="M766" s="38">
        <v>0.40431712962962968</v>
      </c>
    </row>
    <row r="767" spans="1:13" ht="45" x14ac:dyDescent="0.25">
      <c r="A767" s="33" t="s">
        <v>18</v>
      </c>
      <c r="B767" s="34" t="str">
        <f>HYPERLINK("http://www.twitter.com/LeatherheadLib", "LeatherheadLib")</f>
        <v>LeatherheadLib</v>
      </c>
      <c r="C767" s="33" t="s">
        <v>1140</v>
      </c>
      <c r="D767" s="33" t="s">
        <v>1141</v>
      </c>
      <c r="E767" s="32" t="s">
        <v>1142</v>
      </c>
      <c r="F767" s="35">
        <v>311</v>
      </c>
      <c r="G767" s="35">
        <v>1090</v>
      </c>
      <c r="H767" s="35">
        <v>285</v>
      </c>
      <c r="I767" s="35">
        <v>17</v>
      </c>
      <c r="J767" s="36">
        <v>40764</v>
      </c>
      <c r="K767" s="37">
        <v>0.47478009259259263</v>
      </c>
      <c r="L767" s="36">
        <v>42930</v>
      </c>
      <c r="M767" s="38">
        <v>0.65249999999999997</v>
      </c>
    </row>
    <row r="768" spans="1:13" ht="45" x14ac:dyDescent="0.25">
      <c r="A768" s="33" t="s">
        <v>18</v>
      </c>
      <c r="B768" s="34" t="str">
        <f>HYPERLINK("http://www.twitter.com/denbydalecp", "denbydalecp")</f>
        <v>denbydalecp</v>
      </c>
      <c r="C768" s="33" t="s">
        <v>1996</v>
      </c>
      <c r="D768" s="33" t="s">
        <v>1997</v>
      </c>
      <c r="E768" s="32" t="s">
        <v>1998</v>
      </c>
      <c r="F768" s="35">
        <v>362</v>
      </c>
      <c r="G768" s="35">
        <v>417</v>
      </c>
      <c r="H768" s="35">
        <v>278</v>
      </c>
      <c r="I768" s="35">
        <v>43</v>
      </c>
      <c r="J768" s="36">
        <v>41406</v>
      </c>
      <c r="K768" s="37">
        <v>0.62694444444444442</v>
      </c>
      <c r="L768" s="36">
        <v>42940</v>
      </c>
      <c r="M768" s="38">
        <v>0.52690972222222221</v>
      </c>
    </row>
    <row r="769" spans="1:13" ht="45" x14ac:dyDescent="0.25">
      <c r="A769" s="33" t="s">
        <v>18</v>
      </c>
      <c r="B769" s="34" t="str">
        <f>HYPERLINK("http://www.twitter.com/CromerLibrary", "CromerLibrary")</f>
        <v>CromerLibrary</v>
      </c>
      <c r="C769" s="33" t="s">
        <v>1528</v>
      </c>
      <c r="D769" s="33" t="s">
        <v>1529</v>
      </c>
      <c r="E769" s="32" t="s">
        <v>1530</v>
      </c>
      <c r="F769" s="35">
        <v>868</v>
      </c>
      <c r="G769" s="35">
        <v>734</v>
      </c>
      <c r="H769" s="35">
        <v>274</v>
      </c>
      <c r="I769" s="35">
        <v>43</v>
      </c>
      <c r="J769" s="36">
        <v>41569</v>
      </c>
      <c r="K769" s="37">
        <v>0.73886574074074074</v>
      </c>
      <c r="L769" s="36">
        <v>42940</v>
      </c>
      <c r="M769" s="38">
        <v>0.59386574074074072</v>
      </c>
    </row>
    <row r="770" spans="1:13" ht="45" x14ac:dyDescent="0.25">
      <c r="A770" s="33" t="s">
        <v>18</v>
      </c>
      <c r="B770" s="34" t="str">
        <f>HYPERLINK("http://www.twitter.com/covlibraries", "covlibraries")</f>
        <v>covlibraries</v>
      </c>
      <c r="C770" s="33" t="s">
        <v>687</v>
      </c>
      <c r="D770" s="33" t="s">
        <v>688</v>
      </c>
      <c r="E770" s="32" t="s">
        <v>689</v>
      </c>
      <c r="F770" s="35">
        <v>717</v>
      </c>
      <c r="G770" s="35">
        <v>1956</v>
      </c>
      <c r="H770" s="35">
        <v>271</v>
      </c>
      <c r="I770" s="35">
        <v>630</v>
      </c>
      <c r="J770" s="36">
        <v>41200</v>
      </c>
      <c r="K770" s="37">
        <v>0.43738425925925922</v>
      </c>
      <c r="L770" s="36">
        <v>42940</v>
      </c>
      <c r="M770" s="38">
        <v>0.72638888888888886</v>
      </c>
    </row>
    <row r="771" spans="1:13" ht="60" x14ac:dyDescent="0.25">
      <c r="A771" s="33" t="s">
        <v>18</v>
      </c>
      <c r="B771" s="34" t="str">
        <f>HYPERLINK("http://www.twitter.com/SouthMoltonLib", "SouthMoltonLib")</f>
        <v>SouthMoltonLib</v>
      </c>
      <c r="C771" s="33" t="s">
        <v>2929</v>
      </c>
      <c r="D771" s="33" t="s">
        <v>2679</v>
      </c>
      <c r="E771" s="32" t="s">
        <v>2930</v>
      </c>
      <c r="F771" s="35">
        <v>386</v>
      </c>
      <c r="G771" s="35">
        <v>181</v>
      </c>
      <c r="H771" s="35">
        <v>262</v>
      </c>
      <c r="I771" s="35">
        <v>38</v>
      </c>
      <c r="J771" s="36">
        <v>42701</v>
      </c>
      <c r="K771" s="37">
        <v>0.68998842592592602</v>
      </c>
      <c r="L771" s="36">
        <v>42938</v>
      </c>
      <c r="M771" s="38">
        <v>0.44450231481481484</v>
      </c>
    </row>
    <row r="772" spans="1:13" ht="45" x14ac:dyDescent="0.25">
      <c r="A772" s="33" t="s">
        <v>18</v>
      </c>
      <c r="B772" s="34" t="str">
        <f>HYPERLINK("http://www.twitter.com/MHLibraryLee", "MHLibraryLee")</f>
        <v>MHLibraryLee</v>
      </c>
      <c r="C772" s="33" t="s">
        <v>2637</v>
      </c>
      <c r="D772" s="33" t="s">
        <v>2638</v>
      </c>
      <c r="E772" s="32" t="s">
        <v>2639</v>
      </c>
      <c r="F772" s="35">
        <v>375</v>
      </c>
      <c r="G772" s="35">
        <v>255</v>
      </c>
      <c r="H772" s="35">
        <v>256</v>
      </c>
      <c r="I772" s="35">
        <v>233</v>
      </c>
      <c r="J772" s="36">
        <v>42743</v>
      </c>
      <c r="K772" s="37">
        <v>0.90418981481481486</v>
      </c>
      <c r="L772" s="36">
        <v>42937</v>
      </c>
      <c r="M772" s="38">
        <v>0.72292824074074069</v>
      </c>
    </row>
    <row r="773" spans="1:13" ht="60" x14ac:dyDescent="0.25">
      <c r="A773" s="33" t="s">
        <v>18</v>
      </c>
      <c r="B773" s="34" t="str">
        <f>HYPERLINK("http://www.twitter.com/GosportDC", "GosportDC")</f>
        <v>GosportDC</v>
      </c>
      <c r="C773" s="33" t="s">
        <v>188</v>
      </c>
      <c r="D773" s="33" t="s">
        <v>2722</v>
      </c>
      <c r="E773" s="32" t="s">
        <v>2723</v>
      </c>
      <c r="F773" s="35">
        <v>109</v>
      </c>
      <c r="G773" s="35">
        <v>200</v>
      </c>
      <c r="H773" s="35">
        <v>254</v>
      </c>
      <c r="I773" s="35">
        <v>281</v>
      </c>
      <c r="J773" s="36">
        <v>41977</v>
      </c>
      <c r="K773" s="37">
        <v>0.48718750000000005</v>
      </c>
      <c r="L773" s="36">
        <v>42933</v>
      </c>
      <c r="M773" s="38">
        <v>0.37732638888888892</v>
      </c>
    </row>
    <row r="774" spans="1:13" ht="45" x14ac:dyDescent="0.25">
      <c r="A774" s="33" t="s">
        <v>18</v>
      </c>
      <c r="B774" s="34" t="str">
        <f>HYPERLINK("http://www.twitter.com/E4Library", "E4Library")</f>
        <v>E4Library</v>
      </c>
      <c r="C774" s="33" t="s">
        <v>1888</v>
      </c>
      <c r="D774" s="33" t="s">
        <v>1889</v>
      </c>
      <c r="E774" s="32" t="s">
        <v>1890</v>
      </c>
      <c r="F774" s="35">
        <v>184</v>
      </c>
      <c r="G774" s="35">
        <v>454</v>
      </c>
      <c r="H774" s="35">
        <v>254</v>
      </c>
      <c r="I774" s="35">
        <v>51</v>
      </c>
      <c r="J774" s="36">
        <v>41200</v>
      </c>
      <c r="K774" s="37">
        <v>0.79685185185185192</v>
      </c>
      <c r="L774" s="36">
        <v>42912</v>
      </c>
      <c r="M774" s="38">
        <v>0.93861111111111117</v>
      </c>
    </row>
    <row r="775" spans="1:13" x14ac:dyDescent="0.25">
      <c r="A775" s="33" t="s">
        <v>18</v>
      </c>
      <c r="B775" s="34" t="str">
        <f>HYPERLINK("http://www.twitter.com/WoodrowLibrary", "WoodrowLibrary")</f>
        <v>WoodrowLibrary</v>
      </c>
      <c r="C775" s="33" t="s">
        <v>3066</v>
      </c>
      <c r="F775" s="35">
        <v>129</v>
      </c>
      <c r="G775" s="35">
        <v>122</v>
      </c>
      <c r="H775" s="35">
        <v>251</v>
      </c>
      <c r="I775" s="35">
        <v>21</v>
      </c>
      <c r="J775" s="36">
        <v>42191</v>
      </c>
      <c r="K775" s="37">
        <v>0.44700231481481478</v>
      </c>
      <c r="L775" s="36">
        <v>42938</v>
      </c>
      <c r="M775" s="38">
        <v>0.52795138888888882</v>
      </c>
    </row>
    <row r="776" spans="1:13" ht="45" x14ac:dyDescent="0.25">
      <c r="A776" s="33" t="s">
        <v>18</v>
      </c>
      <c r="B776" s="34" t="str">
        <f>HYPERLINK("http://www.twitter.com/GilwernLibrary", "GilwernLibrary")</f>
        <v>GilwernLibrary</v>
      </c>
      <c r="C776" s="33" t="s">
        <v>2242</v>
      </c>
      <c r="D776" s="33" t="s">
        <v>2243</v>
      </c>
      <c r="E776" s="32" t="s">
        <v>2244</v>
      </c>
      <c r="F776" s="35">
        <v>212</v>
      </c>
      <c r="G776" s="35">
        <v>317</v>
      </c>
      <c r="H776" s="35">
        <v>251</v>
      </c>
      <c r="I776" s="35">
        <v>28</v>
      </c>
      <c r="J776" s="36">
        <v>41079</v>
      </c>
      <c r="K776" s="37">
        <v>0.66744212962962957</v>
      </c>
      <c r="L776" s="36">
        <v>42927</v>
      </c>
      <c r="M776" s="38">
        <v>0.38827546296296295</v>
      </c>
    </row>
    <row r="777" spans="1:13" ht="45" x14ac:dyDescent="0.25">
      <c r="A777" s="33" t="s">
        <v>18</v>
      </c>
      <c r="B777" s="34" t="str">
        <f>HYPERLINK("http://www.twitter.com/NewmarketLib", "NewmarketLib")</f>
        <v>NewmarketLib</v>
      </c>
      <c r="C777" s="33" t="s">
        <v>2902</v>
      </c>
      <c r="D777" s="33" t="s">
        <v>2903</v>
      </c>
      <c r="E777" s="32" t="s">
        <v>2904</v>
      </c>
      <c r="F777" s="35">
        <v>242</v>
      </c>
      <c r="G777" s="35">
        <v>186</v>
      </c>
      <c r="H777" s="35">
        <v>243</v>
      </c>
      <c r="I777" s="35">
        <v>241</v>
      </c>
      <c r="J777" s="36">
        <v>42526</v>
      </c>
      <c r="K777" s="37">
        <v>0.419375</v>
      </c>
      <c r="L777" s="36">
        <v>42940</v>
      </c>
      <c r="M777" s="38">
        <v>0.42413194444444446</v>
      </c>
    </row>
    <row r="778" spans="1:13" ht="45" x14ac:dyDescent="0.25">
      <c r="A778" s="33" t="s">
        <v>18</v>
      </c>
      <c r="B778" s="34" t="str">
        <f>HYPERLINK("http://www.twitter.com/ReigateLibrary", "ReigateLibrary")</f>
        <v>ReigateLibrary</v>
      </c>
      <c r="C778" s="33" t="s">
        <v>1772</v>
      </c>
      <c r="D778" s="33" t="s">
        <v>1773</v>
      </c>
      <c r="E778" s="32" t="s">
        <v>1348</v>
      </c>
      <c r="F778" s="35">
        <v>92</v>
      </c>
      <c r="G778" s="35">
        <v>530</v>
      </c>
      <c r="H778" s="35">
        <v>241</v>
      </c>
      <c r="I778" s="35">
        <v>40</v>
      </c>
      <c r="J778" s="36">
        <v>41652</v>
      </c>
      <c r="K778" s="37">
        <v>0.38056712962962963</v>
      </c>
      <c r="L778" s="36">
        <v>42924</v>
      </c>
      <c r="M778" s="38">
        <v>0.5294444444444445</v>
      </c>
    </row>
    <row r="779" spans="1:13" ht="45" x14ac:dyDescent="0.25">
      <c r="A779" s="33" t="s">
        <v>18</v>
      </c>
      <c r="B779" s="34" t="str">
        <f>HYPERLINK("http://www.twitter.com/kingsnortonlib", "kingsnortonlib")</f>
        <v>kingsnortonlib</v>
      </c>
      <c r="C779" s="33" t="s">
        <v>2158</v>
      </c>
      <c r="D779" s="33" t="s">
        <v>310</v>
      </c>
      <c r="E779" s="32" t="s">
        <v>2159</v>
      </c>
      <c r="F779" s="35">
        <v>65</v>
      </c>
      <c r="G779" s="35">
        <v>355</v>
      </c>
      <c r="H779" s="35">
        <v>235</v>
      </c>
      <c r="I779" s="35">
        <v>18</v>
      </c>
      <c r="J779" s="36">
        <v>40736</v>
      </c>
      <c r="K779" s="37">
        <v>0.62991898148148151</v>
      </c>
      <c r="L779" s="36">
        <v>42934</v>
      </c>
      <c r="M779" s="38">
        <v>0.45388888888888884</v>
      </c>
    </row>
    <row r="780" spans="1:13" ht="45" x14ac:dyDescent="0.25">
      <c r="A780" s="33" t="s">
        <v>18</v>
      </c>
      <c r="B780" s="34" t="str">
        <f>HYPERLINK("http://www.twitter.com/rutlandlibs", "rutlandlibs")</f>
        <v>rutlandlibs</v>
      </c>
      <c r="C780" s="33" t="s">
        <v>3121</v>
      </c>
      <c r="D780" s="33" t="s">
        <v>3122</v>
      </c>
      <c r="E780" s="32" t="s">
        <v>3123</v>
      </c>
      <c r="F780" s="35">
        <v>139</v>
      </c>
      <c r="G780" s="35">
        <v>123</v>
      </c>
      <c r="H780" s="35">
        <v>232</v>
      </c>
      <c r="I780" s="35">
        <v>8</v>
      </c>
      <c r="J780" s="36">
        <v>42689</v>
      </c>
      <c r="K780" s="37">
        <v>0.46979166666666666</v>
      </c>
      <c r="L780" s="36">
        <v>42940</v>
      </c>
      <c r="M780" s="38">
        <v>0.45561342592592591</v>
      </c>
    </row>
    <row r="781" spans="1:13" ht="30" x14ac:dyDescent="0.25">
      <c r="A781" s="33" t="s">
        <v>18</v>
      </c>
      <c r="B781" s="34" t="str">
        <f>HYPERLINK("http://www.twitter.com/heath_kings", "heath_kings")</f>
        <v>heath_kings</v>
      </c>
      <c r="C781" s="33" t="s">
        <v>2189</v>
      </c>
      <c r="D781" s="33" t="s">
        <v>926</v>
      </c>
      <c r="E781" s="32" t="s">
        <v>2190</v>
      </c>
      <c r="F781" s="35">
        <v>140</v>
      </c>
      <c r="G781" s="35">
        <v>362</v>
      </c>
      <c r="H781" s="35">
        <v>227</v>
      </c>
      <c r="I781" s="35">
        <v>55</v>
      </c>
      <c r="J781" s="36">
        <v>42355</v>
      </c>
      <c r="K781" s="37">
        <v>0.77136574074074071</v>
      </c>
      <c r="L781" s="36">
        <v>42938</v>
      </c>
      <c r="M781" s="38">
        <v>0.30773148148148149</v>
      </c>
    </row>
    <row r="782" spans="1:13" ht="60" x14ac:dyDescent="0.25">
      <c r="A782" s="33" t="s">
        <v>18</v>
      </c>
      <c r="B782" s="34" t="str">
        <f>HYPERLINK("http://www.twitter.com/ch_moor", "ch_moor")</f>
        <v>ch_moor</v>
      </c>
      <c r="C782" s="33" t="s">
        <v>3134</v>
      </c>
      <c r="D782" s="33" t="s">
        <v>93</v>
      </c>
      <c r="E782" s="32" t="s">
        <v>3135</v>
      </c>
      <c r="F782" s="35">
        <v>219</v>
      </c>
      <c r="G782" s="35">
        <v>164</v>
      </c>
      <c r="H782" s="35">
        <v>215</v>
      </c>
      <c r="I782" s="35">
        <v>237</v>
      </c>
      <c r="J782" s="36">
        <v>42683</v>
      </c>
      <c r="K782" s="37">
        <v>0.61905092592592592</v>
      </c>
      <c r="L782" s="36">
        <v>42940</v>
      </c>
      <c r="M782" s="38">
        <v>0.34481481481481485</v>
      </c>
    </row>
    <row r="783" spans="1:13" x14ac:dyDescent="0.25">
      <c r="A783" s="33" t="s">
        <v>18</v>
      </c>
      <c r="B783" s="34" t="str">
        <f>HYPERLINK("http://www.twitter.com/StowLibrary", "StowLibrary")</f>
        <v>StowLibrary</v>
      </c>
      <c r="C783" s="33" t="s">
        <v>2237</v>
      </c>
      <c r="D783" s="33" t="s">
        <v>2238</v>
      </c>
      <c r="F783" s="35">
        <v>56</v>
      </c>
      <c r="G783" s="35">
        <v>348</v>
      </c>
      <c r="H783" s="35">
        <v>214</v>
      </c>
      <c r="I783" s="35">
        <v>46</v>
      </c>
      <c r="J783" s="36">
        <v>42131</v>
      </c>
      <c r="K783" s="37">
        <v>0.37236111111111114</v>
      </c>
      <c r="L783" s="36">
        <v>42937</v>
      </c>
      <c r="M783" s="38">
        <v>0.62113425925925925</v>
      </c>
    </row>
    <row r="784" spans="1:13" ht="45" x14ac:dyDescent="0.25">
      <c r="A784" s="33" t="s">
        <v>18</v>
      </c>
      <c r="B784" s="34" t="str">
        <f>HYPERLINK("http://www.twitter.com/FOLKessingland", "FOLKessingland")</f>
        <v>FOLKessingland</v>
      </c>
      <c r="C784" s="33" t="s">
        <v>3635</v>
      </c>
      <c r="D784" s="33" t="s">
        <v>3636</v>
      </c>
      <c r="E784" s="32" t="s">
        <v>3637</v>
      </c>
      <c r="F784" s="35">
        <v>132</v>
      </c>
      <c r="G784" s="35">
        <v>90</v>
      </c>
      <c r="H784" s="35">
        <v>213</v>
      </c>
      <c r="I784" s="35">
        <v>2</v>
      </c>
      <c r="J784" s="36">
        <v>41838</v>
      </c>
      <c r="K784" s="37">
        <v>0.80508101851851854</v>
      </c>
      <c r="L784" s="36">
        <v>42311</v>
      </c>
      <c r="M784" s="38">
        <v>0.68685185185185194</v>
      </c>
    </row>
    <row r="785" spans="1:13" ht="45" x14ac:dyDescent="0.25">
      <c r="A785" s="33" t="s">
        <v>18</v>
      </c>
      <c r="B785" s="34" t="str">
        <f>HYPERLINK("http://www.twitter.com/BroadwayLib", "BroadwayLib")</f>
        <v>BroadwayLib</v>
      </c>
      <c r="C785" s="33" t="s">
        <v>2975</v>
      </c>
      <c r="D785" s="33" t="s">
        <v>2976</v>
      </c>
      <c r="E785" s="32" t="s">
        <v>2977</v>
      </c>
      <c r="F785" s="35">
        <v>109</v>
      </c>
      <c r="G785" s="35">
        <v>150</v>
      </c>
      <c r="H785" s="35">
        <v>213</v>
      </c>
      <c r="I785" s="35">
        <v>3</v>
      </c>
      <c r="J785" s="36">
        <v>41516</v>
      </c>
      <c r="K785" s="37">
        <v>0.62318287037037035</v>
      </c>
      <c r="L785" s="36">
        <v>42912</v>
      </c>
      <c r="M785" s="38">
        <v>0.50853009259259252</v>
      </c>
    </row>
    <row r="786" spans="1:13" ht="45" x14ac:dyDescent="0.25">
      <c r="A786" s="33" t="s">
        <v>18</v>
      </c>
      <c r="B786" s="34" t="str">
        <f>HYPERLINK("http://www.twitter.com/LyntonLibrary", "LyntonLibrary")</f>
        <v>LyntonLibrary</v>
      </c>
      <c r="C786" s="33" t="s">
        <v>2781</v>
      </c>
      <c r="D786" s="33" t="s">
        <v>2782</v>
      </c>
      <c r="E786" s="32" t="s">
        <v>2783</v>
      </c>
      <c r="F786" s="35">
        <v>285</v>
      </c>
      <c r="G786" s="35">
        <v>185</v>
      </c>
      <c r="H786" s="35">
        <v>205</v>
      </c>
      <c r="I786" s="35">
        <v>193</v>
      </c>
      <c r="J786" s="36">
        <v>42431</v>
      </c>
      <c r="K786" s="37">
        <v>0.57538194444444446</v>
      </c>
      <c r="L786" s="36">
        <v>42936</v>
      </c>
      <c r="M786" s="38">
        <v>0.89373842592592589</v>
      </c>
    </row>
    <row r="787" spans="1:13" ht="45" x14ac:dyDescent="0.25">
      <c r="A787" s="33" t="s">
        <v>18</v>
      </c>
      <c r="B787" s="34" t="str">
        <f>HYPERLINK("http://www.twitter.com/StAlbansLibrary", "StAlbansLibrary")</f>
        <v>StAlbansLibrary</v>
      </c>
      <c r="C787" s="33" t="s">
        <v>3006</v>
      </c>
      <c r="D787" s="33" t="s">
        <v>3007</v>
      </c>
      <c r="E787" s="32" t="s">
        <v>3008</v>
      </c>
      <c r="F787" s="35">
        <v>164</v>
      </c>
      <c r="G787" s="35">
        <v>156</v>
      </c>
      <c r="H787" s="35">
        <v>204</v>
      </c>
      <c r="I787" s="35">
        <v>33</v>
      </c>
      <c r="J787" s="36">
        <v>42648</v>
      </c>
      <c r="K787" s="37">
        <v>0.48778935185185185</v>
      </c>
      <c r="L787" s="36">
        <v>42936</v>
      </c>
      <c r="M787" s="38">
        <v>0.46015046296296297</v>
      </c>
    </row>
    <row r="788" spans="1:13" ht="45" x14ac:dyDescent="0.25">
      <c r="A788" s="33" t="s">
        <v>18</v>
      </c>
      <c r="B788" s="34" t="str">
        <f>HYPERLINK("http://www.twitter.com/minchinlib", "minchinlib")</f>
        <v>minchinlib</v>
      </c>
      <c r="C788" s="33" t="s">
        <v>3139</v>
      </c>
      <c r="D788" s="33" t="s">
        <v>3140</v>
      </c>
      <c r="E788" s="32" t="s">
        <v>3141</v>
      </c>
      <c r="F788" s="35">
        <v>145</v>
      </c>
      <c r="G788" s="35">
        <v>100</v>
      </c>
      <c r="H788" s="35">
        <v>201</v>
      </c>
      <c r="I788" s="35">
        <v>47</v>
      </c>
      <c r="J788" s="36">
        <v>41962</v>
      </c>
      <c r="K788" s="37">
        <v>0.66274305555555557</v>
      </c>
      <c r="L788" s="36">
        <v>42937</v>
      </c>
      <c r="M788" s="38">
        <v>0.83868055555555554</v>
      </c>
    </row>
    <row r="789" spans="1:13" x14ac:dyDescent="0.25">
      <c r="A789" s="33" t="s">
        <v>18</v>
      </c>
      <c r="B789" s="34" t="str">
        <f>HYPERLINK("http://www.twitter.com/kibcomlibrary1", "kibcomlibrary1")</f>
        <v>kibcomlibrary1</v>
      </c>
      <c r="C789" s="33" t="s">
        <v>3084</v>
      </c>
      <c r="F789" s="35">
        <v>121</v>
      </c>
      <c r="G789" s="35">
        <v>118</v>
      </c>
      <c r="H789" s="35">
        <v>199</v>
      </c>
      <c r="I789" s="35">
        <v>100</v>
      </c>
      <c r="J789" s="36">
        <v>42279</v>
      </c>
      <c r="K789" s="37">
        <v>0.78287037037037033</v>
      </c>
      <c r="L789" s="36">
        <v>42919</v>
      </c>
      <c r="M789" s="38">
        <v>0.61243055555555559</v>
      </c>
    </row>
    <row r="790" spans="1:13" ht="30" x14ac:dyDescent="0.25">
      <c r="A790" s="33" t="s">
        <v>18</v>
      </c>
      <c r="B790" s="34" t="str">
        <f>HYPERLINK("http://www.twitter.com/RothwellHub", "RothwellHub")</f>
        <v>RothwellHub</v>
      </c>
      <c r="C790" s="33" t="s">
        <v>2999</v>
      </c>
      <c r="D790" s="33" t="s">
        <v>93</v>
      </c>
      <c r="E790" s="32" t="s">
        <v>3000</v>
      </c>
      <c r="F790" s="35">
        <v>149</v>
      </c>
      <c r="G790" s="35">
        <v>184</v>
      </c>
      <c r="H790" s="35">
        <v>197</v>
      </c>
      <c r="I790" s="35">
        <v>98</v>
      </c>
      <c r="J790" s="36">
        <v>42758</v>
      </c>
      <c r="K790" s="37">
        <v>0.40320601851851851</v>
      </c>
      <c r="L790" s="36">
        <v>42940</v>
      </c>
      <c r="M790" s="38">
        <v>0.68555555555555558</v>
      </c>
    </row>
    <row r="791" spans="1:13" ht="45" x14ac:dyDescent="0.25">
      <c r="A791" s="33" t="s">
        <v>18</v>
      </c>
      <c r="B791" s="34" t="str">
        <f>HYPERLINK("http://www.twitter.com/ChadwellHeathCC", "ChadwellHeathCC")</f>
        <v>ChadwellHeathCC</v>
      </c>
      <c r="C791" s="33" t="s">
        <v>2955</v>
      </c>
      <c r="D791" s="33" t="s">
        <v>2956</v>
      </c>
      <c r="E791" s="32" t="s">
        <v>2957</v>
      </c>
      <c r="F791" s="35">
        <v>208</v>
      </c>
      <c r="G791" s="35">
        <v>156</v>
      </c>
      <c r="H791" s="35">
        <v>194</v>
      </c>
      <c r="I791" s="35">
        <v>94</v>
      </c>
      <c r="J791" s="36">
        <v>41621</v>
      </c>
      <c r="K791" s="37">
        <v>0.67538194444444455</v>
      </c>
      <c r="L791" s="36">
        <v>42934</v>
      </c>
      <c r="M791" s="38">
        <v>0.79115740740740748</v>
      </c>
    </row>
    <row r="792" spans="1:13" ht="45" x14ac:dyDescent="0.25">
      <c r="A792" s="33" t="s">
        <v>18</v>
      </c>
      <c r="B792" s="34" t="str">
        <f>HYPERLINK("http://www.twitter.com/EwellLib", "EwellLib")</f>
        <v>EwellLib</v>
      </c>
      <c r="C792" s="33" t="s">
        <v>1336</v>
      </c>
      <c r="D792" s="33" t="s">
        <v>1337</v>
      </c>
      <c r="E792" s="32" t="s">
        <v>1338</v>
      </c>
      <c r="F792" s="35">
        <v>213</v>
      </c>
      <c r="G792" s="35">
        <v>880</v>
      </c>
      <c r="H792" s="35">
        <v>189</v>
      </c>
      <c r="I792" s="35">
        <v>0</v>
      </c>
      <c r="J792" s="36">
        <v>41012</v>
      </c>
      <c r="K792" s="37">
        <v>0.70208333333333339</v>
      </c>
      <c r="L792" s="36">
        <v>42889</v>
      </c>
      <c r="M792" s="38">
        <v>0.46009259259259255</v>
      </c>
    </row>
    <row r="793" spans="1:13" ht="45" x14ac:dyDescent="0.25">
      <c r="A793" s="33" t="s">
        <v>18</v>
      </c>
      <c r="B793" s="34" t="str">
        <f>HYPERLINK("http://www.twitter.com/NorthamLibrary", "NorthamLibrary")</f>
        <v>NorthamLibrary</v>
      </c>
      <c r="C793" s="33" t="s">
        <v>3336</v>
      </c>
      <c r="E793" s="32" t="s">
        <v>3337</v>
      </c>
      <c r="F793" s="35">
        <v>315</v>
      </c>
      <c r="G793" s="35">
        <v>82</v>
      </c>
      <c r="H793" s="35">
        <v>185</v>
      </c>
      <c r="I793" s="35">
        <v>387</v>
      </c>
      <c r="J793" s="36">
        <v>42874</v>
      </c>
      <c r="K793" s="37">
        <v>0.91885416666666664</v>
      </c>
      <c r="L793" s="36">
        <v>42939</v>
      </c>
      <c r="M793" s="38">
        <v>0.9318171296296297</v>
      </c>
    </row>
    <row r="794" spans="1:13" ht="45" x14ac:dyDescent="0.25">
      <c r="A794" s="33" t="s">
        <v>18</v>
      </c>
      <c r="B794" s="34" t="str">
        <f>HYPERLINK("http://www.twitter.com/BramleyLibrary", "BramleyLibrary")</f>
        <v>BramleyLibrary</v>
      </c>
      <c r="C794" s="33" t="s">
        <v>3283</v>
      </c>
      <c r="D794" s="33" t="s">
        <v>3284</v>
      </c>
      <c r="E794" s="32" t="s">
        <v>3285</v>
      </c>
      <c r="F794" s="35">
        <v>28</v>
      </c>
      <c r="G794" s="35">
        <v>67</v>
      </c>
      <c r="H794" s="35">
        <v>180</v>
      </c>
      <c r="I794" s="35">
        <v>16</v>
      </c>
      <c r="J794" s="36">
        <v>42063</v>
      </c>
      <c r="K794" s="37">
        <v>0.73111111111111116</v>
      </c>
      <c r="L794" s="36">
        <v>42856</v>
      </c>
      <c r="M794" s="38">
        <v>0.48026620370370371</v>
      </c>
    </row>
    <row r="795" spans="1:13" ht="45" x14ac:dyDescent="0.25">
      <c r="A795" s="33" t="s">
        <v>18</v>
      </c>
      <c r="B795" s="34" t="str">
        <f>HYPERLINK("http://www.twitter.com/UpperNorwoodLib", "UpperNorwoodLib")</f>
        <v>UpperNorwoodLib</v>
      </c>
      <c r="C795" s="33" t="s">
        <v>2239</v>
      </c>
      <c r="D795" s="33" t="s">
        <v>2240</v>
      </c>
      <c r="E795" s="32" t="s">
        <v>2241</v>
      </c>
      <c r="F795" s="35">
        <v>92</v>
      </c>
      <c r="G795" s="35">
        <v>332</v>
      </c>
      <c r="H795" s="35">
        <v>178</v>
      </c>
      <c r="I795" s="35">
        <v>70</v>
      </c>
      <c r="J795" s="36">
        <v>40879</v>
      </c>
      <c r="K795" s="37">
        <v>0.75515046296296295</v>
      </c>
      <c r="L795" s="36">
        <v>42940</v>
      </c>
      <c r="M795" s="38">
        <v>0.40965277777777781</v>
      </c>
    </row>
    <row r="796" spans="1:13" x14ac:dyDescent="0.25">
      <c r="A796" s="33" t="s">
        <v>18</v>
      </c>
      <c r="B796" s="34" t="str">
        <f>HYPERLINK("http://www.twitter.com/LlanbradachLib", "LlanbradachLib")</f>
        <v>LlanbradachLib</v>
      </c>
      <c r="C796" s="33" t="s">
        <v>2476</v>
      </c>
      <c r="F796" s="35">
        <v>285</v>
      </c>
      <c r="G796" s="35">
        <v>271</v>
      </c>
      <c r="H796" s="35">
        <v>176</v>
      </c>
      <c r="I796" s="35">
        <v>118</v>
      </c>
      <c r="J796" s="36">
        <v>42163</v>
      </c>
      <c r="K796" s="37">
        <v>0.58001157407407411</v>
      </c>
      <c r="L796" s="36">
        <v>42937</v>
      </c>
      <c r="M796" s="38">
        <v>0.43141203703703707</v>
      </c>
    </row>
    <row r="797" spans="1:13" x14ac:dyDescent="0.25">
      <c r="A797" s="33" t="s">
        <v>18</v>
      </c>
      <c r="B797" s="34" t="str">
        <f>HYPERLINK("http://www.twitter.com/walton_library", "walton_library")</f>
        <v>walton_library</v>
      </c>
      <c r="C797" s="33" t="s">
        <v>3298</v>
      </c>
      <c r="D797" s="33" t="s">
        <v>3299</v>
      </c>
      <c r="F797" s="35">
        <v>19</v>
      </c>
      <c r="G797" s="35">
        <v>66</v>
      </c>
      <c r="H797" s="35">
        <v>171</v>
      </c>
      <c r="I797" s="35">
        <v>301</v>
      </c>
      <c r="J797" s="36">
        <v>41299</v>
      </c>
      <c r="K797" s="37">
        <v>0.69912037037037045</v>
      </c>
      <c r="L797" s="36">
        <v>42938</v>
      </c>
      <c r="M797" s="38">
        <v>0.3835648148148148</v>
      </c>
    </row>
    <row r="798" spans="1:13" ht="30" x14ac:dyDescent="0.25">
      <c r="A798" s="33" t="s">
        <v>18</v>
      </c>
      <c r="B798" s="34" t="str">
        <f>HYPERLINK("http://www.twitter.com/BrauntonLibrary", "BrauntonLibrary")</f>
        <v>BrauntonLibrary</v>
      </c>
      <c r="C798" s="33" t="s">
        <v>2978</v>
      </c>
      <c r="E798" s="32" t="s">
        <v>2979</v>
      </c>
      <c r="F798" s="35">
        <v>247</v>
      </c>
      <c r="G798" s="35">
        <v>150</v>
      </c>
      <c r="H798" s="35">
        <v>169</v>
      </c>
      <c r="I798" s="35">
        <v>176</v>
      </c>
      <c r="J798" s="36">
        <v>42510</v>
      </c>
      <c r="K798" s="37">
        <v>0.5743287037037037</v>
      </c>
      <c r="L798" s="36">
        <v>42866</v>
      </c>
      <c r="M798" s="38">
        <v>0.84766203703703702</v>
      </c>
    </row>
    <row r="799" spans="1:13" ht="45" x14ac:dyDescent="0.25">
      <c r="A799" s="33" t="s">
        <v>18</v>
      </c>
      <c r="B799" s="34" t="str">
        <f>HYPERLINK("http://www.twitter.com/ecocomsyd", "ecocomsyd")</f>
        <v>ecocomsyd</v>
      </c>
      <c r="C799" s="33" t="s">
        <v>3300</v>
      </c>
      <c r="D799" s="33" t="s">
        <v>1675</v>
      </c>
      <c r="E799" s="32" t="s">
        <v>3301</v>
      </c>
      <c r="F799" s="35">
        <v>37</v>
      </c>
      <c r="G799" s="35">
        <v>69</v>
      </c>
      <c r="H799" s="35">
        <v>165</v>
      </c>
      <c r="I799" s="35">
        <v>1</v>
      </c>
      <c r="J799" s="36">
        <v>41477</v>
      </c>
      <c r="K799" s="37">
        <v>0.41804398148148153</v>
      </c>
      <c r="L799" s="36">
        <v>42937</v>
      </c>
      <c r="M799" s="38">
        <v>0.51331018518518523</v>
      </c>
    </row>
    <row r="800" spans="1:13" ht="30" x14ac:dyDescent="0.25">
      <c r="A800" s="33" t="s">
        <v>18</v>
      </c>
      <c r="B800" s="34" t="str">
        <f>HYPERLINK("http://www.twitter.com/WattonLibrary", "WattonLibrary")</f>
        <v>WattonLibrary</v>
      </c>
      <c r="C800" s="33" t="s">
        <v>3258</v>
      </c>
      <c r="D800" s="33" t="s">
        <v>3259</v>
      </c>
      <c r="E800" s="32" t="s">
        <v>3260</v>
      </c>
      <c r="F800" s="35">
        <v>46</v>
      </c>
      <c r="G800" s="35">
        <v>77</v>
      </c>
      <c r="H800" s="35">
        <v>162</v>
      </c>
      <c r="I800" s="35">
        <v>150</v>
      </c>
      <c r="J800" s="36">
        <v>42310</v>
      </c>
      <c r="K800" s="37">
        <v>0.58138888888888884</v>
      </c>
      <c r="L800" s="36">
        <v>42938</v>
      </c>
      <c r="M800" s="38">
        <v>0.38870370370370372</v>
      </c>
    </row>
    <row r="801" spans="1:13" ht="30" x14ac:dyDescent="0.25">
      <c r="A801" s="33" t="s">
        <v>18</v>
      </c>
      <c r="B801" s="34" t="str">
        <f>HYPERLINK("http://www.twitter.com/bampton_larcs", "bampton_larcs")</f>
        <v>bampton_larcs</v>
      </c>
      <c r="C801" s="33" t="s">
        <v>3184</v>
      </c>
      <c r="E801" s="32" t="s">
        <v>3185</v>
      </c>
      <c r="F801" s="35">
        <v>195</v>
      </c>
      <c r="G801" s="35">
        <v>98</v>
      </c>
      <c r="H801" s="35">
        <v>162</v>
      </c>
      <c r="I801" s="35">
        <v>69</v>
      </c>
      <c r="J801" s="36">
        <v>42461</v>
      </c>
      <c r="K801" s="37">
        <v>0.85256944444444438</v>
      </c>
      <c r="L801" s="36">
        <v>42935</v>
      </c>
      <c r="M801" s="38">
        <v>0.8314583333333333</v>
      </c>
    </row>
    <row r="802" spans="1:13" ht="30" x14ac:dyDescent="0.25">
      <c r="A802" s="33" t="s">
        <v>18</v>
      </c>
      <c r="B802" s="34" t="str">
        <f>HYPERLINK("http://www.twitter.com/HelloBlackfen", "HelloBlackfen")</f>
        <v>HelloBlackfen</v>
      </c>
      <c r="C802" s="33" t="s">
        <v>2797</v>
      </c>
      <c r="E802" s="32" t="s">
        <v>2798</v>
      </c>
      <c r="F802" s="35">
        <v>102</v>
      </c>
      <c r="G802" s="35">
        <v>183</v>
      </c>
      <c r="H802" s="35">
        <v>157</v>
      </c>
      <c r="I802" s="35">
        <v>26</v>
      </c>
      <c r="J802" s="36">
        <v>42408</v>
      </c>
      <c r="K802" s="37">
        <v>0.90440972222222227</v>
      </c>
      <c r="L802" s="36">
        <v>42852</v>
      </c>
      <c r="M802" s="38">
        <v>0.43421296296296297</v>
      </c>
    </row>
    <row r="803" spans="1:13" ht="45" x14ac:dyDescent="0.25">
      <c r="A803" s="33" t="s">
        <v>18</v>
      </c>
      <c r="B803" s="34" t="str">
        <f>HYPERLINK("http://www.twitter.com/TheForumSoS", "TheForumSoS")</f>
        <v>TheForumSoS</v>
      </c>
      <c r="C803" s="33" t="s">
        <v>1566</v>
      </c>
      <c r="D803" s="33" t="s">
        <v>1567</v>
      </c>
      <c r="E803" s="32" t="s">
        <v>1568</v>
      </c>
      <c r="F803" s="35">
        <v>26</v>
      </c>
      <c r="G803" s="35">
        <v>682</v>
      </c>
      <c r="H803" s="35">
        <v>157</v>
      </c>
      <c r="I803" s="35">
        <v>66</v>
      </c>
      <c r="J803" s="36">
        <v>41199</v>
      </c>
      <c r="K803" s="37">
        <v>0.39027777777777778</v>
      </c>
      <c r="L803" s="36">
        <v>41790</v>
      </c>
      <c r="M803" s="38">
        <v>0.76709490740740749</v>
      </c>
    </row>
    <row r="804" spans="1:13" x14ac:dyDescent="0.25">
      <c r="A804" s="33" t="s">
        <v>18</v>
      </c>
      <c r="B804" s="34" t="str">
        <f>HYPERLINK("http://www.twitter.com/FulfordLibrary", "FulfordLibrary")</f>
        <v>FulfordLibrary</v>
      </c>
      <c r="C804" s="33" t="s">
        <v>1897</v>
      </c>
      <c r="F804" s="35">
        <v>98</v>
      </c>
      <c r="G804" s="35">
        <v>457</v>
      </c>
      <c r="H804" s="35">
        <v>154</v>
      </c>
      <c r="I804" s="35">
        <v>10</v>
      </c>
      <c r="J804" s="36">
        <v>41410</v>
      </c>
      <c r="K804" s="37">
        <v>0.56136574074074075</v>
      </c>
      <c r="L804" s="36">
        <v>42871</v>
      </c>
      <c r="M804" s="38">
        <v>0.53226851851851853</v>
      </c>
    </row>
    <row r="805" spans="1:13" x14ac:dyDescent="0.25">
      <c r="A805" s="33" t="s">
        <v>18</v>
      </c>
      <c r="B805" s="34" t="str">
        <f>HYPERLINK("http://www.twitter.com/savemylibrary", "savemylibrary")</f>
        <v>savemylibrary</v>
      </c>
      <c r="C805" s="33" t="s">
        <v>3291</v>
      </c>
      <c r="D805" s="33" t="s">
        <v>459</v>
      </c>
      <c r="E805" s="32" t="s">
        <v>3292</v>
      </c>
      <c r="F805" s="35">
        <v>36</v>
      </c>
      <c r="G805" s="35">
        <v>67</v>
      </c>
      <c r="H805" s="35">
        <v>153</v>
      </c>
      <c r="I805" s="35">
        <v>1</v>
      </c>
      <c r="J805" s="36">
        <v>41683</v>
      </c>
      <c r="K805" s="37">
        <v>0.70207175925925924</v>
      </c>
      <c r="L805" s="36">
        <v>42738</v>
      </c>
      <c r="M805" s="38">
        <v>0.98016203703703697</v>
      </c>
    </row>
    <row r="806" spans="1:13" ht="45" x14ac:dyDescent="0.25">
      <c r="A806" s="33" t="s">
        <v>18</v>
      </c>
      <c r="B806" s="34" t="str">
        <f>HYPERLINK("http://www.twitter.com/MonmouthHub", "MonmouthHub")</f>
        <v>MonmouthHub</v>
      </c>
      <c r="C806" s="33" t="s">
        <v>2285</v>
      </c>
      <c r="D806" s="33" t="s">
        <v>2286</v>
      </c>
      <c r="E806" s="32" t="s">
        <v>2287</v>
      </c>
      <c r="F806" s="35">
        <v>112</v>
      </c>
      <c r="G806" s="35">
        <v>295</v>
      </c>
      <c r="H806" s="35">
        <v>145</v>
      </c>
      <c r="I806" s="35">
        <v>56</v>
      </c>
      <c r="J806" s="36">
        <v>41845</v>
      </c>
      <c r="K806" s="37">
        <v>0.61972222222222217</v>
      </c>
      <c r="L806" s="36">
        <v>42776</v>
      </c>
      <c r="M806" s="38">
        <v>0.74989583333333332</v>
      </c>
    </row>
    <row r="807" spans="1:13" x14ac:dyDescent="0.25">
      <c r="A807" s="33" t="s">
        <v>18</v>
      </c>
      <c r="B807" s="34" t="str">
        <f>HYPERLINK("http://www.twitter.com/boldmerelibrary", "boldmerelibrary")</f>
        <v>boldmerelibrary</v>
      </c>
      <c r="C807" s="33" t="s">
        <v>2014</v>
      </c>
      <c r="D807" s="33" t="s">
        <v>1115</v>
      </c>
      <c r="E807" s="32" t="s">
        <v>2015</v>
      </c>
      <c r="F807" s="35">
        <v>118</v>
      </c>
      <c r="G807" s="35">
        <v>424</v>
      </c>
      <c r="H807" s="35">
        <v>135</v>
      </c>
      <c r="I807" s="35">
        <v>6</v>
      </c>
      <c r="J807" s="36">
        <v>41865</v>
      </c>
      <c r="K807" s="37">
        <v>0.47430555555555554</v>
      </c>
      <c r="L807" s="36">
        <v>42934</v>
      </c>
      <c r="M807" s="38">
        <v>0.59785879629629635</v>
      </c>
    </row>
    <row r="808" spans="1:13" ht="45" x14ac:dyDescent="0.25">
      <c r="A808" s="33" t="s">
        <v>18</v>
      </c>
      <c r="B808" s="34" t="str">
        <f>HYPERLINK("http://www.twitter.com/ComptonCentre", "ComptonCentre")</f>
        <v>ComptonCentre</v>
      </c>
      <c r="C808" s="33" t="s">
        <v>2944</v>
      </c>
      <c r="D808" s="33" t="s">
        <v>2945</v>
      </c>
      <c r="E808" s="32" t="s">
        <v>2946</v>
      </c>
      <c r="F808" s="35">
        <v>382</v>
      </c>
      <c r="G808" s="35">
        <v>238</v>
      </c>
      <c r="H808" s="35">
        <v>126</v>
      </c>
      <c r="I808" s="35">
        <v>187</v>
      </c>
      <c r="J808" s="36">
        <v>42754</v>
      </c>
      <c r="K808" s="37">
        <v>0.63987268518518514</v>
      </c>
      <c r="L808" s="36">
        <v>42937</v>
      </c>
      <c r="M808" s="38">
        <v>0.43997685185185187</v>
      </c>
    </row>
    <row r="809" spans="1:13" ht="45" x14ac:dyDescent="0.25">
      <c r="A809" s="33" t="s">
        <v>18</v>
      </c>
      <c r="B809" s="34" t="str">
        <f>HYPERLINK("http://www.twitter.com/Stainforth4ALL", "Stainforth4ALL")</f>
        <v>Stainforth4ALL</v>
      </c>
      <c r="C809" s="33" t="s">
        <v>3179</v>
      </c>
      <c r="D809" s="33" t="s">
        <v>3180</v>
      </c>
      <c r="E809" s="32" t="s">
        <v>3667</v>
      </c>
      <c r="F809" s="35">
        <v>164</v>
      </c>
      <c r="G809" s="35">
        <v>98</v>
      </c>
      <c r="H809" s="35">
        <v>107</v>
      </c>
      <c r="I809" s="35">
        <v>9</v>
      </c>
      <c r="J809" s="36">
        <v>40929</v>
      </c>
      <c r="K809" s="37">
        <v>0.57283564814814814</v>
      </c>
      <c r="L809" s="36">
        <v>42940</v>
      </c>
      <c r="M809" s="38">
        <v>0.47782407407407407</v>
      </c>
    </row>
    <row r="810" spans="1:13" ht="45" x14ac:dyDescent="0.25">
      <c r="A810" s="33" t="s">
        <v>18</v>
      </c>
      <c r="B810" s="34" t="str">
        <f>HYPERLINK("http://www.twitter.com/Chantry_Library", "Chantry_Library")</f>
        <v>Chantry_Library</v>
      </c>
      <c r="C810" s="33" t="s">
        <v>2969</v>
      </c>
      <c r="D810" s="33" t="s">
        <v>2970</v>
      </c>
      <c r="E810" s="32" t="s">
        <v>2971</v>
      </c>
      <c r="F810" s="35">
        <v>165</v>
      </c>
      <c r="G810" s="35">
        <v>170</v>
      </c>
      <c r="H810" s="35">
        <v>107</v>
      </c>
      <c r="I810" s="35">
        <v>27</v>
      </c>
      <c r="J810" s="36">
        <v>42505</v>
      </c>
      <c r="K810" s="37">
        <v>0.41378472222222223</v>
      </c>
      <c r="L810" s="36">
        <v>42939</v>
      </c>
      <c r="M810" s="38">
        <v>0.44179398148148147</v>
      </c>
    </row>
    <row r="811" spans="1:13" ht="45" x14ac:dyDescent="0.25">
      <c r="A811" s="33" t="s">
        <v>18</v>
      </c>
      <c r="B811" s="34" t="str">
        <f>HYPERLINK("http://www.twitter.com/ThurstonLibrary", "ThurstonLibrary")</f>
        <v>ThurstonLibrary</v>
      </c>
      <c r="C811" s="33" t="s">
        <v>3014</v>
      </c>
      <c r="D811" s="33" t="s">
        <v>3015</v>
      </c>
      <c r="E811" s="32" t="s">
        <v>3016</v>
      </c>
      <c r="F811" s="35">
        <v>74</v>
      </c>
      <c r="G811" s="35">
        <v>148</v>
      </c>
      <c r="H811" s="35">
        <v>104</v>
      </c>
      <c r="I811" s="35">
        <v>3</v>
      </c>
      <c r="J811" s="36">
        <v>40691</v>
      </c>
      <c r="K811" s="37">
        <v>0.58758101851851852</v>
      </c>
      <c r="L811" s="36">
        <v>42938</v>
      </c>
      <c r="M811" s="38">
        <v>0.89861111111111114</v>
      </c>
    </row>
    <row r="812" spans="1:13" x14ac:dyDescent="0.25">
      <c r="A812" s="33" t="s">
        <v>18</v>
      </c>
      <c r="B812" s="34" t="str">
        <f>HYPERLINK("http://www.twitter.com/WoodlandsLib", "WoodlandsLib")</f>
        <v>WoodlandsLib</v>
      </c>
      <c r="C812" s="33" t="s">
        <v>3073</v>
      </c>
      <c r="D812" s="33" t="s">
        <v>3074</v>
      </c>
      <c r="E812" s="32" t="s">
        <v>3075</v>
      </c>
      <c r="F812" s="35">
        <v>277</v>
      </c>
      <c r="G812" s="35">
        <v>119</v>
      </c>
      <c r="H812" s="35">
        <v>100</v>
      </c>
      <c r="I812" s="35">
        <v>39</v>
      </c>
      <c r="J812" s="36">
        <v>42499</v>
      </c>
      <c r="K812" s="37">
        <v>0.51314814814814813</v>
      </c>
      <c r="L812" s="36">
        <v>42789</v>
      </c>
      <c r="M812" s="38">
        <v>0.49814814814814817</v>
      </c>
    </row>
    <row r="813" spans="1:13" ht="45" x14ac:dyDescent="0.25">
      <c r="A813" s="33" t="s">
        <v>18</v>
      </c>
      <c r="B813" s="34" t="str">
        <f>HYPERLINK("http://www.twitter.com/StanwellLibrary", "StanwellLibrary")</f>
        <v>StanwellLibrary</v>
      </c>
      <c r="C813" s="33" t="s">
        <v>2019</v>
      </c>
      <c r="D813" s="33" t="s">
        <v>2020</v>
      </c>
      <c r="E813" s="32" t="s">
        <v>2021</v>
      </c>
      <c r="F813" s="35">
        <v>236</v>
      </c>
      <c r="G813" s="35">
        <v>407</v>
      </c>
      <c r="H813" s="35">
        <v>99</v>
      </c>
      <c r="I813" s="35">
        <v>3</v>
      </c>
      <c r="J813" s="36">
        <v>41225</v>
      </c>
      <c r="K813" s="37">
        <v>0.53128472222222223</v>
      </c>
      <c r="L813" s="36">
        <v>42937</v>
      </c>
      <c r="M813" s="38">
        <v>0.55913194444444447</v>
      </c>
    </row>
    <row r="814" spans="1:13" ht="30" x14ac:dyDescent="0.25">
      <c r="A814" s="33" t="s">
        <v>18</v>
      </c>
      <c r="B814" s="34" t="str">
        <f>HYPERLINK("http://www.twitter.com/BedaleLibrary", "BedaleLibrary")</f>
        <v>BedaleLibrary</v>
      </c>
      <c r="C814" s="33" t="s">
        <v>3322</v>
      </c>
      <c r="D814" s="33" t="s">
        <v>3323</v>
      </c>
      <c r="E814" s="32" t="s">
        <v>3324</v>
      </c>
      <c r="F814" s="35">
        <v>61</v>
      </c>
      <c r="G814" s="35">
        <v>71</v>
      </c>
      <c r="H814" s="35">
        <v>97</v>
      </c>
      <c r="I814" s="35">
        <v>0</v>
      </c>
      <c r="J814" s="36">
        <v>42594</v>
      </c>
      <c r="K814" s="37">
        <v>0.54593749999999996</v>
      </c>
      <c r="L814" s="36">
        <v>42935</v>
      </c>
      <c r="M814" s="38">
        <v>0.69400462962962972</v>
      </c>
    </row>
    <row r="815" spans="1:13" x14ac:dyDescent="0.25">
      <c r="A815" s="33" t="s">
        <v>18</v>
      </c>
      <c r="B815" s="34" t="str">
        <f>HYPERLINK("http://www.twitter.com/Millingtonshire", "Millingtonshire")</f>
        <v>Millingtonshire</v>
      </c>
      <c r="C815" s="33" t="s">
        <v>2842</v>
      </c>
      <c r="D815" s="33" t="s">
        <v>2843</v>
      </c>
      <c r="E815" s="32" t="s">
        <v>2844</v>
      </c>
      <c r="F815" s="35">
        <v>491</v>
      </c>
      <c r="G815" s="35">
        <v>171</v>
      </c>
      <c r="H815" s="35">
        <v>97</v>
      </c>
      <c r="I815" s="35">
        <v>49</v>
      </c>
      <c r="J815" s="36">
        <v>42058</v>
      </c>
      <c r="K815" s="37">
        <v>0.46398148148148149</v>
      </c>
      <c r="L815" s="36">
        <v>42095</v>
      </c>
      <c r="M815" s="38">
        <v>0.45952546296296298</v>
      </c>
    </row>
    <row r="816" spans="1:13" x14ac:dyDescent="0.25">
      <c r="A816" s="33" t="s">
        <v>18</v>
      </c>
      <c r="B816" s="34" t="str">
        <f>HYPERLINK("http://www.twitter.com/stthomaslib", "stthomaslib")</f>
        <v>stthomaslib</v>
      </c>
      <c r="C816" s="33" t="s">
        <v>2635</v>
      </c>
      <c r="D816" s="33" t="s">
        <v>2636</v>
      </c>
      <c r="E816" s="32" t="s">
        <v>943</v>
      </c>
      <c r="F816" s="35">
        <v>46</v>
      </c>
      <c r="G816" s="35">
        <v>213</v>
      </c>
      <c r="H816" s="35">
        <v>96</v>
      </c>
      <c r="I816" s="35">
        <v>38</v>
      </c>
      <c r="J816" s="36">
        <v>42262</v>
      </c>
      <c r="K816" s="37">
        <v>0.57863425925925926</v>
      </c>
      <c r="L816" s="36">
        <v>42934</v>
      </c>
      <c r="M816" s="38">
        <v>0.45101851851851849</v>
      </c>
    </row>
    <row r="817" spans="1:13" x14ac:dyDescent="0.25">
      <c r="A817" s="33" t="s">
        <v>18</v>
      </c>
      <c r="B817" s="34" t="str">
        <f>HYPERLINK("http://www.twitter.com/hallgreenlib", "hallgreenlib")</f>
        <v>hallgreenlib</v>
      </c>
      <c r="C817" s="33" t="s">
        <v>3188</v>
      </c>
      <c r="D817" s="33" t="s">
        <v>926</v>
      </c>
      <c r="F817" s="35">
        <v>243</v>
      </c>
      <c r="G817" s="35">
        <v>90</v>
      </c>
      <c r="H817" s="35">
        <v>95</v>
      </c>
      <c r="I817" s="35">
        <v>7</v>
      </c>
      <c r="J817" s="36">
        <v>42542</v>
      </c>
      <c r="K817" s="37">
        <v>0.60883101851851851</v>
      </c>
      <c r="L817" s="36">
        <v>42922</v>
      </c>
      <c r="M817" s="38">
        <v>0.44081018518518517</v>
      </c>
    </row>
    <row r="818" spans="1:13" ht="30" x14ac:dyDescent="0.25">
      <c r="A818" s="33" t="s">
        <v>18</v>
      </c>
      <c r="B818" s="34" t="str">
        <f>HYPERLINK("http://www.twitter.com/OkehamptonLib", "OkehamptonLib")</f>
        <v>OkehamptonLib</v>
      </c>
      <c r="C818" s="33" t="s">
        <v>3124</v>
      </c>
      <c r="D818" s="33" t="s">
        <v>3125</v>
      </c>
      <c r="E818" s="32" t="s">
        <v>3126</v>
      </c>
      <c r="F818" s="35">
        <v>19</v>
      </c>
      <c r="G818" s="35">
        <v>109</v>
      </c>
      <c r="H818" s="35">
        <v>95</v>
      </c>
      <c r="I818" s="35">
        <v>0</v>
      </c>
      <c r="J818" s="36">
        <v>42521</v>
      </c>
      <c r="K818" s="37">
        <v>0.42188657407407404</v>
      </c>
      <c r="L818" s="36">
        <v>42937</v>
      </c>
      <c r="M818" s="38">
        <v>0.64666666666666661</v>
      </c>
    </row>
    <row r="819" spans="1:13" x14ac:dyDescent="0.25">
      <c r="A819" s="33" t="s">
        <v>18</v>
      </c>
      <c r="B819" s="34" t="str">
        <f>HYPERLINK("http://www.twitter.com/StoneleighLib", "StoneleighLib")</f>
        <v>StoneleighLib</v>
      </c>
      <c r="C819" s="33" t="s">
        <v>3321</v>
      </c>
      <c r="F819" s="35">
        <v>44</v>
      </c>
      <c r="G819" s="35">
        <v>66</v>
      </c>
      <c r="H819" s="35">
        <v>92</v>
      </c>
      <c r="I819" s="35">
        <v>15</v>
      </c>
      <c r="J819" s="36">
        <v>42431</v>
      </c>
      <c r="K819" s="37">
        <v>0.67083333333333339</v>
      </c>
      <c r="L819" s="36">
        <v>42919</v>
      </c>
      <c r="M819" s="38">
        <v>0.6654282407407407</v>
      </c>
    </row>
    <row r="820" spans="1:13" x14ac:dyDescent="0.25">
      <c r="A820" s="33" t="s">
        <v>18</v>
      </c>
      <c r="B820" s="34" t="str">
        <f>HYPERLINK("http://www.twitter.com/Glemsford_Lib", "Glemsford_Lib")</f>
        <v>Glemsford_Lib</v>
      </c>
      <c r="C820" s="33" t="s">
        <v>3224</v>
      </c>
      <c r="D820" s="33" t="s">
        <v>3225</v>
      </c>
      <c r="F820" s="35">
        <v>163</v>
      </c>
      <c r="G820" s="35">
        <v>94</v>
      </c>
      <c r="H820" s="35">
        <v>86</v>
      </c>
      <c r="I820" s="35">
        <v>34</v>
      </c>
      <c r="J820" s="36">
        <v>42621</v>
      </c>
      <c r="K820" s="37">
        <v>0.57721064814814815</v>
      </c>
      <c r="L820" s="36">
        <v>42940</v>
      </c>
      <c r="M820" s="38">
        <v>0.67172453703703694</v>
      </c>
    </row>
    <row r="821" spans="1:13" x14ac:dyDescent="0.25">
      <c r="A821" s="33" t="s">
        <v>18</v>
      </c>
      <c r="B821" s="34" t="str">
        <f>HYPERLINK("http://www.twitter.com/Overton_Library", "Overton_Library")</f>
        <v>Overton_Library</v>
      </c>
      <c r="C821" s="33" t="s">
        <v>3087</v>
      </c>
      <c r="F821" s="35">
        <v>30</v>
      </c>
      <c r="G821" s="35">
        <v>121</v>
      </c>
      <c r="H821" s="35">
        <v>79</v>
      </c>
      <c r="I821" s="35">
        <v>20</v>
      </c>
      <c r="J821" s="36">
        <v>42265</v>
      </c>
      <c r="K821" s="37">
        <v>0.36717592592592596</v>
      </c>
      <c r="L821" s="36">
        <v>42892</v>
      </c>
      <c r="M821" s="38">
        <v>0.39758101851851851</v>
      </c>
    </row>
    <row r="822" spans="1:13" ht="30" x14ac:dyDescent="0.25">
      <c r="A822" s="33" t="s">
        <v>18</v>
      </c>
      <c r="B822" s="34" t="str">
        <f>HYPERLINK("http://www.twitter.com/BewdleyLibrary", "BewdleyLibrary")</f>
        <v>BewdleyLibrary</v>
      </c>
      <c r="C822" s="33" t="s">
        <v>2823</v>
      </c>
      <c r="D822" s="33" t="s">
        <v>2824</v>
      </c>
      <c r="E822" s="32" t="s">
        <v>2825</v>
      </c>
      <c r="F822" s="35">
        <v>78</v>
      </c>
      <c r="G822" s="35">
        <v>181</v>
      </c>
      <c r="H822" s="35">
        <v>79</v>
      </c>
      <c r="I822" s="35">
        <v>1</v>
      </c>
      <c r="J822" s="36">
        <v>41670</v>
      </c>
      <c r="K822" s="37">
        <v>0.56525462962962958</v>
      </c>
      <c r="L822" s="36">
        <v>42940</v>
      </c>
      <c r="M822" s="38">
        <v>0.49811342592592589</v>
      </c>
    </row>
    <row r="823" spans="1:13" ht="30" x14ac:dyDescent="0.25">
      <c r="A823" s="33" t="s">
        <v>18</v>
      </c>
      <c r="B823" s="34" t="str">
        <f>HYPERLINK("http://www.twitter.com/LCCPudseyHub", "LCCPudseyHub")</f>
        <v>LCCPudseyHub</v>
      </c>
      <c r="C823" s="33" t="s">
        <v>3021</v>
      </c>
      <c r="D823" s="33" t="s">
        <v>3022</v>
      </c>
      <c r="E823" s="32" t="s">
        <v>3023</v>
      </c>
      <c r="F823" s="35">
        <v>70</v>
      </c>
      <c r="G823" s="35">
        <v>167</v>
      </c>
      <c r="H823" s="35">
        <v>78</v>
      </c>
      <c r="I823" s="35">
        <v>11</v>
      </c>
      <c r="J823" s="36">
        <v>42741</v>
      </c>
      <c r="K823" s="37">
        <v>0.38613425925925932</v>
      </c>
      <c r="L823" s="36">
        <v>42928</v>
      </c>
      <c r="M823" s="38">
        <v>0.48287037037037034</v>
      </c>
    </row>
    <row r="824" spans="1:13" ht="30" x14ac:dyDescent="0.25">
      <c r="A824" s="33" t="s">
        <v>18</v>
      </c>
      <c r="B824" s="34" t="str">
        <f>HYPERLINK("http://www.twitter.com/dunningtonlib", "dunningtonlib")</f>
        <v>dunningtonlib</v>
      </c>
      <c r="C824" s="33" t="s">
        <v>2534</v>
      </c>
      <c r="E824" s="32" t="s">
        <v>2535</v>
      </c>
      <c r="F824" s="35">
        <v>37</v>
      </c>
      <c r="G824" s="35">
        <v>246</v>
      </c>
      <c r="H824" s="35">
        <v>78</v>
      </c>
      <c r="I824" s="35">
        <v>2</v>
      </c>
      <c r="J824" s="36">
        <v>41399</v>
      </c>
      <c r="K824" s="37">
        <v>0.80420138888888892</v>
      </c>
      <c r="L824" s="36">
        <v>42939</v>
      </c>
      <c r="M824" s="38">
        <v>0.81177083333333344</v>
      </c>
    </row>
    <row r="825" spans="1:13" ht="30" x14ac:dyDescent="0.25">
      <c r="A825" s="33" t="s">
        <v>18</v>
      </c>
      <c r="B825" s="34" t="str">
        <f>HYPERLINK("http://www.twitter.com/RobertJeyes", "RobertJeyes")</f>
        <v>RobertJeyes</v>
      </c>
      <c r="C825" s="33" t="s">
        <v>3438</v>
      </c>
      <c r="D825" s="33" t="s">
        <v>3439</v>
      </c>
      <c r="E825" s="32" t="s">
        <v>3440</v>
      </c>
      <c r="F825" s="35">
        <v>22</v>
      </c>
      <c r="G825" s="35">
        <v>31</v>
      </c>
      <c r="H825" s="35">
        <v>76</v>
      </c>
      <c r="I825" s="35">
        <v>0</v>
      </c>
      <c r="J825" s="36">
        <v>40287</v>
      </c>
      <c r="K825" s="37">
        <v>0.55060185185185184</v>
      </c>
      <c r="L825" s="36">
        <v>40571</v>
      </c>
      <c r="M825" s="38">
        <v>0.54171296296296301</v>
      </c>
    </row>
    <row r="826" spans="1:13" ht="30" x14ac:dyDescent="0.25">
      <c r="A826" s="33" t="s">
        <v>18</v>
      </c>
      <c r="B826" s="34" t="str">
        <f>HYPERLINK("http://www.twitter.com/WhitLibrary", "WhitLibrary")</f>
        <v>WhitLibrary</v>
      </c>
      <c r="C826" s="33" t="s">
        <v>1473</v>
      </c>
      <c r="E826" s="32" t="s">
        <v>3215</v>
      </c>
      <c r="F826" s="35">
        <v>59</v>
      </c>
      <c r="G826" s="35">
        <v>88</v>
      </c>
      <c r="H826" s="35">
        <v>76</v>
      </c>
      <c r="I826" s="35">
        <v>19</v>
      </c>
      <c r="J826" s="36">
        <v>42263</v>
      </c>
      <c r="K826" s="37">
        <v>0.883275462962963</v>
      </c>
      <c r="L826" s="36">
        <v>42937</v>
      </c>
      <c r="M826" s="38">
        <v>0.46054398148148151</v>
      </c>
    </row>
    <row r="827" spans="1:13" ht="45" x14ac:dyDescent="0.25">
      <c r="A827" s="33" t="s">
        <v>18</v>
      </c>
      <c r="B827" s="34" t="str">
        <f>HYPERLINK("http://www.twitter.com/WeoleyCastleLib", "WeoleyCastleLib")</f>
        <v>WeoleyCastleLib</v>
      </c>
      <c r="C827" s="33" t="s">
        <v>3330</v>
      </c>
      <c r="D827" s="33" t="s">
        <v>926</v>
      </c>
      <c r="E827" s="32" t="s">
        <v>3331</v>
      </c>
      <c r="F827" s="35">
        <v>23</v>
      </c>
      <c r="G827" s="35">
        <v>69</v>
      </c>
      <c r="H827" s="35">
        <v>74</v>
      </c>
      <c r="I827" s="35">
        <v>32</v>
      </c>
      <c r="J827" s="36">
        <v>42741</v>
      </c>
      <c r="K827" s="37">
        <v>0.36457175925925928</v>
      </c>
      <c r="L827" s="36">
        <v>42929</v>
      </c>
      <c r="M827" s="38">
        <v>0.64025462962962965</v>
      </c>
    </row>
    <row r="828" spans="1:13" x14ac:dyDescent="0.25">
      <c r="A828" s="33" t="s">
        <v>18</v>
      </c>
      <c r="B828" s="34" t="str">
        <f>HYPERLINK("http://www.twitter.com/V4GCL", "V4GCL")</f>
        <v>V4GCL</v>
      </c>
      <c r="C828" s="33" t="s">
        <v>3362</v>
      </c>
      <c r="F828" s="35">
        <v>177</v>
      </c>
      <c r="G828" s="35">
        <v>51</v>
      </c>
      <c r="H828" s="35">
        <v>68</v>
      </c>
      <c r="I828" s="35">
        <v>13</v>
      </c>
      <c r="J828" s="36">
        <v>42248</v>
      </c>
      <c r="K828" s="37">
        <v>0.74765046296296289</v>
      </c>
      <c r="L828" s="36">
        <v>42765</v>
      </c>
      <c r="M828" s="38">
        <v>0.33282407407407405</v>
      </c>
    </row>
    <row r="829" spans="1:13" ht="45" x14ac:dyDescent="0.25">
      <c r="A829" s="33" t="s">
        <v>18</v>
      </c>
      <c r="B829" s="34" t="str">
        <f>HYPERLINK("http://www.twitter.com/WatlingtonLib", "WatlingtonLib")</f>
        <v>WatlingtonLib</v>
      </c>
      <c r="C829" s="33" t="s">
        <v>3154</v>
      </c>
      <c r="D829" s="33" t="s">
        <v>296</v>
      </c>
      <c r="E829" s="32" t="s">
        <v>3155</v>
      </c>
      <c r="F829" s="35">
        <v>207</v>
      </c>
      <c r="G829" s="35">
        <v>96</v>
      </c>
      <c r="H829" s="35">
        <v>68</v>
      </c>
      <c r="I829" s="35">
        <v>0</v>
      </c>
      <c r="J829" s="36">
        <v>40429</v>
      </c>
      <c r="K829" s="37">
        <v>0.38534722222222223</v>
      </c>
      <c r="L829" s="36">
        <v>40465</v>
      </c>
      <c r="M829" s="38">
        <v>0.75643518518518515</v>
      </c>
    </row>
    <row r="830" spans="1:13" x14ac:dyDescent="0.25">
      <c r="A830" s="33" t="s">
        <v>18</v>
      </c>
      <c r="B830" s="34" t="str">
        <f>HYPERLINK("http://www.twitter.com/great_barr", "great_barr")</f>
        <v>great_barr</v>
      </c>
      <c r="C830" s="33" t="s">
        <v>2695</v>
      </c>
      <c r="F830" s="35">
        <v>516</v>
      </c>
      <c r="G830" s="35">
        <v>195</v>
      </c>
      <c r="H830" s="35">
        <v>64</v>
      </c>
      <c r="I830" s="35">
        <v>1</v>
      </c>
      <c r="J830" s="36">
        <v>41601</v>
      </c>
      <c r="K830" s="37">
        <v>0.46906249999999999</v>
      </c>
      <c r="L830" s="36">
        <v>42345</v>
      </c>
      <c r="M830" s="38">
        <v>0.48770833333333335</v>
      </c>
    </row>
    <row r="831" spans="1:13" x14ac:dyDescent="0.25">
      <c r="A831" s="33" t="s">
        <v>18</v>
      </c>
      <c r="B831" s="34" t="str">
        <f>HYPERLINK("http://www.twitter.com/sprotbrolibrary", "sprotbrolibrary")</f>
        <v>sprotbrolibrary</v>
      </c>
      <c r="C831" s="33" t="s">
        <v>3242</v>
      </c>
      <c r="D831" s="33" t="s">
        <v>1937</v>
      </c>
      <c r="E831" s="32" t="s">
        <v>3243</v>
      </c>
      <c r="F831" s="35">
        <v>48</v>
      </c>
      <c r="G831" s="35">
        <v>75</v>
      </c>
      <c r="H831" s="35">
        <v>63</v>
      </c>
      <c r="I831" s="35">
        <v>2</v>
      </c>
      <c r="J831" s="36">
        <v>41251</v>
      </c>
      <c r="K831" s="37">
        <v>2.5868055555555557E-2</v>
      </c>
      <c r="L831" s="36">
        <v>42524</v>
      </c>
      <c r="M831" s="38">
        <v>0.58158564814814817</v>
      </c>
    </row>
    <row r="832" spans="1:13" ht="30" x14ac:dyDescent="0.25">
      <c r="A832" s="33" t="s">
        <v>18</v>
      </c>
      <c r="B832" s="34" t="str">
        <f>HYPERLINK("http://www.twitter.com/SWTownLibrary", "SWTownLibrary")</f>
        <v>SWTownLibrary</v>
      </c>
      <c r="C832" s="33" t="s">
        <v>3060</v>
      </c>
      <c r="D832" s="33" t="s">
        <v>3061</v>
      </c>
      <c r="E832" s="32" t="s">
        <v>3062</v>
      </c>
      <c r="F832" s="35">
        <v>169</v>
      </c>
      <c r="G832" s="35">
        <v>120</v>
      </c>
      <c r="H832" s="35">
        <v>63</v>
      </c>
      <c r="I832" s="35">
        <v>3</v>
      </c>
      <c r="J832" s="36">
        <v>41795</v>
      </c>
      <c r="K832" s="37">
        <v>0.39396990740740739</v>
      </c>
      <c r="L832" s="36">
        <v>42068</v>
      </c>
      <c r="M832" s="38">
        <v>0.98550925925925925</v>
      </c>
    </row>
    <row r="833" spans="1:13" ht="45" x14ac:dyDescent="0.25">
      <c r="A833" s="33" t="s">
        <v>18</v>
      </c>
      <c r="B833" s="34" t="str">
        <f>HYPERLINK("http://www.twitter.com/PinhoeLibrary", "PinhoeLibrary")</f>
        <v>PinhoeLibrary</v>
      </c>
      <c r="C833" s="33" t="s">
        <v>2868</v>
      </c>
      <c r="D833" s="33" t="s">
        <v>2869</v>
      </c>
      <c r="E833" s="32" t="s">
        <v>2870</v>
      </c>
      <c r="F833" s="35">
        <v>55</v>
      </c>
      <c r="G833" s="35">
        <v>169</v>
      </c>
      <c r="H833" s="35">
        <v>60</v>
      </c>
      <c r="I833" s="35">
        <v>36</v>
      </c>
      <c r="J833" s="36">
        <v>42159</v>
      </c>
      <c r="K833" s="37">
        <v>0.75024305555555548</v>
      </c>
      <c r="L833" s="36">
        <v>42935</v>
      </c>
      <c r="M833" s="38">
        <v>0.51859953703703698</v>
      </c>
    </row>
    <row r="834" spans="1:13" x14ac:dyDescent="0.25">
      <c r="A834" s="33" t="s">
        <v>18</v>
      </c>
      <c r="B834" s="34" t="str">
        <f>HYPERLINK("http://www.twitter.com/londonlibraries", "londonlibraries")</f>
        <v>londonlibraries</v>
      </c>
      <c r="C834" s="33" t="s">
        <v>476</v>
      </c>
      <c r="D834" s="33" t="s">
        <v>36</v>
      </c>
      <c r="E834" s="32" t="s">
        <v>2262</v>
      </c>
      <c r="F834" s="35">
        <v>51</v>
      </c>
      <c r="G834" s="35">
        <v>303</v>
      </c>
      <c r="H834" s="35">
        <v>56</v>
      </c>
      <c r="I834" s="35">
        <v>0</v>
      </c>
      <c r="J834" s="36">
        <v>40254</v>
      </c>
      <c r="K834" s="37">
        <v>0.68763888888888891</v>
      </c>
      <c r="L834" s="36">
        <v>40800</v>
      </c>
      <c r="M834" s="38">
        <v>0.60636574074074068</v>
      </c>
    </row>
    <row r="835" spans="1:13" ht="45" x14ac:dyDescent="0.25">
      <c r="A835" s="33" t="s">
        <v>18</v>
      </c>
      <c r="B835" s="34" t="str">
        <f>HYPERLINK("http://www.twitter.com/GipsyvilleLibr1", "GipsyvilleLibr1")</f>
        <v>GipsyvilleLibr1</v>
      </c>
      <c r="C835" s="33" t="s">
        <v>3304</v>
      </c>
      <c r="D835" s="33" t="s">
        <v>3305</v>
      </c>
      <c r="E835" s="32" t="s">
        <v>3306</v>
      </c>
      <c r="F835" s="35">
        <v>130</v>
      </c>
      <c r="G835" s="35">
        <v>62</v>
      </c>
      <c r="H835" s="35">
        <v>55</v>
      </c>
      <c r="I835" s="35">
        <v>49</v>
      </c>
      <c r="J835" s="36">
        <v>42194</v>
      </c>
      <c r="K835" s="37">
        <v>0.36658564814814815</v>
      </c>
      <c r="L835" s="36">
        <v>42881</v>
      </c>
      <c r="M835" s="38">
        <v>0.53741898148148148</v>
      </c>
    </row>
    <row r="836" spans="1:13" x14ac:dyDescent="0.25">
      <c r="A836" s="33" t="s">
        <v>18</v>
      </c>
      <c r="B836" s="34" t="str">
        <f>HYPERLINK("http://www.twitter.com/tenburylib", "tenburylib")</f>
        <v>tenburylib</v>
      </c>
      <c r="C836" s="33" t="s">
        <v>3314</v>
      </c>
      <c r="D836" s="33" t="s">
        <v>3315</v>
      </c>
      <c r="F836" s="35">
        <v>6</v>
      </c>
      <c r="G836" s="35">
        <v>63</v>
      </c>
      <c r="H836" s="35">
        <v>54</v>
      </c>
      <c r="I836" s="35">
        <v>0</v>
      </c>
      <c r="J836" s="36">
        <v>41739</v>
      </c>
      <c r="K836" s="37">
        <v>0.6759722222222222</v>
      </c>
      <c r="L836" s="36">
        <v>42938</v>
      </c>
      <c r="M836" s="38">
        <v>0.37119212962962966</v>
      </c>
    </row>
    <row r="837" spans="1:13" ht="30" x14ac:dyDescent="0.25">
      <c r="A837" s="33" t="s">
        <v>18</v>
      </c>
      <c r="B837" s="34" t="str">
        <f>HYPERLINK("http://www.twitter.com/NewHawLibraryCP", "NewHawLibraryCP")</f>
        <v>NewHawLibraryCP</v>
      </c>
      <c r="C837" s="33" t="s">
        <v>3325</v>
      </c>
      <c r="D837" s="33" t="s">
        <v>3326</v>
      </c>
      <c r="E837" s="32" t="s">
        <v>3327</v>
      </c>
      <c r="F837" s="35">
        <v>31</v>
      </c>
      <c r="G837" s="35">
        <v>60</v>
      </c>
      <c r="H837" s="35">
        <v>52</v>
      </c>
      <c r="I837" s="35">
        <v>0</v>
      </c>
      <c r="J837" s="36">
        <v>40796</v>
      </c>
      <c r="K837" s="37">
        <v>0.60619212962962965</v>
      </c>
      <c r="L837" s="36">
        <v>41739</v>
      </c>
      <c r="M837" s="38">
        <v>0.27799768518518519</v>
      </c>
    </row>
    <row r="838" spans="1:13" x14ac:dyDescent="0.25">
      <c r="A838" s="33" t="s">
        <v>18</v>
      </c>
      <c r="B838" s="34" t="str">
        <f>HYPERLINK("http://www.twitter.com/Broomhilllibra1", "Broomhilllibra1")</f>
        <v>Broomhilllibra1</v>
      </c>
      <c r="C838" s="33" t="s">
        <v>3634</v>
      </c>
      <c r="F838" s="35">
        <v>66</v>
      </c>
      <c r="G838" s="35">
        <v>25</v>
      </c>
      <c r="H838" s="35">
        <v>51</v>
      </c>
      <c r="I838" s="35">
        <v>17</v>
      </c>
      <c r="J838" s="36">
        <v>42188</v>
      </c>
      <c r="K838" s="37">
        <v>0.86420138888888898</v>
      </c>
      <c r="L838" s="36">
        <v>42577</v>
      </c>
      <c r="M838" s="38">
        <v>0.76417824074074081</v>
      </c>
    </row>
    <row r="839" spans="1:13" x14ac:dyDescent="0.25">
      <c r="A839" s="33" t="s">
        <v>18</v>
      </c>
      <c r="B839" s="34" t="str">
        <f>HYPERLINK("http://www.twitter.com/stourportmobile", "stourportmobile")</f>
        <v>stourportmobile</v>
      </c>
      <c r="C839" s="33" t="s">
        <v>3338</v>
      </c>
      <c r="D839" s="33" t="s">
        <v>3339</v>
      </c>
      <c r="E839" s="32" t="s">
        <v>3338</v>
      </c>
      <c r="F839" s="35">
        <v>57</v>
      </c>
      <c r="G839" s="35">
        <v>56</v>
      </c>
      <c r="H839" s="35">
        <v>45</v>
      </c>
      <c r="I839" s="35">
        <v>1</v>
      </c>
      <c r="J839" s="36">
        <v>41824</v>
      </c>
      <c r="K839" s="37">
        <v>0.88292824074074072</v>
      </c>
      <c r="L839" s="36">
        <v>42938</v>
      </c>
      <c r="M839" s="38">
        <v>0.37107638888888889</v>
      </c>
    </row>
    <row r="840" spans="1:13" ht="30" x14ac:dyDescent="0.25">
      <c r="A840" s="33" t="s">
        <v>18</v>
      </c>
      <c r="B840" s="34" t="str">
        <f>HYPERLINK("http://www.twitter.com/BrackleyLibrary", "BrackleyLibrary")</f>
        <v>BrackleyLibrary</v>
      </c>
      <c r="C840" s="33" t="s">
        <v>3252</v>
      </c>
      <c r="D840" s="33" t="s">
        <v>3253</v>
      </c>
      <c r="E840" s="32" t="s">
        <v>3254</v>
      </c>
      <c r="F840" s="35">
        <v>66</v>
      </c>
      <c r="G840" s="35">
        <v>73</v>
      </c>
      <c r="H840" s="35">
        <v>41</v>
      </c>
      <c r="I840" s="35">
        <v>1</v>
      </c>
      <c r="J840" s="36">
        <v>41203</v>
      </c>
      <c r="K840" s="37">
        <v>0.53101851851851845</v>
      </c>
      <c r="L840" s="36">
        <v>42723</v>
      </c>
      <c r="M840" s="38">
        <v>0.69407407407407407</v>
      </c>
    </row>
    <row r="841" spans="1:13" x14ac:dyDescent="0.25">
      <c r="A841" s="33" t="s">
        <v>18</v>
      </c>
      <c r="B841" s="34" t="str">
        <f>HYPERLINK("http://www.twitter.com/BudleighLibrary", "BudleighLibrary")</f>
        <v>BudleighLibrary</v>
      </c>
      <c r="C841" s="33" t="s">
        <v>3069</v>
      </c>
      <c r="F841" s="35">
        <v>73</v>
      </c>
      <c r="G841" s="35">
        <v>116</v>
      </c>
      <c r="H841" s="35">
        <v>39</v>
      </c>
      <c r="I841" s="35">
        <v>0</v>
      </c>
      <c r="J841" s="36">
        <v>40686</v>
      </c>
      <c r="K841" s="37">
        <v>0.64674768518518522</v>
      </c>
      <c r="L841" s="36">
        <v>42877</v>
      </c>
      <c r="M841" s="38">
        <v>0.54561342592592588</v>
      </c>
    </row>
    <row r="842" spans="1:13" ht="30" x14ac:dyDescent="0.25">
      <c r="A842" s="33" t="s">
        <v>18</v>
      </c>
      <c r="B842" s="34" t="str">
        <f>HYPERLINK("http://www.twitter.com/AldeLibrary", "AldeLibrary")</f>
        <v>AldeLibrary</v>
      </c>
      <c r="C842" s="33" t="s">
        <v>3249</v>
      </c>
      <c r="D842" s="33" t="s">
        <v>3250</v>
      </c>
      <c r="E842" s="32" t="s">
        <v>3251</v>
      </c>
      <c r="F842" s="35">
        <v>1</v>
      </c>
      <c r="G842" s="35">
        <v>73</v>
      </c>
      <c r="H842" s="35">
        <v>35</v>
      </c>
      <c r="I842" s="35">
        <v>0</v>
      </c>
      <c r="J842" s="36">
        <v>41312</v>
      </c>
      <c r="K842" s="37">
        <v>0.4713310185185185</v>
      </c>
      <c r="L842" s="36">
        <v>41539</v>
      </c>
      <c r="M842" s="38">
        <v>0.86245370370370367</v>
      </c>
    </row>
    <row r="843" spans="1:13" x14ac:dyDescent="0.25">
      <c r="A843" s="33" t="s">
        <v>18</v>
      </c>
      <c r="B843" s="34" t="str">
        <f>HYPERLINK("http://www.twitter.com/HadleighLibrary", "HadleighLibrary")</f>
        <v>HadleighLibrary</v>
      </c>
      <c r="C843" s="33" t="s">
        <v>3240</v>
      </c>
      <c r="F843" s="35">
        <v>32</v>
      </c>
      <c r="G843" s="35">
        <v>76</v>
      </c>
      <c r="H843" s="35">
        <v>24</v>
      </c>
      <c r="I843" s="35">
        <v>1</v>
      </c>
      <c r="J843" s="36">
        <v>42187</v>
      </c>
      <c r="K843" s="37">
        <v>0.46271990740740737</v>
      </c>
      <c r="L843" s="36">
        <v>42550</v>
      </c>
      <c r="M843" s="38">
        <v>0.47164351851851855</v>
      </c>
    </row>
    <row r="844" spans="1:13" x14ac:dyDescent="0.25">
      <c r="A844" s="33" t="s">
        <v>18</v>
      </c>
      <c r="B844" s="34" t="str">
        <f>HYPERLINK("http://www.twitter.com/BENTLEY_LIBRARY", "BENTLEY_LIBRARY")</f>
        <v>BENTLEY_LIBRARY</v>
      </c>
      <c r="C844" s="33" t="s">
        <v>3496</v>
      </c>
      <c r="D844" s="33" t="s">
        <v>3497</v>
      </c>
      <c r="E844" s="32" t="s">
        <v>3498</v>
      </c>
      <c r="F844" s="35">
        <v>29</v>
      </c>
      <c r="G844" s="35">
        <v>17</v>
      </c>
      <c r="H844" s="35">
        <v>21</v>
      </c>
      <c r="I844" s="35">
        <v>0</v>
      </c>
      <c r="J844" s="36">
        <v>42096</v>
      </c>
      <c r="K844" s="37">
        <v>0.58454861111111112</v>
      </c>
      <c r="L844" s="36">
        <v>42595</v>
      </c>
      <c r="M844" s="38">
        <v>0.43297453703703703</v>
      </c>
    </row>
    <row r="845" spans="1:13" x14ac:dyDescent="0.25">
      <c r="A845" s="33" t="s">
        <v>18</v>
      </c>
      <c r="B845" s="34" t="str">
        <f>HYPERLINK("http://www.twitter.com/CapelLibrary", "CapelLibrary")</f>
        <v>CapelLibrary</v>
      </c>
      <c r="C845" s="33" t="s">
        <v>3364</v>
      </c>
      <c r="D845" s="33" t="s">
        <v>3365</v>
      </c>
      <c r="E845" s="32" t="s">
        <v>3366</v>
      </c>
      <c r="F845" s="35">
        <v>126</v>
      </c>
      <c r="G845" s="35">
        <v>58</v>
      </c>
      <c r="H845" s="35">
        <v>21</v>
      </c>
      <c r="I845" s="35">
        <v>12</v>
      </c>
      <c r="J845" s="36">
        <v>42403</v>
      </c>
      <c r="K845" s="37">
        <v>0.48401620370370368</v>
      </c>
      <c r="L845" s="36">
        <v>42868</v>
      </c>
      <c r="M845" s="38">
        <v>0.85732638888888879</v>
      </c>
    </row>
    <row r="846" spans="1:13" x14ac:dyDescent="0.25">
      <c r="A846" s="33" t="s">
        <v>18</v>
      </c>
      <c r="B846" s="34" t="str">
        <f>HYPERLINK("http://www.twitter.com/whitburnlib", "whitburnlib")</f>
        <v>whitburnlib</v>
      </c>
      <c r="C846" s="33" t="s">
        <v>3161</v>
      </c>
      <c r="D846" s="33" t="s">
        <v>3162</v>
      </c>
      <c r="F846" s="35">
        <v>3</v>
      </c>
      <c r="G846" s="35">
        <v>93</v>
      </c>
      <c r="H846" s="35">
        <v>21</v>
      </c>
      <c r="I846" s="35">
        <v>0</v>
      </c>
      <c r="J846" s="36">
        <v>40024</v>
      </c>
      <c r="K846" s="37">
        <v>0.37339120370370371</v>
      </c>
      <c r="L846" s="36">
        <v>40380</v>
      </c>
      <c r="M846" s="38">
        <v>0.40100694444444446</v>
      </c>
    </row>
    <row r="847" spans="1:13" x14ac:dyDescent="0.25">
      <c r="A847" s="33" t="s">
        <v>18</v>
      </c>
      <c r="B847" s="34" t="str">
        <f>HYPERLINK("http://www.twitter.com/armcomlib", "armcomlib")</f>
        <v>armcomlib</v>
      </c>
      <c r="C847" s="33" t="s">
        <v>3491</v>
      </c>
      <c r="D847" s="33" t="s">
        <v>3492</v>
      </c>
      <c r="F847" s="35">
        <v>0</v>
      </c>
      <c r="G847" s="35">
        <v>17</v>
      </c>
      <c r="H847" s="35">
        <v>20</v>
      </c>
      <c r="I847" s="35">
        <v>0</v>
      </c>
      <c r="J847" s="36">
        <v>41828</v>
      </c>
      <c r="K847" s="37">
        <v>0.87540509259259258</v>
      </c>
      <c r="L847" s="36">
        <v>42033</v>
      </c>
      <c r="M847" s="38">
        <v>0.65780092592592598</v>
      </c>
    </row>
    <row r="848" spans="1:13" ht="30" x14ac:dyDescent="0.25">
      <c r="A848" s="33" t="s">
        <v>18</v>
      </c>
      <c r="B848" s="34" t="str">
        <f>HYPERLINK("http://www.twitter.com/balbylibrary2", "balbylibrary2")</f>
        <v>balbylibrary2</v>
      </c>
      <c r="C848" s="33" t="s">
        <v>3441</v>
      </c>
      <c r="D848" s="33" t="s">
        <v>3074</v>
      </c>
      <c r="E848" s="32" t="s">
        <v>3442</v>
      </c>
      <c r="F848" s="35">
        <v>83</v>
      </c>
      <c r="G848" s="35">
        <v>31</v>
      </c>
      <c r="H848" s="35">
        <v>20</v>
      </c>
      <c r="I848" s="35">
        <v>2</v>
      </c>
      <c r="J848" s="36">
        <v>42374</v>
      </c>
      <c r="K848" s="37">
        <v>0.61393518518518519</v>
      </c>
      <c r="L848" s="36">
        <v>42648</v>
      </c>
      <c r="M848" s="38">
        <v>0.49453703703703705</v>
      </c>
    </row>
    <row r="849" spans="1:13" x14ac:dyDescent="0.25">
      <c r="A849" s="33" t="s">
        <v>18</v>
      </c>
      <c r="B849" s="34" t="str">
        <f>HYPERLINK("http://www.twitter.com/BanningLibrary", "BanningLibrary")</f>
        <v>BanningLibrary</v>
      </c>
      <c r="C849" s="33" t="s">
        <v>1887</v>
      </c>
      <c r="F849" s="35">
        <v>643</v>
      </c>
      <c r="G849" s="35">
        <v>450</v>
      </c>
      <c r="H849" s="35">
        <v>18</v>
      </c>
      <c r="I849" s="35">
        <v>0</v>
      </c>
      <c r="J849" s="36">
        <v>39941</v>
      </c>
      <c r="K849" s="37">
        <v>0.77440972222222226</v>
      </c>
      <c r="L849" s="36">
        <v>40610</v>
      </c>
      <c r="M849" s="38">
        <v>0.81005787037037036</v>
      </c>
    </row>
    <row r="850" spans="1:13" x14ac:dyDescent="0.25">
      <c r="A850" s="33" t="s">
        <v>18</v>
      </c>
      <c r="B850" s="34" t="str">
        <f>HYPERLINK("http://www.twitter.com/Clare_Lib", "Clare_Lib")</f>
        <v>Clare_Lib</v>
      </c>
      <c r="C850" s="33" t="s">
        <v>3630</v>
      </c>
      <c r="F850" s="35">
        <v>13</v>
      </c>
      <c r="G850" s="35">
        <v>22</v>
      </c>
      <c r="H850" s="35">
        <v>17</v>
      </c>
      <c r="I850" s="35">
        <v>2</v>
      </c>
      <c r="J850" s="36">
        <v>42693</v>
      </c>
      <c r="K850" s="37">
        <v>0.39972222222222226</v>
      </c>
      <c r="L850" s="36">
        <v>42855</v>
      </c>
      <c r="M850" s="38">
        <v>0.76869212962962974</v>
      </c>
    </row>
    <row r="851" spans="1:13" x14ac:dyDescent="0.25">
      <c r="A851" s="33" t="s">
        <v>18</v>
      </c>
      <c r="B851" s="34" t="str">
        <f>HYPERLINK("http://www.twitter.com/KensalRiseLib", "KensalRiseLib")</f>
        <v>KensalRiseLib</v>
      </c>
      <c r="C851" s="33" t="s">
        <v>3426</v>
      </c>
      <c r="F851" s="35">
        <v>0</v>
      </c>
      <c r="G851" s="35">
        <v>40</v>
      </c>
      <c r="H851" s="35">
        <v>16</v>
      </c>
      <c r="I851" s="35">
        <v>0</v>
      </c>
      <c r="J851" s="36">
        <v>42528</v>
      </c>
      <c r="K851" s="37">
        <v>0.86678240740740742</v>
      </c>
      <c r="L851" s="36">
        <v>42564</v>
      </c>
      <c r="M851" s="38">
        <v>0.33425925925925926</v>
      </c>
    </row>
    <row r="852" spans="1:13" ht="60" x14ac:dyDescent="0.25">
      <c r="A852" s="33" t="s">
        <v>18</v>
      </c>
      <c r="B852" s="34" t="str">
        <f>HYPERLINK("http://www.twitter.com/GolcarLibrary", "GolcarLibrary")</f>
        <v>GolcarLibrary</v>
      </c>
      <c r="C852" s="33" t="s">
        <v>3387</v>
      </c>
      <c r="D852" s="33" t="s">
        <v>3388</v>
      </c>
      <c r="E852" s="32" t="s">
        <v>3389</v>
      </c>
      <c r="F852" s="35">
        <v>36</v>
      </c>
      <c r="G852" s="35">
        <v>47</v>
      </c>
      <c r="H852" s="35">
        <v>14</v>
      </c>
      <c r="I852" s="35">
        <v>26</v>
      </c>
      <c r="J852" s="36">
        <v>41993</v>
      </c>
      <c r="K852" s="37">
        <v>0.82929398148148137</v>
      </c>
      <c r="L852" s="36">
        <v>42036</v>
      </c>
      <c r="M852" s="38">
        <v>0.62784722222222222</v>
      </c>
    </row>
    <row r="853" spans="1:13" ht="45" x14ac:dyDescent="0.25">
      <c r="A853" s="33" t="s">
        <v>18</v>
      </c>
      <c r="B853" s="34" t="str">
        <f>HYPERLINK("http://www.twitter.com/tadlibrary", "tadlibrary")</f>
        <v>tadlibrary</v>
      </c>
      <c r="C853" s="33" t="s">
        <v>3423</v>
      </c>
      <c r="D853" s="33" t="s">
        <v>3424</v>
      </c>
      <c r="E853" s="32" t="s">
        <v>3425</v>
      </c>
      <c r="F853" s="35">
        <v>44</v>
      </c>
      <c r="G853" s="35">
        <v>45</v>
      </c>
      <c r="H853" s="35">
        <v>13</v>
      </c>
      <c r="I853" s="35">
        <v>3</v>
      </c>
      <c r="J853" s="36">
        <v>42769</v>
      </c>
      <c r="K853" s="37">
        <v>0.67112268518518514</v>
      </c>
      <c r="L853" s="36">
        <v>42892</v>
      </c>
      <c r="M853" s="38">
        <v>0.58686342592592589</v>
      </c>
    </row>
    <row r="854" spans="1:13" ht="30" x14ac:dyDescent="0.25">
      <c r="A854" s="33" t="s">
        <v>18</v>
      </c>
      <c r="B854" s="34" t="str">
        <f>HYPERLINK("http://www.twitter.com/RushGreenLib", "RushGreenLib")</f>
        <v>RushGreenLib</v>
      </c>
      <c r="C854" s="33" t="s">
        <v>3453</v>
      </c>
      <c r="D854" s="33" t="s">
        <v>3454</v>
      </c>
      <c r="E854" s="32" t="s">
        <v>3455</v>
      </c>
      <c r="F854" s="35">
        <v>21</v>
      </c>
      <c r="G854" s="35">
        <v>27</v>
      </c>
      <c r="H854" s="35">
        <v>12</v>
      </c>
      <c r="I854" s="35">
        <v>0</v>
      </c>
      <c r="J854" s="36">
        <v>40570</v>
      </c>
      <c r="K854" s="37">
        <v>0.41523148148148148</v>
      </c>
      <c r="L854" s="36">
        <v>40789</v>
      </c>
      <c r="M854" s="38">
        <v>0.46410879629629626</v>
      </c>
    </row>
    <row r="855" spans="1:13" ht="30" x14ac:dyDescent="0.25">
      <c r="A855" s="33" t="s">
        <v>18</v>
      </c>
      <c r="B855" s="34" t="str">
        <f>HYPERLINK("http://www.twitter.com/LibraryFrankley", "LibraryFrankley")</f>
        <v>LibraryFrankley</v>
      </c>
      <c r="C855" s="33" t="s">
        <v>3420</v>
      </c>
      <c r="D855" s="33" t="s">
        <v>3421</v>
      </c>
      <c r="E855" s="32" t="s">
        <v>3422</v>
      </c>
      <c r="F855" s="35">
        <v>56</v>
      </c>
      <c r="G855" s="35">
        <v>37</v>
      </c>
      <c r="H855" s="35">
        <v>12</v>
      </c>
      <c r="I855" s="35">
        <v>0</v>
      </c>
      <c r="J855" s="36">
        <v>42345</v>
      </c>
      <c r="K855" s="37">
        <v>0.93030092592592595</v>
      </c>
      <c r="L855" s="36">
        <v>42394</v>
      </c>
      <c r="M855" s="38">
        <v>0.11436342592592592</v>
      </c>
    </row>
    <row r="856" spans="1:13" ht="30" x14ac:dyDescent="0.25">
      <c r="A856" s="33" t="s">
        <v>18</v>
      </c>
      <c r="B856" s="34" t="str">
        <f>HYPERLINK("http://www.twitter.com/LibrarySheldon", "LibrarySheldon")</f>
        <v>LibrarySheldon</v>
      </c>
      <c r="C856" s="33" t="s">
        <v>3502</v>
      </c>
      <c r="D856" s="33" t="s">
        <v>3503</v>
      </c>
      <c r="E856" s="32" t="s">
        <v>3504</v>
      </c>
      <c r="F856" s="35">
        <v>9</v>
      </c>
      <c r="G856" s="35">
        <v>14</v>
      </c>
      <c r="H856" s="35">
        <v>9</v>
      </c>
      <c r="I856" s="35">
        <v>0</v>
      </c>
      <c r="J856" s="36">
        <v>41538</v>
      </c>
      <c r="K856" s="37">
        <v>0.51320601851851855</v>
      </c>
      <c r="L856" s="36">
        <v>41585</v>
      </c>
      <c r="M856" s="38">
        <v>0.67354166666666659</v>
      </c>
    </row>
    <row r="857" spans="1:13" x14ac:dyDescent="0.25">
      <c r="A857" s="33" t="s">
        <v>18</v>
      </c>
      <c r="B857" s="34" t="str">
        <f>HYPERLINK("http://www.twitter.com/RothleyLibrary", "RothleyLibrary")</f>
        <v>RothleyLibrary</v>
      </c>
      <c r="C857" s="33" t="s">
        <v>3450</v>
      </c>
      <c r="D857" s="33" t="s">
        <v>1377</v>
      </c>
      <c r="F857" s="35">
        <v>51</v>
      </c>
      <c r="G857" s="35">
        <v>30</v>
      </c>
      <c r="H857" s="35">
        <v>9</v>
      </c>
      <c r="I857" s="35">
        <v>13</v>
      </c>
      <c r="J857" s="36">
        <v>42393</v>
      </c>
      <c r="K857" s="37">
        <v>0.53314814814814815</v>
      </c>
      <c r="L857" s="36">
        <v>42575</v>
      </c>
      <c r="M857" s="38">
        <v>8.6863425925925927E-2</v>
      </c>
    </row>
    <row r="858" spans="1:13" x14ac:dyDescent="0.25">
      <c r="A858" s="33" t="s">
        <v>18</v>
      </c>
      <c r="B858" s="34" t="str">
        <f>HYPERLINK("http://www.twitter.com/LibraryAckworth", "LibraryAckworth")</f>
        <v>LibraryAckworth</v>
      </c>
      <c r="C858" s="33" t="s">
        <v>3444</v>
      </c>
      <c r="F858" s="35">
        <v>38</v>
      </c>
      <c r="G858" s="35">
        <v>33</v>
      </c>
      <c r="H858" s="35">
        <v>9</v>
      </c>
      <c r="I858" s="35">
        <v>6</v>
      </c>
      <c r="J858" s="36">
        <v>41374</v>
      </c>
      <c r="K858" s="37">
        <v>0.60626157407407411</v>
      </c>
      <c r="L858" s="36">
        <v>41694</v>
      </c>
      <c r="M858" s="38">
        <v>0.32424768518518515</v>
      </c>
    </row>
    <row r="859" spans="1:13" ht="30" x14ac:dyDescent="0.25">
      <c r="A859" s="33" t="s">
        <v>18</v>
      </c>
      <c r="B859" s="34" t="str">
        <f>HYPERLINK("http://www.twitter.com/princetown_lib", "princetown_lib")</f>
        <v>princetown_lib</v>
      </c>
      <c r="C859" s="33" t="s">
        <v>3340</v>
      </c>
      <c r="D859" s="33" t="s">
        <v>3341</v>
      </c>
      <c r="E859" s="32" t="s">
        <v>3342</v>
      </c>
      <c r="F859" s="35">
        <v>35</v>
      </c>
      <c r="G859" s="35">
        <v>55</v>
      </c>
      <c r="H859" s="35">
        <v>9</v>
      </c>
      <c r="I859" s="35">
        <v>4</v>
      </c>
      <c r="J859" s="36">
        <v>42334</v>
      </c>
      <c r="K859" s="37">
        <v>0.52908564814814818</v>
      </c>
      <c r="L859" s="36">
        <v>42420</v>
      </c>
      <c r="M859" s="38">
        <v>0.50037037037037035</v>
      </c>
    </row>
    <row r="860" spans="1:13" x14ac:dyDescent="0.25">
      <c r="A860" s="33" t="s">
        <v>18</v>
      </c>
      <c r="B860" s="34" t="str">
        <f>HYPERLINK("http://www.twitter.com/redcarlibrary", "redcarlibrary")</f>
        <v>redcarlibrary</v>
      </c>
      <c r="C860" s="33" t="s">
        <v>3165</v>
      </c>
      <c r="D860" s="33" t="s">
        <v>296</v>
      </c>
      <c r="F860" s="35">
        <v>12</v>
      </c>
      <c r="G860" s="35">
        <v>94</v>
      </c>
      <c r="H860" s="35">
        <v>6</v>
      </c>
      <c r="I860" s="35">
        <v>0</v>
      </c>
      <c r="J860" s="36">
        <v>40152</v>
      </c>
      <c r="K860" s="37">
        <v>0.4132291666666667</v>
      </c>
      <c r="L860" s="36">
        <v>40610</v>
      </c>
      <c r="M860" s="38">
        <v>0.8771296296296297</v>
      </c>
    </row>
    <row r="861" spans="1:13" ht="30" x14ac:dyDescent="0.25">
      <c r="A861" s="33" t="s">
        <v>18</v>
      </c>
      <c r="B861" s="34" t="str">
        <f>HYPERLINK("http://www.twitter.com/OtteryLibrary", "OtteryLibrary")</f>
        <v>OtteryLibrary</v>
      </c>
      <c r="C861" s="33" t="s">
        <v>3460</v>
      </c>
      <c r="D861" s="33" t="s">
        <v>3461</v>
      </c>
      <c r="E861" s="32" t="s">
        <v>3462</v>
      </c>
      <c r="F861" s="35">
        <v>26</v>
      </c>
      <c r="G861" s="35">
        <v>26</v>
      </c>
      <c r="H861" s="35">
        <v>5</v>
      </c>
      <c r="I861" s="35">
        <v>0</v>
      </c>
      <c r="J861" s="36">
        <v>42630</v>
      </c>
      <c r="K861" s="37">
        <v>0.45311342592592596</v>
      </c>
      <c r="L861" s="36">
        <v>42630</v>
      </c>
      <c r="M861" s="38">
        <v>0.47431712962962963</v>
      </c>
    </row>
    <row r="862" spans="1:13" x14ac:dyDescent="0.25">
      <c r="A862" s="33" t="s">
        <v>18</v>
      </c>
      <c r="B862" s="34" t="str">
        <f>HYPERLINK("http://www.twitter.com/bawtry_library", "bawtry_library")</f>
        <v>bawtry_library</v>
      </c>
      <c r="C862" s="33" t="s">
        <v>3367</v>
      </c>
      <c r="D862" s="33" t="s">
        <v>3368</v>
      </c>
      <c r="E862" s="32" t="s">
        <v>3369</v>
      </c>
      <c r="F862" s="35">
        <v>2</v>
      </c>
      <c r="G862" s="35">
        <v>49</v>
      </c>
      <c r="H862" s="35">
        <v>4</v>
      </c>
      <c r="I862" s="35">
        <v>0</v>
      </c>
      <c r="J862" s="36">
        <v>41416</v>
      </c>
      <c r="K862" s="37">
        <v>0.61841435185185178</v>
      </c>
      <c r="L862" s="36">
        <v>41430</v>
      </c>
      <c r="M862" s="38">
        <v>0.66987268518518517</v>
      </c>
    </row>
    <row r="863" spans="1:13" x14ac:dyDescent="0.25">
      <c r="A863" s="33" t="s">
        <v>18</v>
      </c>
      <c r="B863" s="34" t="str">
        <f>HYPERLINK("http://www.twitter.com/moorendslibrary", "moorendslibrary")</f>
        <v>moorendslibrary</v>
      </c>
      <c r="C863" s="33" t="s">
        <v>3509</v>
      </c>
      <c r="F863" s="35">
        <v>11</v>
      </c>
      <c r="G863" s="35">
        <v>12</v>
      </c>
      <c r="H863" s="35">
        <v>3</v>
      </c>
      <c r="I863" s="35">
        <v>0</v>
      </c>
      <c r="J863" s="36">
        <v>42003</v>
      </c>
      <c r="K863" s="37">
        <v>0.39531250000000001</v>
      </c>
      <c r="L863" s="36">
        <v>42094</v>
      </c>
      <c r="M863" s="38">
        <v>0.37324074074074076</v>
      </c>
    </row>
    <row r="864" spans="1:13" ht="30" x14ac:dyDescent="0.25">
      <c r="A864" s="33" t="s">
        <v>18</v>
      </c>
      <c r="B864" s="34" t="str">
        <f>HYPERLINK("http://www.twitter.com/topsham_library", "topsham_library")</f>
        <v>topsham_library</v>
      </c>
      <c r="C864" s="33" t="s">
        <v>3480</v>
      </c>
      <c r="D864" s="33" t="s">
        <v>2679</v>
      </c>
      <c r="E864" s="32" t="s">
        <v>3481</v>
      </c>
      <c r="F864" s="35">
        <v>27</v>
      </c>
      <c r="G864" s="35">
        <v>23</v>
      </c>
      <c r="H864" s="35">
        <v>3</v>
      </c>
      <c r="I864" s="35">
        <v>0</v>
      </c>
      <c r="J864" s="36">
        <v>42398</v>
      </c>
      <c r="K864" s="37">
        <v>0.42866898148148147</v>
      </c>
      <c r="L864" s="36">
        <v>42398</v>
      </c>
      <c r="M864" s="38">
        <v>0.45961805555555557</v>
      </c>
    </row>
    <row r="865" spans="1:13" x14ac:dyDescent="0.25">
      <c r="A865" s="33" t="s">
        <v>18</v>
      </c>
      <c r="B865" s="34" t="str">
        <f>HYPERLINK("http://www.twitter.com/aldeburghlib", "aldeburghlib")</f>
        <v>aldeburghlib</v>
      </c>
      <c r="C865" s="33" t="s">
        <v>3249</v>
      </c>
      <c r="F865" s="35">
        <v>52</v>
      </c>
      <c r="G865" s="35">
        <v>13</v>
      </c>
      <c r="H865" s="35">
        <v>2</v>
      </c>
      <c r="I865" s="35">
        <v>0</v>
      </c>
      <c r="J865" s="36">
        <v>42930</v>
      </c>
      <c r="K865" s="37">
        <v>0.57016203703703705</v>
      </c>
      <c r="L865" s="36">
        <v>42931</v>
      </c>
      <c r="M865" s="38">
        <v>0.41876157407407405</v>
      </c>
    </row>
    <row r="866" spans="1:13" ht="30" x14ac:dyDescent="0.25">
      <c r="A866" s="33" t="s">
        <v>18</v>
      </c>
      <c r="B866" s="34" t="str">
        <f>HYPERLINK("http://www.twitter.com/Wantz_Library", "Wantz_Library")</f>
        <v>Wantz_Library</v>
      </c>
      <c r="C866" s="33" t="s">
        <v>3412</v>
      </c>
      <c r="D866" s="33" t="s">
        <v>3413</v>
      </c>
      <c r="E866" s="32" t="s">
        <v>3414</v>
      </c>
      <c r="F866" s="35">
        <v>62</v>
      </c>
      <c r="G866" s="35">
        <v>38</v>
      </c>
      <c r="H866" s="35">
        <v>2</v>
      </c>
      <c r="I866" s="35">
        <v>0</v>
      </c>
      <c r="J866" s="36">
        <v>40323</v>
      </c>
      <c r="K866" s="37">
        <v>0.4576157407407408</v>
      </c>
      <c r="L866" s="36">
        <v>40330</v>
      </c>
      <c r="M866" s="38">
        <v>0.55644675925925924</v>
      </c>
    </row>
    <row r="867" spans="1:13" ht="30" x14ac:dyDescent="0.25">
      <c r="A867" s="33" t="s">
        <v>18</v>
      </c>
      <c r="B867" s="34" t="str">
        <f>HYPERLINK("http://www.twitter.com/SummertownLib", "SummertownLib")</f>
        <v>SummertownLib</v>
      </c>
      <c r="C867" s="33" t="s">
        <v>3194</v>
      </c>
      <c r="D867" s="33" t="s">
        <v>296</v>
      </c>
      <c r="E867" s="32" t="s">
        <v>3195</v>
      </c>
      <c r="F867" s="35">
        <v>69</v>
      </c>
      <c r="G867" s="35">
        <v>84</v>
      </c>
      <c r="H867" s="35">
        <v>2</v>
      </c>
      <c r="I867" s="35">
        <v>0</v>
      </c>
      <c r="J867" s="36">
        <v>40241</v>
      </c>
      <c r="K867" s="37">
        <v>0.5953356481481481</v>
      </c>
      <c r="L867" s="36">
        <v>40241</v>
      </c>
      <c r="M867" s="38">
        <v>0.61130787037037038</v>
      </c>
    </row>
    <row r="868" spans="1:13" x14ac:dyDescent="0.25">
      <c r="A868" s="33" t="s">
        <v>18</v>
      </c>
      <c r="B868" s="34" t="str">
        <f>HYPERLINK("http://www.twitter.com/WhitliB", "WhitliB")</f>
        <v>WhitliB</v>
      </c>
      <c r="C868" s="33" t="s">
        <v>3657</v>
      </c>
      <c r="F868" s="35">
        <v>0</v>
      </c>
      <c r="G868" s="35">
        <v>1</v>
      </c>
      <c r="H868" s="35">
        <v>1</v>
      </c>
      <c r="I868" s="35">
        <v>0</v>
      </c>
      <c r="J868" s="36">
        <v>41177</v>
      </c>
      <c r="K868" s="37">
        <v>0.75512731481481488</v>
      </c>
      <c r="L868" s="36">
        <v>41182</v>
      </c>
      <c r="M868" s="38">
        <v>0.92503472222222216</v>
      </c>
    </row>
    <row r="869" spans="1:13" x14ac:dyDescent="0.25">
      <c r="A869" s="33" t="s">
        <v>18</v>
      </c>
      <c r="B869" s="34" t="str">
        <f>HYPERLINK("http://www.twitter.com/FairOakLibrary", "FairOakLibrary")</f>
        <v>FairOakLibrary</v>
      </c>
      <c r="C869" s="33" t="s">
        <v>3513</v>
      </c>
      <c r="D869" s="33" t="s">
        <v>3514</v>
      </c>
      <c r="F869" s="35">
        <v>14</v>
      </c>
      <c r="G869" s="35">
        <v>8</v>
      </c>
      <c r="H869" s="35">
        <v>1</v>
      </c>
      <c r="I869" s="35">
        <v>0</v>
      </c>
      <c r="J869" s="36">
        <v>40708</v>
      </c>
      <c r="K869" s="37">
        <v>0.3520833333333333</v>
      </c>
      <c r="L869" s="36">
        <v>40735</v>
      </c>
      <c r="M869" s="38">
        <v>0.3777430555555556</v>
      </c>
    </row>
    <row r="870" spans="1:13" x14ac:dyDescent="0.25">
      <c r="A870" s="33" t="s">
        <v>18</v>
      </c>
      <c r="B870" s="34" t="str">
        <f>HYPERLINK("http://www.twitter.com/Gtcornard", "Gtcornard")</f>
        <v>Gtcornard</v>
      </c>
      <c r="C870" s="33" t="s">
        <v>943</v>
      </c>
      <c r="F870" s="35">
        <v>7</v>
      </c>
      <c r="G870" s="35">
        <v>8</v>
      </c>
      <c r="H870" s="35">
        <v>1</v>
      </c>
      <c r="I870" s="35">
        <v>0</v>
      </c>
      <c r="J870" s="36">
        <v>42307</v>
      </c>
      <c r="K870" s="37">
        <v>0.77350694444444434</v>
      </c>
      <c r="L870" s="36">
        <v>42579</v>
      </c>
      <c r="M870" s="38">
        <v>0.87825231481481481</v>
      </c>
    </row>
    <row r="871" spans="1:13" x14ac:dyDescent="0.25">
      <c r="A871" s="33" t="s">
        <v>18</v>
      </c>
      <c r="B871" s="34" t="str">
        <f>HYPERLINK("http://www.twitter.com/Eye_Library", "Eye_Library")</f>
        <v>Eye_Library</v>
      </c>
      <c r="C871" s="33" t="s">
        <v>3653</v>
      </c>
      <c r="D871" s="33" t="s">
        <v>3654</v>
      </c>
      <c r="F871" s="35">
        <v>0</v>
      </c>
      <c r="G871" s="35">
        <v>6</v>
      </c>
      <c r="H871" s="35">
        <v>0</v>
      </c>
      <c r="I871" s="35">
        <v>0</v>
      </c>
      <c r="J871" s="36">
        <v>41423</v>
      </c>
      <c r="K871" s="37">
        <v>0.61174768518518519</v>
      </c>
    </row>
    <row r="872" spans="1:13" x14ac:dyDescent="0.25">
      <c r="A872" s="33" t="s">
        <v>18</v>
      </c>
      <c r="B872" s="34" t="str">
        <f>HYPERLINK("http://www.twitter.com/conisbroughlibr", "conisbroughlibr")</f>
        <v>conisbroughlibr</v>
      </c>
      <c r="C872" s="33" t="s">
        <v>3477</v>
      </c>
      <c r="F872" s="35">
        <v>3</v>
      </c>
      <c r="G872" s="35">
        <v>23</v>
      </c>
      <c r="H872" s="35">
        <v>0</v>
      </c>
      <c r="I872" s="35">
        <v>0</v>
      </c>
      <c r="J872" s="36">
        <v>41243</v>
      </c>
      <c r="K872" s="37">
        <v>0.68769675925925933</v>
      </c>
    </row>
    <row r="873" spans="1:13" ht="30" x14ac:dyDescent="0.25">
      <c r="A873" s="35" t="s">
        <v>243</v>
      </c>
      <c r="B873" s="34" t="str">
        <f>HYPERLINK("http://www.twitter.com/RedbridgeLibs", "RedbridgeLibs")</f>
        <v>RedbridgeLibs</v>
      </c>
      <c r="C873" s="33" t="s">
        <v>540</v>
      </c>
      <c r="E873" s="32" t="s">
        <v>541</v>
      </c>
      <c r="F873" s="35">
        <v>2514</v>
      </c>
      <c r="G873" s="35">
        <v>2454</v>
      </c>
      <c r="H873" s="35">
        <v>13966</v>
      </c>
      <c r="I873" s="35">
        <v>2706</v>
      </c>
      <c r="J873" s="36">
        <v>41183</v>
      </c>
      <c r="K873" s="37">
        <v>0.70781250000000007</v>
      </c>
      <c r="L873" s="36">
        <v>42940</v>
      </c>
      <c r="M873" s="38">
        <v>0.61359953703703707</v>
      </c>
    </row>
    <row r="874" spans="1:13" x14ac:dyDescent="0.25">
      <c r="A874" s="35" t="s">
        <v>243</v>
      </c>
      <c r="B874" s="34" t="str">
        <f>HYPERLINK("http://www.twitter.com/Islingtonlibs", "Islingtonlibs")</f>
        <v>Islingtonlibs</v>
      </c>
      <c r="C874" s="33" t="s">
        <v>312</v>
      </c>
      <c r="D874" s="33" t="s">
        <v>3643</v>
      </c>
      <c r="E874" s="32" t="s">
        <v>313</v>
      </c>
      <c r="F874" s="35">
        <v>1944</v>
      </c>
      <c r="G874" s="35">
        <v>3581</v>
      </c>
      <c r="H874" s="35">
        <v>10796</v>
      </c>
      <c r="I874" s="35">
        <v>5099</v>
      </c>
      <c r="J874" s="36">
        <v>41703</v>
      </c>
      <c r="K874" s="37">
        <v>0.49004629629629631</v>
      </c>
      <c r="L874" s="36">
        <v>42940</v>
      </c>
      <c r="M874" s="38">
        <v>0.73288194444444443</v>
      </c>
    </row>
    <row r="875" spans="1:13" ht="30" x14ac:dyDescent="0.25">
      <c r="A875" s="35" t="s">
        <v>243</v>
      </c>
      <c r="B875" s="34" t="str">
        <f>HYPERLINK("http://www.twitter.com/WCCLibraries", "WCCLibraries")</f>
        <v>WCCLibraries</v>
      </c>
      <c r="C875" s="33" t="s">
        <v>444</v>
      </c>
      <c r="D875" s="33" t="s">
        <v>445</v>
      </c>
      <c r="E875" s="32" t="s">
        <v>446</v>
      </c>
      <c r="F875" s="35">
        <v>930</v>
      </c>
      <c r="G875" s="35">
        <v>2768</v>
      </c>
      <c r="H875" s="35">
        <v>10322</v>
      </c>
      <c r="I875" s="35">
        <v>1473</v>
      </c>
      <c r="J875" s="36">
        <v>39875</v>
      </c>
      <c r="K875" s="37">
        <v>0.97302083333333333</v>
      </c>
      <c r="L875" s="36">
        <v>42940</v>
      </c>
      <c r="M875" s="38">
        <v>0.69513888888888886</v>
      </c>
    </row>
    <row r="876" spans="1:13" x14ac:dyDescent="0.25">
      <c r="A876" s="35" t="s">
        <v>243</v>
      </c>
      <c r="B876" s="34" t="str">
        <f>HYPERLINK("http://www.twitter.com/BarnetLibraries", "BarnetLibraries")</f>
        <v>BarnetLibraries</v>
      </c>
      <c r="C876" s="33" t="s">
        <v>790</v>
      </c>
      <c r="E876" s="32" t="s">
        <v>791</v>
      </c>
      <c r="F876" s="35">
        <v>566</v>
      </c>
      <c r="G876" s="35">
        <v>1665</v>
      </c>
      <c r="H876" s="35">
        <v>8746</v>
      </c>
      <c r="I876" s="35">
        <v>652</v>
      </c>
      <c r="J876" s="36">
        <v>41128</v>
      </c>
      <c r="K876" s="37">
        <v>0.64898148148148149</v>
      </c>
      <c r="L876" s="36">
        <v>42940</v>
      </c>
      <c r="M876" s="38">
        <v>0.6950115740740741</v>
      </c>
    </row>
    <row r="877" spans="1:13" ht="45" x14ac:dyDescent="0.25">
      <c r="A877" s="35" t="s">
        <v>243</v>
      </c>
      <c r="B877" s="34" t="str">
        <f>HYPERLINK("http://www.twitter.com/Hill_libraries", "Hill_libraries")</f>
        <v>Hill_libraries</v>
      </c>
      <c r="C877" s="33" t="s">
        <v>562</v>
      </c>
      <c r="D877" s="33" t="s">
        <v>3638</v>
      </c>
      <c r="E877" s="32" t="s">
        <v>564</v>
      </c>
      <c r="F877" s="35">
        <v>1673</v>
      </c>
      <c r="G877" s="35">
        <v>2401</v>
      </c>
      <c r="H877" s="35">
        <v>8181</v>
      </c>
      <c r="I877" s="35">
        <v>4719</v>
      </c>
      <c r="J877" s="36">
        <v>41838</v>
      </c>
      <c r="K877" s="37">
        <v>0.34386574074074078</v>
      </c>
      <c r="L877" s="36">
        <v>42940</v>
      </c>
      <c r="M877" s="38">
        <v>0.54305555555555551</v>
      </c>
    </row>
    <row r="878" spans="1:13" ht="45" x14ac:dyDescent="0.25">
      <c r="A878" s="35" t="s">
        <v>243</v>
      </c>
      <c r="B878" s="34" t="str">
        <f>HYPERLINK("http://www.twitter.com/enfieldlibrary", "enfieldlibrary")</f>
        <v>enfieldlibrary</v>
      </c>
      <c r="C878" s="33" t="s">
        <v>498</v>
      </c>
      <c r="D878" s="33" t="s">
        <v>499</v>
      </c>
      <c r="E878" s="32" t="s">
        <v>500</v>
      </c>
      <c r="F878" s="35">
        <v>1282</v>
      </c>
      <c r="G878" s="35">
        <v>2562</v>
      </c>
      <c r="H878" s="35">
        <v>7595</v>
      </c>
      <c r="I878" s="35">
        <v>234</v>
      </c>
      <c r="J878" s="36">
        <v>40394</v>
      </c>
      <c r="K878" s="37">
        <v>0.28570601851851851</v>
      </c>
      <c r="L878" s="36">
        <v>42940</v>
      </c>
      <c r="M878" s="38">
        <v>0.40467592592592588</v>
      </c>
    </row>
    <row r="879" spans="1:13" ht="45" x14ac:dyDescent="0.25">
      <c r="A879" s="35" t="s">
        <v>243</v>
      </c>
      <c r="B879" s="34" t="str">
        <f>HYPERLINK("http://www.twitter.com/HaveringLibrary", "HaveringLibrary")</f>
        <v>HaveringLibrary</v>
      </c>
      <c r="C879" s="33" t="s">
        <v>414</v>
      </c>
      <c r="D879" s="33" t="s">
        <v>415</v>
      </c>
      <c r="E879" s="32" t="s">
        <v>416</v>
      </c>
      <c r="F879" s="35">
        <v>963</v>
      </c>
      <c r="G879" s="35">
        <v>2838</v>
      </c>
      <c r="H879" s="35">
        <v>7562</v>
      </c>
      <c r="I879" s="35">
        <v>293</v>
      </c>
      <c r="J879" s="36">
        <v>39974</v>
      </c>
      <c r="K879" s="37">
        <v>0.73577546296296292</v>
      </c>
      <c r="L879" s="36">
        <v>42940</v>
      </c>
      <c r="M879" s="38">
        <v>0.62456018518518519</v>
      </c>
    </row>
    <row r="880" spans="1:13" x14ac:dyDescent="0.25">
      <c r="A880" s="35" t="s">
        <v>243</v>
      </c>
      <c r="B880" s="34" t="str">
        <f>HYPERLINK("http://www.twitter.com/LewishamLibs", "LewishamLibs")</f>
        <v>LewishamLibs</v>
      </c>
      <c r="C880" s="33" t="s">
        <v>406</v>
      </c>
      <c r="D880" s="33" t="s">
        <v>387</v>
      </c>
      <c r="E880" s="32" t="s">
        <v>407</v>
      </c>
      <c r="F880" s="35">
        <v>728</v>
      </c>
      <c r="G880" s="35">
        <v>2910</v>
      </c>
      <c r="H880" s="35">
        <v>6989</v>
      </c>
      <c r="I880" s="35">
        <v>494</v>
      </c>
      <c r="J880" s="36">
        <v>39624</v>
      </c>
      <c r="K880" s="37">
        <v>0.36077546296296298</v>
      </c>
      <c r="L880" s="36">
        <v>42940</v>
      </c>
      <c r="M880" s="38">
        <v>0.60841435185185189</v>
      </c>
    </row>
    <row r="881" spans="1:13" x14ac:dyDescent="0.25">
      <c r="A881" s="35" t="s">
        <v>243</v>
      </c>
      <c r="B881" s="34" t="str">
        <f>HYPERLINK("http://www.twitter.com/RBKClibraries", "RBKClibraries")</f>
        <v>RBKClibraries</v>
      </c>
      <c r="C881" s="33" t="s">
        <v>649</v>
      </c>
      <c r="D881" s="33" t="s">
        <v>110</v>
      </c>
      <c r="E881" s="32" t="s">
        <v>650</v>
      </c>
      <c r="F881" s="35">
        <v>1121</v>
      </c>
      <c r="G881" s="35">
        <v>2111</v>
      </c>
      <c r="H881" s="35">
        <v>6404</v>
      </c>
      <c r="I881" s="35">
        <v>225</v>
      </c>
      <c r="J881" s="36">
        <v>39967</v>
      </c>
      <c r="K881" s="37">
        <v>0.4354513888888889</v>
      </c>
      <c r="L881" s="36">
        <v>42935</v>
      </c>
      <c r="M881" s="38">
        <v>0.58221064814814816</v>
      </c>
    </row>
    <row r="882" spans="1:13" ht="30" x14ac:dyDescent="0.25">
      <c r="A882" s="35" t="s">
        <v>243</v>
      </c>
      <c r="B882" s="34" t="str">
        <f>HYPERLINK("http://www.twitter.com/lamlibs", "lamlibs")</f>
        <v>lamlibs</v>
      </c>
      <c r="C882" s="33" t="s">
        <v>571</v>
      </c>
      <c r="D882" s="33" t="s">
        <v>572</v>
      </c>
      <c r="E882" s="32" t="s">
        <v>573</v>
      </c>
      <c r="F882" s="35">
        <v>617</v>
      </c>
      <c r="G882" s="35">
        <v>2318</v>
      </c>
      <c r="H882" s="35">
        <v>6152</v>
      </c>
      <c r="I882" s="35">
        <v>1517</v>
      </c>
      <c r="J882" s="36">
        <v>40725</v>
      </c>
      <c r="K882" s="37">
        <v>0.53478009259259263</v>
      </c>
      <c r="L882" s="36">
        <v>42940</v>
      </c>
      <c r="M882" s="38">
        <v>0.71795138888888888</v>
      </c>
    </row>
    <row r="883" spans="1:13" ht="45" x14ac:dyDescent="0.25">
      <c r="A883" s="35" t="s">
        <v>243</v>
      </c>
      <c r="B883" s="34" t="str">
        <f>HYPERLINK("http://www.twitter.com/BrentCulture", "BrentCulture")</f>
        <v>BrentCulture</v>
      </c>
      <c r="C883" s="33" t="s">
        <v>474</v>
      </c>
      <c r="D883" s="33" t="s">
        <v>36</v>
      </c>
      <c r="E883" s="32" t="s">
        <v>475</v>
      </c>
      <c r="F883" s="35">
        <v>1467</v>
      </c>
      <c r="G883" s="35">
        <v>2640</v>
      </c>
      <c r="H883" s="35">
        <v>4386</v>
      </c>
      <c r="I883" s="35">
        <v>374</v>
      </c>
      <c r="J883" s="36">
        <v>40325</v>
      </c>
      <c r="K883" s="37">
        <v>0.39254629629629628</v>
      </c>
      <c r="L883" s="36">
        <v>42940</v>
      </c>
      <c r="M883" s="38">
        <v>0.57567129629629632</v>
      </c>
    </row>
    <row r="884" spans="1:13" ht="45" x14ac:dyDescent="0.25">
      <c r="A884" s="35" t="s">
        <v>243</v>
      </c>
      <c r="B884" s="34" t="str">
        <f>HYPERLINK("http://www.twitter.com/RichmondLibs", "RichmondLibs")</f>
        <v>RichmondLibs</v>
      </c>
      <c r="C884" s="33" t="s">
        <v>620</v>
      </c>
      <c r="D884" s="33" t="s">
        <v>621</v>
      </c>
      <c r="E884" s="32" t="s">
        <v>622</v>
      </c>
      <c r="F884" s="35">
        <v>1286</v>
      </c>
      <c r="G884" s="35">
        <v>2189</v>
      </c>
      <c r="H884" s="35">
        <v>4328</v>
      </c>
      <c r="I884" s="35">
        <v>299</v>
      </c>
      <c r="J884" s="36">
        <v>40696</v>
      </c>
      <c r="K884" s="37">
        <v>0.89887731481481481</v>
      </c>
      <c r="L884" s="36">
        <v>42940</v>
      </c>
      <c r="M884" s="38">
        <v>0.40631944444444446</v>
      </c>
    </row>
    <row r="885" spans="1:13" ht="45" x14ac:dyDescent="0.25">
      <c r="A885" s="35" t="s">
        <v>243</v>
      </c>
      <c r="B885" s="34" t="str">
        <f>HYPERLINK("http://www.twitter.com/SuttonLibraries", "SuttonLibraries")</f>
        <v>SuttonLibraries</v>
      </c>
      <c r="C885" s="33" t="s">
        <v>674</v>
      </c>
      <c r="D885" s="33" t="s">
        <v>675</v>
      </c>
      <c r="E885" s="32" t="s">
        <v>676</v>
      </c>
      <c r="F885" s="35">
        <v>416</v>
      </c>
      <c r="G885" s="35">
        <v>1989</v>
      </c>
      <c r="H885" s="35">
        <v>4185</v>
      </c>
      <c r="I885" s="35">
        <v>996</v>
      </c>
      <c r="J885" s="36">
        <v>40134</v>
      </c>
      <c r="K885" s="37">
        <v>0.9239814814814814</v>
      </c>
      <c r="L885" s="36">
        <v>42940</v>
      </c>
      <c r="M885" s="38">
        <v>0.61644675925925929</v>
      </c>
    </row>
    <row r="886" spans="1:13" ht="45" x14ac:dyDescent="0.25">
      <c r="A886" s="35" t="s">
        <v>243</v>
      </c>
      <c r="B886" s="34" t="str">
        <f>HYPERLINK("http://www.twitter.com/greenwichlibs", "greenwichlibs")</f>
        <v>greenwichlibs</v>
      </c>
      <c r="C886" s="33" t="s">
        <v>839</v>
      </c>
      <c r="D886" s="33" t="s">
        <v>840</v>
      </c>
      <c r="E886" s="32" t="s">
        <v>841</v>
      </c>
      <c r="F886" s="35">
        <v>1060</v>
      </c>
      <c r="G886" s="35">
        <v>1572</v>
      </c>
      <c r="H886" s="35">
        <v>3944</v>
      </c>
      <c r="I886" s="35">
        <v>931</v>
      </c>
      <c r="J886" s="36">
        <v>41353</v>
      </c>
      <c r="K886" s="37">
        <v>0.54082175925925924</v>
      </c>
      <c r="L886" s="36">
        <v>42938</v>
      </c>
      <c r="M886" s="38">
        <v>0.85214120370370372</v>
      </c>
    </row>
    <row r="887" spans="1:13" ht="30" x14ac:dyDescent="0.25">
      <c r="A887" s="35" t="s">
        <v>243</v>
      </c>
      <c r="B887" s="34" t="str">
        <f>HYPERLINK("http://www.twitter.com/ideastores", "ideastores")</f>
        <v>ideastores</v>
      </c>
      <c r="C887" s="33" t="s">
        <v>339</v>
      </c>
      <c r="D887" s="33" t="s">
        <v>340</v>
      </c>
      <c r="E887" s="32" t="s">
        <v>341</v>
      </c>
      <c r="F887" s="35">
        <v>1731</v>
      </c>
      <c r="G887" s="35">
        <v>3359</v>
      </c>
      <c r="H887" s="35">
        <v>3100</v>
      </c>
      <c r="I887" s="35">
        <v>374</v>
      </c>
      <c r="J887" s="36">
        <v>39862</v>
      </c>
      <c r="K887" s="37">
        <v>0.72699074074074066</v>
      </c>
      <c r="L887" s="36">
        <v>42940</v>
      </c>
      <c r="M887" s="38">
        <v>0.63555555555555554</v>
      </c>
    </row>
    <row r="888" spans="1:13" ht="45" x14ac:dyDescent="0.25">
      <c r="A888" s="35" t="s">
        <v>243</v>
      </c>
      <c r="B888" s="34" t="str">
        <f>HYPERLINK("http://www.twitter.com/BromLibraries", "BromLibraries")</f>
        <v>BromLibraries</v>
      </c>
      <c r="C888" s="33" t="s">
        <v>952</v>
      </c>
      <c r="D888" s="33" t="s">
        <v>953</v>
      </c>
      <c r="E888" s="32" t="s">
        <v>954</v>
      </c>
      <c r="F888" s="35">
        <v>113</v>
      </c>
      <c r="G888" s="35">
        <v>1373</v>
      </c>
      <c r="H888" s="35">
        <v>2970</v>
      </c>
      <c r="I888" s="35">
        <v>93</v>
      </c>
      <c r="J888" s="36">
        <v>41435</v>
      </c>
      <c r="K888" s="37">
        <v>0.55045138888888889</v>
      </c>
      <c r="L888" s="36">
        <v>42940</v>
      </c>
      <c r="M888" s="38">
        <v>0.46660879629629631</v>
      </c>
    </row>
    <row r="889" spans="1:13" ht="45" x14ac:dyDescent="0.25">
      <c r="A889" s="35" t="s">
        <v>243</v>
      </c>
      <c r="B889" s="34" t="str">
        <f>HYPERLINK("http://www.twitter.com/BexleyLibraries", "BexleyLibraries")</f>
        <v>BexleyLibraries</v>
      </c>
      <c r="C889" s="33" t="s">
        <v>797</v>
      </c>
      <c r="D889" s="33" t="s">
        <v>798</v>
      </c>
      <c r="E889" s="32" t="s">
        <v>799</v>
      </c>
      <c r="F889" s="35">
        <v>122</v>
      </c>
      <c r="G889" s="35">
        <v>1634</v>
      </c>
      <c r="H889" s="35">
        <v>2595</v>
      </c>
      <c r="I889" s="35">
        <v>21</v>
      </c>
      <c r="J889" s="36">
        <v>40247</v>
      </c>
      <c r="K889" s="37">
        <v>0.43357638888888889</v>
      </c>
      <c r="L889" s="36">
        <v>42940</v>
      </c>
      <c r="M889" s="38">
        <v>0.73069444444444442</v>
      </c>
    </row>
    <row r="890" spans="1:13" ht="45" x14ac:dyDescent="0.25">
      <c r="A890" s="35" t="s">
        <v>243</v>
      </c>
      <c r="B890" s="34" t="str">
        <f>HYPERLINK("http://www.twitter.com/SouthwarkLibs", "SouthwarkLibs")</f>
        <v>SouthwarkLibs</v>
      </c>
      <c r="C890" s="33" t="s">
        <v>492</v>
      </c>
      <c r="D890" s="33" t="s">
        <v>493</v>
      </c>
      <c r="E890" s="32" t="s">
        <v>494</v>
      </c>
      <c r="F890" s="35">
        <v>394</v>
      </c>
      <c r="G890" s="35">
        <v>2537</v>
      </c>
      <c r="H890" s="35">
        <v>2593</v>
      </c>
      <c r="I890" s="35">
        <v>647</v>
      </c>
      <c r="J890" s="36">
        <v>41523</v>
      </c>
      <c r="K890" s="37">
        <v>0.46347222222222223</v>
      </c>
      <c r="L890" s="36">
        <v>42940</v>
      </c>
      <c r="M890" s="38">
        <v>0.72928240740740735</v>
      </c>
    </row>
    <row r="891" spans="1:13" ht="30" x14ac:dyDescent="0.25">
      <c r="A891" s="35" t="s">
        <v>243</v>
      </c>
      <c r="B891" s="34" t="str">
        <f>HYPERLINK("http://www.twitter.com/LBHFLibraries", "LBHFLibraries")</f>
        <v>LBHFLibraries</v>
      </c>
      <c r="C891" s="33" t="s">
        <v>1012</v>
      </c>
      <c r="D891" s="33" t="s">
        <v>110</v>
      </c>
      <c r="E891" s="32" t="s">
        <v>1014</v>
      </c>
      <c r="F891" s="35">
        <v>584</v>
      </c>
      <c r="G891" s="35">
        <v>1274</v>
      </c>
      <c r="H891" s="35">
        <v>2360</v>
      </c>
      <c r="I891" s="35">
        <v>135</v>
      </c>
      <c r="J891" s="36">
        <v>41306</v>
      </c>
      <c r="K891" s="37">
        <v>0.46262731481481478</v>
      </c>
      <c r="L891" s="36">
        <v>42939</v>
      </c>
      <c r="M891" s="38">
        <v>0.7691782407407407</v>
      </c>
    </row>
    <row r="892" spans="1:13" ht="45" x14ac:dyDescent="0.25">
      <c r="A892" s="35" t="s">
        <v>243</v>
      </c>
      <c r="B892" s="34" t="str">
        <f>HYPERLINK("http://www.twitter.com/hounslowculture", "hounslowculture")</f>
        <v>hounslowculture</v>
      </c>
      <c r="C892" s="33" t="s">
        <v>644</v>
      </c>
      <c r="D892" s="33" t="s">
        <v>645</v>
      </c>
      <c r="E892" s="32" t="s">
        <v>646</v>
      </c>
      <c r="F892" s="35">
        <v>594</v>
      </c>
      <c r="G892" s="35">
        <v>2089</v>
      </c>
      <c r="H892" s="35">
        <v>2259</v>
      </c>
      <c r="I892" s="35">
        <v>506</v>
      </c>
      <c r="J892" s="36">
        <v>40319</v>
      </c>
      <c r="K892" s="37">
        <v>0.37719907407407405</v>
      </c>
      <c r="L892" s="36">
        <v>42927</v>
      </c>
      <c r="M892" s="38">
        <v>0.66694444444444445</v>
      </c>
    </row>
    <row r="893" spans="1:13" ht="45" x14ac:dyDescent="0.25">
      <c r="A893" s="35" t="s">
        <v>243</v>
      </c>
      <c r="B893" s="34" t="str">
        <f>HYPERLINK("http://www.twitter.com/hackneylibs", "hackneylibs")</f>
        <v>hackneylibs</v>
      </c>
      <c r="C893" s="33" t="s">
        <v>992</v>
      </c>
      <c r="D893" s="33" t="s">
        <v>3633</v>
      </c>
      <c r="E893" s="32" t="s">
        <v>994</v>
      </c>
      <c r="F893" s="35">
        <v>589</v>
      </c>
      <c r="G893" s="35">
        <v>1344</v>
      </c>
      <c r="H893" s="35">
        <v>2201</v>
      </c>
      <c r="I893" s="35">
        <v>760</v>
      </c>
      <c r="J893" s="36">
        <v>42293</v>
      </c>
      <c r="K893" s="37">
        <v>0.52550925925925929</v>
      </c>
      <c r="L893" s="36">
        <v>42940</v>
      </c>
      <c r="M893" s="38">
        <v>0.72565972222222219</v>
      </c>
    </row>
    <row r="894" spans="1:13" ht="45" x14ac:dyDescent="0.25">
      <c r="A894" s="35" t="s">
        <v>243</v>
      </c>
      <c r="B894" s="34" t="str">
        <f>HYPERLINK("http://www.twitter.com/StainesLibrary", "StainesLibrary")</f>
        <v>StainesLibrary</v>
      </c>
      <c r="C894" s="33" t="s">
        <v>938</v>
      </c>
      <c r="D894" s="33" t="s">
        <v>939</v>
      </c>
      <c r="E894" s="32" t="s">
        <v>940</v>
      </c>
      <c r="F894" s="35">
        <v>795</v>
      </c>
      <c r="G894" s="35">
        <v>1365</v>
      </c>
      <c r="H894" s="35">
        <v>1733</v>
      </c>
      <c r="I894" s="35">
        <v>110</v>
      </c>
      <c r="J894" s="36">
        <v>40765</v>
      </c>
      <c r="K894" s="37">
        <v>0.35651620370370374</v>
      </c>
      <c r="L894" s="36">
        <v>42940</v>
      </c>
      <c r="M894" s="38">
        <v>0.34375</v>
      </c>
    </row>
    <row r="895" spans="1:13" ht="45" x14ac:dyDescent="0.25">
      <c r="A895" s="35" t="s">
        <v>243</v>
      </c>
      <c r="B895" s="34" t="str">
        <f>HYPERLINK("http://www.twitter.com/haringeylibrary", "haringeylibrary")</f>
        <v>haringeylibrary</v>
      </c>
      <c r="C895" s="33" t="s">
        <v>244</v>
      </c>
      <c r="D895" s="33" t="s">
        <v>245</v>
      </c>
      <c r="E895" s="32" t="s">
        <v>246</v>
      </c>
      <c r="F895" s="35">
        <v>2141</v>
      </c>
      <c r="G895" s="35">
        <v>4290</v>
      </c>
      <c r="H895" s="35">
        <v>1497</v>
      </c>
      <c r="I895" s="35">
        <v>7</v>
      </c>
      <c r="J895" s="36">
        <v>40052</v>
      </c>
      <c r="K895" s="37">
        <v>0.48697916666666669</v>
      </c>
      <c r="L895" s="36">
        <v>42940</v>
      </c>
      <c r="M895" s="38">
        <v>0.44800925925925927</v>
      </c>
    </row>
    <row r="896" spans="1:13" ht="30" x14ac:dyDescent="0.25">
      <c r="A896" s="35" t="s">
        <v>243</v>
      </c>
      <c r="B896" s="34" t="str">
        <f>HYPERLINK("http://www.twitter.com/CroydonLibs", "CroydonLibs")</f>
        <v>CroydonLibs</v>
      </c>
      <c r="C896" s="33" t="s">
        <v>1249</v>
      </c>
      <c r="D896" s="33" t="s">
        <v>1250</v>
      </c>
      <c r="E896" s="32" t="s">
        <v>1251</v>
      </c>
      <c r="F896" s="35">
        <v>377</v>
      </c>
      <c r="G896" s="35">
        <v>983</v>
      </c>
      <c r="H896" s="35">
        <v>1480</v>
      </c>
      <c r="I896" s="35">
        <v>213</v>
      </c>
      <c r="J896" s="36">
        <v>41514</v>
      </c>
      <c r="K896" s="37">
        <v>0.58740740740740738</v>
      </c>
      <c r="L896" s="36">
        <v>42927</v>
      </c>
      <c r="M896" s="38">
        <v>0.66715277777777782</v>
      </c>
    </row>
    <row r="897" spans="1:13" ht="30" x14ac:dyDescent="0.25">
      <c r="A897" s="35" t="s">
        <v>243</v>
      </c>
      <c r="B897" s="34" t="str">
        <f>HYPERLINK("http://www.twitter.com/EalingLibs", "EalingLibs")</f>
        <v>EalingLibs</v>
      </c>
      <c r="C897" s="33" t="s">
        <v>1727</v>
      </c>
      <c r="D897" s="33" t="s">
        <v>1728</v>
      </c>
      <c r="E897" s="32" t="s">
        <v>1729</v>
      </c>
      <c r="F897" s="35">
        <v>371</v>
      </c>
      <c r="G897" s="35">
        <v>556</v>
      </c>
      <c r="H897" s="35">
        <v>895</v>
      </c>
      <c r="I897" s="35">
        <v>168</v>
      </c>
      <c r="J897" s="36">
        <v>41977</v>
      </c>
      <c r="K897" s="37">
        <v>0.60827546296296298</v>
      </c>
      <c r="L897" s="36">
        <v>42936</v>
      </c>
      <c r="M897" s="38">
        <v>0.66771990740740739</v>
      </c>
    </row>
    <row r="898" spans="1:13" ht="30" x14ac:dyDescent="0.25">
      <c r="A898" s="35" t="s">
        <v>243</v>
      </c>
      <c r="B898" s="34" t="str">
        <f>HYPERLINK("http://www.twitter.com/HarrowLibs", "HarrowLibs")</f>
        <v>HarrowLibs</v>
      </c>
      <c r="C898" s="33" t="s">
        <v>1984</v>
      </c>
      <c r="D898" s="33" t="s">
        <v>1985</v>
      </c>
      <c r="E898" s="32" t="s">
        <v>1986</v>
      </c>
      <c r="F898" s="35">
        <v>374</v>
      </c>
      <c r="G898" s="35">
        <v>424</v>
      </c>
      <c r="H898" s="35">
        <v>597</v>
      </c>
      <c r="I898" s="35">
        <v>103</v>
      </c>
      <c r="J898" s="36">
        <v>41977</v>
      </c>
      <c r="K898" s="37">
        <v>0.58509259259259261</v>
      </c>
      <c r="L898" s="36">
        <v>42927</v>
      </c>
      <c r="M898" s="38">
        <v>0.6771759259259259</v>
      </c>
    </row>
    <row r="899" spans="1:13" ht="45" x14ac:dyDescent="0.25">
      <c r="A899" s="35" t="s">
        <v>243</v>
      </c>
      <c r="B899" s="34" t="str">
        <f>HYPERLINK("http://www.twitter.com/CamdenLibraries", "CamdenLibraries")</f>
        <v>CamdenLibraries</v>
      </c>
      <c r="C899" s="33" t="s">
        <v>2234</v>
      </c>
      <c r="D899" s="33" t="s">
        <v>2235</v>
      </c>
      <c r="E899" s="32" t="s">
        <v>2236</v>
      </c>
      <c r="F899" s="35">
        <v>114</v>
      </c>
      <c r="G899" s="35">
        <v>319</v>
      </c>
      <c r="H899" s="35">
        <v>360</v>
      </c>
      <c r="I899" s="35">
        <v>80</v>
      </c>
      <c r="J899" s="36">
        <v>40673</v>
      </c>
      <c r="K899" s="37">
        <v>0.47374999999999995</v>
      </c>
      <c r="L899" s="36">
        <v>42679</v>
      </c>
      <c r="M899" s="38">
        <v>0.41296296296296298</v>
      </c>
    </row>
    <row r="900" spans="1:13" ht="30" x14ac:dyDescent="0.25">
      <c r="A900" s="35" t="s">
        <v>243</v>
      </c>
      <c r="B900" s="34" t="str">
        <f>HYPERLINK("http://www.twitter.com/kingston_libs", "kingston_libs")</f>
        <v>kingston_libs</v>
      </c>
      <c r="C900" s="33" t="s">
        <v>665</v>
      </c>
      <c r="D900" s="33" t="s">
        <v>666</v>
      </c>
      <c r="E900" s="32" t="s">
        <v>667</v>
      </c>
      <c r="F900" s="35">
        <v>1579</v>
      </c>
      <c r="G900" s="35">
        <v>1983</v>
      </c>
      <c r="H900" s="35">
        <v>263</v>
      </c>
      <c r="I900" s="35">
        <v>1</v>
      </c>
      <c r="J900" s="36">
        <v>39954</v>
      </c>
      <c r="K900" s="37">
        <v>0.56847222222222216</v>
      </c>
      <c r="L900" s="36">
        <v>41231</v>
      </c>
      <c r="M900" s="38">
        <v>0.71565972222222218</v>
      </c>
    </row>
    <row r="901" spans="1:13" x14ac:dyDescent="0.25">
      <c r="A901" s="35" t="s">
        <v>243</v>
      </c>
      <c r="B901" s="34" t="str">
        <f>HYPERLINK("http://www.twitter.com/NewhamLibraries", "NewhamLibraries")</f>
        <v>NewhamLibraries</v>
      </c>
      <c r="C901" s="33" t="s">
        <v>3518</v>
      </c>
      <c r="D901" s="33" t="s">
        <v>3519</v>
      </c>
      <c r="E901" s="32" t="s">
        <v>3520</v>
      </c>
      <c r="F901" s="35">
        <v>0</v>
      </c>
      <c r="G901" s="35">
        <v>15</v>
      </c>
      <c r="H901" s="35">
        <v>0</v>
      </c>
      <c r="I901" s="35">
        <v>0</v>
      </c>
      <c r="J901" s="36">
        <v>42775</v>
      </c>
      <c r="K901" s="37">
        <v>0.74458333333333337</v>
      </c>
    </row>
    <row r="902" spans="1:13" ht="45" x14ac:dyDescent="0.25">
      <c r="A902" s="35" t="s">
        <v>120</v>
      </c>
      <c r="B902" s="34" t="str">
        <f>HYPERLINK("http://www.twitter.com/NorfolkLibs", "NorfolkLibs")</f>
        <v>NorfolkLibs</v>
      </c>
      <c r="C902" s="33" t="s">
        <v>157</v>
      </c>
      <c r="D902" s="33" t="s">
        <v>3672</v>
      </c>
      <c r="E902" s="32" t="s">
        <v>159</v>
      </c>
      <c r="F902" s="35">
        <v>1229</v>
      </c>
      <c r="G902" s="35">
        <v>6402</v>
      </c>
      <c r="H902" s="35">
        <v>27936</v>
      </c>
      <c r="I902" s="35">
        <v>5072</v>
      </c>
      <c r="J902" s="36">
        <v>40490</v>
      </c>
      <c r="K902" s="37">
        <v>0.56562499999999993</v>
      </c>
      <c r="L902" s="36">
        <v>42940</v>
      </c>
      <c r="M902" s="38">
        <v>0.65295138888888882</v>
      </c>
    </row>
    <row r="903" spans="1:13" ht="45" x14ac:dyDescent="0.25">
      <c r="A903" s="35" t="s">
        <v>120</v>
      </c>
      <c r="B903" s="34" t="str">
        <f>HYPERLINK("http://www.twitter.com/SurreyLibraries", "SurreyLibraries")</f>
        <v>SurreyLibraries</v>
      </c>
      <c r="C903" s="33" t="s">
        <v>140</v>
      </c>
      <c r="D903" s="33" t="s">
        <v>3680</v>
      </c>
      <c r="E903" s="32" t="s">
        <v>142</v>
      </c>
      <c r="F903" s="35">
        <v>792</v>
      </c>
      <c r="G903" s="35">
        <v>6821</v>
      </c>
      <c r="H903" s="35">
        <v>25159</v>
      </c>
      <c r="I903" s="35">
        <v>1005</v>
      </c>
      <c r="J903" s="36">
        <v>39974</v>
      </c>
      <c r="K903" s="37">
        <v>0.74731481481481488</v>
      </c>
      <c r="L903" s="36">
        <v>42940</v>
      </c>
      <c r="M903" s="38">
        <v>0.60385416666666669</v>
      </c>
    </row>
    <row r="904" spans="1:13" ht="45" x14ac:dyDescent="0.25">
      <c r="A904" s="35" t="s">
        <v>120</v>
      </c>
      <c r="B904" s="34" t="str">
        <f>HYPERLINK("http://www.twitter.com/lancspublib", "lancspublib")</f>
        <v>lancspublib</v>
      </c>
      <c r="C904" s="33" t="s">
        <v>146</v>
      </c>
      <c r="D904" s="33" t="s">
        <v>147</v>
      </c>
      <c r="E904" s="32" t="s">
        <v>3684</v>
      </c>
      <c r="F904" s="35">
        <v>950</v>
      </c>
      <c r="G904" s="35">
        <v>6696</v>
      </c>
      <c r="H904" s="35">
        <v>19435</v>
      </c>
      <c r="I904" s="35">
        <v>2289</v>
      </c>
      <c r="J904" s="36">
        <v>39909</v>
      </c>
      <c r="K904" s="37">
        <v>0.44556712962962958</v>
      </c>
      <c r="L904" s="36">
        <v>42940</v>
      </c>
      <c r="M904" s="38">
        <v>0.73325231481481479</v>
      </c>
    </row>
    <row r="905" spans="1:13" ht="30" x14ac:dyDescent="0.25">
      <c r="A905" s="35" t="s">
        <v>120</v>
      </c>
      <c r="B905" s="34" t="str">
        <f>HYPERLINK("http://www.twitter.com/SuffolkLibrary", "SuffolkLibrary")</f>
        <v>SuffolkLibrary</v>
      </c>
      <c r="C905" s="33" t="s">
        <v>234</v>
      </c>
      <c r="D905" s="33" t="s">
        <v>235</v>
      </c>
      <c r="E905" s="32" t="s">
        <v>236</v>
      </c>
      <c r="F905" s="35">
        <v>825</v>
      </c>
      <c r="G905" s="35">
        <v>4488</v>
      </c>
      <c r="H905" s="35">
        <v>14511</v>
      </c>
      <c r="I905" s="35">
        <v>970</v>
      </c>
      <c r="J905" s="36">
        <v>40296</v>
      </c>
      <c r="K905" s="37">
        <v>0.55873842592592593</v>
      </c>
      <c r="L905" s="36">
        <v>42940</v>
      </c>
      <c r="M905" s="38">
        <v>0.65625</v>
      </c>
    </row>
    <row r="906" spans="1:13" x14ac:dyDescent="0.25">
      <c r="A906" s="35" t="s">
        <v>120</v>
      </c>
      <c r="B906" s="34" t="str">
        <f>HYPERLINK("http://www.twitter.com/HertsLibraries", "HertsLibraries")</f>
        <v>HertsLibraries</v>
      </c>
      <c r="C906" s="33" t="s">
        <v>597</v>
      </c>
      <c r="D906" s="33" t="s">
        <v>3659</v>
      </c>
      <c r="E906" s="32" t="s">
        <v>599</v>
      </c>
      <c r="F906" s="35">
        <v>304</v>
      </c>
      <c r="G906" s="35">
        <v>2247</v>
      </c>
      <c r="H906" s="35">
        <v>13588</v>
      </c>
      <c r="I906" s="35">
        <v>885</v>
      </c>
      <c r="J906" s="36">
        <v>41079</v>
      </c>
      <c r="K906" s="37">
        <v>0.41621527777777773</v>
      </c>
      <c r="L906" s="36">
        <v>42940</v>
      </c>
      <c r="M906" s="38">
        <v>0.71884259259259264</v>
      </c>
    </row>
    <row r="907" spans="1:13" x14ac:dyDescent="0.25">
      <c r="A907" s="35" t="s">
        <v>120</v>
      </c>
      <c r="B907" s="34" t="str">
        <f>HYPERLINK("http://www.twitter.com/EssexLibraries", "EssexLibraries")</f>
        <v>EssexLibraries</v>
      </c>
      <c r="C907" s="33" t="s">
        <v>121</v>
      </c>
      <c r="D907" s="33" t="s">
        <v>122</v>
      </c>
      <c r="F907" s="35">
        <v>206</v>
      </c>
      <c r="G907" s="35">
        <v>7584</v>
      </c>
      <c r="H907" s="35">
        <v>13286</v>
      </c>
      <c r="I907" s="35">
        <v>3216</v>
      </c>
      <c r="J907" s="36">
        <v>40100</v>
      </c>
      <c r="K907" s="37">
        <v>0.31973379629629628</v>
      </c>
      <c r="L907" s="36">
        <v>42940</v>
      </c>
      <c r="M907" s="38">
        <v>0.70912037037037035</v>
      </c>
    </row>
    <row r="908" spans="1:13" ht="30" x14ac:dyDescent="0.25">
      <c r="A908" s="35" t="s">
        <v>120</v>
      </c>
      <c r="B908" s="34" t="str">
        <f>HYPERLINK("http://www.twitter.com/nycclibraries", "nycclibraries")</f>
        <v>nycclibraries</v>
      </c>
      <c r="C908" s="33" t="s">
        <v>589</v>
      </c>
      <c r="D908" s="33" t="s">
        <v>3660</v>
      </c>
      <c r="E908" s="32" t="s">
        <v>591</v>
      </c>
      <c r="F908" s="35">
        <v>714</v>
      </c>
      <c r="G908" s="35">
        <v>2246</v>
      </c>
      <c r="H908" s="35">
        <v>13057</v>
      </c>
      <c r="I908" s="35">
        <v>2026</v>
      </c>
      <c r="J908" s="36">
        <v>41025</v>
      </c>
      <c r="K908" s="37">
        <v>0.33636574074074077</v>
      </c>
      <c r="L908" s="36">
        <v>42940</v>
      </c>
      <c r="M908" s="38">
        <v>0.62523148148148155</v>
      </c>
    </row>
    <row r="909" spans="1:13" ht="45" x14ac:dyDescent="0.25">
      <c r="A909" s="35" t="s">
        <v>120</v>
      </c>
      <c r="B909" s="34" t="str">
        <f>HYPERLINK("http://www.twitter.com/warkslibraries", "warkslibraries")</f>
        <v>warkslibraries</v>
      </c>
      <c r="C909" s="33" t="s">
        <v>592</v>
      </c>
      <c r="D909" s="33" t="s">
        <v>3678</v>
      </c>
      <c r="E909" s="32" t="s">
        <v>594</v>
      </c>
      <c r="F909" s="35">
        <v>1225</v>
      </c>
      <c r="G909" s="35">
        <v>2261</v>
      </c>
      <c r="H909" s="35">
        <v>12456</v>
      </c>
      <c r="I909" s="35">
        <v>1056</v>
      </c>
      <c r="J909" s="36">
        <v>40191</v>
      </c>
      <c r="K909" s="37">
        <v>0.54045138888888888</v>
      </c>
      <c r="L909" s="36">
        <v>42940</v>
      </c>
      <c r="M909" s="38">
        <v>0.70951388888888889</v>
      </c>
    </row>
    <row r="910" spans="1:13" ht="30" x14ac:dyDescent="0.25">
      <c r="A910" s="35" t="s">
        <v>120</v>
      </c>
      <c r="B910" s="34" t="str">
        <f>HYPERLINK("http://www.twitter.com/Bucks_Libraries", "Bucks_Libraries")</f>
        <v>Bucks_Libraries</v>
      </c>
      <c r="C910" s="33" t="s">
        <v>323</v>
      </c>
      <c r="D910" s="33" t="s">
        <v>3677</v>
      </c>
      <c r="E910" s="32" t="s">
        <v>325</v>
      </c>
      <c r="F910" s="35">
        <v>610</v>
      </c>
      <c r="G910" s="35">
        <v>3491</v>
      </c>
      <c r="H910" s="35">
        <v>11876</v>
      </c>
      <c r="I910" s="35">
        <v>938</v>
      </c>
      <c r="J910" s="36">
        <v>40276</v>
      </c>
      <c r="K910" s="37">
        <v>0.55325231481481485</v>
      </c>
      <c r="L910" s="36">
        <v>42940</v>
      </c>
      <c r="M910" s="38">
        <v>0.46196759259259257</v>
      </c>
    </row>
    <row r="911" spans="1:13" ht="45" x14ac:dyDescent="0.25">
      <c r="A911" s="35" t="s">
        <v>120</v>
      </c>
      <c r="B911" s="34" t="str">
        <f>HYPERLINK("http://www.twitter.com/StaffsLibraries", "StaffsLibraries")</f>
        <v>StaffsLibraries</v>
      </c>
      <c r="C911" s="33" t="s">
        <v>638</v>
      </c>
      <c r="D911" s="33" t="s">
        <v>3650</v>
      </c>
      <c r="E911" s="32" t="s">
        <v>640</v>
      </c>
      <c r="F911" s="35">
        <v>1194</v>
      </c>
      <c r="G911" s="35">
        <v>2165</v>
      </c>
      <c r="H911" s="35">
        <v>9190</v>
      </c>
      <c r="I911" s="35">
        <v>1951</v>
      </c>
      <c r="J911" s="36">
        <v>41505</v>
      </c>
      <c r="K911" s="37">
        <v>0.68320601851851848</v>
      </c>
      <c r="L911" s="36">
        <v>42940</v>
      </c>
      <c r="M911" s="38">
        <v>0.66752314814814817</v>
      </c>
    </row>
    <row r="912" spans="1:13" ht="30" x14ac:dyDescent="0.25">
      <c r="A912" s="35" t="s">
        <v>120</v>
      </c>
      <c r="B912" s="34" t="str">
        <f>HYPERLINK("http://www.twitter.com/cambslib", "cambslib")</f>
        <v>cambslib</v>
      </c>
      <c r="C912" s="33" t="s">
        <v>371</v>
      </c>
      <c r="D912" s="33" t="s">
        <v>372</v>
      </c>
      <c r="E912" s="32" t="s">
        <v>373</v>
      </c>
      <c r="F912" s="35">
        <v>833</v>
      </c>
      <c r="G912" s="35">
        <v>3085</v>
      </c>
      <c r="H912" s="35">
        <v>8294</v>
      </c>
      <c r="I912" s="35">
        <v>755</v>
      </c>
      <c r="J912" s="36">
        <v>40012</v>
      </c>
      <c r="K912" s="37">
        <v>0.60168981481481476</v>
      </c>
      <c r="L912" s="36">
        <v>42940</v>
      </c>
      <c r="M912" s="38">
        <v>0.58336805555555549</v>
      </c>
    </row>
    <row r="913" spans="1:13" ht="45" x14ac:dyDescent="0.25">
      <c r="A913" s="35" t="s">
        <v>120</v>
      </c>
      <c r="B913" s="34" t="str">
        <f>HYPERLINK("http://www.twitter.com/DevonLibraries", "DevonLibraries")</f>
        <v>DevonLibraries</v>
      </c>
      <c r="C913" s="33" t="s">
        <v>202</v>
      </c>
      <c r="D913" s="33" t="s">
        <v>203</v>
      </c>
      <c r="E913" s="32" t="s">
        <v>204</v>
      </c>
      <c r="F913" s="35">
        <v>920</v>
      </c>
      <c r="G913" s="35">
        <v>4920</v>
      </c>
      <c r="H913" s="35">
        <v>6090</v>
      </c>
      <c r="I913" s="35">
        <v>540</v>
      </c>
      <c r="J913" s="36">
        <v>39855</v>
      </c>
      <c r="K913" s="37">
        <v>0.66401620370370373</v>
      </c>
      <c r="L913" s="36">
        <v>42940</v>
      </c>
      <c r="M913" s="38">
        <v>0.49002314814814812</v>
      </c>
    </row>
    <row r="914" spans="1:13" ht="45" x14ac:dyDescent="0.25">
      <c r="A914" s="35" t="s">
        <v>120</v>
      </c>
      <c r="B914" s="34" t="str">
        <f>HYPERLINK("http://www.twitter.com/Library_Plus", "Library_Plus")</f>
        <v>Library_Plus</v>
      </c>
      <c r="C914" s="33" t="s">
        <v>701</v>
      </c>
      <c r="D914" s="33" t="s">
        <v>702</v>
      </c>
      <c r="E914" s="32" t="s">
        <v>703</v>
      </c>
      <c r="F914" s="35">
        <v>1000</v>
      </c>
      <c r="G914" s="35">
        <v>1937</v>
      </c>
      <c r="H914" s="35">
        <v>5846</v>
      </c>
      <c r="I914" s="35">
        <v>318</v>
      </c>
      <c r="J914" s="36">
        <v>40841</v>
      </c>
      <c r="K914" s="37">
        <v>0.43430555555555556</v>
      </c>
      <c r="L914" s="36">
        <v>42940</v>
      </c>
      <c r="M914" s="38">
        <v>0.50365740740740739</v>
      </c>
    </row>
    <row r="915" spans="1:13" x14ac:dyDescent="0.25">
      <c r="A915" s="35" t="s">
        <v>120</v>
      </c>
      <c r="B915" s="34" t="str">
        <f>HYPERLINK("http://www.twitter.com/DerbyshireLibs", "DerbyshireLibs")</f>
        <v>DerbyshireLibs</v>
      </c>
      <c r="C915" s="33" t="s">
        <v>959</v>
      </c>
      <c r="E915" s="32" t="s">
        <v>960</v>
      </c>
      <c r="F915" s="35">
        <v>1022</v>
      </c>
      <c r="G915" s="35">
        <v>1335</v>
      </c>
      <c r="H915" s="35">
        <v>5735</v>
      </c>
      <c r="I915" s="35">
        <v>1820</v>
      </c>
      <c r="J915" s="36">
        <v>41705</v>
      </c>
      <c r="K915" s="37">
        <v>0.4130092592592593</v>
      </c>
      <c r="L915" s="36">
        <v>42940</v>
      </c>
      <c r="M915" s="38">
        <v>0.62697916666666664</v>
      </c>
    </row>
    <row r="916" spans="1:13" ht="30" x14ac:dyDescent="0.25">
      <c r="A916" s="35" t="s">
        <v>120</v>
      </c>
      <c r="B916" s="34" t="str">
        <f>HYPERLINK("http://www.twitter.com/nottslibraries", "nottslibraries")</f>
        <v>nottslibraries</v>
      </c>
      <c r="C916" s="33" t="s">
        <v>272</v>
      </c>
      <c r="D916" s="33" t="s">
        <v>273</v>
      </c>
      <c r="E916" s="32" t="s">
        <v>274</v>
      </c>
      <c r="F916" s="35">
        <v>1808</v>
      </c>
      <c r="G916" s="35">
        <v>3929</v>
      </c>
      <c r="H916" s="35">
        <v>5621</v>
      </c>
      <c r="I916" s="35">
        <v>631</v>
      </c>
      <c r="J916" s="36">
        <v>39899</v>
      </c>
      <c r="K916" s="37">
        <v>0.60795138888888889</v>
      </c>
      <c r="L916" s="36">
        <v>42940</v>
      </c>
      <c r="M916" s="38">
        <v>0.50062499999999999</v>
      </c>
    </row>
    <row r="917" spans="1:13" ht="45" x14ac:dyDescent="0.25">
      <c r="A917" s="35" t="s">
        <v>120</v>
      </c>
      <c r="B917" s="34" t="str">
        <f>HYPERLINK("http://www.twitter.com/leicslibraries", "leicslibraries")</f>
        <v>leicslibraries</v>
      </c>
      <c r="C917" s="33" t="s">
        <v>221</v>
      </c>
      <c r="D917" s="33" t="s">
        <v>222</v>
      </c>
      <c r="E917" s="32" t="s">
        <v>223</v>
      </c>
      <c r="F917" s="35">
        <v>1979</v>
      </c>
      <c r="G917" s="35">
        <v>4618</v>
      </c>
      <c r="H917" s="35">
        <v>5230</v>
      </c>
      <c r="I917" s="35">
        <v>408</v>
      </c>
      <c r="J917" s="36">
        <v>39874</v>
      </c>
      <c r="K917" s="37">
        <v>0.57811342592592596</v>
      </c>
      <c r="L917" s="36">
        <v>42940</v>
      </c>
      <c r="M917" s="38">
        <v>0.59739583333333335</v>
      </c>
    </row>
    <row r="918" spans="1:13" ht="45" x14ac:dyDescent="0.25">
      <c r="A918" s="35" t="s">
        <v>120</v>
      </c>
      <c r="B918" s="34" t="str">
        <f>HYPERLINK("http://www.twitter.com/hantslibraries", "hantslibraries")</f>
        <v>hantslibraries</v>
      </c>
      <c r="C918" s="33" t="s">
        <v>452</v>
      </c>
      <c r="D918" s="33" t="s">
        <v>453</v>
      </c>
      <c r="E918" s="32" t="s">
        <v>454</v>
      </c>
      <c r="F918" s="35">
        <v>1264</v>
      </c>
      <c r="G918" s="35">
        <v>2702</v>
      </c>
      <c r="H918" s="35">
        <v>3954</v>
      </c>
      <c r="I918" s="35">
        <v>1095</v>
      </c>
      <c r="J918" s="36">
        <v>39862</v>
      </c>
      <c r="K918" s="37">
        <v>0.55641203703703701</v>
      </c>
      <c r="L918" s="36">
        <v>42940</v>
      </c>
      <c r="M918" s="38">
        <v>0.72209490740740734</v>
      </c>
    </row>
    <row r="919" spans="1:13" ht="45" x14ac:dyDescent="0.25">
      <c r="A919" s="35" t="s">
        <v>120</v>
      </c>
      <c r="B919" s="34" t="str">
        <f>HYPERLINK("http://www.twitter.com/NSomLibraries", "NSomLibraries")</f>
        <v>NSomLibraries</v>
      </c>
      <c r="C919" s="33" t="s">
        <v>1234</v>
      </c>
      <c r="D919" s="33" t="s">
        <v>1235</v>
      </c>
      <c r="E919" s="32" t="s">
        <v>1236</v>
      </c>
      <c r="F919" s="35">
        <v>915</v>
      </c>
      <c r="G919" s="35">
        <v>1026</v>
      </c>
      <c r="H919" s="35">
        <v>3711</v>
      </c>
      <c r="I919" s="35">
        <v>463</v>
      </c>
      <c r="J919" s="36">
        <v>41655</v>
      </c>
      <c r="K919" s="37">
        <v>0.73732638888888891</v>
      </c>
      <c r="L919" s="36">
        <v>42940</v>
      </c>
      <c r="M919" s="38">
        <v>0.65296296296296297</v>
      </c>
    </row>
    <row r="920" spans="1:13" ht="45" x14ac:dyDescent="0.25">
      <c r="A920" s="35" t="s">
        <v>120</v>
      </c>
      <c r="B920" s="34" t="str">
        <f>HYPERLINK("http://www.twitter.com/SomersetLib", "SomersetLib")</f>
        <v>SomersetLib</v>
      </c>
      <c r="C920" s="33" t="s">
        <v>710</v>
      </c>
      <c r="D920" s="33" t="s">
        <v>3679</v>
      </c>
      <c r="E920" s="32" t="s">
        <v>712</v>
      </c>
      <c r="F920" s="35">
        <v>296</v>
      </c>
      <c r="G920" s="35">
        <v>1871</v>
      </c>
      <c r="H920" s="35">
        <v>3155</v>
      </c>
      <c r="I920" s="35">
        <v>793</v>
      </c>
      <c r="J920" s="36">
        <v>40134</v>
      </c>
      <c r="K920" s="37">
        <v>0.46209490740740744</v>
      </c>
      <c r="L920" s="36">
        <v>42940</v>
      </c>
      <c r="M920" s="38">
        <v>0.62369212962962961</v>
      </c>
    </row>
    <row r="921" spans="1:13" ht="30" x14ac:dyDescent="0.25">
      <c r="A921" s="35" t="s">
        <v>120</v>
      </c>
      <c r="B921" s="34" t="str">
        <f>HYPERLINK("http://www.twitter.com/Cumblibraries", "Cumblibraries")</f>
        <v>Cumblibraries</v>
      </c>
      <c r="C921" s="33" t="s">
        <v>1416</v>
      </c>
      <c r="D921" s="33" t="s">
        <v>1417</v>
      </c>
      <c r="E921" s="32" t="s">
        <v>1418</v>
      </c>
      <c r="F921" s="35">
        <v>467</v>
      </c>
      <c r="G921" s="35">
        <v>833</v>
      </c>
      <c r="H921" s="35">
        <v>2915</v>
      </c>
      <c r="I921" s="35">
        <v>1229</v>
      </c>
      <c r="J921" s="36">
        <v>41862</v>
      </c>
      <c r="K921" s="37">
        <v>0.38665509259259262</v>
      </c>
      <c r="L921" s="36">
        <v>42940</v>
      </c>
      <c r="M921" s="38">
        <v>0.7244560185185186</v>
      </c>
    </row>
    <row r="922" spans="1:13" ht="45" x14ac:dyDescent="0.25">
      <c r="A922" s="35" t="s">
        <v>120</v>
      </c>
      <c r="B922" s="34" t="str">
        <f>HYPERLINK("http://www.twitter.com/Oxonlibraries", "Oxonlibraries")</f>
        <v>Oxonlibraries</v>
      </c>
      <c r="C922" s="33" t="s">
        <v>1179</v>
      </c>
      <c r="D922" s="33" t="s">
        <v>1180</v>
      </c>
      <c r="E922" s="32" t="s">
        <v>1181</v>
      </c>
      <c r="F922" s="35">
        <v>923</v>
      </c>
      <c r="G922" s="35">
        <v>1111</v>
      </c>
      <c r="H922" s="35">
        <v>2878</v>
      </c>
      <c r="I922" s="35">
        <v>163</v>
      </c>
      <c r="J922" s="36">
        <v>41113</v>
      </c>
      <c r="K922" s="37">
        <v>0.64533564814814814</v>
      </c>
      <c r="L922" s="36">
        <v>42940</v>
      </c>
      <c r="M922" s="38">
        <v>0.28480324074074076</v>
      </c>
    </row>
    <row r="923" spans="1:13" ht="45" x14ac:dyDescent="0.25">
      <c r="A923" s="35" t="s">
        <v>120</v>
      </c>
      <c r="B923" s="34" t="str">
        <f>HYPERLINK("http://www.twitter.com/kentlibraries", "kentlibraries")</f>
        <v>kentlibraries</v>
      </c>
      <c r="C923" s="33" t="s">
        <v>1738</v>
      </c>
      <c r="D923" s="33" t="s">
        <v>1739</v>
      </c>
      <c r="E923" s="32" t="s">
        <v>1740</v>
      </c>
      <c r="F923" s="35">
        <v>73</v>
      </c>
      <c r="G923" s="35">
        <v>583</v>
      </c>
      <c r="H923" s="35">
        <v>2243</v>
      </c>
      <c r="I923" s="35">
        <v>635</v>
      </c>
      <c r="J923" s="36">
        <v>42192</v>
      </c>
      <c r="K923" s="37">
        <v>0.62877314814814811</v>
      </c>
      <c r="L923" s="36">
        <v>42940</v>
      </c>
      <c r="M923" s="38">
        <v>0.56018518518518523</v>
      </c>
    </row>
    <row r="924" spans="1:13" ht="45" x14ac:dyDescent="0.25">
      <c r="A924" s="35" t="s">
        <v>120</v>
      </c>
      <c r="B924" s="34" t="str">
        <f>HYPERLINK("http://www.twitter.com/SurreyCPLs", "SurreyCPLs")</f>
        <v>SurreyCPLs</v>
      </c>
      <c r="C924" s="33" t="s">
        <v>1811</v>
      </c>
      <c r="D924" s="33" t="s">
        <v>141</v>
      </c>
      <c r="E924" s="32" t="s">
        <v>1812</v>
      </c>
      <c r="F924" s="35">
        <v>289</v>
      </c>
      <c r="G924" s="35">
        <v>501</v>
      </c>
      <c r="H924" s="35">
        <v>1896</v>
      </c>
      <c r="I924" s="35">
        <v>307</v>
      </c>
      <c r="J924" s="36">
        <v>41676</v>
      </c>
      <c r="K924" s="37">
        <v>0.89189814814814816</v>
      </c>
      <c r="L924" s="36">
        <v>42933</v>
      </c>
      <c r="M924" s="38">
        <v>0.56170138888888888</v>
      </c>
    </row>
    <row r="925" spans="1:13" ht="45" x14ac:dyDescent="0.25">
      <c r="A925" s="35" t="s">
        <v>120</v>
      </c>
      <c r="B925" s="34" t="str">
        <f>HYPERLINK("http://www.twitter.com/DorkingLibrary", "DorkingLibrary")</f>
        <v>DorkingLibrary</v>
      </c>
      <c r="C925" s="33" t="s">
        <v>904</v>
      </c>
      <c r="E925" s="32" t="s">
        <v>905</v>
      </c>
      <c r="F925" s="35">
        <v>507</v>
      </c>
      <c r="G925" s="35">
        <v>1440</v>
      </c>
      <c r="H925" s="35">
        <v>1474</v>
      </c>
      <c r="I925" s="35">
        <v>472</v>
      </c>
      <c r="J925" s="36">
        <v>40637</v>
      </c>
      <c r="K925" s="37">
        <v>0.66760416666666667</v>
      </c>
      <c r="L925" s="36">
        <v>42929</v>
      </c>
      <c r="M925" s="38">
        <v>0.43277777777777776</v>
      </c>
    </row>
    <row r="926" spans="1:13" ht="45" x14ac:dyDescent="0.25">
      <c r="A926" s="35" t="s">
        <v>120</v>
      </c>
      <c r="B926" s="34" t="str">
        <f>HYPERLINK("http://www.twitter.com/ForumSouthend", "ForumSouthend")</f>
        <v>ForumSouthend</v>
      </c>
      <c r="C926" s="33" t="s">
        <v>949</v>
      </c>
      <c r="D926" s="33" t="s">
        <v>950</v>
      </c>
      <c r="E926" s="32" t="s">
        <v>951</v>
      </c>
      <c r="F926" s="35">
        <v>316</v>
      </c>
      <c r="G926" s="35">
        <v>1381</v>
      </c>
      <c r="H926" s="35">
        <v>1138</v>
      </c>
      <c r="I926" s="35">
        <v>882</v>
      </c>
      <c r="J926" s="36">
        <v>41918</v>
      </c>
      <c r="K926" s="37">
        <v>0.47098379629629633</v>
      </c>
      <c r="L926" s="36">
        <v>42940</v>
      </c>
      <c r="M926" s="38">
        <v>0.61126157407407411</v>
      </c>
    </row>
    <row r="927" spans="1:13" ht="45" x14ac:dyDescent="0.25">
      <c r="A927" s="35" t="s">
        <v>120</v>
      </c>
      <c r="B927" s="34" t="str">
        <f>HYPERLINK("http://www.twitter.com/Southgloslibs", "Southgloslibs")</f>
        <v>Southgloslibs</v>
      </c>
      <c r="C927" s="33" t="s">
        <v>1349</v>
      </c>
      <c r="D927" s="33" t="s">
        <v>1350</v>
      </c>
      <c r="E927" s="32" t="s">
        <v>3675</v>
      </c>
      <c r="F927" s="35">
        <v>94</v>
      </c>
      <c r="G927" s="35">
        <v>880</v>
      </c>
      <c r="H927" s="35">
        <v>1006</v>
      </c>
      <c r="I927" s="35">
        <v>277</v>
      </c>
      <c r="J927" s="36">
        <v>40326</v>
      </c>
      <c r="K927" s="37">
        <v>0.72883101851851861</v>
      </c>
      <c r="L927" s="36">
        <v>42940</v>
      </c>
      <c r="M927" s="38">
        <v>0.57686342592592588</v>
      </c>
    </row>
    <row r="928" spans="1:13" ht="45" x14ac:dyDescent="0.25">
      <c r="A928" s="35" t="s">
        <v>120</v>
      </c>
      <c r="B928" s="34" t="str">
        <f>HYPERLINK("http://www.twitter.com/lincslibraries", "lincslibraries")</f>
        <v>lincslibraries</v>
      </c>
      <c r="C928" s="33" t="s">
        <v>2591</v>
      </c>
      <c r="D928" s="33" t="s">
        <v>2592</v>
      </c>
      <c r="E928" s="32" t="s">
        <v>2593</v>
      </c>
      <c r="F928" s="35">
        <v>150</v>
      </c>
      <c r="G928" s="35">
        <v>236</v>
      </c>
      <c r="H928" s="35">
        <v>858</v>
      </c>
      <c r="I928" s="35">
        <v>356</v>
      </c>
      <c r="J928" s="36">
        <v>42436</v>
      </c>
      <c r="K928" s="37">
        <v>0.44687499999999997</v>
      </c>
      <c r="L928" s="36">
        <v>42940</v>
      </c>
      <c r="M928" s="38">
        <v>0.67034722222222232</v>
      </c>
    </row>
    <row r="929" spans="1:13" x14ac:dyDescent="0.25">
      <c r="A929" s="35" t="s">
        <v>120</v>
      </c>
      <c r="B929" s="34" t="str">
        <f>HYPERLINK("http://www.twitter.com/SuffolkLib", "SuffolkLib")</f>
        <v>SuffolkLib</v>
      </c>
      <c r="C929" s="33" t="s">
        <v>1701</v>
      </c>
      <c r="F929" s="35">
        <v>0</v>
      </c>
      <c r="G929" s="35">
        <v>580</v>
      </c>
      <c r="H929" s="35">
        <v>0</v>
      </c>
      <c r="I929" s="35">
        <v>0</v>
      </c>
      <c r="J929" s="36">
        <v>39872</v>
      </c>
      <c r="K929" s="37">
        <v>4.670138888888889E-2</v>
      </c>
    </row>
    <row r="930" spans="1:13" ht="45" x14ac:dyDescent="0.25">
      <c r="A930" s="35" t="s">
        <v>46</v>
      </c>
      <c r="B930" s="34" t="str">
        <f>HYPERLINK("http://www.twitter.com/hull_libraries", "hull_libraries")</f>
        <v>hull_libraries</v>
      </c>
      <c r="C930" s="33" t="s">
        <v>84</v>
      </c>
      <c r="D930" s="33" t="s">
        <v>85</v>
      </c>
      <c r="E930" s="32" t="s">
        <v>86</v>
      </c>
      <c r="F930" s="35">
        <v>4047</v>
      </c>
      <c r="G930" s="35">
        <v>10609</v>
      </c>
      <c r="H930" s="35">
        <v>77723</v>
      </c>
      <c r="I930" s="35">
        <v>19121</v>
      </c>
      <c r="J930" s="36">
        <v>39980</v>
      </c>
      <c r="K930" s="37">
        <v>0.66797453703703702</v>
      </c>
      <c r="L930" s="36">
        <v>42940</v>
      </c>
      <c r="M930" s="38">
        <v>0.68381944444444442</v>
      </c>
    </row>
    <row r="931" spans="1:13" ht="45" x14ac:dyDescent="0.25">
      <c r="A931" s="35" t="s">
        <v>46</v>
      </c>
      <c r="B931" s="34" t="str">
        <f>HYPERLINK("http://www.twitter.com/leedslibraries", "leedslibraries")</f>
        <v>leedslibraries</v>
      </c>
      <c r="C931" s="33" t="s">
        <v>92</v>
      </c>
      <c r="D931" s="33" t="s">
        <v>93</v>
      </c>
      <c r="E931" s="32" t="s">
        <v>94</v>
      </c>
      <c r="F931" s="35">
        <v>2843</v>
      </c>
      <c r="G931" s="35">
        <v>10015</v>
      </c>
      <c r="H931" s="35">
        <v>29121</v>
      </c>
      <c r="I931" s="35">
        <v>6131</v>
      </c>
      <c r="J931" s="36">
        <v>39931</v>
      </c>
      <c r="K931" s="37">
        <v>0.44418981481481484</v>
      </c>
      <c r="L931" s="36">
        <v>42940</v>
      </c>
      <c r="M931" s="38">
        <v>0.58383101851851849</v>
      </c>
    </row>
    <row r="932" spans="1:13" ht="45" x14ac:dyDescent="0.25">
      <c r="A932" s="35" t="s">
        <v>46</v>
      </c>
      <c r="B932" s="34" t="str">
        <f>HYPERLINK("http://www.twitter.com/WFlibraries", "WFlibraries")</f>
        <v>WFlibraries</v>
      </c>
      <c r="C932" s="33" t="s">
        <v>332</v>
      </c>
      <c r="D932" s="33" t="s">
        <v>333</v>
      </c>
      <c r="E932" s="32" t="s">
        <v>334</v>
      </c>
      <c r="F932" s="35">
        <v>1991</v>
      </c>
      <c r="G932" s="35">
        <v>3418</v>
      </c>
      <c r="H932" s="35">
        <v>25546</v>
      </c>
      <c r="I932" s="35">
        <v>3985</v>
      </c>
      <c r="J932" s="36">
        <v>41485</v>
      </c>
      <c r="K932" s="37">
        <v>0.43944444444444447</v>
      </c>
      <c r="L932" s="36">
        <v>42940</v>
      </c>
      <c r="M932" s="38">
        <v>0.71420138888888884</v>
      </c>
    </row>
    <row r="933" spans="1:13" ht="45" x14ac:dyDescent="0.25">
      <c r="A933" s="35" t="s">
        <v>46</v>
      </c>
      <c r="B933" s="34" t="str">
        <f>HYPERLINK("http://www.twitter.com/HarrisPreston", "HarrisPreston")</f>
        <v>HarrisPreston</v>
      </c>
      <c r="C933" s="33" t="s">
        <v>79</v>
      </c>
      <c r="D933" s="33" t="s">
        <v>80</v>
      </c>
      <c r="E933" s="32" t="s">
        <v>3685</v>
      </c>
      <c r="F933" s="35">
        <v>4989</v>
      </c>
      <c r="G933" s="35">
        <v>10987</v>
      </c>
      <c r="H933" s="35">
        <v>20882</v>
      </c>
      <c r="I933" s="35">
        <v>4754</v>
      </c>
      <c r="J933" s="36">
        <v>39896</v>
      </c>
      <c r="K933" s="37">
        <v>0.58994212962962966</v>
      </c>
      <c r="L933" s="36">
        <v>42940</v>
      </c>
      <c r="M933" s="38">
        <v>0.70049768518518529</v>
      </c>
    </row>
    <row r="934" spans="1:13" ht="45" x14ac:dyDescent="0.25">
      <c r="A934" s="35" t="s">
        <v>46</v>
      </c>
      <c r="B934" s="34" t="str">
        <f>HYPERLINK("http://www.twitter.com/LibrariesNL", "LibrariesNL")</f>
        <v>LibrariesNL</v>
      </c>
      <c r="C934" s="33" t="s">
        <v>545</v>
      </c>
      <c r="D934" s="33" t="s">
        <v>3668</v>
      </c>
      <c r="E934" s="32" t="s">
        <v>547</v>
      </c>
      <c r="F934" s="35">
        <v>1124</v>
      </c>
      <c r="G934" s="35">
        <v>2391</v>
      </c>
      <c r="H934" s="35">
        <v>16008</v>
      </c>
      <c r="I934" s="35">
        <v>1135</v>
      </c>
      <c r="J934" s="36">
        <v>40716</v>
      </c>
      <c r="K934" s="37">
        <v>0.67193287037037042</v>
      </c>
      <c r="L934" s="36">
        <v>42940</v>
      </c>
      <c r="M934" s="38">
        <v>0.66319444444444442</v>
      </c>
    </row>
    <row r="935" spans="1:13" ht="45" x14ac:dyDescent="0.25">
      <c r="A935" s="35" t="s">
        <v>46</v>
      </c>
      <c r="B935" s="34" t="str">
        <f>HYPERLINK("http://www.twitter.com/HerefordLibrary", "HerefordLibrary")</f>
        <v>HerefordLibrary</v>
      </c>
      <c r="C935" s="33" t="s">
        <v>368</v>
      </c>
      <c r="D935" s="33" t="s">
        <v>3656</v>
      </c>
      <c r="E935" s="32" t="s">
        <v>370</v>
      </c>
      <c r="F935" s="35">
        <v>2309</v>
      </c>
      <c r="G935" s="35">
        <v>3085</v>
      </c>
      <c r="H935" s="35">
        <v>12973</v>
      </c>
      <c r="I935" s="35">
        <v>7518</v>
      </c>
      <c r="J935" s="36">
        <v>41242</v>
      </c>
      <c r="K935" s="37">
        <v>0.59744212962962961</v>
      </c>
      <c r="L935" s="36">
        <v>42940</v>
      </c>
      <c r="M935" s="38">
        <v>0.53140046296296295</v>
      </c>
    </row>
    <row r="936" spans="1:13" ht="45" x14ac:dyDescent="0.25">
      <c r="A936" s="35" t="s">
        <v>46</v>
      </c>
      <c r="B936" s="34" t="str">
        <f>HYPERLINK("http://www.twitter.com/MancLibraries", "MancLibraries")</f>
        <v>MancLibraries</v>
      </c>
      <c r="C936" s="33" t="s">
        <v>47</v>
      </c>
      <c r="D936" s="33" t="s">
        <v>2289</v>
      </c>
      <c r="E936" s="32" t="s">
        <v>48</v>
      </c>
      <c r="F936" s="35">
        <v>4592</v>
      </c>
      <c r="G936" s="35">
        <v>18490</v>
      </c>
      <c r="H936" s="35">
        <v>12467</v>
      </c>
      <c r="I936" s="35">
        <v>1345</v>
      </c>
      <c r="J936" s="36">
        <v>39263</v>
      </c>
      <c r="K936" s="37">
        <v>0.60957175925925922</v>
      </c>
      <c r="L936" s="36">
        <v>42940</v>
      </c>
      <c r="M936" s="38">
        <v>0.54621527777777779</v>
      </c>
    </row>
    <row r="937" spans="1:13" ht="60" x14ac:dyDescent="0.25">
      <c r="A937" s="35" t="s">
        <v>46</v>
      </c>
      <c r="B937" s="34" t="str">
        <f>HYPERLINK("http://www.twitter.com/askboltonlibs", "askboltonlibs")</f>
        <v>askboltonlibs</v>
      </c>
      <c r="C937" s="33" t="s">
        <v>510</v>
      </c>
      <c r="D937" s="33" t="s">
        <v>511</v>
      </c>
      <c r="E937" s="32" t="s">
        <v>512</v>
      </c>
      <c r="F937" s="35">
        <v>2491</v>
      </c>
      <c r="G937" s="35">
        <v>2492</v>
      </c>
      <c r="H937" s="35">
        <v>12353</v>
      </c>
      <c r="I937" s="35">
        <v>370</v>
      </c>
      <c r="J937" s="36">
        <v>40974</v>
      </c>
      <c r="K937" s="37">
        <v>0.4664814814814815</v>
      </c>
      <c r="L937" s="36">
        <v>42940</v>
      </c>
      <c r="M937" s="38">
        <v>0.69520833333333332</v>
      </c>
    </row>
    <row r="938" spans="1:13" ht="45" x14ac:dyDescent="0.25">
      <c r="A938" s="35" t="s">
        <v>46</v>
      </c>
      <c r="B938" s="34" t="str">
        <f>HYPERLINK("http://www.twitter.com/BoltonLMS", "BoltonLMS")</f>
        <v>BoltonLMS</v>
      </c>
      <c r="C938" s="33" t="s">
        <v>191</v>
      </c>
      <c r="D938" s="33" t="s">
        <v>192</v>
      </c>
      <c r="E938" s="32" t="s">
        <v>193</v>
      </c>
      <c r="F938" s="35">
        <v>2823</v>
      </c>
      <c r="G938" s="35">
        <v>5470</v>
      </c>
      <c r="H938" s="35">
        <v>11636</v>
      </c>
      <c r="I938" s="35">
        <v>1804</v>
      </c>
      <c r="J938" s="36">
        <v>40380</v>
      </c>
      <c r="K938" s="37">
        <v>0.40848379629629633</v>
      </c>
      <c r="L938" s="36">
        <v>42940</v>
      </c>
      <c r="M938" s="38">
        <v>0.69582175925925915</v>
      </c>
    </row>
    <row r="939" spans="1:13" ht="30" x14ac:dyDescent="0.25">
      <c r="A939" s="35" t="s">
        <v>46</v>
      </c>
      <c r="B939" s="34" t="str">
        <f>HYPERLINK("http://www.twitter.com/GatesheadLibs", "GatesheadLibs")</f>
        <v>GatesheadLibs</v>
      </c>
      <c r="C939" s="33" t="s">
        <v>342</v>
      </c>
      <c r="D939" s="33" t="s">
        <v>343</v>
      </c>
      <c r="E939" s="32" t="s">
        <v>344</v>
      </c>
      <c r="F939" s="35">
        <v>1637</v>
      </c>
      <c r="G939" s="35">
        <v>3343</v>
      </c>
      <c r="H939" s="35">
        <v>11142</v>
      </c>
      <c r="I939" s="35">
        <v>4955</v>
      </c>
      <c r="J939" s="36">
        <v>41025</v>
      </c>
      <c r="K939" s="37">
        <v>0.46166666666666667</v>
      </c>
      <c r="L939" s="36">
        <v>42940</v>
      </c>
      <c r="M939" s="38">
        <v>0.59486111111111117</v>
      </c>
    </row>
    <row r="940" spans="1:13" x14ac:dyDescent="0.25">
      <c r="A940" s="35" t="s">
        <v>46</v>
      </c>
      <c r="B940" s="34" t="str">
        <f>HYPERLINK("http://www.twitter.com/TalesOfOneCity", "TalesOfOneCity")</f>
        <v>TalesOfOneCity</v>
      </c>
      <c r="C940" s="33" t="s">
        <v>66</v>
      </c>
      <c r="D940" s="33" t="s">
        <v>67</v>
      </c>
      <c r="E940" s="32" t="s">
        <v>68</v>
      </c>
      <c r="F940" s="35">
        <v>882</v>
      </c>
      <c r="G940" s="35">
        <v>12561</v>
      </c>
      <c r="H940" s="35">
        <v>10949</v>
      </c>
      <c r="I940" s="35">
        <v>938</v>
      </c>
      <c r="J940" s="36">
        <v>39850</v>
      </c>
      <c r="K940" s="37">
        <v>0.53130787037037031</v>
      </c>
      <c r="L940" s="36">
        <v>42940</v>
      </c>
      <c r="M940" s="38">
        <v>0.62829861111111118</v>
      </c>
    </row>
    <row r="941" spans="1:13" ht="45" x14ac:dyDescent="0.25">
      <c r="A941" s="35" t="s">
        <v>46</v>
      </c>
      <c r="B941" s="34" t="str">
        <f>HYPERLINK("http://www.twitter.com/HaltonLibraries", "HaltonLibraries")</f>
        <v>HaltonLibraries</v>
      </c>
      <c r="C941" s="33" t="s">
        <v>455</v>
      </c>
      <c r="D941" s="33" t="s">
        <v>456</v>
      </c>
      <c r="E941" s="32" t="s">
        <v>457</v>
      </c>
      <c r="F941" s="35">
        <v>1115</v>
      </c>
      <c r="G941" s="35">
        <v>2695</v>
      </c>
      <c r="H941" s="35">
        <v>10392</v>
      </c>
      <c r="I941" s="35">
        <v>688</v>
      </c>
      <c r="J941" s="36">
        <v>39953</v>
      </c>
      <c r="K941" s="37">
        <v>0.55129629629629628</v>
      </c>
      <c r="L941" s="36">
        <v>42940</v>
      </c>
      <c r="M941" s="38">
        <v>0.68064814814814811</v>
      </c>
    </row>
    <row r="942" spans="1:13" x14ac:dyDescent="0.25">
      <c r="A942" s="35" t="s">
        <v>46</v>
      </c>
      <c r="B942" s="34" t="str">
        <f>HYPERLINK("http://www.twitter.com/CultureLeisure", "CultureLeisure")</f>
        <v>CultureLeisure</v>
      </c>
      <c r="C942" s="33" t="s">
        <v>298</v>
      </c>
      <c r="D942" s="33" t="s">
        <v>299</v>
      </c>
      <c r="E942" s="32" t="s">
        <v>300</v>
      </c>
      <c r="F942" s="35">
        <v>864</v>
      </c>
      <c r="G942" s="35">
        <v>3633</v>
      </c>
      <c r="H942" s="35">
        <v>10318</v>
      </c>
      <c r="I942" s="35">
        <v>1050</v>
      </c>
      <c r="J942" s="36">
        <v>39898</v>
      </c>
      <c r="K942" s="37">
        <v>0.53238425925925925</v>
      </c>
      <c r="L942" s="36">
        <v>42940</v>
      </c>
      <c r="M942" s="38">
        <v>0.61225694444444445</v>
      </c>
    </row>
    <row r="943" spans="1:13" ht="30" x14ac:dyDescent="0.25">
      <c r="A943" s="35" t="s">
        <v>46</v>
      </c>
      <c r="B943" s="34" t="str">
        <f>HYPERLINK("http://www.twitter.com/CaerphillyLibs", "CaerphillyLibs")</f>
        <v>CaerphillyLibs</v>
      </c>
      <c r="C943" s="33" t="s">
        <v>882</v>
      </c>
      <c r="D943" s="33" t="s">
        <v>883</v>
      </c>
      <c r="E943" s="32" t="s">
        <v>884</v>
      </c>
      <c r="F943" s="35">
        <v>182</v>
      </c>
      <c r="G943" s="35">
        <v>1493</v>
      </c>
      <c r="H943" s="35">
        <v>10271</v>
      </c>
      <c r="I943" s="35">
        <v>939</v>
      </c>
      <c r="J943" s="36">
        <v>41131</v>
      </c>
      <c r="K943" s="37">
        <v>0.53976851851851848</v>
      </c>
      <c r="L943" s="36">
        <v>42940</v>
      </c>
      <c r="M943" s="38">
        <v>0.69503472222222218</v>
      </c>
    </row>
    <row r="944" spans="1:13" ht="45" x14ac:dyDescent="0.25">
      <c r="A944" s="35" t="s">
        <v>46</v>
      </c>
      <c r="B944" s="34" t="str">
        <f>HYPERLINK("http://www.twitter.com/Discovermore", "Discovermore")</f>
        <v>Discovermore</v>
      </c>
      <c r="C944" s="33" t="s">
        <v>283</v>
      </c>
      <c r="D944" s="33" t="s">
        <v>284</v>
      </c>
      <c r="E944" s="32" t="s">
        <v>285</v>
      </c>
      <c r="F944" s="35">
        <v>1134</v>
      </c>
      <c r="G944" s="35">
        <v>3800</v>
      </c>
      <c r="H944" s="35">
        <v>10044</v>
      </c>
      <c r="I944" s="35">
        <v>744</v>
      </c>
      <c r="J944" s="36">
        <v>39982</v>
      </c>
      <c r="K944" s="37">
        <v>0.43910879629629629</v>
      </c>
      <c r="L944" s="36">
        <v>42940</v>
      </c>
      <c r="M944" s="38">
        <v>0.69442129629629623</v>
      </c>
    </row>
    <row r="945" spans="1:13" ht="45" x14ac:dyDescent="0.25">
      <c r="A945" s="35" t="s">
        <v>46</v>
      </c>
      <c r="B945" s="34" t="str">
        <f>HYPERLINK("http://www.twitter.com/ShropLibraries", "ShropLibraries")</f>
        <v>ShropLibraries</v>
      </c>
      <c r="C945" s="33" t="s">
        <v>210</v>
      </c>
      <c r="D945" s="33" t="s">
        <v>2185</v>
      </c>
      <c r="E945" s="32" t="s">
        <v>212</v>
      </c>
      <c r="F945" s="35">
        <v>2480</v>
      </c>
      <c r="G945" s="35">
        <v>4746</v>
      </c>
      <c r="H945" s="35">
        <v>9679</v>
      </c>
      <c r="I945" s="35">
        <v>5357</v>
      </c>
      <c r="J945" s="36">
        <v>40703</v>
      </c>
      <c r="K945" s="37">
        <v>0.46385416666666668</v>
      </c>
      <c r="L945" s="36">
        <v>42936</v>
      </c>
      <c r="M945" s="38">
        <v>0.64399305555555553</v>
      </c>
    </row>
    <row r="946" spans="1:13" ht="30" x14ac:dyDescent="0.25">
      <c r="A946" s="35" t="s">
        <v>46</v>
      </c>
      <c r="B946" s="34" t="str">
        <f>HYPERLINK("http://www.twitter.com/abergavennyhub", "abergavennyhub")</f>
        <v>abergavennyhub</v>
      </c>
      <c r="C946" s="33" t="s">
        <v>438</v>
      </c>
      <c r="D946" s="33" t="s">
        <v>439</v>
      </c>
      <c r="E946" s="32" t="s">
        <v>440</v>
      </c>
      <c r="F946" s="35">
        <v>2670</v>
      </c>
      <c r="G946" s="35">
        <v>2763</v>
      </c>
      <c r="H946" s="35">
        <v>9374</v>
      </c>
      <c r="I946" s="35">
        <v>7584</v>
      </c>
      <c r="J946" s="36">
        <v>40843</v>
      </c>
      <c r="K946" s="37">
        <v>0.53734953703703703</v>
      </c>
      <c r="L946" s="36">
        <v>42938</v>
      </c>
      <c r="M946" s="38">
        <v>0.49432870370370369</v>
      </c>
    </row>
    <row r="947" spans="1:13" ht="45" x14ac:dyDescent="0.25">
      <c r="A947" s="35" t="s">
        <v>46</v>
      </c>
      <c r="B947" s="34" t="str">
        <f>HYPERLINK("http://www.twitter.com/BpoolLibraries", "BpoolLibraries")</f>
        <v>BpoolLibraries</v>
      </c>
      <c r="C947" s="33" t="s">
        <v>447</v>
      </c>
      <c r="D947" s="33" t="s">
        <v>448</v>
      </c>
      <c r="E947" s="32" t="s">
        <v>449</v>
      </c>
      <c r="F947" s="35">
        <v>2011</v>
      </c>
      <c r="G947" s="35">
        <v>2741</v>
      </c>
      <c r="H947" s="35">
        <v>9343</v>
      </c>
      <c r="I947" s="35">
        <v>3672</v>
      </c>
      <c r="J947" s="36">
        <v>41080</v>
      </c>
      <c r="K947" s="37">
        <v>0.44094907407407408</v>
      </c>
      <c r="L947" s="36">
        <v>42940</v>
      </c>
      <c r="M947" s="38">
        <v>0.70835648148148145</v>
      </c>
    </row>
    <row r="948" spans="1:13" ht="45" x14ac:dyDescent="0.25">
      <c r="A948" s="35" t="s">
        <v>46</v>
      </c>
      <c r="B948" s="34" t="str">
        <f>HYPERLINK("http://www.twitter.com/CECLibraries", "CECLibraries")</f>
        <v>CECLibraries</v>
      </c>
      <c r="C948" s="33" t="s">
        <v>654</v>
      </c>
      <c r="D948" s="33" t="s">
        <v>3674</v>
      </c>
      <c r="E948" s="32" t="s">
        <v>656</v>
      </c>
      <c r="F948" s="35">
        <v>325</v>
      </c>
      <c r="G948" s="35">
        <v>2048</v>
      </c>
      <c r="H948" s="35">
        <v>9270</v>
      </c>
      <c r="I948" s="35">
        <v>1</v>
      </c>
      <c r="J948" s="36">
        <v>40471</v>
      </c>
      <c r="K948" s="37">
        <v>0.65310185185185188</v>
      </c>
      <c r="L948" s="36">
        <v>42940</v>
      </c>
      <c r="M948" s="38">
        <v>0.65997685185185184</v>
      </c>
    </row>
    <row r="949" spans="1:13" ht="45" x14ac:dyDescent="0.25">
      <c r="A949" s="35" t="s">
        <v>46</v>
      </c>
      <c r="B949" s="34" t="str">
        <f>HYPERLINK("http://www.twitter.com/WiltsLibraries", "WiltsLibraries")</f>
        <v>WiltsLibraries</v>
      </c>
      <c r="C949" s="33" t="s">
        <v>423</v>
      </c>
      <c r="D949" s="33" t="s">
        <v>2041</v>
      </c>
      <c r="E949" s="32" t="s">
        <v>425</v>
      </c>
      <c r="F949" s="35">
        <v>394</v>
      </c>
      <c r="G949" s="35">
        <v>2819</v>
      </c>
      <c r="H949" s="35">
        <v>8819</v>
      </c>
      <c r="I949" s="35">
        <v>491</v>
      </c>
      <c r="J949" s="36">
        <v>40865</v>
      </c>
      <c r="K949" s="37">
        <v>0.37381944444444443</v>
      </c>
      <c r="L949" s="36">
        <v>42940</v>
      </c>
      <c r="M949" s="38">
        <v>0.62427083333333333</v>
      </c>
    </row>
    <row r="950" spans="1:13" ht="45" x14ac:dyDescent="0.25">
      <c r="A950" s="35" t="s">
        <v>46</v>
      </c>
      <c r="B950" s="34" t="str">
        <f>HYPERLINK("http://www.twitter.com/ToonLibraries", "ToonLibraries")</f>
        <v>ToonLibraries</v>
      </c>
      <c r="C950" s="33" t="s">
        <v>95</v>
      </c>
      <c r="D950" s="33" t="s">
        <v>96</v>
      </c>
      <c r="E950" s="32" t="s">
        <v>97</v>
      </c>
      <c r="F950" s="35">
        <v>597</v>
      </c>
      <c r="G950" s="35">
        <v>9817</v>
      </c>
      <c r="H950" s="35">
        <v>8753</v>
      </c>
      <c r="I950" s="35">
        <v>1290</v>
      </c>
      <c r="J950" s="36">
        <v>39889</v>
      </c>
      <c r="K950" s="37">
        <v>0.53002314814814822</v>
      </c>
      <c r="L950" s="36">
        <v>42940</v>
      </c>
      <c r="M950" s="38">
        <v>0.69843749999999993</v>
      </c>
    </row>
    <row r="951" spans="1:13" ht="30" x14ac:dyDescent="0.25">
      <c r="A951" s="35" t="s">
        <v>46</v>
      </c>
      <c r="B951" s="34" t="str">
        <f>HYPERLINK("http://www.twitter.com/CarmsLibraries", "CarmsLibraries")</f>
        <v>CarmsLibraries</v>
      </c>
      <c r="C951" s="33" t="s">
        <v>850</v>
      </c>
      <c r="D951" s="33" t="s">
        <v>851</v>
      </c>
      <c r="E951" s="32" t="s">
        <v>852</v>
      </c>
      <c r="F951" s="35">
        <v>1022</v>
      </c>
      <c r="G951" s="35">
        <v>1502</v>
      </c>
      <c r="H951" s="35">
        <v>8365</v>
      </c>
      <c r="I951" s="35">
        <v>261</v>
      </c>
      <c r="J951" s="36">
        <v>40529</v>
      </c>
      <c r="K951" s="37">
        <v>0.49530092592592595</v>
      </c>
      <c r="L951" s="36">
        <v>42896</v>
      </c>
      <c r="M951" s="38">
        <v>0.32968749999999997</v>
      </c>
    </row>
    <row r="952" spans="1:13" ht="30" x14ac:dyDescent="0.25">
      <c r="A952" s="35" t="s">
        <v>46</v>
      </c>
      <c r="B952" s="34" t="str">
        <f>HYPERLINK("http://www.twitter.com/SouthTyneLibs", "SouthTyneLibs")</f>
        <v>SouthTyneLibs</v>
      </c>
      <c r="C952" s="33" t="s">
        <v>411</v>
      </c>
      <c r="D952" s="33" t="s">
        <v>412</v>
      </c>
      <c r="E952" s="32" t="s">
        <v>413</v>
      </c>
      <c r="F952" s="35">
        <v>1329</v>
      </c>
      <c r="G952" s="35">
        <v>2868</v>
      </c>
      <c r="H952" s="35">
        <v>8363</v>
      </c>
      <c r="I952" s="35">
        <v>904</v>
      </c>
      <c r="J952" s="36">
        <v>41207</v>
      </c>
      <c r="K952" s="37">
        <v>0.59165509259259264</v>
      </c>
      <c r="L952" s="36">
        <v>42940</v>
      </c>
      <c r="M952" s="38">
        <v>0.41596064814814815</v>
      </c>
    </row>
    <row r="953" spans="1:13" ht="45" x14ac:dyDescent="0.25">
      <c r="A953" s="35" t="s">
        <v>46</v>
      </c>
      <c r="B953" s="34" t="str">
        <f>HYPERLINK("http://www.twitter.com/YourLiveWire", "YourLiveWire")</f>
        <v>YourLiveWire</v>
      </c>
      <c r="C953" s="33" t="s">
        <v>250</v>
      </c>
      <c r="D953" s="33" t="s">
        <v>251</v>
      </c>
      <c r="E953" s="32" t="s">
        <v>252</v>
      </c>
      <c r="F953" s="35">
        <v>1031</v>
      </c>
      <c r="G953" s="35">
        <v>4190</v>
      </c>
      <c r="H953" s="35">
        <v>7567</v>
      </c>
      <c r="I953" s="35">
        <v>1877</v>
      </c>
      <c r="J953" s="36">
        <v>41019</v>
      </c>
      <c r="K953" s="37">
        <v>0.61416666666666664</v>
      </c>
      <c r="L953" s="36">
        <v>42940</v>
      </c>
      <c r="M953" s="38">
        <v>0.50054398148148149</v>
      </c>
    </row>
    <row r="954" spans="1:13" ht="45" x14ac:dyDescent="0.25">
      <c r="A954" s="35" t="s">
        <v>46</v>
      </c>
      <c r="B954" s="34" t="str">
        <f>HYPERLINK("http://www.twitter.com/wdclibraries", "wdclibraries")</f>
        <v>wdclibraries</v>
      </c>
      <c r="C954" s="33" t="s">
        <v>615</v>
      </c>
      <c r="D954" s="33" t="s">
        <v>616</v>
      </c>
      <c r="E954" s="32" t="s">
        <v>617</v>
      </c>
      <c r="F954" s="35">
        <v>1395</v>
      </c>
      <c r="G954" s="35">
        <v>2181</v>
      </c>
      <c r="H954" s="35">
        <v>7529</v>
      </c>
      <c r="I954" s="35">
        <v>1214</v>
      </c>
      <c r="J954" s="36">
        <v>39962</v>
      </c>
      <c r="K954" s="37">
        <v>0.31887731481481479</v>
      </c>
      <c r="L954" s="36">
        <v>42940</v>
      </c>
      <c r="M954" s="38">
        <v>0.56505787037037036</v>
      </c>
    </row>
    <row r="955" spans="1:13" ht="60" x14ac:dyDescent="0.25">
      <c r="A955" s="35" t="s">
        <v>46</v>
      </c>
      <c r="B955" s="34" t="str">
        <f>HYPERLINK("http://www.twitter.com/RBWM_Libraries", "RBWM_Libraries")</f>
        <v>RBWM_Libraries</v>
      </c>
      <c r="C955" s="33" t="s">
        <v>441</v>
      </c>
      <c r="D955" s="33" t="s">
        <v>442</v>
      </c>
      <c r="E955" s="32" t="s">
        <v>443</v>
      </c>
      <c r="F955" s="35">
        <v>2602</v>
      </c>
      <c r="G955" s="35">
        <v>2768</v>
      </c>
      <c r="H955" s="35">
        <v>7290</v>
      </c>
      <c r="I955" s="35">
        <v>1095</v>
      </c>
      <c r="J955" s="36">
        <v>41302</v>
      </c>
      <c r="K955" s="37">
        <v>0.46418981481481486</v>
      </c>
      <c r="L955" s="36">
        <v>42940</v>
      </c>
      <c r="M955" s="38">
        <v>0.71201388888888895</v>
      </c>
    </row>
    <row r="956" spans="1:13" ht="30" x14ac:dyDescent="0.25">
      <c r="A956" s="35" t="s">
        <v>46</v>
      </c>
      <c r="B956" s="34" t="str">
        <f>HYPERLINK("http://www.twitter.com/dudleylibraries", "dudleylibraries")</f>
        <v>dudleylibraries</v>
      </c>
      <c r="C956" s="33" t="s">
        <v>432</v>
      </c>
      <c r="D956" s="33" t="s">
        <v>433</v>
      </c>
      <c r="E956" s="32" t="s">
        <v>434</v>
      </c>
      <c r="F956" s="35">
        <v>2194</v>
      </c>
      <c r="G956" s="35">
        <v>2750</v>
      </c>
      <c r="H956" s="35">
        <v>7228</v>
      </c>
      <c r="I956" s="35">
        <v>469</v>
      </c>
      <c r="J956" s="36">
        <v>40131</v>
      </c>
      <c r="K956" s="37">
        <v>0.98909722222222218</v>
      </c>
      <c r="L956" s="36">
        <v>42940</v>
      </c>
      <c r="M956" s="38">
        <v>0.61896990740740743</v>
      </c>
    </row>
    <row r="957" spans="1:13" ht="45" x14ac:dyDescent="0.25">
      <c r="A957" s="35" t="s">
        <v>46</v>
      </c>
      <c r="B957" s="34" t="str">
        <f>HYPERLINK("http://www.twitter.com/plymlibraries", "plymlibraries")</f>
        <v>plymlibraries</v>
      </c>
      <c r="C957" s="33" t="s">
        <v>185</v>
      </c>
      <c r="D957" s="33" t="s">
        <v>186</v>
      </c>
      <c r="E957" s="32" t="s">
        <v>187</v>
      </c>
      <c r="F957" s="35">
        <v>1944</v>
      </c>
      <c r="G957" s="35">
        <v>5651</v>
      </c>
      <c r="H957" s="35">
        <v>6791</v>
      </c>
      <c r="I957" s="35">
        <v>183</v>
      </c>
      <c r="J957" s="36">
        <v>39959</v>
      </c>
      <c r="K957" s="37">
        <v>0.55035879629629625</v>
      </c>
      <c r="L957" s="36">
        <v>42940</v>
      </c>
      <c r="M957" s="38">
        <v>0.67701388888888892</v>
      </c>
    </row>
    <row r="958" spans="1:13" ht="45" x14ac:dyDescent="0.25">
      <c r="A958" s="35" t="s">
        <v>46</v>
      </c>
      <c r="B958" s="34" t="str">
        <f>HYPERLINK("http://www.twitter.com/LibrariesNI", "LibrariesNI")</f>
        <v>LibrariesNI</v>
      </c>
      <c r="C958" s="33" t="s">
        <v>247</v>
      </c>
      <c r="D958" s="33" t="s">
        <v>248</v>
      </c>
      <c r="E958" s="32" t="s">
        <v>249</v>
      </c>
      <c r="F958" s="35">
        <v>462</v>
      </c>
      <c r="G958" s="35">
        <v>4186</v>
      </c>
      <c r="H958" s="35">
        <v>6629</v>
      </c>
      <c r="I958" s="35">
        <v>1749</v>
      </c>
      <c r="J958" s="36">
        <v>40503</v>
      </c>
      <c r="K958" s="37">
        <v>0.9805787037037037</v>
      </c>
      <c r="L958" s="36">
        <v>42940</v>
      </c>
      <c r="M958" s="38">
        <v>0.47917824074074072</v>
      </c>
    </row>
    <row r="959" spans="1:13" ht="45" x14ac:dyDescent="0.25">
      <c r="A959" s="35" t="s">
        <v>46</v>
      </c>
      <c r="B959" s="34" t="str">
        <f>HYPERLINK("http://www.twitter.com/BHLibraries", "BHLibraries")</f>
        <v>BHLibraries</v>
      </c>
      <c r="C959" s="33" t="s">
        <v>182</v>
      </c>
      <c r="D959" s="33" t="s">
        <v>183</v>
      </c>
      <c r="E959" s="32" t="s">
        <v>184</v>
      </c>
      <c r="F959" s="35">
        <v>1881</v>
      </c>
      <c r="G959" s="35">
        <v>5760</v>
      </c>
      <c r="H959" s="35">
        <v>6531</v>
      </c>
      <c r="I959" s="35">
        <v>2620</v>
      </c>
      <c r="J959" s="36">
        <v>40471</v>
      </c>
      <c r="K959" s="37">
        <v>0.64596064814814813</v>
      </c>
      <c r="L959" s="36">
        <v>42940</v>
      </c>
      <c r="M959" s="38">
        <v>0.54883101851851845</v>
      </c>
    </row>
    <row r="960" spans="1:13" ht="45" x14ac:dyDescent="0.25">
      <c r="A960" s="35" t="s">
        <v>46</v>
      </c>
      <c r="B960" s="34" t="str">
        <f>HYPERLINK("http://www.twitter.com/readingnottm", "readingnottm")</f>
        <v>readingnottm</v>
      </c>
      <c r="C960" s="33" t="s">
        <v>525</v>
      </c>
      <c r="D960" s="33" t="s">
        <v>526</v>
      </c>
      <c r="E960" s="32" t="s">
        <v>527</v>
      </c>
      <c r="F960" s="35">
        <v>568</v>
      </c>
      <c r="G960" s="35">
        <v>2444</v>
      </c>
      <c r="H960" s="35">
        <v>6324</v>
      </c>
      <c r="I960" s="35">
        <v>342</v>
      </c>
      <c r="J960" s="36">
        <v>40632</v>
      </c>
      <c r="K960" s="37">
        <v>0.41871527777777778</v>
      </c>
      <c r="L960" s="36">
        <v>42940</v>
      </c>
      <c r="M960" s="38">
        <v>0.66802083333333329</v>
      </c>
    </row>
    <row r="961" spans="1:13" x14ac:dyDescent="0.25">
      <c r="A961" s="35" t="s">
        <v>46</v>
      </c>
      <c r="B961" s="34" t="str">
        <f>HYPERLINK("http://www.twitter.com/cdflibraries", "cdflibraries")</f>
        <v>cdflibraries</v>
      </c>
      <c r="C961" s="33" t="s">
        <v>253</v>
      </c>
      <c r="D961" s="33" t="s">
        <v>254</v>
      </c>
      <c r="E961" s="32" t="s">
        <v>255</v>
      </c>
      <c r="F961" s="35">
        <v>555</v>
      </c>
      <c r="G961" s="35">
        <v>4140</v>
      </c>
      <c r="H961" s="35">
        <v>6309</v>
      </c>
      <c r="I961" s="35">
        <v>1172</v>
      </c>
      <c r="J961" s="36">
        <v>40519</v>
      </c>
      <c r="K961" s="37">
        <v>0.60366898148148151</v>
      </c>
      <c r="L961" s="36">
        <v>42940</v>
      </c>
      <c r="M961" s="38">
        <v>0.50670138888888883</v>
      </c>
    </row>
    <row r="962" spans="1:13" ht="45" x14ac:dyDescent="0.25">
      <c r="A962" s="35" t="s">
        <v>46</v>
      </c>
      <c r="B962" s="34" t="str">
        <f>HYPERLINK("http://www.twitter.com/HartlepoolLibs", "HartlepoolLibs")</f>
        <v>HartlepoolLibs</v>
      </c>
      <c r="C962" s="33" t="s">
        <v>626</v>
      </c>
      <c r="D962" s="33" t="s">
        <v>627</v>
      </c>
      <c r="E962" s="32" t="s">
        <v>628</v>
      </c>
      <c r="F962" s="35">
        <v>1264</v>
      </c>
      <c r="G962" s="35">
        <v>2159</v>
      </c>
      <c r="H962" s="35">
        <v>6234</v>
      </c>
      <c r="I962" s="35">
        <v>807</v>
      </c>
      <c r="J962" s="36">
        <v>39923</v>
      </c>
      <c r="K962" s="37">
        <v>0.38355324074074071</v>
      </c>
      <c r="L962" s="36">
        <v>42940</v>
      </c>
      <c r="M962" s="38">
        <v>0.48718750000000005</v>
      </c>
    </row>
    <row r="963" spans="1:13" ht="45" x14ac:dyDescent="0.25">
      <c r="A963" s="35" t="s">
        <v>46</v>
      </c>
      <c r="B963" s="34" t="str">
        <f>HYPERLINK("http://www.twitter.com/PooleLibraries", "PooleLibraries")</f>
        <v>PooleLibraries</v>
      </c>
      <c r="C963" s="33" t="s">
        <v>679</v>
      </c>
      <c r="D963" s="33" t="s">
        <v>680</v>
      </c>
      <c r="E963" s="32" t="s">
        <v>681</v>
      </c>
      <c r="F963" s="35">
        <v>1425</v>
      </c>
      <c r="G963" s="35">
        <v>1985</v>
      </c>
      <c r="H963" s="35">
        <v>6187</v>
      </c>
      <c r="I963" s="35">
        <v>3075</v>
      </c>
      <c r="J963" s="36">
        <v>40758</v>
      </c>
      <c r="K963" s="37">
        <v>0.57414351851851853</v>
      </c>
      <c r="L963" s="36">
        <v>42940</v>
      </c>
      <c r="M963" s="38">
        <v>0.52299768518518519</v>
      </c>
    </row>
    <row r="964" spans="1:13" ht="45" x14ac:dyDescent="0.25">
      <c r="A964" s="35" t="s">
        <v>46</v>
      </c>
      <c r="B964" s="34" t="str">
        <f>HYPERLINK("http://www.twitter.com/SloughLibraries", "SloughLibraries")</f>
        <v>SloughLibraries</v>
      </c>
      <c r="C964" s="33" t="s">
        <v>1182</v>
      </c>
      <c r="D964" s="33" t="s">
        <v>1183</v>
      </c>
      <c r="E964" s="32" t="s">
        <v>1184</v>
      </c>
      <c r="F964" s="35">
        <v>330</v>
      </c>
      <c r="G964" s="35">
        <v>1057</v>
      </c>
      <c r="H964" s="35">
        <v>5998</v>
      </c>
      <c r="I964" s="35">
        <v>1141</v>
      </c>
      <c r="J964" s="36">
        <v>41283</v>
      </c>
      <c r="K964" s="37">
        <v>0.4670023148148148</v>
      </c>
      <c r="L964" s="36">
        <v>42940</v>
      </c>
      <c r="M964" s="38">
        <v>0.52106481481481481</v>
      </c>
    </row>
    <row r="965" spans="1:13" ht="45" x14ac:dyDescent="0.25">
      <c r="A965" s="35" t="s">
        <v>46</v>
      </c>
      <c r="B965" s="34" t="str">
        <f>HYPERLINK("http://www.twitter.com/Liverpoollib", "Liverpoollib")</f>
        <v>Liverpoollib</v>
      </c>
      <c r="C965" s="33" t="s">
        <v>306</v>
      </c>
      <c r="D965" s="33" t="s">
        <v>307</v>
      </c>
      <c r="E965" s="32" t="s">
        <v>308</v>
      </c>
      <c r="F965" s="35">
        <v>731</v>
      </c>
      <c r="G965" s="35">
        <v>3670</v>
      </c>
      <c r="H965" s="35">
        <v>5886</v>
      </c>
      <c r="I965" s="35">
        <v>2040</v>
      </c>
      <c r="J965" s="36">
        <v>40157</v>
      </c>
      <c r="K965" s="37">
        <v>0.64746527777777774</v>
      </c>
      <c r="L965" s="36">
        <v>42940</v>
      </c>
      <c r="M965" s="38">
        <v>0.26392361111111112</v>
      </c>
    </row>
    <row r="966" spans="1:13" ht="45" x14ac:dyDescent="0.25">
      <c r="A966" s="35" t="s">
        <v>46</v>
      </c>
      <c r="B966" s="34" t="str">
        <f>HYPERLINK("http://www.twitter.com/BristolLibrary", "BristolLibrary")</f>
        <v>BristolLibrary</v>
      </c>
      <c r="C966" s="33" t="s">
        <v>314</v>
      </c>
      <c r="D966" s="33" t="s">
        <v>315</v>
      </c>
      <c r="E966" s="32" t="s">
        <v>316</v>
      </c>
      <c r="F966" s="35">
        <v>1832</v>
      </c>
      <c r="G966" s="35">
        <v>3543</v>
      </c>
      <c r="H966" s="35">
        <v>5836</v>
      </c>
      <c r="I966" s="35">
        <v>1002</v>
      </c>
      <c r="J966" s="36">
        <v>40217</v>
      </c>
      <c r="K966" s="37">
        <v>0.44475694444444441</v>
      </c>
      <c r="L966" s="36">
        <v>42940</v>
      </c>
      <c r="M966" s="38">
        <v>0.69027777777777777</v>
      </c>
    </row>
    <row r="967" spans="1:13" ht="30" x14ac:dyDescent="0.25">
      <c r="A967" s="35" t="s">
        <v>46</v>
      </c>
      <c r="B967" s="34" t="str">
        <f>HYPERLINK("http://www.twitter.com/BarnsleyLibs", "BarnsleyLibs")</f>
        <v>BarnsleyLibs</v>
      </c>
      <c r="C967" s="33" t="s">
        <v>537</v>
      </c>
      <c r="D967" s="33" t="s">
        <v>538</v>
      </c>
      <c r="E967" s="32" t="s">
        <v>539</v>
      </c>
      <c r="F967" s="35">
        <v>2320</v>
      </c>
      <c r="G967" s="35">
        <v>2462</v>
      </c>
      <c r="H967" s="35">
        <v>5796</v>
      </c>
      <c r="I967" s="35">
        <v>2042</v>
      </c>
      <c r="J967" s="36">
        <v>41151</v>
      </c>
      <c r="K967" s="37">
        <v>0.62820601851851854</v>
      </c>
      <c r="L967" s="36">
        <v>42940</v>
      </c>
      <c r="M967" s="38">
        <v>0.62614583333333329</v>
      </c>
    </row>
    <row r="968" spans="1:13" ht="30" x14ac:dyDescent="0.25">
      <c r="A968" s="35" t="s">
        <v>46</v>
      </c>
      <c r="B968" s="34" t="str">
        <f>HYPERLINK("http://www.twitter.com/YorkLibraries", "YorkLibraries")</f>
        <v>YorkLibraries</v>
      </c>
      <c r="C968" s="33" t="s">
        <v>429</v>
      </c>
      <c r="D968" s="33" t="s">
        <v>430</v>
      </c>
      <c r="E968" s="32" t="s">
        <v>431</v>
      </c>
      <c r="F968" s="35">
        <v>2588</v>
      </c>
      <c r="G968" s="35">
        <v>2772</v>
      </c>
      <c r="H968" s="35">
        <v>5592</v>
      </c>
      <c r="I968" s="35">
        <v>1562</v>
      </c>
      <c r="J968" s="36">
        <v>40001</v>
      </c>
      <c r="K968" s="37">
        <v>0.58060185185185187</v>
      </c>
      <c r="L968" s="36">
        <v>42940</v>
      </c>
      <c r="M968" s="38">
        <v>0.61842592592592593</v>
      </c>
    </row>
    <row r="969" spans="1:13" ht="45" x14ac:dyDescent="0.25">
      <c r="A969" s="35" t="s">
        <v>46</v>
      </c>
      <c r="B969" s="34" t="str">
        <f>HYPERLINK("http://www.twitter.com/SwindonLibrary", "SwindonLibrary")</f>
        <v>SwindonLibrary</v>
      </c>
      <c r="C969" s="33" t="s">
        <v>266</v>
      </c>
      <c r="D969" s="33" t="s">
        <v>267</v>
      </c>
      <c r="E969" s="32" t="s">
        <v>268</v>
      </c>
      <c r="F969" s="35">
        <v>1300</v>
      </c>
      <c r="G969" s="35">
        <v>3962</v>
      </c>
      <c r="H969" s="35">
        <v>5508</v>
      </c>
      <c r="I969" s="35">
        <v>1034</v>
      </c>
      <c r="J969" s="36">
        <v>40112</v>
      </c>
      <c r="K969" s="37">
        <v>0.45575231481481482</v>
      </c>
      <c r="L969" s="36">
        <v>42940</v>
      </c>
      <c r="M969" s="38">
        <v>0.56593749999999998</v>
      </c>
    </row>
    <row r="970" spans="1:13" ht="30" x14ac:dyDescent="0.25">
      <c r="A970" s="35" t="s">
        <v>46</v>
      </c>
      <c r="B970" s="34" t="str">
        <f>HYPERLINK("http://www.twitter.com/stocktonlibrary", "stocktonlibrary")</f>
        <v>stocktonlibrary</v>
      </c>
      <c r="C970" s="33" t="s">
        <v>348</v>
      </c>
      <c r="D970" s="33" t="s">
        <v>349</v>
      </c>
      <c r="E970" s="32" t="s">
        <v>350</v>
      </c>
      <c r="F970" s="35">
        <v>1580</v>
      </c>
      <c r="G970" s="35">
        <v>3284</v>
      </c>
      <c r="H970" s="35">
        <v>5507</v>
      </c>
      <c r="I970" s="35">
        <v>1031</v>
      </c>
      <c r="J970" s="36">
        <v>39835</v>
      </c>
      <c r="K970" s="37">
        <v>0.59540509259259256</v>
      </c>
      <c r="L970" s="36">
        <v>42940</v>
      </c>
      <c r="M970" s="38">
        <v>0.37503472222222217</v>
      </c>
    </row>
    <row r="971" spans="1:13" ht="45" x14ac:dyDescent="0.25">
      <c r="A971" s="35" t="s">
        <v>46</v>
      </c>
      <c r="B971" s="34" t="str">
        <f>HYPERLINK("http://www.twitter.com/merthyrlibrary", "merthyrlibrary")</f>
        <v>merthyrlibrary</v>
      </c>
      <c r="C971" s="33" t="s">
        <v>1185</v>
      </c>
      <c r="D971" s="33" t="s">
        <v>1186</v>
      </c>
      <c r="E971" s="32" t="s">
        <v>1187</v>
      </c>
      <c r="F971" s="35">
        <v>805</v>
      </c>
      <c r="G971" s="35">
        <v>1053</v>
      </c>
      <c r="H971" s="35">
        <v>5500</v>
      </c>
      <c r="I971" s="35">
        <v>906</v>
      </c>
      <c r="J971" s="36">
        <v>41359</v>
      </c>
      <c r="K971" s="37">
        <v>0.41278935185185189</v>
      </c>
      <c r="L971" s="36">
        <v>42940</v>
      </c>
      <c r="M971" s="38">
        <v>0.5314699074074074</v>
      </c>
    </row>
    <row r="972" spans="1:13" ht="45" x14ac:dyDescent="0.25">
      <c r="A972" s="35" t="s">
        <v>46</v>
      </c>
      <c r="B972" s="34" t="str">
        <f>HYPERLINK("http://www.twitter.com/leicesterlibrar", "leicesterlibrar")</f>
        <v>leicesterlibrar</v>
      </c>
      <c r="C972" s="33" t="s">
        <v>301</v>
      </c>
      <c r="D972" s="33" t="s">
        <v>302</v>
      </c>
      <c r="E972" s="32" t="s">
        <v>303</v>
      </c>
      <c r="F972" s="35">
        <v>1060</v>
      </c>
      <c r="G972" s="35">
        <v>3646</v>
      </c>
      <c r="H972" s="35">
        <v>5396</v>
      </c>
      <c r="I972" s="35">
        <v>1404</v>
      </c>
      <c r="J972" s="36">
        <v>40182</v>
      </c>
      <c r="K972" s="37">
        <v>1.1226851851851851E-3</v>
      </c>
      <c r="L972" s="36">
        <v>42940</v>
      </c>
      <c r="M972" s="38">
        <v>0.4914930555555555</v>
      </c>
    </row>
    <row r="973" spans="1:13" ht="45" x14ac:dyDescent="0.25">
      <c r="A973" s="35" t="s">
        <v>46</v>
      </c>
      <c r="B973" s="34" t="str">
        <f>HYPERLINK("http://www.twitter.com/TippLib", "TippLib")</f>
        <v>TippLib</v>
      </c>
      <c r="C973" s="33" t="s">
        <v>732</v>
      </c>
      <c r="D973" s="33" t="s">
        <v>733</v>
      </c>
      <c r="E973" s="32" t="s">
        <v>734</v>
      </c>
      <c r="F973" s="35">
        <v>896</v>
      </c>
      <c r="G973" s="35">
        <v>1791</v>
      </c>
      <c r="H973" s="35">
        <v>5349</v>
      </c>
      <c r="I973" s="35">
        <v>481</v>
      </c>
      <c r="J973" s="36">
        <v>39867</v>
      </c>
      <c r="K973" s="37">
        <v>0.77886574074074078</v>
      </c>
      <c r="L973" s="36">
        <v>42940</v>
      </c>
      <c r="M973" s="38">
        <v>0.59747685185185184</v>
      </c>
    </row>
    <row r="974" spans="1:13" ht="45" x14ac:dyDescent="0.25">
      <c r="A974" s="35" t="s">
        <v>46</v>
      </c>
      <c r="B974" s="34" t="str">
        <f>HYPERLINK("http://www.twitter.com/WeybridgeLib", "WeybridgeLib")</f>
        <v>WeybridgeLib</v>
      </c>
      <c r="C974" s="33" t="s">
        <v>1018</v>
      </c>
      <c r="D974" s="33" t="s">
        <v>1019</v>
      </c>
      <c r="E974" s="32" t="s">
        <v>1020</v>
      </c>
      <c r="F974" s="35">
        <v>769</v>
      </c>
      <c r="G974" s="35">
        <v>1238</v>
      </c>
      <c r="H974" s="35">
        <v>5322</v>
      </c>
      <c r="I974" s="35">
        <v>678</v>
      </c>
      <c r="J974" s="36">
        <v>41155</v>
      </c>
      <c r="K974" s="37">
        <v>0.46365740740740741</v>
      </c>
      <c r="L974" s="36">
        <v>42940</v>
      </c>
      <c r="M974" s="38">
        <v>0.42385416666666664</v>
      </c>
    </row>
    <row r="975" spans="1:13" x14ac:dyDescent="0.25">
      <c r="A975" s="35" t="s">
        <v>46</v>
      </c>
      <c r="B975" s="34" t="str">
        <f>HYPERLINK("http://www.twitter.com/BoroLibraries", "BoroLibraries")</f>
        <v>BoroLibraries</v>
      </c>
      <c r="C975" s="33" t="s">
        <v>363</v>
      </c>
      <c r="D975" s="33" t="s">
        <v>364</v>
      </c>
      <c r="E975" s="32" t="s">
        <v>365</v>
      </c>
      <c r="F975" s="35">
        <v>1516</v>
      </c>
      <c r="G975" s="35">
        <v>3098</v>
      </c>
      <c r="H975" s="35">
        <v>5306</v>
      </c>
      <c r="I975" s="35">
        <v>202</v>
      </c>
      <c r="J975" s="36">
        <v>40289</v>
      </c>
      <c r="K975" s="37">
        <v>0.39673611111111112</v>
      </c>
      <c r="L975" s="36">
        <v>42937</v>
      </c>
      <c r="M975" s="38">
        <v>0.62656250000000002</v>
      </c>
    </row>
    <row r="976" spans="1:13" ht="30" x14ac:dyDescent="0.25">
      <c r="A976" s="35" t="s">
        <v>46</v>
      </c>
      <c r="B976" s="34" t="str">
        <f>HYPERLINK("http://www.twitter.com/BedsLibraries", "BedsLibraries")</f>
        <v>BedsLibraries</v>
      </c>
      <c r="C976" s="33" t="s">
        <v>781</v>
      </c>
      <c r="D976" s="33" t="s">
        <v>782</v>
      </c>
      <c r="E976" s="32" t="s">
        <v>783</v>
      </c>
      <c r="F976" s="35">
        <v>892</v>
      </c>
      <c r="G976" s="35">
        <v>1681</v>
      </c>
      <c r="H976" s="35">
        <v>5094</v>
      </c>
      <c r="I976" s="35">
        <v>1064</v>
      </c>
      <c r="J976" s="36">
        <v>41683</v>
      </c>
      <c r="K976" s="37">
        <v>0.41914351851851855</v>
      </c>
      <c r="L976" s="36">
        <v>42940</v>
      </c>
      <c r="M976" s="38">
        <v>0.64944444444444438</v>
      </c>
    </row>
    <row r="977" spans="1:13" ht="30" x14ac:dyDescent="0.25">
      <c r="A977" s="35" t="s">
        <v>46</v>
      </c>
      <c r="B977" s="34" t="str">
        <f>HYPERLINK("http://www.twitter.com/DoncasterLib", "DoncasterLib")</f>
        <v>DoncasterLib</v>
      </c>
      <c r="C977" s="33" t="s">
        <v>690</v>
      </c>
      <c r="D977" s="33" t="s">
        <v>691</v>
      </c>
      <c r="E977" s="32" t="s">
        <v>692</v>
      </c>
      <c r="F977" s="35">
        <v>554</v>
      </c>
      <c r="G977" s="35">
        <v>1974</v>
      </c>
      <c r="H977" s="35">
        <v>4929</v>
      </c>
      <c r="I977" s="35">
        <v>1778</v>
      </c>
      <c r="J977" s="36">
        <v>41184</v>
      </c>
      <c r="K977" s="37">
        <v>0.46446759259259257</v>
      </c>
      <c r="L977" s="36">
        <v>42940</v>
      </c>
      <c r="M977" s="38">
        <v>0.47449074074074077</v>
      </c>
    </row>
    <row r="978" spans="1:13" ht="30" x14ac:dyDescent="0.25">
      <c r="A978" s="35" t="s">
        <v>46</v>
      </c>
      <c r="B978" s="34" t="str">
        <f>HYPERLINK("http://www.twitter.com/KirkleesLibrary", "KirkleesLibrary")</f>
        <v>KirkleesLibrary</v>
      </c>
      <c r="C978" s="33" t="s">
        <v>408</v>
      </c>
      <c r="D978" s="33" t="s">
        <v>409</v>
      </c>
      <c r="E978" s="32" t="s">
        <v>410</v>
      </c>
      <c r="F978" s="35">
        <v>1103</v>
      </c>
      <c r="G978" s="35">
        <v>2904</v>
      </c>
      <c r="H978" s="35">
        <v>4877</v>
      </c>
      <c r="I978" s="35">
        <v>1318</v>
      </c>
      <c r="J978" s="36">
        <v>40302</v>
      </c>
      <c r="K978" s="37">
        <v>0.55748842592592596</v>
      </c>
      <c r="L978" s="36">
        <v>42938</v>
      </c>
      <c r="M978" s="38">
        <v>0.44118055555555552</v>
      </c>
    </row>
    <row r="979" spans="1:13" ht="45" x14ac:dyDescent="0.25">
      <c r="A979" s="35" t="s">
        <v>46</v>
      </c>
      <c r="B979" s="34" t="str">
        <f>HYPERLINK("http://www.twitter.com/NorthTyneLibs", "NorthTyneLibs")</f>
        <v>NorthTyneLibs</v>
      </c>
      <c r="C979" s="33" t="s">
        <v>461</v>
      </c>
      <c r="D979" s="33" t="s">
        <v>462</v>
      </c>
      <c r="E979" s="32" t="s">
        <v>3658</v>
      </c>
      <c r="F979" s="35">
        <v>999</v>
      </c>
      <c r="G979" s="35">
        <v>2691</v>
      </c>
      <c r="H979" s="35">
        <v>4768</v>
      </c>
      <c r="I979" s="35">
        <v>1217</v>
      </c>
      <c r="J979" s="36">
        <v>41081</v>
      </c>
      <c r="K979" s="37">
        <v>0.61506944444444445</v>
      </c>
      <c r="L979" s="36">
        <v>42940</v>
      </c>
      <c r="M979" s="38">
        <v>0.71987268518518521</v>
      </c>
    </row>
    <row r="980" spans="1:13" ht="45" x14ac:dyDescent="0.25">
      <c r="A980" s="35" t="s">
        <v>46</v>
      </c>
      <c r="B980" s="34" t="str">
        <f>HYPERLINK("http://www.twitter.com/WBC_Libraries", "WBC_Libraries")</f>
        <v>WBC_Libraries</v>
      </c>
      <c r="C980" s="33" t="s">
        <v>969</v>
      </c>
      <c r="D980" s="33" t="s">
        <v>970</v>
      </c>
      <c r="E980" s="32" t="s">
        <v>971</v>
      </c>
      <c r="F980" s="35">
        <v>510</v>
      </c>
      <c r="G980" s="35">
        <v>1301</v>
      </c>
      <c r="H980" s="35">
        <v>4713</v>
      </c>
      <c r="I980" s="35">
        <v>590</v>
      </c>
      <c r="J980" s="36">
        <v>41381</v>
      </c>
      <c r="K980" s="37">
        <v>0.56289351851851854</v>
      </c>
      <c r="L980" s="36">
        <v>42940</v>
      </c>
      <c r="M980" s="38">
        <v>0.47081018518518519</v>
      </c>
    </row>
    <row r="981" spans="1:13" ht="45" x14ac:dyDescent="0.25">
      <c r="A981" s="35" t="s">
        <v>46</v>
      </c>
      <c r="B981" s="34" t="str">
        <f>HYPERLINK("http://www.twitter.com/SMBC_Libraries", "SMBC_Libraries")</f>
        <v>SMBC_Libraries</v>
      </c>
      <c r="C981" s="33" t="s">
        <v>1134</v>
      </c>
      <c r="D981" s="33" t="s">
        <v>1135</v>
      </c>
      <c r="E981" s="32" t="s">
        <v>1136</v>
      </c>
      <c r="F981" s="35">
        <v>272</v>
      </c>
      <c r="G981" s="35">
        <v>1108</v>
      </c>
      <c r="H981" s="35">
        <v>4654</v>
      </c>
      <c r="I981" s="35">
        <v>620</v>
      </c>
      <c r="J981" s="36">
        <v>41480</v>
      </c>
      <c r="K981" s="37">
        <v>0.36000000000000004</v>
      </c>
      <c r="L981" s="36">
        <v>42940</v>
      </c>
      <c r="M981" s="38">
        <v>0.6227893518518518</v>
      </c>
    </row>
    <row r="982" spans="1:13" ht="120" x14ac:dyDescent="0.25">
      <c r="A982" s="35" t="s">
        <v>46</v>
      </c>
      <c r="B982" s="34" t="str">
        <f>HYPERLINK("http://www.twitter.com/GlasgowLib", "GlasgowLib")</f>
        <v>GlasgowLib</v>
      </c>
      <c r="C982" s="33" t="s">
        <v>137</v>
      </c>
      <c r="D982" s="33" t="s">
        <v>138</v>
      </c>
      <c r="E982" s="32" t="s">
        <v>139</v>
      </c>
      <c r="F982" s="35">
        <v>1598</v>
      </c>
      <c r="G982" s="35">
        <v>7046</v>
      </c>
      <c r="H982" s="35">
        <v>4577</v>
      </c>
      <c r="I982" s="35">
        <v>1605</v>
      </c>
      <c r="J982" s="36">
        <v>40302</v>
      </c>
      <c r="K982" s="37">
        <v>0.62356481481481485</v>
      </c>
      <c r="L982" s="36">
        <v>42939</v>
      </c>
      <c r="M982" s="38">
        <v>0.85143518518518524</v>
      </c>
    </row>
    <row r="983" spans="1:13" ht="30" x14ac:dyDescent="0.25">
      <c r="A983" s="35" t="s">
        <v>46</v>
      </c>
      <c r="B983" s="34" t="str">
        <f>HYPERLINK("http://www.twitter.com/dundeelibraries", "dundeelibraries")</f>
        <v>dundeelibraries</v>
      </c>
      <c r="C983" s="33" t="s">
        <v>231</v>
      </c>
      <c r="D983" s="33" t="s">
        <v>232</v>
      </c>
      <c r="E983" s="32" t="s">
        <v>233</v>
      </c>
      <c r="F983" s="35">
        <v>2671</v>
      </c>
      <c r="G983" s="35">
        <v>4458</v>
      </c>
      <c r="H983" s="35">
        <v>4546</v>
      </c>
      <c r="I983" s="35">
        <v>1181</v>
      </c>
      <c r="J983" s="36">
        <v>40268</v>
      </c>
      <c r="K983" s="37">
        <v>0.67756944444444445</v>
      </c>
      <c r="L983" s="36">
        <v>42940</v>
      </c>
      <c r="M983" s="38">
        <v>0.61646990740740748</v>
      </c>
    </row>
    <row r="984" spans="1:13" x14ac:dyDescent="0.25">
      <c r="A984" s="35" t="s">
        <v>46</v>
      </c>
      <c r="B984" s="34" t="str">
        <f>HYPERLINK("http://www.twitter.com/onceuponashire", "onceuponashire")</f>
        <v>onceuponashire</v>
      </c>
      <c r="C984" s="33" t="s">
        <v>618</v>
      </c>
      <c r="E984" s="32" t="s">
        <v>619</v>
      </c>
      <c r="F984" s="35">
        <v>1053</v>
      </c>
      <c r="G984" s="35">
        <v>2162</v>
      </c>
      <c r="H984" s="35">
        <v>4396</v>
      </c>
      <c r="I984" s="35">
        <v>492</v>
      </c>
      <c r="J984" s="36">
        <v>39848</v>
      </c>
      <c r="K984" s="37">
        <v>0.68478009259259265</v>
      </c>
      <c r="L984" s="36">
        <v>42940</v>
      </c>
      <c r="M984" s="38">
        <v>0.5791898148148148</v>
      </c>
    </row>
    <row r="985" spans="1:13" x14ac:dyDescent="0.25">
      <c r="A985" s="35" t="s">
        <v>46</v>
      </c>
      <c r="B985" s="34" t="str">
        <f>HYPERLINK("http://www.twitter.com/MertonLibraries", "MertonLibraries")</f>
        <v>MertonLibraries</v>
      </c>
      <c r="C985" s="33" t="s">
        <v>1223</v>
      </c>
      <c r="D985" s="33" t="s">
        <v>1224</v>
      </c>
      <c r="F985" s="35">
        <v>669</v>
      </c>
      <c r="G985" s="35">
        <v>1027</v>
      </c>
      <c r="H985" s="35">
        <v>4170</v>
      </c>
      <c r="I985" s="35">
        <v>408</v>
      </c>
      <c r="J985" s="36">
        <v>41955</v>
      </c>
      <c r="K985" s="37">
        <v>0.42729166666666668</v>
      </c>
      <c r="L985" s="36">
        <v>42940</v>
      </c>
      <c r="M985" s="38">
        <v>0.66773148148148154</v>
      </c>
    </row>
    <row r="986" spans="1:13" x14ac:dyDescent="0.25">
      <c r="A986" s="35" t="s">
        <v>46</v>
      </c>
      <c r="B986" s="34" t="str">
        <f>HYPERLINK("http://www.twitter.com/readinglibrary", "readinglibrary")</f>
        <v>readinglibrary</v>
      </c>
      <c r="C986" s="33" t="s">
        <v>559</v>
      </c>
      <c r="D986" s="33" t="s">
        <v>560</v>
      </c>
      <c r="E986" s="32" t="s">
        <v>561</v>
      </c>
      <c r="F986" s="35">
        <v>1781</v>
      </c>
      <c r="G986" s="35">
        <v>2363</v>
      </c>
      <c r="H986" s="35">
        <v>4130</v>
      </c>
      <c r="I986" s="35">
        <v>161</v>
      </c>
      <c r="J986" s="36">
        <v>40018</v>
      </c>
      <c r="K986" s="37">
        <v>0.52453703703703702</v>
      </c>
      <c r="L986" s="36">
        <v>42940</v>
      </c>
      <c r="M986" s="38">
        <v>0.70920138888888884</v>
      </c>
    </row>
    <row r="987" spans="1:13" ht="30" x14ac:dyDescent="0.25">
      <c r="A987" s="35" t="s">
        <v>46</v>
      </c>
      <c r="B987" s="34" t="str">
        <f>HYPERLINK("http://www.twitter.com/WiganLibraries", "WiganLibraries")</f>
        <v>WiganLibraries</v>
      </c>
      <c r="C987" s="33" t="s">
        <v>862</v>
      </c>
      <c r="D987" s="33" t="s">
        <v>863</v>
      </c>
      <c r="E987" s="32" t="s">
        <v>864</v>
      </c>
      <c r="F987" s="35">
        <v>496</v>
      </c>
      <c r="G987" s="35">
        <v>1521</v>
      </c>
      <c r="H987" s="35">
        <v>4100</v>
      </c>
      <c r="I987" s="35">
        <v>1332</v>
      </c>
      <c r="J987" s="36">
        <v>41687</v>
      </c>
      <c r="K987" s="37">
        <v>0.44928240740740738</v>
      </c>
      <c r="L987" s="36">
        <v>42936</v>
      </c>
      <c r="M987" s="38">
        <v>0.7863310185185185</v>
      </c>
    </row>
    <row r="988" spans="1:13" ht="60" x14ac:dyDescent="0.25">
      <c r="A988" s="35" t="s">
        <v>46</v>
      </c>
      <c r="B988" s="34" t="str">
        <f>HYPERLINK("http://www.twitter.com/StirlingLibs", "StirlingLibs")</f>
        <v>StirlingLibs</v>
      </c>
      <c r="C988" s="33" t="s">
        <v>516</v>
      </c>
      <c r="D988" s="33" t="s">
        <v>517</v>
      </c>
      <c r="E988" s="32" t="s">
        <v>518</v>
      </c>
      <c r="F988" s="35">
        <v>498</v>
      </c>
      <c r="G988" s="35">
        <v>2450</v>
      </c>
      <c r="H988" s="35">
        <v>3996</v>
      </c>
      <c r="I988" s="35">
        <v>590</v>
      </c>
      <c r="J988" s="36">
        <v>40056</v>
      </c>
      <c r="K988" s="37">
        <v>0.5846527777777778</v>
      </c>
      <c r="L988" s="36">
        <v>42940</v>
      </c>
      <c r="M988" s="38">
        <v>0.69354166666666661</v>
      </c>
    </row>
    <row r="989" spans="1:13" ht="45" x14ac:dyDescent="0.25">
      <c r="A989" s="35" t="s">
        <v>46</v>
      </c>
      <c r="B989" s="34" t="str">
        <f>HYPERLINK("http://www.twitter.com/MKLibraries", "MKLibraries")</f>
        <v>MKLibraries</v>
      </c>
      <c r="C989" s="33" t="s">
        <v>383</v>
      </c>
      <c r="D989" s="33" t="s">
        <v>384</v>
      </c>
      <c r="E989" s="32" t="s">
        <v>385</v>
      </c>
      <c r="F989" s="35">
        <v>263</v>
      </c>
      <c r="G989" s="35">
        <v>2958</v>
      </c>
      <c r="H989" s="35">
        <v>3965</v>
      </c>
      <c r="I989" s="35">
        <v>1021</v>
      </c>
      <c r="J989" s="36">
        <v>39874</v>
      </c>
      <c r="K989" s="37">
        <v>0.40663194444444445</v>
      </c>
      <c r="L989" s="36">
        <v>42940</v>
      </c>
      <c r="M989" s="38">
        <v>0.63118055555555552</v>
      </c>
    </row>
    <row r="990" spans="1:13" ht="45" x14ac:dyDescent="0.25">
      <c r="A990" s="35" t="s">
        <v>46</v>
      </c>
      <c r="B990" s="34" t="str">
        <f>HYPERLINK("http://www.twitter.com/WBerksLibraries", "WBerksLibraries")</f>
        <v>WBerksLibraries</v>
      </c>
      <c r="C990" s="33" t="s">
        <v>775</v>
      </c>
      <c r="D990" s="33" t="s">
        <v>776</v>
      </c>
      <c r="E990" s="32" t="s">
        <v>777</v>
      </c>
      <c r="F990" s="35">
        <v>318</v>
      </c>
      <c r="G990" s="35">
        <v>1685</v>
      </c>
      <c r="H990" s="35">
        <v>3895</v>
      </c>
      <c r="I990" s="35">
        <v>481</v>
      </c>
      <c r="J990" s="36">
        <v>40087</v>
      </c>
      <c r="K990" s="37">
        <v>0.62171296296296297</v>
      </c>
      <c r="L990" s="36">
        <v>42940</v>
      </c>
      <c r="M990" s="38">
        <v>0.57909722222222226</v>
      </c>
    </row>
    <row r="991" spans="1:13" ht="30" x14ac:dyDescent="0.25">
      <c r="A991" s="35" t="s">
        <v>46</v>
      </c>
      <c r="B991" s="34" t="str">
        <f>HYPERLINK("http://www.twitter.com/NPTLibraries", "NPTLibraries")</f>
        <v>NPTLibraries</v>
      </c>
      <c r="C991" s="33" t="s">
        <v>922</v>
      </c>
      <c r="D991" s="33" t="s">
        <v>923</v>
      </c>
      <c r="E991" s="32" t="s">
        <v>924</v>
      </c>
      <c r="F991" s="35">
        <v>221</v>
      </c>
      <c r="G991" s="35">
        <v>1400</v>
      </c>
      <c r="H991" s="35">
        <v>3737</v>
      </c>
      <c r="I991" s="35">
        <v>284</v>
      </c>
      <c r="J991" s="36">
        <v>40392</v>
      </c>
      <c r="K991" s="37">
        <v>0.37288194444444445</v>
      </c>
      <c r="L991" s="36">
        <v>42940</v>
      </c>
      <c r="M991" s="38">
        <v>0.55466435185185181</v>
      </c>
    </row>
    <row r="992" spans="1:13" x14ac:dyDescent="0.25">
      <c r="A992" s="35" t="s">
        <v>46</v>
      </c>
      <c r="B992" s="34" t="str">
        <f>HYPERLINK("http://www.twitter.com/NlandLibs", "NlandLibs")</f>
        <v>NlandLibs</v>
      </c>
      <c r="C992" s="33" t="s">
        <v>1327</v>
      </c>
      <c r="D992" s="33" t="s">
        <v>1328</v>
      </c>
      <c r="E992" s="32" t="s">
        <v>1329</v>
      </c>
      <c r="F992" s="35">
        <v>942</v>
      </c>
      <c r="G992" s="35">
        <v>890</v>
      </c>
      <c r="H992" s="35">
        <v>3673</v>
      </c>
      <c r="I992" s="35">
        <v>365</v>
      </c>
      <c r="J992" s="36">
        <v>42086</v>
      </c>
      <c r="K992" s="37">
        <v>0.63947916666666671</v>
      </c>
      <c r="L992" s="36">
        <v>42940</v>
      </c>
      <c r="M992" s="38">
        <v>0.63756944444444441</v>
      </c>
    </row>
    <row r="993" spans="1:13" ht="45" x14ac:dyDescent="0.25">
      <c r="A993" s="35" t="s">
        <v>46</v>
      </c>
      <c r="B993" s="34" t="str">
        <f>HYPERLINK("http://www.twitter.com/VOGLibraries", "VOGLibraries")</f>
        <v>VOGLibraries</v>
      </c>
      <c r="C993" s="33" t="s">
        <v>1007</v>
      </c>
      <c r="D993" s="33" t="s">
        <v>1008</v>
      </c>
      <c r="E993" s="32" t="s">
        <v>1009</v>
      </c>
      <c r="F993" s="35">
        <v>271</v>
      </c>
      <c r="G993" s="35">
        <v>1273</v>
      </c>
      <c r="H993" s="35">
        <v>3670</v>
      </c>
      <c r="I993" s="35">
        <v>1284</v>
      </c>
      <c r="J993" s="36">
        <v>40841</v>
      </c>
      <c r="K993" s="37">
        <v>0.59989583333333341</v>
      </c>
      <c r="L993" s="36">
        <v>42939</v>
      </c>
      <c r="M993" s="38">
        <v>0.75034722222222217</v>
      </c>
    </row>
    <row r="994" spans="1:13" ht="45" x14ac:dyDescent="0.25">
      <c r="A994" s="35" t="s">
        <v>46</v>
      </c>
      <c r="B994" s="34" t="str">
        <f>HYPERLINK("http://www.twitter.com/SeftonLibraries", "SeftonLibraries")</f>
        <v>SeftonLibraries</v>
      </c>
      <c r="C994" s="33" t="s">
        <v>586</v>
      </c>
      <c r="D994" s="33" t="s">
        <v>587</v>
      </c>
      <c r="E994" s="32" t="s">
        <v>588</v>
      </c>
      <c r="F994" s="35">
        <v>1179</v>
      </c>
      <c r="G994" s="35">
        <v>2245</v>
      </c>
      <c r="H994" s="35">
        <v>3645</v>
      </c>
      <c r="I994" s="35">
        <v>459</v>
      </c>
      <c r="J994" s="36">
        <v>40780</v>
      </c>
      <c r="K994" s="37">
        <v>0.61928240740740736</v>
      </c>
      <c r="L994" s="36">
        <v>42940</v>
      </c>
      <c r="M994" s="38">
        <v>0.6206828703703704</v>
      </c>
    </row>
    <row r="995" spans="1:13" ht="45" x14ac:dyDescent="0.25">
      <c r="A995" s="35" t="s">
        <v>46</v>
      </c>
      <c r="B995" s="34" t="str">
        <f>HYPERLINK("http://www.twitter.com/Medwaylibraries", "Medwaylibraries")</f>
        <v>Medwaylibraries</v>
      </c>
      <c r="C995" s="33" t="s">
        <v>1015</v>
      </c>
      <c r="D995" s="33" t="s">
        <v>1016</v>
      </c>
      <c r="E995" s="32" t="s">
        <v>1017</v>
      </c>
      <c r="F995" s="35">
        <v>444</v>
      </c>
      <c r="G995" s="35">
        <v>1228</v>
      </c>
      <c r="H995" s="35">
        <v>3548</v>
      </c>
      <c r="I995" s="35">
        <v>1633</v>
      </c>
      <c r="J995" s="36">
        <v>40857</v>
      </c>
      <c r="K995" s="37">
        <v>0.6540393518518518</v>
      </c>
      <c r="L995" s="36">
        <v>42940</v>
      </c>
      <c r="M995" s="38">
        <v>0.51322916666666674</v>
      </c>
    </row>
    <row r="996" spans="1:13" ht="30" x14ac:dyDescent="0.25">
      <c r="A996" s="35" t="s">
        <v>46</v>
      </c>
      <c r="B996" s="34" t="str">
        <f>HYPERLINK("http://www.twitter.com/bracknell_lib", "bracknell_lib")</f>
        <v>bracknell_lib</v>
      </c>
      <c r="C996" s="33" t="s">
        <v>1165</v>
      </c>
      <c r="D996" s="33" t="s">
        <v>1166</v>
      </c>
      <c r="E996" s="32" t="s">
        <v>1167</v>
      </c>
      <c r="F996" s="35">
        <v>587</v>
      </c>
      <c r="G996" s="35">
        <v>1060</v>
      </c>
      <c r="H996" s="35">
        <v>3527</v>
      </c>
      <c r="I996" s="35">
        <v>148</v>
      </c>
      <c r="J996" s="36">
        <v>40386</v>
      </c>
      <c r="K996" s="37">
        <v>0.47959490740740746</v>
      </c>
      <c r="L996" s="36">
        <v>42940</v>
      </c>
      <c r="M996" s="38">
        <v>0.41956018518518517</v>
      </c>
    </row>
    <row r="997" spans="1:13" ht="45" x14ac:dyDescent="0.25">
      <c r="A997" s="35" t="s">
        <v>46</v>
      </c>
      <c r="B997" s="34" t="str">
        <f>HYPERLINK("http://www.twitter.com/thurrocklibrary", "thurrocklibrary")</f>
        <v>thurrocklibrary</v>
      </c>
      <c r="C997" s="33" t="s">
        <v>975</v>
      </c>
      <c r="D997" s="33" t="s">
        <v>976</v>
      </c>
      <c r="E997" s="32" t="s">
        <v>977</v>
      </c>
      <c r="F997" s="35">
        <v>306</v>
      </c>
      <c r="G997" s="35">
        <v>1303</v>
      </c>
      <c r="H997" s="35">
        <v>3413</v>
      </c>
      <c r="I997" s="35">
        <v>329</v>
      </c>
      <c r="J997" s="36">
        <v>39960</v>
      </c>
      <c r="K997" s="37">
        <v>0.34491898148148148</v>
      </c>
      <c r="L997" s="36">
        <v>42940</v>
      </c>
      <c r="M997" s="38">
        <v>0.51282407407407404</v>
      </c>
    </row>
    <row r="998" spans="1:13" ht="45" x14ac:dyDescent="0.25">
      <c r="A998" s="35" t="s">
        <v>46</v>
      </c>
      <c r="B998" s="34" t="str">
        <f>HYPERLINK("http://www.twitter.com/salibraries", "salibraries")</f>
        <v>salibraries</v>
      </c>
      <c r="C998" s="33" t="s">
        <v>1358</v>
      </c>
      <c r="D998" s="33" t="s">
        <v>1359</v>
      </c>
      <c r="E998" s="32" t="s">
        <v>1360</v>
      </c>
      <c r="F998" s="35">
        <v>999</v>
      </c>
      <c r="G998" s="35">
        <v>892</v>
      </c>
      <c r="H998" s="35">
        <v>3383</v>
      </c>
      <c r="I998" s="35">
        <v>658</v>
      </c>
      <c r="J998" s="36">
        <v>41026</v>
      </c>
      <c r="K998" s="37">
        <v>0.56855324074074076</v>
      </c>
      <c r="L998" s="36">
        <v>42940</v>
      </c>
      <c r="M998" s="38">
        <v>0.62583333333333335</v>
      </c>
    </row>
    <row r="999" spans="1:13" ht="30" x14ac:dyDescent="0.25">
      <c r="A999" s="35" t="s">
        <v>46</v>
      </c>
      <c r="B999" s="34" t="str">
        <f>HYPERLINK("http://www.twitter.com/InverclydeLibs", "InverclydeLibs")</f>
        <v>InverclydeLibs</v>
      </c>
      <c r="C999" s="33" t="s">
        <v>612</v>
      </c>
      <c r="D999" s="33" t="s">
        <v>613</v>
      </c>
      <c r="E999" s="32" t="s">
        <v>614</v>
      </c>
      <c r="F999" s="35">
        <v>641</v>
      </c>
      <c r="G999" s="35">
        <v>2209</v>
      </c>
      <c r="H999" s="35">
        <v>3203</v>
      </c>
      <c r="I999" s="35">
        <v>903</v>
      </c>
      <c r="J999" s="36">
        <v>40001</v>
      </c>
      <c r="K999" s="37">
        <v>0.81702546296296286</v>
      </c>
      <c r="L999" s="36">
        <v>42939</v>
      </c>
      <c r="M999" s="38">
        <v>0.66798611111111106</v>
      </c>
    </row>
    <row r="1000" spans="1:13" ht="30" x14ac:dyDescent="0.25">
      <c r="A1000" s="35" t="s">
        <v>46</v>
      </c>
      <c r="B1000" s="34" t="str">
        <f>HYPERLINK("http://www.twitter.com/CMBClibraries", "CMBClibraries")</f>
        <v>CMBClibraries</v>
      </c>
      <c r="C1000" s="33" t="s">
        <v>772</v>
      </c>
      <c r="D1000" s="33" t="s">
        <v>773</v>
      </c>
      <c r="E1000" s="32" t="s">
        <v>774</v>
      </c>
      <c r="F1000" s="35">
        <v>853</v>
      </c>
      <c r="G1000" s="35">
        <v>1724</v>
      </c>
      <c r="H1000" s="35">
        <v>3175</v>
      </c>
      <c r="I1000" s="35">
        <v>287</v>
      </c>
      <c r="J1000" s="36">
        <v>41417</v>
      </c>
      <c r="K1000" s="37">
        <v>0.61405092592592592</v>
      </c>
      <c r="L1000" s="36">
        <v>42937</v>
      </c>
      <c r="M1000" s="38">
        <v>0.29555555555555557</v>
      </c>
    </row>
    <row r="1001" spans="1:13" ht="45" x14ac:dyDescent="0.25">
      <c r="A1001" s="35" t="s">
        <v>46</v>
      </c>
      <c r="B1001" s="34" t="str">
        <f>HYPERLINK("http://www.twitter.com/bradfordlibs247", "bradfordlibs247")</f>
        <v>bradfordlibs247</v>
      </c>
      <c r="C1001" s="33" t="s">
        <v>335</v>
      </c>
      <c r="D1001" s="33" t="s">
        <v>336</v>
      </c>
      <c r="E1001" s="32" t="s">
        <v>337</v>
      </c>
      <c r="F1001" s="35">
        <v>744</v>
      </c>
      <c r="G1001" s="35">
        <v>3406</v>
      </c>
      <c r="H1001" s="35">
        <v>3166</v>
      </c>
      <c r="I1001" s="35">
        <v>967</v>
      </c>
      <c r="J1001" s="36">
        <v>39966</v>
      </c>
      <c r="K1001" s="37">
        <v>0.61402777777777773</v>
      </c>
      <c r="L1001" s="36">
        <v>42938</v>
      </c>
      <c r="M1001" s="38">
        <v>0.53375000000000006</v>
      </c>
    </row>
    <row r="1002" spans="1:13" x14ac:dyDescent="0.25">
      <c r="A1002" s="35" t="s">
        <v>46</v>
      </c>
      <c r="B1002" s="34" t="str">
        <f>HYPERLINK("http://www.twitter.com/onfifelibraries", "onfifelibraries")</f>
        <v>onfifelibraries</v>
      </c>
      <c r="C1002" s="33" t="s">
        <v>420</v>
      </c>
      <c r="D1002" s="33" t="s">
        <v>421</v>
      </c>
      <c r="E1002" s="32" t="s">
        <v>422</v>
      </c>
      <c r="F1002" s="35">
        <v>2580</v>
      </c>
      <c r="G1002" s="35">
        <v>2810</v>
      </c>
      <c r="H1002" s="35">
        <v>3097</v>
      </c>
      <c r="I1002" s="35">
        <v>1316</v>
      </c>
      <c r="J1002" s="36">
        <v>40289</v>
      </c>
      <c r="K1002" s="37">
        <v>0.46458333333333335</v>
      </c>
      <c r="L1002" s="36">
        <v>42934</v>
      </c>
      <c r="M1002" s="38">
        <v>0.42752314814814812</v>
      </c>
    </row>
    <row r="1003" spans="1:13" ht="45" x14ac:dyDescent="0.25">
      <c r="A1003" s="35" t="s">
        <v>46</v>
      </c>
      <c r="B1003" s="34" t="str">
        <f>HYPERLINK("http://www.twitter.com/WalsallLibrary", "WalsallLibrary")</f>
        <v>WalsallLibrary</v>
      </c>
      <c r="C1003" s="33" t="s">
        <v>357</v>
      </c>
      <c r="D1003" s="33" t="s">
        <v>358</v>
      </c>
      <c r="E1003" s="32" t="s">
        <v>359</v>
      </c>
      <c r="F1003" s="35">
        <v>2307</v>
      </c>
      <c r="G1003" s="35">
        <v>3176</v>
      </c>
      <c r="H1003" s="35">
        <v>3054</v>
      </c>
      <c r="I1003" s="35">
        <v>101</v>
      </c>
      <c r="J1003" s="36">
        <v>40267</v>
      </c>
      <c r="K1003" s="37">
        <v>0.58905092592592589</v>
      </c>
      <c r="L1003" s="36">
        <v>42940</v>
      </c>
      <c r="M1003" s="38">
        <v>0.51553240740740736</v>
      </c>
    </row>
    <row r="1004" spans="1:13" ht="45" x14ac:dyDescent="0.25">
      <c r="A1004" s="35" t="s">
        <v>46</v>
      </c>
      <c r="B1004" s="34" t="str">
        <f>HYPERLINK("http://www.twitter.com/VivacityLibrary", "VivacityLibrary")</f>
        <v>VivacityLibrary</v>
      </c>
      <c r="C1004" s="33" t="s">
        <v>1077</v>
      </c>
      <c r="D1004" s="33" t="s">
        <v>1078</v>
      </c>
      <c r="E1004" s="32" t="s">
        <v>1079</v>
      </c>
      <c r="F1004" s="35">
        <v>167</v>
      </c>
      <c r="G1004" s="35">
        <v>1153</v>
      </c>
      <c r="H1004" s="35">
        <v>2995</v>
      </c>
      <c r="I1004" s="35">
        <v>28</v>
      </c>
      <c r="J1004" s="36">
        <v>41002</v>
      </c>
      <c r="K1004" s="37">
        <v>0.63530092592592591</v>
      </c>
      <c r="L1004" s="36">
        <v>42927</v>
      </c>
      <c r="M1004" s="38">
        <v>0.36756944444444445</v>
      </c>
    </row>
    <row r="1005" spans="1:13" ht="45" x14ac:dyDescent="0.25">
      <c r="A1005" s="35" t="s">
        <v>46</v>
      </c>
      <c r="B1005" s="34" t="str">
        <f>HYPERLINK("http://www.twitter.com/SurreyHeritage", "SurreyHeritage")</f>
        <v>SurreyHeritage</v>
      </c>
      <c r="C1005" s="33" t="s">
        <v>237</v>
      </c>
      <c r="D1005" s="33" t="s">
        <v>238</v>
      </c>
      <c r="E1005" s="32" t="s">
        <v>239</v>
      </c>
      <c r="F1005" s="35">
        <v>1919</v>
      </c>
      <c r="G1005" s="35">
        <v>4419</v>
      </c>
      <c r="H1005" s="35">
        <v>2994</v>
      </c>
      <c r="I1005" s="35">
        <v>1464</v>
      </c>
      <c r="J1005" s="36">
        <v>40113</v>
      </c>
      <c r="K1005" s="37">
        <v>0.71741898148148142</v>
      </c>
      <c r="L1005" s="36">
        <v>42937</v>
      </c>
      <c r="M1005" s="38">
        <v>0.64634259259259264</v>
      </c>
    </row>
    <row r="1006" spans="1:13" ht="45" x14ac:dyDescent="0.25">
      <c r="A1006" s="35" t="s">
        <v>46</v>
      </c>
      <c r="B1006" s="34" t="str">
        <f>HYPERLINK("http://www.twitter.com/southendlibrary", "southendlibrary")</f>
        <v>southendlibrary</v>
      </c>
      <c r="C1006" s="33" t="s">
        <v>329</v>
      </c>
      <c r="D1006" s="33" t="s">
        <v>330</v>
      </c>
      <c r="E1006" s="32" t="s">
        <v>331</v>
      </c>
      <c r="F1006" s="35">
        <v>452</v>
      </c>
      <c r="G1006" s="35">
        <v>3431</v>
      </c>
      <c r="H1006" s="35">
        <v>2803</v>
      </c>
      <c r="I1006" s="35">
        <v>536</v>
      </c>
      <c r="J1006" s="36">
        <v>39920</v>
      </c>
      <c r="K1006" s="37">
        <v>0.6114236111111111</v>
      </c>
      <c r="L1006" s="36">
        <v>42940</v>
      </c>
      <c r="M1006" s="38">
        <v>0.61124999999999996</v>
      </c>
    </row>
    <row r="1007" spans="1:13" ht="45" x14ac:dyDescent="0.25">
      <c r="A1007" s="35" t="s">
        <v>46</v>
      </c>
      <c r="B1007" s="34" t="str">
        <f>HYPERLINK("http://www.twitter.com/wandsworthlibs", "wandsworthlibs")</f>
        <v>wandsworthlibs</v>
      </c>
      <c r="C1007" s="33" t="s">
        <v>1092</v>
      </c>
      <c r="E1007" s="32" t="s">
        <v>1093</v>
      </c>
      <c r="F1007" s="35">
        <v>799</v>
      </c>
      <c r="G1007" s="35">
        <v>1163</v>
      </c>
      <c r="H1007" s="35">
        <v>2791</v>
      </c>
      <c r="I1007" s="35">
        <v>204</v>
      </c>
      <c r="J1007" s="36">
        <v>41865</v>
      </c>
      <c r="K1007" s="37">
        <v>0.59796296296296292</v>
      </c>
      <c r="L1007" s="36">
        <v>42940</v>
      </c>
      <c r="M1007" s="38">
        <v>0.59722222222222221</v>
      </c>
    </row>
    <row r="1008" spans="1:13" ht="60" x14ac:dyDescent="0.25">
      <c r="A1008" s="35" t="s">
        <v>46</v>
      </c>
      <c r="B1008" s="34" t="str">
        <f>HYPERLINK("http://www.twitter.com/TorfaenLibrary", "TorfaenLibrary")</f>
        <v>TorfaenLibrary</v>
      </c>
      <c r="C1008" s="33" t="s">
        <v>748</v>
      </c>
      <c r="D1008" s="33" t="s">
        <v>749</v>
      </c>
      <c r="E1008" s="32" t="s">
        <v>750</v>
      </c>
      <c r="F1008" s="35">
        <v>1176</v>
      </c>
      <c r="G1008" s="35">
        <v>1743</v>
      </c>
      <c r="H1008" s="35">
        <v>2708</v>
      </c>
      <c r="I1008" s="35">
        <v>531</v>
      </c>
      <c r="J1008" s="36">
        <v>40696</v>
      </c>
      <c r="K1008" s="37">
        <v>0.51734953703703701</v>
      </c>
      <c r="L1008" s="36">
        <v>42936</v>
      </c>
      <c r="M1008" s="38">
        <v>0.7299768518518519</v>
      </c>
    </row>
    <row r="1009" spans="1:13" x14ac:dyDescent="0.25">
      <c r="A1009" s="35" t="s">
        <v>46</v>
      </c>
      <c r="B1009" s="34" t="str">
        <f>HYPERLINK("http://www.twitter.com/MidLibraries", "MidLibraries")</f>
        <v>MidLibraries</v>
      </c>
      <c r="C1009" s="33" t="s">
        <v>1304</v>
      </c>
      <c r="D1009" s="33" t="s">
        <v>1305</v>
      </c>
      <c r="E1009" s="32" t="s">
        <v>1306</v>
      </c>
      <c r="F1009" s="35">
        <v>446</v>
      </c>
      <c r="G1009" s="35">
        <v>913</v>
      </c>
      <c r="H1009" s="35">
        <v>2583</v>
      </c>
      <c r="I1009" s="35">
        <v>1839</v>
      </c>
      <c r="J1009" s="36">
        <v>40325</v>
      </c>
      <c r="K1009" s="37">
        <v>0.38230324074074074</v>
      </c>
      <c r="L1009" s="36">
        <v>42940</v>
      </c>
      <c r="M1009" s="38">
        <v>0.5930671296296296</v>
      </c>
    </row>
    <row r="1010" spans="1:13" ht="45" x14ac:dyDescent="0.25">
      <c r="A1010" s="35" t="s">
        <v>46</v>
      </c>
      <c r="B1010" s="34" t="str">
        <f>HYPERLINK("http://www.twitter.com/LibrariesWest", "LibrariesWest")</f>
        <v>LibrariesWest</v>
      </c>
      <c r="C1010" s="33" t="s">
        <v>832</v>
      </c>
      <c r="E1010" s="32" t="s">
        <v>833</v>
      </c>
      <c r="F1010" s="35">
        <v>501</v>
      </c>
      <c r="G1010" s="35">
        <v>1565</v>
      </c>
      <c r="H1010" s="35">
        <v>2455</v>
      </c>
      <c r="I1010" s="35">
        <v>635</v>
      </c>
      <c r="J1010" s="36">
        <v>40567</v>
      </c>
      <c r="K1010" s="37">
        <v>0.5877430555555555</v>
      </c>
      <c r="L1010" s="36">
        <v>42939</v>
      </c>
      <c r="M1010" s="38">
        <v>0.37738425925925928</v>
      </c>
    </row>
    <row r="1011" spans="1:13" ht="45" x14ac:dyDescent="0.25">
      <c r="A1011" s="35" t="s">
        <v>46</v>
      </c>
      <c r="B1011" s="34" t="str">
        <f>HYPERLINK("http://www.twitter.com/Wirrallibraries", "Wirrallibraries")</f>
        <v>Wirrallibraries</v>
      </c>
      <c r="C1011" s="33" t="s">
        <v>784</v>
      </c>
      <c r="D1011" s="33" t="s">
        <v>785</v>
      </c>
      <c r="E1011" s="32" t="s">
        <v>786</v>
      </c>
      <c r="F1011" s="35">
        <v>839</v>
      </c>
      <c r="G1011" s="35">
        <v>1688</v>
      </c>
      <c r="H1011" s="35">
        <v>2339</v>
      </c>
      <c r="I1011" s="35">
        <v>1607</v>
      </c>
      <c r="J1011" s="36">
        <v>41677</v>
      </c>
      <c r="K1011" s="37">
        <v>0.68244212962962969</v>
      </c>
      <c r="L1011" s="36">
        <v>42940</v>
      </c>
      <c r="M1011" s="38">
        <v>0.56478009259259265</v>
      </c>
    </row>
    <row r="1012" spans="1:13" ht="30" x14ac:dyDescent="0.25">
      <c r="A1012" s="35" t="s">
        <v>46</v>
      </c>
      <c r="B1012" s="34" t="str">
        <f>HYPERLINK("http://www.twitter.com/CheltLibraries", "CheltLibraries")</f>
        <v>CheltLibraries</v>
      </c>
      <c r="C1012" s="33" t="s">
        <v>1316</v>
      </c>
      <c r="E1012" s="32" t="s">
        <v>1317</v>
      </c>
      <c r="F1012" s="35">
        <v>24</v>
      </c>
      <c r="G1012" s="35">
        <v>887</v>
      </c>
      <c r="H1012" s="35">
        <v>2255</v>
      </c>
      <c r="I1012" s="35">
        <v>0</v>
      </c>
      <c r="J1012" s="36">
        <v>40002</v>
      </c>
      <c r="K1012" s="37">
        <v>0.93969907407407405</v>
      </c>
      <c r="L1012" s="36">
        <v>42938</v>
      </c>
      <c r="M1012" s="38">
        <v>0.99152777777777779</v>
      </c>
    </row>
    <row r="1013" spans="1:13" ht="30" x14ac:dyDescent="0.25">
      <c r="A1013" s="33" t="s">
        <v>46</v>
      </c>
      <c r="B1013" s="34" t="str">
        <f>HYPERLINK("http://www.twitter.com/kinglibheritage", "kinglibheritage")</f>
        <v>kinglibheritage</v>
      </c>
      <c r="C1013" s="33" t="s">
        <v>665</v>
      </c>
      <c r="D1013" s="33" t="s">
        <v>1005</v>
      </c>
      <c r="E1013" s="32" t="s">
        <v>1006</v>
      </c>
      <c r="F1013" s="35">
        <v>463</v>
      </c>
      <c r="G1013" s="35">
        <v>1271</v>
      </c>
      <c r="H1013" s="35">
        <v>2222</v>
      </c>
      <c r="I1013" s="35">
        <v>743</v>
      </c>
      <c r="J1013" s="36">
        <v>41213</v>
      </c>
      <c r="K1013" s="37">
        <v>0.32034722222222223</v>
      </c>
      <c r="L1013" s="36">
        <v>42940</v>
      </c>
      <c r="M1013" s="38">
        <v>0.35416666666666669</v>
      </c>
    </row>
    <row r="1014" spans="1:13" ht="30" x14ac:dyDescent="0.25">
      <c r="A1014" s="35" t="s">
        <v>46</v>
      </c>
      <c r="B1014" s="34" t="str">
        <f>HYPERLINK("http://www.twitter.com/BuryLibraries", "BuryLibraries")</f>
        <v>BuryLibraries</v>
      </c>
      <c r="C1014" s="33" t="s">
        <v>635</v>
      </c>
      <c r="D1014" s="33" t="s">
        <v>636</v>
      </c>
      <c r="E1014" s="32" t="s">
        <v>637</v>
      </c>
      <c r="F1014" s="35">
        <v>2491</v>
      </c>
      <c r="G1014" s="35">
        <v>2136</v>
      </c>
      <c r="H1014" s="35">
        <v>2197</v>
      </c>
      <c r="I1014" s="35">
        <v>525</v>
      </c>
      <c r="J1014" s="36">
        <v>40246</v>
      </c>
      <c r="K1014" s="37">
        <v>0.71299768518518514</v>
      </c>
      <c r="L1014" s="36">
        <v>42940</v>
      </c>
      <c r="M1014" s="38">
        <v>0.68072916666666661</v>
      </c>
    </row>
    <row r="1015" spans="1:13" ht="45" x14ac:dyDescent="0.25">
      <c r="A1015" s="35" t="s">
        <v>46</v>
      </c>
      <c r="B1015" s="34" t="str">
        <f>HYPERLINK("http://www.twitter.com/SolLibraries", "SolLibraries")</f>
        <v>SolLibraries</v>
      </c>
      <c r="C1015" s="33" t="s">
        <v>1665</v>
      </c>
      <c r="D1015" s="33" t="s">
        <v>1666</v>
      </c>
      <c r="E1015" s="32" t="s">
        <v>1667</v>
      </c>
      <c r="F1015" s="35">
        <v>218</v>
      </c>
      <c r="G1015" s="35">
        <v>626</v>
      </c>
      <c r="H1015" s="35">
        <v>2193</v>
      </c>
      <c r="I1015" s="35">
        <v>282</v>
      </c>
      <c r="J1015" s="36">
        <v>42318</v>
      </c>
      <c r="K1015" s="37">
        <v>0.54099537037037038</v>
      </c>
      <c r="L1015" s="36">
        <v>42940</v>
      </c>
      <c r="M1015" s="38">
        <v>0.53063657407407405</v>
      </c>
    </row>
    <row r="1016" spans="1:13" ht="30" x14ac:dyDescent="0.25">
      <c r="A1016" s="35" t="s">
        <v>46</v>
      </c>
      <c r="B1016" s="34" t="str">
        <f>HYPERLINK("http://www.twitter.com/BwdLibraries", "BwdLibraries")</f>
        <v>BwdLibraries</v>
      </c>
      <c r="C1016" s="33" t="s">
        <v>1080</v>
      </c>
      <c r="D1016" s="33" t="s">
        <v>1081</v>
      </c>
      <c r="E1016" s="32" t="s">
        <v>1082</v>
      </c>
      <c r="F1016" s="35">
        <v>1291</v>
      </c>
      <c r="G1016" s="35">
        <v>1150</v>
      </c>
      <c r="H1016" s="35">
        <v>2147</v>
      </c>
      <c r="I1016" s="35">
        <v>4</v>
      </c>
      <c r="J1016" s="36">
        <v>41193</v>
      </c>
      <c r="K1016" s="37">
        <v>0.41797453703703707</v>
      </c>
      <c r="L1016" s="36">
        <v>42940</v>
      </c>
      <c r="M1016" s="38">
        <v>0.45498842592592598</v>
      </c>
    </row>
    <row r="1017" spans="1:13" ht="45" x14ac:dyDescent="0.25">
      <c r="A1017" s="35" t="s">
        <v>46</v>
      </c>
      <c r="B1017" s="34" t="str">
        <f>HYPERLINK("http://www.twitter.com/MonLibraries", "MonLibraries")</f>
        <v>MonLibraries</v>
      </c>
      <c r="C1017" s="33" t="s">
        <v>879</v>
      </c>
      <c r="D1017" s="33" t="s">
        <v>880</v>
      </c>
      <c r="E1017" s="32" t="s">
        <v>881</v>
      </c>
      <c r="F1017" s="35">
        <v>593</v>
      </c>
      <c r="G1017" s="35">
        <v>1469</v>
      </c>
      <c r="H1017" s="35">
        <v>2102</v>
      </c>
      <c r="I1017" s="35">
        <v>353</v>
      </c>
      <c r="J1017" s="36">
        <v>41030</v>
      </c>
      <c r="K1017" s="37">
        <v>0.6270486111111111</v>
      </c>
      <c r="L1017" s="36">
        <v>42934</v>
      </c>
      <c r="M1017" s="38">
        <v>0.55766203703703698</v>
      </c>
    </row>
    <row r="1018" spans="1:13" ht="45" x14ac:dyDescent="0.25">
      <c r="A1018" s="35" t="s">
        <v>46</v>
      </c>
      <c r="B1018" s="34" t="str">
        <f>HYPERLINK("http://www.twitter.com/SalfordLibrary", "SalfordLibrary")</f>
        <v>SalfordLibrary</v>
      </c>
      <c r="C1018" s="33" t="s">
        <v>919</v>
      </c>
      <c r="D1018" s="33" t="s">
        <v>920</v>
      </c>
      <c r="E1018" s="32" t="s">
        <v>921</v>
      </c>
      <c r="F1018" s="35">
        <v>275</v>
      </c>
      <c r="G1018" s="35">
        <v>1424</v>
      </c>
      <c r="H1018" s="35">
        <v>2092</v>
      </c>
      <c r="I1018" s="35">
        <v>322</v>
      </c>
      <c r="J1018" s="36">
        <v>41239</v>
      </c>
      <c r="K1018" s="37">
        <v>0.44362268518518522</v>
      </c>
      <c r="L1018" s="36">
        <v>42940</v>
      </c>
      <c r="M1018" s="38">
        <v>0.69817129629629626</v>
      </c>
    </row>
    <row r="1019" spans="1:13" ht="30" x14ac:dyDescent="0.25">
      <c r="A1019" s="35" t="s">
        <v>46</v>
      </c>
      <c r="B1019" s="34" t="str">
        <f>HYPERLINK("http://www.twitter.com/sandwelllibs", "sandwelllibs")</f>
        <v>sandwelllibs</v>
      </c>
      <c r="C1019" s="33" t="s">
        <v>984</v>
      </c>
      <c r="D1019" s="33" t="s">
        <v>985</v>
      </c>
      <c r="E1019" s="32" t="s">
        <v>986</v>
      </c>
      <c r="F1019" s="35">
        <v>728</v>
      </c>
      <c r="G1019" s="35">
        <v>1298</v>
      </c>
      <c r="H1019" s="35">
        <v>2076</v>
      </c>
      <c r="I1019" s="35">
        <v>351</v>
      </c>
      <c r="J1019" s="36">
        <v>41687</v>
      </c>
      <c r="K1019" s="37">
        <v>0.53840277777777779</v>
      </c>
      <c r="L1019" s="36">
        <v>42938</v>
      </c>
      <c r="M1019" s="38">
        <v>0.7681365740740741</v>
      </c>
    </row>
    <row r="1020" spans="1:13" ht="45" x14ac:dyDescent="0.25">
      <c r="A1020" s="35" t="s">
        <v>46</v>
      </c>
      <c r="B1020" s="34" t="str">
        <f>HYPERLINK("http://www.twitter.com/LutonLibraries", "LutonLibraries")</f>
        <v>LutonLibraries</v>
      </c>
      <c r="C1020" s="33" t="s">
        <v>489</v>
      </c>
      <c r="D1020" s="33" t="s">
        <v>490</v>
      </c>
      <c r="E1020" s="32" t="s">
        <v>491</v>
      </c>
      <c r="F1020" s="35">
        <v>816</v>
      </c>
      <c r="G1020" s="35">
        <v>2543</v>
      </c>
      <c r="H1020" s="35">
        <v>2061</v>
      </c>
      <c r="I1020" s="35">
        <v>317</v>
      </c>
      <c r="J1020" s="36">
        <v>40151</v>
      </c>
      <c r="K1020" s="37">
        <v>0.49336805555555557</v>
      </c>
      <c r="L1020" s="36">
        <v>42940</v>
      </c>
      <c r="M1020" s="38">
        <v>0.49850694444444449</v>
      </c>
    </row>
    <row r="1021" spans="1:13" ht="45" x14ac:dyDescent="0.25">
      <c r="A1021" s="35" t="s">
        <v>46</v>
      </c>
      <c r="B1021" s="34" t="str">
        <f>HYPERLINK("http://www.twitter.com/TraffLibraries", "TraffLibraries")</f>
        <v>TraffLibraries</v>
      </c>
      <c r="C1021" s="33" t="s">
        <v>824</v>
      </c>
      <c r="D1021" s="33" t="s">
        <v>825</v>
      </c>
      <c r="E1021" s="32" t="s">
        <v>826</v>
      </c>
      <c r="F1021" s="35">
        <v>1645</v>
      </c>
      <c r="G1021" s="35">
        <v>1620</v>
      </c>
      <c r="H1021" s="35">
        <v>1963</v>
      </c>
      <c r="I1021" s="35">
        <v>730</v>
      </c>
      <c r="J1021" s="36">
        <v>41794</v>
      </c>
      <c r="K1021" s="37">
        <v>0.91450231481481481</v>
      </c>
      <c r="L1021" s="36">
        <v>42940</v>
      </c>
      <c r="M1021" s="38">
        <v>0.28340277777777778</v>
      </c>
    </row>
    <row r="1022" spans="1:13" ht="45" x14ac:dyDescent="0.25">
      <c r="A1022" s="35" t="s">
        <v>46</v>
      </c>
      <c r="B1022" s="34" t="str">
        <f>HYPERLINK("http://www.twitter.com/cwaclibraries", "cwaclibraries")</f>
        <v>cwaclibraries</v>
      </c>
      <c r="C1022" s="33" t="s">
        <v>1312</v>
      </c>
      <c r="E1022" s="32" t="s">
        <v>1313</v>
      </c>
      <c r="F1022" s="35">
        <v>102</v>
      </c>
      <c r="G1022" s="35">
        <v>922</v>
      </c>
      <c r="H1022" s="35">
        <v>1901</v>
      </c>
      <c r="I1022" s="35">
        <v>14</v>
      </c>
      <c r="J1022" s="36">
        <v>41953</v>
      </c>
      <c r="K1022" s="37">
        <v>0.51392361111111107</v>
      </c>
      <c r="L1022" s="36">
        <v>42940</v>
      </c>
      <c r="M1022" s="38">
        <v>0.64422453703703708</v>
      </c>
    </row>
    <row r="1023" spans="1:13" ht="30" x14ac:dyDescent="0.25">
      <c r="A1023" s="35" t="s">
        <v>46</v>
      </c>
      <c r="B1023" s="34" t="str">
        <f>HYPERLINK("http://www.twitter.com/SotonLibraries", "SotonLibraries")</f>
        <v>SotonLibraries</v>
      </c>
      <c r="C1023" s="33" t="s">
        <v>1215</v>
      </c>
      <c r="D1023" s="33" t="s">
        <v>877</v>
      </c>
      <c r="E1023" s="32" t="s">
        <v>1216</v>
      </c>
      <c r="F1023" s="35">
        <v>912</v>
      </c>
      <c r="G1023" s="35">
        <v>1008</v>
      </c>
      <c r="H1023" s="35">
        <v>1719</v>
      </c>
      <c r="I1023" s="35">
        <v>214</v>
      </c>
      <c r="J1023" s="36">
        <v>40486</v>
      </c>
      <c r="K1023" s="37">
        <v>0.85214120370370372</v>
      </c>
      <c r="L1023" s="36">
        <v>42939</v>
      </c>
      <c r="M1023" s="38">
        <v>0.47931712962962963</v>
      </c>
    </row>
    <row r="1024" spans="1:13" ht="45" x14ac:dyDescent="0.25">
      <c r="A1024" s="35" t="s">
        <v>46</v>
      </c>
      <c r="B1024" s="34" t="str">
        <f>HYPERLINK("http://www.twitter.com/TorbayLibraries", "TorbayLibraries")</f>
        <v>TorbayLibraries</v>
      </c>
      <c r="C1024" s="33" t="s">
        <v>972</v>
      </c>
      <c r="D1024" s="33" t="s">
        <v>973</v>
      </c>
      <c r="E1024" s="32" t="s">
        <v>974</v>
      </c>
      <c r="F1024" s="35">
        <v>806</v>
      </c>
      <c r="G1024" s="35">
        <v>1305</v>
      </c>
      <c r="H1024" s="35">
        <v>1666</v>
      </c>
      <c r="I1024" s="35">
        <v>247</v>
      </c>
      <c r="J1024" s="36">
        <v>40406</v>
      </c>
      <c r="K1024" s="37">
        <v>0.4644328703703704</v>
      </c>
      <c r="L1024" s="36">
        <v>42937</v>
      </c>
      <c r="M1024" s="38">
        <v>0.50659722222222225</v>
      </c>
    </row>
    <row r="1025" spans="1:13" ht="45" x14ac:dyDescent="0.25">
      <c r="A1025" s="35" t="s">
        <v>46</v>
      </c>
      <c r="B1025" s="34" t="str">
        <f>HYPERLINK("http://www.twitter.com/ChertseyLib", "ChertseyLib")</f>
        <v>ChertseyLib</v>
      </c>
      <c r="C1025" s="33" t="s">
        <v>1157</v>
      </c>
      <c r="D1025" s="33" t="s">
        <v>1158</v>
      </c>
      <c r="E1025" s="32" t="s">
        <v>1159</v>
      </c>
      <c r="F1025" s="35">
        <v>702</v>
      </c>
      <c r="G1025" s="35">
        <v>1079</v>
      </c>
      <c r="H1025" s="35">
        <v>1616</v>
      </c>
      <c r="I1025" s="35">
        <v>399</v>
      </c>
      <c r="J1025" s="36">
        <v>40765</v>
      </c>
      <c r="K1025" s="37">
        <v>0.36082175925925924</v>
      </c>
      <c r="L1025" s="36">
        <v>42940</v>
      </c>
      <c r="M1025" s="38">
        <v>0.5511342592592593</v>
      </c>
    </row>
    <row r="1026" spans="1:13" ht="45" x14ac:dyDescent="0.25">
      <c r="A1026" s="35" t="s">
        <v>46</v>
      </c>
      <c r="B1026" s="34" t="str">
        <f>HYPERLINK("http://www.twitter.com/OxtedLibrary", "OxtedLibrary")</f>
        <v>OxtedLibrary</v>
      </c>
      <c r="C1026" s="33" t="s">
        <v>1137</v>
      </c>
      <c r="D1026" s="33" t="s">
        <v>1138</v>
      </c>
      <c r="E1026" s="32" t="s">
        <v>1139</v>
      </c>
      <c r="F1026" s="35">
        <v>620</v>
      </c>
      <c r="G1026" s="35">
        <v>1083</v>
      </c>
      <c r="H1026" s="35">
        <v>1580</v>
      </c>
      <c r="I1026" s="35">
        <v>170</v>
      </c>
      <c r="J1026" s="36">
        <v>40763</v>
      </c>
      <c r="K1026" s="37">
        <v>0.64697916666666666</v>
      </c>
      <c r="L1026" s="36">
        <v>42924</v>
      </c>
      <c r="M1026" s="38">
        <v>0.64662037037037035</v>
      </c>
    </row>
    <row r="1027" spans="1:13" ht="45" x14ac:dyDescent="0.25">
      <c r="A1027" s="35" t="s">
        <v>46</v>
      </c>
      <c r="B1027" s="34" t="str">
        <f>HYPERLINK("http://www.twitter.com/RothLibraries", "RothLibraries")</f>
        <v>RothLibraries</v>
      </c>
      <c r="C1027" s="33" t="s">
        <v>1697</v>
      </c>
      <c r="D1027" s="33" t="s">
        <v>1698</v>
      </c>
      <c r="E1027" s="32" t="s">
        <v>1699</v>
      </c>
      <c r="F1027" s="35">
        <v>740</v>
      </c>
      <c r="G1027" s="35">
        <v>613</v>
      </c>
      <c r="H1027" s="35">
        <v>1560</v>
      </c>
      <c r="I1027" s="35">
        <v>1283</v>
      </c>
      <c r="J1027" s="36">
        <v>42593</v>
      </c>
      <c r="K1027" s="37">
        <v>0.56707175925925923</v>
      </c>
      <c r="L1027" s="36">
        <v>42940</v>
      </c>
      <c r="M1027" s="38">
        <v>0.60266203703703702</v>
      </c>
    </row>
    <row r="1028" spans="1:13" ht="45" x14ac:dyDescent="0.25">
      <c r="A1028" s="35" t="s">
        <v>46</v>
      </c>
      <c r="B1028" s="34" t="str">
        <f>HYPERLINK("http://www.twitter.com/telfordlibs", "telfordlibs")</f>
        <v>telfordlibs</v>
      </c>
      <c r="C1028" s="33" t="s">
        <v>1319</v>
      </c>
      <c r="D1028" s="33" t="s">
        <v>1320</v>
      </c>
      <c r="E1028" s="32" t="s">
        <v>1321</v>
      </c>
      <c r="F1028" s="35">
        <v>1070</v>
      </c>
      <c r="G1028" s="35">
        <v>1377</v>
      </c>
      <c r="H1028" s="35">
        <v>1533</v>
      </c>
      <c r="I1028" s="35">
        <v>819</v>
      </c>
      <c r="J1028" s="36">
        <v>42125</v>
      </c>
      <c r="K1028" s="37">
        <v>0.41444444444444445</v>
      </c>
      <c r="L1028" s="36">
        <v>42940</v>
      </c>
      <c r="M1028" s="38">
        <v>0.65703703703703698</v>
      </c>
    </row>
    <row r="1029" spans="1:13" ht="45" x14ac:dyDescent="0.25">
      <c r="A1029" s="35" t="s">
        <v>46</v>
      </c>
      <c r="B1029" s="34" t="str">
        <f>HYPERLINK("http://www.twitter.com/SoTLibraries", "SoTLibraries")</f>
        <v>SoTLibraries</v>
      </c>
      <c r="C1029" s="33" t="s">
        <v>1324</v>
      </c>
      <c r="D1029" s="33" t="s">
        <v>1325</v>
      </c>
      <c r="E1029" s="32" t="s">
        <v>1326</v>
      </c>
      <c r="F1029" s="35">
        <v>380</v>
      </c>
      <c r="G1029" s="35">
        <v>906</v>
      </c>
      <c r="H1029" s="35">
        <v>1460</v>
      </c>
      <c r="I1029" s="35">
        <v>642</v>
      </c>
      <c r="J1029" s="36">
        <v>41150</v>
      </c>
      <c r="K1029" s="37">
        <v>0.3105324074074074</v>
      </c>
      <c r="L1029" s="36">
        <v>42940</v>
      </c>
      <c r="M1029" s="38">
        <v>0.65700231481481486</v>
      </c>
    </row>
    <row r="1030" spans="1:13" x14ac:dyDescent="0.25">
      <c r="A1030" s="35" t="s">
        <v>46</v>
      </c>
      <c r="B1030" s="34" t="str">
        <f>HYPERLINK("http://www.twitter.com/librariesbwd", "librariesbwd")</f>
        <v>librariesbwd</v>
      </c>
      <c r="C1030" s="33" t="s">
        <v>2095</v>
      </c>
      <c r="D1030" s="33" t="s">
        <v>2096</v>
      </c>
      <c r="E1030" s="32" t="s">
        <v>2097</v>
      </c>
      <c r="F1030" s="35">
        <v>127</v>
      </c>
      <c r="G1030" s="35">
        <v>364</v>
      </c>
      <c r="H1030" s="35">
        <v>1371</v>
      </c>
      <c r="I1030" s="35">
        <v>0</v>
      </c>
      <c r="J1030" s="36">
        <v>40014</v>
      </c>
      <c r="K1030" s="37">
        <v>0.64068287037037031</v>
      </c>
      <c r="L1030" s="36">
        <v>41218</v>
      </c>
      <c r="M1030" s="38">
        <v>0.61148148148148151</v>
      </c>
    </row>
    <row r="1031" spans="1:13" ht="45" x14ac:dyDescent="0.25">
      <c r="A1031" s="35" t="s">
        <v>46</v>
      </c>
      <c r="B1031" s="34" t="str">
        <f>HYPERLINK("http://www.twitter.com/PortsmouthReads", "PortsmouthReads")</f>
        <v>PortsmouthReads</v>
      </c>
      <c r="C1031" s="33" t="s">
        <v>707</v>
      </c>
      <c r="D1031" s="33" t="s">
        <v>708</v>
      </c>
      <c r="E1031" s="32" t="s">
        <v>709</v>
      </c>
      <c r="F1031" s="35">
        <v>86</v>
      </c>
      <c r="G1031" s="35">
        <v>1853</v>
      </c>
      <c r="H1031" s="35">
        <v>1327</v>
      </c>
      <c r="I1031" s="35">
        <v>40</v>
      </c>
      <c r="J1031" s="36">
        <v>40366</v>
      </c>
      <c r="K1031" s="37">
        <v>0.43518518518518517</v>
      </c>
      <c r="L1031" s="36">
        <v>42937</v>
      </c>
      <c r="M1031" s="38">
        <v>0.61964120370370368</v>
      </c>
    </row>
    <row r="1032" spans="1:13" ht="45" x14ac:dyDescent="0.25">
      <c r="A1032" s="35" t="s">
        <v>46</v>
      </c>
      <c r="B1032" s="34" t="str">
        <f>HYPERLINK("http://www.twitter.com/DumGalLibraries", "DumGalLibraries")</f>
        <v>DumGalLibraries</v>
      </c>
      <c r="C1032" s="33" t="s">
        <v>1454</v>
      </c>
      <c r="D1032" s="33" t="s">
        <v>1455</v>
      </c>
      <c r="E1032" s="32" t="s">
        <v>1456</v>
      </c>
      <c r="F1032" s="35">
        <v>261</v>
      </c>
      <c r="G1032" s="35">
        <v>777</v>
      </c>
      <c r="H1032" s="35">
        <v>1213</v>
      </c>
      <c r="I1032" s="35">
        <v>379</v>
      </c>
      <c r="J1032" s="36">
        <v>40078</v>
      </c>
      <c r="K1032" s="37">
        <v>0.58283564814814814</v>
      </c>
      <c r="L1032" s="36">
        <v>42914</v>
      </c>
      <c r="M1032" s="38">
        <v>0.7691203703703704</v>
      </c>
    </row>
    <row r="1033" spans="1:13" ht="30" x14ac:dyDescent="0.25">
      <c r="A1033" s="35" t="s">
        <v>46</v>
      </c>
      <c r="B1033" s="34" t="str">
        <f>HYPERLINK("http://www.twitter.com/LibraryCornwall", "LibraryCornwall")</f>
        <v>LibraryCornwall</v>
      </c>
      <c r="C1033" s="33" t="s">
        <v>1207</v>
      </c>
      <c r="E1033" s="32" t="s">
        <v>1208</v>
      </c>
      <c r="F1033" s="35">
        <v>88</v>
      </c>
      <c r="G1033" s="35">
        <v>1023</v>
      </c>
      <c r="H1033" s="35">
        <v>1156</v>
      </c>
      <c r="I1033" s="35">
        <v>123</v>
      </c>
      <c r="J1033" s="36">
        <v>41452</v>
      </c>
      <c r="K1033" s="37">
        <v>0.57460648148148141</v>
      </c>
      <c r="L1033" s="36">
        <v>42937</v>
      </c>
      <c r="M1033" s="38">
        <v>0.46383101851851855</v>
      </c>
    </row>
    <row r="1034" spans="1:13" ht="30" x14ac:dyDescent="0.25">
      <c r="A1034" s="35" t="s">
        <v>46</v>
      </c>
      <c r="B1034" s="34" t="str">
        <f>HYPERLINK("http://www.twitter.com/Bmthlibs", "Bmthlibs")</f>
        <v>Bmthlibs</v>
      </c>
      <c r="C1034" s="33" t="s">
        <v>1648</v>
      </c>
      <c r="D1034" s="33" t="s">
        <v>1649</v>
      </c>
      <c r="E1034" s="32" t="s">
        <v>1650</v>
      </c>
      <c r="F1034" s="35">
        <v>770</v>
      </c>
      <c r="G1034" s="35">
        <v>693</v>
      </c>
      <c r="H1034" s="35">
        <v>1134</v>
      </c>
      <c r="I1034" s="35">
        <v>652</v>
      </c>
      <c r="J1034" s="36">
        <v>42401</v>
      </c>
      <c r="K1034" s="37">
        <v>0.50412037037037039</v>
      </c>
      <c r="L1034" s="36">
        <v>42940</v>
      </c>
      <c r="M1034" s="38">
        <v>0.56680555555555556</v>
      </c>
    </row>
    <row r="1035" spans="1:13" x14ac:dyDescent="0.25">
      <c r="A1035" s="35" t="s">
        <v>46</v>
      </c>
      <c r="B1035" s="34" t="str">
        <f>HYPERLINK("http://www.twitter.com/rochdalelibrary", "rochdalelibrary")</f>
        <v>rochdalelibrary</v>
      </c>
      <c r="C1035" s="33" t="s">
        <v>1668</v>
      </c>
      <c r="D1035" s="33" t="s">
        <v>1669</v>
      </c>
      <c r="E1035" s="32" t="s">
        <v>1670</v>
      </c>
      <c r="F1035" s="35">
        <v>241</v>
      </c>
      <c r="G1035" s="35">
        <v>598</v>
      </c>
      <c r="H1035" s="35">
        <v>1114</v>
      </c>
      <c r="I1035" s="35">
        <v>0</v>
      </c>
      <c r="J1035" s="36">
        <v>40403</v>
      </c>
      <c r="K1035" s="37">
        <v>0.71741898148148142</v>
      </c>
      <c r="L1035" s="36">
        <v>40902</v>
      </c>
      <c r="M1035" s="38">
        <v>0.32295138888888891</v>
      </c>
    </row>
    <row r="1036" spans="1:13" ht="45" x14ac:dyDescent="0.25">
      <c r="A1036" s="35" t="s">
        <v>46</v>
      </c>
      <c r="B1036" s="34" t="str">
        <f>HYPERLINK("http://www.twitter.com/SLibraries", "SLibraries")</f>
        <v>SLibraries</v>
      </c>
      <c r="C1036" s="33" t="s">
        <v>1467</v>
      </c>
      <c r="D1036" s="33" t="s">
        <v>1468</v>
      </c>
      <c r="E1036" s="32" t="s">
        <v>3632</v>
      </c>
      <c r="F1036" s="35">
        <v>1150</v>
      </c>
      <c r="G1036" s="35">
        <v>801</v>
      </c>
      <c r="H1036" s="35">
        <v>1110</v>
      </c>
      <c r="I1036" s="35">
        <v>535</v>
      </c>
      <c r="J1036" s="36">
        <v>42481</v>
      </c>
      <c r="K1036" s="37">
        <v>0.36942129629629633</v>
      </c>
      <c r="L1036" s="36">
        <v>42939</v>
      </c>
      <c r="M1036" s="38">
        <v>0.78748842592592594</v>
      </c>
    </row>
    <row r="1037" spans="1:13" x14ac:dyDescent="0.25">
      <c r="A1037" s="35" t="s">
        <v>46</v>
      </c>
      <c r="B1037" s="34" t="str">
        <f>HYPERLINK("http://www.twitter.com/JerseyLibrary", "JerseyLibrary")</f>
        <v>JerseyLibrary</v>
      </c>
      <c r="C1037" s="33" t="s">
        <v>1194</v>
      </c>
      <c r="D1037" s="33" t="s">
        <v>1195</v>
      </c>
      <c r="E1037" s="32" t="s">
        <v>1196</v>
      </c>
      <c r="F1037" s="35">
        <v>1081</v>
      </c>
      <c r="G1037" s="35">
        <v>1023</v>
      </c>
      <c r="H1037" s="35">
        <v>1039</v>
      </c>
      <c r="I1037" s="35">
        <v>531</v>
      </c>
      <c r="J1037" s="36">
        <v>41718</v>
      </c>
      <c r="K1037" s="37">
        <v>0.3527777777777778</v>
      </c>
      <c r="L1037" s="36">
        <v>42938</v>
      </c>
      <c r="M1037" s="38">
        <v>0.56018518518518523</v>
      </c>
    </row>
    <row r="1038" spans="1:13" ht="75" x14ac:dyDescent="0.25">
      <c r="A1038" s="35" t="s">
        <v>46</v>
      </c>
      <c r="B1038" s="34" t="str">
        <f>HYPERLINK("http://www.twitter.com/WxmLibraries", "WxmLibraries")</f>
        <v>WxmLibraries</v>
      </c>
      <c r="C1038" s="33" t="s">
        <v>1735</v>
      </c>
      <c r="D1038" s="33" t="s">
        <v>1736</v>
      </c>
      <c r="E1038" s="32" t="s">
        <v>1737</v>
      </c>
      <c r="F1038" s="35">
        <v>151</v>
      </c>
      <c r="G1038" s="35">
        <v>549</v>
      </c>
      <c r="H1038" s="35">
        <v>941</v>
      </c>
      <c r="I1038" s="35">
        <v>57</v>
      </c>
      <c r="J1038" s="36">
        <v>41527</v>
      </c>
      <c r="K1038" s="37">
        <v>0.60546296296296298</v>
      </c>
      <c r="L1038" s="36">
        <v>42939</v>
      </c>
      <c r="M1038" s="38">
        <v>0.66721064814814823</v>
      </c>
    </row>
    <row r="1039" spans="1:13" ht="45" x14ac:dyDescent="0.25">
      <c r="A1039" s="35" t="s">
        <v>46</v>
      </c>
      <c r="B1039" s="34" t="str">
        <f>HYPERLINK("http://www.twitter.com/silvercitylibs", "silvercitylibs")</f>
        <v>silvercitylibs</v>
      </c>
      <c r="C1039" s="33" t="s">
        <v>1609</v>
      </c>
      <c r="D1039" s="33" t="s">
        <v>569</v>
      </c>
      <c r="E1039" s="32" t="s">
        <v>1610</v>
      </c>
      <c r="F1039" s="35">
        <v>174</v>
      </c>
      <c r="G1039" s="35">
        <v>674</v>
      </c>
      <c r="H1039" s="35">
        <v>859</v>
      </c>
      <c r="I1039" s="35">
        <v>206</v>
      </c>
      <c r="J1039" s="36">
        <v>41802</v>
      </c>
      <c r="K1039" s="37">
        <v>0.54714120370370367</v>
      </c>
      <c r="L1039" s="36">
        <v>42940</v>
      </c>
      <c r="M1039" s="38">
        <v>0.57361111111111118</v>
      </c>
    </row>
    <row r="1040" spans="1:13" ht="45" x14ac:dyDescent="0.25">
      <c r="A1040" s="35" t="s">
        <v>46</v>
      </c>
      <c r="B1040" s="34" t="str">
        <f>HYPERLINK("http://www.twitter.com/CamberleyLib", "CamberleyLib")</f>
        <v>CamberleyLib</v>
      </c>
      <c r="C1040" s="33" t="s">
        <v>1086</v>
      </c>
      <c r="D1040" s="33" t="s">
        <v>1087</v>
      </c>
      <c r="E1040" s="32" t="s">
        <v>1088</v>
      </c>
      <c r="F1040" s="35">
        <v>245</v>
      </c>
      <c r="G1040" s="35">
        <v>1135</v>
      </c>
      <c r="H1040" s="35">
        <v>800</v>
      </c>
      <c r="I1040" s="35">
        <v>76</v>
      </c>
      <c r="J1040" s="36">
        <v>40637</v>
      </c>
      <c r="K1040" s="37">
        <v>0.51986111111111111</v>
      </c>
      <c r="L1040" s="36">
        <v>42938</v>
      </c>
      <c r="M1040" s="38">
        <v>0.57822916666666668</v>
      </c>
    </row>
    <row r="1041" spans="1:13" ht="45" x14ac:dyDescent="0.25">
      <c r="A1041" s="35" t="s">
        <v>46</v>
      </c>
      <c r="B1041" s="34" t="str">
        <f>HYPERLINK("http://www.twitter.com/AddlestoneLib", "AddlestoneLib")</f>
        <v>AddlestoneLib</v>
      </c>
      <c r="C1041" s="33" t="s">
        <v>1176</v>
      </c>
      <c r="D1041" s="33" t="s">
        <v>1177</v>
      </c>
      <c r="E1041" s="32" t="s">
        <v>1178</v>
      </c>
      <c r="F1041" s="35">
        <v>481</v>
      </c>
      <c r="G1041" s="35">
        <v>1054</v>
      </c>
      <c r="H1041" s="35">
        <v>799</v>
      </c>
      <c r="I1041" s="35">
        <v>7</v>
      </c>
      <c r="J1041" s="36">
        <v>40637</v>
      </c>
      <c r="K1041" s="37">
        <v>0.67519675925925926</v>
      </c>
      <c r="L1041" s="36">
        <v>42914</v>
      </c>
      <c r="M1041" s="38">
        <v>0.40775462962962966</v>
      </c>
    </row>
    <row r="1042" spans="1:13" ht="30" x14ac:dyDescent="0.25">
      <c r="A1042" s="35" t="s">
        <v>46</v>
      </c>
      <c r="B1042" s="34" t="str">
        <f>HYPERLINK("http://www.twitter.com/wexlibraries", "wexlibraries")</f>
        <v>wexlibraries</v>
      </c>
      <c r="C1042" s="33" t="s">
        <v>1798</v>
      </c>
      <c r="D1042" s="33" t="s">
        <v>1799</v>
      </c>
      <c r="E1042" s="32" t="s">
        <v>1800</v>
      </c>
      <c r="F1042" s="35">
        <v>1337</v>
      </c>
      <c r="G1042" s="35">
        <v>623</v>
      </c>
      <c r="H1042" s="35">
        <v>731</v>
      </c>
      <c r="I1042" s="35">
        <v>683</v>
      </c>
      <c r="J1042" s="36">
        <v>42773</v>
      </c>
      <c r="K1042" s="37">
        <v>0.67018518518518511</v>
      </c>
      <c r="L1042" s="36">
        <v>42940</v>
      </c>
      <c r="M1042" s="38">
        <v>0.1259837962962963</v>
      </c>
    </row>
    <row r="1043" spans="1:13" ht="45" x14ac:dyDescent="0.25">
      <c r="A1043" s="35" t="s">
        <v>46</v>
      </c>
      <c r="B1043" s="34" t="str">
        <f>HYPERLINK("http://www.twitter.com/CobhamLibrary", "CobhamLibrary")</f>
        <v>CobhamLibrary</v>
      </c>
      <c r="C1043" s="33" t="s">
        <v>1094</v>
      </c>
      <c r="D1043" s="33" t="s">
        <v>1095</v>
      </c>
      <c r="E1043" s="32" t="s">
        <v>1096</v>
      </c>
      <c r="F1043" s="35">
        <v>461</v>
      </c>
      <c r="G1043" s="35">
        <v>1124</v>
      </c>
      <c r="H1043" s="35">
        <v>654</v>
      </c>
      <c r="I1043" s="35">
        <v>64</v>
      </c>
      <c r="J1043" s="36">
        <v>41225</v>
      </c>
      <c r="K1043" s="37">
        <v>0.51861111111111113</v>
      </c>
      <c r="L1043" s="36">
        <v>42924</v>
      </c>
      <c r="M1043" s="38">
        <v>0.37835648148148149</v>
      </c>
    </row>
    <row r="1044" spans="1:13" ht="45" x14ac:dyDescent="0.25">
      <c r="A1044" s="35" t="s">
        <v>46</v>
      </c>
      <c r="B1044" s="34" t="str">
        <f>HYPERLINK("http://www.twitter.com/ChepstowHub", "ChepstowHub")</f>
        <v>ChepstowHub</v>
      </c>
      <c r="C1044" s="33" t="s">
        <v>2194</v>
      </c>
      <c r="D1044" s="33" t="s">
        <v>2195</v>
      </c>
      <c r="E1044" s="32" t="s">
        <v>2196</v>
      </c>
      <c r="F1044" s="35">
        <v>121</v>
      </c>
      <c r="G1044" s="35">
        <v>347</v>
      </c>
      <c r="H1044" s="35">
        <v>605</v>
      </c>
      <c r="I1044" s="35">
        <v>128</v>
      </c>
      <c r="J1044" s="36">
        <v>42404</v>
      </c>
      <c r="K1044" s="37">
        <v>0.46866898148148151</v>
      </c>
      <c r="L1044" s="36">
        <v>42936</v>
      </c>
      <c r="M1044" s="38">
        <v>0.58594907407407404</v>
      </c>
    </row>
    <row r="1045" spans="1:13" ht="45" x14ac:dyDescent="0.25">
      <c r="A1045" s="35" t="s">
        <v>46</v>
      </c>
      <c r="B1045" s="34" t="str">
        <f>HYPERLINK("http://www.twitter.com/NAGWArtLibrary", "NAGWArtLibrary")</f>
        <v>NAGWArtLibrary</v>
      </c>
      <c r="C1045" s="33" t="s">
        <v>1393</v>
      </c>
      <c r="D1045" s="33" t="s">
        <v>1394</v>
      </c>
      <c r="E1045" s="32" t="s">
        <v>1395</v>
      </c>
      <c r="F1045" s="35">
        <v>839</v>
      </c>
      <c r="G1045" s="35">
        <v>824</v>
      </c>
      <c r="H1045" s="35">
        <v>602</v>
      </c>
      <c r="I1045" s="35">
        <v>5</v>
      </c>
      <c r="J1045" s="36">
        <v>40190</v>
      </c>
      <c r="K1045" s="37">
        <v>0.69490740740740742</v>
      </c>
      <c r="L1045" s="36">
        <v>41474</v>
      </c>
      <c r="M1045" s="38">
        <v>0.5738657407407407</v>
      </c>
    </row>
    <row r="1046" spans="1:13" ht="45" x14ac:dyDescent="0.25">
      <c r="A1046" s="35" t="s">
        <v>46</v>
      </c>
      <c r="B1046" s="34" t="str">
        <f>HYPERLINK("http://www.twitter.com/WestByfleetLib", "WestByfleetLib")</f>
        <v>WestByfleetLib</v>
      </c>
      <c r="C1046" s="33" t="s">
        <v>1525</v>
      </c>
      <c r="D1046" s="33" t="s">
        <v>1526</v>
      </c>
      <c r="E1046" s="32" t="s">
        <v>1527</v>
      </c>
      <c r="F1046" s="35">
        <v>250</v>
      </c>
      <c r="G1046" s="35">
        <v>734</v>
      </c>
      <c r="H1046" s="35">
        <v>548</v>
      </c>
      <c r="I1046" s="35">
        <v>28</v>
      </c>
      <c r="J1046" s="36">
        <v>41396</v>
      </c>
      <c r="K1046" s="37">
        <v>0.31259259259259259</v>
      </c>
      <c r="L1046" s="36">
        <v>42924</v>
      </c>
      <c r="M1046" s="38">
        <v>0.47748842592592594</v>
      </c>
    </row>
    <row r="1047" spans="1:13" ht="45" x14ac:dyDescent="0.25">
      <c r="A1047" s="35" t="s">
        <v>46</v>
      </c>
      <c r="B1047" s="34" t="str">
        <f>HYPERLINK("http://www.twitter.com/CaterhamLibs", "CaterhamLibs")</f>
        <v>CaterhamLibs</v>
      </c>
      <c r="C1047" s="33" t="s">
        <v>1424</v>
      </c>
      <c r="D1047" s="33" t="s">
        <v>1425</v>
      </c>
      <c r="E1047" s="32" t="s">
        <v>1426</v>
      </c>
      <c r="F1047" s="35">
        <v>206</v>
      </c>
      <c r="G1047" s="35">
        <v>797</v>
      </c>
      <c r="H1047" s="35">
        <v>492</v>
      </c>
      <c r="I1047" s="35">
        <v>15</v>
      </c>
      <c r="J1047" s="36">
        <v>40764</v>
      </c>
      <c r="K1047" s="37">
        <v>0.6005787037037037</v>
      </c>
      <c r="L1047" s="36">
        <v>42886</v>
      </c>
      <c r="M1047" s="38">
        <v>0.5680439814814815</v>
      </c>
    </row>
    <row r="1048" spans="1:13" ht="45" x14ac:dyDescent="0.25">
      <c r="A1048" s="35" t="s">
        <v>46</v>
      </c>
      <c r="B1048" s="34" t="str">
        <f>HYPERLINK("http://www.twitter.com/LibFlintshire", "LibFlintshire")</f>
        <v>LibFlintshire</v>
      </c>
      <c r="C1048" s="33" t="s">
        <v>2218</v>
      </c>
      <c r="D1048" s="33" t="s">
        <v>2219</v>
      </c>
      <c r="E1048" s="32" t="s">
        <v>2220</v>
      </c>
      <c r="F1048" s="35">
        <v>977</v>
      </c>
      <c r="G1048" s="35">
        <v>328</v>
      </c>
      <c r="H1048" s="35">
        <v>280</v>
      </c>
      <c r="I1048" s="35">
        <v>236</v>
      </c>
      <c r="J1048" s="36">
        <v>42577</v>
      </c>
      <c r="K1048" s="37">
        <v>0.39792824074074074</v>
      </c>
      <c r="L1048" s="36">
        <v>42938</v>
      </c>
      <c r="M1048" s="38">
        <v>0.68630787037037033</v>
      </c>
    </row>
    <row r="1049" spans="1:13" ht="30" x14ac:dyDescent="0.25">
      <c r="A1049" s="35" t="s">
        <v>46</v>
      </c>
      <c r="B1049" s="34" t="str">
        <f>HYPERLINK("http://www.twitter.com/wcclibrarynews", "wcclibrarynews")</f>
        <v>wcclibrarynews</v>
      </c>
      <c r="C1049" s="33" t="s">
        <v>3474</v>
      </c>
      <c r="D1049" s="33" t="s">
        <v>3475</v>
      </c>
      <c r="E1049" s="32" t="s">
        <v>3476</v>
      </c>
      <c r="F1049" s="35">
        <v>1</v>
      </c>
      <c r="G1049" s="35">
        <v>22</v>
      </c>
      <c r="H1049" s="35">
        <v>180</v>
      </c>
      <c r="I1049" s="35">
        <v>0</v>
      </c>
      <c r="J1049" s="36">
        <v>40249</v>
      </c>
      <c r="K1049" s="37">
        <v>0.67876157407407411</v>
      </c>
      <c r="L1049" s="36">
        <v>41022</v>
      </c>
      <c r="M1049" s="38">
        <v>0.74170138888888892</v>
      </c>
    </row>
    <row r="1050" spans="1:13" x14ac:dyDescent="0.25">
      <c r="A1050" s="35" t="s">
        <v>46</v>
      </c>
      <c r="B1050" s="34" t="str">
        <f>HYPERLINK("http://www.twitter.com/brentlibraries", "brentlibraries")</f>
        <v>brentlibraries</v>
      </c>
      <c r="C1050" s="33" t="s">
        <v>3445</v>
      </c>
      <c r="E1050" s="32" t="s">
        <v>3446</v>
      </c>
      <c r="F1050" s="35">
        <v>0</v>
      </c>
      <c r="G1050" s="35">
        <v>30</v>
      </c>
      <c r="H1050" s="35">
        <v>1</v>
      </c>
      <c r="I1050" s="35">
        <v>1</v>
      </c>
      <c r="J1050" s="36">
        <v>42116</v>
      </c>
      <c r="K1050" s="37">
        <v>0.65500000000000003</v>
      </c>
      <c r="L1050" s="36">
        <v>42116</v>
      </c>
      <c r="M1050" s="38">
        <v>0.67828703703703708</v>
      </c>
    </row>
    <row r="1051" spans="1:13" ht="45" x14ac:dyDescent="0.25">
      <c r="A1051" s="33" t="s">
        <v>262</v>
      </c>
      <c r="B1051" s="34" t="str">
        <f>HYPERLINK("http://www.twitter.com/TIASSL", "TIASSL")</f>
        <v>TIASSL</v>
      </c>
      <c r="C1051" s="33" t="s">
        <v>1630</v>
      </c>
      <c r="D1051" s="33" t="s">
        <v>517</v>
      </c>
      <c r="E1051" s="32" t="s">
        <v>1631</v>
      </c>
      <c r="F1051" s="35">
        <v>1202</v>
      </c>
      <c r="G1051" s="35">
        <v>650</v>
      </c>
      <c r="H1051" s="35">
        <v>28157</v>
      </c>
      <c r="I1051" s="35">
        <v>407</v>
      </c>
      <c r="J1051" s="36">
        <v>41956</v>
      </c>
      <c r="K1051" s="37">
        <v>0.83744212962962961</v>
      </c>
      <c r="L1051" s="36">
        <v>42928</v>
      </c>
      <c r="M1051" s="38">
        <v>0.87731481481481488</v>
      </c>
    </row>
    <row r="1052" spans="1:13" ht="45" x14ac:dyDescent="0.25">
      <c r="A1052" s="33" t="s">
        <v>262</v>
      </c>
      <c r="B1052" s="34" t="str">
        <f>HYPERLINK("http://www.twitter.com/STHLibraries", "STHLibraries")</f>
        <v>STHLibraries</v>
      </c>
      <c r="C1052" s="33" t="s">
        <v>263</v>
      </c>
      <c r="D1052" s="33" t="s">
        <v>264</v>
      </c>
      <c r="E1052" s="32" t="s">
        <v>265</v>
      </c>
      <c r="F1052" s="35">
        <v>2595</v>
      </c>
      <c r="G1052" s="35">
        <v>4116</v>
      </c>
      <c r="H1052" s="35">
        <v>19767</v>
      </c>
      <c r="I1052" s="35">
        <v>6178</v>
      </c>
      <c r="J1052" s="36">
        <v>41509</v>
      </c>
      <c r="K1052" s="37">
        <v>0.36495370370370367</v>
      </c>
      <c r="L1052" s="36">
        <v>42940</v>
      </c>
      <c r="M1052" s="38">
        <v>0.73003472222222221</v>
      </c>
    </row>
    <row r="1053" spans="1:13" ht="60" x14ac:dyDescent="0.25">
      <c r="A1053" s="33" t="s">
        <v>262</v>
      </c>
      <c r="B1053" s="34" t="str">
        <f>HYPERLINK("http://www.twitter.com/HNCLib", "HNCLib")</f>
        <v>HNCLib</v>
      </c>
      <c r="C1053" s="33" t="s">
        <v>1718</v>
      </c>
      <c r="D1053" s="33" t="s">
        <v>1719</v>
      </c>
      <c r="E1053" s="32" t="s">
        <v>1720</v>
      </c>
      <c r="F1053" s="35">
        <v>409</v>
      </c>
      <c r="G1053" s="35">
        <v>573</v>
      </c>
      <c r="H1053" s="35">
        <v>13375</v>
      </c>
      <c r="I1053" s="35">
        <v>18351</v>
      </c>
      <c r="J1053" s="36">
        <v>40121</v>
      </c>
      <c r="K1053" s="37">
        <v>0.6404050925925926</v>
      </c>
      <c r="L1053" s="36">
        <v>42929</v>
      </c>
      <c r="M1053" s="38">
        <v>0.63871527777777781</v>
      </c>
    </row>
    <row r="1054" spans="1:13" ht="45" x14ac:dyDescent="0.25">
      <c r="A1054" s="33" t="s">
        <v>262</v>
      </c>
      <c r="B1054" s="34" t="str">
        <f>HYPERLINK("http://www.twitter.com/TheKeyLRC", "TheKeyLRC")</f>
        <v>TheKeyLRC</v>
      </c>
      <c r="C1054" s="33" t="s">
        <v>2579</v>
      </c>
      <c r="D1054" s="33" t="s">
        <v>2580</v>
      </c>
      <c r="E1054" s="32" t="s">
        <v>2581</v>
      </c>
      <c r="F1054" s="35">
        <v>534</v>
      </c>
      <c r="G1054" s="35">
        <v>219</v>
      </c>
      <c r="H1054" s="35">
        <v>12322</v>
      </c>
      <c r="I1054" s="35">
        <v>223</v>
      </c>
      <c r="J1054" s="36">
        <v>40444</v>
      </c>
      <c r="K1054" s="37">
        <v>0.41136574074074073</v>
      </c>
      <c r="L1054" s="36">
        <v>42939</v>
      </c>
      <c r="M1054" s="38">
        <v>0.31211805555555555</v>
      </c>
    </row>
    <row r="1055" spans="1:13" ht="45" x14ac:dyDescent="0.25">
      <c r="A1055" s="33" t="s">
        <v>262</v>
      </c>
      <c r="B1055" s="34" t="str">
        <f>HYPERLINK("http://www.twitter.com/LPLibrarian", "LPLibrarian")</f>
        <v>LPLibrarian</v>
      </c>
      <c r="C1055" s="33" t="s">
        <v>906</v>
      </c>
      <c r="D1055" s="33" t="s">
        <v>907</v>
      </c>
      <c r="E1055" s="32" t="s">
        <v>908</v>
      </c>
      <c r="F1055" s="35">
        <v>2060</v>
      </c>
      <c r="G1055" s="35">
        <v>1440</v>
      </c>
      <c r="H1055" s="35">
        <v>7833</v>
      </c>
      <c r="I1055" s="35">
        <v>3758</v>
      </c>
      <c r="J1055" s="36">
        <v>41077</v>
      </c>
      <c r="K1055" s="37">
        <v>0.51525462962962965</v>
      </c>
      <c r="L1055" s="36">
        <v>42940</v>
      </c>
      <c r="M1055" s="38">
        <v>0.69084490740740734</v>
      </c>
    </row>
    <row r="1056" spans="1:13" x14ac:dyDescent="0.25">
      <c r="A1056" s="33" t="s">
        <v>262</v>
      </c>
      <c r="B1056" s="34" t="str">
        <f>HYPERLINK("http://www.twitter.com/LibraryatEA", "LibraryatEA")</f>
        <v>LibraryatEA</v>
      </c>
      <c r="C1056" s="33" t="s">
        <v>1584</v>
      </c>
      <c r="E1056" s="32" t="s">
        <v>1585</v>
      </c>
      <c r="F1056" s="35">
        <v>645</v>
      </c>
      <c r="G1056" s="35">
        <v>711</v>
      </c>
      <c r="H1056" s="35">
        <v>7645</v>
      </c>
      <c r="I1056" s="35">
        <v>3259</v>
      </c>
      <c r="J1056" s="36">
        <v>42075</v>
      </c>
      <c r="K1056" s="37">
        <v>0.86537037037037035</v>
      </c>
      <c r="L1056" s="36">
        <v>42940</v>
      </c>
      <c r="M1056" s="38">
        <v>0.51293981481481488</v>
      </c>
    </row>
    <row r="1057" spans="1:13" ht="45" x14ac:dyDescent="0.25">
      <c r="A1057" s="33" t="s">
        <v>262</v>
      </c>
      <c r="B1057" s="34" t="str">
        <f>HYPERLINK("http://www.twitter.com/glenthornelrc", "glenthornelrc")</f>
        <v>glenthornelrc</v>
      </c>
      <c r="C1057" s="33" t="s">
        <v>933</v>
      </c>
      <c r="E1057" s="32" t="s">
        <v>934</v>
      </c>
      <c r="F1057" s="35">
        <v>1582</v>
      </c>
      <c r="G1057" s="35">
        <v>1391</v>
      </c>
      <c r="H1057" s="35">
        <v>7465</v>
      </c>
      <c r="I1057" s="35">
        <v>1693</v>
      </c>
      <c r="J1057" s="36">
        <v>41617</v>
      </c>
      <c r="K1057" s="37">
        <v>0.48780092592592594</v>
      </c>
      <c r="L1057" s="36">
        <v>42938</v>
      </c>
      <c r="M1057" s="38">
        <v>0.84304398148148152</v>
      </c>
    </row>
    <row r="1058" spans="1:13" ht="30" x14ac:dyDescent="0.25">
      <c r="A1058" s="33" t="s">
        <v>262</v>
      </c>
      <c r="B1058" s="34" t="str">
        <f>HYPERLINK("http://www.twitter.com/LibraryVictory", "LibraryVictory")</f>
        <v>LibraryVictory</v>
      </c>
      <c r="C1058" s="33" t="s">
        <v>693</v>
      </c>
      <c r="D1058" s="33" t="s">
        <v>694</v>
      </c>
      <c r="E1058" s="32" t="s">
        <v>695</v>
      </c>
      <c r="F1058" s="35">
        <v>2213</v>
      </c>
      <c r="G1058" s="35">
        <v>1914</v>
      </c>
      <c r="H1058" s="35">
        <v>6799</v>
      </c>
      <c r="I1058" s="35">
        <v>1768</v>
      </c>
      <c r="J1058" s="36">
        <v>41360</v>
      </c>
      <c r="K1058" s="37">
        <v>0.46214120370370365</v>
      </c>
      <c r="L1058" s="36">
        <v>42936</v>
      </c>
      <c r="M1058" s="38">
        <v>0.74976851851851845</v>
      </c>
    </row>
    <row r="1059" spans="1:13" ht="30" x14ac:dyDescent="0.25">
      <c r="A1059" s="33" t="s">
        <v>262</v>
      </c>
      <c r="B1059" s="34" t="str">
        <f>HYPERLINK("http://www.twitter.com/GHSLibrGHSLibr", "GHSLibrGHSLibr")</f>
        <v>GHSLibrGHSLibr</v>
      </c>
      <c r="C1059" s="33" t="s">
        <v>2006</v>
      </c>
      <c r="D1059" s="33" t="s">
        <v>2007</v>
      </c>
      <c r="E1059" s="32" t="s">
        <v>2008</v>
      </c>
      <c r="F1059" s="35">
        <v>401</v>
      </c>
      <c r="G1059" s="35">
        <v>420</v>
      </c>
      <c r="H1059" s="35">
        <v>6064</v>
      </c>
      <c r="I1059" s="35">
        <v>1355</v>
      </c>
      <c r="J1059" s="36">
        <v>41523</v>
      </c>
      <c r="K1059" s="37">
        <v>0.53381944444444451</v>
      </c>
      <c r="L1059" s="36">
        <v>42940</v>
      </c>
      <c r="M1059" s="38">
        <v>0.54008101851851853</v>
      </c>
    </row>
    <row r="1060" spans="1:13" x14ac:dyDescent="0.25">
      <c r="A1060" s="33" t="s">
        <v>262</v>
      </c>
      <c r="B1060" s="34" t="str">
        <f>HYPERLINK("http://www.twitter.com/StNiniansLib", "StNiniansLib")</f>
        <v>StNiniansLib</v>
      </c>
      <c r="C1060" s="33" t="s">
        <v>1464</v>
      </c>
      <c r="D1060" s="33" t="s">
        <v>1465</v>
      </c>
      <c r="E1060" s="32" t="s">
        <v>1466</v>
      </c>
      <c r="F1060" s="35">
        <v>499</v>
      </c>
      <c r="G1060" s="35">
        <v>774</v>
      </c>
      <c r="H1060" s="35">
        <v>5997</v>
      </c>
      <c r="I1060" s="35">
        <v>5667</v>
      </c>
      <c r="J1060" s="36">
        <v>39926</v>
      </c>
      <c r="K1060" s="37">
        <v>0.55756944444444445</v>
      </c>
      <c r="L1060" s="36">
        <v>42938</v>
      </c>
      <c r="M1060" s="38">
        <v>0.89891203703703704</v>
      </c>
    </row>
    <row r="1061" spans="1:13" x14ac:dyDescent="0.25">
      <c r="A1061" s="33" t="s">
        <v>262</v>
      </c>
      <c r="B1061" s="34" t="str">
        <f>HYPERLINK("http://www.twitter.com/librarybgs", "librarybgs")</f>
        <v>librarybgs</v>
      </c>
      <c r="C1061" s="33" t="s">
        <v>1708</v>
      </c>
      <c r="F1061" s="35">
        <v>923</v>
      </c>
      <c r="G1061" s="35">
        <v>572</v>
      </c>
      <c r="H1061" s="35">
        <v>5363</v>
      </c>
      <c r="I1061" s="35">
        <v>119</v>
      </c>
      <c r="J1061" s="36">
        <v>41319</v>
      </c>
      <c r="K1061" s="37">
        <v>0.48831018518518521</v>
      </c>
      <c r="L1061" s="36">
        <v>42579</v>
      </c>
      <c r="M1061" s="38">
        <v>0.59813657407407406</v>
      </c>
    </row>
    <row r="1062" spans="1:13" ht="45" x14ac:dyDescent="0.25">
      <c r="A1062" s="33" t="s">
        <v>262</v>
      </c>
      <c r="B1062" s="34" t="str">
        <f>HYPERLINK("http://www.twitter.com/SwanshurstLib", "SwanshurstLib")</f>
        <v>SwanshurstLib</v>
      </c>
      <c r="C1062" s="33" t="s">
        <v>1261</v>
      </c>
      <c r="D1062" s="33" t="s">
        <v>926</v>
      </c>
      <c r="E1062" s="32" t="s">
        <v>1262</v>
      </c>
      <c r="F1062" s="35">
        <v>2059</v>
      </c>
      <c r="G1062" s="35">
        <v>983</v>
      </c>
      <c r="H1062" s="35">
        <v>4987</v>
      </c>
      <c r="I1062" s="35">
        <v>2295</v>
      </c>
      <c r="J1062" s="36">
        <v>41666</v>
      </c>
      <c r="K1062" s="37">
        <v>0.63599537037037035</v>
      </c>
      <c r="L1062" s="36">
        <v>42940</v>
      </c>
      <c r="M1062" s="38">
        <v>0.45388888888888884</v>
      </c>
    </row>
    <row r="1063" spans="1:13" ht="45" x14ac:dyDescent="0.25">
      <c r="A1063" s="33" t="s">
        <v>262</v>
      </c>
      <c r="B1063" s="34" t="str">
        <f>HYPERLINK("http://www.twitter.com/LibraryHHS", "LibraryHHS")</f>
        <v>LibraryHHS</v>
      </c>
      <c r="C1063" s="33" t="s">
        <v>684</v>
      </c>
      <c r="D1063" s="33" t="s">
        <v>685</v>
      </c>
      <c r="E1063" s="32" t="s">
        <v>686</v>
      </c>
      <c r="F1063" s="35">
        <v>4478</v>
      </c>
      <c r="G1063" s="35">
        <v>2098</v>
      </c>
      <c r="H1063" s="35">
        <v>4940</v>
      </c>
      <c r="I1063" s="35">
        <v>76</v>
      </c>
      <c r="J1063" s="36">
        <v>41236</v>
      </c>
      <c r="K1063" s="37">
        <v>0.40972222222222227</v>
      </c>
      <c r="L1063" s="36">
        <v>42935</v>
      </c>
      <c r="M1063" s="38">
        <v>0.56144675925925924</v>
      </c>
    </row>
    <row r="1064" spans="1:13" ht="30" x14ac:dyDescent="0.25">
      <c r="A1064" s="33" t="s">
        <v>262</v>
      </c>
      <c r="B1064" s="34" t="str">
        <f>HYPERLINK("http://www.twitter.com/JYHSLibrary", "JYHSLibrary")</f>
        <v>JYHSLibrary</v>
      </c>
      <c r="C1064" s="33" t="s">
        <v>2226</v>
      </c>
      <c r="D1064" s="33" t="s">
        <v>2227</v>
      </c>
      <c r="E1064" s="32" t="s">
        <v>2228</v>
      </c>
      <c r="F1064" s="35">
        <v>224</v>
      </c>
      <c r="G1064" s="35">
        <v>330</v>
      </c>
      <c r="H1064" s="35">
        <v>4704</v>
      </c>
      <c r="I1064" s="35">
        <v>34</v>
      </c>
      <c r="J1064" s="36">
        <v>40695</v>
      </c>
      <c r="K1064" s="37">
        <v>0.53855324074074074</v>
      </c>
      <c r="L1064" s="36">
        <v>42922</v>
      </c>
      <c r="M1064" s="38">
        <v>0.54454861111111108</v>
      </c>
    </row>
    <row r="1065" spans="1:13" ht="30" x14ac:dyDescent="0.25">
      <c r="A1065" s="33" t="s">
        <v>262</v>
      </c>
      <c r="B1065" s="34" t="str">
        <f>HYPERLINK("http://www.twitter.com/LincolnCollLib", "LincolnCollLib")</f>
        <v>LincolnCollLib</v>
      </c>
      <c r="C1065" s="33" t="s">
        <v>3582</v>
      </c>
      <c r="D1065" s="33" t="s">
        <v>3583</v>
      </c>
      <c r="E1065" s="32" t="s">
        <v>3584</v>
      </c>
      <c r="F1065" s="35">
        <v>314</v>
      </c>
      <c r="G1065" s="35">
        <v>388</v>
      </c>
      <c r="H1065" s="35">
        <v>4629</v>
      </c>
      <c r="I1065" s="35">
        <v>1012</v>
      </c>
      <c r="J1065" s="36">
        <v>41311</v>
      </c>
      <c r="K1065" s="37">
        <v>0.69488425925925934</v>
      </c>
      <c r="L1065" s="36">
        <v>42940</v>
      </c>
      <c r="M1065" s="38">
        <v>0.48738425925925927</v>
      </c>
    </row>
    <row r="1066" spans="1:13" ht="45" x14ac:dyDescent="0.25">
      <c r="A1066" s="33" t="s">
        <v>262</v>
      </c>
      <c r="B1066" s="34" t="str">
        <f>HYPERLINK("http://www.twitter.com/PLHSLibrary", "PLHSLibrary")</f>
        <v>PLHSLibrary</v>
      </c>
      <c r="C1066" s="33" t="s">
        <v>1263</v>
      </c>
      <c r="D1066" s="33" t="s">
        <v>1264</v>
      </c>
      <c r="E1066" s="32" t="s">
        <v>1265</v>
      </c>
      <c r="F1066" s="35">
        <v>1253</v>
      </c>
      <c r="G1066" s="35">
        <v>987</v>
      </c>
      <c r="H1066" s="35">
        <v>4611</v>
      </c>
      <c r="I1066" s="35">
        <v>7247</v>
      </c>
      <c r="J1066" s="36">
        <v>42235</v>
      </c>
      <c r="K1066" s="37">
        <v>0.89407407407407413</v>
      </c>
      <c r="L1066" s="36">
        <v>42940</v>
      </c>
      <c r="M1066" s="38">
        <v>0.38530092592592591</v>
      </c>
    </row>
    <row r="1067" spans="1:13" ht="45" x14ac:dyDescent="0.25">
      <c r="A1067" s="33" t="s">
        <v>262</v>
      </c>
      <c r="B1067" s="34" t="str">
        <f>HYPERLINK("http://www.twitter.com/HamptonHighLib", "HamptonHighLib")</f>
        <v>HamptonHighLib</v>
      </c>
      <c r="C1067" s="33" t="s">
        <v>1171</v>
      </c>
      <c r="D1067" s="33" t="s">
        <v>1172</v>
      </c>
      <c r="E1067" s="32" t="s">
        <v>1173</v>
      </c>
      <c r="F1067" s="35">
        <v>1868</v>
      </c>
      <c r="G1067" s="35">
        <v>1073</v>
      </c>
      <c r="H1067" s="35">
        <v>4474</v>
      </c>
      <c r="I1067" s="35">
        <v>569</v>
      </c>
      <c r="J1067" s="36">
        <v>41015</v>
      </c>
      <c r="K1067" s="37">
        <v>0.6252199074074074</v>
      </c>
      <c r="L1067" s="36">
        <v>42937</v>
      </c>
      <c r="M1067" s="38">
        <v>0.86380787037037043</v>
      </c>
    </row>
    <row r="1068" spans="1:13" ht="30" x14ac:dyDescent="0.25">
      <c r="A1068" s="33" t="s">
        <v>262</v>
      </c>
      <c r="B1068" s="34" t="str">
        <f>HYPERLINK("http://www.twitter.com/Welly_Library", "Welly_Library")</f>
        <v>Welly_Library</v>
      </c>
      <c r="C1068" s="33" t="s">
        <v>834</v>
      </c>
      <c r="E1068" s="32" t="s">
        <v>835</v>
      </c>
      <c r="F1068" s="35">
        <v>2047</v>
      </c>
      <c r="G1068" s="35">
        <v>1582</v>
      </c>
      <c r="H1068" s="35">
        <v>3652</v>
      </c>
      <c r="I1068" s="35">
        <v>2341</v>
      </c>
      <c r="J1068" s="36">
        <v>40977</v>
      </c>
      <c r="K1068" s="37">
        <v>0.63318287037037035</v>
      </c>
      <c r="L1068" s="36">
        <v>42940</v>
      </c>
      <c r="M1068" s="38">
        <v>0.63473379629629634</v>
      </c>
    </row>
    <row r="1069" spans="1:13" ht="45" x14ac:dyDescent="0.25">
      <c r="A1069" s="33" t="s">
        <v>262</v>
      </c>
      <c r="B1069" s="34" t="str">
        <f>HYPERLINK("http://www.twitter.com/Walsall_College", "Walsall_College")</f>
        <v>Walsall_College</v>
      </c>
      <c r="C1069" s="33" t="s">
        <v>3611</v>
      </c>
      <c r="D1069" s="33" t="s">
        <v>3612</v>
      </c>
      <c r="E1069" s="32" t="s">
        <v>3613</v>
      </c>
      <c r="F1069" s="35">
        <v>700</v>
      </c>
      <c r="G1069" s="35">
        <v>5601</v>
      </c>
      <c r="H1069" s="35">
        <v>3631</v>
      </c>
      <c r="I1069" s="35">
        <v>153</v>
      </c>
      <c r="J1069" s="36">
        <v>40466</v>
      </c>
      <c r="K1069" s="37">
        <v>0.54913194444444446</v>
      </c>
      <c r="L1069" s="36">
        <v>42940</v>
      </c>
      <c r="M1069" s="38">
        <v>0.45903935185185185</v>
      </c>
    </row>
    <row r="1070" spans="1:13" ht="30" x14ac:dyDescent="0.25">
      <c r="A1070" s="33" t="s">
        <v>262</v>
      </c>
      <c r="B1070" s="34" t="str">
        <f>HYPERLINK("http://www.twitter.com/PHS_Liby", "PHS_Liby")</f>
        <v>PHS_Liby</v>
      </c>
      <c r="C1070" s="33" t="s">
        <v>2288</v>
      </c>
      <c r="D1070" s="33" t="s">
        <v>2289</v>
      </c>
      <c r="E1070" s="32" t="s">
        <v>2290</v>
      </c>
      <c r="F1070" s="35">
        <v>690</v>
      </c>
      <c r="G1070" s="35">
        <v>303</v>
      </c>
      <c r="H1070" s="35">
        <v>3541</v>
      </c>
      <c r="I1070" s="35">
        <v>1626</v>
      </c>
      <c r="J1070" s="36">
        <v>42517</v>
      </c>
      <c r="K1070" s="37">
        <v>0.43002314814814818</v>
      </c>
      <c r="L1070" s="36">
        <v>42938</v>
      </c>
      <c r="M1070" s="38">
        <v>0.75591435185185185</v>
      </c>
    </row>
    <row r="1071" spans="1:13" x14ac:dyDescent="0.25">
      <c r="A1071" s="33" t="s">
        <v>262</v>
      </c>
      <c r="B1071" s="34" t="str">
        <f>HYPERLINK("http://www.twitter.com/Morganlibrary1", "Morganlibrary1")</f>
        <v>Morganlibrary1</v>
      </c>
      <c r="C1071" s="33" t="s">
        <v>2263</v>
      </c>
      <c r="F1071" s="35">
        <v>524</v>
      </c>
      <c r="G1071" s="35">
        <v>317</v>
      </c>
      <c r="H1071" s="35">
        <v>3540</v>
      </c>
      <c r="I1071" s="35">
        <v>514</v>
      </c>
      <c r="J1071" s="36">
        <v>41751</v>
      </c>
      <c r="K1071" s="37">
        <v>0.35502314814814812</v>
      </c>
      <c r="L1071" s="36">
        <v>42940</v>
      </c>
      <c r="M1071" s="38">
        <v>0.29548611111111112</v>
      </c>
    </row>
    <row r="1072" spans="1:13" ht="45" x14ac:dyDescent="0.25">
      <c r="A1072" s="33" t="s">
        <v>262</v>
      </c>
      <c r="B1072" s="34" t="str">
        <f>HYPERLINK("http://www.twitter.com/OLHSLRC", "OLHSLRC")</f>
        <v>OLHSLRC</v>
      </c>
      <c r="C1072" s="33" t="s">
        <v>1688</v>
      </c>
      <c r="D1072" s="33" t="s">
        <v>1689</v>
      </c>
      <c r="E1072" s="32" t="s">
        <v>1690</v>
      </c>
      <c r="F1072" s="35">
        <v>1087</v>
      </c>
      <c r="G1072" s="35">
        <v>607</v>
      </c>
      <c r="H1072" s="35">
        <v>3206</v>
      </c>
      <c r="I1072" s="35">
        <v>255</v>
      </c>
      <c r="J1072" s="36">
        <v>42040</v>
      </c>
      <c r="K1072" s="37">
        <v>0.80342592592592599</v>
      </c>
      <c r="L1072" s="36">
        <v>42935</v>
      </c>
      <c r="M1072" s="38">
        <v>0.43775462962962958</v>
      </c>
    </row>
    <row r="1073" spans="1:13" ht="45" x14ac:dyDescent="0.25">
      <c r="A1073" s="33" t="s">
        <v>262</v>
      </c>
      <c r="B1073" s="34" t="str">
        <f>HYPERLINK("http://www.twitter.com/LibraryDwhs", "LibraryDwhs")</f>
        <v>LibraryDwhs</v>
      </c>
      <c r="C1073" s="33" t="s">
        <v>2104</v>
      </c>
      <c r="D1073" s="33" t="s">
        <v>477</v>
      </c>
      <c r="E1073" s="32" t="s">
        <v>2105</v>
      </c>
      <c r="F1073" s="35">
        <v>391</v>
      </c>
      <c r="G1073" s="35">
        <v>392</v>
      </c>
      <c r="H1073" s="35">
        <v>3113</v>
      </c>
      <c r="I1073" s="35">
        <v>1032</v>
      </c>
      <c r="J1073" s="36">
        <v>42404</v>
      </c>
      <c r="K1073" s="37">
        <v>0.69126157407407407</v>
      </c>
      <c r="L1073" s="36">
        <v>42937</v>
      </c>
      <c r="M1073" s="38">
        <v>0.67193287037037042</v>
      </c>
    </row>
    <row r="1074" spans="1:13" ht="45" x14ac:dyDescent="0.25">
      <c r="A1074" s="33" t="s">
        <v>262</v>
      </c>
      <c r="B1074" s="34" t="str">
        <f>HYPERLINK("http://www.twitter.com/MillenniumLRC", "MillenniumLRC")</f>
        <v>MillenniumLRC</v>
      </c>
      <c r="C1074" s="33" t="s">
        <v>1500</v>
      </c>
      <c r="D1074" s="33" t="s">
        <v>296</v>
      </c>
      <c r="E1074" s="32" t="s">
        <v>1501</v>
      </c>
      <c r="F1074" s="35">
        <v>1489</v>
      </c>
      <c r="G1074" s="35">
        <v>753</v>
      </c>
      <c r="H1074" s="35">
        <v>3113</v>
      </c>
      <c r="I1074" s="35">
        <v>642</v>
      </c>
      <c r="J1074" s="36">
        <v>41744</v>
      </c>
      <c r="K1074" s="37">
        <v>0.35616898148148146</v>
      </c>
      <c r="L1074" s="36">
        <v>42934</v>
      </c>
      <c r="M1074" s="38">
        <v>0.52445601851851853</v>
      </c>
    </row>
    <row r="1075" spans="1:13" ht="45" x14ac:dyDescent="0.25">
      <c r="A1075" s="33" t="s">
        <v>262</v>
      </c>
      <c r="B1075" s="34" t="str">
        <f>HYPERLINK("http://www.twitter.com/BradfordGrammar", "BradfordGrammar")</f>
        <v>BradfordGrammar</v>
      </c>
      <c r="C1075" s="33" t="s">
        <v>716</v>
      </c>
      <c r="D1075" s="33" t="s">
        <v>717</v>
      </c>
      <c r="E1075" s="32" t="s">
        <v>718</v>
      </c>
      <c r="F1075" s="35">
        <v>1827</v>
      </c>
      <c r="G1075" s="35">
        <v>1889</v>
      </c>
      <c r="H1075" s="35">
        <v>3082</v>
      </c>
      <c r="I1075" s="35">
        <v>577</v>
      </c>
      <c r="J1075" s="36">
        <v>41859</v>
      </c>
      <c r="K1075" s="37">
        <v>0.58081018518518512</v>
      </c>
      <c r="L1075" s="36">
        <v>42940</v>
      </c>
      <c r="M1075" s="38">
        <v>0.60954861111111114</v>
      </c>
    </row>
    <row r="1076" spans="1:13" ht="45" x14ac:dyDescent="0.25">
      <c r="A1076" s="33" t="s">
        <v>262</v>
      </c>
      <c r="B1076" s="34" t="str">
        <f>HYPERLINK("http://www.twitter.com/rcslibrary", "rcslibrary")</f>
        <v>rcslibrary</v>
      </c>
      <c r="C1076" s="33" t="s">
        <v>2352</v>
      </c>
      <c r="D1076" s="33" t="s">
        <v>2353</v>
      </c>
      <c r="E1076" s="32" t="s">
        <v>2354</v>
      </c>
      <c r="F1076" s="35">
        <v>388</v>
      </c>
      <c r="G1076" s="35">
        <v>277</v>
      </c>
      <c r="H1076" s="35">
        <v>3076</v>
      </c>
      <c r="I1076" s="35">
        <v>299</v>
      </c>
      <c r="J1076" s="36">
        <v>41110</v>
      </c>
      <c r="K1076" s="37">
        <v>0.65092592592592591</v>
      </c>
      <c r="L1076" s="36">
        <v>42566</v>
      </c>
      <c r="M1076" s="38">
        <v>0.61114583333333339</v>
      </c>
    </row>
    <row r="1077" spans="1:13" ht="45" x14ac:dyDescent="0.25">
      <c r="A1077" s="33" t="s">
        <v>262</v>
      </c>
      <c r="B1077" s="34" t="str">
        <f>HYPERLINK("http://www.twitter.com/AESGLibrary", "AESGLibrary")</f>
        <v>AESGLibrary</v>
      </c>
      <c r="C1077" s="33" t="s">
        <v>2311</v>
      </c>
      <c r="D1077" s="33" t="s">
        <v>2312</v>
      </c>
      <c r="E1077" s="32" t="s">
        <v>2313</v>
      </c>
      <c r="F1077" s="35">
        <v>407</v>
      </c>
      <c r="G1077" s="35">
        <v>299</v>
      </c>
      <c r="H1077" s="35">
        <v>3068</v>
      </c>
      <c r="I1077" s="35">
        <v>1194</v>
      </c>
      <c r="J1077" s="36">
        <v>41676</v>
      </c>
      <c r="K1077" s="37">
        <v>0.64530092592592592</v>
      </c>
      <c r="L1077" s="36">
        <v>42939</v>
      </c>
      <c r="M1077" s="38">
        <v>0.34054398148148146</v>
      </c>
    </row>
    <row r="1078" spans="1:13" ht="45" x14ac:dyDescent="0.25">
      <c r="A1078" s="33" t="s">
        <v>262</v>
      </c>
      <c r="B1078" s="34" t="str">
        <f>HYPERLINK("http://www.twitter.com/slsguernsey", "slsguernsey")</f>
        <v>slsguernsey</v>
      </c>
      <c r="C1078" s="33" t="s">
        <v>1534</v>
      </c>
      <c r="D1078" s="33" t="s">
        <v>857</v>
      </c>
      <c r="E1078" s="32" t="s">
        <v>1535</v>
      </c>
      <c r="F1078" s="35">
        <v>792</v>
      </c>
      <c r="G1078" s="35">
        <v>749</v>
      </c>
      <c r="H1078" s="35">
        <v>2981</v>
      </c>
      <c r="I1078" s="35">
        <v>833</v>
      </c>
      <c r="J1078" s="36">
        <v>39909</v>
      </c>
      <c r="K1078" s="37">
        <v>0.49888888888888888</v>
      </c>
      <c r="L1078" s="36">
        <v>42940</v>
      </c>
      <c r="M1078" s="38">
        <v>0.66638888888888892</v>
      </c>
    </row>
    <row r="1079" spans="1:13" ht="30" x14ac:dyDescent="0.25">
      <c r="A1079" s="33" t="s">
        <v>262</v>
      </c>
      <c r="B1079" s="34" t="str">
        <f>HYPERLINK("http://www.twitter.com/LHSGETSLEARNING", "LHSGETSLEARNING")</f>
        <v>LHSGETSLEARNING</v>
      </c>
      <c r="C1079" s="33" t="s">
        <v>1271</v>
      </c>
      <c r="D1079" s="33" t="s">
        <v>1272</v>
      </c>
      <c r="E1079" s="32" t="s">
        <v>1273</v>
      </c>
      <c r="F1079" s="35">
        <v>775</v>
      </c>
      <c r="G1079" s="35">
        <v>954</v>
      </c>
      <c r="H1079" s="35">
        <v>2865</v>
      </c>
      <c r="I1079" s="35">
        <v>836</v>
      </c>
      <c r="J1079" s="36">
        <v>41185</v>
      </c>
      <c r="K1079" s="37">
        <v>0.47858796296296297</v>
      </c>
      <c r="L1079" s="36">
        <v>42935</v>
      </c>
      <c r="M1079" s="38">
        <v>0.54469907407407414</v>
      </c>
    </row>
    <row r="1080" spans="1:13" ht="45" x14ac:dyDescent="0.25">
      <c r="A1080" s="33" t="s">
        <v>262</v>
      </c>
      <c r="B1080" s="34" t="str">
        <f>HYPERLINK("http://www.twitter.com/Stgregslibrary", "Stgregslibrary")</f>
        <v>Stgregslibrary</v>
      </c>
      <c r="C1080" s="33" t="s">
        <v>1651</v>
      </c>
      <c r="D1080" s="33" t="s">
        <v>505</v>
      </c>
      <c r="E1080" s="32" t="s">
        <v>1652</v>
      </c>
      <c r="F1080" s="35">
        <v>924</v>
      </c>
      <c r="G1080" s="35">
        <v>628</v>
      </c>
      <c r="H1080" s="35">
        <v>2762</v>
      </c>
      <c r="I1080" s="35">
        <v>239</v>
      </c>
      <c r="J1080" s="36">
        <v>41253</v>
      </c>
      <c r="K1080" s="37">
        <v>0.38840277777777782</v>
      </c>
      <c r="L1080" s="36">
        <v>42937</v>
      </c>
      <c r="M1080" s="38">
        <v>0.46776620370370375</v>
      </c>
    </row>
    <row r="1081" spans="1:13" ht="30" x14ac:dyDescent="0.25">
      <c r="A1081" s="33" t="s">
        <v>262</v>
      </c>
      <c r="B1081" s="34" t="str">
        <f>HYPERLINK("http://www.twitter.com/libraryatTHS", "libraryatTHS")</f>
        <v>libraryatTHS</v>
      </c>
      <c r="C1081" s="33" t="s">
        <v>1662</v>
      </c>
      <c r="D1081" s="33" t="s">
        <v>1663</v>
      </c>
      <c r="E1081" s="32" t="s">
        <v>1664</v>
      </c>
      <c r="F1081" s="35">
        <v>430</v>
      </c>
      <c r="G1081" s="35">
        <v>633</v>
      </c>
      <c r="H1081" s="35">
        <v>2723</v>
      </c>
      <c r="I1081" s="35">
        <v>1127</v>
      </c>
      <c r="J1081" s="36">
        <v>41385</v>
      </c>
      <c r="K1081" s="37">
        <v>0.63883101851851853</v>
      </c>
      <c r="L1081" s="36">
        <v>42940</v>
      </c>
      <c r="M1081" s="38">
        <v>0.68270833333333336</v>
      </c>
    </row>
    <row r="1082" spans="1:13" ht="45" x14ac:dyDescent="0.25">
      <c r="A1082" s="33" t="s">
        <v>262</v>
      </c>
      <c r="B1082" s="34" t="str">
        <f>HYPERLINK("http://www.twitter.com/LibSHS", "LibSHS")</f>
        <v>LibSHS</v>
      </c>
      <c r="C1082" s="33" t="s">
        <v>1539</v>
      </c>
      <c r="E1082" s="32" t="s">
        <v>1540</v>
      </c>
      <c r="F1082" s="35">
        <v>587</v>
      </c>
      <c r="G1082" s="35">
        <v>737</v>
      </c>
      <c r="H1082" s="35">
        <v>2651</v>
      </c>
      <c r="I1082" s="35">
        <v>957</v>
      </c>
      <c r="J1082" s="36">
        <v>41256</v>
      </c>
      <c r="K1082" s="37">
        <v>0.42809027777777775</v>
      </c>
      <c r="L1082" s="36">
        <v>42937</v>
      </c>
      <c r="M1082" s="38">
        <v>3.72337962962963E-2</v>
      </c>
    </row>
    <row r="1083" spans="1:13" ht="75" x14ac:dyDescent="0.25">
      <c r="A1083" s="33" t="s">
        <v>262</v>
      </c>
      <c r="B1083" s="34" t="str">
        <f>HYPERLINK("http://www.twitter.com/SouthSeftonLRC", "SouthSeftonLRC")</f>
        <v>SouthSeftonLRC</v>
      </c>
      <c r="C1083" s="33" t="s">
        <v>3588</v>
      </c>
      <c r="D1083" s="33" t="s">
        <v>102</v>
      </c>
      <c r="E1083" s="32" t="s">
        <v>3589</v>
      </c>
      <c r="F1083" s="35">
        <v>1349</v>
      </c>
      <c r="G1083" s="35">
        <v>524</v>
      </c>
      <c r="H1083" s="35">
        <v>2567</v>
      </c>
      <c r="I1083" s="35">
        <v>238</v>
      </c>
      <c r="J1083" s="36">
        <v>41080</v>
      </c>
      <c r="K1083" s="37">
        <v>0.73366898148148152</v>
      </c>
      <c r="L1083" s="36">
        <v>42930</v>
      </c>
      <c r="M1083" s="38">
        <v>0.34778935185185184</v>
      </c>
    </row>
    <row r="1084" spans="1:13" ht="45" x14ac:dyDescent="0.25">
      <c r="A1084" s="33" t="s">
        <v>262</v>
      </c>
      <c r="B1084" s="34" t="str">
        <f>HYPERLINK("http://www.twitter.com/CanonSladeLib", "CanonSladeLib")</f>
        <v>CanonSladeLib</v>
      </c>
      <c r="C1084" s="33" t="s">
        <v>2209</v>
      </c>
      <c r="D1084" s="33" t="s">
        <v>2210</v>
      </c>
      <c r="E1084" s="32" t="s">
        <v>2211</v>
      </c>
      <c r="F1084" s="35">
        <v>516</v>
      </c>
      <c r="G1084" s="35">
        <v>344</v>
      </c>
      <c r="H1084" s="35">
        <v>2440</v>
      </c>
      <c r="I1084" s="35">
        <v>1035</v>
      </c>
      <c r="J1084" s="36">
        <v>41590</v>
      </c>
      <c r="K1084" s="37">
        <v>0.34091435185185182</v>
      </c>
      <c r="L1084" s="36">
        <v>42939</v>
      </c>
      <c r="M1084" s="38">
        <v>0.33793981481481478</v>
      </c>
    </row>
    <row r="1085" spans="1:13" x14ac:dyDescent="0.25">
      <c r="A1085" s="33" t="s">
        <v>262</v>
      </c>
      <c r="B1085" s="34" t="str">
        <f>HYPERLINK("http://www.twitter.com/BFC_LoopLRC", "BFC_LoopLRC")</f>
        <v>BFC_LoopLRC</v>
      </c>
      <c r="C1085" s="33" t="s">
        <v>2541</v>
      </c>
      <c r="D1085" s="33" t="s">
        <v>2542</v>
      </c>
      <c r="E1085" s="32" t="s">
        <v>2543</v>
      </c>
      <c r="F1085" s="35">
        <v>153</v>
      </c>
      <c r="G1085" s="35">
        <v>226</v>
      </c>
      <c r="H1085" s="35">
        <v>2402</v>
      </c>
      <c r="I1085" s="35">
        <v>11</v>
      </c>
      <c r="J1085" s="36">
        <v>39927</v>
      </c>
      <c r="K1085" s="37">
        <v>0.35453703703703704</v>
      </c>
      <c r="L1085" s="36">
        <v>42909</v>
      </c>
      <c r="M1085" s="38">
        <v>0.3417013888888889</v>
      </c>
    </row>
    <row r="1086" spans="1:13" ht="30" x14ac:dyDescent="0.25">
      <c r="A1086" s="33" t="s">
        <v>262</v>
      </c>
      <c r="B1086" s="34" t="str">
        <f>HYPERLINK("http://www.twitter.com/HSFG_LRC", "HSFG_LRC")</f>
        <v>HSFG_LRC</v>
      </c>
      <c r="C1086" s="33" t="s">
        <v>3196</v>
      </c>
      <c r="E1086" s="32" t="s">
        <v>3197</v>
      </c>
      <c r="F1086" s="35">
        <v>291</v>
      </c>
      <c r="G1086" s="35">
        <v>89</v>
      </c>
      <c r="H1086" s="35">
        <v>2388</v>
      </c>
      <c r="I1086" s="35">
        <v>1501</v>
      </c>
      <c r="J1086" s="36">
        <v>41926</v>
      </c>
      <c r="K1086" s="37">
        <v>0.93788194444444439</v>
      </c>
      <c r="L1086" s="36">
        <v>42940</v>
      </c>
      <c r="M1086" s="38">
        <v>0.55651620370370369</v>
      </c>
    </row>
    <row r="1087" spans="1:13" ht="60" x14ac:dyDescent="0.25">
      <c r="A1087" s="33" t="s">
        <v>262</v>
      </c>
      <c r="B1087" s="34" t="str">
        <f>HYPERLINK("http://www.twitter.com/Cotham_Library", "Cotham_Library")</f>
        <v>Cotham_Library</v>
      </c>
      <c r="C1087" s="33" t="s">
        <v>1294</v>
      </c>
      <c r="D1087" s="33" t="s">
        <v>1295</v>
      </c>
      <c r="E1087" s="32" t="s">
        <v>1296</v>
      </c>
      <c r="F1087" s="35">
        <v>997</v>
      </c>
      <c r="G1087" s="35">
        <v>919</v>
      </c>
      <c r="H1087" s="35">
        <v>2378</v>
      </c>
      <c r="I1087" s="35">
        <v>469</v>
      </c>
      <c r="J1087" s="36">
        <v>40448</v>
      </c>
      <c r="K1087" s="37">
        <v>0.44097222222222227</v>
      </c>
      <c r="L1087" s="36">
        <v>42877</v>
      </c>
      <c r="M1087" s="38">
        <v>0.44623842592592594</v>
      </c>
    </row>
    <row r="1088" spans="1:13" ht="30" x14ac:dyDescent="0.25">
      <c r="A1088" s="33" t="s">
        <v>262</v>
      </c>
      <c r="B1088" s="34" t="str">
        <f>HYPERLINK("http://www.twitter.com/WSchoolLibrary", "WSchoolLibrary")</f>
        <v>WSchoolLibrary</v>
      </c>
      <c r="C1088" s="33" t="s">
        <v>2152</v>
      </c>
      <c r="D1088" s="33" t="s">
        <v>2153</v>
      </c>
      <c r="E1088" s="32" t="s">
        <v>2154</v>
      </c>
      <c r="F1088" s="35">
        <v>505</v>
      </c>
      <c r="G1088" s="35">
        <v>381</v>
      </c>
      <c r="H1088" s="35">
        <v>2341</v>
      </c>
      <c r="I1088" s="35">
        <v>1311</v>
      </c>
      <c r="J1088" s="36">
        <v>41024</v>
      </c>
      <c r="K1088" s="37">
        <v>0.43346064814814816</v>
      </c>
      <c r="L1088" s="36">
        <v>42940</v>
      </c>
      <c r="M1088" s="38">
        <v>0.4130092592592593</v>
      </c>
    </row>
    <row r="1089" spans="1:13" x14ac:dyDescent="0.25">
      <c r="A1089" s="33" t="s">
        <v>262</v>
      </c>
      <c r="B1089" s="34" t="str">
        <f>HYPERLINK("http://www.twitter.com/FHS_library", "FHS_library")</f>
        <v>FHS_library</v>
      </c>
      <c r="C1089" s="33" t="s">
        <v>2163</v>
      </c>
      <c r="D1089" s="33" t="s">
        <v>1873</v>
      </c>
      <c r="E1089" s="32" t="s">
        <v>2164</v>
      </c>
      <c r="F1089" s="35">
        <v>563</v>
      </c>
      <c r="G1089" s="35">
        <v>354</v>
      </c>
      <c r="H1089" s="35">
        <v>2285</v>
      </c>
      <c r="I1089" s="35">
        <v>2154</v>
      </c>
      <c r="J1089" s="36">
        <v>41662</v>
      </c>
      <c r="K1089" s="37">
        <v>0.52413194444444444</v>
      </c>
      <c r="L1089" s="36">
        <v>42920</v>
      </c>
      <c r="M1089" s="38">
        <v>0.57204861111111105</v>
      </c>
    </row>
    <row r="1090" spans="1:13" x14ac:dyDescent="0.25">
      <c r="A1090" s="33" t="s">
        <v>262</v>
      </c>
      <c r="B1090" s="34" t="str">
        <f>HYPERLINK("http://www.twitter.com/LRCCAN", "LRCCAN")</f>
        <v>LRCCAN</v>
      </c>
      <c r="C1090" s="33" t="s">
        <v>2470</v>
      </c>
      <c r="D1090" s="33" t="s">
        <v>2213</v>
      </c>
      <c r="E1090" s="32" t="s">
        <v>3603</v>
      </c>
      <c r="F1090" s="35">
        <v>252</v>
      </c>
      <c r="G1090" s="35">
        <v>435</v>
      </c>
      <c r="H1090" s="35">
        <v>2239</v>
      </c>
      <c r="I1090" s="35">
        <v>1888</v>
      </c>
      <c r="J1090" s="36">
        <v>40748</v>
      </c>
      <c r="K1090" s="37">
        <v>0.46694444444444444</v>
      </c>
      <c r="L1090" s="36">
        <v>42167</v>
      </c>
      <c r="M1090" s="38">
        <v>0.2864814814814815</v>
      </c>
    </row>
    <row r="1091" spans="1:13" ht="45" x14ac:dyDescent="0.25">
      <c r="A1091" s="33" t="s">
        <v>262</v>
      </c>
      <c r="B1091" s="34" t="str">
        <f>HYPERLINK("http://www.twitter.com/cartertoncc_lib", "cartertoncc_lib")</f>
        <v>cartertoncc_lib</v>
      </c>
      <c r="C1091" s="33" t="s">
        <v>2072</v>
      </c>
      <c r="D1091" s="33" t="s">
        <v>2073</v>
      </c>
      <c r="E1091" s="32" t="s">
        <v>2074</v>
      </c>
      <c r="F1091" s="35">
        <v>404</v>
      </c>
      <c r="G1091" s="35">
        <v>376</v>
      </c>
      <c r="H1091" s="35">
        <v>2209</v>
      </c>
      <c r="I1091" s="35">
        <v>386</v>
      </c>
      <c r="J1091" s="36">
        <v>41078</v>
      </c>
      <c r="K1091" s="37">
        <v>0.75773148148148151</v>
      </c>
      <c r="L1091" s="36">
        <v>42922</v>
      </c>
      <c r="M1091" s="38">
        <v>0.47729166666666667</v>
      </c>
    </row>
    <row r="1092" spans="1:13" x14ac:dyDescent="0.25">
      <c r="A1092" s="33" t="s">
        <v>262</v>
      </c>
      <c r="B1092" s="34" t="str">
        <f>HYPERLINK("http://www.twitter.com/STJLib", "STJLib")</f>
        <v>STJLib</v>
      </c>
      <c r="C1092" s="33" t="s">
        <v>1148</v>
      </c>
      <c r="E1092" s="32" t="s">
        <v>2005</v>
      </c>
      <c r="F1092" s="35">
        <v>392</v>
      </c>
      <c r="G1092" s="35">
        <v>409</v>
      </c>
      <c r="H1092" s="35">
        <v>2207</v>
      </c>
      <c r="I1092" s="35">
        <v>1064</v>
      </c>
      <c r="J1092" s="36">
        <v>41451</v>
      </c>
      <c r="K1092" s="37">
        <v>0.34215277777777775</v>
      </c>
      <c r="L1092" s="36">
        <v>42914</v>
      </c>
      <c r="M1092" s="38">
        <v>0.39178240740740744</v>
      </c>
    </row>
    <row r="1093" spans="1:13" x14ac:dyDescent="0.25">
      <c r="A1093" s="33" t="s">
        <v>262</v>
      </c>
      <c r="B1093" s="34" t="str">
        <f>HYPERLINK("http://www.twitter.com/SC_LRC", "SC_LRC")</f>
        <v>SC_LRC</v>
      </c>
      <c r="C1093" s="33" t="s">
        <v>3617</v>
      </c>
      <c r="D1093" s="33" t="s">
        <v>652</v>
      </c>
      <c r="E1093" s="32" t="s">
        <v>3618</v>
      </c>
      <c r="F1093" s="35">
        <v>267</v>
      </c>
      <c r="G1093" s="35">
        <v>297</v>
      </c>
      <c r="H1093" s="35">
        <v>2162</v>
      </c>
      <c r="I1093" s="35">
        <v>1423</v>
      </c>
      <c r="J1093" s="36">
        <v>40091</v>
      </c>
      <c r="K1093" s="37">
        <v>0.38306712962962958</v>
      </c>
      <c r="L1093" s="36">
        <v>42940</v>
      </c>
      <c r="M1093" s="38">
        <v>0.58276620370370369</v>
      </c>
    </row>
    <row r="1094" spans="1:13" ht="30" x14ac:dyDescent="0.25">
      <c r="A1094" s="33" t="s">
        <v>262</v>
      </c>
      <c r="B1094" s="34" t="str">
        <f>HYPERLINK("http://www.twitter.com/RedmoorLibrary", "RedmoorLibrary")</f>
        <v>RedmoorLibrary</v>
      </c>
      <c r="C1094" s="33" t="s">
        <v>2130</v>
      </c>
      <c r="D1094" s="33" t="s">
        <v>2131</v>
      </c>
      <c r="E1094" s="32" t="s">
        <v>2132</v>
      </c>
      <c r="F1094" s="35">
        <v>397</v>
      </c>
      <c r="G1094" s="35">
        <v>363</v>
      </c>
      <c r="H1094" s="35">
        <v>2142</v>
      </c>
      <c r="I1094" s="35">
        <v>1134</v>
      </c>
      <c r="J1094" s="36">
        <v>41387</v>
      </c>
      <c r="K1094" s="37">
        <v>0.83327546296296295</v>
      </c>
      <c r="L1094" s="36">
        <v>42930</v>
      </c>
      <c r="M1094" s="38">
        <v>0.63797453703703699</v>
      </c>
    </row>
    <row r="1095" spans="1:13" x14ac:dyDescent="0.25">
      <c r="A1095" s="33" t="s">
        <v>262</v>
      </c>
      <c r="B1095" s="34" t="str">
        <f>HYPERLINK("http://www.twitter.com/NewHallLib", "NewHallLib")</f>
        <v>NewHallLib</v>
      </c>
      <c r="C1095" s="33" t="s">
        <v>2506</v>
      </c>
      <c r="D1095" s="33" t="s">
        <v>2507</v>
      </c>
      <c r="E1095" s="32" t="s">
        <v>2508</v>
      </c>
      <c r="F1095" s="35">
        <v>137</v>
      </c>
      <c r="G1095" s="35">
        <v>235</v>
      </c>
      <c r="H1095" s="35">
        <v>2126</v>
      </c>
      <c r="I1095" s="35">
        <v>650</v>
      </c>
      <c r="J1095" s="36">
        <v>41710</v>
      </c>
      <c r="K1095" s="37">
        <v>0.40155092592592595</v>
      </c>
      <c r="L1095" s="36">
        <v>42940</v>
      </c>
      <c r="M1095" s="38">
        <v>0.65322916666666664</v>
      </c>
    </row>
    <row r="1096" spans="1:13" ht="45" x14ac:dyDescent="0.25">
      <c r="A1096" s="33" t="s">
        <v>262</v>
      </c>
      <c r="B1096" s="34" t="str">
        <f>HYPERLINK("http://www.twitter.com/ForAcadLib", "ForAcadLib")</f>
        <v>ForAcadLib</v>
      </c>
      <c r="C1096" s="33" t="s">
        <v>1904</v>
      </c>
      <c r="D1096" s="33" t="s">
        <v>1905</v>
      </c>
      <c r="E1096" s="32" t="s">
        <v>1906</v>
      </c>
      <c r="F1096" s="35">
        <v>250</v>
      </c>
      <c r="G1096" s="35">
        <v>456</v>
      </c>
      <c r="H1096" s="35">
        <v>2117</v>
      </c>
      <c r="I1096" s="35">
        <v>444</v>
      </c>
      <c r="J1096" s="36">
        <v>41975</v>
      </c>
      <c r="K1096" s="37">
        <v>0.55460648148148151</v>
      </c>
      <c r="L1096" s="36">
        <v>42936</v>
      </c>
      <c r="M1096" s="38">
        <v>0.77539351851851857</v>
      </c>
    </row>
    <row r="1097" spans="1:13" x14ac:dyDescent="0.25">
      <c r="A1097" s="33" t="s">
        <v>262</v>
      </c>
      <c r="B1097" s="34" t="str">
        <f>HYPERLINK("http://www.twitter.com/LlandrilloLib", "LlandrilloLib")</f>
        <v>LlandrilloLib</v>
      </c>
      <c r="C1097" s="33" t="s">
        <v>1057</v>
      </c>
      <c r="D1097" s="33" t="s">
        <v>1058</v>
      </c>
      <c r="E1097" s="32" t="s">
        <v>1059</v>
      </c>
      <c r="F1097" s="35">
        <v>2135</v>
      </c>
      <c r="G1097" s="35">
        <v>1181</v>
      </c>
      <c r="H1097" s="35">
        <v>2099</v>
      </c>
      <c r="I1097" s="35">
        <v>249</v>
      </c>
      <c r="J1097" s="36">
        <v>39865</v>
      </c>
      <c r="K1097" s="37">
        <v>0.59873842592592597</v>
      </c>
      <c r="L1097" s="36">
        <v>42937</v>
      </c>
      <c r="M1097" s="38">
        <v>0.39282407407407405</v>
      </c>
    </row>
    <row r="1098" spans="1:13" ht="45" x14ac:dyDescent="0.25">
      <c r="A1098" s="33" t="s">
        <v>262</v>
      </c>
      <c r="B1098" s="34" t="str">
        <f>HYPERLINK("http://www.twitter.com/LIC_Bilboro", "LIC_Bilboro")</f>
        <v>LIC_Bilboro</v>
      </c>
      <c r="C1098" s="33" t="s">
        <v>1901</v>
      </c>
      <c r="D1098" s="33" t="s">
        <v>1902</v>
      </c>
      <c r="E1098" s="32" t="s">
        <v>1903</v>
      </c>
      <c r="F1098" s="35">
        <v>549</v>
      </c>
      <c r="G1098" s="35">
        <v>441</v>
      </c>
      <c r="H1098" s="35">
        <v>2095</v>
      </c>
      <c r="I1098" s="35">
        <v>938</v>
      </c>
      <c r="J1098" s="36">
        <v>40577</v>
      </c>
      <c r="K1098" s="37">
        <v>0.49678240740740742</v>
      </c>
      <c r="L1098" s="36">
        <v>42936</v>
      </c>
      <c r="M1098" s="38">
        <v>0.47740740740740745</v>
      </c>
    </row>
    <row r="1099" spans="1:13" x14ac:dyDescent="0.25">
      <c r="A1099" s="33" t="s">
        <v>262</v>
      </c>
      <c r="B1099" s="34" t="str">
        <f>HYPERLINK("http://www.twitter.com/LRCatJTHS", "LRCatJTHS")</f>
        <v>LRCatJTHS</v>
      </c>
      <c r="C1099" s="33" t="s">
        <v>2470</v>
      </c>
      <c r="E1099" s="32" t="s">
        <v>2740</v>
      </c>
      <c r="F1099" s="35">
        <v>78</v>
      </c>
      <c r="G1099" s="35">
        <v>189</v>
      </c>
      <c r="H1099" s="35">
        <v>2051</v>
      </c>
      <c r="I1099" s="35">
        <v>106</v>
      </c>
      <c r="J1099" s="36">
        <v>40512</v>
      </c>
      <c r="K1099" s="37">
        <v>0.5178935185185185</v>
      </c>
      <c r="L1099" s="36">
        <v>42930</v>
      </c>
      <c r="M1099" s="38">
        <v>0.75440972222222225</v>
      </c>
    </row>
    <row r="1100" spans="1:13" ht="45" x14ac:dyDescent="0.25">
      <c r="A1100" s="33" t="s">
        <v>262</v>
      </c>
      <c r="B1100" s="34" t="str">
        <f>HYPERLINK("http://www.twitter.com/KC_LRC", "KC_LRC")</f>
        <v>KC_LRC</v>
      </c>
      <c r="C1100" s="33" t="s">
        <v>2266</v>
      </c>
      <c r="D1100" s="33" t="s">
        <v>2267</v>
      </c>
      <c r="E1100" s="32" t="s">
        <v>2268</v>
      </c>
      <c r="F1100" s="35">
        <v>590</v>
      </c>
      <c r="G1100" s="35">
        <v>307</v>
      </c>
      <c r="H1100" s="35">
        <v>1963</v>
      </c>
      <c r="I1100" s="35">
        <v>163</v>
      </c>
      <c r="J1100" s="36">
        <v>42184</v>
      </c>
      <c r="K1100" s="37">
        <v>0.5064467592592593</v>
      </c>
      <c r="L1100" s="36">
        <v>42937</v>
      </c>
      <c r="M1100" s="38">
        <v>0.94060185185185186</v>
      </c>
    </row>
    <row r="1101" spans="1:13" ht="30" x14ac:dyDescent="0.25">
      <c r="A1101" s="33" t="s">
        <v>262</v>
      </c>
      <c r="B1101" s="34" t="str">
        <f>HYPERLINK("http://www.twitter.com/GCLRCs", "GCLRCs")</f>
        <v>GCLRCs</v>
      </c>
      <c r="C1101" s="33" t="s">
        <v>2886</v>
      </c>
      <c r="D1101" s="33" t="s">
        <v>2887</v>
      </c>
      <c r="E1101" s="32" t="s">
        <v>2888</v>
      </c>
      <c r="F1101" s="35">
        <v>76</v>
      </c>
      <c r="G1101" s="35">
        <v>165</v>
      </c>
      <c r="H1101" s="35">
        <v>1940</v>
      </c>
      <c r="I1101" s="35">
        <v>19</v>
      </c>
      <c r="J1101" s="36">
        <v>40399</v>
      </c>
      <c r="K1101" s="37">
        <v>0.60108796296296296</v>
      </c>
      <c r="L1101" s="36">
        <v>42937</v>
      </c>
      <c r="M1101" s="38">
        <v>0.79003472222222226</v>
      </c>
    </row>
    <row r="1102" spans="1:13" x14ac:dyDescent="0.25">
      <c r="A1102" s="33" t="s">
        <v>262</v>
      </c>
      <c r="B1102" s="34" t="str">
        <f>HYPERLINK("http://www.twitter.com/bgs_library", "bgs_library")</f>
        <v>bgs_library</v>
      </c>
      <c r="C1102" s="33" t="s">
        <v>1478</v>
      </c>
      <c r="D1102" s="33" t="s">
        <v>2381</v>
      </c>
      <c r="E1102" s="32" t="s">
        <v>2382</v>
      </c>
      <c r="F1102" s="35">
        <v>371</v>
      </c>
      <c r="G1102" s="35">
        <v>269</v>
      </c>
      <c r="H1102" s="35">
        <v>1880</v>
      </c>
      <c r="I1102" s="35">
        <v>330</v>
      </c>
      <c r="J1102" s="36">
        <v>41596</v>
      </c>
      <c r="K1102" s="37">
        <v>0.58984953703703702</v>
      </c>
      <c r="L1102" s="36">
        <v>42919</v>
      </c>
      <c r="M1102" s="38">
        <v>0.5254050925925926</v>
      </c>
    </row>
    <row r="1103" spans="1:13" ht="60" x14ac:dyDescent="0.25">
      <c r="A1103" s="33" t="s">
        <v>262</v>
      </c>
      <c r="B1103" s="34" t="str">
        <f>HYPERLINK("http://www.twitter.com/Doncaster_LRC", "Doncaster_LRC")</f>
        <v>Doncaster_LRC</v>
      </c>
      <c r="C1103" s="33" t="s">
        <v>1936</v>
      </c>
      <c r="D1103" s="33" t="s">
        <v>1937</v>
      </c>
      <c r="E1103" s="32" t="s">
        <v>1938</v>
      </c>
      <c r="F1103" s="35">
        <v>209</v>
      </c>
      <c r="G1103" s="35">
        <v>431</v>
      </c>
      <c r="H1103" s="35">
        <v>1824</v>
      </c>
      <c r="I1103" s="35">
        <v>386</v>
      </c>
      <c r="J1103" s="36">
        <v>40189</v>
      </c>
      <c r="K1103" s="37">
        <v>0.46840277777777778</v>
      </c>
      <c r="L1103" s="36">
        <v>42936</v>
      </c>
      <c r="M1103" s="38">
        <v>0.75042824074074066</v>
      </c>
    </row>
    <row r="1104" spans="1:13" ht="30" x14ac:dyDescent="0.25">
      <c r="A1104" s="33" t="s">
        <v>262</v>
      </c>
      <c r="B1104" s="34" t="str">
        <f>HYPERLINK("http://www.twitter.com/LawsonLibrary", "LawsonLibrary")</f>
        <v>LawsonLibrary</v>
      </c>
      <c r="C1104" s="33" t="s">
        <v>1964</v>
      </c>
      <c r="D1104" s="33" t="s">
        <v>180</v>
      </c>
      <c r="E1104" s="32" t="s">
        <v>1965</v>
      </c>
      <c r="F1104" s="35">
        <v>319</v>
      </c>
      <c r="G1104" s="35">
        <v>436</v>
      </c>
      <c r="H1104" s="35">
        <v>1772</v>
      </c>
      <c r="I1104" s="35">
        <v>17</v>
      </c>
      <c r="J1104" s="36">
        <v>41163</v>
      </c>
      <c r="K1104" s="37">
        <v>0.71848379629629633</v>
      </c>
      <c r="L1104" s="36">
        <v>42923</v>
      </c>
      <c r="M1104" s="38">
        <v>0.62167824074074074</v>
      </c>
    </row>
    <row r="1105" spans="1:13" x14ac:dyDescent="0.25">
      <c r="A1105" s="33" t="s">
        <v>262</v>
      </c>
      <c r="B1105" s="34" t="str">
        <f>HYPERLINK("http://www.twitter.com/WFHLibrary", "WFHLibrary")</f>
        <v>WFHLibrary</v>
      </c>
      <c r="C1105" s="33" t="s">
        <v>1855</v>
      </c>
      <c r="D1105" s="33" t="s">
        <v>318</v>
      </c>
      <c r="E1105" s="32" t="s">
        <v>1856</v>
      </c>
      <c r="F1105" s="35">
        <v>849</v>
      </c>
      <c r="G1105" s="35">
        <v>465</v>
      </c>
      <c r="H1105" s="35">
        <v>1764</v>
      </c>
      <c r="I1105" s="35">
        <v>1721</v>
      </c>
      <c r="J1105" s="36">
        <v>39926</v>
      </c>
      <c r="K1105" s="37">
        <v>0.51186342592592593</v>
      </c>
      <c r="L1105" s="36">
        <v>42654</v>
      </c>
      <c r="M1105" s="38">
        <v>0.33422453703703708</v>
      </c>
    </row>
    <row r="1106" spans="1:13" ht="45" x14ac:dyDescent="0.25">
      <c r="A1106" s="33" t="s">
        <v>262</v>
      </c>
      <c r="B1106" s="34" t="str">
        <f>HYPERLINK("http://www.twitter.com/DCWodehouse", "DCWodehouse")</f>
        <v>DCWodehouse</v>
      </c>
      <c r="C1106" s="33" t="s">
        <v>2689</v>
      </c>
      <c r="D1106" s="33" t="s">
        <v>2690</v>
      </c>
      <c r="E1106" s="32" t="s">
        <v>2691</v>
      </c>
      <c r="F1106" s="35">
        <v>280</v>
      </c>
      <c r="G1106" s="35">
        <v>199</v>
      </c>
      <c r="H1106" s="35">
        <v>1647</v>
      </c>
      <c r="I1106" s="35">
        <v>68</v>
      </c>
      <c r="J1106" s="36">
        <v>41561</v>
      </c>
      <c r="K1106" s="37">
        <v>0.59520833333333334</v>
      </c>
      <c r="L1106" s="36">
        <v>42922</v>
      </c>
      <c r="M1106" s="38">
        <v>0.6179513888888889</v>
      </c>
    </row>
    <row r="1107" spans="1:13" ht="30" x14ac:dyDescent="0.25">
      <c r="A1107" s="33" t="s">
        <v>262</v>
      </c>
      <c r="B1107" s="34" t="str">
        <f>HYPERLINK("http://www.twitter.com/KSCLibrarian", "KSCLibrarian")</f>
        <v>KSCLibrarian</v>
      </c>
      <c r="C1107" s="33" t="s">
        <v>2003</v>
      </c>
      <c r="D1107" s="33" t="s">
        <v>77</v>
      </c>
      <c r="E1107" s="32" t="s">
        <v>2004</v>
      </c>
      <c r="F1107" s="35">
        <v>241</v>
      </c>
      <c r="G1107" s="35">
        <v>417</v>
      </c>
      <c r="H1107" s="35">
        <v>1621</v>
      </c>
      <c r="I1107" s="35">
        <v>1060</v>
      </c>
      <c r="J1107" s="36">
        <v>41060</v>
      </c>
      <c r="K1107" s="37">
        <v>0.57221064814814815</v>
      </c>
      <c r="L1107" s="36">
        <v>42937</v>
      </c>
      <c r="M1107" s="38">
        <v>0.632349537037037</v>
      </c>
    </row>
    <row r="1108" spans="1:13" x14ac:dyDescent="0.25">
      <c r="A1108" s="33" t="s">
        <v>262</v>
      </c>
      <c r="B1108" s="34" t="str">
        <f>HYPERLINK("http://www.twitter.com/LibraryGC", "LibraryGC")</f>
        <v>LibraryGC</v>
      </c>
      <c r="C1108" s="33" t="s">
        <v>2922</v>
      </c>
      <c r="D1108" s="33" t="s">
        <v>2923</v>
      </c>
      <c r="E1108" s="32" t="s">
        <v>2924</v>
      </c>
      <c r="F1108" s="35">
        <v>274</v>
      </c>
      <c r="G1108" s="35">
        <v>155</v>
      </c>
      <c r="H1108" s="35">
        <v>1612</v>
      </c>
      <c r="I1108" s="35">
        <v>102</v>
      </c>
      <c r="J1108" s="36">
        <v>40631</v>
      </c>
      <c r="K1108" s="37">
        <v>0.52482638888888888</v>
      </c>
      <c r="L1108" s="36">
        <v>42934</v>
      </c>
      <c r="M1108" s="38">
        <v>0.53688657407407414</v>
      </c>
    </row>
    <row r="1109" spans="1:13" x14ac:dyDescent="0.25">
      <c r="A1109" s="33" t="s">
        <v>262</v>
      </c>
      <c r="B1109" s="34" t="str">
        <f>HYPERLINK("http://www.twitter.com/AshfordLRC", "AshfordLRC")</f>
        <v>AshfordLRC</v>
      </c>
      <c r="C1109" s="33" t="s">
        <v>3209</v>
      </c>
      <c r="D1109" s="33" t="s">
        <v>3593</v>
      </c>
      <c r="E1109" s="32" t="s">
        <v>3594</v>
      </c>
      <c r="F1109" s="35">
        <v>424</v>
      </c>
      <c r="G1109" s="35">
        <v>380</v>
      </c>
      <c r="H1109" s="35">
        <v>1547</v>
      </c>
      <c r="I1109" s="35">
        <v>347</v>
      </c>
      <c r="J1109" s="36">
        <v>40963</v>
      </c>
      <c r="K1109" s="37">
        <v>0.42422453703703705</v>
      </c>
      <c r="L1109" s="36">
        <v>42916</v>
      </c>
      <c r="M1109" s="38">
        <v>0.50436342592592587</v>
      </c>
    </row>
    <row r="1110" spans="1:13" x14ac:dyDescent="0.25">
      <c r="A1110" s="33" t="s">
        <v>262</v>
      </c>
      <c r="B1110" s="34" t="str">
        <f>HYPERLINK("http://www.twitter.com/ReadsAtOne", "ReadsAtOne")</f>
        <v>ReadsAtOne</v>
      </c>
      <c r="C1110" s="33" t="s">
        <v>3402</v>
      </c>
      <c r="D1110" s="33" t="s">
        <v>3609</v>
      </c>
      <c r="E1110" s="32" t="s">
        <v>3610</v>
      </c>
      <c r="F1110" s="35">
        <v>126</v>
      </c>
      <c r="G1110" s="35">
        <v>104</v>
      </c>
      <c r="H1110" s="35">
        <v>1532</v>
      </c>
      <c r="I1110" s="35">
        <v>131</v>
      </c>
      <c r="J1110" s="36">
        <v>40483</v>
      </c>
      <c r="K1110" s="37">
        <v>0.46428240740740739</v>
      </c>
      <c r="L1110" s="36">
        <v>42940</v>
      </c>
      <c r="M1110" s="38">
        <v>0.42031250000000003</v>
      </c>
    </row>
    <row r="1111" spans="1:13" ht="45" x14ac:dyDescent="0.25">
      <c r="A1111" s="33" t="s">
        <v>262</v>
      </c>
      <c r="B1111" s="34" t="str">
        <f>HYPERLINK("http://www.twitter.com/nwhclibrary", "nwhclibrary")</f>
        <v>nwhclibrary</v>
      </c>
      <c r="C1111" s="33" t="s">
        <v>2758</v>
      </c>
      <c r="D1111" s="33" t="s">
        <v>2759</v>
      </c>
      <c r="E1111" s="32" t="s">
        <v>2760</v>
      </c>
      <c r="F1111" s="35">
        <v>195</v>
      </c>
      <c r="G1111" s="35">
        <v>190</v>
      </c>
      <c r="H1111" s="35">
        <v>1512</v>
      </c>
      <c r="I1111" s="35">
        <v>643</v>
      </c>
      <c r="J1111" s="36">
        <v>40934</v>
      </c>
      <c r="K1111" s="37">
        <v>0.50635416666666666</v>
      </c>
      <c r="L1111" s="36">
        <v>42922</v>
      </c>
      <c r="M1111" s="38">
        <v>0.3536111111111111</v>
      </c>
    </row>
    <row r="1112" spans="1:13" ht="30" x14ac:dyDescent="0.25">
      <c r="A1112" s="33" t="s">
        <v>262</v>
      </c>
      <c r="B1112" s="34" t="str">
        <f>HYPERLINK("http://www.twitter.com/HarperAdamsLibr", "HarperAdamsLibr")</f>
        <v>HarperAdamsLibr</v>
      </c>
      <c r="C1112" s="33" t="s">
        <v>1801</v>
      </c>
      <c r="D1112" s="33" t="s">
        <v>1802</v>
      </c>
      <c r="E1112" s="32" t="s">
        <v>1803</v>
      </c>
      <c r="F1112" s="35">
        <v>597</v>
      </c>
      <c r="G1112" s="35">
        <v>506</v>
      </c>
      <c r="H1112" s="35">
        <v>1502</v>
      </c>
      <c r="I1112" s="35">
        <v>1010</v>
      </c>
      <c r="J1112" s="36">
        <v>41150</v>
      </c>
      <c r="K1112" s="37">
        <v>0.64456018518518521</v>
      </c>
      <c r="L1112" s="36">
        <v>42937</v>
      </c>
      <c r="M1112" s="38">
        <v>0.6196990740740741</v>
      </c>
    </row>
    <row r="1113" spans="1:13" ht="45" x14ac:dyDescent="0.25">
      <c r="A1113" s="33" t="s">
        <v>262</v>
      </c>
      <c r="B1113" s="34" t="str">
        <f>HYPERLINK("http://www.twitter.com/HarnishLibrary", "HarnishLibrary")</f>
        <v>HarnishLibrary</v>
      </c>
      <c r="C1113" s="33" t="s">
        <v>1634</v>
      </c>
      <c r="D1113" s="33" t="s">
        <v>1635</v>
      </c>
      <c r="E1113" s="32" t="s">
        <v>1636</v>
      </c>
      <c r="F1113" s="35">
        <v>572</v>
      </c>
      <c r="G1113" s="35">
        <v>661</v>
      </c>
      <c r="H1113" s="35">
        <v>1491</v>
      </c>
      <c r="I1113" s="35">
        <v>494</v>
      </c>
      <c r="J1113" s="36">
        <v>41165</v>
      </c>
      <c r="K1113" s="37">
        <v>0.77637731481481476</v>
      </c>
      <c r="L1113" s="36">
        <v>42939</v>
      </c>
      <c r="M1113" s="38">
        <v>0.77592592592592602</v>
      </c>
    </row>
    <row r="1114" spans="1:13" ht="45" x14ac:dyDescent="0.25">
      <c r="A1114" s="33" t="s">
        <v>262</v>
      </c>
      <c r="B1114" s="34" t="str">
        <f>HYPERLINK("http://www.twitter.com/WyedeanLRC", "WyedeanLRC")</f>
        <v>WyedeanLRC</v>
      </c>
      <c r="C1114" s="33" t="s">
        <v>2176</v>
      </c>
      <c r="D1114" s="33" t="s">
        <v>2177</v>
      </c>
      <c r="E1114" s="32" t="s">
        <v>2178</v>
      </c>
      <c r="F1114" s="35">
        <v>266</v>
      </c>
      <c r="G1114" s="35">
        <v>358</v>
      </c>
      <c r="H1114" s="35">
        <v>1452</v>
      </c>
      <c r="I1114" s="35">
        <v>652</v>
      </c>
      <c r="J1114" s="36">
        <v>40889</v>
      </c>
      <c r="K1114" s="37">
        <v>0.62318287037037035</v>
      </c>
      <c r="L1114" s="36">
        <v>42937</v>
      </c>
      <c r="M1114" s="38">
        <v>0.26232638888888887</v>
      </c>
    </row>
    <row r="1115" spans="1:13" ht="30" x14ac:dyDescent="0.25">
      <c r="A1115" s="33" t="s">
        <v>262</v>
      </c>
      <c r="B1115" s="34" t="str">
        <f>HYPERLINK("http://www.twitter.com/WisemanLibrary", "WisemanLibrary")</f>
        <v>WisemanLibrary</v>
      </c>
      <c r="C1115" s="33" t="s">
        <v>2215</v>
      </c>
      <c r="D1115" s="33" t="s">
        <v>2216</v>
      </c>
      <c r="E1115" s="32" t="s">
        <v>2217</v>
      </c>
      <c r="F1115" s="35">
        <v>918</v>
      </c>
      <c r="G1115" s="35">
        <v>335</v>
      </c>
      <c r="H1115" s="35">
        <v>1440</v>
      </c>
      <c r="I1115" s="35">
        <v>0</v>
      </c>
      <c r="J1115" s="36">
        <v>42411</v>
      </c>
      <c r="K1115" s="37">
        <v>0.48085648148148147</v>
      </c>
      <c r="L1115" s="36">
        <v>42936</v>
      </c>
      <c r="M1115" s="38">
        <v>0.75222222222222224</v>
      </c>
    </row>
    <row r="1116" spans="1:13" ht="30" x14ac:dyDescent="0.25">
      <c r="A1116" s="33" t="s">
        <v>262</v>
      </c>
      <c r="B1116" s="34" t="str">
        <f>HYPERLINK("http://www.twitter.com/TheLibraryatEHS", "TheLibraryatEHS")</f>
        <v>TheLibraryatEHS</v>
      </c>
      <c r="C1116" s="33" t="s">
        <v>1932</v>
      </c>
      <c r="E1116" s="32" t="s">
        <v>1933</v>
      </c>
      <c r="F1116" s="35">
        <v>410</v>
      </c>
      <c r="G1116" s="35">
        <v>448</v>
      </c>
      <c r="H1116" s="35">
        <v>1431</v>
      </c>
      <c r="I1116" s="35">
        <v>1914</v>
      </c>
      <c r="J1116" s="36">
        <v>42328</v>
      </c>
      <c r="K1116" s="37">
        <v>0.88519675925925922</v>
      </c>
      <c r="L1116" s="36">
        <v>42936</v>
      </c>
      <c r="M1116" s="38">
        <v>0.44694444444444442</v>
      </c>
    </row>
    <row r="1117" spans="1:13" x14ac:dyDescent="0.25">
      <c r="A1117" s="33" t="s">
        <v>262</v>
      </c>
      <c r="B1117" s="34" t="str">
        <f>HYPERLINK("http://www.twitter.com/BoltonSchoolLib", "BoltonSchoolLib")</f>
        <v>BoltonSchoolLib</v>
      </c>
      <c r="C1117" s="33" t="s">
        <v>3572</v>
      </c>
      <c r="F1117" s="35">
        <v>118</v>
      </c>
      <c r="G1117" s="35">
        <v>368</v>
      </c>
      <c r="H1117" s="35">
        <v>1416</v>
      </c>
      <c r="I1117" s="35">
        <v>2128</v>
      </c>
      <c r="J1117" s="36">
        <v>41829</v>
      </c>
      <c r="K1117" s="37">
        <v>0.45979166666666665</v>
      </c>
      <c r="L1117" s="36">
        <v>42940</v>
      </c>
      <c r="M1117" s="38">
        <v>0.4166435185185185</v>
      </c>
    </row>
    <row r="1118" spans="1:13" ht="45" x14ac:dyDescent="0.25">
      <c r="A1118" s="33" t="s">
        <v>262</v>
      </c>
      <c r="B1118" s="34" t="str">
        <f>HYPERLINK("http://www.twitter.com/BBALRC", "BBALRC")</f>
        <v>BBALRC</v>
      </c>
      <c r="C1118" s="33" t="s">
        <v>1760</v>
      </c>
      <c r="D1118" s="33" t="s">
        <v>514</v>
      </c>
      <c r="E1118" s="32" t="s">
        <v>1761</v>
      </c>
      <c r="F1118" s="35">
        <v>1093</v>
      </c>
      <c r="G1118" s="35">
        <v>550</v>
      </c>
      <c r="H1118" s="35">
        <v>1398</v>
      </c>
      <c r="I1118" s="35">
        <v>1608</v>
      </c>
      <c r="J1118" s="36">
        <v>41472</v>
      </c>
      <c r="K1118" s="37">
        <v>0.40283564814814815</v>
      </c>
      <c r="L1118" s="36">
        <v>42940</v>
      </c>
      <c r="M1118" s="38">
        <v>0.67659722222222218</v>
      </c>
    </row>
    <row r="1119" spans="1:13" ht="45" x14ac:dyDescent="0.25">
      <c r="A1119" s="33" t="s">
        <v>262</v>
      </c>
      <c r="B1119" s="34" t="str">
        <f>HYPERLINK("http://www.twitter.com/bedfordschlib", "bedfordschlib")</f>
        <v>bedfordschlib</v>
      </c>
      <c r="C1119" s="33" t="s">
        <v>2615</v>
      </c>
      <c r="D1119" s="33" t="s">
        <v>2616</v>
      </c>
      <c r="E1119" s="32" t="s">
        <v>2617</v>
      </c>
      <c r="F1119" s="35">
        <v>77</v>
      </c>
      <c r="G1119" s="35">
        <v>208</v>
      </c>
      <c r="H1119" s="35">
        <v>1391</v>
      </c>
      <c r="I1119" s="35">
        <v>3</v>
      </c>
      <c r="J1119" s="36">
        <v>40687</v>
      </c>
      <c r="K1119" s="37">
        <v>0.51766203703703706</v>
      </c>
      <c r="L1119" s="36">
        <v>42939</v>
      </c>
      <c r="M1119" s="38">
        <v>0.63962962962962966</v>
      </c>
    </row>
    <row r="1120" spans="1:13" ht="45" x14ac:dyDescent="0.25">
      <c r="A1120" s="33" t="s">
        <v>262</v>
      </c>
      <c r="B1120" s="34" t="str">
        <f>HYPERLINK("http://www.twitter.com/BGSLibrarian", "BGSLibrarian")</f>
        <v>BGSLibrarian</v>
      </c>
      <c r="C1120" s="33" t="s">
        <v>1478</v>
      </c>
      <c r="D1120" s="33" t="s">
        <v>1873</v>
      </c>
      <c r="E1120" s="32" t="s">
        <v>1874</v>
      </c>
      <c r="F1120" s="35">
        <v>1030</v>
      </c>
      <c r="G1120" s="35">
        <v>471</v>
      </c>
      <c r="H1120" s="35">
        <v>1350</v>
      </c>
      <c r="I1120" s="35">
        <v>393</v>
      </c>
      <c r="J1120" s="36">
        <v>41229</v>
      </c>
      <c r="K1120" s="37">
        <v>0.37862268518518521</v>
      </c>
      <c r="L1120" s="36">
        <v>42935</v>
      </c>
      <c r="M1120" s="38">
        <v>0.75535879629629632</v>
      </c>
    </row>
    <row r="1121" spans="1:13" x14ac:dyDescent="0.25">
      <c r="A1121" s="33" t="s">
        <v>262</v>
      </c>
      <c r="B1121" s="34" t="str">
        <f>HYPERLINK("http://www.twitter.com/librarynhs", "librarynhs")</f>
        <v>librarynhs</v>
      </c>
      <c r="C1121" s="33" t="s">
        <v>2456</v>
      </c>
      <c r="D1121" s="33" t="s">
        <v>2457</v>
      </c>
      <c r="E1121" s="32" t="s">
        <v>2458</v>
      </c>
      <c r="F1121" s="35">
        <v>229</v>
      </c>
      <c r="G1121" s="35">
        <v>262</v>
      </c>
      <c r="H1121" s="35">
        <v>1329</v>
      </c>
      <c r="I1121" s="35">
        <v>408</v>
      </c>
      <c r="J1121" s="36">
        <v>41625</v>
      </c>
      <c r="K1121" s="37">
        <v>0.5957175925925926</v>
      </c>
      <c r="L1121" s="36">
        <v>42929</v>
      </c>
      <c r="M1121" s="38">
        <v>0.35956018518518523</v>
      </c>
    </row>
    <row r="1122" spans="1:13" ht="45" x14ac:dyDescent="0.25">
      <c r="A1122" s="33" t="s">
        <v>262</v>
      </c>
      <c r="B1122" s="34" t="str">
        <f>HYPERLINK("http://www.twitter.com/WCS_Booklovers", "WCS_Booklovers")</f>
        <v>WCS_Booklovers</v>
      </c>
      <c r="C1122" s="33" t="s">
        <v>1870</v>
      </c>
      <c r="D1122" s="33" t="s">
        <v>1871</v>
      </c>
      <c r="E1122" s="32" t="s">
        <v>1872</v>
      </c>
      <c r="F1122" s="35">
        <v>504</v>
      </c>
      <c r="G1122" s="35">
        <v>473</v>
      </c>
      <c r="H1122" s="35">
        <v>1329</v>
      </c>
      <c r="I1122" s="35">
        <v>208</v>
      </c>
      <c r="J1122" s="36">
        <v>41432</v>
      </c>
      <c r="K1122" s="37">
        <v>0.44295138888888891</v>
      </c>
      <c r="L1122" s="36">
        <v>42933</v>
      </c>
      <c r="M1122" s="38">
        <v>0.62251157407407409</v>
      </c>
    </row>
    <row r="1123" spans="1:13" ht="30" x14ac:dyDescent="0.25">
      <c r="A1123" s="33" t="s">
        <v>262</v>
      </c>
      <c r="B1123" s="34" t="str">
        <f>HYPERLINK("http://www.twitter.com/DCTLibrary", "DCTLibrary")</f>
        <v>DCTLibrary</v>
      </c>
      <c r="C1123" s="33" t="s">
        <v>2085</v>
      </c>
      <c r="E1123" s="32" t="s">
        <v>3581</v>
      </c>
      <c r="F1123" s="35">
        <v>437</v>
      </c>
      <c r="G1123" s="35">
        <v>381</v>
      </c>
      <c r="H1123" s="35">
        <v>1315</v>
      </c>
      <c r="I1123" s="35">
        <v>685</v>
      </c>
      <c r="J1123" s="36">
        <v>41414</v>
      </c>
      <c r="K1123" s="37">
        <v>0.64604166666666674</v>
      </c>
      <c r="L1123" s="36">
        <v>42929</v>
      </c>
      <c r="M1123" s="38">
        <v>0.64704861111111112</v>
      </c>
    </row>
    <row r="1124" spans="1:13" ht="45" x14ac:dyDescent="0.25">
      <c r="A1124" s="33" t="s">
        <v>262</v>
      </c>
      <c r="B1124" s="34" t="str">
        <f>HYPERLINK("http://www.twitter.com/LRC_WiltsColl", "LRC_WiltsColl")</f>
        <v>LRC_WiltsColl</v>
      </c>
      <c r="C1124" s="33" t="s">
        <v>2040</v>
      </c>
      <c r="D1124" s="33" t="s">
        <v>2041</v>
      </c>
      <c r="E1124" s="32" t="s">
        <v>3567</v>
      </c>
      <c r="F1124" s="35">
        <v>1525</v>
      </c>
      <c r="G1124" s="35">
        <v>471</v>
      </c>
      <c r="H1124" s="35">
        <v>1305</v>
      </c>
      <c r="I1124" s="35">
        <v>1243</v>
      </c>
      <c r="J1124" s="36">
        <v>42138</v>
      </c>
      <c r="K1124" s="37">
        <v>0.59924768518518523</v>
      </c>
      <c r="L1124" s="36">
        <v>42937</v>
      </c>
      <c r="M1124" s="38">
        <v>0.3982175925925926</v>
      </c>
    </row>
    <row r="1125" spans="1:13" ht="30" x14ac:dyDescent="0.25">
      <c r="A1125" s="33" t="s">
        <v>262</v>
      </c>
      <c r="B1125" s="34" t="str">
        <f>HYPERLINK("http://www.twitter.com/GSA_Library", "GSA_Library")</f>
        <v>GSA_Library</v>
      </c>
      <c r="C1125" s="33" t="s">
        <v>2245</v>
      </c>
      <c r="D1125" s="33" t="s">
        <v>526</v>
      </c>
      <c r="E1125" s="32" t="s">
        <v>2246</v>
      </c>
      <c r="F1125" s="35">
        <v>332</v>
      </c>
      <c r="G1125" s="35">
        <v>318</v>
      </c>
      <c r="H1125" s="35">
        <v>1293</v>
      </c>
      <c r="I1125" s="35">
        <v>267</v>
      </c>
      <c r="J1125" s="36">
        <v>40736</v>
      </c>
      <c r="K1125" s="37">
        <v>0.55862268518518521</v>
      </c>
      <c r="L1125" s="36">
        <v>42867</v>
      </c>
      <c r="M1125" s="38">
        <v>0.52261574074074069</v>
      </c>
    </row>
    <row r="1126" spans="1:13" ht="30" x14ac:dyDescent="0.25">
      <c r="A1126" s="33" t="s">
        <v>262</v>
      </c>
      <c r="B1126" s="34" t="str">
        <f>HYPERLINK("http://www.twitter.com/BSSchoolLibrary", "BSSchoolLibrary")</f>
        <v>BSSchoolLibrary</v>
      </c>
      <c r="C1126" s="33" t="s">
        <v>2415</v>
      </c>
      <c r="D1126" s="33" t="s">
        <v>2416</v>
      </c>
      <c r="E1126" s="32" t="s">
        <v>2417</v>
      </c>
      <c r="F1126" s="35">
        <v>726</v>
      </c>
      <c r="G1126" s="35">
        <v>258</v>
      </c>
      <c r="H1126" s="35">
        <v>1261</v>
      </c>
      <c r="I1126" s="35">
        <v>2273</v>
      </c>
      <c r="J1126" s="36">
        <v>42025</v>
      </c>
      <c r="K1126" s="37">
        <v>0.41998842592592589</v>
      </c>
      <c r="L1126" s="36">
        <v>42844</v>
      </c>
      <c r="M1126" s="38">
        <v>0.33298611111111115</v>
      </c>
    </row>
    <row r="1127" spans="1:13" ht="45" x14ac:dyDescent="0.25">
      <c r="A1127" s="33" t="s">
        <v>262</v>
      </c>
      <c r="B1127" s="34" t="str">
        <f>HYPERLINK("http://www.twitter.com/NDS_LIBRARY", "NDS_LIBRARY")</f>
        <v>NDS_LIBRARY</v>
      </c>
      <c r="C1127" s="33" t="s">
        <v>2291</v>
      </c>
      <c r="D1127" s="33" t="s">
        <v>2292</v>
      </c>
      <c r="E1127" s="32" t="s">
        <v>2293</v>
      </c>
      <c r="F1127" s="35">
        <v>248</v>
      </c>
      <c r="G1127" s="35">
        <v>292</v>
      </c>
      <c r="H1127" s="35">
        <v>1241</v>
      </c>
      <c r="I1127" s="35">
        <v>150</v>
      </c>
      <c r="J1127" s="36">
        <v>41026</v>
      </c>
      <c r="K1127" s="37">
        <v>0.94092592592592583</v>
      </c>
      <c r="L1127" s="36">
        <v>42937</v>
      </c>
      <c r="M1127" s="38">
        <v>0.47646990740740741</v>
      </c>
    </row>
    <row r="1128" spans="1:13" x14ac:dyDescent="0.25">
      <c r="A1128" s="33" t="s">
        <v>262</v>
      </c>
      <c r="B1128" s="34" t="str">
        <f>HYPERLINK("http://www.twitter.com/whhslibrary", "whhslibrary")</f>
        <v>whhslibrary</v>
      </c>
      <c r="C1128" s="33" t="s">
        <v>2433</v>
      </c>
      <c r="D1128" s="33" t="s">
        <v>2434</v>
      </c>
      <c r="E1128" s="32" t="s">
        <v>2435</v>
      </c>
      <c r="F1128" s="35">
        <v>953</v>
      </c>
      <c r="G1128" s="35">
        <v>271</v>
      </c>
      <c r="H1128" s="35">
        <v>1238</v>
      </c>
      <c r="I1128" s="35">
        <v>56</v>
      </c>
      <c r="J1128" s="36">
        <v>40267</v>
      </c>
      <c r="K1128" s="37">
        <v>0.65740740740740744</v>
      </c>
      <c r="L1128" s="36">
        <v>42938</v>
      </c>
      <c r="M1128" s="38">
        <v>0.66748842592592583</v>
      </c>
    </row>
    <row r="1129" spans="1:13" ht="30" x14ac:dyDescent="0.25">
      <c r="A1129" s="33" t="s">
        <v>262</v>
      </c>
      <c r="B1129" s="34" t="str">
        <f>HYPERLINK("http://www.twitter.com/KHCALibrary", "KHCALibrary")</f>
        <v>KHCALibrary</v>
      </c>
      <c r="C1129" s="33" t="s">
        <v>1884</v>
      </c>
      <c r="D1129" s="33" t="s">
        <v>1885</v>
      </c>
      <c r="E1129" s="32" t="s">
        <v>1886</v>
      </c>
      <c r="F1129" s="35">
        <v>387</v>
      </c>
      <c r="G1129" s="35">
        <v>472</v>
      </c>
      <c r="H1129" s="35">
        <v>1220</v>
      </c>
      <c r="I1129" s="35">
        <v>3052</v>
      </c>
      <c r="J1129" s="36">
        <v>41810</v>
      </c>
      <c r="K1129" s="37">
        <v>0.43657407407407406</v>
      </c>
      <c r="L1129" s="36">
        <v>42937</v>
      </c>
      <c r="M1129" s="38">
        <v>0.70406250000000004</v>
      </c>
    </row>
    <row r="1130" spans="1:13" ht="45" x14ac:dyDescent="0.25">
      <c r="A1130" s="33" t="s">
        <v>262</v>
      </c>
      <c r="B1130" s="34" t="str">
        <f>HYPERLINK("http://www.twitter.com/PortsmouthSLS", "PortsmouthSLS")</f>
        <v>PortsmouthSLS</v>
      </c>
      <c r="C1130" s="33" t="s">
        <v>1541</v>
      </c>
      <c r="D1130" s="33" t="s">
        <v>1542</v>
      </c>
      <c r="E1130" s="32" t="s">
        <v>1543</v>
      </c>
      <c r="F1130" s="35">
        <v>111</v>
      </c>
      <c r="G1130" s="35">
        <v>728</v>
      </c>
      <c r="H1130" s="35">
        <v>1211</v>
      </c>
      <c r="I1130" s="35">
        <v>476</v>
      </c>
      <c r="J1130" s="36">
        <v>41172</v>
      </c>
      <c r="K1130" s="37">
        <v>0.65920138888888891</v>
      </c>
      <c r="L1130" s="36">
        <v>42916</v>
      </c>
      <c r="M1130" s="38">
        <v>0.57483796296296297</v>
      </c>
    </row>
    <row r="1131" spans="1:13" ht="30" x14ac:dyDescent="0.25">
      <c r="A1131" s="33" t="s">
        <v>262</v>
      </c>
      <c r="B1131" s="34" t="str">
        <f>HYPERLINK("http://www.twitter.com/Hillcroftlrc", "Hillcroftlrc")</f>
        <v>Hillcroftlrc</v>
      </c>
      <c r="C1131" s="33" t="s">
        <v>2832</v>
      </c>
      <c r="D1131" s="33" t="s">
        <v>1377</v>
      </c>
      <c r="E1131" s="32" t="s">
        <v>2833</v>
      </c>
      <c r="F1131" s="35">
        <v>350</v>
      </c>
      <c r="G1131" s="35">
        <v>175</v>
      </c>
      <c r="H1131" s="35">
        <v>1209</v>
      </c>
      <c r="I1131" s="35">
        <v>2392</v>
      </c>
      <c r="J1131" s="36">
        <v>41212</v>
      </c>
      <c r="K1131" s="37">
        <v>0.69861111111111107</v>
      </c>
      <c r="L1131" s="36">
        <v>42937</v>
      </c>
      <c r="M1131" s="38">
        <v>0.60567129629629635</v>
      </c>
    </row>
    <row r="1132" spans="1:13" ht="30" x14ac:dyDescent="0.25">
      <c r="A1132" s="33" t="s">
        <v>262</v>
      </c>
      <c r="B1132" s="34" t="str">
        <f>HYPERLINK("http://www.twitter.com/CaldewLibrary", "CaldewLibrary")</f>
        <v>CaldewLibrary</v>
      </c>
      <c r="C1132" s="33" t="s">
        <v>1898</v>
      </c>
      <c r="D1132" s="33" t="s">
        <v>1899</v>
      </c>
      <c r="E1132" s="32" t="s">
        <v>1900</v>
      </c>
      <c r="F1132" s="35">
        <v>856</v>
      </c>
      <c r="G1132" s="35">
        <v>469</v>
      </c>
      <c r="H1132" s="35">
        <v>1206</v>
      </c>
      <c r="I1132" s="35">
        <v>1637</v>
      </c>
      <c r="J1132" s="36">
        <v>41569</v>
      </c>
      <c r="K1132" s="37">
        <v>0.62353009259259262</v>
      </c>
      <c r="L1132" s="36">
        <v>42935</v>
      </c>
      <c r="M1132" s="38">
        <v>0.31387731481481479</v>
      </c>
    </row>
    <row r="1133" spans="1:13" ht="30" x14ac:dyDescent="0.25">
      <c r="A1133" s="33" t="s">
        <v>262</v>
      </c>
      <c r="B1133" s="34" t="str">
        <f>HYPERLINK("http://www.twitter.com/DC_Library", "DC_Library")</f>
        <v>DC_Library</v>
      </c>
      <c r="C1133" s="33" t="s">
        <v>3579</v>
      </c>
      <c r="E1133" s="32" t="s">
        <v>3580</v>
      </c>
      <c r="F1133" s="35">
        <v>343</v>
      </c>
      <c r="G1133" s="35">
        <v>193</v>
      </c>
      <c r="H1133" s="35">
        <v>1198</v>
      </c>
      <c r="I1133" s="35">
        <v>268</v>
      </c>
      <c r="J1133" s="36">
        <v>41450</v>
      </c>
      <c r="K1133" s="37">
        <v>0.55334490740740738</v>
      </c>
      <c r="L1133" s="36">
        <v>42902</v>
      </c>
      <c r="M1133" s="38">
        <v>0.58361111111111108</v>
      </c>
    </row>
    <row r="1134" spans="1:13" x14ac:dyDescent="0.25">
      <c r="A1134" s="33" t="s">
        <v>262</v>
      </c>
      <c r="B1134" s="34" t="str">
        <f>HYPERLINK("http://www.twitter.com/KNOWOSFC", "KNOWOSFC")</f>
        <v>KNOWOSFC</v>
      </c>
      <c r="C1134" s="33" t="s">
        <v>2282</v>
      </c>
      <c r="D1134" s="33" t="s">
        <v>2283</v>
      </c>
      <c r="E1134" s="32" t="s">
        <v>2284</v>
      </c>
      <c r="F1134" s="35">
        <v>314</v>
      </c>
      <c r="G1134" s="35">
        <v>304</v>
      </c>
      <c r="H1134" s="35">
        <v>1197</v>
      </c>
      <c r="I1134" s="35">
        <v>148</v>
      </c>
      <c r="J1134" s="36">
        <v>40057</v>
      </c>
      <c r="K1134" s="37">
        <v>0.7289930555555556</v>
      </c>
      <c r="L1134" s="36">
        <v>42926</v>
      </c>
      <c r="M1134" s="38">
        <v>0.45199074074074069</v>
      </c>
    </row>
    <row r="1135" spans="1:13" ht="30" x14ac:dyDescent="0.25">
      <c r="A1135" s="33" t="s">
        <v>262</v>
      </c>
      <c r="B1135" s="34" t="str">
        <f>HYPERLINK("http://www.twitter.com/Library_WHS", "Library_WHS")</f>
        <v>Library_WHS</v>
      </c>
      <c r="C1135" s="33" t="s">
        <v>2428</v>
      </c>
      <c r="D1135" s="33" t="s">
        <v>2429</v>
      </c>
      <c r="E1135" s="32" t="s">
        <v>2430</v>
      </c>
      <c r="F1135" s="35">
        <v>218</v>
      </c>
      <c r="G1135" s="35">
        <v>265</v>
      </c>
      <c r="H1135" s="35">
        <v>1178</v>
      </c>
      <c r="I1135" s="35">
        <v>59</v>
      </c>
      <c r="J1135" s="36">
        <v>41907</v>
      </c>
      <c r="K1135" s="37">
        <v>0.3982060185185185</v>
      </c>
      <c r="L1135" s="36">
        <v>42940</v>
      </c>
      <c r="M1135" s="38">
        <v>0.33689814814814811</v>
      </c>
    </row>
    <row r="1136" spans="1:13" ht="30" x14ac:dyDescent="0.25">
      <c r="A1136" s="33" t="s">
        <v>262</v>
      </c>
      <c r="B1136" s="34" t="str">
        <f>HYPERLINK("http://www.twitter.com/NPTCLibraries", "NPTCLibraries")</f>
        <v>NPTCLibraries</v>
      </c>
      <c r="C1136" s="33" t="s">
        <v>2528</v>
      </c>
      <c r="E1136" s="32" t="s">
        <v>2529</v>
      </c>
      <c r="F1136" s="35">
        <v>194</v>
      </c>
      <c r="G1136" s="35">
        <v>233</v>
      </c>
      <c r="H1136" s="35">
        <v>1170</v>
      </c>
      <c r="I1136" s="35">
        <v>57</v>
      </c>
      <c r="J1136" s="36">
        <v>41044</v>
      </c>
      <c r="K1136" s="37">
        <v>0.34748842592592594</v>
      </c>
      <c r="L1136" s="36">
        <v>42914</v>
      </c>
      <c r="M1136" s="38">
        <v>0.46278935185185183</v>
      </c>
    </row>
    <row r="1137" spans="1:13" ht="45" x14ac:dyDescent="0.25">
      <c r="A1137" s="33" t="s">
        <v>262</v>
      </c>
      <c r="B1137" s="34" t="str">
        <f>HYPERLINK("http://www.twitter.com/framlibrary", "framlibrary")</f>
        <v>framlibrary</v>
      </c>
      <c r="C1137" s="33" t="s">
        <v>2470</v>
      </c>
      <c r="D1137" s="33" t="s">
        <v>2471</v>
      </c>
      <c r="E1137" s="32" t="s">
        <v>2472</v>
      </c>
      <c r="F1137" s="35">
        <v>311</v>
      </c>
      <c r="G1137" s="35">
        <v>263</v>
      </c>
      <c r="H1137" s="35">
        <v>1163</v>
      </c>
      <c r="I1137" s="35">
        <v>1137</v>
      </c>
      <c r="J1137" s="36">
        <v>41612</v>
      </c>
      <c r="K1137" s="37">
        <v>0.65981481481481474</v>
      </c>
      <c r="L1137" s="36">
        <v>42939</v>
      </c>
      <c r="M1137" s="38">
        <v>0.49230324074074078</v>
      </c>
    </row>
    <row r="1138" spans="1:13" x14ac:dyDescent="0.25">
      <c r="A1138" s="33" t="s">
        <v>262</v>
      </c>
      <c r="B1138" s="34" t="str">
        <f>HYPERLINK("http://www.twitter.com/StrathLib", "StrathLib")</f>
        <v>StrathLib</v>
      </c>
      <c r="C1138" s="33" t="s">
        <v>2136</v>
      </c>
      <c r="D1138" s="33" t="s">
        <v>2137</v>
      </c>
      <c r="E1138" s="32" t="s">
        <v>2138</v>
      </c>
      <c r="F1138" s="35">
        <v>288</v>
      </c>
      <c r="G1138" s="35">
        <v>359</v>
      </c>
      <c r="H1138" s="35">
        <v>1155</v>
      </c>
      <c r="I1138" s="35">
        <v>1442</v>
      </c>
      <c r="J1138" s="36">
        <v>41604</v>
      </c>
      <c r="K1138" s="37">
        <v>0.43559027777777781</v>
      </c>
      <c r="L1138" s="36">
        <v>42937</v>
      </c>
      <c r="M1138" s="38">
        <v>0.62920138888888888</v>
      </c>
    </row>
    <row r="1139" spans="1:13" ht="45" x14ac:dyDescent="0.25">
      <c r="A1139" s="33" t="s">
        <v>262</v>
      </c>
      <c r="B1139" s="34" t="str">
        <f>HYPERLINK("http://www.twitter.com/RyeLibrarian", "RyeLibrarian")</f>
        <v>RyeLibrarian</v>
      </c>
      <c r="C1139" s="33" t="s">
        <v>2229</v>
      </c>
      <c r="D1139" s="33" t="s">
        <v>1189</v>
      </c>
      <c r="E1139" s="32" t="s">
        <v>3591</v>
      </c>
      <c r="F1139" s="35">
        <v>490</v>
      </c>
      <c r="G1139" s="35">
        <v>324</v>
      </c>
      <c r="H1139" s="35">
        <v>1128</v>
      </c>
      <c r="I1139" s="35">
        <v>565</v>
      </c>
      <c r="J1139" s="36">
        <v>40990</v>
      </c>
      <c r="K1139" s="37">
        <v>0.36527777777777781</v>
      </c>
      <c r="L1139" s="36">
        <v>42921</v>
      </c>
      <c r="M1139" s="38">
        <v>0.59010416666666665</v>
      </c>
    </row>
    <row r="1140" spans="1:13" ht="30" x14ac:dyDescent="0.25">
      <c r="A1140" s="33" t="s">
        <v>262</v>
      </c>
      <c r="B1140" s="34" t="str">
        <f>HYPERLINK("http://www.twitter.com/bbcollegelib", "bbcollegelib")</f>
        <v>bbcollegelib</v>
      </c>
      <c r="C1140" s="33" t="s">
        <v>2355</v>
      </c>
      <c r="D1140" s="33" t="s">
        <v>2356</v>
      </c>
      <c r="E1140" s="32" t="s">
        <v>2357</v>
      </c>
      <c r="F1140" s="35">
        <v>172</v>
      </c>
      <c r="G1140" s="35">
        <v>278</v>
      </c>
      <c r="H1140" s="35">
        <v>1119</v>
      </c>
      <c r="I1140" s="35">
        <v>56</v>
      </c>
      <c r="J1140" s="36">
        <v>40453</v>
      </c>
      <c r="K1140" s="37">
        <v>0.56194444444444447</v>
      </c>
      <c r="L1140" s="36">
        <v>42927</v>
      </c>
      <c r="M1140" s="38">
        <v>0.42055555555555557</v>
      </c>
    </row>
    <row r="1141" spans="1:13" ht="30" x14ac:dyDescent="0.25">
      <c r="A1141" s="33" t="s">
        <v>262</v>
      </c>
      <c r="B1141" s="34" t="str">
        <f>HYPERLINK("http://www.twitter.com/WCHSLib", "WCHSLib")</f>
        <v>WCHSLib</v>
      </c>
      <c r="C1141" s="33" t="s">
        <v>2784</v>
      </c>
      <c r="D1141" s="33" t="s">
        <v>2785</v>
      </c>
      <c r="E1141" s="32" t="s">
        <v>2786</v>
      </c>
      <c r="F1141" s="35">
        <v>227</v>
      </c>
      <c r="G1141" s="35">
        <v>189</v>
      </c>
      <c r="H1141" s="35">
        <v>1112</v>
      </c>
      <c r="I1141" s="35">
        <v>89</v>
      </c>
      <c r="J1141" s="36">
        <v>40983</v>
      </c>
      <c r="K1141" s="37">
        <v>0.54663194444444441</v>
      </c>
      <c r="L1141" s="36">
        <v>42922</v>
      </c>
      <c r="M1141" s="38">
        <v>0.41696759259259258</v>
      </c>
    </row>
    <row r="1142" spans="1:13" ht="45" x14ac:dyDescent="0.25">
      <c r="A1142" s="33" t="s">
        <v>262</v>
      </c>
      <c r="B1142" s="34" t="str">
        <f>HYPERLINK("http://www.twitter.com/PRSLibrary", "PRSLibrary")</f>
        <v>PRSLibrary</v>
      </c>
      <c r="C1142" s="33" t="s">
        <v>2082</v>
      </c>
      <c r="D1142" s="33" t="s">
        <v>2083</v>
      </c>
      <c r="E1142" s="32" t="s">
        <v>2084</v>
      </c>
      <c r="F1142" s="35">
        <v>250</v>
      </c>
      <c r="G1142" s="35">
        <v>376</v>
      </c>
      <c r="H1142" s="35">
        <v>1112</v>
      </c>
      <c r="I1142" s="35">
        <v>478</v>
      </c>
      <c r="J1142" s="36">
        <v>41431</v>
      </c>
      <c r="K1142" s="37">
        <v>0.37344907407407407</v>
      </c>
      <c r="L1142" s="36">
        <v>42935</v>
      </c>
      <c r="M1142" s="38">
        <v>0.36004629629629631</v>
      </c>
    </row>
    <row r="1143" spans="1:13" ht="30" x14ac:dyDescent="0.25">
      <c r="A1143" s="33" t="s">
        <v>262</v>
      </c>
      <c r="B1143" s="34" t="str">
        <f>HYPERLINK("http://www.twitter.com/TreshamLRC", "TreshamLRC")</f>
        <v>TreshamLRC</v>
      </c>
      <c r="C1143" s="33" t="s">
        <v>2398</v>
      </c>
      <c r="D1143" s="33" t="s">
        <v>2399</v>
      </c>
      <c r="E1143" s="32" t="s">
        <v>2400</v>
      </c>
      <c r="F1143" s="35">
        <v>430</v>
      </c>
      <c r="G1143" s="35">
        <v>270</v>
      </c>
      <c r="H1143" s="35">
        <v>1111</v>
      </c>
      <c r="I1143" s="35">
        <v>52</v>
      </c>
      <c r="J1143" s="36">
        <v>41341</v>
      </c>
      <c r="K1143" s="37">
        <v>0.46703703703703708</v>
      </c>
      <c r="L1143" s="36">
        <v>42916</v>
      </c>
      <c r="M1143" s="38">
        <v>0.32983796296296297</v>
      </c>
    </row>
    <row r="1144" spans="1:13" ht="45" x14ac:dyDescent="0.25">
      <c r="A1144" s="33" t="s">
        <v>262</v>
      </c>
      <c r="B1144" s="34" t="str">
        <f>HYPERLINK("http://www.twitter.com/LRCExeColl", "LRCExeColl")</f>
        <v>LRCExeColl</v>
      </c>
      <c r="C1144" s="33" t="s">
        <v>1715</v>
      </c>
      <c r="D1144" s="33" t="s">
        <v>1716</v>
      </c>
      <c r="E1144" s="32" t="s">
        <v>1717</v>
      </c>
      <c r="F1144" s="35">
        <v>572</v>
      </c>
      <c r="G1144" s="35">
        <v>570</v>
      </c>
      <c r="H1144" s="35">
        <v>1109</v>
      </c>
      <c r="I1144" s="35">
        <v>414</v>
      </c>
      <c r="J1144" s="36">
        <v>40045</v>
      </c>
      <c r="K1144" s="37">
        <v>0.6524537037037037</v>
      </c>
      <c r="L1144" s="36">
        <v>42937</v>
      </c>
      <c r="M1144" s="38">
        <v>0.49312500000000004</v>
      </c>
    </row>
    <row r="1145" spans="1:13" ht="45" x14ac:dyDescent="0.25">
      <c r="A1145" s="33" t="s">
        <v>262</v>
      </c>
      <c r="B1145" s="34" t="str">
        <f>HYPERLINK("http://www.twitter.com/ElthamCollLib", "ElthamCollLib")</f>
        <v>ElthamCollLib</v>
      </c>
      <c r="C1145" s="33" t="s">
        <v>2061</v>
      </c>
      <c r="D1145" s="33" t="s">
        <v>36</v>
      </c>
      <c r="E1145" s="32" t="s">
        <v>2062</v>
      </c>
      <c r="F1145" s="35">
        <v>408</v>
      </c>
      <c r="G1145" s="35">
        <v>390</v>
      </c>
      <c r="H1145" s="35">
        <v>1100</v>
      </c>
      <c r="I1145" s="35">
        <v>100</v>
      </c>
      <c r="J1145" s="36">
        <v>41199</v>
      </c>
      <c r="K1145" s="37">
        <v>0.58288194444444441</v>
      </c>
      <c r="L1145" s="36">
        <v>42935</v>
      </c>
      <c r="M1145" s="38">
        <v>0.5163888888888889</v>
      </c>
    </row>
    <row r="1146" spans="1:13" ht="45" x14ac:dyDescent="0.25">
      <c r="A1146" s="33" t="s">
        <v>262</v>
      </c>
      <c r="B1146" s="34" t="str">
        <f>HYPERLINK("http://www.twitter.com/CCLRCS", "CCLRCS")</f>
        <v>CCLRCS</v>
      </c>
      <c r="C1146" s="33" t="s">
        <v>1957</v>
      </c>
      <c r="D1146" s="33" t="s">
        <v>1958</v>
      </c>
      <c r="E1146" s="32" t="s">
        <v>1959</v>
      </c>
      <c r="F1146" s="35">
        <v>1787</v>
      </c>
      <c r="G1146" s="35">
        <v>450</v>
      </c>
      <c r="H1146" s="35">
        <v>1071</v>
      </c>
      <c r="I1146" s="35">
        <v>162</v>
      </c>
      <c r="J1146" s="36">
        <v>41662</v>
      </c>
      <c r="K1146" s="37">
        <v>0.58937499999999998</v>
      </c>
      <c r="L1146" s="36">
        <v>42936</v>
      </c>
      <c r="M1146" s="38">
        <v>0.64766203703703706</v>
      </c>
    </row>
    <row r="1147" spans="1:13" ht="30" x14ac:dyDescent="0.25">
      <c r="A1147" s="33" t="s">
        <v>262</v>
      </c>
      <c r="B1147" s="34" t="str">
        <f>HYPERLINK("http://www.twitter.com/MaryErskine_lib", "MaryErskine_lib")</f>
        <v>MaryErskine_lib</v>
      </c>
      <c r="C1147" s="33" t="s">
        <v>3017</v>
      </c>
      <c r="D1147" s="33" t="s">
        <v>24</v>
      </c>
      <c r="E1147" s="32" t="s">
        <v>3018</v>
      </c>
      <c r="F1147" s="35">
        <v>180</v>
      </c>
      <c r="G1147" s="35">
        <v>136</v>
      </c>
      <c r="H1147" s="35">
        <v>1045</v>
      </c>
      <c r="I1147" s="35">
        <v>0</v>
      </c>
      <c r="J1147" s="36">
        <v>40807</v>
      </c>
      <c r="K1147" s="37">
        <v>0.3182638888888889</v>
      </c>
      <c r="L1147" s="36">
        <v>42871</v>
      </c>
      <c r="M1147" s="38">
        <v>0.43236111111111114</v>
      </c>
    </row>
    <row r="1148" spans="1:13" x14ac:dyDescent="0.25">
      <c r="A1148" s="33" t="s">
        <v>262</v>
      </c>
      <c r="B1148" s="34" t="str">
        <f>HYPERLINK("http://www.twitter.com/HGSLibrary", "HGSLibrary")</f>
        <v>HGSLibrary</v>
      </c>
      <c r="C1148" s="33" t="s">
        <v>2451</v>
      </c>
      <c r="D1148" s="33" t="s">
        <v>74</v>
      </c>
      <c r="E1148" s="32" t="s">
        <v>2452</v>
      </c>
      <c r="F1148" s="35">
        <v>317</v>
      </c>
      <c r="G1148" s="35">
        <v>257</v>
      </c>
      <c r="H1148" s="35">
        <v>1026</v>
      </c>
      <c r="I1148" s="35">
        <v>99</v>
      </c>
      <c r="J1148" s="36">
        <v>39931</v>
      </c>
      <c r="K1148" s="37">
        <v>0.39379629629629626</v>
      </c>
      <c r="L1148" s="36">
        <v>42908</v>
      </c>
      <c r="M1148" s="38">
        <v>0.59633101851851855</v>
      </c>
    </row>
    <row r="1149" spans="1:13" ht="45" x14ac:dyDescent="0.25">
      <c r="A1149" s="33" t="s">
        <v>262</v>
      </c>
      <c r="B1149" s="34" t="str">
        <f>HYPERLINK("http://www.twitter.com/CrossleyLRC", "CrossleyLRC")</f>
        <v>CrossleyLRC</v>
      </c>
      <c r="C1149" s="33" t="s">
        <v>3576</v>
      </c>
      <c r="D1149" s="33" t="s">
        <v>2306</v>
      </c>
      <c r="E1149" s="32" t="s">
        <v>3577</v>
      </c>
      <c r="F1149" s="35">
        <v>112</v>
      </c>
      <c r="G1149" s="35">
        <v>224</v>
      </c>
      <c r="H1149" s="35">
        <v>1022</v>
      </c>
      <c r="I1149" s="35">
        <v>452</v>
      </c>
      <c r="J1149" s="36">
        <v>41661</v>
      </c>
      <c r="K1149" s="37">
        <v>0.45582175925925927</v>
      </c>
      <c r="L1149" s="36">
        <v>42935</v>
      </c>
      <c r="M1149" s="38">
        <v>0.36960648148148145</v>
      </c>
    </row>
    <row r="1150" spans="1:13" ht="30" x14ac:dyDescent="0.25">
      <c r="A1150" s="33" t="s">
        <v>262</v>
      </c>
      <c r="B1150" s="34" t="str">
        <f>HYPERLINK("http://www.twitter.com/VarndeanBooks", "VarndeanBooks")</f>
        <v>VarndeanBooks</v>
      </c>
      <c r="C1150" s="33" t="s">
        <v>2101</v>
      </c>
      <c r="D1150" s="33" t="s">
        <v>2102</v>
      </c>
      <c r="E1150" s="32" t="s">
        <v>2103</v>
      </c>
      <c r="F1150" s="35">
        <v>1124</v>
      </c>
      <c r="G1150" s="35">
        <v>398</v>
      </c>
      <c r="H1150" s="35">
        <v>996</v>
      </c>
      <c r="I1150" s="35">
        <v>579</v>
      </c>
      <c r="J1150" s="36">
        <v>41584</v>
      </c>
      <c r="K1150" s="37">
        <v>0.63380787037037034</v>
      </c>
      <c r="L1150" s="36">
        <v>42940</v>
      </c>
      <c r="M1150" s="38">
        <v>0.47616898148148151</v>
      </c>
    </row>
    <row r="1151" spans="1:13" x14ac:dyDescent="0.25">
      <c r="A1151" s="33" t="s">
        <v>262</v>
      </c>
      <c r="B1151" s="34" t="str">
        <f>HYPERLINK("http://www.twitter.com/jps_library", "jps_library")</f>
        <v>jps_library</v>
      </c>
      <c r="C1151" s="33" t="s">
        <v>1914</v>
      </c>
      <c r="D1151" s="33" t="s">
        <v>1915</v>
      </c>
      <c r="E1151" s="32" t="s">
        <v>1916</v>
      </c>
      <c r="F1151" s="35">
        <v>330</v>
      </c>
      <c r="G1151" s="35">
        <v>446</v>
      </c>
      <c r="H1151" s="35">
        <v>977</v>
      </c>
      <c r="I1151" s="35">
        <v>3</v>
      </c>
      <c r="J1151" s="36">
        <v>41158</v>
      </c>
      <c r="K1151" s="37">
        <v>0.45943287037037034</v>
      </c>
      <c r="L1151" s="36">
        <v>42937</v>
      </c>
      <c r="M1151" s="38">
        <v>0.64195601851851858</v>
      </c>
    </row>
    <row r="1152" spans="1:13" x14ac:dyDescent="0.25">
      <c r="A1152" s="33" t="s">
        <v>262</v>
      </c>
      <c r="B1152" s="34" t="str">
        <f>HYPERLINK("http://www.twitter.com/KSWLibrary", "KSWLibrary")</f>
        <v>KSWLibrary</v>
      </c>
      <c r="C1152" s="33" t="s">
        <v>2139</v>
      </c>
      <c r="E1152" s="32" t="s">
        <v>2140</v>
      </c>
      <c r="F1152" s="35">
        <v>160</v>
      </c>
      <c r="G1152" s="35">
        <v>357</v>
      </c>
      <c r="H1152" s="35">
        <v>976</v>
      </c>
      <c r="I1152" s="35">
        <v>71</v>
      </c>
      <c r="J1152" s="36">
        <v>41656</v>
      </c>
      <c r="K1152" s="37">
        <v>0.63923611111111112</v>
      </c>
      <c r="L1152" s="36">
        <v>42915</v>
      </c>
      <c r="M1152" s="38">
        <v>0.42975694444444446</v>
      </c>
    </row>
    <row r="1153" spans="1:13" x14ac:dyDescent="0.25">
      <c r="A1153" s="33" t="s">
        <v>262</v>
      </c>
      <c r="B1153" s="34" t="str">
        <f>HYPERLINK("http://www.twitter.com/SGSCollegeLRC", "SGSCollegeLRC")</f>
        <v>SGSCollegeLRC</v>
      </c>
      <c r="C1153" s="33" t="s">
        <v>2644</v>
      </c>
      <c r="D1153" s="33" t="s">
        <v>2645</v>
      </c>
      <c r="E1153" s="32" t="s">
        <v>2646</v>
      </c>
      <c r="F1153" s="35">
        <v>520</v>
      </c>
      <c r="G1153" s="35">
        <v>214</v>
      </c>
      <c r="H1153" s="35">
        <v>931</v>
      </c>
      <c r="I1153" s="35">
        <v>68</v>
      </c>
      <c r="J1153" s="36">
        <v>40871</v>
      </c>
      <c r="K1153" s="37">
        <v>0.66094907407407411</v>
      </c>
      <c r="L1153" s="36">
        <v>42927</v>
      </c>
      <c r="M1153" s="38">
        <v>0.34554398148148152</v>
      </c>
    </row>
    <row r="1154" spans="1:13" ht="30" x14ac:dyDescent="0.25">
      <c r="A1154" s="33" t="s">
        <v>262</v>
      </c>
      <c r="B1154" s="34" t="str">
        <f>HYPERLINK("http://www.twitter.com/LuckleyLibrary", "LuckleyLibrary")</f>
        <v>LuckleyLibrary</v>
      </c>
      <c r="C1154" s="33" t="s">
        <v>2187</v>
      </c>
      <c r="D1154" s="33" t="s">
        <v>970</v>
      </c>
      <c r="E1154" s="32" t="s">
        <v>2188</v>
      </c>
      <c r="F1154" s="35">
        <v>363</v>
      </c>
      <c r="G1154" s="35">
        <v>347</v>
      </c>
      <c r="H1154" s="35">
        <v>927</v>
      </c>
      <c r="I1154" s="35">
        <v>227</v>
      </c>
      <c r="J1154" s="36">
        <v>41592</v>
      </c>
      <c r="K1154" s="37">
        <v>0.39601851851851855</v>
      </c>
      <c r="L1154" s="36">
        <v>42935</v>
      </c>
      <c r="M1154" s="38">
        <v>0.32935185185185184</v>
      </c>
    </row>
    <row r="1155" spans="1:13" ht="45" x14ac:dyDescent="0.25">
      <c r="A1155" s="33" t="s">
        <v>262</v>
      </c>
      <c r="B1155" s="34" t="str">
        <f>HYPERLINK("http://www.twitter.com/NorthlandColLCs", "NorthlandColLCs")</f>
        <v>NorthlandColLCs</v>
      </c>
      <c r="C1155" s="33" t="s">
        <v>3590</v>
      </c>
      <c r="D1155" s="33" t="s">
        <v>2890</v>
      </c>
      <c r="E1155" s="32" t="s">
        <v>2891</v>
      </c>
      <c r="F1155" s="35">
        <v>186</v>
      </c>
      <c r="G1155" s="35">
        <v>160</v>
      </c>
      <c r="H1155" s="35">
        <v>925</v>
      </c>
      <c r="I1155" s="35">
        <v>16</v>
      </c>
      <c r="J1155" s="36">
        <v>40995</v>
      </c>
      <c r="K1155" s="37">
        <v>0.53537037037037039</v>
      </c>
      <c r="L1155" s="36">
        <v>42920</v>
      </c>
      <c r="M1155" s="38">
        <v>0.45583333333333331</v>
      </c>
    </row>
    <row r="1156" spans="1:13" ht="75" x14ac:dyDescent="0.25">
      <c r="A1156" s="33" t="s">
        <v>262</v>
      </c>
      <c r="B1156" s="34" t="str">
        <f>HYPERLINK("http://www.twitter.com/stdavidslrc", "stdavidslrc")</f>
        <v>stdavidslrc</v>
      </c>
      <c r="C1156" s="33" t="s">
        <v>2912</v>
      </c>
      <c r="D1156" s="33" t="s">
        <v>2913</v>
      </c>
      <c r="E1156" s="32" t="s">
        <v>2914</v>
      </c>
      <c r="F1156" s="35">
        <v>261</v>
      </c>
      <c r="G1156" s="35">
        <v>154</v>
      </c>
      <c r="H1156" s="35">
        <v>924</v>
      </c>
      <c r="I1156" s="35">
        <v>6</v>
      </c>
      <c r="J1156" s="36">
        <v>40812</v>
      </c>
      <c r="K1156" s="37">
        <v>0.68405092592592587</v>
      </c>
      <c r="L1156" s="36">
        <v>42919</v>
      </c>
      <c r="M1156" s="38">
        <v>0.4166435185185185</v>
      </c>
    </row>
    <row r="1157" spans="1:13" ht="45" x14ac:dyDescent="0.25">
      <c r="A1157" s="33" t="s">
        <v>262</v>
      </c>
      <c r="B1157" s="34" t="str">
        <f>HYPERLINK("http://www.twitter.com/CampdenLibrary", "CampdenLibrary")</f>
        <v>CampdenLibrary</v>
      </c>
      <c r="C1157" s="33" t="s">
        <v>2149</v>
      </c>
      <c r="D1157" s="33" t="s">
        <v>2150</v>
      </c>
      <c r="E1157" s="32" t="s">
        <v>2151</v>
      </c>
      <c r="F1157" s="35">
        <v>1140</v>
      </c>
      <c r="G1157" s="35">
        <v>386</v>
      </c>
      <c r="H1157" s="35">
        <v>894</v>
      </c>
      <c r="I1157" s="35">
        <v>3181</v>
      </c>
      <c r="J1157" s="36">
        <v>42640</v>
      </c>
      <c r="K1157" s="37">
        <v>0.53174768518518511</v>
      </c>
      <c r="L1157" s="36">
        <v>42938</v>
      </c>
      <c r="M1157" s="38">
        <v>0.91048611111111111</v>
      </c>
    </row>
    <row r="1158" spans="1:13" x14ac:dyDescent="0.25">
      <c r="A1158" s="33" t="s">
        <v>262</v>
      </c>
      <c r="B1158" s="34" t="str">
        <f>HYPERLINK("http://www.twitter.com/Library_SHS", "Library_SHS")</f>
        <v>Library_SHS</v>
      </c>
      <c r="C1158" s="33" t="s">
        <v>1539</v>
      </c>
      <c r="D1158" s="33" t="s">
        <v>1005</v>
      </c>
      <c r="E1158" s="32" t="s">
        <v>2653</v>
      </c>
      <c r="F1158" s="35">
        <v>143</v>
      </c>
      <c r="G1158" s="35">
        <v>205</v>
      </c>
      <c r="H1158" s="35">
        <v>869</v>
      </c>
      <c r="I1158" s="35">
        <v>35</v>
      </c>
      <c r="J1158" s="36">
        <v>40961</v>
      </c>
      <c r="K1158" s="37">
        <v>0.63692129629629635</v>
      </c>
      <c r="L1158" s="36">
        <v>42923</v>
      </c>
      <c r="M1158" s="38">
        <v>0.48846064814814816</v>
      </c>
    </row>
    <row r="1159" spans="1:13" ht="45" x14ac:dyDescent="0.25">
      <c r="A1159" s="33" t="s">
        <v>262</v>
      </c>
      <c r="B1159" s="34" t="str">
        <f>HYPERLINK("http://www.twitter.com/GaleSchools", "GaleSchools")</f>
        <v>GaleSchools</v>
      </c>
      <c r="C1159" s="33" t="s">
        <v>2063</v>
      </c>
      <c r="D1159" s="33" t="s">
        <v>2064</v>
      </c>
      <c r="E1159" s="32" t="s">
        <v>2065</v>
      </c>
      <c r="F1159" s="35">
        <v>778</v>
      </c>
      <c r="G1159" s="35">
        <v>376</v>
      </c>
      <c r="H1159" s="35">
        <v>855</v>
      </c>
      <c r="I1159" s="35">
        <v>168</v>
      </c>
      <c r="J1159" s="36">
        <v>41696</v>
      </c>
      <c r="K1159" s="37">
        <v>0.77954861111111118</v>
      </c>
      <c r="L1159" s="36">
        <v>42940</v>
      </c>
      <c r="M1159" s="38">
        <v>0.62159722222222225</v>
      </c>
    </row>
    <row r="1160" spans="1:13" ht="30" x14ac:dyDescent="0.25">
      <c r="A1160" s="33" t="s">
        <v>262</v>
      </c>
      <c r="B1160" s="34" t="str">
        <f>HYPERLINK("http://www.twitter.com/HeathfieldBooks", "HeathfieldBooks")</f>
        <v>HeathfieldBooks</v>
      </c>
      <c r="C1160" s="33" t="s">
        <v>2379</v>
      </c>
      <c r="E1160" s="32" t="s">
        <v>2380</v>
      </c>
      <c r="F1160" s="35">
        <v>285</v>
      </c>
      <c r="G1160" s="35">
        <v>271</v>
      </c>
      <c r="H1160" s="35">
        <v>852</v>
      </c>
      <c r="I1160" s="35">
        <v>235</v>
      </c>
      <c r="J1160" s="36">
        <v>41544</v>
      </c>
      <c r="K1160" s="37">
        <v>0.62410879629629623</v>
      </c>
      <c r="L1160" s="36">
        <v>42928</v>
      </c>
      <c r="M1160" s="38">
        <v>0.55912037037037032</v>
      </c>
    </row>
    <row r="1161" spans="1:13" ht="60" x14ac:dyDescent="0.25">
      <c r="A1161" s="33" t="s">
        <v>262</v>
      </c>
      <c r="B1161" s="34" t="str">
        <f>HYPERLINK("http://www.twitter.com/radnorlibrary", "radnorlibrary")</f>
        <v>radnorlibrary</v>
      </c>
      <c r="C1161" s="33" t="s">
        <v>2066</v>
      </c>
      <c r="D1161" s="33" t="s">
        <v>2067</v>
      </c>
      <c r="E1161" s="32" t="s">
        <v>2068</v>
      </c>
      <c r="F1161" s="35">
        <v>931</v>
      </c>
      <c r="G1161" s="35">
        <v>388</v>
      </c>
      <c r="H1161" s="35">
        <v>848</v>
      </c>
      <c r="I1161" s="35">
        <v>445</v>
      </c>
      <c r="J1161" s="36">
        <v>41437</v>
      </c>
      <c r="K1161" s="37">
        <v>0.32062499999999999</v>
      </c>
      <c r="L1161" s="36">
        <v>42926</v>
      </c>
      <c r="M1161" s="38">
        <v>1.9861111111111111E-2</v>
      </c>
    </row>
    <row r="1162" spans="1:13" ht="30" x14ac:dyDescent="0.25">
      <c r="A1162" s="33" t="s">
        <v>262</v>
      </c>
      <c r="B1162" s="34" t="str">
        <f>HYPERLINK("http://www.twitter.com/VCBLibrary", "VCBLibrary")</f>
        <v>VCBLibrary</v>
      </c>
      <c r="C1162" s="33" t="s">
        <v>1973</v>
      </c>
      <c r="D1162" s="33" t="s">
        <v>1974</v>
      </c>
      <c r="E1162" s="32" t="s">
        <v>1975</v>
      </c>
      <c r="F1162" s="35">
        <v>673</v>
      </c>
      <c r="G1162" s="35">
        <v>422</v>
      </c>
      <c r="H1162" s="35">
        <v>846</v>
      </c>
      <c r="I1162" s="35">
        <v>479</v>
      </c>
      <c r="J1162" s="36">
        <v>41659</v>
      </c>
      <c r="K1162" s="37">
        <v>0.63332175925925926</v>
      </c>
      <c r="L1162" s="36">
        <v>42936</v>
      </c>
      <c r="M1162" s="38">
        <v>0.56627314814814811</v>
      </c>
    </row>
    <row r="1163" spans="1:13" ht="45" x14ac:dyDescent="0.25">
      <c r="A1163" s="33" t="s">
        <v>262</v>
      </c>
      <c r="B1163" s="34" t="str">
        <f>HYPERLINK("http://www.twitter.com/ActivateLibrary", "ActivateLibrary")</f>
        <v>ActivateLibrary</v>
      </c>
      <c r="C1163" s="33" t="s">
        <v>2347</v>
      </c>
      <c r="D1163" s="33" t="s">
        <v>2348</v>
      </c>
      <c r="E1163" s="32" t="s">
        <v>2349</v>
      </c>
      <c r="F1163" s="35">
        <v>208</v>
      </c>
      <c r="G1163" s="35">
        <v>277</v>
      </c>
      <c r="H1163" s="35">
        <v>838</v>
      </c>
      <c r="I1163" s="35">
        <v>363</v>
      </c>
      <c r="J1163" s="36">
        <v>41242</v>
      </c>
      <c r="K1163" s="37">
        <v>0.49709490740740742</v>
      </c>
      <c r="L1163" s="36">
        <v>42929</v>
      </c>
      <c r="M1163" s="38">
        <v>0.64342592592592596</v>
      </c>
    </row>
    <row r="1164" spans="1:13" x14ac:dyDescent="0.25">
      <c r="A1164" s="33" t="s">
        <v>262</v>
      </c>
      <c r="B1164" s="34" t="str">
        <f>HYPERLINK("http://www.twitter.com/TESchoolLibrary", "TESchoolLibrary")</f>
        <v>TESchoolLibrary</v>
      </c>
      <c r="C1164" s="33" t="s">
        <v>2300</v>
      </c>
      <c r="E1164" s="32" t="s">
        <v>2301</v>
      </c>
      <c r="F1164" s="35">
        <v>338</v>
      </c>
      <c r="G1164" s="35">
        <v>294</v>
      </c>
      <c r="H1164" s="35">
        <v>837</v>
      </c>
      <c r="I1164" s="35">
        <v>325</v>
      </c>
      <c r="J1164" s="36">
        <v>41304</v>
      </c>
      <c r="K1164" s="37">
        <v>0.77333333333333332</v>
      </c>
      <c r="L1164" s="36">
        <v>42920</v>
      </c>
      <c r="M1164" s="38">
        <v>7.6828703703703705E-2</v>
      </c>
    </row>
    <row r="1165" spans="1:13" ht="30" x14ac:dyDescent="0.25">
      <c r="A1165" s="33" t="s">
        <v>262</v>
      </c>
      <c r="B1165" s="34" t="str">
        <f>HYPERLINK("http://www.twitter.com/LornshillLRC", "LornshillLRC")</f>
        <v>LornshillLRC</v>
      </c>
      <c r="C1165" s="33" t="s">
        <v>3212</v>
      </c>
      <c r="D1165" s="33" t="s">
        <v>3213</v>
      </c>
      <c r="E1165" s="32" t="s">
        <v>3214</v>
      </c>
      <c r="F1165" s="35">
        <v>101</v>
      </c>
      <c r="G1165" s="35">
        <v>94</v>
      </c>
      <c r="H1165" s="35">
        <v>836</v>
      </c>
      <c r="I1165" s="35">
        <v>1012</v>
      </c>
      <c r="J1165" s="36">
        <v>42740</v>
      </c>
      <c r="K1165" s="37">
        <v>0.57223379629629634</v>
      </c>
      <c r="L1165" s="36">
        <v>42916</v>
      </c>
      <c r="M1165" s="38">
        <v>0.48859953703703707</v>
      </c>
    </row>
    <row r="1166" spans="1:13" ht="30" x14ac:dyDescent="0.25">
      <c r="A1166" s="33" t="s">
        <v>262</v>
      </c>
      <c r="B1166" s="34" t="str">
        <f>HYPERLINK("http://www.twitter.com/THCLC", "THCLC")</f>
        <v>THCLC</v>
      </c>
      <c r="C1166" s="33" t="s">
        <v>3402</v>
      </c>
      <c r="D1166" s="33" t="s">
        <v>36</v>
      </c>
      <c r="E1166" s="32" t="s">
        <v>3403</v>
      </c>
      <c r="F1166" s="35">
        <v>117</v>
      </c>
      <c r="G1166" s="35">
        <v>42</v>
      </c>
      <c r="H1166" s="35">
        <v>832</v>
      </c>
      <c r="I1166" s="35">
        <v>45</v>
      </c>
      <c r="J1166" s="36">
        <v>40667</v>
      </c>
      <c r="K1166" s="37">
        <v>0.54027777777777775</v>
      </c>
      <c r="L1166" s="36">
        <v>42243</v>
      </c>
      <c r="M1166" s="38">
        <v>0.64218750000000002</v>
      </c>
    </row>
    <row r="1167" spans="1:13" ht="30" x14ac:dyDescent="0.25">
      <c r="A1167" s="33" t="s">
        <v>262</v>
      </c>
      <c r="B1167" s="34" t="str">
        <f>HYPERLINK("http://www.twitter.com/Hurst_Library", "Hurst_Library")</f>
        <v>Hurst_Library</v>
      </c>
      <c r="C1167" s="33" t="s">
        <v>2669</v>
      </c>
      <c r="D1167" s="33" t="s">
        <v>2670</v>
      </c>
      <c r="E1167" s="32" t="s">
        <v>2671</v>
      </c>
      <c r="F1167" s="35">
        <v>165</v>
      </c>
      <c r="G1167" s="35">
        <v>211</v>
      </c>
      <c r="H1167" s="35">
        <v>829</v>
      </c>
      <c r="I1167" s="35">
        <v>992</v>
      </c>
      <c r="J1167" s="36">
        <v>42010</v>
      </c>
      <c r="K1167" s="37">
        <v>0.77666666666666673</v>
      </c>
      <c r="L1167" s="36">
        <v>42921</v>
      </c>
      <c r="M1167" s="38">
        <v>0.81415509259259267</v>
      </c>
    </row>
    <row r="1168" spans="1:13" ht="30" x14ac:dyDescent="0.25">
      <c r="A1168" s="33" t="s">
        <v>262</v>
      </c>
      <c r="B1168" s="34" t="str">
        <f>HYPERLINK("http://www.twitter.com/CAcadLibrary", "CAcadLibrary")</f>
        <v>CAcadLibrary</v>
      </c>
      <c r="C1168" s="33" t="s">
        <v>2566</v>
      </c>
      <c r="D1168" s="33" t="s">
        <v>2567</v>
      </c>
      <c r="E1168" s="32" t="s">
        <v>3554</v>
      </c>
      <c r="F1168" s="35">
        <v>282</v>
      </c>
      <c r="G1168" s="35">
        <v>241</v>
      </c>
      <c r="H1168" s="35">
        <v>815</v>
      </c>
      <c r="I1168" s="35">
        <v>1945</v>
      </c>
      <c r="J1168" s="36">
        <v>42398</v>
      </c>
      <c r="K1168" s="37">
        <v>0.51224537037037032</v>
      </c>
      <c r="L1168" s="36">
        <v>42940</v>
      </c>
      <c r="M1168" s="38">
        <v>0.61320601851851853</v>
      </c>
    </row>
    <row r="1169" spans="1:13" ht="30" x14ac:dyDescent="0.25">
      <c r="A1169" s="33" t="s">
        <v>262</v>
      </c>
      <c r="B1169" s="34" t="str">
        <f>HYPERLINK("http://www.twitter.com/MtreeSchLibrary", "MtreeSchLibrary")</f>
        <v>MtreeSchLibrary</v>
      </c>
      <c r="C1169" s="33" t="s">
        <v>2672</v>
      </c>
      <c r="D1169" s="33" t="s">
        <v>2673</v>
      </c>
      <c r="E1169" s="32" t="s">
        <v>2674</v>
      </c>
      <c r="F1169" s="35">
        <v>184</v>
      </c>
      <c r="G1169" s="35">
        <v>210</v>
      </c>
      <c r="H1169" s="35">
        <v>797</v>
      </c>
      <c r="I1169" s="35">
        <v>859</v>
      </c>
      <c r="J1169" s="36">
        <v>42313</v>
      </c>
      <c r="K1169" s="37">
        <v>0.51946759259259256</v>
      </c>
      <c r="L1169" s="36">
        <v>42928</v>
      </c>
      <c r="M1169" s="38">
        <v>0.44763888888888892</v>
      </c>
    </row>
    <row r="1170" spans="1:13" ht="30" x14ac:dyDescent="0.25">
      <c r="A1170" s="33" t="s">
        <v>262</v>
      </c>
      <c r="B1170" s="34" t="str">
        <f>HYPERLINK("http://www.twitter.com/GryphonLRC", "GryphonLRC")</f>
        <v>GryphonLRC</v>
      </c>
      <c r="C1170" s="33" t="s">
        <v>2079</v>
      </c>
      <c r="D1170" s="33" t="s">
        <v>2080</v>
      </c>
      <c r="E1170" s="32" t="s">
        <v>2081</v>
      </c>
      <c r="F1170" s="35">
        <v>609</v>
      </c>
      <c r="G1170" s="35">
        <v>401</v>
      </c>
      <c r="H1170" s="35">
        <v>794</v>
      </c>
      <c r="I1170" s="35">
        <v>682</v>
      </c>
      <c r="J1170" s="36">
        <v>41669</v>
      </c>
      <c r="K1170" s="37">
        <v>0.64460648148148147</v>
      </c>
      <c r="L1170" s="36">
        <v>42938</v>
      </c>
      <c r="M1170" s="38">
        <v>0.79664351851851845</v>
      </c>
    </row>
    <row r="1171" spans="1:13" ht="30" x14ac:dyDescent="0.25">
      <c r="A1171" s="33" t="s">
        <v>262</v>
      </c>
      <c r="B1171" s="34" t="str">
        <f>HYPERLINK("http://www.twitter.com/AquinasLC", "AquinasLC")</f>
        <v>AquinasLC</v>
      </c>
      <c r="C1171" s="33" t="s">
        <v>2597</v>
      </c>
      <c r="D1171" s="33" t="s">
        <v>1135</v>
      </c>
      <c r="E1171" s="32" t="s">
        <v>2598</v>
      </c>
      <c r="F1171" s="35">
        <v>218</v>
      </c>
      <c r="G1171" s="35">
        <v>206</v>
      </c>
      <c r="H1171" s="35">
        <v>787</v>
      </c>
      <c r="I1171" s="35">
        <v>21</v>
      </c>
      <c r="J1171" s="36">
        <v>41302</v>
      </c>
      <c r="K1171" s="37">
        <v>0.39704861111111112</v>
      </c>
      <c r="L1171" s="36">
        <v>42898</v>
      </c>
      <c r="M1171" s="38">
        <v>0.45959490740740744</v>
      </c>
    </row>
    <row r="1172" spans="1:13" ht="45" x14ac:dyDescent="0.25">
      <c r="A1172" s="33" t="s">
        <v>262</v>
      </c>
      <c r="B1172" s="34" t="str">
        <f>HYPERLINK("http://www.twitter.com/NestonHSlibrary", "NestonHSlibrary")</f>
        <v>NestonHSlibrary</v>
      </c>
      <c r="C1172" s="33" t="s">
        <v>1934</v>
      </c>
      <c r="E1172" s="32" t="s">
        <v>1935</v>
      </c>
      <c r="F1172" s="35">
        <v>430</v>
      </c>
      <c r="G1172" s="35">
        <v>430</v>
      </c>
      <c r="H1172" s="35">
        <v>787</v>
      </c>
      <c r="I1172" s="35">
        <v>1278</v>
      </c>
      <c r="J1172" s="36">
        <v>41820</v>
      </c>
      <c r="K1172" s="37">
        <v>0.68518518518518512</v>
      </c>
      <c r="L1172" s="36">
        <v>42938</v>
      </c>
      <c r="M1172" s="38">
        <v>0.4208796296296296</v>
      </c>
    </row>
    <row r="1173" spans="1:13" x14ac:dyDescent="0.25">
      <c r="A1173" s="33" t="s">
        <v>262</v>
      </c>
      <c r="B1173" s="34" t="str">
        <f>HYPERLINK("http://www.twitter.com/blms_media", "blms_media")</f>
        <v>blms_media</v>
      </c>
      <c r="C1173" s="33" t="s">
        <v>2845</v>
      </c>
      <c r="D1173" s="33" t="s">
        <v>2846</v>
      </c>
      <c r="E1173" s="32" t="s">
        <v>2847</v>
      </c>
      <c r="F1173" s="35">
        <v>531</v>
      </c>
      <c r="G1173" s="35">
        <v>176</v>
      </c>
      <c r="H1173" s="35">
        <v>786</v>
      </c>
      <c r="I1173" s="35">
        <v>1203</v>
      </c>
      <c r="J1173" s="36">
        <v>42438</v>
      </c>
      <c r="K1173" s="37">
        <v>0.87121527777777785</v>
      </c>
      <c r="L1173" s="36">
        <v>42888</v>
      </c>
      <c r="M1173" s="38">
        <v>0.62870370370370365</v>
      </c>
    </row>
    <row r="1174" spans="1:13" x14ac:dyDescent="0.25">
      <c r="A1174" s="33" t="s">
        <v>262</v>
      </c>
      <c r="B1174" s="34" t="str">
        <f>HYPERLINK("http://www.twitter.com/LibraryIVC", "LibraryIVC")</f>
        <v>LibraryIVC</v>
      </c>
      <c r="C1174" s="33" t="s">
        <v>1982</v>
      </c>
      <c r="D1174" s="33" t="s">
        <v>788</v>
      </c>
      <c r="E1174" s="32" t="s">
        <v>1983</v>
      </c>
      <c r="F1174" s="35">
        <v>405</v>
      </c>
      <c r="G1174" s="35">
        <v>413</v>
      </c>
      <c r="H1174" s="35">
        <v>761</v>
      </c>
      <c r="I1174" s="35">
        <v>678</v>
      </c>
      <c r="J1174" s="36">
        <v>41550</v>
      </c>
      <c r="K1174" s="37">
        <v>0.65076388888888892</v>
      </c>
      <c r="L1174" s="36">
        <v>42349</v>
      </c>
      <c r="M1174" s="38">
        <v>0.41035879629629629</v>
      </c>
    </row>
    <row r="1175" spans="1:13" ht="45" x14ac:dyDescent="0.25">
      <c r="A1175" s="33" t="s">
        <v>262</v>
      </c>
      <c r="B1175" s="34" t="str">
        <f>HYPERLINK("http://www.twitter.com/CuttesloweSch", "CuttesloweSch")</f>
        <v>CuttesloweSch</v>
      </c>
      <c r="C1175" s="33" t="s">
        <v>1895</v>
      </c>
      <c r="D1175" s="33" t="s">
        <v>505</v>
      </c>
      <c r="E1175" s="32" t="s">
        <v>1896</v>
      </c>
      <c r="F1175" s="35">
        <v>302</v>
      </c>
      <c r="G1175" s="35">
        <v>443</v>
      </c>
      <c r="H1175" s="35">
        <v>751</v>
      </c>
      <c r="I1175" s="35">
        <v>357</v>
      </c>
      <c r="J1175" s="36">
        <v>40562</v>
      </c>
      <c r="K1175" s="37">
        <v>0.5721180555555555</v>
      </c>
      <c r="L1175" s="36">
        <v>42779</v>
      </c>
      <c r="M1175" s="38">
        <v>0.46872685185185187</v>
      </c>
    </row>
    <row r="1176" spans="1:13" ht="45" x14ac:dyDescent="0.25">
      <c r="A1176" s="33" t="s">
        <v>262</v>
      </c>
      <c r="B1176" s="34" t="str">
        <f>HYPERLINK("http://www.twitter.com/Dalkeithschslib", "Dalkeithschslib")</f>
        <v>Dalkeithschslib</v>
      </c>
      <c r="C1176" s="33" t="s">
        <v>2438</v>
      </c>
      <c r="D1176" s="33" t="s">
        <v>2439</v>
      </c>
      <c r="E1176" s="32" t="s">
        <v>2440</v>
      </c>
      <c r="F1176" s="35">
        <v>227</v>
      </c>
      <c r="G1176" s="35">
        <v>270</v>
      </c>
      <c r="H1176" s="35">
        <v>743</v>
      </c>
      <c r="I1176" s="35">
        <v>534</v>
      </c>
      <c r="J1176" s="36">
        <v>41870</v>
      </c>
      <c r="K1176" s="37">
        <v>0.33228009259259261</v>
      </c>
      <c r="L1176" s="36">
        <v>42916</v>
      </c>
      <c r="M1176" s="38">
        <v>0.49721064814814814</v>
      </c>
    </row>
    <row r="1177" spans="1:13" ht="45" x14ac:dyDescent="0.25">
      <c r="A1177" s="33" t="s">
        <v>262</v>
      </c>
      <c r="B1177" s="34" t="str">
        <f>HYPERLINK("http://www.twitter.com/CroyCollLibrary", "CroyCollLibrary")</f>
        <v>CroyCollLibrary</v>
      </c>
      <c r="C1177" s="33" t="s">
        <v>2897</v>
      </c>
      <c r="D1177" s="33" t="s">
        <v>2898</v>
      </c>
      <c r="E1177" s="32" t="s">
        <v>2899</v>
      </c>
      <c r="F1177" s="35">
        <v>15</v>
      </c>
      <c r="G1177" s="35">
        <v>164</v>
      </c>
      <c r="H1177" s="35">
        <v>742</v>
      </c>
      <c r="I1177" s="35">
        <v>0</v>
      </c>
      <c r="J1177" s="36">
        <v>40003</v>
      </c>
      <c r="K1177" s="37">
        <v>0.56042824074074071</v>
      </c>
      <c r="L1177" s="36">
        <v>42923</v>
      </c>
      <c r="M1177" s="38">
        <v>0.48694444444444446</v>
      </c>
    </row>
    <row r="1178" spans="1:13" ht="45" x14ac:dyDescent="0.25">
      <c r="A1178" s="33" t="s">
        <v>262</v>
      </c>
      <c r="B1178" s="34" t="str">
        <f>HYPERLINK("http://www.twitter.com/KCLRC1", "KCLRC1")</f>
        <v>KCLRC1</v>
      </c>
      <c r="C1178" s="33" t="s">
        <v>2763</v>
      </c>
      <c r="D1178" s="33" t="s">
        <v>2764</v>
      </c>
      <c r="E1178" s="32" t="s">
        <v>2765</v>
      </c>
      <c r="F1178" s="35">
        <v>346</v>
      </c>
      <c r="G1178" s="35">
        <v>183</v>
      </c>
      <c r="H1178" s="35">
        <v>741</v>
      </c>
      <c r="I1178" s="35">
        <v>141</v>
      </c>
      <c r="J1178" s="36">
        <v>41822</v>
      </c>
      <c r="K1178" s="37">
        <v>0.57991898148148147</v>
      </c>
      <c r="L1178" s="36">
        <v>42940</v>
      </c>
      <c r="M1178" s="38">
        <v>0.41721064814814812</v>
      </c>
    </row>
    <row r="1179" spans="1:13" ht="30" x14ac:dyDescent="0.25">
      <c r="A1179" s="33" t="s">
        <v>262</v>
      </c>
      <c r="B1179" s="34" t="str">
        <f>HYPERLINK("http://www.twitter.com/StalHighLib", "StalHighLib")</f>
        <v>StalHighLib</v>
      </c>
      <c r="C1179" s="33" t="s">
        <v>1539</v>
      </c>
      <c r="D1179" s="33" t="s">
        <v>2001</v>
      </c>
      <c r="E1179" s="32" t="s">
        <v>2002</v>
      </c>
      <c r="F1179" s="35">
        <v>1135</v>
      </c>
      <c r="G1179" s="35">
        <v>405</v>
      </c>
      <c r="H1179" s="35">
        <v>741</v>
      </c>
      <c r="I1179" s="35">
        <v>303</v>
      </c>
      <c r="J1179" s="36">
        <v>41752</v>
      </c>
      <c r="K1179" s="37">
        <v>0.72846064814814815</v>
      </c>
      <c r="L1179" s="36">
        <v>42916</v>
      </c>
      <c r="M1179" s="38">
        <v>0.83516203703703706</v>
      </c>
    </row>
    <row r="1180" spans="1:13" ht="30" x14ac:dyDescent="0.25">
      <c r="A1180" s="33" t="s">
        <v>262</v>
      </c>
      <c r="B1180" s="34" t="str">
        <f>HYPERLINK("http://www.twitter.com/BishopWalshLib", "BishopWalshLib")</f>
        <v>BishopWalshLib</v>
      </c>
      <c r="C1180" s="33" t="s">
        <v>2866</v>
      </c>
      <c r="D1180" s="33" t="s">
        <v>1115</v>
      </c>
      <c r="E1180" s="32" t="s">
        <v>2867</v>
      </c>
      <c r="F1180" s="35">
        <v>96</v>
      </c>
      <c r="G1180" s="35">
        <v>165</v>
      </c>
      <c r="H1180" s="35">
        <v>727</v>
      </c>
      <c r="I1180" s="35">
        <v>0</v>
      </c>
      <c r="J1180" s="36">
        <v>40142</v>
      </c>
      <c r="K1180" s="37">
        <v>0.84969907407407408</v>
      </c>
      <c r="L1180" s="36">
        <v>42071</v>
      </c>
      <c r="M1180" s="38">
        <v>0.90721064814814811</v>
      </c>
    </row>
    <row r="1181" spans="1:13" ht="30" x14ac:dyDescent="0.25">
      <c r="A1181" s="33" t="s">
        <v>262</v>
      </c>
      <c r="B1181" s="34" t="str">
        <f>HYPERLINK("http://www.twitter.com/thelibraryatnc", "thelibraryatnc")</f>
        <v>thelibraryatnc</v>
      </c>
      <c r="C1181" s="33" t="s">
        <v>2453</v>
      </c>
      <c r="D1181" s="33" t="s">
        <v>2454</v>
      </c>
      <c r="E1181" s="32" t="s">
        <v>2455</v>
      </c>
      <c r="F1181" s="35">
        <v>265</v>
      </c>
      <c r="G1181" s="35">
        <v>265</v>
      </c>
      <c r="H1181" s="35">
        <v>724</v>
      </c>
      <c r="I1181" s="35">
        <v>58</v>
      </c>
      <c r="J1181" s="36">
        <v>40997</v>
      </c>
      <c r="K1181" s="37">
        <v>0.59799768518518526</v>
      </c>
      <c r="L1181" s="36">
        <v>42926</v>
      </c>
      <c r="M1181" s="38">
        <v>0.41174768518518517</v>
      </c>
    </row>
    <row r="1182" spans="1:13" x14ac:dyDescent="0.25">
      <c r="A1182" s="33" t="s">
        <v>262</v>
      </c>
      <c r="B1182" s="34" t="str">
        <f>HYPERLINK("http://www.twitter.com/BISSCLibrary", "BISSCLibrary")</f>
        <v>BISSCLibrary</v>
      </c>
      <c r="C1182" s="33" t="s">
        <v>2768</v>
      </c>
      <c r="D1182" s="33" t="s">
        <v>2769</v>
      </c>
      <c r="E1182" s="32" t="s">
        <v>2770</v>
      </c>
      <c r="F1182" s="35">
        <v>177</v>
      </c>
      <c r="G1182" s="35">
        <v>203</v>
      </c>
      <c r="H1182" s="35">
        <v>711</v>
      </c>
      <c r="I1182" s="35">
        <v>536</v>
      </c>
      <c r="J1182" s="36">
        <v>42081</v>
      </c>
      <c r="K1182" s="37">
        <v>0.38467592592592598</v>
      </c>
      <c r="L1182" s="36">
        <v>42935</v>
      </c>
      <c r="M1182" s="38">
        <v>0.3901041666666667</v>
      </c>
    </row>
    <row r="1183" spans="1:13" x14ac:dyDescent="0.25">
      <c r="A1183" s="33" t="s">
        <v>262</v>
      </c>
      <c r="B1183" s="34" t="str">
        <f>HYPERLINK("http://www.twitter.com/BraesHSLibrary", "BraesHSLibrary")</f>
        <v>BraesHSLibrary</v>
      </c>
      <c r="C1183" s="33" t="s">
        <v>3332</v>
      </c>
      <c r="F1183" s="35">
        <v>151</v>
      </c>
      <c r="G1183" s="35">
        <v>67</v>
      </c>
      <c r="H1183" s="35">
        <v>702</v>
      </c>
      <c r="I1183" s="35">
        <v>395</v>
      </c>
      <c r="J1183" s="36">
        <v>42772</v>
      </c>
      <c r="K1183" s="37">
        <v>0.57734953703703706</v>
      </c>
      <c r="L1183" s="36">
        <v>42939</v>
      </c>
      <c r="M1183" s="38">
        <v>0.21516203703703704</v>
      </c>
    </row>
    <row r="1184" spans="1:13" x14ac:dyDescent="0.25">
      <c r="A1184" s="33" t="s">
        <v>262</v>
      </c>
      <c r="B1184" s="34" t="str">
        <f>HYPERLINK("http://www.twitter.com/MontroseAcademy", "MontroseAcademy")</f>
        <v>MontroseAcademy</v>
      </c>
      <c r="C1184" s="33" t="s">
        <v>2389</v>
      </c>
      <c r="D1184" s="33" t="s">
        <v>2390</v>
      </c>
      <c r="E1184" s="32" t="s">
        <v>2391</v>
      </c>
      <c r="F1184" s="35">
        <v>141</v>
      </c>
      <c r="G1184" s="35">
        <v>275</v>
      </c>
      <c r="H1184" s="35">
        <v>691</v>
      </c>
      <c r="I1184" s="35">
        <v>449</v>
      </c>
      <c r="J1184" s="36">
        <v>41543</v>
      </c>
      <c r="K1184" s="37">
        <v>0.48833333333333334</v>
      </c>
      <c r="L1184" s="36">
        <v>42914</v>
      </c>
      <c r="M1184" s="38">
        <v>0.57186342592592598</v>
      </c>
    </row>
    <row r="1185" spans="1:13" ht="45" x14ac:dyDescent="0.25">
      <c r="A1185" s="33" t="s">
        <v>262</v>
      </c>
      <c r="B1185" s="34" t="str">
        <f>HYPERLINK("http://www.twitter.com/AshfordLRCentre", "AshfordLRCentre")</f>
        <v>AshfordLRCentre</v>
      </c>
      <c r="C1185" s="33" t="s">
        <v>3209</v>
      </c>
      <c r="D1185" s="33" t="s">
        <v>3210</v>
      </c>
      <c r="E1185" s="32" t="s">
        <v>3211</v>
      </c>
      <c r="F1185" s="35">
        <v>226</v>
      </c>
      <c r="G1185" s="35">
        <v>86</v>
      </c>
      <c r="H1185" s="35">
        <v>679</v>
      </c>
      <c r="I1185" s="35">
        <v>199</v>
      </c>
      <c r="J1185" s="36">
        <v>42136</v>
      </c>
      <c r="K1185" s="37">
        <v>0.49540509259259258</v>
      </c>
      <c r="L1185" s="36">
        <v>42923</v>
      </c>
      <c r="M1185" s="38">
        <v>0.62715277777777778</v>
      </c>
    </row>
    <row r="1186" spans="1:13" ht="30" x14ac:dyDescent="0.25">
      <c r="A1186" s="33" t="s">
        <v>262</v>
      </c>
      <c r="B1186" s="34" t="str">
        <f>HYPERLINK("http://www.twitter.com/steds_library", "steds_library")</f>
        <v>steds_library</v>
      </c>
      <c r="C1186" s="33" t="s">
        <v>2279</v>
      </c>
      <c r="D1186" s="33" t="s">
        <v>2280</v>
      </c>
      <c r="E1186" s="32" t="s">
        <v>2281</v>
      </c>
      <c r="F1186" s="35">
        <v>565</v>
      </c>
      <c r="G1186" s="35">
        <v>291</v>
      </c>
      <c r="H1186" s="35">
        <v>678</v>
      </c>
      <c r="I1186" s="35">
        <v>76</v>
      </c>
      <c r="J1186" s="36">
        <v>42048</v>
      </c>
      <c r="K1186" s="37">
        <v>0.38608796296296299</v>
      </c>
      <c r="L1186" s="36">
        <v>42762</v>
      </c>
      <c r="M1186" s="38">
        <v>0.66006944444444449</v>
      </c>
    </row>
    <row r="1187" spans="1:13" x14ac:dyDescent="0.25">
      <c r="A1187" s="33" t="s">
        <v>262</v>
      </c>
      <c r="B1187" s="34" t="str">
        <f>HYPERLINK("http://www.twitter.com/BGSGLibrary", "BGSGLibrary")</f>
        <v>BGSGLibrary</v>
      </c>
      <c r="C1187" s="33" t="s">
        <v>2530</v>
      </c>
      <c r="D1187" s="33" t="s">
        <v>636</v>
      </c>
      <c r="E1187" s="32" t="s">
        <v>2531</v>
      </c>
      <c r="F1187" s="35">
        <v>144</v>
      </c>
      <c r="G1187" s="35">
        <v>233</v>
      </c>
      <c r="H1187" s="35">
        <v>659</v>
      </c>
      <c r="I1187" s="35">
        <v>169</v>
      </c>
      <c r="J1187" s="36">
        <v>41080</v>
      </c>
      <c r="K1187" s="37">
        <v>0.39108796296296294</v>
      </c>
      <c r="L1187" s="36">
        <v>42873</v>
      </c>
      <c r="M1187" s="38">
        <v>0.61689814814814814</v>
      </c>
    </row>
    <row r="1188" spans="1:13" ht="45" x14ac:dyDescent="0.25">
      <c r="A1188" s="33" t="s">
        <v>262</v>
      </c>
      <c r="B1188" s="34" t="str">
        <f>HYPERLINK("http://www.twitter.com/LibraryCat2", "LibraryCat2")</f>
        <v>LibraryCat2</v>
      </c>
      <c r="C1188" s="33" t="s">
        <v>2587</v>
      </c>
      <c r="E1188" s="32" t="s">
        <v>2588</v>
      </c>
      <c r="F1188" s="35">
        <v>136</v>
      </c>
      <c r="G1188" s="35">
        <v>220</v>
      </c>
      <c r="H1188" s="35">
        <v>639</v>
      </c>
      <c r="I1188" s="35">
        <v>486</v>
      </c>
      <c r="J1188" s="36">
        <v>41507</v>
      </c>
      <c r="K1188" s="37">
        <v>0.55740740740740746</v>
      </c>
      <c r="L1188" s="36">
        <v>42938</v>
      </c>
      <c r="M1188" s="38">
        <v>0.5567361111111111</v>
      </c>
    </row>
    <row r="1189" spans="1:13" ht="45" x14ac:dyDescent="0.25">
      <c r="A1189" s="33" t="s">
        <v>262</v>
      </c>
      <c r="B1189" s="34" t="str">
        <f>HYPERLINK("http://www.twitter.com/LHS_ICC", "LHS_ICC")</f>
        <v>LHS_ICC</v>
      </c>
      <c r="C1189" s="33" t="s">
        <v>1484</v>
      </c>
      <c r="D1189" s="33" t="s">
        <v>102</v>
      </c>
      <c r="E1189" s="32" t="s">
        <v>1485</v>
      </c>
      <c r="F1189" s="35">
        <v>2429</v>
      </c>
      <c r="G1189" s="35">
        <v>762</v>
      </c>
      <c r="H1189" s="35">
        <v>634</v>
      </c>
      <c r="I1189" s="35">
        <v>1478</v>
      </c>
      <c r="J1189" s="36">
        <v>41599</v>
      </c>
      <c r="K1189" s="37">
        <v>0.82240740740740748</v>
      </c>
      <c r="L1189" s="36">
        <v>42936</v>
      </c>
      <c r="M1189" s="38">
        <v>0.48719907407407409</v>
      </c>
    </row>
    <row r="1190" spans="1:13" ht="30" x14ac:dyDescent="0.25">
      <c r="A1190" s="33" t="s">
        <v>262</v>
      </c>
      <c r="B1190" s="34" t="str">
        <f>HYPERLINK("http://www.twitter.com/LibraryTaylor", "LibraryTaylor")</f>
        <v>LibraryTaylor</v>
      </c>
      <c r="C1190" s="33" t="s">
        <v>3219</v>
      </c>
      <c r="D1190" s="33" t="s">
        <v>2007</v>
      </c>
      <c r="E1190" s="32" t="s">
        <v>3220</v>
      </c>
      <c r="F1190" s="35">
        <v>257</v>
      </c>
      <c r="G1190" s="35">
        <v>113</v>
      </c>
      <c r="H1190" s="35">
        <v>633</v>
      </c>
      <c r="I1190" s="35">
        <v>77</v>
      </c>
      <c r="J1190" s="36">
        <v>42094</v>
      </c>
      <c r="K1190" s="37">
        <v>0.65732638888888884</v>
      </c>
      <c r="L1190" s="36">
        <v>42940</v>
      </c>
      <c r="M1190" s="38">
        <v>0.35922453703703705</v>
      </c>
    </row>
    <row r="1191" spans="1:13" ht="30" x14ac:dyDescent="0.25">
      <c r="A1191" s="33" t="s">
        <v>262</v>
      </c>
      <c r="B1191" s="34" t="str">
        <f>HYPERLINK("http://www.twitter.com/wbhslibrary", "wbhslibrary")</f>
        <v>wbhslibrary</v>
      </c>
      <c r="C1191" s="33" t="s">
        <v>2206</v>
      </c>
      <c r="D1191" s="33" t="s">
        <v>2207</v>
      </c>
      <c r="E1191" s="32" t="s">
        <v>2208</v>
      </c>
      <c r="F1191" s="35">
        <v>178</v>
      </c>
      <c r="G1191" s="35">
        <v>330</v>
      </c>
      <c r="H1191" s="35">
        <v>632</v>
      </c>
      <c r="I1191" s="35">
        <v>321</v>
      </c>
      <c r="J1191" s="36">
        <v>41411</v>
      </c>
      <c r="K1191" s="37">
        <v>0.53645833333333337</v>
      </c>
      <c r="L1191" s="36">
        <v>42921</v>
      </c>
      <c r="M1191" s="38">
        <v>0.37739583333333332</v>
      </c>
    </row>
    <row r="1192" spans="1:13" x14ac:dyDescent="0.25">
      <c r="A1192" s="33" t="s">
        <v>262</v>
      </c>
      <c r="B1192" s="34" t="str">
        <f>HYPERLINK("http://www.twitter.com/ccb_library", "ccb_library")</f>
        <v>ccb_library</v>
      </c>
      <c r="C1192" s="33" t="s">
        <v>2594</v>
      </c>
      <c r="D1192" s="33" t="s">
        <v>2595</v>
      </c>
      <c r="E1192" s="32" t="s">
        <v>2596</v>
      </c>
      <c r="F1192" s="35">
        <v>431</v>
      </c>
      <c r="G1192" s="35">
        <v>231</v>
      </c>
      <c r="H1192" s="35">
        <v>625</v>
      </c>
      <c r="I1192" s="35">
        <v>105</v>
      </c>
      <c r="J1192" s="36">
        <v>41788</v>
      </c>
      <c r="K1192" s="37">
        <v>0.70728009259259261</v>
      </c>
      <c r="L1192" s="36">
        <v>42939</v>
      </c>
      <c r="M1192" s="38">
        <v>0.60965277777777771</v>
      </c>
    </row>
    <row r="1193" spans="1:13" ht="30" x14ac:dyDescent="0.25">
      <c r="A1193" s="33" t="s">
        <v>262</v>
      </c>
      <c r="B1193" s="34" t="str">
        <f>HYPERLINK("http://www.twitter.com/LibrarySH", "LibrarySH")</f>
        <v>LibrarySH</v>
      </c>
      <c r="C1193" s="33" t="s">
        <v>2166</v>
      </c>
      <c r="D1193" s="33" t="s">
        <v>2167</v>
      </c>
      <c r="E1193" s="32" t="s">
        <v>2168</v>
      </c>
      <c r="F1193" s="35">
        <v>574</v>
      </c>
      <c r="G1193" s="35">
        <v>356</v>
      </c>
      <c r="H1193" s="35">
        <v>619</v>
      </c>
      <c r="I1193" s="35">
        <v>360</v>
      </c>
      <c r="J1193" s="36">
        <v>41776</v>
      </c>
      <c r="K1193" s="37">
        <v>0.4890856481481482</v>
      </c>
      <c r="L1193" s="36">
        <v>42921</v>
      </c>
      <c r="M1193" s="38">
        <v>0.22664351851851852</v>
      </c>
    </row>
    <row r="1194" spans="1:13" ht="30" x14ac:dyDescent="0.25">
      <c r="A1194" s="33" t="s">
        <v>262</v>
      </c>
      <c r="B1194" s="34" t="str">
        <f>HYPERLINK("http://www.twitter.com/CCStALCs", "CCStALCs")</f>
        <v>CCStALCs</v>
      </c>
      <c r="C1194" s="33" t="s">
        <v>2947</v>
      </c>
      <c r="D1194" s="33" t="s">
        <v>2948</v>
      </c>
      <c r="E1194" s="32" t="s">
        <v>2949</v>
      </c>
      <c r="F1194" s="35">
        <v>301</v>
      </c>
      <c r="G1194" s="35">
        <v>152</v>
      </c>
      <c r="H1194" s="35">
        <v>618</v>
      </c>
      <c r="I1194" s="35">
        <v>166</v>
      </c>
      <c r="J1194" s="36">
        <v>41652</v>
      </c>
      <c r="K1194" s="37">
        <v>0.70730324074074069</v>
      </c>
      <c r="L1194" s="36">
        <v>42918</v>
      </c>
      <c r="M1194" s="38">
        <v>0.74096064814814822</v>
      </c>
    </row>
    <row r="1195" spans="1:13" ht="45" x14ac:dyDescent="0.25">
      <c r="A1195" s="33" t="s">
        <v>262</v>
      </c>
      <c r="B1195" s="34" t="str">
        <f>HYPERLINK("http://www.twitter.com/LRCStanmore", "LRCStanmore")</f>
        <v>LRCStanmore</v>
      </c>
      <c r="C1195" s="33" t="s">
        <v>2799</v>
      </c>
      <c r="D1195" s="33" t="s">
        <v>2800</v>
      </c>
      <c r="E1195" s="32" t="s">
        <v>2801</v>
      </c>
      <c r="F1195" s="35">
        <v>126</v>
      </c>
      <c r="G1195" s="35">
        <v>179</v>
      </c>
      <c r="H1195" s="35">
        <v>604</v>
      </c>
      <c r="I1195" s="35">
        <v>54</v>
      </c>
      <c r="J1195" s="36">
        <v>41526</v>
      </c>
      <c r="K1195" s="37">
        <v>0.66087962962962965</v>
      </c>
      <c r="L1195" s="36">
        <v>42926</v>
      </c>
      <c r="M1195" s="38">
        <v>0.58193287037037034</v>
      </c>
    </row>
    <row r="1196" spans="1:13" ht="45" x14ac:dyDescent="0.25">
      <c r="A1196" s="33" t="s">
        <v>262</v>
      </c>
      <c r="B1196" s="34" t="str">
        <f>HYPERLINK("http://www.twitter.com/mcclibcentral", "mcclibcentral")</f>
        <v>mcclibcentral</v>
      </c>
      <c r="C1196" s="33" t="s">
        <v>2987</v>
      </c>
      <c r="D1196" s="33" t="s">
        <v>2988</v>
      </c>
      <c r="E1196" s="32" t="s">
        <v>2989</v>
      </c>
      <c r="F1196" s="35">
        <v>270</v>
      </c>
      <c r="G1196" s="35">
        <v>145</v>
      </c>
      <c r="H1196" s="35">
        <v>601</v>
      </c>
      <c r="I1196" s="35">
        <v>102</v>
      </c>
      <c r="J1196" s="36">
        <v>41824</v>
      </c>
      <c r="K1196" s="37">
        <v>0.41921296296296301</v>
      </c>
      <c r="L1196" s="36">
        <v>42914</v>
      </c>
      <c r="M1196" s="38">
        <v>0.60722222222222222</v>
      </c>
    </row>
    <row r="1197" spans="1:13" x14ac:dyDescent="0.25">
      <c r="A1197" s="33" t="s">
        <v>262</v>
      </c>
      <c r="B1197" s="34" t="str">
        <f>HYPERLINK("http://www.twitter.com/Tormead_Lib", "Tormead_Lib")</f>
        <v>Tormead_Lib</v>
      </c>
      <c r="C1197" s="33" t="s">
        <v>1464</v>
      </c>
      <c r="E1197" s="32" t="s">
        <v>2514</v>
      </c>
      <c r="F1197" s="35">
        <v>178</v>
      </c>
      <c r="G1197" s="35">
        <v>247</v>
      </c>
      <c r="H1197" s="35">
        <v>601</v>
      </c>
      <c r="I1197" s="35">
        <v>42</v>
      </c>
      <c r="J1197" s="36">
        <v>41283</v>
      </c>
      <c r="K1197" s="37">
        <v>0.60449074074074072</v>
      </c>
      <c r="L1197" s="36">
        <v>42922</v>
      </c>
      <c r="M1197" s="38">
        <v>0.57226851851851845</v>
      </c>
    </row>
    <row r="1198" spans="1:13" ht="30" x14ac:dyDescent="0.25">
      <c r="A1198" s="33" t="s">
        <v>262</v>
      </c>
      <c r="B1198" s="34" t="str">
        <f>HYPERLINK("http://www.twitter.com/AlcuinLibrary", "AlcuinLibrary")</f>
        <v>AlcuinLibrary</v>
      </c>
      <c r="C1198" s="33" t="s">
        <v>2633</v>
      </c>
      <c r="D1198" s="33" t="s">
        <v>257</v>
      </c>
      <c r="E1198" s="32" t="s">
        <v>2634</v>
      </c>
      <c r="F1198" s="35">
        <v>287</v>
      </c>
      <c r="G1198" s="35">
        <v>212</v>
      </c>
      <c r="H1198" s="35">
        <v>596</v>
      </c>
      <c r="I1198" s="35">
        <v>74</v>
      </c>
      <c r="J1198" s="36">
        <v>41434</v>
      </c>
      <c r="K1198" s="37">
        <v>0.4481134259259259</v>
      </c>
      <c r="L1198" s="36">
        <v>42937</v>
      </c>
      <c r="M1198" s="38">
        <v>0.62288194444444445</v>
      </c>
    </row>
    <row r="1199" spans="1:13" ht="30" x14ac:dyDescent="0.25">
      <c r="A1199" s="33" t="s">
        <v>262</v>
      </c>
      <c r="B1199" s="34" t="str">
        <f>HYPERLINK("http://www.twitter.com/Latymer_library", "Latymer_library")</f>
        <v>Latymer_library</v>
      </c>
      <c r="C1199" s="33" t="s">
        <v>2144</v>
      </c>
      <c r="D1199" s="33" t="s">
        <v>2145</v>
      </c>
      <c r="E1199" s="32" t="s">
        <v>2146</v>
      </c>
      <c r="F1199" s="35">
        <v>145</v>
      </c>
      <c r="G1199" s="35">
        <v>365</v>
      </c>
      <c r="H1199" s="35">
        <v>592</v>
      </c>
      <c r="I1199" s="35">
        <v>107</v>
      </c>
      <c r="J1199" s="36">
        <v>41975</v>
      </c>
      <c r="K1199" s="37">
        <v>0.39675925925925926</v>
      </c>
      <c r="L1199" s="36">
        <v>42935</v>
      </c>
      <c r="M1199" s="38">
        <v>0.68366898148148147</v>
      </c>
    </row>
    <row r="1200" spans="1:13" ht="45" x14ac:dyDescent="0.25">
      <c r="A1200" s="33" t="s">
        <v>262</v>
      </c>
      <c r="B1200" s="34" t="str">
        <f>HYPERLINK("http://www.twitter.com/KHA_LRC", "KHA_LRC")</f>
        <v>KHA_LRC</v>
      </c>
      <c r="C1200" s="33" t="s">
        <v>2807</v>
      </c>
      <c r="D1200" s="33" t="s">
        <v>2808</v>
      </c>
      <c r="E1200" s="32" t="s">
        <v>2809</v>
      </c>
      <c r="F1200" s="35">
        <v>241</v>
      </c>
      <c r="G1200" s="35">
        <v>200</v>
      </c>
      <c r="H1200" s="35">
        <v>584</v>
      </c>
      <c r="I1200" s="35">
        <v>206</v>
      </c>
      <c r="J1200" s="36">
        <v>42277</v>
      </c>
      <c r="K1200" s="37">
        <v>0.87003472222222233</v>
      </c>
      <c r="L1200" s="36">
        <v>42940</v>
      </c>
      <c r="M1200" s="38">
        <v>0.41311342592592593</v>
      </c>
    </row>
    <row r="1201" spans="1:13" ht="45" x14ac:dyDescent="0.25">
      <c r="A1201" s="33" t="s">
        <v>262</v>
      </c>
      <c r="B1201" s="34" t="str">
        <f>HYPERLINK("http://www.twitter.com/BCLRC", "BCLRC")</f>
        <v>BCLRC</v>
      </c>
      <c r="C1201" s="33" t="s">
        <v>2127</v>
      </c>
      <c r="D1201" s="33" t="s">
        <v>2128</v>
      </c>
      <c r="E1201" s="32" t="s">
        <v>2129</v>
      </c>
      <c r="F1201" s="35">
        <v>587</v>
      </c>
      <c r="G1201" s="35">
        <v>363</v>
      </c>
      <c r="H1201" s="35">
        <v>583</v>
      </c>
      <c r="I1201" s="35">
        <v>85</v>
      </c>
      <c r="J1201" s="36">
        <v>40962</v>
      </c>
      <c r="K1201" s="37">
        <v>0.52722222222222226</v>
      </c>
      <c r="L1201" s="36">
        <v>42916</v>
      </c>
      <c r="M1201" s="38">
        <v>0.54292824074074075</v>
      </c>
    </row>
    <row r="1202" spans="1:13" ht="45" x14ac:dyDescent="0.25">
      <c r="A1202" s="33" t="s">
        <v>262</v>
      </c>
      <c r="B1202" s="34" t="str">
        <f>HYPERLINK("http://www.twitter.com/GosAcLibs", "GosAcLibs")</f>
        <v>GosAcLibs</v>
      </c>
      <c r="C1202" s="33" t="s">
        <v>2610</v>
      </c>
      <c r="D1202" s="33" t="s">
        <v>96</v>
      </c>
      <c r="E1202" s="32" t="s">
        <v>2611</v>
      </c>
      <c r="F1202" s="35">
        <v>605</v>
      </c>
      <c r="G1202" s="35">
        <v>235</v>
      </c>
      <c r="H1202" s="35">
        <v>581</v>
      </c>
      <c r="I1202" s="35">
        <v>117</v>
      </c>
      <c r="J1202" s="36">
        <v>42380</v>
      </c>
      <c r="K1202" s="37">
        <v>0.38701388888888894</v>
      </c>
      <c r="L1202" s="36">
        <v>42930</v>
      </c>
      <c r="M1202" s="38">
        <v>0.32086805555555559</v>
      </c>
    </row>
    <row r="1203" spans="1:13" x14ac:dyDescent="0.25">
      <c r="A1203" s="33" t="s">
        <v>262</v>
      </c>
      <c r="B1203" s="34" t="str">
        <f>HYPERLINK("http://www.twitter.com/AndersonHighLib", "AndersonHighLib")</f>
        <v>AndersonHighLib</v>
      </c>
      <c r="C1203" s="33" t="s">
        <v>2661</v>
      </c>
      <c r="D1203" s="33" t="s">
        <v>2662</v>
      </c>
      <c r="E1203" s="32" t="s">
        <v>2663</v>
      </c>
      <c r="F1203" s="35">
        <v>377</v>
      </c>
      <c r="G1203" s="35">
        <v>217</v>
      </c>
      <c r="H1203" s="35">
        <v>571</v>
      </c>
      <c r="I1203" s="35">
        <v>371</v>
      </c>
      <c r="J1203" s="36">
        <v>41850</v>
      </c>
      <c r="K1203" s="37">
        <v>0.52488425925925919</v>
      </c>
      <c r="L1203" s="36">
        <v>42912</v>
      </c>
      <c r="M1203" s="38">
        <v>0.44001157407407404</v>
      </c>
    </row>
    <row r="1204" spans="1:13" ht="45" x14ac:dyDescent="0.25">
      <c r="A1204" s="33" t="s">
        <v>262</v>
      </c>
      <c r="B1204" s="34" t="str">
        <f>HYPERLINK("http://www.twitter.com/CLVLibs", "CLVLibs")</f>
        <v>CLVLibs</v>
      </c>
      <c r="C1204" s="33" t="s">
        <v>3047</v>
      </c>
      <c r="E1204" s="32" t="s">
        <v>3048</v>
      </c>
      <c r="F1204" s="35">
        <v>101</v>
      </c>
      <c r="G1204" s="35">
        <v>124</v>
      </c>
      <c r="H1204" s="35">
        <v>569</v>
      </c>
      <c r="I1204" s="35">
        <v>35</v>
      </c>
      <c r="J1204" s="36">
        <v>40792</v>
      </c>
      <c r="K1204" s="37">
        <v>0.78591435185185177</v>
      </c>
      <c r="L1204" s="36">
        <v>42282</v>
      </c>
      <c r="M1204" s="38">
        <v>0.76214120370370375</v>
      </c>
    </row>
    <row r="1205" spans="1:13" ht="45" x14ac:dyDescent="0.25">
      <c r="A1205" s="33" t="s">
        <v>262</v>
      </c>
      <c r="B1205" s="34" t="str">
        <f>HYPERLINK("http://www.twitter.com/Maynard_Library", "Maynard_Library")</f>
        <v>Maynard_Library</v>
      </c>
      <c r="C1205" s="33" t="s">
        <v>3163</v>
      </c>
      <c r="D1205" s="33" t="s">
        <v>2636</v>
      </c>
      <c r="E1205" s="32" t="s">
        <v>3164</v>
      </c>
      <c r="F1205" s="35">
        <v>177</v>
      </c>
      <c r="G1205" s="35">
        <v>104</v>
      </c>
      <c r="H1205" s="35">
        <v>566</v>
      </c>
      <c r="I1205" s="35">
        <v>613</v>
      </c>
      <c r="J1205" s="36">
        <v>42342</v>
      </c>
      <c r="K1205" s="37">
        <v>0.49810185185185185</v>
      </c>
      <c r="L1205" s="36">
        <v>42934</v>
      </c>
      <c r="M1205" s="38">
        <v>0.50166666666666659</v>
      </c>
    </row>
    <row r="1206" spans="1:13" ht="45" x14ac:dyDescent="0.25">
      <c r="A1206" s="33" t="s">
        <v>262</v>
      </c>
      <c r="B1206" s="34" t="str">
        <f>HYPERLINK("http://www.twitter.com/SPCResource", "SPCResource")</f>
        <v>SPCResource</v>
      </c>
      <c r="C1206" s="33" t="s">
        <v>2683</v>
      </c>
      <c r="D1206" s="33" t="s">
        <v>2684</v>
      </c>
      <c r="E1206" s="32" t="s">
        <v>2685</v>
      </c>
      <c r="F1206" s="35">
        <v>278</v>
      </c>
      <c r="G1206" s="35">
        <v>199</v>
      </c>
      <c r="H1206" s="35">
        <v>564</v>
      </c>
      <c r="I1206" s="35">
        <v>100</v>
      </c>
      <c r="J1206" s="36">
        <v>41674</v>
      </c>
      <c r="K1206" s="37">
        <v>0.63105324074074076</v>
      </c>
      <c r="L1206" s="36">
        <v>42935</v>
      </c>
      <c r="M1206" s="38">
        <v>0.45543981481481483</v>
      </c>
    </row>
    <row r="1207" spans="1:13" ht="45" x14ac:dyDescent="0.25">
      <c r="A1207" s="33" t="s">
        <v>262</v>
      </c>
      <c r="B1207" s="34" t="str">
        <f>HYPERLINK("http://www.twitter.com/TheLibraryatLHS", "TheLibraryatLHS")</f>
        <v>TheLibraryatLHS</v>
      </c>
      <c r="C1207" s="33" t="s">
        <v>2048</v>
      </c>
      <c r="D1207" s="33" t="s">
        <v>2049</v>
      </c>
      <c r="E1207" s="32" t="s">
        <v>2050</v>
      </c>
      <c r="F1207" s="35">
        <v>1506</v>
      </c>
      <c r="G1207" s="35">
        <v>408</v>
      </c>
      <c r="H1207" s="35">
        <v>561</v>
      </c>
      <c r="I1207" s="35">
        <v>675</v>
      </c>
      <c r="J1207" s="36">
        <v>42619</v>
      </c>
      <c r="K1207" s="37">
        <v>0.57469907407407406</v>
      </c>
      <c r="L1207" s="36">
        <v>42937</v>
      </c>
      <c r="M1207" s="38">
        <v>0.44616898148148149</v>
      </c>
    </row>
    <row r="1208" spans="1:13" ht="30" x14ac:dyDescent="0.25">
      <c r="A1208" s="33" t="s">
        <v>262</v>
      </c>
      <c r="B1208" s="34" t="str">
        <f>HYPERLINK("http://www.twitter.com/HansPriceLRC", "HansPriceLRC")</f>
        <v>HansPriceLRC</v>
      </c>
      <c r="C1208" s="33" t="s">
        <v>2124</v>
      </c>
      <c r="D1208" s="33" t="s">
        <v>2125</v>
      </c>
      <c r="E1208" s="32" t="s">
        <v>2126</v>
      </c>
      <c r="F1208" s="35">
        <v>538</v>
      </c>
      <c r="G1208" s="35">
        <v>383</v>
      </c>
      <c r="H1208" s="35">
        <v>560</v>
      </c>
      <c r="I1208" s="35">
        <v>321</v>
      </c>
      <c r="J1208" s="36">
        <v>40864</v>
      </c>
      <c r="K1208" s="37">
        <v>0.59033564814814821</v>
      </c>
      <c r="L1208" s="36">
        <v>42940</v>
      </c>
      <c r="M1208" s="38">
        <v>0.39636574074074077</v>
      </c>
    </row>
    <row r="1209" spans="1:13" ht="30" x14ac:dyDescent="0.25">
      <c r="A1209" s="33" t="s">
        <v>262</v>
      </c>
      <c r="B1209" s="34" t="str">
        <f>HYPERLINK("http://www.twitter.com/RadleyLibrary", "RadleyLibrary")</f>
        <v>RadleyLibrary</v>
      </c>
      <c r="C1209" s="33" t="s">
        <v>2917</v>
      </c>
      <c r="D1209" s="33" t="s">
        <v>2918</v>
      </c>
      <c r="E1209" s="32" t="s">
        <v>2919</v>
      </c>
      <c r="F1209" s="35">
        <v>442</v>
      </c>
      <c r="G1209" s="35">
        <v>178</v>
      </c>
      <c r="H1209" s="35">
        <v>549</v>
      </c>
      <c r="I1209" s="35">
        <v>129</v>
      </c>
      <c r="J1209" s="36">
        <v>41170</v>
      </c>
      <c r="K1209" s="37">
        <v>0.63428240740740738</v>
      </c>
      <c r="L1209" s="36">
        <v>42912</v>
      </c>
      <c r="M1209" s="38">
        <v>0.24736111111111111</v>
      </c>
    </row>
    <row r="1210" spans="1:13" x14ac:dyDescent="0.25">
      <c r="A1210" s="33" t="s">
        <v>262</v>
      </c>
      <c r="B1210" s="34" t="str">
        <f>HYPERLINK("http://www.twitter.com/klslibrary", "klslibrary")</f>
        <v>klslibrary</v>
      </c>
      <c r="C1210" s="33" t="s">
        <v>2333</v>
      </c>
      <c r="D1210" s="33" t="s">
        <v>2334</v>
      </c>
      <c r="E1210" s="32" t="s">
        <v>2335</v>
      </c>
      <c r="F1210" s="35">
        <v>332</v>
      </c>
      <c r="G1210" s="35">
        <v>296</v>
      </c>
      <c r="H1210" s="35">
        <v>515</v>
      </c>
      <c r="I1210" s="35">
        <v>577</v>
      </c>
      <c r="J1210" s="36">
        <v>41183</v>
      </c>
      <c r="K1210" s="37">
        <v>0.62684027777777784</v>
      </c>
      <c r="L1210" s="36">
        <v>42936</v>
      </c>
      <c r="M1210" s="38">
        <v>0.71946759259259263</v>
      </c>
    </row>
    <row r="1211" spans="1:13" x14ac:dyDescent="0.25">
      <c r="A1211" s="33" t="s">
        <v>262</v>
      </c>
      <c r="B1211" s="34" t="str">
        <f>HYPERLINK("http://www.twitter.com/SJBC_LRC", "SJBC_LRC")</f>
        <v>SJBC_LRC</v>
      </c>
      <c r="C1211" s="33" t="s">
        <v>1932</v>
      </c>
      <c r="D1211" s="33" t="s">
        <v>3204</v>
      </c>
      <c r="E1211" s="32" t="s">
        <v>3205</v>
      </c>
      <c r="F1211" s="35">
        <v>215</v>
      </c>
      <c r="G1211" s="35">
        <v>89</v>
      </c>
      <c r="H1211" s="35">
        <v>513</v>
      </c>
      <c r="I1211" s="35">
        <v>602</v>
      </c>
      <c r="J1211" s="36">
        <v>42542</v>
      </c>
      <c r="K1211" s="37">
        <v>0.33317129629629633</v>
      </c>
      <c r="L1211" s="36">
        <v>42919</v>
      </c>
      <c r="M1211" s="38">
        <v>0.36930555555555555</v>
      </c>
    </row>
    <row r="1212" spans="1:13" x14ac:dyDescent="0.25">
      <c r="A1212" s="33" t="s">
        <v>262</v>
      </c>
      <c r="B1212" s="34" t="str">
        <f>HYPERLINK("http://www.twitter.com/PlymouthLSS", "PlymouthLSS")</f>
        <v>PlymouthLSS</v>
      </c>
      <c r="C1212" s="33" t="s">
        <v>2498</v>
      </c>
      <c r="D1212" s="33" t="s">
        <v>186</v>
      </c>
      <c r="E1212" s="32" t="s">
        <v>2499</v>
      </c>
      <c r="F1212" s="35">
        <v>260</v>
      </c>
      <c r="G1212" s="35">
        <v>256</v>
      </c>
      <c r="H1212" s="35">
        <v>513</v>
      </c>
      <c r="I1212" s="35">
        <v>8</v>
      </c>
      <c r="J1212" s="36">
        <v>42031</v>
      </c>
      <c r="K1212" s="37">
        <v>0.41748842592592594</v>
      </c>
      <c r="L1212" s="36">
        <v>42930</v>
      </c>
      <c r="M1212" s="38">
        <v>0.65842592592592586</v>
      </c>
    </row>
    <row r="1213" spans="1:13" ht="30" x14ac:dyDescent="0.25">
      <c r="A1213" s="33" t="s">
        <v>262</v>
      </c>
      <c r="B1213" s="34" t="str">
        <f>HYPERLINK("http://www.twitter.com/FernwoodLibrary", "FernwoodLibrary")</f>
        <v>FernwoodLibrary</v>
      </c>
      <c r="C1213" s="33" t="s">
        <v>2441</v>
      </c>
      <c r="E1213" s="32" t="s">
        <v>2442</v>
      </c>
      <c r="F1213" s="35">
        <v>215</v>
      </c>
      <c r="G1213" s="35">
        <v>255</v>
      </c>
      <c r="H1213" s="35">
        <v>510</v>
      </c>
      <c r="I1213" s="35">
        <v>92</v>
      </c>
      <c r="J1213" s="36">
        <v>41134</v>
      </c>
      <c r="K1213" s="37">
        <v>0.30476851851851855</v>
      </c>
      <c r="L1213" s="36">
        <v>42636</v>
      </c>
      <c r="M1213" s="38">
        <v>0.67706018518518529</v>
      </c>
    </row>
    <row r="1214" spans="1:13" x14ac:dyDescent="0.25">
      <c r="A1214" s="33" t="s">
        <v>262</v>
      </c>
      <c r="B1214" s="34" t="str">
        <f>HYPERLINK("http://www.twitter.com/AltonCollegeLRC", "AltonCollegeLRC")</f>
        <v>AltonCollegeLRC</v>
      </c>
      <c r="C1214" s="33" t="s">
        <v>2422</v>
      </c>
      <c r="D1214" s="33" t="s">
        <v>2423</v>
      </c>
      <c r="E1214" s="32" t="s">
        <v>2424</v>
      </c>
      <c r="F1214" s="35">
        <v>719</v>
      </c>
      <c r="G1214" s="35">
        <v>268</v>
      </c>
      <c r="H1214" s="35">
        <v>510</v>
      </c>
      <c r="I1214" s="35">
        <v>141</v>
      </c>
      <c r="J1214" s="36">
        <v>41099</v>
      </c>
      <c r="K1214" s="37">
        <v>0.5586458333333334</v>
      </c>
      <c r="L1214" s="36">
        <v>42927</v>
      </c>
      <c r="M1214" s="38">
        <v>0.37153935185185188</v>
      </c>
    </row>
    <row r="1215" spans="1:13" x14ac:dyDescent="0.25">
      <c r="A1215" s="33" t="s">
        <v>262</v>
      </c>
      <c r="B1215" s="34" t="str">
        <f>HYPERLINK("http://www.twitter.com/ghslibrary2014", "ghslibrary2014")</f>
        <v>ghslibrary2014</v>
      </c>
      <c r="C1215" s="33" t="s">
        <v>2536</v>
      </c>
      <c r="F1215" s="35">
        <v>41</v>
      </c>
      <c r="G1215" s="35">
        <v>131</v>
      </c>
      <c r="H1215" s="35">
        <v>509</v>
      </c>
      <c r="I1215" s="35">
        <v>292</v>
      </c>
      <c r="J1215" s="36">
        <v>41709</v>
      </c>
      <c r="K1215" s="37">
        <v>0.65513888888888883</v>
      </c>
      <c r="L1215" s="36">
        <v>42912</v>
      </c>
      <c r="M1215" s="38">
        <v>0.94878472222222221</v>
      </c>
    </row>
    <row r="1216" spans="1:13" ht="45" x14ac:dyDescent="0.25">
      <c r="A1216" s="33" t="s">
        <v>262</v>
      </c>
      <c r="B1216" s="34" t="str">
        <f>HYPERLINK("http://www.twitter.com/BradfordCollLib", "BradfordCollLib")</f>
        <v>BradfordCollLib</v>
      </c>
      <c r="C1216" s="33" t="s">
        <v>2627</v>
      </c>
      <c r="D1216" s="33" t="s">
        <v>2628</v>
      </c>
      <c r="E1216" s="32" t="s">
        <v>2629</v>
      </c>
      <c r="F1216" s="35">
        <v>3</v>
      </c>
      <c r="G1216" s="35">
        <v>212</v>
      </c>
      <c r="H1216" s="35">
        <v>509</v>
      </c>
      <c r="I1216" s="35">
        <v>8</v>
      </c>
      <c r="J1216" s="36">
        <v>40880</v>
      </c>
      <c r="K1216" s="37">
        <v>0.43493055555555554</v>
      </c>
      <c r="L1216" s="36">
        <v>42921</v>
      </c>
      <c r="M1216" s="38">
        <v>0.42335648148148147</v>
      </c>
    </row>
    <row r="1217" spans="1:13" x14ac:dyDescent="0.25">
      <c r="A1217" s="33" t="s">
        <v>262</v>
      </c>
      <c r="B1217" s="34" t="str">
        <f>HYPERLINK("http://www.twitter.com/WSClibrary", "WSClibrary")</f>
        <v>WSClibrary</v>
      </c>
      <c r="C1217" s="33" t="s">
        <v>2820</v>
      </c>
      <c r="D1217" s="33" t="s">
        <v>2821</v>
      </c>
      <c r="E1217" s="32" t="s">
        <v>2822</v>
      </c>
      <c r="F1217" s="35">
        <v>168</v>
      </c>
      <c r="G1217" s="35">
        <v>175</v>
      </c>
      <c r="H1217" s="35">
        <v>507</v>
      </c>
      <c r="I1217" s="35">
        <v>36</v>
      </c>
      <c r="J1217" s="36">
        <v>40952</v>
      </c>
      <c r="K1217" s="37">
        <v>0.41898148148148145</v>
      </c>
      <c r="L1217" s="36">
        <v>42937</v>
      </c>
      <c r="M1217" s="38">
        <v>0.38339120370370372</v>
      </c>
    </row>
    <row r="1218" spans="1:13" x14ac:dyDescent="0.25">
      <c r="A1218" s="33" t="s">
        <v>262</v>
      </c>
      <c r="B1218" s="34" t="str">
        <f>HYPERLINK("http://www.twitter.com/bbeclrc", "bbeclrc")</f>
        <v>bbeclrc</v>
      </c>
      <c r="C1218" s="33" t="s">
        <v>2960</v>
      </c>
      <c r="D1218" s="33" t="s">
        <v>2788</v>
      </c>
      <c r="E1218" s="32" t="s">
        <v>2961</v>
      </c>
      <c r="F1218" s="35">
        <v>170</v>
      </c>
      <c r="G1218" s="35">
        <v>147</v>
      </c>
      <c r="H1218" s="35">
        <v>505</v>
      </c>
      <c r="I1218" s="35">
        <v>4</v>
      </c>
      <c r="J1218" s="36">
        <v>40831</v>
      </c>
      <c r="K1218" s="37">
        <v>0.44539351851851849</v>
      </c>
      <c r="L1218" s="36">
        <v>41948</v>
      </c>
      <c r="M1218" s="38">
        <v>0.65724537037037034</v>
      </c>
    </row>
    <row r="1219" spans="1:13" x14ac:dyDescent="0.25">
      <c r="A1219" s="33" t="s">
        <v>262</v>
      </c>
      <c r="B1219" s="34" t="str">
        <f>HYPERLINK("http://www.twitter.com/AlvaAcadLibrary", "AlvaAcadLibrary")</f>
        <v>AlvaAcadLibrary</v>
      </c>
      <c r="C1219" s="33" t="s">
        <v>2937</v>
      </c>
      <c r="E1219" s="32" t="s">
        <v>2938</v>
      </c>
      <c r="F1219" s="35">
        <v>247</v>
      </c>
      <c r="G1219" s="35">
        <v>151</v>
      </c>
      <c r="H1219" s="35">
        <v>504</v>
      </c>
      <c r="I1219" s="35">
        <v>305</v>
      </c>
      <c r="J1219" s="36">
        <v>41712</v>
      </c>
      <c r="K1219" s="37">
        <v>0.40599537037037042</v>
      </c>
      <c r="L1219" s="36">
        <v>42531</v>
      </c>
      <c r="M1219" s="38">
        <v>0.34888888888888886</v>
      </c>
    </row>
    <row r="1220" spans="1:13" ht="45" x14ac:dyDescent="0.25">
      <c r="A1220" s="33" t="s">
        <v>262</v>
      </c>
      <c r="B1220" s="34" t="str">
        <f>HYPERLINK("http://www.twitter.com/CentralLoopLRC", "CentralLoopLRC")</f>
        <v>CentralLoopLRC</v>
      </c>
      <c r="C1220" s="33" t="s">
        <v>3151</v>
      </c>
      <c r="D1220" s="33" t="s">
        <v>3152</v>
      </c>
      <c r="E1220" s="32" t="s">
        <v>3153</v>
      </c>
      <c r="F1220" s="35">
        <v>157</v>
      </c>
      <c r="G1220" s="35">
        <v>94</v>
      </c>
      <c r="H1220" s="35">
        <v>503</v>
      </c>
      <c r="I1220" s="35">
        <v>32</v>
      </c>
      <c r="J1220" s="36">
        <v>40184</v>
      </c>
      <c r="K1220" s="37">
        <v>0.62171296296296297</v>
      </c>
      <c r="L1220" s="36">
        <v>42429</v>
      </c>
      <c r="M1220" s="38">
        <v>0.49070601851851853</v>
      </c>
    </row>
    <row r="1221" spans="1:13" x14ac:dyDescent="0.25">
      <c r="A1221" s="33" t="s">
        <v>262</v>
      </c>
      <c r="B1221" s="34" t="str">
        <f>HYPERLINK("http://www.twitter.com/Dalzielians", "Dalzielians")</f>
        <v>Dalzielians</v>
      </c>
      <c r="C1221" s="33" t="s">
        <v>2327</v>
      </c>
      <c r="D1221" s="33" t="s">
        <v>1689</v>
      </c>
      <c r="E1221" s="32" t="s">
        <v>2328</v>
      </c>
      <c r="F1221" s="35">
        <v>355</v>
      </c>
      <c r="G1221" s="35">
        <v>298</v>
      </c>
      <c r="H1221" s="35">
        <v>502</v>
      </c>
      <c r="I1221" s="35">
        <v>38</v>
      </c>
      <c r="J1221" s="36">
        <v>41973</v>
      </c>
      <c r="K1221" s="37">
        <v>0.57758101851851851</v>
      </c>
      <c r="L1221" s="36">
        <v>42920</v>
      </c>
      <c r="M1221" s="38">
        <v>0.35660879629629627</v>
      </c>
    </row>
    <row r="1222" spans="1:13" x14ac:dyDescent="0.25">
      <c r="A1222" s="33" t="s">
        <v>262</v>
      </c>
      <c r="B1222" s="34" t="str">
        <f>HYPERLINK("http://www.twitter.com/KECHB_Lib", "KECHB_Lib")</f>
        <v>KECHB_Lib</v>
      </c>
      <c r="C1222" s="33" t="s">
        <v>2667</v>
      </c>
      <c r="D1222" s="33" t="s">
        <v>2030</v>
      </c>
      <c r="E1222" s="32" t="s">
        <v>2668</v>
      </c>
      <c r="F1222" s="35">
        <v>116</v>
      </c>
      <c r="G1222" s="35">
        <v>208</v>
      </c>
      <c r="H1222" s="35">
        <v>499</v>
      </c>
      <c r="I1222" s="35">
        <v>277</v>
      </c>
      <c r="J1222" s="36">
        <v>42065</v>
      </c>
      <c r="K1222" s="37">
        <v>0.71466435185185195</v>
      </c>
      <c r="L1222" s="36">
        <v>42940</v>
      </c>
      <c r="M1222" s="38">
        <v>0.49611111111111111</v>
      </c>
    </row>
    <row r="1223" spans="1:13" x14ac:dyDescent="0.25">
      <c r="A1223" s="33" t="s">
        <v>262</v>
      </c>
      <c r="B1223" s="34" t="str">
        <f>HYPERLINK("http://www.twitter.com/kings_ely_porta", "kings_ely_porta")</f>
        <v>kings_ely_porta</v>
      </c>
      <c r="C1223" s="33" t="s">
        <v>2779</v>
      </c>
      <c r="E1223" s="32" t="s">
        <v>2780</v>
      </c>
      <c r="F1223" s="35">
        <v>267</v>
      </c>
      <c r="G1223" s="35">
        <v>183</v>
      </c>
      <c r="H1223" s="35">
        <v>493</v>
      </c>
      <c r="I1223" s="35">
        <v>18</v>
      </c>
      <c r="J1223" s="36">
        <v>41890</v>
      </c>
      <c r="K1223" s="37">
        <v>0.37902777777777774</v>
      </c>
      <c r="L1223" s="36">
        <v>42880</v>
      </c>
      <c r="M1223" s="38">
        <v>0.45525462962962965</v>
      </c>
    </row>
    <row r="1224" spans="1:13" ht="30" x14ac:dyDescent="0.25">
      <c r="A1224" s="33" t="s">
        <v>262</v>
      </c>
      <c r="B1224" s="34" t="str">
        <f>HYPERLINK("http://www.twitter.com/MoserLibrary", "MoserLibrary")</f>
        <v>MoserLibrary</v>
      </c>
      <c r="C1224" s="33" t="s">
        <v>2692</v>
      </c>
      <c r="D1224" s="33" t="s">
        <v>2693</v>
      </c>
      <c r="E1224" s="32" t="s">
        <v>2694</v>
      </c>
      <c r="F1224" s="35">
        <v>310</v>
      </c>
      <c r="G1224" s="35">
        <v>215</v>
      </c>
      <c r="H1224" s="35">
        <v>492</v>
      </c>
      <c r="I1224" s="35">
        <v>141</v>
      </c>
      <c r="J1224" s="36">
        <v>41754</v>
      </c>
      <c r="K1224" s="37">
        <v>0.36723379629629632</v>
      </c>
      <c r="L1224" s="36">
        <v>42912</v>
      </c>
      <c r="M1224" s="38">
        <v>0.375</v>
      </c>
    </row>
    <row r="1225" spans="1:13" ht="60" x14ac:dyDescent="0.25">
      <c r="A1225" s="33" t="s">
        <v>262</v>
      </c>
      <c r="B1225" s="34" t="str">
        <f>HYPERLINK("http://www.twitter.com/nsnacademy", "nsnacademy")</f>
        <v>nsnacademy</v>
      </c>
      <c r="C1225" s="33" t="s">
        <v>3555</v>
      </c>
      <c r="D1225" s="33" t="s">
        <v>3556</v>
      </c>
      <c r="E1225" s="32" t="s">
        <v>3557</v>
      </c>
      <c r="F1225" s="35">
        <v>789</v>
      </c>
      <c r="G1225" s="35">
        <v>460</v>
      </c>
      <c r="H1225" s="35">
        <v>491</v>
      </c>
      <c r="I1225" s="35">
        <v>348</v>
      </c>
      <c r="J1225" s="36">
        <v>42396</v>
      </c>
      <c r="K1225" s="37">
        <v>0.70795138888888898</v>
      </c>
      <c r="L1225" s="36">
        <v>42940</v>
      </c>
      <c r="M1225" s="38">
        <v>0.46739583333333329</v>
      </c>
    </row>
    <row r="1226" spans="1:13" ht="45" x14ac:dyDescent="0.25">
      <c r="A1226" s="33" t="s">
        <v>262</v>
      </c>
      <c r="B1226" s="34" t="str">
        <f>HYPERLINK("http://www.twitter.com/EPHS_Library", "EPHS_Library")</f>
        <v>EPHS_Library</v>
      </c>
      <c r="C1226" s="33" t="s">
        <v>2771</v>
      </c>
      <c r="D1226" s="33" t="s">
        <v>477</v>
      </c>
      <c r="E1226" s="32" t="s">
        <v>2772</v>
      </c>
      <c r="F1226" s="35">
        <v>268</v>
      </c>
      <c r="G1226" s="35">
        <v>209</v>
      </c>
      <c r="H1226" s="35">
        <v>485</v>
      </c>
      <c r="I1226" s="35">
        <v>691</v>
      </c>
      <c r="J1226" s="36">
        <v>42242</v>
      </c>
      <c r="K1226" s="37">
        <v>0.37813657407407408</v>
      </c>
      <c r="L1226" s="36">
        <v>42940</v>
      </c>
      <c r="M1226" s="38">
        <v>0.54013888888888884</v>
      </c>
    </row>
    <row r="1227" spans="1:13" ht="30" x14ac:dyDescent="0.25">
      <c r="A1227" s="33" t="s">
        <v>262</v>
      </c>
      <c r="B1227" s="34" t="str">
        <f>HYPERLINK("http://www.twitter.com/SDCLC", "SDCLC")</f>
        <v>SDCLC</v>
      </c>
      <c r="C1227" s="33" t="s">
        <v>3009</v>
      </c>
      <c r="D1227" s="33" t="s">
        <v>3010</v>
      </c>
      <c r="E1227" s="32" t="s">
        <v>3011</v>
      </c>
      <c r="F1227" s="35">
        <v>137</v>
      </c>
      <c r="G1227" s="35">
        <v>136</v>
      </c>
      <c r="H1227" s="35">
        <v>481</v>
      </c>
      <c r="I1227" s="35">
        <v>4</v>
      </c>
      <c r="J1227" s="36">
        <v>41603</v>
      </c>
      <c r="K1227" s="37">
        <v>0.43546296296296294</v>
      </c>
      <c r="L1227" s="36">
        <v>42909</v>
      </c>
      <c r="M1227" s="38">
        <v>0.50771990740740736</v>
      </c>
    </row>
    <row r="1228" spans="1:13" ht="60" x14ac:dyDescent="0.25">
      <c r="A1228" s="33" t="s">
        <v>262</v>
      </c>
      <c r="B1228" s="34" t="str">
        <f>HYPERLINK("http://www.twitter.com/asfclibrary", "asfclibrary")</f>
        <v>asfclibrary</v>
      </c>
      <c r="C1228" s="33" t="s">
        <v>3614</v>
      </c>
      <c r="D1228" s="33" t="s">
        <v>3615</v>
      </c>
      <c r="E1228" s="32" t="s">
        <v>3616</v>
      </c>
      <c r="F1228" s="35">
        <v>290</v>
      </c>
      <c r="G1228" s="35">
        <v>137</v>
      </c>
      <c r="H1228" s="35">
        <v>478</v>
      </c>
      <c r="I1228" s="35">
        <v>86</v>
      </c>
      <c r="J1228" s="36">
        <v>40234</v>
      </c>
      <c r="K1228" s="37">
        <v>0.36753472222222222</v>
      </c>
      <c r="L1228" s="36">
        <v>42934</v>
      </c>
      <c r="M1228" s="38">
        <v>0.42747685185185186</v>
      </c>
    </row>
    <row r="1229" spans="1:13" ht="30" x14ac:dyDescent="0.25">
      <c r="A1229" s="33" t="s">
        <v>262</v>
      </c>
      <c r="B1229" s="34" t="str">
        <f>HYPERLINK("http://www.twitter.com/WestKentLRC", "WestKentLRC")</f>
        <v>WestKentLRC</v>
      </c>
      <c r="C1229" s="33" t="s">
        <v>2470</v>
      </c>
      <c r="D1229" s="33" t="s">
        <v>3595</v>
      </c>
      <c r="E1229" s="32" t="s">
        <v>3596</v>
      </c>
      <c r="F1229" s="35">
        <v>60</v>
      </c>
      <c r="G1229" s="35">
        <v>176</v>
      </c>
      <c r="H1229" s="35">
        <v>472</v>
      </c>
      <c r="I1229" s="35">
        <v>8</v>
      </c>
      <c r="J1229" s="36">
        <v>40963</v>
      </c>
      <c r="K1229" s="37">
        <v>0.42388888888888893</v>
      </c>
      <c r="L1229" s="36">
        <v>42262</v>
      </c>
      <c r="M1229" s="38">
        <v>0.52172453703703703</v>
      </c>
    </row>
    <row r="1230" spans="1:13" x14ac:dyDescent="0.25">
      <c r="A1230" s="33" t="s">
        <v>262</v>
      </c>
      <c r="B1230" s="34" t="str">
        <f>HYPERLINK("http://www.twitter.com/LWSchoolLibrary", "LWSchoolLibrary")</f>
        <v>LWSchoolLibrary</v>
      </c>
      <c r="C1230" s="33" t="s">
        <v>1929</v>
      </c>
      <c r="D1230" s="33" t="s">
        <v>1930</v>
      </c>
      <c r="E1230" s="32" t="s">
        <v>1931</v>
      </c>
      <c r="F1230" s="35">
        <v>395</v>
      </c>
      <c r="G1230" s="35">
        <v>445</v>
      </c>
      <c r="H1230" s="35">
        <v>467</v>
      </c>
      <c r="I1230" s="35">
        <v>122</v>
      </c>
      <c r="J1230" s="36">
        <v>41687</v>
      </c>
      <c r="K1230" s="37">
        <v>0.42914351851851856</v>
      </c>
      <c r="L1230" s="36">
        <v>42924</v>
      </c>
      <c r="M1230" s="38">
        <v>0.29719907407407409</v>
      </c>
    </row>
    <row r="1231" spans="1:13" ht="45" x14ac:dyDescent="0.25">
      <c r="A1231" s="33" t="s">
        <v>262</v>
      </c>
      <c r="B1231" s="34" t="str">
        <f>HYPERLINK("http://www.twitter.com/twynhamlibrary", "twynhamlibrary")</f>
        <v>twynhamlibrary</v>
      </c>
      <c r="C1231" s="33" t="s">
        <v>2962</v>
      </c>
      <c r="D1231" s="33" t="s">
        <v>2963</v>
      </c>
      <c r="E1231" s="32" t="s">
        <v>2964</v>
      </c>
      <c r="F1231" s="35">
        <v>519</v>
      </c>
      <c r="G1231" s="35">
        <v>158</v>
      </c>
      <c r="H1231" s="35">
        <v>460</v>
      </c>
      <c r="I1231" s="35">
        <v>466</v>
      </c>
      <c r="J1231" s="36">
        <v>42437</v>
      </c>
      <c r="K1231" s="37">
        <v>0.46410879629629626</v>
      </c>
      <c r="L1231" s="36">
        <v>42936</v>
      </c>
      <c r="M1231" s="38">
        <v>0.44862268518518517</v>
      </c>
    </row>
    <row r="1232" spans="1:13" ht="45" x14ac:dyDescent="0.25">
      <c r="A1232" s="33" t="s">
        <v>262</v>
      </c>
      <c r="B1232" s="34" t="str">
        <f>HYPERLINK("http://www.twitter.com/Wh_LRC", "Wh_LRC")</f>
        <v>Wh_LRC</v>
      </c>
      <c r="C1232" s="33" t="s">
        <v>3380</v>
      </c>
      <c r="E1232" s="32" t="s">
        <v>3381</v>
      </c>
      <c r="F1232" s="35">
        <v>103</v>
      </c>
      <c r="G1232" s="35">
        <v>63</v>
      </c>
      <c r="H1232" s="35">
        <v>459</v>
      </c>
      <c r="I1232" s="35">
        <v>88</v>
      </c>
      <c r="J1232" s="36">
        <v>42716</v>
      </c>
      <c r="K1232" s="37">
        <v>0.42833333333333329</v>
      </c>
      <c r="L1232" s="36">
        <v>42937</v>
      </c>
      <c r="M1232" s="38">
        <v>0.53196759259259252</v>
      </c>
    </row>
    <row r="1233" spans="1:13" ht="45" x14ac:dyDescent="0.25">
      <c r="A1233" s="33" t="s">
        <v>262</v>
      </c>
      <c r="B1233" s="34" t="str">
        <f>HYPERLINK("http://www.twitter.com/MacsLrc", "MacsLrc")</f>
        <v>MacsLrc</v>
      </c>
      <c r="C1233" s="33" t="s">
        <v>2852</v>
      </c>
      <c r="E1233" s="32" t="s">
        <v>2853</v>
      </c>
      <c r="F1233" s="35">
        <v>138</v>
      </c>
      <c r="G1233" s="35">
        <v>184</v>
      </c>
      <c r="H1233" s="35">
        <v>457</v>
      </c>
      <c r="I1233" s="35">
        <v>673</v>
      </c>
      <c r="J1233" s="36">
        <v>42500</v>
      </c>
      <c r="K1233" s="37">
        <v>0.54869212962962965</v>
      </c>
      <c r="L1233" s="36">
        <v>42936</v>
      </c>
      <c r="M1233" s="38">
        <v>0.89991898148148142</v>
      </c>
    </row>
    <row r="1234" spans="1:13" x14ac:dyDescent="0.25">
      <c r="A1234" s="33" t="s">
        <v>262</v>
      </c>
      <c r="B1234" s="34" t="str">
        <f>HYPERLINK("http://www.twitter.com/Christs_Library", "Christs_Library")</f>
        <v>Christs_Library</v>
      </c>
      <c r="C1234" s="33" t="s">
        <v>3201</v>
      </c>
      <c r="D1234" s="33" t="s">
        <v>3202</v>
      </c>
      <c r="E1234" s="32" t="s">
        <v>3203</v>
      </c>
      <c r="F1234" s="35">
        <v>190</v>
      </c>
      <c r="G1234" s="35">
        <v>89</v>
      </c>
      <c r="H1234" s="35">
        <v>456</v>
      </c>
      <c r="I1234" s="35">
        <v>233</v>
      </c>
      <c r="J1234" s="36">
        <v>42081</v>
      </c>
      <c r="K1234" s="37">
        <v>0.60185185185185186</v>
      </c>
      <c r="L1234" s="36">
        <v>42936</v>
      </c>
      <c r="M1234" s="38">
        <v>0.47210648148148149</v>
      </c>
    </row>
    <row r="1235" spans="1:13" x14ac:dyDescent="0.25">
      <c r="A1235" s="33" t="s">
        <v>262</v>
      </c>
      <c r="B1235" s="34" t="str">
        <f>HYPERLINK("http://www.twitter.com/GodolphinRead", "GodolphinRead")</f>
        <v>GodolphinRead</v>
      </c>
      <c r="C1235" s="33" t="s">
        <v>3019</v>
      </c>
      <c r="D1235" s="33" t="s">
        <v>3020</v>
      </c>
      <c r="F1235" s="35">
        <v>604</v>
      </c>
      <c r="G1235" s="35">
        <v>148</v>
      </c>
      <c r="H1235" s="35">
        <v>451</v>
      </c>
      <c r="I1235" s="35">
        <v>498</v>
      </c>
      <c r="J1235" s="36">
        <v>42660</v>
      </c>
      <c r="K1235" s="37">
        <v>0.54672453703703705</v>
      </c>
      <c r="L1235" s="36">
        <v>42936</v>
      </c>
      <c r="M1235" s="38">
        <v>0.4614699074074074</v>
      </c>
    </row>
    <row r="1236" spans="1:13" ht="30" x14ac:dyDescent="0.25">
      <c r="A1236" s="33" t="s">
        <v>262</v>
      </c>
      <c r="B1236" s="34" t="str">
        <f>HYPERLINK("http://www.twitter.com/NclCollLibrary", "NclCollLibrary")</f>
        <v>NclCollLibrary</v>
      </c>
      <c r="C1236" s="33" t="s">
        <v>1962</v>
      </c>
      <c r="D1236" s="33" t="s">
        <v>361</v>
      </c>
      <c r="E1236" s="32" t="s">
        <v>1963</v>
      </c>
      <c r="F1236" s="35">
        <v>73</v>
      </c>
      <c r="G1236" s="35">
        <v>419</v>
      </c>
      <c r="H1236" s="35">
        <v>451</v>
      </c>
      <c r="I1236" s="35">
        <v>3</v>
      </c>
      <c r="J1236" s="36">
        <v>40785</v>
      </c>
      <c r="K1236" s="37">
        <v>0.35715277777777782</v>
      </c>
      <c r="L1236" s="36">
        <v>42881</v>
      </c>
      <c r="M1236" s="38">
        <v>0.54660879629629633</v>
      </c>
    </row>
    <row r="1237" spans="1:13" ht="60" x14ac:dyDescent="0.25">
      <c r="A1237" s="33" t="s">
        <v>262</v>
      </c>
      <c r="B1237" s="34" t="str">
        <f>HYPERLINK("http://www.twitter.com/LFATSFLRC", "LFATSFLRC")</f>
        <v>LFATSFLRC</v>
      </c>
      <c r="C1237" s="33" t="s">
        <v>3289</v>
      </c>
      <c r="E1237" s="32" t="s">
        <v>3290</v>
      </c>
      <c r="F1237" s="35">
        <v>170</v>
      </c>
      <c r="G1237" s="35">
        <v>67</v>
      </c>
      <c r="H1237" s="35">
        <v>450</v>
      </c>
      <c r="I1237" s="35">
        <v>15</v>
      </c>
      <c r="J1237" s="36">
        <v>41249</v>
      </c>
      <c r="K1237" s="37">
        <v>0.42784722222222221</v>
      </c>
      <c r="L1237" s="36">
        <v>42688</v>
      </c>
      <c r="M1237" s="38">
        <v>0.3883449074074074</v>
      </c>
    </row>
    <row r="1238" spans="1:13" ht="30" x14ac:dyDescent="0.25">
      <c r="A1238" s="33" t="s">
        <v>262</v>
      </c>
      <c r="B1238" s="34" t="str">
        <f>HYPERLINK("http://www.twitter.com/TottonColLibrar", "TottonColLibrar")</f>
        <v>TottonColLibrar</v>
      </c>
      <c r="C1238" s="33" t="s">
        <v>3136</v>
      </c>
      <c r="D1238" s="33" t="s">
        <v>3137</v>
      </c>
      <c r="E1238" s="32" t="s">
        <v>3138</v>
      </c>
      <c r="F1238" s="35">
        <v>79</v>
      </c>
      <c r="G1238" s="35">
        <v>97</v>
      </c>
      <c r="H1238" s="35">
        <v>450</v>
      </c>
      <c r="I1238" s="35">
        <v>84</v>
      </c>
      <c r="J1238" s="36">
        <v>40331</v>
      </c>
      <c r="K1238" s="37">
        <v>0.45443287037037039</v>
      </c>
      <c r="L1238" s="36">
        <v>42936</v>
      </c>
      <c r="M1238" s="38">
        <v>0.51265046296296302</v>
      </c>
    </row>
    <row r="1239" spans="1:13" x14ac:dyDescent="0.25">
      <c r="A1239" s="33" t="s">
        <v>262</v>
      </c>
      <c r="B1239" s="34" t="str">
        <f>HYPERLINK("http://www.twitter.com/NewbattleLib", "NewbattleLib")</f>
        <v>NewbattleLib</v>
      </c>
      <c r="C1239" s="33" t="s">
        <v>2409</v>
      </c>
      <c r="D1239" s="33" t="s">
        <v>2410</v>
      </c>
      <c r="E1239" s="32" t="s">
        <v>2411</v>
      </c>
      <c r="F1239" s="35">
        <v>204</v>
      </c>
      <c r="G1239" s="35">
        <v>267</v>
      </c>
      <c r="H1239" s="35">
        <v>441</v>
      </c>
      <c r="I1239" s="35">
        <v>436</v>
      </c>
      <c r="J1239" s="36">
        <v>41703</v>
      </c>
      <c r="K1239" s="37">
        <v>0.52885416666666674</v>
      </c>
      <c r="L1239" s="36">
        <v>42893</v>
      </c>
      <c r="M1239" s="38">
        <v>0.46839120370370368</v>
      </c>
    </row>
    <row r="1240" spans="1:13" ht="30" x14ac:dyDescent="0.25">
      <c r="A1240" s="33" t="s">
        <v>262</v>
      </c>
      <c r="B1240" s="34" t="str">
        <f>HYPERLINK("http://www.twitter.com/BabcockLDPSLS", "BabcockLDPSLS")</f>
        <v>BabcockLDPSLS</v>
      </c>
      <c r="C1240" s="33" t="s">
        <v>1939</v>
      </c>
      <c r="D1240" s="33" t="s">
        <v>1940</v>
      </c>
      <c r="E1240" s="32" t="s">
        <v>1941</v>
      </c>
      <c r="F1240" s="35">
        <v>585</v>
      </c>
      <c r="G1240" s="35">
        <v>446</v>
      </c>
      <c r="H1240" s="35">
        <v>441</v>
      </c>
      <c r="I1240" s="35">
        <v>64</v>
      </c>
      <c r="J1240" s="36">
        <v>41690</v>
      </c>
      <c r="K1240" s="37">
        <v>0.47480324074074076</v>
      </c>
      <c r="L1240" s="36">
        <v>42917</v>
      </c>
      <c r="M1240" s="38">
        <v>0.24915509259259258</v>
      </c>
    </row>
    <row r="1241" spans="1:13" x14ac:dyDescent="0.25">
      <c r="A1241" s="33" t="s">
        <v>262</v>
      </c>
      <c r="B1241" s="34" t="str">
        <f>HYPERLINK("http://www.twitter.com/CRC_LRC", "CRC_LRC")</f>
        <v>CRC_LRC</v>
      </c>
      <c r="C1241" s="33" t="s">
        <v>2681</v>
      </c>
      <c r="D1241" s="33" t="s">
        <v>788</v>
      </c>
      <c r="E1241" s="32" t="s">
        <v>2682</v>
      </c>
      <c r="F1241" s="35">
        <v>402</v>
      </c>
      <c r="G1241" s="35">
        <v>204</v>
      </c>
      <c r="H1241" s="35">
        <v>440</v>
      </c>
      <c r="I1241" s="35">
        <v>252</v>
      </c>
      <c r="J1241" s="36">
        <v>41838</v>
      </c>
      <c r="K1241" s="37">
        <v>0.32402777777777775</v>
      </c>
      <c r="L1241" s="36">
        <v>42937</v>
      </c>
      <c r="M1241" s="38">
        <v>0.42230324074074077</v>
      </c>
    </row>
    <row r="1242" spans="1:13" ht="30" x14ac:dyDescent="0.25">
      <c r="A1242" s="33" t="s">
        <v>262</v>
      </c>
      <c r="B1242" s="34" t="str">
        <f>HYPERLINK("http://www.twitter.com/SpeysideLRC", "SpeysideLRC")</f>
        <v>SpeysideLRC</v>
      </c>
      <c r="C1242" s="33" t="s">
        <v>2495</v>
      </c>
      <c r="D1242" s="33" t="s">
        <v>2496</v>
      </c>
      <c r="E1242" s="32" t="s">
        <v>2497</v>
      </c>
      <c r="F1242" s="35">
        <v>230</v>
      </c>
      <c r="G1242" s="35">
        <v>252</v>
      </c>
      <c r="H1242" s="35">
        <v>430</v>
      </c>
      <c r="I1242" s="35">
        <v>177</v>
      </c>
      <c r="J1242" s="36">
        <v>42443</v>
      </c>
      <c r="K1242" s="37">
        <v>0.42363425925925924</v>
      </c>
      <c r="L1242" s="36">
        <v>42929</v>
      </c>
      <c r="M1242" s="38">
        <v>0.69887731481481474</v>
      </c>
    </row>
    <row r="1243" spans="1:13" ht="45" x14ac:dyDescent="0.25">
      <c r="A1243" s="33" t="s">
        <v>262</v>
      </c>
      <c r="B1243" s="34" t="str">
        <f>HYPERLINK("http://www.twitter.com/lounge_learning", "lounge_learning")</f>
        <v>lounge_learning</v>
      </c>
      <c r="C1243" s="33" t="s">
        <v>3549</v>
      </c>
      <c r="D1243" s="33" t="s">
        <v>1377</v>
      </c>
      <c r="E1243" s="32" t="s">
        <v>3550</v>
      </c>
      <c r="F1243" s="35">
        <v>127</v>
      </c>
      <c r="G1243" s="35">
        <v>77</v>
      </c>
      <c r="H1243" s="35">
        <v>411</v>
      </c>
      <c r="I1243" s="35">
        <v>298</v>
      </c>
      <c r="J1243" s="36">
        <v>42691</v>
      </c>
      <c r="K1243" s="37">
        <v>0.44328703703703703</v>
      </c>
      <c r="L1243" s="36">
        <v>42940</v>
      </c>
      <c r="M1243" s="38">
        <v>0.39341435185185186</v>
      </c>
    </row>
    <row r="1244" spans="1:13" ht="45" x14ac:dyDescent="0.25">
      <c r="A1244" s="33" t="s">
        <v>262</v>
      </c>
      <c r="B1244" s="34" t="str">
        <f>HYPERLINK("http://www.twitter.com/TSCAcademyLib", "TSCAcademyLib")</f>
        <v>TSCAcademyLib</v>
      </c>
      <c r="C1244" s="33" t="s">
        <v>3100</v>
      </c>
      <c r="D1244" s="33" t="s">
        <v>3101</v>
      </c>
      <c r="E1244" s="32" t="s">
        <v>3102</v>
      </c>
      <c r="F1244" s="35">
        <v>223</v>
      </c>
      <c r="G1244" s="35">
        <v>110</v>
      </c>
      <c r="H1244" s="35">
        <v>408</v>
      </c>
      <c r="I1244" s="35">
        <v>6</v>
      </c>
      <c r="J1244" s="36">
        <v>41316</v>
      </c>
      <c r="K1244" s="37">
        <v>0.59520833333333334</v>
      </c>
      <c r="L1244" s="36">
        <v>42933</v>
      </c>
      <c r="M1244" s="38">
        <v>0.40001157407407412</v>
      </c>
    </row>
    <row r="1245" spans="1:13" ht="30" x14ac:dyDescent="0.25">
      <c r="A1245" s="33" t="s">
        <v>262</v>
      </c>
      <c r="B1245" s="34" t="str">
        <f>HYPERLINK("http://www.twitter.com/libraryTHS", "libraryTHS")</f>
        <v>libraryTHS</v>
      </c>
      <c r="C1245" s="33" t="s">
        <v>2826</v>
      </c>
      <c r="D1245" s="33" t="s">
        <v>2827</v>
      </c>
      <c r="E1245" s="32" t="s">
        <v>2828</v>
      </c>
      <c r="F1245" s="35">
        <v>228</v>
      </c>
      <c r="G1245" s="35">
        <v>172</v>
      </c>
      <c r="H1245" s="35">
        <v>406</v>
      </c>
      <c r="I1245" s="35">
        <v>19</v>
      </c>
      <c r="J1245" s="36">
        <v>40911</v>
      </c>
      <c r="K1245" s="37">
        <v>0.92054398148148142</v>
      </c>
      <c r="L1245" s="36">
        <v>42661</v>
      </c>
      <c r="M1245" s="38">
        <v>0.45593750000000005</v>
      </c>
    </row>
    <row r="1246" spans="1:13" x14ac:dyDescent="0.25">
      <c r="A1246" s="33" t="s">
        <v>262</v>
      </c>
      <c r="B1246" s="34" t="str">
        <f>HYPERLINK("http://www.twitter.com/ACobb19", "ACobb19")</f>
        <v>ACobb19</v>
      </c>
      <c r="C1246" s="33" t="s">
        <v>3266</v>
      </c>
      <c r="E1246" s="32" t="s">
        <v>3578</v>
      </c>
      <c r="F1246" s="35">
        <v>178</v>
      </c>
      <c r="G1246" s="35">
        <v>75</v>
      </c>
      <c r="H1246" s="35">
        <v>404</v>
      </c>
      <c r="I1246" s="35">
        <v>288</v>
      </c>
      <c r="J1246" s="36">
        <v>41606</v>
      </c>
      <c r="K1246" s="37">
        <v>0.66342592592592597</v>
      </c>
      <c r="L1246" s="36">
        <v>42939</v>
      </c>
      <c r="M1246" s="38">
        <v>0.66108796296296302</v>
      </c>
    </row>
    <row r="1247" spans="1:13" ht="30" x14ac:dyDescent="0.25">
      <c r="A1247" s="33" t="s">
        <v>262</v>
      </c>
      <c r="B1247" s="34" t="str">
        <f>HYPERLINK("http://www.twitter.com/LibrarySHR", "LibrarySHR")</f>
        <v>LibrarySHR</v>
      </c>
      <c r="C1247" s="33" t="s">
        <v>2112</v>
      </c>
      <c r="E1247" s="32" t="s">
        <v>2113</v>
      </c>
      <c r="F1247" s="35">
        <v>539</v>
      </c>
      <c r="G1247" s="35">
        <v>365</v>
      </c>
      <c r="H1247" s="35">
        <v>403</v>
      </c>
      <c r="I1247" s="35">
        <v>42</v>
      </c>
      <c r="J1247" s="36">
        <v>40987</v>
      </c>
      <c r="K1247" s="37">
        <v>0.63065972222222222</v>
      </c>
      <c r="L1247" s="36">
        <v>42927</v>
      </c>
      <c r="M1247" s="38">
        <v>0.33474537037037039</v>
      </c>
    </row>
    <row r="1248" spans="1:13" ht="45" x14ac:dyDescent="0.25">
      <c r="A1248" s="33" t="s">
        <v>262</v>
      </c>
      <c r="B1248" s="34" t="str">
        <f>HYPERLINK("http://www.twitter.com/Trinity_Library", "Trinity_Library")</f>
        <v>Trinity_Library</v>
      </c>
      <c r="C1248" s="33" t="s">
        <v>2221</v>
      </c>
      <c r="D1248" s="33" t="s">
        <v>2222</v>
      </c>
      <c r="E1248" s="32" t="s">
        <v>2223</v>
      </c>
      <c r="F1248" s="35">
        <v>317</v>
      </c>
      <c r="G1248" s="35">
        <v>345</v>
      </c>
      <c r="H1248" s="35">
        <v>402</v>
      </c>
      <c r="I1248" s="35">
        <v>318</v>
      </c>
      <c r="J1248" s="36">
        <v>40309</v>
      </c>
      <c r="K1248" s="37">
        <v>0.50435185185185183</v>
      </c>
      <c r="L1248" s="36">
        <v>42930</v>
      </c>
      <c r="M1248" s="38">
        <v>0.54690972222222223</v>
      </c>
    </row>
    <row r="1249" spans="1:13" ht="30" x14ac:dyDescent="0.25">
      <c r="A1249" s="33" t="s">
        <v>262</v>
      </c>
      <c r="B1249" s="34" t="str">
        <f>HYPERLINK("http://www.twitter.com/BelmontLRC", "BelmontLRC")</f>
        <v>BelmontLRC</v>
      </c>
      <c r="C1249" s="33" t="s">
        <v>2425</v>
      </c>
      <c r="D1249" s="33" t="s">
        <v>2426</v>
      </c>
      <c r="E1249" s="32" t="s">
        <v>2427</v>
      </c>
      <c r="F1249" s="35">
        <v>385</v>
      </c>
      <c r="G1249" s="35">
        <v>273</v>
      </c>
      <c r="H1249" s="35">
        <v>392</v>
      </c>
      <c r="I1249" s="35">
        <v>442</v>
      </c>
      <c r="J1249" s="36">
        <v>41603</v>
      </c>
      <c r="K1249" s="37">
        <v>0.46065972222222223</v>
      </c>
      <c r="L1249" s="36">
        <v>42937</v>
      </c>
      <c r="M1249" s="38">
        <v>0.59704861111111118</v>
      </c>
    </row>
    <row r="1250" spans="1:13" ht="30" x14ac:dyDescent="0.25">
      <c r="A1250" s="33" t="s">
        <v>262</v>
      </c>
      <c r="B1250" s="34" t="str">
        <f>HYPERLINK("http://www.twitter.com/DuffieldLibrary", "DuffieldLibrary")</f>
        <v>DuffieldLibrary</v>
      </c>
      <c r="C1250" s="33" t="s">
        <v>2861</v>
      </c>
      <c r="E1250" s="32" t="s">
        <v>2862</v>
      </c>
      <c r="F1250" s="35">
        <v>257</v>
      </c>
      <c r="G1250" s="35">
        <v>167</v>
      </c>
      <c r="H1250" s="35">
        <v>390</v>
      </c>
      <c r="I1250" s="35">
        <v>19</v>
      </c>
      <c r="J1250" s="36">
        <v>39900</v>
      </c>
      <c r="K1250" s="37">
        <v>0.78421296296296295</v>
      </c>
      <c r="L1250" s="36">
        <v>42938</v>
      </c>
      <c r="M1250" s="38">
        <v>0.41256944444444449</v>
      </c>
    </row>
    <row r="1251" spans="1:13" ht="30" x14ac:dyDescent="0.25">
      <c r="A1251" s="33" t="s">
        <v>262</v>
      </c>
      <c r="B1251" s="34" t="str">
        <f>HYPERLINK("http://www.twitter.com/Ricardslrc", "Ricardslrc")</f>
        <v>Ricardslrc</v>
      </c>
      <c r="C1251" s="33" t="s">
        <v>3189</v>
      </c>
      <c r="D1251" s="33" t="s">
        <v>1377</v>
      </c>
      <c r="E1251" s="32" t="s">
        <v>3190</v>
      </c>
      <c r="F1251" s="35">
        <v>324</v>
      </c>
      <c r="G1251" s="35">
        <v>90</v>
      </c>
      <c r="H1251" s="35">
        <v>388</v>
      </c>
      <c r="I1251" s="35">
        <v>363</v>
      </c>
      <c r="J1251" s="36">
        <v>42621</v>
      </c>
      <c r="K1251" s="37">
        <v>0.57271990740740741</v>
      </c>
      <c r="L1251" s="36">
        <v>42937</v>
      </c>
      <c r="M1251" s="38">
        <v>0.3238773148148148</v>
      </c>
    </row>
    <row r="1252" spans="1:13" x14ac:dyDescent="0.25">
      <c r="A1252" s="33" t="s">
        <v>262</v>
      </c>
      <c r="B1252" s="34" t="str">
        <f>HYPERLINK("http://www.twitter.com/Garnock_Library", "Garnock_Library")</f>
        <v>Garnock_Library</v>
      </c>
      <c r="C1252" s="33" t="s">
        <v>2664</v>
      </c>
      <c r="D1252" s="33" t="s">
        <v>2665</v>
      </c>
      <c r="E1252" s="32" t="s">
        <v>2666</v>
      </c>
      <c r="F1252" s="35">
        <v>126</v>
      </c>
      <c r="G1252" s="35">
        <v>208</v>
      </c>
      <c r="H1252" s="35">
        <v>388</v>
      </c>
      <c r="I1252" s="35">
        <v>312</v>
      </c>
      <c r="J1252" s="36">
        <v>42039</v>
      </c>
      <c r="K1252" s="37">
        <v>0.51545138888888886</v>
      </c>
      <c r="L1252" s="36">
        <v>42896</v>
      </c>
      <c r="M1252" s="38">
        <v>0.7215625</v>
      </c>
    </row>
    <row r="1253" spans="1:13" ht="45" x14ac:dyDescent="0.25">
      <c r="A1253" s="33" t="s">
        <v>262</v>
      </c>
      <c r="B1253" s="34" t="str">
        <f>HYPERLINK("http://www.twitter.com/CrispinLibrary", "CrispinLibrary")</f>
        <v>CrispinLibrary</v>
      </c>
      <c r="C1253" s="33" t="s">
        <v>2678</v>
      </c>
      <c r="D1253" s="33" t="s">
        <v>2679</v>
      </c>
      <c r="E1253" s="32" t="s">
        <v>2680</v>
      </c>
      <c r="F1253" s="35">
        <v>345</v>
      </c>
      <c r="G1253" s="35">
        <v>197</v>
      </c>
      <c r="H1253" s="35">
        <v>385</v>
      </c>
      <c r="I1253" s="35">
        <v>107</v>
      </c>
      <c r="J1253" s="36">
        <v>41710</v>
      </c>
      <c r="K1253" s="37">
        <v>0.55820601851851859</v>
      </c>
      <c r="L1253" s="36">
        <v>42936</v>
      </c>
      <c r="M1253" s="38">
        <v>0.89582175925925922</v>
      </c>
    </row>
    <row r="1254" spans="1:13" ht="30" x14ac:dyDescent="0.25">
      <c r="A1254" s="33" t="s">
        <v>262</v>
      </c>
      <c r="B1254" s="34" t="str">
        <f>HYPERLINK("http://www.twitter.com/LossieHighLib", "LossieHighLib")</f>
        <v>LossieHighLib</v>
      </c>
      <c r="C1254" s="33" t="s">
        <v>1464</v>
      </c>
      <c r="D1254" s="33" t="s">
        <v>2224</v>
      </c>
      <c r="E1254" s="32" t="s">
        <v>2225</v>
      </c>
      <c r="F1254" s="35">
        <v>578</v>
      </c>
      <c r="G1254" s="35">
        <v>336</v>
      </c>
      <c r="H1254" s="35">
        <v>384</v>
      </c>
      <c r="I1254" s="35">
        <v>169</v>
      </c>
      <c r="J1254" s="36">
        <v>42438</v>
      </c>
      <c r="K1254" s="37">
        <v>0.62572916666666667</v>
      </c>
      <c r="L1254" s="36">
        <v>42916</v>
      </c>
      <c r="M1254" s="38">
        <v>0.54613425925925929</v>
      </c>
    </row>
    <row r="1255" spans="1:13" ht="30" x14ac:dyDescent="0.25">
      <c r="A1255" s="33" t="s">
        <v>262</v>
      </c>
      <c r="B1255" s="34" t="str">
        <f>HYPERLINK("http://www.twitter.com/BalfronHSLib", "BalfronHSLib")</f>
        <v>BalfronHSLib</v>
      </c>
      <c r="C1255" s="33" t="s">
        <v>2696</v>
      </c>
      <c r="D1255" s="33" t="s">
        <v>2697</v>
      </c>
      <c r="E1255" s="32" t="s">
        <v>2698</v>
      </c>
      <c r="F1255" s="35">
        <v>25</v>
      </c>
      <c r="G1255" s="35">
        <v>202</v>
      </c>
      <c r="H1255" s="35">
        <v>383</v>
      </c>
      <c r="I1255" s="35">
        <v>129</v>
      </c>
      <c r="J1255" s="36">
        <v>41789</v>
      </c>
      <c r="K1255" s="37">
        <v>0.67763888888888879</v>
      </c>
      <c r="L1255" s="36">
        <v>42939</v>
      </c>
      <c r="M1255" s="38">
        <v>0.8899421296296296</v>
      </c>
    </row>
    <row r="1256" spans="1:13" ht="30" x14ac:dyDescent="0.25">
      <c r="A1256" s="33" t="s">
        <v>262</v>
      </c>
      <c r="B1256" s="34" t="str">
        <f>HYPERLINK("http://www.twitter.com/STRS_LRC", "STRS_LRC")</f>
        <v>STRS_LRC</v>
      </c>
      <c r="C1256" s="33" t="s">
        <v>3399</v>
      </c>
      <c r="D1256" s="33" t="s">
        <v>3400</v>
      </c>
      <c r="E1256" s="32" t="s">
        <v>3401</v>
      </c>
      <c r="F1256" s="35">
        <v>121</v>
      </c>
      <c r="G1256" s="35">
        <v>46</v>
      </c>
      <c r="H1256" s="35">
        <v>376</v>
      </c>
      <c r="I1256" s="35">
        <v>284</v>
      </c>
      <c r="J1256" s="36">
        <v>42503</v>
      </c>
      <c r="K1256" s="37">
        <v>0.40961805555555553</v>
      </c>
      <c r="L1256" s="36">
        <v>42876</v>
      </c>
      <c r="M1256" s="38">
        <v>0.50092592592592589</v>
      </c>
    </row>
    <row r="1257" spans="1:13" ht="30" x14ac:dyDescent="0.25">
      <c r="A1257" s="33" t="s">
        <v>262</v>
      </c>
      <c r="B1257" s="34" t="str">
        <f>HYPERLINK("http://www.twitter.com/HelesSchLibrary", "HelesSchLibrary")</f>
        <v>HelesSchLibrary</v>
      </c>
      <c r="C1257" s="33" t="s">
        <v>2420</v>
      </c>
      <c r="D1257" s="33" t="s">
        <v>186</v>
      </c>
      <c r="E1257" s="32" t="s">
        <v>2421</v>
      </c>
      <c r="F1257" s="35">
        <v>55</v>
      </c>
      <c r="G1257" s="35">
        <v>272</v>
      </c>
      <c r="H1257" s="35">
        <v>373</v>
      </c>
      <c r="I1257" s="35">
        <v>203</v>
      </c>
      <c r="J1257" s="36">
        <v>40688</v>
      </c>
      <c r="K1257" s="37">
        <v>0.45861111111111108</v>
      </c>
      <c r="L1257" s="36">
        <v>42935</v>
      </c>
      <c r="M1257" s="38">
        <v>0.76965277777777785</v>
      </c>
    </row>
    <row r="1258" spans="1:13" x14ac:dyDescent="0.25">
      <c r="A1258" s="33" t="s">
        <v>262</v>
      </c>
      <c r="B1258" s="34" t="str">
        <f>HYPERLINK("http://www.twitter.com/TCA_LRC", "TCA_LRC")</f>
        <v>TCA_LRC</v>
      </c>
      <c r="C1258" s="33" t="s">
        <v>2569</v>
      </c>
      <c r="D1258" s="33" t="s">
        <v>526</v>
      </c>
      <c r="E1258" s="32" t="s">
        <v>2570</v>
      </c>
      <c r="F1258" s="35">
        <v>631</v>
      </c>
      <c r="G1258" s="35">
        <v>264</v>
      </c>
      <c r="H1258" s="35">
        <v>371</v>
      </c>
      <c r="I1258" s="35">
        <v>312</v>
      </c>
      <c r="J1258" s="36">
        <v>42493</v>
      </c>
      <c r="K1258" s="37">
        <v>0.39229166666666665</v>
      </c>
      <c r="L1258" s="36">
        <v>42940</v>
      </c>
      <c r="M1258" s="38">
        <v>0.45415509259259257</v>
      </c>
    </row>
    <row r="1259" spans="1:13" ht="45" x14ac:dyDescent="0.25">
      <c r="A1259" s="33" t="s">
        <v>262</v>
      </c>
      <c r="B1259" s="34" t="str">
        <f>HYPERLINK("http://www.twitter.com/librarybhs1", "librarybhs1")</f>
        <v>librarybhs1</v>
      </c>
      <c r="C1259" s="33" t="s">
        <v>3029</v>
      </c>
      <c r="D1259" s="33" t="s">
        <v>3030</v>
      </c>
      <c r="E1259" s="32" t="s">
        <v>3564</v>
      </c>
      <c r="F1259" s="35">
        <v>115</v>
      </c>
      <c r="G1259" s="35">
        <v>138</v>
      </c>
      <c r="H1259" s="35">
        <v>364</v>
      </c>
      <c r="I1259" s="35">
        <v>368</v>
      </c>
      <c r="J1259" s="36">
        <v>42339</v>
      </c>
      <c r="K1259" s="37">
        <v>0.40108796296296295</v>
      </c>
      <c r="L1259" s="36">
        <v>42940</v>
      </c>
      <c r="M1259" s="38">
        <v>0.35334490740740737</v>
      </c>
    </row>
    <row r="1260" spans="1:13" ht="45" x14ac:dyDescent="0.25">
      <c r="A1260" s="33" t="s">
        <v>262</v>
      </c>
      <c r="B1260" s="34" t="str">
        <f>HYPERLINK("http://www.twitter.com/TrentLibrary", "TrentLibrary")</f>
        <v>TrentLibrary</v>
      </c>
      <c r="C1260" s="33" t="s">
        <v>2813</v>
      </c>
      <c r="D1260" s="33" t="s">
        <v>2814</v>
      </c>
      <c r="E1260" s="32" t="s">
        <v>2815</v>
      </c>
      <c r="F1260" s="35">
        <v>415</v>
      </c>
      <c r="G1260" s="35">
        <v>182</v>
      </c>
      <c r="H1260" s="35">
        <v>360</v>
      </c>
      <c r="I1260" s="35">
        <v>653</v>
      </c>
      <c r="J1260" s="36">
        <v>41962</v>
      </c>
      <c r="K1260" s="37">
        <v>0.48749999999999999</v>
      </c>
      <c r="L1260" s="36">
        <v>42936</v>
      </c>
      <c r="M1260" s="38">
        <v>0.38746527777777778</v>
      </c>
    </row>
    <row r="1261" spans="1:13" ht="30" x14ac:dyDescent="0.25">
      <c r="A1261" s="33" t="s">
        <v>262</v>
      </c>
      <c r="B1261" s="34" t="str">
        <f>HYPERLINK("http://www.twitter.com/ghslibraryreads", "ghslibraryreads")</f>
        <v>ghslibraryreads</v>
      </c>
      <c r="C1261" s="33" t="s">
        <v>2536</v>
      </c>
      <c r="E1261" s="32" t="s">
        <v>2537</v>
      </c>
      <c r="F1261" s="35">
        <v>262</v>
      </c>
      <c r="G1261" s="35">
        <v>243</v>
      </c>
      <c r="H1261" s="35">
        <v>360</v>
      </c>
      <c r="I1261" s="35">
        <v>192</v>
      </c>
      <c r="J1261" s="36">
        <v>42010</v>
      </c>
      <c r="K1261" s="37">
        <v>0.75584490740740751</v>
      </c>
      <c r="L1261" s="36">
        <v>42935</v>
      </c>
      <c r="M1261" s="38">
        <v>0.49708333333333332</v>
      </c>
    </row>
    <row r="1262" spans="1:13" x14ac:dyDescent="0.25">
      <c r="A1262" s="33" t="s">
        <v>262</v>
      </c>
      <c r="B1262" s="34" t="str">
        <f>HYPERLINK("http://www.twitter.com/CirenCollLibrar", "CirenCollLibrar")</f>
        <v>CirenCollLibrar</v>
      </c>
      <c r="C1262" s="33" t="s">
        <v>3375</v>
      </c>
      <c r="D1262" s="33" t="s">
        <v>3376</v>
      </c>
      <c r="E1262" s="32" t="s">
        <v>3377</v>
      </c>
      <c r="F1262" s="35">
        <v>102</v>
      </c>
      <c r="G1262" s="35">
        <v>50</v>
      </c>
      <c r="H1262" s="35">
        <v>357</v>
      </c>
      <c r="I1262" s="35">
        <v>0</v>
      </c>
      <c r="J1262" s="36">
        <v>41991</v>
      </c>
      <c r="K1262" s="37">
        <v>0.58472222222222225</v>
      </c>
      <c r="L1262" s="36">
        <v>42926</v>
      </c>
      <c r="M1262" s="38">
        <v>0.4314236111111111</v>
      </c>
    </row>
    <row r="1263" spans="1:13" x14ac:dyDescent="0.25">
      <c r="A1263" s="33" t="s">
        <v>262</v>
      </c>
      <c r="B1263" s="34" t="str">
        <f>HYPERLINK("http://www.twitter.com/BenniesLibrary", "BenniesLibrary")</f>
        <v>BenniesLibrary</v>
      </c>
      <c r="C1263" s="33" t="s">
        <v>2538</v>
      </c>
      <c r="D1263" s="33" t="s">
        <v>2539</v>
      </c>
      <c r="E1263" s="32" t="s">
        <v>2540</v>
      </c>
      <c r="F1263" s="35">
        <v>395</v>
      </c>
      <c r="G1263" s="35">
        <v>233</v>
      </c>
      <c r="H1263" s="35">
        <v>349</v>
      </c>
      <c r="I1263" s="35">
        <v>166</v>
      </c>
      <c r="J1263" s="36">
        <v>42081</v>
      </c>
      <c r="K1263" s="37">
        <v>0.70929398148148148</v>
      </c>
      <c r="L1263" s="36">
        <v>42940</v>
      </c>
      <c r="M1263" s="38">
        <v>0.58564814814814814</v>
      </c>
    </row>
    <row r="1264" spans="1:13" ht="30" x14ac:dyDescent="0.25">
      <c r="A1264" s="33" t="s">
        <v>262</v>
      </c>
      <c r="B1264" s="34" t="str">
        <f>HYPERLINK("http://www.twitter.com/PiggottLibrary", "PiggottLibrary")</f>
        <v>PiggottLibrary</v>
      </c>
      <c r="C1264" s="33" t="s">
        <v>1932</v>
      </c>
      <c r="D1264" s="33" t="s">
        <v>2022</v>
      </c>
      <c r="E1264" s="32" t="s">
        <v>3571</v>
      </c>
      <c r="F1264" s="35">
        <v>207</v>
      </c>
      <c r="G1264" s="35">
        <v>411</v>
      </c>
      <c r="H1264" s="35">
        <v>349</v>
      </c>
      <c r="I1264" s="35">
        <v>122</v>
      </c>
      <c r="J1264" s="36">
        <v>41983</v>
      </c>
      <c r="K1264" s="37">
        <v>0.45702546296296293</v>
      </c>
      <c r="L1264" s="36">
        <v>42921</v>
      </c>
      <c r="M1264" s="38">
        <v>0.48420138888888892</v>
      </c>
    </row>
    <row r="1265" spans="1:13" x14ac:dyDescent="0.25">
      <c r="A1265" s="33" t="s">
        <v>262</v>
      </c>
      <c r="B1265" s="34" t="str">
        <f>HYPERLINK("http://www.twitter.com/invacadlib", "invacadlib")</f>
        <v>invacadlib</v>
      </c>
      <c r="C1265" s="33" t="s">
        <v>3004</v>
      </c>
      <c r="D1265" s="33" t="s">
        <v>613</v>
      </c>
      <c r="E1265" s="32" t="s">
        <v>3005</v>
      </c>
      <c r="F1265" s="35">
        <v>99</v>
      </c>
      <c r="G1265" s="35">
        <v>154</v>
      </c>
      <c r="H1265" s="35">
        <v>344</v>
      </c>
      <c r="I1265" s="35">
        <v>274</v>
      </c>
      <c r="J1265" s="36">
        <v>42425</v>
      </c>
      <c r="K1265" s="37">
        <v>0.56229166666666663</v>
      </c>
      <c r="L1265" s="36">
        <v>42936</v>
      </c>
      <c r="M1265" s="38">
        <v>0.72842592592592592</v>
      </c>
    </row>
    <row r="1266" spans="1:13" ht="45" x14ac:dyDescent="0.25">
      <c r="A1266" s="33" t="s">
        <v>262</v>
      </c>
      <c r="B1266" s="34" t="str">
        <f>HYPERLINK("http://www.twitter.com/RadSecLibrary", "RadSecLibrary")</f>
        <v>RadSecLibrary</v>
      </c>
      <c r="C1266" s="33" t="s">
        <v>2601</v>
      </c>
      <c r="D1266" s="33" t="s">
        <v>2602</v>
      </c>
      <c r="E1266" s="32" t="s">
        <v>2603</v>
      </c>
      <c r="F1266" s="35">
        <v>751</v>
      </c>
      <c r="G1266" s="35">
        <v>249</v>
      </c>
      <c r="H1266" s="35">
        <v>344</v>
      </c>
      <c r="I1266" s="35">
        <v>21</v>
      </c>
      <c r="J1266" s="36">
        <v>42164</v>
      </c>
      <c r="K1266" s="37">
        <v>0.42439814814814819</v>
      </c>
      <c r="L1266" s="36">
        <v>42940</v>
      </c>
      <c r="M1266" s="38">
        <v>0.29871527777777779</v>
      </c>
    </row>
    <row r="1267" spans="1:13" ht="45" x14ac:dyDescent="0.25">
      <c r="A1267" s="33" t="s">
        <v>262</v>
      </c>
      <c r="B1267" s="34" t="str">
        <f>HYPERLINK("http://www.twitter.com/LRCManagerJMS", "LRCManagerJMS")</f>
        <v>LRCManagerJMS</v>
      </c>
      <c r="C1267" s="33" t="s">
        <v>2324</v>
      </c>
      <c r="D1267" s="33" t="s">
        <v>2325</v>
      </c>
      <c r="E1267" s="32" t="s">
        <v>2326</v>
      </c>
      <c r="F1267" s="35">
        <v>366</v>
      </c>
      <c r="G1267" s="35">
        <v>299</v>
      </c>
      <c r="H1267" s="35">
        <v>344</v>
      </c>
      <c r="I1267" s="35">
        <v>136</v>
      </c>
      <c r="J1267" s="36">
        <v>42276</v>
      </c>
      <c r="K1267" s="37">
        <v>0.35635416666666669</v>
      </c>
      <c r="L1267" s="36">
        <v>42916</v>
      </c>
      <c r="M1267" s="38">
        <v>0.59487268518518521</v>
      </c>
    </row>
    <row r="1268" spans="1:13" x14ac:dyDescent="0.25">
      <c r="A1268" s="33" t="s">
        <v>262</v>
      </c>
      <c r="B1268" s="34" t="str">
        <f>HYPERLINK("http://www.twitter.com/HolyTrinityLRC", "HolyTrinityLRC")</f>
        <v>HolyTrinityLRC</v>
      </c>
      <c r="C1268" s="33" t="s">
        <v>2816</v>
      </c>
      <c r="D1268" s="33" t="s">
        <v>310</v>
      </c>
      <c r="E1268" s="32" t="s">
        <v>2817</v>
      </c>
      <c r="F1268" s="35">
        <v>189</v>
      </c>
      <c r="G1268" s="35">
        <v>199</v>
      </c>
      <c r="H1268" s="35">
        <v>341</v>
      </c>
      <c r="I1268" s="35">
        <v>109</v>
      </c>
      <c r="J1268" s="36">
        <v>42038</v>
      </c>
      <c r="K1268" s="37">
        <v>0.91805555555555562</v>
      </c>
      <c r="L1268" s="36">
        <v>42916</v>
      </c>
      <c r="M1268" s="38">
        <v>0.69002314814814814</v>
      </c>
    </row>
    <row r="1269" spans="1:13" ht="30" x14ac:dyDescent="0.25">
      <c r="A1269" s="33" t="s">
        <v>262</v>
      </c>
      <c r="B1269" s="34" t="str">
        <f>HYPERLINK("http://www.twitter.com/KingsSchoolLib", "KingsSchoolLib")</f>
        <v>KingsSchoolLib</v>
      </c>
      <c r="C1269" s="33" t="s">
        <v>1621</v>
      </c>
      <c r="D1269" s="33" t="s">
        <v>2994</v>
      </c>
      <c r="E1269" s="32" t="s">
        <v>2995</v>
      </c>
      <c r="F1269" s="35">
        <v>80</v>
      </c>
      <c r="G1269" s="35">
        <v>141</v>
      </c>
      <c r="H1269" s="35">
        <v>329</v>
      </c>
      <c r="I1269" s="35">
        <v>15</v>
      </c>
      <c r="J1269" s="36">
        <v>41277</v>
      </c>
      <c r="K1269" s="37">
        <v>0.57739583333333333</v>
      </c>
      <c r="L1269" s="36">
        <v>42684</v>
      </c>
      <c r="M1269" s="38">
        <v>0.62642361111111111</v>
      </c>
    </row>
    <row r="1270" spans="1:13" ht="105" x14ac:dyDescent="0.25">
      <c r="A1270" s="33" t="s">
        <v>262</v>
      </c>
      <c r="B1270" s="34" t="str">
        <f>HYPERLINK("http://www.twitter.com/cadcollrc", "cadcollrc")</f>
        <v>cadcollrc</v>
      </c>
      <c r="C1270" s="33" t="s">
        <v>3186</v>
      </c>
      <c r="D1270" s="33" t="s">
        <v>310</v>
      </c>
      <c r="E1270" s="32" t="s">
        <v>3187</v>
      </c>
      <c r="F1270" s="35">
        <v>156</v>
      </c>
      <c r="G1270" s="35">
        <v>88</v>
      </c>
      <c r="H1270" s="35">
        <v>325</v>
      </c>
      <c r="I1270" s="35">
        <v>29</v>
      </c>
      <c r="J1270" s="36">
        <v>40801</v>
      </c>
      <c r="K1270" s="37">
        <v>0.36534722222222221</v>
      </c>
      <c r="L1270" s="36">
        <v>42892</v>
      </c>
      <c r="M1270" s="38">
        <v>0.42601851851851852</v>
      </c>
    </row>
    <row r="1271" spans="1:13" x14ac:dyDescent="0.25">
      <c r="A1271" s="33" t="s">
        <v>262</v>
      </c>
      <c r="B1271" s="34" t="str">
        <f>HYPERLINK("http://www.twitter.com/KGS_library", "KGS_library")</f>
        <v>KGS_library</v>
      </c>
      <c r="C1271" s="33" t="s">
        <v>2319</v>
      </c>
      <c r="D1271" s="33" t="s">
        <v>477</v>
      </c>
      <c r="E1271" s="32" t="s">
        <v>2320</v>
      </c>
      <c r="F1271" s="35">
        <v>293</v>
      </c>
      <c r="G1271" s="35">
        <v>294</v>
      </c>
      <c r="H1271" s="35">
        <v>323</v>
      </c>
      <c r="I1271" s="35">
        <v>232</v>
      </c>
      <c r="J1271" s="36">
        <v>41548</v>
      </c>
      <c r="K1271" s="37">
        <v>0.38262731481481477</v>
      </c>
      <c r="L1271" s="36">
        <v>42921</v>
      </c>
      <c r="M1271" s="38">
        <v>0.19814814814814816</v>
      </c>
    </row>
    <row r="1272" spans="1:13" ht="30" x14ac:dyDescent="0.25">
      <c r="A1272" s="33" t="s">
        <v>262</v>
      </c>
      <c r="B1272" s="34" t="str">
        <f>HYPERLINK("http://www.twitter.com/KA_library", "KA_library")</f>
        <v>KA_library</v>
      </c>
      <c r="C1272" s="33" t="s">
        <v>2365</v>
      </c>
      <c r="D1272" s="33" t="s">
        <v>2366</v>
      </c>
      <c r="E1272" s="32" t="s">
        <v>2367</v>
      </c>
      <c r="F1272" s="35">
        <v>328</v>
      </c>
      <c r="G1272" s="35">
        <v>287</v>
      </c>
      <c r="H1272" s="35">
        <v>319</v>
      </c>
      <c r="I1272" s="35">
        <v>150</v>
      </c>
      <c r="J1272" s="36">
        <v>42339</v>
      </c>
      <c r="K1272" s="37">
        <v>0.4841550925925926</v>
      </c>
      <c r="L1272" s="36">
        <v>42914</v>
      </c>
      <c r="M1272" s="38">
        <v>0.47324074074074068</v>
      </c>
    </row>
    <row r="1273" spans="1:13" ht="30" x14ac:dyDescent="0.25">
      <c r="A1273" s="33" t="s">
        <v>262</v>
      </c>
      <c r="B1273" s="34" t="str">
        <f>HYPERLINK("http://www.twitter.com/HoE_Library", "HoE_Library")</f>
        <v>HoE_Library</v>
      </c>
      <c r="C1273" s="33" t="s">
        <v>2532</v>
      </c>
      <c r="E1273" s="32" t="s">
        <v>2533</v>
      </c>
      <c r="F1273" s="35">
        <v>297</v>
      </c>
      <c r="G1273" s="35">
        <v>229</v>
      </c>
      <c r="H1273" s="35">
        <v>318</v>
      </c>
      <c r="I1273" s="35">
        <v>50</v>
      </c>
      <c r="J1273" s="36">
        <v>41197</v>
      </c>
      <c r="K1273" s="37">
        <v>0.35045138888888888</v>
      </c>
      <c r="L1273" s="36">
        <v>42660</v>
      </c>
      <c r="M1273" s="38">
        <v>0.5277546296296296</v>
      </c>
    </row>
    <row r="1274" spans="1:13" ht="30" x14ac:dyDescent="0.25">
      <c r="A1274" s="33" t="s">
        <v>262</v>
      </c>
      <c r="B1274" s="34" t="str">
        <f>HYPERLINK("http://www.twitter.com/libraryCHSchool", "libraryCHSchool")</f>
        <v>libraryCHSchool</v>
      </c>
      <c r="C1274" s="33" t="s">
        <v>3034</v>
      </c>
      <c r="D1274" s="33" t="s">
        <v>926</v>
      </c>
      <c r="E1274" s="32" t="s">
        <v>3035</v>
      </c>
      <c r="F1274" s="35">
        <v>477</v>
      </c>
      <c r="G1274" s="35">
        <v>153</v>
      </c>
      <c r="H1274" s="35">
        <v>313</v>
      </c>
      <c r="I1274" s="35">
        <v>437</v>
      </c>
      <c r="J1274" s="36">
        <v>42697</v>
      </c>
      <c r="K1274" s="37">
        <v>0.40498842592592593</v>
      </c>
      <c r="L1274" s="36">
        <v>42937</v>
      </c>
      <c r="M1274" s="38">
        <v>0.56690972222222225</v>
      </c>
    </row>
    <row r="1275" spans="1:13" ht="30" x14ac:dyDescent="0.25">
      <c r="A1275" s="33" t="s">
        <v>262</v>
      </c>
      <c r="B1275" s="34" t="str">
        <f>HYPERLINK("http://www.twitter.com/TitusSaltLRC", "TitusSaltLRC")</f>
        <v>TitusSaltLRC</v>
      </c>
      <c r="C1275" s="33" t="s">
        <v>2905</v>
      </c>
      <c r="D1275" s="33" t="s">
        <v>2906</v>
      </c>
      <c r="E1275" s="32" t="s">
        <v>2907</v>
      </c>
      <c r="F1275" s="35">
        <v>74</v>
      </c>
      <c r="G1275" s="35">
        <v>156</v>
      </c>
      <c r="H1275" s="35">
        <v>309</v>
      </c>
      <c r="I1275" s="35">
        <v>97</v>
      </c>
      <c r="J1275" s="36">
        <v>41450</v>
      </c>
      <c r="K1275" s="37">
        <v>0.86700231481481482</v>
      </c>
      <c r="L1275" s="36">
        <v>42922</v>
      </c>
      <c r="M1275" s="38">
        <v>0.54228009259259258</v>
      </c>
    </row>
    <row r="1276" spans="1:13" ht="45" x14ac:dyDescent="0.25">
      <c r="A1276" s="33" t="s">
        <v>262</v>
      </c>
      <c r="B1276" s="34" t="str">
        <f>HYPERLINK("http://www.twitter.com/VOLA_Library", "VOLA_Library")</f>
        <v>VOLA_Library</v>
      </c>
      <c r="C1276" s="33" t="s">
        <v>3531</v>
      </c>
      <c r="D1276" s="33" t="s">
        <v>3532</v>
      </c>
      <c r="E1276" s="32" t="s">
        <v>3533</v>
      </c>
      <c r="F1276" s="35">
        <v>904</v>
      </c>
      <c r="G1276" s="35">
        <v>218</v>
      </c>
      <c r="H1276" s="35">
        <v>308</v>
      </c>
      <c r="I1276" s="35">
        <v>491</v>
      </c>
      <c r="J1276" s="36">
        <v>42879</v>
      </c>
      <c r="K1276" s="37">
        <v>0.40868055555555555</v>
      </c>
      <c r="L1276" s="36">
        <v>42940</v>
      </c>
      <c r="M1276" s="38">
        <v>0.53745370370370371</v>
      </c>
    </row>
    <row r="1277" spans="1:13" ht="45" x14ac:dyDescent="0.25">
      <c r="A1277" s="33" t="s">
        <v>262</v>
      </c>
      <c r="B1277" s="34" t="str">
        <f>HYPERLINK("http://www.twitter.com/DuAcad_Library", "DuAcad_Library")</f>
        <v>DuAcad_Library</v>
      </c>
      <c r="C1277" s="33" t="s">
        <v>3528</v>
      </c>
      <c r="D1277" s="33" t="s">
        <v>3529</v>
      </c>
      <c r="E1277" s="32" t="s">
        <v>3530</v>
      </c>
      <c r="F1277" s="35">
        <v>954</v>
      </c>
      <c r="G1277" s="35">
        <v>255</v>
      </c>
      <c r="H1277" s="35">
        <v>305</v>
      </c>
      <c r="I1277" s="35">
        <v>530</v>
      </c>
      <c r="J1277" s="36">
        <v>42881</v>
      </c>
      <c r="K1277" s="37">
        <v>0.37380787037037039</v>
      </c>
      <c r="L1277" s="36">
        <v>42940</v>
      </c>
      <c r="M1277" s="38">
        <v>0.53560185185185183</v>
      </c>
    </row>
    <row r="1278" spans="1:13" ht="45" x14ac:dyDescent="0.25">
      <c r="A1278" s="33" t="s">
        <v>262</v>
      </c>
      <c r="B1278" s="34" t="str">
        <f>HYPERLINK("http://www.twitter.com/TurtonLibrary", "TurtonLibrary")</f>
        <v>TurtonLibrary</v>
      </c>
      <c r="C1278" s="33" t="s">
        <v>3206</v>
      </c>
      <c r="D1278" s="33" t="s">
        <v>3207</v>
      </c>
      <c r="E1278" s="32" t="s">
        <v>3208</v>
      </c>
      <c r="F1278" s="35">
        <v>45</v>
      </c>
      <c r="G1278" s="35">
        <v>95</v>
      </c>
      <c r="H1278" s="35">
        <v>299</v>
      </c>
      <c r="I1278" s="35">
        <v>165</v>
      </c>
      <c r="J1278" s="36">
        <v>42534</v>
      </c>
      <c r="K1278" s="37">
        <v>0.57306712962962958</v>
      </c>
      <c r="L1278" s="36">
        <v>42937</v>
      </c>
      <c r="M1278" s="38">
        <v>0.53372685185185187</v>
      </c>
    </row>
    <row r="1279" spans="1:13" ht="30" x14ac:dyDescent="0.25">
      <c r="A1279" s="33" t="s">
        <v>262</v>
      </c>
      <c r="B1279" s="34" t="str">
        <f>HYPERLINK("http://www.twitter.com/HWGA_Library", "HWGA_Library")</f>
        <v>HWGA_Library</v>
      </c>
      <c r="C1279" s="33" t="s">
        <v>2873</v>
      </c>
      <c r="D1279" s="33" t="s">
        <v>926</v>
      </c>
      <c r="E1279" s="32" t="s">
        <v>2874</v>
      </c>
      <c r="F1279" s="35">
        <v>491</v>
      </c>
      <c r="G1279" s="35">
        <v>209</v>
      </c>
      <c r="H1279" s="35">
        <v>295</v>
      </c>
      <c r="I1279" s="35">
        <v>113</v>
      </c>
      <c r="J1279" s="36">
        <v>42760</v>
      </c>
      <c r="K1279" s="37">
        <v>0.4149768518518519</v>
      </c>
      <c r="L1279" s="36">
        <v>42936</v>
      </c>
      <c r="M1279" s="38">
        <v>0.57906250000000004</v>
      </c>
    </row>
    <row r="1280" spans="1:13" x14ac:dyDescent="0.25">
      <c r="A1280" s="33" t="s">
        <v>262</v>
      </c>
      <c r="B1280" s="34" t="str">
        <f>HYPERLINK("http://www.twitter.com/BDALibrary1", "BDALibrary1")</f>
        <v>BDALibrary1</v>
      </c>
      <c r="C1280" s="33" t="s">
        <v>3585</v>
      </c>
      <c r="D1280" s="33" t="s">
        <v>3586</v>
      </c>
      <c r="E1280" s="32" t="s">
        <v>3587</v>
      </c>
      <c r="F1280" s="35">
        <v>99</v>
      </c>
      <c r="G1280" s="35">
        <v>144</v>
      </c>
      <c r="H1280" s="35">
        <v>291</v>
      </c>
      <c r="I1280" s="35">
        <v>117</v>
      </c>
      <c r="J1280" s="36">
        <v>41305</v>
      </c>
      <c r="K1280" s="37">
        <v>0.66192129629629626</v>
      </c>
      <c r="L1280" s="36">
        <v>42937</v>
      </c>
      <c r="M1280" s="38">
        <v>0.46921296296296294</v>
      </c>
    </row>
    <row r="1281" spans="1:13" x14ac:dyDescent="0.25">
      <c r="A1281" s="33" t="s">
        <v>262</v>
      </c>
      <c r="B1281" s="34" t="str">
        <f>HYPERLINK("http://www.twitter.com/BuckieHighLib", "BuckieHighLib")</f>
        <v>BuckieHighLib</v>
      </c>
      <c r="C1281" s="33" t="s">
        <v>2993</v>
      </c>
      <c r="F1281" s="35">
        <v>85</v>
      </c>
      <c r="G1281" s="35">
        <v>175</v>
      </c>
      <c r="H1281" s="35">
        <v>286</v>
      </c>
      <c r="I1281" s="35">
        <v>211</v>
      </c>
      <c r="J1281" s="36">
        <v>42433</v>
      </c>
      <c r="K1281" s="37">
        <v>0.64988425925925919</v>
      </c>
      <c r="L1281" s="36">
        <v>42927</v>
      </c>
      <c r="M1281" s="38">
        <v>0.83746527777777768</v>
      </c>
    </row>
    <row r="1282" spans="1:13" x14ac:dyDescent="0.25">
      <c r="A1282" s="33" t="s">
        <v>262</v>
      </c>
      <c r="B1282" s="34" t="str">
        <f>HYPERLINK("http://www.twitter.com/ShropsSLS", "ShropsSLS")</f>
        <v>ShropsSLS</v>
      </c>
      <c r="C1282" s="33" t="s">
        <v>2046</v>
      </c>
      <c r="E1282" s="32" t="s">
        <v>2047</v>
      </c>
      <c r="F1282" s="35">
        <v>198</v>
      </c>
      <c r="G1282" s="35">
        <v>405</v>
      </c>
      <c r="H1282" s="35">
        <v>278</v>
      </c>
      <c r="I1282" s="35">
        <v>36</v>
      </c>
      <c r="J1282" s="36">
        <v>41534</v>
      </c>
      <c r="K1282" s="37">
        <v>0.37710648148148151</v>
      </c>
      <c r="L1282" s="36">
        <v>42902</v>
      </c>
      <c r="M1282" s="38">
        <v>0.52657407407407408</v>
      </c>
    </row>
    <row r="1283" spans="1:13" ht="60" x14ac:dyDescent="0.25">
      <c r="A1283" s="33" t="s">
        <v>262</v>
      </c>
      <c r="B1283" s="34" t="str">
        <f>HYPERLINK("http://www.twitter.com/nsc_library", "nsc_library")</f>
        <v>nsc_library</v>
      </c>
      <c r="C1283" s="33" t="s">
        <v>3561</v>
      </c>
      <c r="D1283" s="33" t="s">
        <v>3562</v>
      </c>
      <c r="E1283" s="32" t="s">
        <v>3563</v>
      </c>
      <c r="F1283" s="35">
        <v>130</v>
      </c>
      <c r="G1283" s="35">
        <v>132</v>
      </c>
      <c r="H1283" s="35">
        <v>272</v>
      </c>
      <c r="I1283" s="35">
        <v>230</v>
      </c>
      <c r="J1283" s="36">
        <v>42354</v>
      </c>
      <c r="K1283" s="37">
        <v>0.59844907407407411</v>
      </c>
      <c r="L1283" s="36">
        <v>42929</v>
      </c>
      <c r="M1283" s="38">
        <v>0.46112268518518523</v>
      </c>
    </row>
    <row r="1284" spans="1:13" ht="45" x14ac:dyDescent="0.25">
      <c r="A1284" s="33" t="s">
        <v>262</v>
      </c>
      <c r="B1284" s="34" t="str">
        <f>HYPERLINK("http://www.twitter.com/ccolpercival", "ccolpercival")</f>
        <v>ccolpercival</v>
      </c>
      <c r="C1284" s="33" t="s">
        <v>3044</v>
      </c>
      <c r="D1284" s="33" t="s">
        <v>3045</v>
      </c>
      <c r="E1284" s="32" t="s">
        <v>3046</v>
      </c>
      <c r="F1284" s="35">
        <v>131</v>
      </c>
      <c r="G1284" s="35">
        <v>128</v>
      </c>
      <c r="H1284" s="35">
        <v>270</v>
      </c>
      <c r="I1284" s="35">
        <v>58</v>
      </c>
      <c r="J1284" s="36">
        <v>41219</v>
      </c>
      <c r="K1284" s="37">
        <v>0.74678240740740742</v>
      </c>
      <c r="L1284" s="36">
        <v>42923</v>
      </c>
      <c r="M1284" s="38">
        <v>0.65945601851851854</v>
      </c>
    </row>
    <row r="1285" spans="1:13" ht="30" x14ac:dyDescent="0.25">
      <c r="A1285" s="33" t="s">
        <v>262</v>
      </c>
      <c r="B1285" s="34" t="str">
        <f>HYPERLINK("http://www.twitter.com/CliftonPrepLib", "CliftonPrepLib")</f>
        <v>CliftonPrepLib</v>
      </c>
      <c r="C1285" s="33" t="s">
        <v>2940</v>
      </c>
      <c r="D1285" s="33" t="s">
        <v>1377</v>
      </c>
      <c r="E1285" s="32" t="s">
        <v>2941</v>
      </c>
      <c r="F1285" s="35">
        <v>478</v>
      </c>
      <c r="G1285" s="35">
        <v>158</v>
      </c>
      <c r="H1285" s="35">
        <v>269</v>
      </c>
      <c r="I1285" s="35">
        <v>282</v>
      </c>
      <c r="J1285" s="36">
        <v>42116</v>
      </c>
      <c r="K1285" s="37">
        <v>0.37787037037037036</v>
      </c>
      <c r="L1285" s="36">
        <v>42905</v>
      </c>
      <c r="M1285" s="38">
        <v>0.50686342592592593</v>
      </c>
    </row>
    <row r="1286" spans="1:13" ht="30" x14ac:dyDescent="0.25">
      <c r="A1286" s="33" t="s">
        <v>262</v>
      </c>
      <c r="B1286" s="34" t="str">
        <f>HYPERLINK("http://www.twitter.com/BGSteenreads", "BGSteenreads")</f>
        <v>BGSteenreads</v>
      </c>
      <c r="C1286" s="33" t="s">
        <v>2875</v>
      </c>
      <c r="D1286" s="33" t="s">
        <v>2876</v>
      </c>
      <c r="E1286" s="32" t="s">
        <v>2877</v>
      </c>
      <c r="F1286" s="35">
        <v>523</v>
      </c>
      <c r="G1286" s="35">
        <v>158</v>
      </c>
      <c r="H1286" s="35">
        <v>263</v>
      </c>
      <c r="I1286" s="35">
        <v>37</v>
      </c>
      <c r="J1286" s="36">
        <v>41450</v>
      </c>
      <c r="K1286" s="37">
        <v>0.70824074074074073</v>
      </c>
      <c r="L1286" s="36">
        <v>42920</v>
      </c>
      <c r="M1286" s="38">
        <v>0.57770833333333338</v>
      </c>
    </row>
    <row r="1287" spans="1:13" x14ac:dyDescent="0.25">
      <c r="A1287" s="33" t="s">
        <v>262</v>
      </c>
      <c r="B1287" s="34" t="str">
        <f>HYPERLINK("http://www.twitter.com/BroughtonLRC", "BroughtonLRC")</f>
        <v>BroughtonLRC</v>
      </c>
      <c r="C1287" s="33" t="s">
        <v>2787</v>
      </c>
      <c r="D1287" s="33" t="s">
        <v>2788</v>
      </c>
      <c r="F1287" s="35">
        <v>124</v>
      </c>
      <c r="G1287" s="35">
        <v>180</v>
      </c>
      <c r="H1287" s="35">
        <v>260</v>
      </c>
      <c r="I1287" s="35">
        <v>21</v>
      </c>
      <c r="J1287" s="36">
        <v>41299</v>
      </c>
      <c r="K1287" s="37">
        <v>0.39362268518518517</v>
      </c>
      <c r="L1287" s="36">
        <v>42822</v>
      </c>
      <c r="M1287" s="38">
        <v>0.71910879629629632</v>
      </c>
    </row>
    <row r="1288" spans="1:13" ht="30" x14ac:dyDescent="0.25">
      <c r="A1288" s="33" t="s">
        <v>262</v>
      </c>
      <c r="B1288" s="34" t="str">
        <f>HYPERLINK("http://www.twitter.com/FolkestoneLRC", "FolkestoneLRC")</f>
        <v>FolkestoneLRC</v>
      </c>
      <c r="C1288" s="33" t="s">
        <v>3600</v>
      </c>
      <c r="D1288" s="33" t="s">
        <v>3601</v>
      </c>
      <c r="E1288" s="32" t="s">
        <v>3602</v>
      </c>
      <c r="F1288" s="35">
        <v>62</v>
      </c>
      <c r="G1288" s="35">
        <v>224</v>
      </c>
      <c r="H1288" s="35">
        <v>255</v>
      </c>
      <c r="I1288" s="35">
        <v>1</v>
      </c>
      <c r="J1288" s="36">
        <v>40963</v>
      </c>
      <c r="K1288" s="37">
        <v>0.42277777777777775</v>
      </c>
      <c r="L1288" s="36">
        <v>42532</v>
      </c>
      <c r="M1288" s="38">
        <v>0.44315972222222227</v>
      </c>
    </row>
    <row r="1289" spans="1:13" ht="45" x14ac:dyDescent="0.25">
      <c r="A1289" s="33" t="s">
        <v>262</v>
      </c>
      <c r="B1289" s="34" t="str">
        <f>HYPERLINK("http://www.twitter.com/BFTLibrary", "BFTLibrary")</f>
        <v>BFTLibrary</v>
      </c>
      <c r="C1289" s="33" t="s">
        <v>2480</v>
      </c>
      <c r="D1289" s="33" t="s">
        <v>2481</v>
      </c>
      <c r="E1289" s="32" t="s">
        <v>2482</v>
      </c>
      <c r="F1289" s="35">
        <v>310</v>
      </c>
      <c r="G1289" s="35">
        <v>248</v>
      </c>
      <c r="H1289" s="35">
        <v>253</v>
      </c>
      <c r="I1289" s="35">
        <v>90</v>
      </c>
      <c r="J1289" s="36">
        <v>42026</v>
      </c>
      <c r="K1289" s="37">
        <v>0.46186342592592594</v>
      </c>
      <c r="L1289" s="36">
        <v>42909</v>
      </c>
      <c r="M1289" s="38">
        <v>0.64520833333333327</v>
      </c>
    </row>
    <row r="1290" spans="1:13" ht="45" x14ac:dyDescent="0.25">
      <c r="A1290" s="33" t="s">
        <v>262</v>
      </c>
      <c r="B1290" s="34" t="str">
        <f>HYPERLINK("http://www.twitter.com/StJosephsLib", "StJosephsLib")</f>
        <v>StJosephsLib</v>
      </c>
      <c r="C1290" s="33" t="s">
        <v>2338</v>
      </c>
      <c r="D1290" s="33" t="s">
        <v>2339</v>
      </c>
      <c r="E1290" s="32" t="s">
        <v>2340</v>
      </c>
      <c r="F1290" s="35">
        <v>233</v>
      </c>
      <c r="G1290" s="35">
        <v>277</v>
      </c>
      <c r="H1290" s="35">
        <v>252</v>
      </c>
      <c r="I1290" s="35">
        <v>57</v>
      </c>
      <c r="J1290" s="36">
        <v>41340</v>
      </c>
      <c r="K1290" s="37">
        <v>0.55479166666666668</v>
      </c>
      <c r="L1290" s="36">
        <v>42816</v>
      </c>
      <c r="M1290" s="38">
        <v>0.74118055555555562</v>
      </c>
    </row>
    <row r="1291" spans="1:13" ht="45" x14ac:dyDescent="0.25">
      <c r="A1291" s="33" t="s">
        <v>262</v>
      </c>
      <c r="B1291" s="34" t="str">
        <f>HYPERLINK("http://www.twitter.com/bxa_library", "bxa_library")</f>
        <v>bxa_library</v>
      </c>
      <c r="C1291" s="33" t="s">
        <v>2990</v>
      </c>
      <c r="D1291" s="33" t="s">
        <v>2991</v>
      </c>
      <c r="E1291" s="32" t="s">
        <v>2992</v>
      </c>
      <c r="F1291" s="35">
        <v>151</v>
      </c>
      <c r="G1291" s="35">
        <v>154</v>
      </c>
      <c r="H1291" s="35">
        <v>250</v>
      </c>
      <c r="I1291" s="35">
        <v>149</v>
      </c>
      <c r="J1291" s="36">
        <v>42282</v>
      </c>
      <c r="K1291" s="37">
        <v>0.54313657407407401</v>
      </c>
      <c r="L1291" s="36">
        <v>42920</v>
      </c>
      <c r="M1291" s="38">
        <v>0.37747685185185187</v>
      </c>
    </row>
    <row r="1292" spans="1:13" ht="45" x14ac:dyDescent="0.25">
      <c r="A1292" s="33" t="s">
        <v>262</v>
      </c>
      <c r="B1292" s="34" t="str">
        <f>HYPERLINK("http://www.twitter.com/libraryatkings", "libraryatkings")</f>
        <v>libraryatkings</v>
      </c>
      <c r="C1292" s="33" t="s">
        <v>1621</v>
      </c>
      <c r="D1292" s="33" t="s">
        <v>1622</v>
      </c>
      <c r="E1292" s="32" t="s">
        <v>1623</v>
      </c>
      <c r="F1292" s="35">
        <v>1368</v>
      </c>
      <c r="G1292" s="35">
        <v>647</v>
      </c>
      <c r="H1292" s="35">
        <v>249</v>
      </c>
      <c r="I1292" s="35">
        <v>75</v>
      </c>
      <c r="J1292" s="36">
        <v>39910</v>
      </c>
      <c r="K1292" s="37">
        <v>0.96361111111111108</v>
      </c>
      <c r="L1292" s="36">
        <v>42432</v>
      </c>
      <c r="M1292" s="38">
        <v>0.68753472222222223</v>
      </c>
    </row>
    <row r="1293" spans="1:13" x14ac:dyDescent="0.25">
      <c r="A1293" s="33" t="s">
        <v>262</v>
      </c>
      <c r="B1293" s="34" t="str">
        <f>HYPERLINK("http://www.twitter.com/AirdrieAcadLRC", "AirdrieAcadLRC")</f>
        <v>AirdrieAcadLRC</v>
      </c>
      <c r="C1293" s="33" t="s">
        <v>2829</v>
      </c>
      <c r="D1293" s="33" t="s">
        <v>2830</v>
      </c>
      <c r="E1293" s="32" t="s">
        <v>2831</v>
      </c>
      <c r="F1293" s="35">
        <v>46</v>
      </c>
      <c r="G1293" s="35">
        <v>181</v>
      </c>
      <c r="H1293" s="35">
        <v>247</v>
      </c>
      <c r="I1293" s="35">
        <v>48</v>
      </c>
      <c r="J1293" s="36">
        <v>42061</v>
      </c>
      <c r="K1293" s="37">
        <v>0.60521990740740739</v>
      </c>
      <c r="L1293" s="36">
        <v>42893</v>
      </c>
      <c r="M1293" s="38">
        <v>0.57847222222222217</v>
      </c>
    </row>
    <row r="1294" spans="1:13" ht="30" x14ac:dyDescent="0.25">
      <c r="A1294" s="33" t="s">
        <v>262</v>
      </c>
      <c r="B1294" s="34" t="str">
        <f>HYPERLINK("http://www.twitter.com/DoverLRC", "DoverLRC")</f>
        <v>DoverLRC</v>
      </c>
      <c r="C1294" s="33" t="s">
        <v>3597</v>
      </c>
      <c r="D1294" s="33" t="s">
        <v>3598</v>
      </c>
      <c r="E1294" s="32" t="s">
        <v>3599</v>
      </c>
      <c r="F1294" s="35">
        <v>62</v>
      </c>
      <c r="G1294" s="35">
        <v>63</v>
      </c>
      <c r="H1294" s="35">
        <v>245</v>
      </c>
      <c r="I1294" s="35">
        <v>0</v>
      </c>
      <c r="J1294" s="36">
        <v>40963</v>
      </c>
      <c r="K1294" s="37">
        <v>0.42307870370370365</v>
      </c>
      <c r="L1294" s="36">
        <v>41800</v>
      </c>
      <c r="M1294" s="38">
        <v>0.41052083333333328</v>
      </c>
    </row>
    <row r="1295" spans="1:13" ht="30" x14ac:dyDescent="0.25">
      <c r="A1295" s="33" t="s">
        <v>262</v>
      </c>
      <c r="B1295" s="34" t="str">
        <f>HYPERLINK("http://www.twitter.com/Falkirk_LRS", "Falkirk_LRS")</f>
        <v>Falkirk_LRS</v>
      </c>
      <c r="C1295" s="33" t="s">
        <v>2302</v>
      </c>
      <c r="D1295" s="33" t="s">
        <v>2303</v>
      </c>
      <c r="E1295" s="32" t="s">
        <v>2304</v>
      </c>
      <c r="F1295" s="35">
        <v>174</v>
      </c>
      <c r="G1295" s="35">
        <v>292</v>
      </c>
      <c r="H1295" s="35">
        <v>241</v>
      </c>
      <c r="I1295" s="35">
        <v>1</v>
      </c>
      <c r="J1295" s="36">
        <v>41761</v>
      </c>
      <c r="K1295" s="37">
        <v>0.54976851851851849</v>
      </c>
      <c r="L1295" s="36">
        <v>42929</v>
      </c>
      <c r="M1295" s="38">
        <v>0.33883101851851855</v>
      </c>
    </row>
    <row r="1296" spans="1:13" x14ac:dyDescent="0.25">
      <c r="A1296" s="33" t="s">
        <v>262</v>
      </c>
      <c r="B1296" s="34" t="str">
        <f>HYPERLINK("http://www.twitter.com/SGA_Library", "SGA_Library")</f>
        <v>SGA_Library</v>
      </c>
      <c r="C1296" s="33" t="s">
        <v>2871</v>
      </c>
      <c r="D1296" s="33" t="s">
        <v>2872</v>
      </c>
      <c r="F1296" s="35">
        <v>358</v>
      </c>
      <c r="G1296" s="35">
        <v>180</v>
      </c>
      <c r="H1296" s="35">
        <v>238</v>
      </c>
      <c r="I1296" s="35">
        <v>148</v>
      </c>
      <c r="J1296" s="36">
        <v>42390</v>
      </c>
      <c r="K1296" s="37">
        <v>0.56592592592592594</v>
      </c>
      <c r="L1296" s="36">
        <v>42929</v>
      </c>
      <c r="M1296" s="38">
        <v>4.5486111111111109E-3</v>
      </c>
    </row>
    <row r="1297" spans="1:13" ht="45" x14ac:dyDescent="0.25">
      <c r="A1297" s="33" t="s">
        <v>262</v>
      </c>
      <c r="B1297" s="34" t="str">
        <f>HYPERLINK("http://www.twitter.com/HathershawGeeks", "HathershawGeeks")</f>
        <v>HathershawGeeks</v>
      </c>
      <c r="C1297" s="33" t="s">
        <v>3568</v>
      </c>
      <c r="D1297" s="33" t="s">
        <v>3569</v>
      </c>
      <c r="E1297" s="32" t="s">
        <v>3570</v>
      </c>
      <c r="F1297" s="35">
        <v>123</v>
      </c>
      <c r="G1297" s="35">
        <v>100</v>
      </c>
      <c r="H1297" s="35">
        <v>226</v>
      </c>
      <c r="I1297" s="35">
        <v>13</v>
      </c>
      <c r="J1297" s="36">
        <v>42136</v>
      </c>
      <c r="K1297" s="37">
        <v>0.41778935185185184</v>
      </c>
      <c r="L1297" s="36">
        <v>42936</v>
      </c>
      <c r="M1297" s="38">
        <v>0.94552083333333325</v>
      </c>
    </row>
    <row r="1298" spans="1:13" x14ac:dyDescent="0.25">
      <c r="A1298" s="33" t="s">
        <v>262</v>
      </c>
      <c r="B1298" s="34" t="str">
        <f>HYPERLINK("http://www.twitter.com/trinwilsonlib", "trinwilsonlib")</f>
        <v>trinwilsonlib</v>
      </c>
      <c r="C1298" s="33" t="s">
        <v>1102</v>
      </c>
      <c r="D1298" s="33" t="s">
        <v>3032</v>
      </c>
      <c r="E1298" s="32" t="s">
        <v>3033</v>
      </c>
      <c r="F1298" s="35">
        <v>230</v>
      </c>
      <c r="G1298" s="35">
        <v>129</v>
      </c>
      <c r="H1298" s="35">
        <v>226</v>
      </c>
      <c r="I1298" s="35">
        <v>0</v>
      </c>
      <c r="J1298" s="36">
        <v>40064</v>
      </c>
      <c r="K1298" s="37">
        <v>0.62084490740740739</v>
      </c>
      <c r="L1298" s="36">
        <v>40441</v>
      </c>
      <c r="M1298" s="38">
        <v>0.67642361111111116</v>
      </c>
    </row>
    <row r="1299" spans="1:13" ht="45" x14ac:dyDescent="0.25">
      <c r="A1299" s="33" t="s">
        <v>262</v>
      </c>
      <c r="B1299" s="34" t="str">
        <f>HYPERLINK("http://www.twitter.com/HarrowBKKLibrar", "HarrowBKKLibrar")</f>
        <v>HarrowBKKLibrar</v>
      </c>
      <c r="C1299" s="33" t="s">
        <v>2719</v>
      </c>
      <c r="D1299" s="33" t="s">
        <v>2720</v>
      </c>
      <c r="E1299" s="32" t="s">
        <v>2721</v>
      </c>
      <c r="F1299" s="35">
        <v>460</v>
      </c>
      <c r="G1299" s="35">
        <v>188</v>
      </c>
      <c r="H1299" s="35">
        <v>222</v>
      </c>
      <c r="I1299" s="35">
        <v>49</v>
      </c>
      <c r="J1299" s="36">
        <v>41907</v>
      </c>
      <c r="K1299" s="37">
        <v>0.28417824074074077</v>
      </c>
      <c r="L1299" s="36">
        <v>42829</v>
      </c>
      <c r="M1299" s="38">
        <v>0.19743055555555555</v>
      </c>
    </row>
    <row r="1300" spans="1:13" ht="30" x14ac:dyDescent="0.25">
      <c r="A1300" s="33" t="s">
        <v>262</v>
      </c>
      <c r="B1300" s="34" t="str">
        <f>HYPERLINK("http://www.twitter.com/CovCollegeLRC", "CovCollegeLRC")</f>
        <v>CovCollegeLRC</v>
      </c>
      <c r="C1300" s="33" t="s">
        <v>2470</v>
      </c>
      <c r="D1300" s="33" t="s">
        <v>688</v>
      </c>
      <c r="E1300" s="32" t="s">
        <v>3553</v>
      </c>
      <c r="F1300" s="35">
        <v>123</v>
      </c>
      <c r="G1300" s="35">
        <v>87</v>
      </c>
      <c r="H1300" s="35">
        <v>221</v>
      </c>
      <c r="I1300" s="35">
        <v>192</v>
      </c>
      <c r="J1300" s="36">
        <v>42439</v>
      </c>
      <c r="K1300" s="37">
        <v>0.70096064814814818</v>
      </c>
      <c r="L1300" s="36">
        <v>42923</v>
      </c>
      <c r="M1300" s="38">
        <v>0.43241898148148145</v>
      </c>
    </row>
    <row r="1301" spans="1:13" ht="30" x14ac:dyDescent="0.25">
      <c r="A1301" s="33" t="s">
        <v>262</v>
      </c>
      <c r="B1301" s="34" t="str">
        <f>HYPERLINK("http://www.twitter.com/BroadoakLibrary", "BroadoakLibrary")</f>
        <v>BroadoakLibrary</v>
      </c>
      <c r="C1301" s="33" t="s">
        <v>2839</v>
      </c>
      <c r="D1301" s="33" t="s">
        <v>2840</v>
      </c>
      <c r="E1301" s="32" t="s">
        <v>2841</v>
      </c>
      <c r="F1301" s="35">
        <v>187</v>
      </c>
      <c r="G1301" s="35">
        <v>179</v>
      </c>
      <c r="H1301" s="35">
        <v>214</v>
      </c>
      <c r="I1301" s="35">
        <v>182</v>
      </c>
      <c r="J1301" s="36">
        <v>41625</v>
      </c>
      <c r="K1301" s="37">
        <v>0.89556712962962959</v>
      </c>
      <c r="L1301" s="36">
        <v>42878</v>
      </c>
      <c r="M1301" s="38">
        <v>0.79679398148148151</v>
      </c>
    </row>
    <row r="1302" spans="1:13" x14ac:dyDescent="0.25">
      <c r="A1302" s="33" t="s">
        <v>262</v>
      </c>
      <c r="B1302" s="34" t="str">
        <f>HYPERLINK("http://www.twitter.com/BiblioSanLuca", "BiblioSanLuca")</f>
        <v>BiblioSanLuca</v>
      </c>
      <c r="C1302" s="33" t="s">
        <v>2406</v>
      </c>
      <c r="D1302" s="33" t="s">
        <v>2407</v>
      </c>
      <c r="E1302" s="32" t="s">
        <v>2408</v>
      </c>
      <c r="F1302" s="35">
        <v>193</v>
      </c>
      <c r="G1302" s="35">
        <v>268</v>
      </c>
      <c r="H1302" s="35">
        <v>212</v>
      </c>
      <c r="I1302" s="35">
        <v>7</v>
      </c>
      <c r="J1302" s="36">
        <v>41540</v>
      </c>
      <c r="K1302" s="37">
        <v>0.51528935185185187</v>
      </c>
      <c r="L1302" s="36">
        <v>42921</v>
      </c>
      <c r="M1302" s="38">
        <v>0.3734837962962963</v>
      </c>
    </row>
    <row r="1303" spans="1:13" x14ac:dyDescent="0.25">
      <c r="A1303" s="33" t="s">
        <v>262</v>
      </c>
      <c r="B1303" s="34" t="str">
        <f>HYPERLINK("http://www.twitter.com/khslibrarian", "khslibrarian")</f>
        <v>khslibrarian</v>
      </c>
      <c r="C1303" s="33" t="s">
        <v>2119</v>
      </c>
      <c r="D1303" s="33" t="s">
        <v>2120</v>
      </c>
      <c r="F1303" s="35">
        <v>441</v>
      </c>
      <c r="G1303" s="35">
        <v>372</v>
      </c>
      <c r="H1303" s="35">
        <v>210</v>
      </c>
      <c r="I1303" s="35">
        <v>57</v>
      </c>
      <c r="J1303" s="36">
        <v>41345</v>
      </c>
      <c r="K1303" s="37">
        <v>0.72807870370370376</v>
      </c>
      <c r="L1303" s="36">
        <v>42937</v>
      </c>
      <c r="M1303" s="38">
        <v>0.33585648148148151</v>
      </c>
    </row>
    <row r="1304" spans="1:13" ht="75" x14ac:dyDescent="0.25">
      <c r="A1304" s="33" t="s">
        <v>262</v>
      </c>
      <c r="B1304" s="34" t="str">
        <f>HYPERLINK("http://www.twitter.com/KeithGrammarLRC", "KeithGrammarLRC")</f>
        <v>KeithGrammarLRC</v>
      </c>
      <c r="C1304" s="33" t="s">
        <v>2500</v>
      </c>
      <c r="D1304" s="33" t="s">
        <v>2501</v>
      </c>
      <c r="E1304" s="32" t="s">
        <v>2502</v>
      </c>
      <c r="F1304" s="35">
        <v>231</v>
      </c>
      <c r="G1304" s="35">
        <v>251</v>
      </c>
      <c r="H1304" s="35">
        <v>207</v>
      </c>
      <c r="I1304" s="35">
        <v>237</v>
      </c>
      <c r="J1304" s="36">
        <v>42439</v>
      </c>
      <c r="K1304" s="37">
        <v>0.61858796296296303</v>
      </c>
      <c r="L1304" s="36">
        <v>42932</v>
      </c>
      <c r="M1304" s="38">
        <v>0.80479166666666668</v>
      </c>
    </row>
    <row r="1305" spans="1:13" ht="60" x14ac:dyDescent="0.25">
      <c r="A1305" s="33" t="s">
        <v>262</v>
      </c>
      <c r="B1305" s="34" t="str">
        <f>HYPERLINK("http://www.twitter.com/fgs_library", "fgs_library")</f>
        <v>fgs_library</v>
      </c>
      <c r="C1305" s="33" t="s">
        <v>3319</v>
      </c>
      <c r="E1305" s="32" t="s">
        <v>3320</v>
      </c>
      <c r="F1305" s="35">
        <v>81</v>
      </c>
      <c r="G1305" s="35">
        <v>59</v>
      </c>
      <c r="H1305" s="35">
        <v>204</v>
      </c>
      <c r="I1305" s="35">
        <v>36</v>
      </c>
      <c r="J1305" s="36">
        <v>42321</v>
      </c>
      <c r="K1305" s="37">
        <v>0.59688657407407408</v>
      </c>
      <c r="L1305" s="36">
        <v>42685</v>
      </c>
      <c r="M1305" s="38">
        <v>0.59081018518518513</v>
      </c>
    </row>
    <row r="1306" spans="1:13" x14ac:dyDescent="0.25">
      <c r="A1306" s="33" t="s">
        <v>262</v>
      </c>
      <c r="B1306" s="34" t="str">
        <f>HYPERLINK("http://www.twitter.com/HuishLibrary", "HuishLibrary")</f>
        <v>HuishLibrary</v>
      </c>
      <c r="C1306" s="33" t="s">
        <v>1809</v>
      </c>
      <c r="D1306" s="33" t="s">
        <v>1810</v>
      </c>
      <c r="F1306" s="35">
        <v>499</v>
      </c>
      <c r="G1306" s="35">
        <v>499</v>
      </c>
      <c r="H1306" s="35">
        <v>204</v>
      </c>
      <c r="I1306" s="35">
        <v>55</v>
      </c>
      <c r="J1306" s="36">
        <v>42060</v>
      </c>
      <c r="K1306" s="37">
        <v>0.80561342592592589</v>
      </c>
      <c r="L1306" s="36">
        <v>42884</v>
      </c>
      <c r="M1306" s="38">
        <v>0.66491898148148143</v>
      </c>
    </row>
    <row r="1307" spans="1:13" ht="30" x14ac:dyDescent="0.25">
      <c r="A1307" s="33" t="s">
        <v>262</v>
      </c>
      <c r="B1307" s="34" t="str">
        <f>HYPERLINK("http://www.twitter.com/WGSBL", "WGSBL")</f>
        <v>WGSBL</v>
      </c>
      <c r="C1307" s="33" t="s">
        <v>3573</v>
      </c>
      <c r="E1307" s="32" t="s">
        <v>3574</v>
      </c>
      <c r="F1307" s="35">
        <v>15</v>
      </c>
      <c r="G1307" s="35">
        <v>40</v>
      </c>
      <c r="H1307" s="35">
        <v>202</v>
      </c>
      <c r="I1307" s="35">
        <v>25</v>
      </c>
      <c r="J1307" s="36">
        <v>41795</v>
      </c>
      <c r="K1307" s="37">
        <v>0.43405092592592592</v>
      </c>
      <c r="L1307" s="36">
        <v>42938</v>
      </c>
      <c r="M1307" s="38">
        <v>0.29622685185185188</v>
      </c>
    </row>
    <row r="1308" spans="1:13" ht="45" x14ac:dyDescent="0.25">
      <c r="A1308" s="33" t="s">
        <v>262</v>
      </c>
      <c r="B1308" s="34" t="str">
        <f>HYPERLINK("http://www.twitter.com/Stock_Library", "Stock_Library")</f>
        <v>Stock_Library</v>
      </c>
      <c r="C1308" s="33" t="s">
        <v>2716</v>
      </c>
      <c r="D1308" s="33" t="s">
        <v>2717</v>
      </c>
      <c r="E1308" s="32" t="s">
        <v>2718</v>
      </c>
      <c r="F1308" s="35">
        <v>459</v>
      </c>
      <c r="G1308" s="35">
        <v>195</v>
      </c>
      <c r="H1308" s="35">
        <v>202</v>
      </c>
      <c r="I1308" s="35">
        <v>83</v>
      </c>
      <c r="J1308" s="36">
        <v>41736</v>
      </c>
      <c r="K1308" s="37">
        <v>0.47540509259259256</v>
      </c>
      <c r="L1308" s="36">
        <v>42937</v>
      </c>
      <c r="M1308" s="38">
        <v>0.32840277777777777</v>
      </c>
    </row>
    <row r="1309" spans="1:13" x14ac:dyDescent="0.25">
      <c r="A1309" s="33" t="s">
        <v>262</v>
      </c>
      <c r="B1309" s="34" t="str">
        <f>HYPERLINK("http://www.twitter.com/RHSPearsonLib", "RHSPearsonLib")</f>
        <v>RHSPearsonLib</v>
      </c>
      <c r="C1309" s="33" t="s">
        <v>3604</v>
      </c>
      <c r="D1309" s="33" t="s">
        <v>1295</v>
      </c>
      <c r="E1309" s="32" t="s">
        <v>3605</v>
      </c>
      <c r="F1309" s="35">
        <v>203</v>
      </c>
      <c r="G1309" s="35">
        <v>109</v>
      </c>
      <c r="H1309" s="35">
        <v>201</v>
      </c>
      <c r="I1309" s="35">
        <v>24</v>
      </c>
      <c r="J1309" s="36">
        <v>40701</v>
      </c>
      <c r="K1309" s="37">
        <v>0.43519675925925921</v>
      </c>
      <c r="L1309" s="36">
        <v>42921</v>
      </c>
      <c r="M1309" s="38">
        <v>0.47600694444444441</v>
      </c>
    </row>
    <row r="1310" spans="1:13" x14ac:dyDescent="0.25">
      <c r="A1310" s="33" t="s">
        <v>262</v>
      </c>
      <c r="B1310" s="34" t="str">
        <f>HYPERLINK("http://www.twitter.com/themanorlibrary", "themanorlibrary")</f>
        <v>themanorlibrary</v>
      </c>
      <c r="C1310" s="33" t="s">
        <v>2744</v>
      </c>
      <c r="E1310" s="32" t="s">
        <v>2745</v>
      </c>
      <c r="F1310" s="35">
        <v>354</v>
      </c>
      <c r="G1310" s="35">
        <v>219</v>
      </c>
      <c r="H1310" s="35">
        <v>201</v>
      </c>
      <c r="I1310" s="35">
        <v>61</v>
      </c>
      <c r="J1310" s="36">
        <v>42446</v>
      </c>
      <c r="K1310" s="37">
        <v>0.6225694444444444</v>
      </c>
      <c r="L1310" s="36">
        <v>42928</v>
      </c>
      <c r="M1310" s="38">
        <v>0.44206018518518514</v>
      </c>
    </row>
    <row r="1311" spans="1:13" ht="30" x14ac:dyDescent="0.25">
      <c r="A1311" s="33" t="s">
        <v>262</v>
      </c>
      <c r="B1311" s="34" t="str">
        <f>HYPERLINK("http://www.twitter.com/Churchill_LRC", "Churchill_LRC")</f>
        <v>Churchill_LRC</v>
      </c>
      <c r="C1311" s="33" t="s">
        <v>3173</v>
      </c>
      <c r="E1311" s="32" t="s">
        <v>3592</v>
      </c>
      <c r="F1311" s="35">
        <v>41</v>
      </c>
      <c r="G1311" s="35">
        <v>98</v>
      </c>
      <c r="H1311" s="35">
        <v>195</v>
      </c>
      <c r="I1311" s="35">
        <v>107</v>
      </c>
      <c r="J1311" s="36">
        <v>40981</v>
      </c>
      <c r="K1311" s="37">
        <v>0.39486111111111111</v>
      </c>
      <c r="L1311" s="36">
        <v>42936</v>
      </c>
      <c r="M1311" s="38">
        <v>0.59326388888888892</v>
      </c>
    </row>
    <row r="1312" spans="1:13" x14ac:dyDescent="0.25">
      <c r="A1312" s="33" t="s">
        <v>262</v>
      </c>
      <c r="B1312" s="34" t="str">
        <f>HYPERLINK("http://www.twitter.com/GroveLibrary", "GroveLibrary")</f>
        <v>GroveLibrary</v>
      </c>
      <c r="C1312" s="33" t="s">
        <v>2750</v>
      </c>
      <c r="D1312" s="33" t="s">
        <v>232</v>
      </c>
      <c r="E1312" s="32" t="s">
        <v>2751</v>
      </c>
      <c r="F1312" s="35">
        <v>252</v>
      </c>
      <c r="G1312" s="35">
        <v>192</v>
      </c>
      <c r="H1312" s="35">
        <v>193</v>
      </c>
      <c r="I1312" s="35">
        <v>99</v>
      </c>
      <c r="J1312" s="36">
        <v>42166</v>
      </c>
      <c r="K1312" s="37">
        <v>0.31979166666666664</v>
      </c>
      <c r="L1312" s="36">
        <v>42915</v>
      </c>
      <c r="M1312" s="38">
        <v>0.45833333333333331</v>
      </c>
    </row>
    <row r="1313" spans="1:13" ht="45" x14ac:dyDescent="0.25">
      <c r="A1313" s="33" t="s">
        <v>262</v>
      </c>
      <c r="B1313" s="34" t="str">
        <f>HYPERLINK("http://www.twitter.com/Broadoaklrc", "Broadoaklrc")</f>
        <v>Broadoaklrc</v>
      </c>
      <c r="C1313" s="33" t="s">
        <v>2706</v>
      </c>
      <c r="D1313" s="33" t="s">
        <v>1871</v>
      </c>
      <c r="E1313" s="32" t="s">
        <v>2707</v>
      </c>
      <c r="F1313" s="35">
        <v>218</v>
      </c>
      <c r="G1313" s="35">
        <v>205</v>
      </c>
      <c r="H1313" s="35">
        <v>193</v>
      </c>
      <c r="I1313" s="35">
        <v>7</v>
      </c>
      <c r="J1313" s="36">
        <v>40964</v>
      </c>
      <c r="K1313" s="37">
        <v>0.7553819444444444</v>
      </c>
      <c r="L1313" s="36">
        <v>42934</v>
      </c>
      <c r="M1313" s="38">
        <v>0.34578703703703706</v>
      </c>
    </row>
    <row r="1314" spans="1:13" ht="45" x14ac:dyDescent="0.25">
      <c r="A1314" s="33" t="s">
        <v>262</v>
      </c>
      <c r="B1314" s="34" t="str">
        <f>HYPERLINK("http://www.twitter.com/LibrariesLC", "LibrariesLC")</f>
        <v>LibrariesLC</v>
      </c>
      <c r="C1314" s="33" t="s">
        <v>3558</v>
      </c>
      <c r="D1314" s="33" t="s">
        <v>3559</v>
      </c>
      <c r="E1314" s="32" t="s">
        <v>3560</v>
      </c>
      <c r="F1314" s="35">
        <v>80</v>
      </c>
      <c r="G1314" s="35">
        <v>63</v>
      </c>
      <c r="H1314" s="35">
        <v>190</v>
      </c>
      <c r="I1314" s="35">
        <v>34</v>
      </c>
      <c r="J1314" s="36">
        <v>42374</v>
      </c>
      <c r="K1314" s="37">
        <v>0.42442129629629632</v>
      </c>
      <c r="L1314" s="36">
        <v>42908</v>
      </c>
      <c r="M1314" s="38">
        <v>0.62930555555555556</v>
      </c>
    </row>
    <row r="1315" spans="1:13" x14ac:dyDescent="0.25">
      <c r="A1315" s="33" t="s">
        <v>262</v>
      </c>
      <c r="B1315" s="34" t="str">
        <f>HYPERLINK("http://www.twitter.com/bhsreadingbooks", "bhsreadingbooks")</f>
        <v>bhsreadingbooks</v>
      </c>
      <c r="C1315" s="33" t="s">
        <v>3307</v>
      </c>
      <c r="E1315" s="32" t="s">
        <v>3308</v>
      </c>
      <c r="F1315" s="35">
        <v>95</v>
      </c>
      <c r="G1315" s="35">
        <v>65</v>
      </c>
      <c r="H1315" s="35">
        <v>187</v>
      </c>
      <c r="I1315" s="35">
        <v>164</v>
      </c>
      <c r="J1315" s="36">
        <v>42390</v>
      </c>
      <c r="K1315" s="37">
        <v>0.42289351851851853</v>
      </c>
      <c r="L1315" s="36">
        <v>42810</v>
      </c>
      <c r="M1315" s="38">
        <v>0.6111805555555555</v>
      </c>
    </row>
    <row r="1316" spans="1:13" ht="45" x14ac:dyDescent="0.25">
      <c r="A1316" s="33" t="s">
        <v>262</v>
      </c>
      <c r="B1316" s="34" t="str">
        <f>HYPERLINK("http://www.twitter.com/RSch_LRC", "RSch_LRC")</f>
        <v>RSch_LRC</v>
      </c>
      <c r="C1316" s="33" t="s">
        <v>2958</v>
      </c>
      <c r="D1316" s="33" t="s">
        <v>2774</v>
      </c>
      <c r="E1316" s="32" t="s">
        <v>2959</v>
      </c>
      <c r="F1316" s="35">
        <v>74</v>
      </c>
      <c r="G1316" s="35">
        <v>162</v>
      </c>
      <c r="H1316" s="35">
        <v>187</v>
      </c>
      <c r="I1316" s="35">
        <v>63</v>
      </c>
      <c r="J1316" s="36">
        <v>41766</v>
      </c>
      <c r="K1316" s="37">
        <v>0.72354166666666664</v>
      </c>
      <c r="L1316" s="36">
        <v>42934</v>
      </c>
      <c r="M1316" s="38">
        <v>0.60099537037037043</v>
      </c>
    </row>
    <row r="1317" spans="1:13" ht="45" x14ac:dyDescent="0.25">
      <c r="A1317" s="33" t="s">
        <v>262</v>
      </c>
      <c r="B1317" s="34" t="str">
        <f>HYPERLINK("http://www.twitter.com/kinacadlibrary", "kinacadlibrary")</f>
        <v>kinacadlibrary</v>
      </c>
      <c r="C1317" s="33" t="s">
        <v>2900</v>
      </c>
      <c r="D1317" s="33" t="s">
        <v>569</v>
      </c>
      <c r="E1317" s="32" t="s">
        <v>2901</v>
      </c>
      <c r="F1317" s="35">
        <v>140</v>
      </c>
      <c r="G1317" s="35">
        <v>180</v>
      </c>
      <c r="H1317" s="35">
        <v>185</v>
      </c>
      <c r="I1317" s="35">
        <v>87</v>
      </c>
      <c r="J1317" s="36">
        <v>42457</v>
      </c>
      <c r="K1317" s="37">
        <v>0.46707175925925926</v>
      </c>
      <c r="L1317" s="36">
        <v>42930</v>
      </c>
      <c r="M1317" s="38">
        <v>0.88335648148148149</v>
      </c>
    </row>
    <row r="1318" spans="1:13" x14ac:dyDescent="0.25">
      <c r="A1318" s="33" t="s">
        <v>262</v>
      </c>
      <c r="B1318" s="34" t="str">
        <f>HYPERLINK("http://www.twitter.com/LibJwelby", "LibJwelby")</f>
        <v>LibJwelby</v>
      </c>
      <c r="C1318" s="33" t="s">
        <v>3238</v>
      </c>
      <c r="E1318" s="32" t="s">
        <v>3239</v>
      </c>
      <c r="F1318" s="35">
        <v>324</v>
      </c>
      <c r="G1318" s="35">
        <v>98</v>
      </c>
      <c r="H1318" s="35">
        <v>182</v>
      </c>
      <c r="I1318" s="35">
        <v>162</v>
      </c>
      <c r="J1318" s="36">
        <v>42754</v>
      </c>
      <c r="K1318" s="37">
        <v>0.43454861111111115</v>
      </c>
      <c r="L1318" s="36">
        <v>42922</v>
      </c>
      <c r="M1318" s="38">
        <v>0.59506944444444443</v>
      </c>
    </row>
    <row r="1319" spans="1:13" ht="30" x14ac:dyDescent="0.25">
      <c r="A1319" s="33" t="s">
        <v>262</v>
      </c>
      <c r="B1319" s="34" t="str">
        <f>HYPERLINK("http://www.twitter.com/LRCEllisG", "LRCEllisG")</f>
        <v>LRCEllisG</v>
      </c>
      <c r="C1319" s="33" t="s">
        <v>3221</v>
      </c>
      <c r="E1319" s="32" t="s">
        <v>3222</v>
      </c>
      <c r="F1319" s="35">
        <v>105</v>
      </c>
      <c r="G1319" s="35">
        <v>89</v>
      </c>
      <c r="H1319" s="35">
        <v>179</v>
      </c>
      <c r="I1319" s="35">
        <v>173</v>
      </c>
      <c r="J1319" s="36">
        <v>42161</v>
      </c>
      <c r="K1319" s="37">
        <v>0.61499999999999999</v>
      </c>
      <c r="L1319" s="36">
        <v>42940</v>
      </c>
      <c r="M1319" s="38">
        <v>0.59464120370370377</v>
      </c>
    </row>
    <row r="1320" spans="1:13" ht="75" x14ac:dyDescent="0.25">
      <c r="A1320" s="33" t="s">
        <v>262</v>
      </c>
      <c r="B1320" s="34" t="str">
        <f>HYPERLINK("http://www.twitter.com/SAA_Library", "SAA_Library")</f>
        <v>SAA_Library</v>
      </c>
      <c r="C1320" s="33" t="s">
        <v>3311</v>
      </c>
      <c r="D1320" s="33" t="s">
        <v>3312</v>
      </c>
      <c r="E1320" s="32" t="s">
        <v>3313</v>
      </c>
      <c r="F1320" s="35">
        <v>127</v>
      </c>
      <c r="G1320" s="35">
        <v>91</v>
      </c>
      <c r="H1320" s="35">
        <v>178</v>
      </c>
      <c r="I1320" s="35">
        <v>51</v>
      </c>
      <c r="J1320" s="36">
        <v>42628</v>
      </c>
      <c r="K1320" s="37">
        <v>0.5744097222222222</v>
      </c>
      <c r="L1320" s="36">
        <v>42938</v>
      </c>
      <c r="M1320" s="38">
        <v>0.55173611111111109</v>
      </c>
    </row>
    <row r="1321" spans="1:13" x14ac:dyDescent="0.25">
      <c r="A1321" s="33" t="s">
        <v>262</v>
      </c>
      <c r="B1321" s="34" t="str">
        <f>HYPERLINK("http://www.twitter.com/jr_library", "jr_library")</f>
        <v>jr_library</v>
      </c>
      <c r="C1321" s="33" t="s">
        <v>3526</v>
      </c>
      <c r="E1321" s="32" t="s">
        <v>3527</v>
      </c>
      <c r="F1321" s="35">
        <v>110</v>
      </c>
      <c r="G1321" s="35">
        <v>47</v>
      </c>
      <c r="H1321" s="35">
        <v>177</v>
      </c>
      <c r="I1321" s="35">
        <v>49</v>
      </c>
      <c r="J1321" s="36">
        <v>42892</v>
      </c>
      <c r="K1321" s="37">
        <v>0.3815972222222222</v>
      </c>
      <c r="L1321" s="36">
        <v>42937</v>
      </c>
      <c r="M1321" s="38">
        <v>0.39269675925925923</v>
      </c>
    </row>
    <row r="1322" spans="1:13" x14ac:dyDescent="0.25">
      <c r="A1322" s="33" t="s">
        <v>262</v>
      </c>
      <c r="B1322" s="34" t="str">
        <f>HYPERLINK("http://www.twitter.com/NorthstarsLMC", "NorthstarsLMC")</f>
        <v>NorthstarsLMC</v>
      </c>
      <c r="C1322" s="33" t="s">
        <v>3027</v>
      </c>
      <c r="E1322" s="32" t="s">
        <v>3028</v>
      </c>
      <c r="F1322" s="35">
        <v>81</v>
      </c>
      <c r="G1322" s="35">
        <v>131</v>
      </c>
      <c r="H1322" s="35">
        <v>177</v>
      </c>
      <c r="I1322" s="35">
        <v>115</v>
      </c>
      <c r="J1322" s="36">
        <v>42256</v>
      </c>
      <c r="K1322" s="37">
        <v>0.95894675925925921</v>
      </c>
      <c r="L1322" s="36">
        <v>42906</v>
      </c>
      <c r="M1322" s="38">
        <v>0.55709490740740741</v>
      </c>
    </row>
    <row r="1323" spans="1:13" x14ac:dyDescent="0.25">
      <c r="A1323" s="33" t="s">
        <v>262</v>
      </c>
      <c r="B1323" s="34" t="str">
        <f>HYPERLINK("http://www.twitter.com/BucksburnLib", "BucksburnLib")</f>
        <v>BucksburnLib</v>
      </c>
      <c r="C1323" s="33" t="s">
        <v>3080</v>
      </c>
      <c r="F1323" s="35">
        <v>131</v>
      </c>
      <c r="G1323" s="35">
        <v>122</v>
      </c>
      <c r="H1323" s="35">
        <v>175</v>
      </c>
      <c r="I1323" s="35">
        <v>136</v>
      </c>
      <c r="J1323" s="36">
        <v>42324</v>
      </c>
      <c r="K1323" s="37">
        <v>0.47903935185185187</v>
      </c>
      <c r="L1323" s="36">
        <v>42932</v>
      </c>
      <c r="M1323" s="38">
        <v>0.37427083333333333</v>
      </c>
    </row>
    <row r="1324" spans="1:13" x14ac:dyDescent="0.25">
      <c r="A1324" s="33" t="s">
        <v>262</v>
      </c>
      <c r="B1324" s="34" t="str">
        <f>HYPERLINK("http://www.twitter.com/SHS_Lib", "SHS_Lib")</f>
        <v>SHS_Lib</v>
      </c>
      <c r="C1324" s="33" t="s">
        <v>2895</v>
      </c>
      <c r="E1324" s="32" t="s">
        <v>2896</v>
      </c>
      <c r="F1324" s="35">
        <v>191</v>
      </c>
      <c r="G1324" s="35">
        <v>158</v>
      </c>
      <c r="H1324" s="35">
        <v>175</v>
      </c>
      <c r="I1324" s="35">
        <v>19</v>
      </c>
      <c r="J1324" s="36">
        <v>41711</v>
      </c>
      <c r="K1324" s="37">
        <v>0.39484953703703707</v>
      </c>
      <c r="L1324" s="36">
        <v>42688</v>
      </c>
      <c r="M1324" s="38">
        <v>0.65571759259259255</v>
      </c>
    </row>
    <row r="1325" spans="1:13" x14ac:dyDescent="0.25">
      <c r="A1325" s="33" t="s">
        <v>262</v>
      </c>
      <c r="B1325" s="34" t="str">
        <f>HYPERLINK("http://www.twitter.com/stedsLibrary1", "stedsLibrary1")</f>
        <v>stedsLibrary1</v>
      </c>
      <c r="C1325" s="33" t="s">
        <v>3129</v>
      </c>
      <c r="E1325" s="32" t="s">
        <v>3130</v>
      </c>
      <c r="F1325" s="35">
        <v>92</v>
      </c>
      <c r="G1325" s="35">
        <v>102</v>
      </c>
      <c r="H1325" s="35">
        <v>173</v>
      </c>
      <c r="I1325" s="35">
        <v>15</v>
      </c>
      <c r="J1325" s="36">
        <v>41723</v>
      </c>
      <c r="K1325" s="37">
        <v>0.51795138888888892</v>
      </c>
      <c r="L1325" s="36">
        <v>42905</v>
      </c>
      <c r="M1325" s="38">
        <v>0.58438657407407402</v>
      </c>
    </row>
    <row r="1326" spans="1:13" ht="45" x14ac:dyDescent="0.25">
      <c r="A1326" s="33" t="s">
        <v>262</v>
      </c>
      <c r="B1326" s="34" t="str">
        <f>HYPERLINK("http://www.twitter.com/CNCS_Library", "CNCS_Library")</f>
        <v>CNCS_Library</v>
      </c>
      <c r="C1326" s="33" t="s">
        <v>3565</v>
      </c>
      <c r="D1326" s="33" t="s">
        <v>3281</v>
      </c>
      <c r="E1326" s="32" t="s">
        <v>3566</v>
      </c>
      <c r="F1326" s="35">
        <v>265</v>
      </c>
      <c r="G1326" s="35">
        <v>179</v>
      </c>
      <c r="H1326" s="35">
        <v>167</v>
      </c>
      <c r="I1326" s="35">
        <v>30</v>
      </c>
      <c r="J1326" s="36">
        <v>42165</v>
      </c>
      <c r="K1326" s="37">
        <v>0.43660879629629629</v>
      </c>
      <c r="L1326" s="36">
        <v>42934</v>
      </c>
      <c r="M1326" s="38">
        <v>0.39181712962962961</v>
      </c>
    </row>
    <row r="1327" spans="1:13" ht="30" x14ac:dyDescent="0.25">
      <c r="A1327" s="33" t="s">
        <v>262</v>
      </c>
      <c r="B1327" s="34" t="str">
        <f>HYPERLINK("http://www.twitter.com/CWALRC", "CWALRC")</f>
        <v>CWALRC</v>
      </c>
      <c r="C1327" s="33" t="s">
        <v>3001</v>
      </c>
      <c r="D1327" s="33" t="s">
        <v>3002</v>
      </c>
      <c r="E1327" s="32" t="s">
        <v>3003</v>
      </c>
      <c r="F1327" s="35">
        <v>319</v>
      </c>
      <c r="G1327" s="35">
        <v>139</v>
      </c>
      <c r="H1327" s="35">
        <v>166</v>
      </c>
      <c r="I1327" s="35">
        <v>31</v>
      </c>
      <c r="J1327" s="36">
        <v>41407</v>
      </c>
      <c r="K1327" s="37">
        <v>0.6521527777777778</v>
      </c>
      <c r="L1327" s="36">
        <v>42919</v>
      </c>
      <c r="M1327" s="38">
        <v>0.90506944444444448</v>
      </c>
    </row>
    <row r="1328" spans="1:13" ht="45" x14ac:dyDescent="0.25">
      <c r="A1328" s="33" t="s">
        <v>262</v>
      </c>
      <c r="B1328" s="34" t="str">
        <f>HYPERLINK("http://www.twitter.com/LSA_Library", "LSA_Library")</f>
        <v>LSA_Library</v>
      </c>
      <c r="C1328" s="33" t="s">
        <v>2650</v>
      </c>
      <c r="D1328" s="33" t="s">
        <v>2651</v>
      </c>
      <c r="E1328" s="32" t="s">
        <v>2652</v>
      </c>
      <c r="F1328" s="35">
        <v>350</v>
      </c>
      <c r="G1328" s="35">
        <v>207</v>
      </c>
      <c r="H1328" s="35">
        <v>163</v>
      </c>
      <c r="I1328" s="35">
        <v>84</v>
      </c>
      <c r="J1328" s="36">
        <v>41660</v>
      </c>
      <c r="K1328" s="37">
        <v>0.41873842592592592</v>
      </c>
      <c r="L1328" s="36">
        <v>42935</v>
      </c>
      <c r="M1328" s="38">
        <v>0.86856481481481485</v>
      </c>
    </row>
    <row r="1329" spans="1:13" x14ac:dyDescent="0.25">
      <c r="A1329" s="33" t="s">
        <v>262</v>
      </c>
      <c r="B1329" s="34" t="str">
        <f>HYPERLINK("http://www.twitter.com/Shaftesbury_LRC", "Shaftesbury_LRC")</f>
        <v>Shaftesbury_LRC</v>
      </c>
      <c r="C1329" s="33" t="s">
        <v>3356</v>
      </c>
      <c r="E1329" s="32" t="s">
        <v>3357</v>
      </c>
      <c r="F1329" s="35">
        <v>141</v>
      </c>
      <c r="G1329" s="35">
        <v>76</v>
      </c>
      <c r="H1329" s="35">
        <v>161</v>
      </c>
      <c r="I1329" s="35">
        <v>167</v>
      </c>
      <c r="J1329" s="36">
        <v>42787</v>
      </c>
      <c r="K1329" s="37">
        <v>0.54123842592592586</v>
      </c>
      <c r="L1329" s="36">
        <v>42937</v>
      </c>
      <c r="M1329" s="38">
        <v>0.46451388888888889</v>
      </c>
    </row>
    <row r="1330" spans="1:13" x14ac:dyDescent="0.25">
      <c r="A1330" s="33" t="s">
        <v>262</v>
      </c>
      <c r="B1330" s="34" t="str">
        <f>HYPERLINK("http://www.twitter.com/PenicuikHSLib", "PenicuikHSLib")</f>
        <v>PenicuikHSLib</v>
      </c>
      <c r="C1330" s="33" t="s">
        <v>3148</v>
      </c>
      <c r="D1330" s="33" t="s">
        <v>3149</v>
      </c>
      <c r="E1330" s="32" t="s">
        <v>3150</v>
      </c>
      <c r="F1330" s="35">
        <v>42</v>
      </c>
      <c r="G1330" s="35">
        <v>103</v>
      </c>
      <c r="H1330" s="35">
        <v>158</v>
      </c>
      <c r="I1330" s="35">
        <v>16</v>
      </c>
      <c r="J1330" s="36">
        <v>42152</v>
      </c>
      <c r="K1330" s="37">
        <v>0.35443287037037036</v>
      </c>
      <c r="L1330" s="36">
        <v>42899</v>
      </c>
      <c r="M1330" s="38">
        <v>0.46993055555555552</v>
      </c>
    </row>
    <row r="1331" spans="1:13" ht="30" x14ac:dyDescent="0.25">
      <c r="A1331" s="33" t="s">
        <v>262</v>
      </c>
      <c r="B1331" s="34" t="str">
        <f>HYPERLINK("http://www.twitter.com/thsls", "thsls")</f>
        <v>thsls</v>
      </c>
      <c r="C1331" s="33" t="s">
        <v>1830</v>
      </c>
      <c r="D1331" s="33" t="s">
        <v>36</v>
      </c>
      <c r="E1331" s="32" t="s">
        <v>1831</v>
      </c>
      <c r="F1331" s="35">
        <v>347</v>
      </c>
      <c r="G1331" s="35">
        <v>528</v>
      </c>
      <c r="H1331" s="35">
        <v>155</v>
      </c>
      <c r="I1331" s="35">
        <v>13</v>
      </c>
      <c r="J1331" s="36">
        <v>39902</v>
      </c>
      <c r="K1331" s="37">
        <v>0.62252314814814813</v>
      </c>
      <c r="L1331" s="36">
        <v>42937</v>
      </c>
      <c r="M1331" s="38">
        <v>0.6468518518518519</v>
      </c>
    </row>
    <row r="1332" spans="1:13" ht="30" x14ac:dyDescent="0.25">
      <c r="A1332" s="33" t="s">
        <v>262</v>
      </c>
      <c r="B1332" s="34" t="str">
        <f>HYPERLINK("http://www.twitter.com/WebstersHighLib", "WebstersHighLib")</f>
        <v>WebstersHighLib</v>
      </c>
      <c r="C1332" s="33" t="s">
        <v>3333</v>
      </c>
      <c r="D1332" s="33" t="s">
        <v>3334</v>
      </c>
      <c r="E1332" s="32" t="s">
        <v>3335</v>
      </c>
      <c r="F1332" s="35">
        <v>135</v>
      </c>
      <c r="G1332" s="35">
        <v>67</v>
      </c>
      <c r="H1332" s="35">
        <v>146</v>
      </c>
      <c r="I1332" s="35">
        <v>70</v>
      </c>
      <c r="J1332" s="36">
        <v>42557</v>
      </c>
      <c r="K1332" s="37">
        <v>0.38636574074074076</v>
      </c>
      <c r="L1332" s="36">
        <v>42913</v>
      </c>
      <c r="M1332" s="38">
        <v>0.45930555555555558</v>
      </c>
    </row>
    <row r="1333" spans="1:13" ht="30" x14ac:dyDescent="0.25">
      <c r="A1333" s="33" t="s">
        <v>262</v>
      </c>
      <c r="B1333" s="34" t="str">
        <f>HYPERLINK("http://www.twitter.com/NKSLibrarian", "NKSLibrarian")</f>
        <v>NKSLibrarian</v>
      </c>
      <c r="C1333" s="33" t="s">
        <v>2714</v>
      </c>
      <c r="E1333" s="32" t="s">
        <v>2715</v>
      </c>
      <c r="F1333" s="35">
        <v>259</v>
      </c>
      <c r="G1333" s="35">
        <v>199</v>
      </c>
      <c r="H1333" s="35">
        <v>141</v>
      </c>
      <c r="I1333" s="35">
        <v>11</v>
      </c>
      <c r="J1333" s="36">
        <v>41395</v>
      </c>
      <c r="K1333" s="37">
        <v>0.46559027777777778</v>
      </c>
      <c r="L1333" s="36">
        <v>42912</v>
      </c>
      <c r="M1333" s="38">
        <v>0.40354166666666669</v>
      </c>
    </row>
    <row r="1334" spans="1:13" ht="45" x14ac:dyDescent="0.25">
      <c r="A1334" s="33" t="s">
        <v>262</v>
      </c>
      <c r="B1334" s="34" t="str">
        <f>HYPERLINK("http://www.twitter.com/PalmersLRC", "PalmersLRC")</f>
        <v>PalmersLRC</v>
      </c>
      <c r="C1334" s="33" t="s">
        <v>3382</v>
      </c>
      <c r="D1334" s="33" t="s">
        <v>3383</v>
      </c>
      <c r="E1334" s="32" t="s">
        <v>3384</v>
      </c>
      <c r="F1334" s="35">
        <v>125</v>
      </c>
      <c r="G1334" s="35">
        <v>49</v>
      </c>
      <c r="H1334" s="35">
        <v>139</v>
      </c>
      <c r="I1334" s="35">
        <v>0</v>
      </c>
      <c r="J1334" s="36">
        <v>42486</v>
      </c>
      <c r="K1334" s="37">
        <v>0.3802314814814815</v>
      </c>
      <c r="L1334" s="36">
        <v>42912</v>
      </c>
      <c r="M1334" s="38">
        <v>0.41685185185185186</v>
      </c>
    </row>
    <row r="1335" spans="1:13" x14ac:dyDescent="0.25">
      <c r="A1335" s="33" t="s">
        <v>262</v>
      </c>
      <c r="B1335" s="34" t="str">
        <f>HYPERLINK("http://www.twitter.com/MzHSLRC", "MzHSLRC")</f>
        <v>MzHSLRC</v>
      </c>
      <c r="C1335" s="33" t="s">
        <v>3360</v>
      </c>
      <c r="E1335" s="32" t="s">
        <v>3361</v>
      </c>
      <c r="F1335" s="35">
        <v>163</v>
      </c>
      <c r="G1335" s="35">
        <v>50</v>
      </c>
      <c r="H1335" s="35">
        <v>137</v>
      </c>
      <c r="I1335" s="35">
        <v>4</v>
      </c>
      <c r="J1335" s="36">
        <v>42247</v>
      </c>
      <c r="K1335" s="37">
        <v>0.57697916666666671</v>
      </c>
      <c r="L1335" s="36">
        <v>42549</v>
      </c>
      <c r="M1335" s="38">
        <v>0.6388773148148148</v>
      </c>
    </row>
    <row r="1336" spans="1:13" ht="30" x14ac:dyDescent="0.25">
      <c r="A1336" s="33" t="s">
        <v>262</v>
      </c>
      <c r="B1336" s="34" t="str">
        <f>HYPERLINK("http://www.twitter.com/EtonCollLibrary", "EtonCollLibrary")</f>
        <v>EtonCollLibrary</v>
      </c>
      <c r="C1336" s="33" t="s">
        <v>1376</v>
      </c>
      <c r="D1336" s="33" t="s">
        <v>1377</v>
      </c>
      <c r="E1336" s="32" t="s">
        <v>1378</v>
      </c>
      <c r="F1336" s="35">
        <v>196</v>
      </c>
      <c r="G1336" s="35">
        <v>901</v>
      </c>
      <c r="H1336" s="35">
        <v>135</v>
      </c>
      <c r="I1336" s="35">
        <v>82</v>
      </c>
      <c r="J1336" s="36">
        <v>41106</v>
      </c>
      <c r="K1336" s="37">
        <v>0.66063657407407406</v>
      </c>
      <c r="L1336" s="36">
        <v>42934</v>
      </c>
      <c r="M1336" s="38">
        <v>0.67650462962962965</v>
      </c>
    </row>
    <row r="1337" spans="1:13" ht="30" x14ac:dyDescent="0.25">
      <c r="A1337" s="33" t="s">
        <v>262</v>
      </c>
      <c r="B1337" s="34" t="str">
        <f>HYPERLINK("http://www.twitter.com/miffylibrary", "miffylibrary")</f>
        <v>miffylibrary</v>
      </c>
      <c r="C1337" s="33" t="s">
        <v>2927</v>
      </c>
      <c r="E1337" s="32" t="s">
        <v>2928</v>
      </c>
      <c r="F1337" s="35">
        <v>145</v>
      </c>
      <c r="G1337" s="35">
        <v>158</v>
      </c>
      <c r="H1337" s="35">
        <v>132</v>
      </c>
      <c r="I1337" s="35">
        <v>39</v>
      </c>
      <c r="J1337" s="36">
        <v>42116</v>
      </c>
      <c r="K1337" s="37">
        <v>0.88140046296296293</v>
      </c>
      <c r="L1337" s="36">
        <v>42915</v>
      </c>
      <c r="M1337" s="38">
        <v>0.59128472222222228</v>
      </c>
    </row>
    <row r="1338" spans="1:13" x14ac:dyDescent="0.25">
      <c r="A1338" s="33" t="s">
        <v>262</v>
      </c>
      <c r="B1338" s="34" t="str">
        <f>HYPERLINK("http://www.twitter.com/habsgirlsLib", "habsgirlsLib")</f>
        <v>habsgirlsLib</v>
      </c>
      <c r="C1338" s="33" t="s">
        <v>3093</v>
      </c>
      <c r="D1338" s="33" t="s">
        <v>3094</v>
      </c>
      <c r="E1338" s="32" t="s">
        <v>3095</v>
      </c>
      <c r="F1338" s="35">
        <v>42</v>
      </c>
      <c r="G1338" s="35">
        <v>117</v>
      </c>
      <c r="H1338" s="35">
        <v>131</v>
      </c>
      <c r="I1338" s="35">
        <v>8</v>
      </c>
      <c r="J1338" s="36">
        <v>41711</v>
      </c>
      <c r="K1338" s="37">
        <v>0.68744212962962958</v>
      </c>
      <c r="L1338" s="36">
        <v>42915</v>
      </c>
      <c r="M1338" s="38">
        <v>0.69748842592592597</v>
      </c>
    </row>
    <row r="1339" spans="1:13" ht="45" x14ac:dyDescent="0.25">
      <c r="A1339" s="33" t="s">
        <v>262</v>
      </c>
      <c r="B1339" s="34" t="str">
        <f>HYPERLINK("http://www.twitter.com/PerseLibrary", "PerseLibrary")</f>
        <v>PerseLibrary</v>
      </c>
      <c r="C1339" s="33" t="s">
        <v>2477</v>
      </c>
      <c r="D1339" s="33" t="s">
        <v>2478</v>
      </c>
      <c r="E1339" s="32" t="s">
        <v>2479</v>
      </c>
      <c r="F1339" s="35">
        <v>219</v>
      </c>
      <c r="G1339" s="35">
        <v>254</v>
      </c>
      <c r="H1339" s="35">
        <v>128</v>
      </c>
      <c r="I1339" s="35">
        <v>11</v>
      </c>
      <c r="J1339" s="36">
        <v>41339</v>
      </c>
      <c r="K1339" s="37">
        <v>0.59517361111111111</v>
      </c>
      <c r="L1339" s="36">
        <v>42911</v>
      </c>
      <c r="M1339" s="38">
        <v>0.42980324074074078</v>
      </c>
    </row>
    <row r="1340" spans="1:13" x14ac:dyDescent="0.25">
      <c r="A1340" s="33" t="s">
        <v>262</v>
      </c>
      <c r="B1340" s="34" t="str">
        <f>HYPERLINK("http://www.twitter.com/LibCHS_Chryston", "LibCHS_Chryston")</f>
        <v>LibCHS_Chryston</v>
      </c>
      <c r="C1340" s="33" t="s">
        <v>3088</v>
      </c>
      <c r="E1340" s="32" t="s">
        <v>3089</v>
      </c>
      <c r="F1340" s="35">
        <v>39</v>
      </c>
      <c r="G1340" s="35">
        <v>126</v>
      </c>
      <c r="H1340" s="35">
        <v>123</v>
      </c>
      <c r="I1340" s="35">
        <v>15</v>
      </c>
      <c r="J1340" s="36">
        <v>42409</v>
      </c>
      <c r="K1340" s="37">
        <v>0.61965277777777772</v>
      </c>
      <c r="L1340" s="36">
        <v>42912</v>
      </c>
      <c r="M1340" s="38">
        <v>0.25591435185185185</v>
      </c>
    </row>
    <row r="1341" spans="1:13" x14ac:dyDescent="0.25">
      <c r="A1341" s="33" t="s">
        <v>262</v>
      </c>
      <c r="B1341" s="34" t="str">
        <f>HYPERLINK("http://www.twitter.com/WGS_LRC", "WGS_LRC")</f>
        <v>WGS_LRC</v>
      </c>
      <c r="C1341" s="33" t="s">
        <v>3278</v>
      </c>
      <c r="D1341" s="33" t="s">
        <v>3279</v>
      </c>
      <c r="F1341" s="35">
        <v>351</v>
      </c>
      <c r="G1341" s="35">
        <v>71</v>
      </c>
      <c r="H1341" s="35">
        <v>122</v>
      </c>
      <c r="I1341" s="35">
        <v>184</v>
      </c>
      <c r="J1341" s="36">
        <v>42747</v>
      </c>
      <c r="K1341" s="37">
        <v>0.56125000000000003</v>
      </c>
      <c r="L1341" s="36">
        <v>42929</v>
      </c>
      <c r="M1341" s="38">
        <v>0.5365509259259259</v>
      </c>
    </row>
    <row r="1342" spans="1:13" ht="30" x14ac:dyDescent="0.25">
      <c r="A1342" s="33" t="s">
        <v>262</v>
      </c>
      <c r="B1342" s="34" t="str">
        <f>HYPERLINK("http://www.twitter.com/LRCWalbottle", "LRCWalbottle")</f>
        <v>LRCWalbottle</v>
      </c>
      <c r="C1342" s="33" t="s">
        <v>3293</v>
      </c>
      <c r="E1342" s="32" t="s">
        <v>3294</v>
      </c>
      <c r="F1342" s="35">
        <v>118</v>
      </c>
      <c r="G1342" s="35">
        <v>77</v>
      </c>
      <c r="H1342" s="35">
        <v>121</v>
      </c>
      <c r="I1342" s="35">
        <v>143</v>
      </c>
      <c r="J1342" s="36">
        <v>42293</v>
      </c>
      <c r="K1342" s="37">
        <v>0.42019675925925926</v>
      </c>
      <c r="L1342" s="36">
        <v>42933</v>
      </c>
      <c r="M1342" s="38">
        <v>0.37820601851851854</v>
      </c>
    </row>
    <row r="1343" spans="1:13" ht="30" x14ac:dyDescent="0.25">
      <c r="A1343" s="33" t="s">
        <v>262</v>
      </c>
      <c r="B1343" s="34" t="str">
        <f>HYPERLINK("http://www.twitter.com/LibrariesBHS", "LibrariesBHS")</f>
        <v>LibrariesBHS</v>
      </c>
      <c r="C1343" s="33" t="s">
        <v>3385</v>
      </c>
      <c r="D1343" s="33" t="s">
        <v>44</v>
      </c>
      <c r="E1343" s="32" t="s">
        <v>3386</v>
      </c>
      <c r="F1343" s="35">
        <v>97</v>
      </c>
      <c r="G1343" s="35">
        <v>48</v>
      </c>
      <c r="H1343" s="35">
        <v>118</v>
      </c>
      <c r="I1343" s="35">
        <v>7</v>
      </c>
      <c r="J1343" s="36">
        <v>41381</v>
      </c>
      <c r="K1343" s="37">
        <v>0.49314814814814811</v>
      </c>
      <c r="L1343" s="36">
        <v>42912</v>
      </c>
      <c r="M1343" s="38">
        <v>0.50643518518518515</v>
      </c>
    </row>
    <row r="1344" spans="1:13" ht="45" x14ac:dyDescent="0.25">
      <c r="A1344" s="33" t="s">
        <v>262</v>
      </c>
      <c r="B1344" s="34" t="str">
        <f>HYPERLINK("http://www.twitter.com/wcclrc", "wcclrc")</f>
        <v>wcclrc</v>
      </c>
      <c r="C1344" s="33" t="s">
        <v>2746</v>
      </c>
      <c r="D1344" s="33" t="s">
        <v>2747</v>
      </c>
      <c r="E1344" s="32" t="s">
        <v>2748</v>
      </c>
      <c r="F1344" s="35">
        <v>168</v>
      </c>
      <c r="G1344" s="35">
        <v>187</v>
      </c>
      <c r="H1344" s="35">
        <v>118</v>
      </c>
      <c r="I1344" s="35">
        <v>0</v>
      </c>
      <c r="J1344" s="36">
        <v>40185</v>
      </c>
      <c r="K1344" s="37">
        <v>0.69086805555555564</v>
      </c>
      <c r="L1344" s="36">
        <v>40660</v>
      </c>
      <c r="M1344" s="38">
        <v>0.61173611111111115</v>
      </c>
    </row>
    <row r="1345" spans="1:13" ht="30" x14ac:dyDescent="0.25">
      <c r="A1345" s="33" t="s">
        <v>262</v>
      </c>
      <c r="B1345" s="34" t="str">
        <f>HYPERLINK("http://www.twitter.com/LibrarySA", "LibrarySA")</f>
        <v>LibrarySA</v>
      </c>
      <c r="C1345" s="33" t="s">
        <v>3404</v>
      </c>
      <c r="D1345" s="33" t="s">
        <v>20</v>
      </c>
      <c r="E1345" s="32" t="s">
        <v>3405</v>
      </c>
      <c r="F1345" s="35">
        <v>35</v>
      </c>
      <c r="G1345" s="35">
        <v>53</v>
      </c>
      <c r="H1345" s="35">
        <v>116</v>
      </c>
      <c r="I1345" s="35">
        <v>31</v>
      </c>
      <c r="J1345" s="36">
        <v>42439</v>
      </c>
      <c r="K1345" s="37">
        <v>0.40991898148148148</v>
      </c>
      <c r="L1345" s="36">
        <v>42929</v>
      </c>
      <c r="M1345" s="38">
        <v>0.58488425925925924</v>
      </c>
    </row>
    <row r="1346" spans="1:13" ht="30" x14ac:dyDescent="0.25">
      <c r="A1346" s="33" t="s">
        <v>262</v>
      </c>
      <c r="B1346" s="34" t="str">
        <f>HYPERLINK("http://www.twitter.com/Suttcold_Lib", "Suttcold_Lib")</f>
        <v>Suttcold_Lib</v>
      </c>
      <c r="C1346" s="33" t="s">
        <v>3109</v>
      </c>
      <c r="D1346" s="33" t="s">
        <v>926</v>
      </c>
      <c r="E1346" s="32" t="s">
        <v>3551</v>
      </c>
      <c r="F1346" s="35">
        <v>447</v>
      </c>
      <c r="G1346" s="35">
        <v>119</v>
      </c>
      <c r="H1346" s="35">
        <v>116</v>
      </c>
      <c r="I1346" s="35">
        <v>95</v>
      </c>
      <c r="J1346" s="36">
        <v>42635</v>
      </c>
      <c r="K1346" s="37">
        <v>0.61865740740740738</v>
      </c>
      <c r="L1346" s="36">
        <v>42929</v>
      </c>
      <c r="M1346" s="38">
        <v>0.78082175925925934</v>
      </c>
    </row>
    <row r="1347" spans="1:13" ht="30" x14ac:dyDescent="0.25">
      <c r="A1347" s="33" t="s">
        <v>262</v>
      </c>
      <c r="B1347" s="34" t="str">
        <f>HYPERLINK("http://www.twitter.com/RossettRC", "RossettRC")</f>
        <v>RossettRC</v>
      </c>
      <c r="C1347" s="33" t="s">
        <v>2571</v>
      </c>
      <c r="D1347" s="33" t="s">
        <v>2572</v>
      </c>
      <c r="E1347" s="32" t="s">
        <v>2573</v>
      </c>
      <c r="F1347" s="35">
        <v>121</v>
      </c>
      <c r="G1347" s="35">
        <v>218</v>
      </c>
      <c r="H1347" s="35">
        <v>116</v>
      </c>
      <c r="I1347" s="35">
        <v>3</v>
      </c>
      <c r="J1347" s="36">
        <v>40940</v>
      </c>
      <c r="K1347" s="37">
        <v>0.45472222222222225</v>
      </c>
      <c r="L1347" s="36">
        <v>42713</v>
      </c>
      <c r="M1347" s="38">
        <v>0.39479166666666665</v>
      </c>
    </row>
    <row r="1348" spans="1:13" x14ac:dyDescent="0.25">
      <c r="A1348" s="33" t="s">
        <v>262</v>
      </c>
      <c r="B1348" s="34" t="str">
        <f>HYPERLINK("http://www.twitter.com/LRCCalderhead", "LRCCalderhead")</f>
        <v>LRCCalderhead</v>
      </c>
      <c r="C1348" s="33" t="s">
        <v>3353</v>
      </c>
      <c r="D1348" s="33" t="s">
        <v>3354</v>
      </c>
      <c r="E1348" s="32" t="s">
        <v>3355</v>
      </c>
      <c r="F1348" s="35">
        <v>30</v>
      </c>
      <c r="G1348" s="35">
        <v>63</v>
      </c>
      <c r="H1348" s="35">
        <v>115</v>
      </c>
      <c r="I1348" s="35">
        <v>0</v>
      </c>
      <c r="J1348" s="36">
        <v>42668</v>
      </c>
      <c r="K1348" s="37">
        <v>0.73960648148148145</v>
      </c>
      <c r="L1348" s="36">
        <v>42936</v>
      </c>
      <c r="M1348" s="38">
        <v>0.85211805555555553</v>
      </c>
    </row>
    <row r="1349" spans="1:13" x14ac:dyDescent="0.25">
      <c r="A1349" s="33" t="s">
        <v>262</v>
      </c>
      <c r="B1349" s="34" t="str">
        <f>HYPERLINK("http://www.twitter.com/BccsLibrary", "BccsLibrary")</f>
        <v>BccsLibrary</v>
      </c>
      <c r="C1349" s="33" t="s">
        <v>3378</v>
      </c>
      <c r="D1349" s="33" t="s">
        <v>514</v>
      </c>
      <c r="E1349" s="32" t="s">
        <v>3379</v>
      </c>
      <c r="F1349" s="35">
        <v>168</v>
      </c>
      <c r="G1349" s="35">
        <v>69</v>
      </c>
      <c r="H1349" s="35">
        <v>114</v>
      </c>
      <c r="I1349" s="35">
        <v>0</v>
      </c>
      <c r="J1349" s="36">
        <v>42690</v>
      </c>
      <c r="K1349" s="37">
        <v>0.60045138888888883</v>
      </c>
      <c r="L1349" s="36">
        <v>42922</v>
      </c>
      <c r="M1349" s="38">
        <v>0.31142361111111111</v>
      </c>
    </row>
    <row r="1350" spans="1:13" ht="45" x14ac:dyDescent="0.25">
      <c r="A1350" s="33" t="s">
        <v>262</v>
      </c>
      <c r="B1350" s="34" t="str">
        <f>HYPERLINK("http://www.twitter.com/BSNLibrary", "BSNLibrary")</f>
        <v>BSNLibrary</v>
      </c>
      <c r="C1350" s="33" t="s">
        <v>2582</v>
      </c>
      <c r="D1350" s="33" t="s">
        <v>2583</v>
      </c>
      <c r="E1350" s="32" t="s">
        <v>2584</v>
      </c>
      <c r="F1350" s="35">
        <v>107</v>
      </c>
      <c r="G1350" s="35">
        <v>215</v>
      </c>
      <c r="H1350" s="35">
        <v>113</v>
      </c>
      <c r="I1350" s="35">
        <v>28</v>
      </c>
      <c r="J1350" s="36">
        <v>41802</v>
      </c>
      <c r="K1350" s="37">
        <v>0.56663194444444442</v>
      </c>
      <c r="L1350" s="36">
        <v>42874</v>
      </c>
      <c r="M1350" s="38">
        <v>0.46885416666666663</v>
      </c>
    </row>
    <row r="1351" spans="1:13" x14ac:dyDescent="0.25">
      <c r="A1351" s="33" t="s">
        <v>262</v>
      </c>
      <c r="B1351" s="34" t="str">
        <f>HYPERLINK("http://www.twitter.com/StBenLRC", "StBenLRC")</f>
        <v>StBenLRC</v>
      </c>
      <c r="C1351" s="33" t="s">
        <v>2983</v>
      </c>
      <c r="D1351" s="33" t="s">
        <v>2821</v>
      </c>
      <c r="E1351" s="32" t="s">
        <v>2984</v>
      </c>
      <c r="F1351" s="35">
        <v>244</v>
      </c>
      <c r="G1351" s="35">
        <v>142</v>
      </c>
      <c r="H1351" s="35">
        <v>112</v>
      </c>
      <c r="I1351" s="35">
        <v>4</v>
      </c>
      <c r="J1351" s="36">
        <v>41704</v>
      </c>
      <c r="K1351" s="37">
        <v>0.42622685185185188</v>
      </c>
      <c r="L1351" s="36">
        <v>42543</v>
      </c>
      <c r="M1351" s="38">
        <v>0.53541666666666665</v>
      </c>
    </row>
    <row r="1352" spans="1:13" ht="30" x14ac:dyDescent="0.25">
      <c r="A1352" s="33" t="s">
        <v>262</v>
      </c>
      <c r="B1352" s="34" t="str">
        <f>HYPERLINK("http://www.twitter.com/LMDCHS_LRC", "LMDCHS_LRC")</f>
        <v>LMDCHS_LRC</v>
      </c>
      <c r="C1352" s="33" t="s">
        <v>3166</v>
      </c>
      <c r="D1352" s="33" t="s">
        <v>3167</v>
      </c>
      <c r="E1352" s="32" t="s">
        <v>3168</v>
      </c>
      <c r="F1352" s="35">
        <v>431</v>
      </c>
      <c r="G1352" s="35">
        <v>109</v>
      </c>
      <c r="H1352" s="35">
        <v>111</v>
      </c>
      <c r="I1352" s="35">
        <v>32</v>
      </c>
      <c r="J1352" s="36">
        <v>42800</v>
      </c>
      <c r="K1352" s="37">
        <v>0.59697916666666673</v>
      </c>
      <c r="L1352" s="36">
        <v>42933</v>
      </c>
      <c r="M1352" s="38">
        <v>0.50841435185185191</v>
      </c>
    </row>
    <row r="1353" spans="1:13" x14ac:dyDescent="0.25">
      <c r="A1353" s="33" t="s">
        <v>262</v>
      </c>
      <c r="B1353" s="34" t="str">
        <f>HYPERLINK("http://www.twitter.com/lib_ricky", "lib_ricky")</f>
        <v>lib_ricky</v>
      </c>
      <c r="C1353" s="33" t="s">
        <v>2953</v>
      </c>
      <c r="E1353" s="32" t="s">
        <v>2954</v>
      </c>
      <c r="F1353" s="35">
        <v>168</v>
      </c>
      <c r="G1353" s="35">
        <v>151</v>
      </c>
      <c r="H1353" s="35">
        <v>111</v>
      </c>
      <c r="I1353" s="35">
        <v>4</v>
      </c>
      <c r="J1353" s="36">
        <v>41591</v>
      </c>
      <c r="K1353" s="37">
        <v>0.41987268518518522</v>
      </c>
      <c r="L1353" s="36">
        <v>42285</v>
      </c>
      <c r="M1353" s="38">
        <v>0.79547453703703708</v>
      </c>
    </row>
    <row r="1354" spans="1:13" ht="30" x14ac:dyDescent="0.25">
      <c r="A1354" s="33" t="s">
        <v>262</v>
      </c>
      <c r="B1354" s="34" t="str">
        <f>HYPERLINK("http://www.twitter.com/LibertonL", "LibertonL")</f>
        <v>LibertonL</v>
      </c>
      <c r="C1354" s="33" t="s">
        <v>3370</v>
      </c>
      <c r="E1354" s="32" t="s">
        <v>3371</v>
      </c>
      <c r="F1354" s="35">
        <v>107</v>
      </c>
      <c r="G1354" s="35">
        <v>48</v>
      </c>
      <c r="H1354" s="35">
        <v>110</v>
      </c>
      <c r="I1354" s="35">
        <v>15</v>
      </c>
      <c r="J1354" s="36">
        <v>41459</v>
      </c>
      <c r="K1354" s="37">
        <v>0.70276620370370368</v>
      </c>
      <c r="L1354" s="36">
        <v>41630</v>
      </c>
      <c r="M1354" s="38">
        <v>0.88287037037037042</v>
      </c>
    </row>
    <row r="1355" spans="1:13" ht="30" x14ac:dyDescent="0.25">
      <c r="A1355" s="33" t="s">
        <v>262</v>
      </c>
      <c r="B1355" s="34" t="str">
        <f>HYPERLINK("http://www.twitter.com/writtlelibrary", "writtlelibrary")</f>
        <v>writtlelibrary</v>
      </c>
      <c r="C1355" s="33" t="s">
        <v>3246</v>
      </c>
      <c r="D1355" s="33" t="s">
        <v>3247</v>
      </c>
      <c r="E1355" s="32" t="s">
        <v>3248</v>
      </c>
      <c r="F1355" s="35">
        <v>63</v>
      </c>
      <c r="G1355" s="35">
        <v>72</v>
      </c>
      <c r="H1355" s="35">
        <v>110</v>
      </c>
      <c r="I1355" s="35">
        <v>19</v>
      </c>
      <c r="J1355" s="36">
        <v>40507</v>
      </c>
      <c r="K1355" s="37">
        <v>0.67565972222222215</v>
      </c>
      <c r="L1355" s="36">
        <v>42874</v>
      </c>
      <c r="M1355" s="38">
        <v>0.64644675925925921</v>
      </c>
    </row>
    <row r="1356" spans="1:13" ht="45" x14ac:dyDescent="0.25">
      <c r="A1356" s="33" t="s">
        <v>262</v>
      </c>
      <c r="B1356" s="34" t="str">
        <f>HYPERLINK("http://www.twitter.com/EFC_LLounge", "EFC_LLounge")</f>
        <v>EFC_LLounge</v>
      </c>
      <c r="C1356" s="33" t="s">
        <v>3538</v>
      </c>
      <c r="E1356" s="32" t="s">
        <v>3539</v>
      </c>
      <c r="F1356" s="35">
        <v>69</v>
      </c>
      <c r="G1356" s="35">
        <v>37</v>
      </c>
      <c r="H1356" s="35">
        <v>109</v>
      </c>
      <c r="I1356" s="35">
        <v>18</v>
      </c>
      <c r="J1356" s="36">
        <v>42863</v>
      </c>
      <c r="K1356" s="37">
        <v>0.41224537037037035</v>
      </c>
      <c r="L1356" s="36">
        <v>42929</v>
      </c>
      <c r="M1356" s="38">
        <v>6.2175925925925933E-2</v>
      </c>
    </row>
    <row r="1357" spans="1:13" x14ac:dyDescent="0.25">
      <c r="A1357" s="33" t="s">
        <v>262</v>
      </c>
      <c r="B1357" s="34" t="str">
        <f>HYPERLINK("http://www.twitter.com/KingswoodLib", "KingswoodLib")</f>
        <v>KingswoodLib</v>
      </c>
      <c r="C1357" s="33" t="s">
        <v>3482</v>
      </c>
      <c r="D1357" s="33" t="s">
        <v>3483</v>
      </c>
      <c r="E1357" s="32" t="s">
        <v>3484</v>
      </c>
      <c r="F1357" s="35">
        <v>0</v>
      </c>
      <c r="G1357" s="35">
        <v>21</v>
      </c>
      <c r="H1357" s="35">
        <v>107</v>
      </c>
      <c r="I1357" s="35">
        <v>0</v>
      </c>
      <c r="J1357" s="36">
        <v>39923</v>
      </c>
      <c r="K1357" s="37">
        <v>0.77366898148148155</v>
      </c>
      <c r="L1357" s="36">
        <v>40288</v>
      </c>
      <c r="M1357" s="38">
        <v>0.49059027777777775</v>
      </c>
    </row>
    <row r="1358" spans="1:13" ht="30" x14ac:dyDescent="0.25">
      <c r="A1358" s="33" t="s">
        <v>262</v>
      </c>
      <c r="B1358" s="34" t="str">
        <f>HYPERLINK("http://www.twitter.com/RedDogsLibrary", "RedDogsLibrary")</f>
        <v>RedDogsLibrary</v>
      </c>
      <c r="C1358" s="33" t="s">
        <v>2883</v>
      </c>
      <c r="D1358" s="33" t="s">
        <v>2884</v>
      </c>
      <c r="E1358" s="32" t="s">
        <v>2885</v>
      </c>
      <c r="F1358" s="35">
        <v>254</v>
      </c>
      <c r="G1358" s="35">
        <v>175</v>
      </c>
      <c r="H1358" s="35">
        <v>107</v>
      </c>
      <c r="I1358" s="35">
        <v>189</v>
      </c>
      <c r="J1358" s="36">
        <v>42604</v>
      </c>
      <c r="K1358" s="37">
        <v>0.29596064814814815</v>
      </c>
      <c r="L1358" s="36">
        <v>42929</v>
      </c>
      <c r="M1358" s="38">
        <v>0.66943287037037036</v>
      </c>
    </row>
    <row r="1359" spans="1:13" x14ac:dyDescent="0.25">
      <c r="A1359" s="33" t="s">
        <v>262</v>
      </c>
      <c r="B1359" s="34" t="str">
        <f>HYPERLINK("http://www.twitter.com/librarybwood", "librarybwood")</f>
        <v>librarybwood</v>
      </c>
      <c r="C1359" s="33" t="s">
        <v>3430</v>
      </c>
      <c r="D1359" s="33" t="s">
        <v>3431</v>
      </c>
      <c r="E1359" s="32" t="s">
        <v>3432</v>
      </c>
      <c r="F1359" s="35">
        <v>216</v>
      </c>
      <c r="G1359" s="35">
        <v>50</v>
      </c>
      <c r="H1359" s="35">
        <v>105</v>
      </c>
      <c r="I1359" s="35">
        <v>4</v>
      </c>
      <c r="J1359" s="36">
        <v>42654</v>
      </c>
      <c r="K1359" s="37">
        <v>0.40665509259259264</v>
      </c>
      <c r="L1359" s="36">
        <v>42933</v>
      </c>
      <c r="M1359" s="38">
        <v>0.60467592592592589</v>
      </c>
    </row>
    <row r="1360" spans="1:13" x14ac:dyDescent="0.25">
      <c r="A1360" s="33" t="s">
        <v>262</v>
      </c>
      <c r="B1360" s="34" t="str">
        <f>HYPERLINK("http://www.twitter.com/stwLRC", "stwLRC")</f>
        <v>stwLRC</v>
      </c>
      <c r="C1360" s="33" t="s">
        <v>3083</v>
      </c>
      <c r="F1360" s="35">
        <v>224</v>
      </c>
      <c r="G1360" s="35">
        <v>140</v>
      </c>
      <c r="H1360" s="35">
        <v>104</v>
      </c>
      <c r="I1360" s="35">
        <v>101</v>
      </c>
      <c r="J1360" s="36">
        <v>42775</v>
      </c>
      <c r="K1360" s="37">
        <v>0.46836805555555555</v>
      </c>
      <c r="L1360" s="36">
        <v>42938</v>
      </c>
      <c r="M1360" s="38">
        <v>0.33174768518518521</v>
      </c>
    </row>
    <row r="1361" spans="1:13" x14ac:dyDescent="0.25">
      <c r="A1361" s="33" t="s">
        <v>262</v>
      </c>
      <c r="B1361" s="34" t="str">
        <f>HYPERLINK("http://www.twitter.com/HighgateWoodLRC", "HighgateWoodLRC")</f>
        <v>HighgateWoodLRC</v>
      </c>
      <c r="C1361" s="33" t="s">
        <v>3459</v>
      </c>
      <c r="F1361" s="35">
        <v>23</v>
      </c>
      <c r="G1361" s="35">
        <v>32</v>
      </c>
      <c r="H1361" s="35">
        <v>102</v>
      </c>
      <c r="I1361" s="35">
        <v>4</v>
      </c>
      <c r="J1361" s="36">
        <v>42332</v>
      </c>
      <c r="K1361" s="37">
        <v>0.65361111111111114</v>
      </c>
      <c r="L1361" s="36">
        <v>42937</v>
      </c>
      <c r="M1361" s="38">
        <v>0.47303240740740743</v>
      </c>
    </row>
    <row r="1362" spans="1:13" x14ac:dyDescent="0.25">
      <c r="A1362" s="33" t="s">
        <v>262</v>
      </c>
      <c r="B1362" s="34" t="str">
        <f>HYPERLINK("http://www.twitter.com/khviii_library", "khviii_library")</f>
        <v>khviii_library</v>
      </c>
      <c r="C1362" s="33" t="s">
        <v>2526</v>
      </c>
      <c r="D1362" s="33" t="s">
        <v>688</v>
      </c>
      <c r="E1362" s="32" t="s">
        <v>2527</v>
      </c>
      <c r="F1362" s="35">
        <v>1025</v>
      </c>
      <c r="G1362" s="35">
        <v>239</v>
      </c>
      <c r="H1362" s="35">
        <v>101</v>
      </c>
      <c r="I1362" s="35">
        <v>12</v>
      </c>
      <c r="J1362" s="36">
        <v>42292</v>
      </c>
      <c r="K1362" s="37">
        <v>0.5091782407407407</v>
      </c>
      <c r="L1362" s="36">
        <v>42909</v>
      </c>
      <c r="M1362" s="38">
        <v>0.49802083333333336</v>
      </c>
    </row>
    <row r="1363" spans="1:13" x14ac:dyDescent="0.25">
      <c r="A1363" s="33" t="s">
        <v>262</v>
      </c>
      <c r="B1363" s="34" t="str">
        <f>HYPERLINK("http://www.twitter.com/CHS_TheLibrary", "CHS_TheLibrary")</f>
        <v>CHS_TheLibrary</v>
      </c>
      <c r="C1363" s="33" t="s">
        <v>3394</v>
      </c>
      <c r="D1363" s="33" t="s">
        <v>3395</v>
      </c>
      <c r="F1363" s="35">
        <v>62</v>
      </c>
      <c r="G1363" s="35">
        <v>58</v>
      </c>
      <c r="H1363" s="35">
        <v>99</v>
      </c>
      <c r="I1363" s="35">
        <v>74</v>
      </c>
      <c r="J1363" s="36">
        <v>42794</v>
      </c>
      <c r="K1363" s="37">
        <v>0.48472222222222222</v>
      </c>
      <c r="L1363" s="36">
        <v>42918</v>
      </c>
      <c r="M1363" s="38">
        <v>0.85194444444444439</v>
      </c>
    </row>
    <row r="1364" spans="1:13" x14ac:dyDescent="0.25">
      <c r="A1364" s="33" t="s">
        <v>262</v>
      </c>
      <c r="B1364" s="34" t="str">
        <f>HYPERLINK("http://www.twitter.com/EHLibraryTweets", "EHLibraryTweets")</f>
        <v>EHLibraryTweets</v>
      </c>
      <c r="C1364" s="33" t="s">
        <v>3546</v>
      </c>
      <c r="D1364" s="33" t="s">
        <v>3547</v>
      </c>
      <c r="E1364" s="32" t="s">
        <v>3548</v>
      </c>
      <c r="F1364" s="35">
        <v>173</v>
      </c>
      <c r="G1364" s="35">
        <v>48</v>
      </c>
      <c r="H1364" s="35">
        <v>98</v>
      </c>
      <c r="I1364" s="35">
        <v>39</v>
      </c>
      <c r="J1364" s="36">
        <v>42768</v>
      </c>
      <c r="K1364" s="37">
        <v>0.66268518518518515</v>
      </c>
      <c r="L1364" s="36">
        <v>42940</v>
      </c>
      <c r="M1364" s="38">
        <v>0.58929398148148149</v>
      </c>
    </row>
    <row r="1365" spans="1:13" ht="30" x14ac:dyDescent="0.25">
      <c r="A1365" s="33" t="s">
        <v>262</v>
      </c>
      <c r="B1365" s="34" t="str">
        <f>HYPERLINK("http://www.twitter.com/ForresAcadLib", "ForresAcadLib")</f>
        <v>ForresAcadLib</v>
      </c>
      <c r="C1365" s="33" t="s">
        <v>395</v>
      </c>
      <c r="E1365" s="32" t="s">
        <v>2643</v>
      </c>
      <c r="F1365" s="35">
        <v>274</v>
      </c>
      <c r="G1365" s="35">
        <v>206</v>
      </c>
      <c r="H1365" s="35">
        <v>98</v>
      </c>
      <c r="I1365" s="35">
        <v>125</v>
      </c>
      <c r="J1365" s="36">
        <v>42447</v>
      </c>
      <c r="K1365" s="37">
        <v>0.5163078703703704</v>
      </c>
      <c r="L1365" s="36">
        <v>42825</v>
      </c>
      <c r="M1365" s="38">
        <v>0.58016203703703706</v>
      </c>
    </row>
    <row r="1366" spans="1:13" ht="30" x14ac:dyDescent="0.25">
      <c r="A1366" s="33" t="s">
        <v>262</v>
      </c>
      <c r="B1366" s="34" t="str">
        <f>HYPERLINK("http://www.twitter.com/BcdCfbl", "BcdCfbl")</f>
        <v>BcdCfbl</v>
      </c>
      <c r="C1366" s="33" t="s">
        <v>1464</v>
      </c>
      <c r="D1366" s="33" t="s">
        <v>3328</v>
      </c>
      <c r="E1366" s="32" t="s">
        <v>3329</v>
      </c>
      <c r="F1366" s="35">
        <v>177</v>
      </c>
      <c r="G1366" s="35">
        <v>70</v>
      </c>
      <c r="H1366" s="35">
        <v>96</v>
      </c>
      <c r="I1366" s="35">
        <v>17</v>
      </c>
      <c r="J1366" s="36">
        <v>42160</v>
      </c>
      <c r="K1366" s="37">
        <v>0.41318287037037038</v>
      </c>
      <c r="L1366" s="36">
        <v>42923</v>
      </c>
      <c r="M1366" s="38">
        <v>0.48576388888888888</v>
      </c>
    </row>
    <row r="1367" spans="1:13" x14ac:dyDescent="0.25">
      <c r="A1367" s="33" t="s">
        <v>262</v>
      </c>
      <c r="B1367" s="34" t="str">
        <f>HYPERLINK("http://www.twitter.com/ArbroathHS_Lib", "ArbroathHS_Lib")</f>
        <v>ArbroathHS_Lib</v>
      </c>
      <c r="C1367" s="33" t="s">
        <v>3255</v>
      </c>
      <c r="D1367" s="33" t="s">
        <v>3256</v>
      </c>
      <c r="E1367" s="32" t="s">
        <v>3257</v>
      </c>
      <c r="F1367" s="35">
        <v>93</v>
      </c>
      <c r="G1367" s="35">
        <v>77</v>
      </c>
      <c r="H1367" s="35">
        <v>91</v>
      </c>
      <c r="I1367" s="35">
        <v>29</v>
      </c>
      <c r="J1367" s="36">
        <v>42278</v>
      </c>
      <c r="K1367" s="37">
        <v>0.32678240740740744</v>
      </c>
      <c r="L1367" s="36">
        <v>42892</v>
      </c>
      <c r="M1367" s="38">
        <v>0.42886574074074074</v>
      </c>
    </row>
    <row r="1368" spans="1:13" ht="30" x14ac:dyDescent="0.25">
      <c r="A1368" s="33" t="s">
        <v>262</v>
      </c>
      <c r="B1368" s="34" t="str">
        <f>HYPERLINK("http://www.twitter.com/NLCS_Library", "NLCS_Library")</f>
        <v>NLCS_Library</v>
      </c>
      <c r="C1368" s="33" t="s">
        <v>2559</v>
      </c>
      <c r="D1368" s="33" t="s">
        <v>477</v>
      </c>
      <c r="E1368" s="32" t="s">
        <v>2560</v>
      </c>
      <c r="F1368" s="35">
        <v>124</v>
      </c>
      <c r="G1368" s="35">
        <v>252</v>
      </c>
      <c r="H1368" s="35">
        <v>88</v>
      </c>
      <c r="I1368" s="35">
        <v>28</v>
      </c>
      <c r="J1368" s="36">
        <v>42389</v>
      </c>
      <c r="K1368" s="37">
        <v>0.58253472222222225</v>
      </c>
      <c r="L1368" s="36">
        <v>42929</v>
      </c>
      <c r="M1368" s="38">
        <v>0.46140046296296294</v>
      </c>
    </row>
    <row r="1369" spans="1:13" ht="45" x14ac:dyDescent="0.25">
      <c r="A1369" s="33" t="s">
        <v>262</v>
      </c>
      <c r="B1369" s="34" t="str">
        <f>HYPERLINK("http://www.twitter.com/snhs_library", "snhs_library")</f>
        <v>snhs_library</v>
      </c>
      <c r="C1369" s="33" t="s">
        <v>3216</v>
      </c>
      <c r="D1369" s="33" t="s">
        <v>3217</v>
      </c>
      <c r="E1369" s="32" t="s">
        <v>3218</v>
      </c>
      <c r="F1369" s="35">
        <v>83</v>
      </c>
      <c r="G1369" s="35">
        <v>96</v>
      </c>
      <c r="H1369" s="35">
        <v>86</v>
      </c>
      <c r="I1369" s="35">
        <v>67</v>
      </c>
      <c r="J1369" s="36">
        <v>42774</v>
      </c>
      <c r="K1369" s="37">
        <v>0.41407407407407404</v>
      </c>
      <c r="L1369" s="36">
        <v>42914</v>
      </c>
      <c r="M1369" s="38">
        <v>0.55829861111111112</v>
      </c>
    </row>
    <row r="1370" spans="1:13" x14ac:dyDescent="0.25">
      <c r="A1370" s="33" t="s">
        <v>262</v>
      </c>
      <c r="B1370" s="34" t="str">
        <f>HYPERLINK("http://www.twitter.com/lib_mhs", "lib_mhs")</f>
        <v>lib_mhs</v>
      </c>
      <c r="C1370" s="33" t="s">
        <v>2736</v>
      </c>
      <c r="F1370" s="35">
        <v>50</v>
      </c>
      <c r="G1370" s="35">
        <v>195</v>
      </c>
      <c r="H1370" s="35">
        <v>86</v>
      </c>
      <c r="I1370" s="35">
        <v>100</v>
      </c>
      <c r="J1370" s="36">
        <v>42086</v>
      </c>
      <c r="K1370" s="37">
        <v>0.76129629629629625</v>
      </c>
      <c r="L1370" s="36">
        <v>42915</v>
      </c>
      <c r="M1370" s="38">
        <v>0.56957175925925929</v>
      </c>
    </row>
    <row r="1371" spans="1:13" x14ac:dyDescent="0.25">
      <c r="A1371" s="33" t="s">
        <v>262</v>
      </c>
      <c r="B1371" s="34" t="str">
        <f>HYPERLINK("http://www.twitter.com/hs_lrc", "hs_lrc")</f>
        <v>hs_lrc</v>
      </c>
      <c r="C1371" s="33" t="s">
        <v>3077</v>
      </c>
      <c r="F1371" s="35">
        <v>59</v>
      </c>
      <c r="G1371" s="35">
        <v>119</v>
      </c>
      <c r="H1371" s="35">
        <v>82</v>
      </c>
      <c r="I1371" s="35">
        <v>52</v>
      </c>
      <c r="J1371" s="36">
        <v>41992</v>
      </c>
      <c r="K1371" s="37">
        <v>0.41607638888888893</v>
      </c>
      <c r="L1371" s="36">
        <v>42700</v>
      </c>
      <c r="M1371" s="38">
        <v>0.6565509259259259</v>
      </c>
    </row>
    <row r="1372" spans="1:13" x14ac:dyDescent="0.25">
      <c r="A1372" s="33" t="s">
        <v>262</v>
      </c>
      <c r="B1372" s="34" t="str">
        <f>HYPERLINK("http://www.twitter.com/LibrarianCHS", "LibrarianCHS")</f>
        <v>LibrarianCHS</v>
      </c>
      <c r="C1372" s="33" t="s">
        <v>3346</v>
      </c>
      <c r="D1372" s="33" t="s">
        <v>3347</v>
      </c>
      <c r="E1372" s="32" t="s">
        <v>3348</v>
      </c>
      <c r="F1372" s="35">
        <v>12</v>
      </c>
      <c r="G1372" s="35">
        <v>59</v>
      </c>
      <c r="H1372" s="35">
        <v>81</v>
      </c>
      <c r="I1372" s="35">
        <v>44</v>
      </c>
      <c r="J1372" s="36">
        <v>42094</v>
      </c>
      <c r="K1372" s="37">
        <v>0.65973379629629625</v>
      </c>
      <c r="L1372" s="36">
        <v>42921</v>
      </c>
      <c r="M1372" s="38">
        <v>0.4191319444444444</v>
      </c>
    </row>
    <row r="1373" spans="1:13" ht="45" x14ac:dyDescent="0.25">
      <c r="A1373" s="33" t="s">
        <v>262</v>
      </c>
      <c r="B1373" s="34" t="str">
        <f>HYPERLINK("http://www.twitter.com/RRS_Library", "RRS_Library")</f>
        <v>RRS_Library</v>
      </c>
      <c r="C1373" s="33" t="s">
        <v>3272</v>
      </c>
      <c r="D1373" s="33" t="s">
        <v>3273</v>
      </c>
      <c r="E1373" s="32" t="s">
        <v>3274</v>
      </c>
      <c r="F1373" s="35">
        <v>84</v>
      </c>
      <c r="G1373" s="35">
        <v>74</v>
      </c>
      <c r="H1373" s="35">
        <v>80</v>
      </c>
      <c r="I1373" s="35">
        <v>42</v>
      </c>
      <c r="J1373" s="36">
        <v>42353</v>
      </c>
      <c r="K1373" s="37">
        <v>0.48927083333333332</v>
      </c>
      <c r="L1373" s="36">
        <v>42909</v>
      </c>
      <c r="M1373" s="38">
        <v>0.54567129629629629</v>
      </c>
    </row>
    <row r="1374" spans="1:13" ht="30" x14ac:dyDescent="0.25">
      <c r="A1374" s="33" t="s">
        <v>262</v>
      </c>
      <c r="B1374" s="34" t="str">
        <f>HYPERLINK("http://www.twitter.com/KH_Library", "KH_Library")</f>
        <v>KH_Library</v>
      </c>
      <c r="C1374" s="33" t="s">
        <v>3118</v>
      </c>
      <c r="D1374" s="33" t="s">
        <v>3119</v>
      </c>
      <c r="E1374" s="32" t="s">
        <v>3120</v>
      </c>
      <c r="F1374" s="35">
        <v>422</v>
      </c>
      <c r="G1374" s="35">
        <v>161</v>
      </c>
      <c r="H1374" s="35">
        <v>80</v>
      </c>
      <c r="I1374" s="35">
        <v>61</v>
      </c>
      <c r="J1374" s="36">
        <v>42878</v>
      </c>
      <c r="K1374" s="37">
        <v>0.34255787037037039</v>
      </c>
      <c r="L1374" s="36">
        <v>42937</v>
      </c>
      <c r="M1374" s="38">
        <v>0.61791666666666667</v>
      </c>
    </row>
    <row r="1375" spans="1:13" ht="30" x14ac:dyDescent="0.25">
      <c r="A1375" s="33" t="s">
        <v>262</v>
      </c>
      <c r="B1375" s="34" t="str">
        <f>HYPERLINK("http://www.twitter.com/CJMLCLibrary", "CJMLCLibrary")</f>
        <v>CJMLCLibrary</v>
      </c>
      <c r="C1375" s="33" t="s">
        <v>2925</v>
      </c>
      <c r="D1375" s="33" t="s">
        <v>477</v>
      </c>
      <c r="E1375" s="32" t="s">
        <v>2926</v>
      </c>
      <c r="F1375" s="35">
        <v>864</v>
      </c>
      <c r="G1375" s="35">
        <v>165</v>
      </c>
      <c r="H1375" s="35">
        <v>78</v>
      </c>
      <c r="I1375" s="35">
        <v>542</v>
      </c>
      <c r="J1375" s="36">
        <v>42724</v>
      </c>
      <c r="K1375" s="37">
        <v>0.4324305555555556</v>
      </c>
      <c r="L1375" s="36">
        <v>42936</v>
      </c>
      <c r="M1375" s="38">
        <v>0.48136574074074073</v>
      </c>
    </row>
    <row r="1376" spans="1:13" ht="45" x14ac:dyDescent="0.25">
      <c r="A1376" s="33" t="s">
        <v>262</v>
      </c>
      <c r="B1376" s="34" t="str">
        <f>HYPERLINK("http://www.twitter.com/Harrow_SLS", "Harrow_SLS")</f>
        <v>Harrow_SLS</v>
      </c>
      <c r="C1376" s="33" t="s">
        <v>3127</v>
      </c>
      <c r="D1376" s="33" t="s">
        <v>477</v>
      </c>
      <c r="E1376" s="32" t="s">
        <v>3128</v>
      </c>
      <c r="F1376" s="35">
        <v>156</v>
      </c>
      <c r="G1376" s="35">
        <v>123</v>
      </c>
      <c r="H1376" s="35">
        <v>76</v>
      </c>
      <c r="I1376" s="35">
        <v>215</v>
      </c>
      <c r="J1376" s="36">
        <v>42536</v>
      </c>
      <c r="K1376" s="37">
        <v>0.56018518518518523</v>
      </c>
      <c r="L1376" s="36">
        <v>42935</v>
      </c>
      <c r="M1376" s="38">
        <v>0.44799768518518518</v>
      </c>
    </row>
    <row r="1377" spans="1:13" ht="30" x14ac:dyDescent="0.25">
      <c r="A1377" s="33" t="s">
        <v>262</v>
      </c>
      <c r="B1377" s="34" t="str">
        <f>HYPERLINK("http://www.twitter.com/Devizes_LRC", "Devizes_LRC")</f>
        <v>Devizes_LRC</v>
      </c>
      <c r="C1377" s="33" t="s">
        <v>3057</v>
      </c>
      <c r="D1377" s="33" t="s">
        <v>3058</v>
      </c>
      <c r="E1377" s="32" t="s">
        <v>3059</v>
      </c>
      <c r="F1377" s="35">
        <v>118</v>
      </c>
      <c r="G1377" s="35">
        <v>135</v>
      </c>
      <c r="H1377" s="35">
        <v>73</v>
      </c>
      <c r="I1377" s="35">
        <v>440</v>
      </c>
      <c r="J1377" s="36">
        <v>42649</v>
      </c>
      <c r="K1377" s="37">
        <v>0.5455092592592593</v>
      </c>
      <c r="L1377" s="36">
        <v>42936</v>
      </c>
      <c r="M1377" s="38">
        <v>0.24878472222222223</v>
      </c>
    </row>
    <row r="1378" spans="1:13" x14ac:dyDescent="0.25">
      <c r="A1378" s="33" t="s">
        <v>262</v>
      </c>
      <c r="B1378" s="34" t="str">
        <f>HYPERLINK("http://www.twitter.com/BradColLib", "BradColLib")</f>
        <v>BradColLib</v>
      </c>
      <c r="C1378" s="33" t="s">
        <v>3468</v>
      </c>
      <c r="D1378" s="33" t="s">
        <v>3469</v>
      </c>
      <c r="E1378" s="32" t="s">
        <v>3470</v>
      </c>
      <c r="F1378" s="35">
        <v>52</v>
      </c>
      <c r="G1378" s="35">
        <v>26</v>
      </c>
      <c r="H1378" s="35">
        <v>72</v>
      </c>
      <c r="I1378" s="35">
        <v>12</v>
      </c>
      <c r="J1378" s="36">
        <v>42073</v>
      </c>
      <c r="K1378" s="37">
        <v>0.72685185185185175</v>
      </c>
      <c r="L1378" s="36">
        <v>42796</v>
      </c>
      <c r="M1378" s="38">
        <v>0.64083333333333337</v>
      </c>
    </row>
    <row r="1379" spans="1:13" ht="90" x14ac:dyDescent="0.25">
      <c r="A1379" s="33" t="s">
        <v>262</v>
      </c>
      <c r="B1379" s="34" t="str">
        <f>HYPERLINK("http://www.twitter.com/StretfordHLib", "StretfordHLib")</f>
        <v>StretfordHLib</v>
      </c>
      <c r="C1379" s="33" t="s">
        <v>3521</v>
      </c>
      <c r="D1379" s="33" t="s">
        <v>2289</v>
      </c>
      <c r="E1379" s="32" t="s">
        <v>3522</v>
      </c>
      <c r="F1379" s="35">
        <v>279</v>
      </c>
      <c r="G1379" s="35">
        <v>99</v>
      </c>
      <c r="H1379" s="35">
        <v>70</v>
      </c>
      <c r="I1379" s="35">
        <v>165</v>
      </c>
      <c r="J1379" s="36">
        <v>42901</v>
      </c>
      <c r="K1379" s="37">
        <v>0.61111111111111105</v>
      </c>
      <c r="L1379" s="36">
        <v>42928</v>
      </c>
      <c r="M1379" s="38">
        <v>0.55341435185185184</v>
      </c>
    </row>
    <row r="1380" spans="1:13" x14ac:dyDescent="0.25">
      <c r="A1380" s="33" t="s">
        <v>262</v>
      </c>
      <c r="B1380" s="34" t="str">
        <f>HYPERLINK("http://www.twitter.com/GrangeLibrarian", "GrangeLibrarian")</f>
        <v>GrangeLibrarian</v>
      </c>
      <c r="C1380" s="33" t="s">
        <v>3309</v>
      </c>
      <c r="E1380" s="32" t="s">
        <v>3310</v>
      </c>
      <c r="F1380" s="35">
        <v>93</v>
      </c>
      <c r="G1380" s="35">
        <v>61</v>
      </c>
      <c r="H1380" s="35">
        <v>69</v>
      </c>
      <c r="I1380" s="35">
        <v>10</v>
      </c>
      <c r="J1380" s="36">
        <v>41652</v>
      </c>
      <c r="K1380" s="37">
        <v>0.53561342592592587</v>
      </c>
      <c r="L1380" s="36">
        <v>42181</v>
      </c>
      <c r="M1380" s="38">
        <v>0.58856481481481482</v>
      </c>
    </row>
    <row r="1381" spans="1:13" ht="30" x14ac:dyDescent="0.25">
      <c r="A1381" s="33" t="s">
        <v>262</v>
      </c>
      <c r="B1381" s="34" t="str">
        <f>HYPERLINK("http://www.twitter.com/NewmanVILibrary", "NewmanVILibrary")</f>
        <v>NewmanVILibrary</v>
      </c>
      <c r="C1381" s="33" t="s">
        <v>3280</v>
      </c>
      <c r="D1381" s="33" t="s">
        <v>3281</v>
      </c>
      <c r="E1381" s="32" t="s">
        <v>3282</v>
      </c>
      <c r="F1381" s="35">
        <v>134</v>
      </c>
      <c r="G1381" s="35">
        <v>69</v>
      </c>
      <c r="H1381" s="35">
        <v>67</v>
      </c>
      <c r="I1381" s="35">
        <v>4</v>
      </c>
      <c r="J1381" s="36">
        <v>42451</v>
      </c>
      <c r="K1381" s="37">
        <v>0.38002314814814814</v>
      </c>
      <c r="L1381" s="36">
        <v>42934</v>
      </c>
      <c r="M1381" s="38">
        <v>0.38240740740740736</v>
      </c>
    </row>
    <row r="1382" spans="1:13" ht="45" x14ac:dyDescent="0.25">
      <c r="A1382" s="33" t="s">
        <v>262</v>
      </c>
      <c r="B1382" s="34" t="str">
        <f>HYPERLINK("http://www.twitter.com/WestPrepLibrary", "WestPrepLibrary")</f>
        <v>WestPrepLibrary</v>
      </c>
      <c r="C1382" s="33" t="s">
        <v>3198</v>
      </c>
      <c r="D1382" s="33" t="s">
        <v>3199</v>
      </c>
      <c r="E1382" s="32" t="s">
        <v>3200</v>
      </c>
      <c r="F1382" s="35">
        <v>378</v>
      </c>
      <c r="G1382" s="35">
        <v>84</v>
      </c>
      <c r="H1382" s="35">
        <v>67</v>
      </c>
      <c r="I1382" s="35">
        <v>31</v>
      </c>
      <c r="J1382" s="36">
        <v>42075</v>
      </c>
      <c r="K1382" s="37">
        <v>0.71098379629629627</v>
      </c>
      <c r="L1382" s="36">
        <v>42796</v>
      </c>
      <c r="M1382" s="38">
        <v>0.91001157407407407</v>
      </c>
    </row>
    <row r="1383" spans="1:13" x14ac:dyDescent="0.25">
      <c r="A1383" s="33" t="s">
        <v>262</v>
      </c>
      <c r="B1383" s="34" t="str">
        <f>HYPERLINK("http://www.twitter.com/sjsb_librarian", "sjsb_librarian")</f>
        <v>sjsb_librarian</v>
      </c>
      <c r="C1383" s="33" t="s">
        <v>3351</v>
      </c>
      <c r="D1383" s="33" t="s">
        <v>36</v>
      </c>
      <c r="E1383" s="32" t="s">
        <v>3352</v>
      </c>
      <c r="F1383" s="35">
        <v>85</v>
      </c>
      <c r="G1383" s="35">
        <v>52</v>
      </c>
      <c r="H1383" s="35">
        <v>66</v>
      </c>
      <c r="I1383" s="35">
        <v>24</v>
      </c>
      <c r="J1383" s="36">
        <v>40500</v>
      </c>
      <c r="K1383" s="37">
        <v>0.76077546296296295</v>
      </c>
      <c r="L1383" s="36">
        <v>42531</v>
      </c>
      <c r="M1383" s="38">
        <v>0.59862268518518513</v>
      </c>
    </row>
    <row r="1384" spans="1:13" x14ac:dyDescent="0.25">
      <c r="A1384" s="33" t="s">
        <v>262</v>
      </c>
      <c r="B1384" s="34" t="str">
        <f>HYPERLINK("http://www.twitter.com/gbhs_library", "gbhs_library")</f>
        <v>gbhs_library</v>
      </c>
      <c r="C1384" s="33" t="s">
        <v>3397</v>
      </c>
      <c r="D1384" s="33" t="s">
        <v>3398</v>
      </c>
      <c r="F1384" s="35">
        <v>48</v>
      </c>
      <c r="G1384" s="35">
        <v>44</v>
      </c>
      <c r="H1384" s="35">
        <v>64</v>
      </c>
      <c r="I1384" s="35">
        <v>76</v>
      </c>
      <c r="J1384" s="36">
        <v>42439</v>
      </c>
      <c r="K1384" s="37">
        <v>0.42738425925925921</v>
      </c>
      <c r="L1384" s="36">
        <v>42881</v>
      </c>
      <c r="M1384" s="38">
        <v>0.55542824074074071</v>
      </c>
    </row>
    <row r="1385" spans="1:13" x14ac:dyDescent="0.25">
      <c r="A1385" s="33" t="s">
        <v>262</v>
      </c>
      <c r="B1385" s="34" t="str">
        <f>HYPERLINK("http://www.twitter.com/FulneckLibrary", "FulneckLibrary")</f>
        <v>FulneckLibrary</v>
      </c>
      <c r="C1385" s="33" t="s">
        <v>3488</v>
      </c>
      <c r="D1385" s="33" t="s">
        <v>3489</v>
      </c>
      <c r="F1385" s="35">
        <v>194</v>
      </c>
      <c r="G1385" s="35">
        <v>23</v>
      </c>
      <c r="H1385" s="35">
        <v>63</v>
      </c>
      <c r="I1385" s="35">
        <v>12</v>
      </c>
      <c r="J1385" s="36">
        <v>42793</v>
      </c>
      <c r="K1385" s="37">
        <v>0.39832175925925922</v>
      </c>
      <c r="L1385" s="36">
        <v>42915</v>
      </c>
      <c r="M1385" s="38">
        <v>0.36739583333333337</v>
      </c>
    </row>
    <row r="1386" spans="1:13" x14ac:dyDescent="0.25">
      <c r="A1386" s="33" t="s">
        <v>262</v>
      </c>
      <c r="B1386" s="34" t="str">
        <f>HYPERLINK("http://www.twitter.com/gryffelibrary", "gryffelibrary")</f>
        <v>gryffelibrary</v>
      </c>
      <c r="C1386" s="33" t="s">
        <v>3416</v>
      </c>
      <c r="D1386" s="33" t="s">
        <v>2007</v>
      </c>
      <c r="E1386" s="32" t="s">
        <v>3417</v>
      </c>
      <c r="F1386" s="35">
        <v>113</v>
      </c>
      <c r="G1386" s="35">
        <v>42</v>
      </c>
      <c r="H1386" s="35">
        <v>63</v>
      </c>
      <c r="I1386" s="35">
        <v>31</v>
      </c>
      <c r="J1386" s="36">
        <v>42683</v>
      </c>
      <c r="K1386" s="37">
        <v>0.73848379629629635</v>
      </c>
      <c r="L1386" s="36">
        <v>42825</v>
      </c>
      <c r="M1386" s="38">
        <v>0.66934027777777771</v>
      </c>
    </row>
    <row r="1387" spans="1:13" x14ac:dyDescent="0.25">
      <c r="A1387" s="33" t="s">
        <v>262</v>
      </c>
      <c r="B1387" s="34" t="str">
        <f>HYPERLINK("http://www.twitter.com/stamlibrarian", "stamlibrarian")</f>
        <v>stamlibrarian</v>
      </c>
      <c r="C1387" s="33" t="s">
        <v>3396</v>
      </c>
      <c r="D1387" s="33" t="s">
        <v>2007</v>
      </c>
      <c r="F1387" s="35">
        <v>24</v>
      </c>
      <c r="G1387" s="35">
        <v>48</v>
      </c>
      <c r="H1387" s="35">
        <v>63</v>
      </c>
      <c r="I1387" s="35">
        <v>20</v>
      </c>
      <c r="J1387" s="36">
        <v>42402</v>
      </c>
      <c r="K1387" s="37">
        <v>0.4803587962962963</v>
      </c>
      <c r="L1387" s="36">
        <v>42921</v>
      </c>
      <c r="M1387" s="38">
        <v>0.35686342592592596</v>
      </c>
    </row>
    <row r="1388" spans="1:13" x14ac:dyDescent="0.25">
      <c r="A1388" s="33" t="s">
        <v>262</v>
      </c>
      <c r="B1388" s="34" t="str">
        <f>HYPERLINK("http://www.twitter.com/BaldragonLib", "BaldragonLib")</f>
        <v>BaldragonLib</v>
      </c>
      <c r="C1388" s="33" t="s">
        <v>3487</v>
      </c>
      <c r="F1388" s="35">
        <v>33</v>
      </c>
      <c r="G1388" s="35">
        <v>27</v>
      </c>
      <c r="H1388" s="35">
        <v>61</v>
      </c>
      <c r="I1388" s="35">
        <v>1</v>
      </c>
      <c r="J1388" s="36">
        <v>42793</v>
      </c>
      <c r="K1388" s="37">
        <v>0.47271990740740738</v>
      </c>
      <c r="L1388" s="36">
        <v>42912</v>
      </c>
      <c r="M1388" s="38">
        <v>0.37576388888888884</v>
      </c>
    </row>
    <row r="1389" spans="1:13" ht="30" x14ac:dyDescent="0.25">
      <c r="A1389" s="33" t="s">
        <v>262</v>
      </c>
      <c r="B1389" s="34" t="str">
        <f>HYPERLINK("http://www.twitter.com/NRA_Library", "NRA_Library")</f>
        <v>NRA_Library</v>
      </c>
      <c r="C1389" s="33" t="s">
        <v>2854</v>
      </c>
      <c r="D1389" s="33" t="s">
        <v>2855</v>
      </c>
      <c r="E1389" s="32" t="s">
        <v>2856</v>
      </c>
      <c r="F1389" s="35">
        <v>495</v>
      </c>
      <c r="G1389" s="35">
        <v>164</v>
      </c>
      <c r="H1389" s="35">
        <v>59</v>
      </c>
      <c r="I1389" s="35">
        <v>13</v>
      </c>
      <c r="J1389" s="36">
        <v>41323</v>
      </c>
      <c r="K1389" s="37">
        <v>0.46386574074074072</v>
      </c>
      <c r="L1389" s="36">
        <v>42881</v>
      </c>
      <c r="M1389" s="38">
        <v>0.61068287037037039</v>
      </c>
    </row>
    <row r="1390" spans="1:13" x14ac:dyDescent="0.25">
      <c r="A1390" s="33" t="s">
        <v>262</v>
      </c>
      <c r="B1390" s="34" t="str">
        <f>HYPERLINK("http://www.twitter.com/libmhs", "libmhs")</f>
        <v>libmhs</v>
      </c>
      <c r="C1390" s="33" t="s">
        <v>2672</v>
      </c>
      <c r="E1390" s="32" t="s">
        <v>3415</v>
      </c>
      <c r="F1390" s="35">
        <v>91</v>
      </c>
      <c r="G1390" s="35">
        <v>38</v>
      </c>
      <c r="H1390" s="35">
        <v>57</v>
      </c>
      <c r="I1390" s="35">
        <v>18</v>
      </c>
      <c r="J1390" s="36">
        <v>41517</v>
      </c>
      <c r="K1390" s="37">
        <v>0.40469907407407407</v>
      </c>
      <c r="L1390" s="36">
        <v>42691</v>
      </c>
      <c r="M1390" s="38">
        <v>0.92648148148148157</v>
      </c>
    </row>
    <row r="1391" spans="1:13" x14ac:dyDescent="0.25">
      <c r="A1391" s="33" t="s">
        <v>262</v>
      </c>
      <c r="B1391" s="34" t="str">
        <f>HYPERLINK("http://www.twitter.com/JFCSLibrary", "JFCSLibrary")</f>
        <v>JFCSLibrary</v>
      </c>
      <c r="C1391" s="33" t="s">
        <v>2939</v>
      </c>
      <c r="F1391" s="35">
        <v>341</v>
      </c>
      <c r="G1391" s="35">
        <v>160</v>
      </c>
      <c r="H1391" s="35">
        <v>56</v>
      </c>
      <c r="I1391" s="35">
        <v>6</v>
      </c>
      <c r="J1391" s="36">
        <v>41827</v>
      </c>
      <c r="K1391" s="37">
        <v>0.35381944444444446</v>
      </c>
      <c r="L1391" s="36">
        <v>42912</v>
      </c>
      <c r="M1391" s="38">
        <v>0.69233796296296291</v>
      </c>
    </row>
    <row r="1392" spans="1:13" x14ac:dyDescent="0.25">
      <c r="A1392" s="33" t="s">
        <v>262</v>
      </c>
      <c r="B1392" s="34" t="str">
        <f>HYPERLINK("http://www.twitter.com/silcoateslib", "silcoateslib")</f>
        <v>silcoateslib</v>
      </c>
      <c r="C1392" s="33" t="s">
        <v>3511</v>
      </c>
      <c r="D1392" s="33" t="s">
        <v>3512</v>
      </c>
      <c r="F1392" s="35">
        <v>45</v>
      </c>
      <c r="G1392" s="35">
        <v>22</v>
      </c>
      <c r="H1392" s="35">
        <v>50</v>
      </c>
      <c r="I1392" s="35">
        <v>28</v>
      </c>
      <c r="J1392" s="36">
        <v>42880</v>
      </c>
      <c r="K1392" s="37">
        <v>0.47333333333333333</v>
      </c>
      <c r="L1392" s="36">
        <v>42914</v>
      </c>
      <c r="M1392" s="38">
        <v>0.44017361111111114</v>
      </c>
    </row>
    <row r="1393" spans="1:13" x14ac:dyDescent="0.25">
      <c r="A1393" s="33" t="s">
        <v>262</v>
      </c>
      <c r="B1393" s="34" t="str">
        <f>HYPERLINK("http://www.twitter.com/FHSschoolibrary", "FHSschoolibrary")</f>
        <v>FHSschoolibrary</v>
      </c>
      <c r="C1393" s="33" t="s">
        <v>3096</v>
      </c>
      <c r="D1393" s="33" t="s">
        <v>3097</v>
      </c>
      <c r="F1393" s="35">
        <v>47</v>
      </c>
      <c r="G1393" s="35">
        <v>112</v>
      </c>
      <c r="H1393" s="35">
        <v>49</v>
      </c>
      <c r="I1393" s="35">
        <v>1</v>
      </c>
      <c r="J1393" s="36">
        <v>41886</v>
      </c>
      <c r="K1393" s="37">
        <v>0.37432870370370369</v>
      </c>
      <c r="L1393" s="36">
        <v>42912</v>
      </c>
      <c r="M1393" s="38">
        <v>0.94333333333333336</v>
      </c>
    </row>
    <row r="1394" spans="1:13" ht="30" x14ac:dyDescent="0.25">
      <c r="A1394" s="33" t="s">
        <v>262</v>
      </c>
      <c r="B1394" s="34" t="str">
        <f>HYPERLINK("http://www.twitter.com/SG_Library01", "SG_Library01")</f>
        <v>SG_Library01</v>
      </c>
      <c r="C1394" s="33" t="s">
        <v>3406</v>
      </c>
      <c r="E1394" s="32" t="s">
        <v>3407</v>
      </c>
      <c r="F1394" s="35">
        <v>65</v>
      </c>
      <c r="G1394" s="35">
        <v>50</v>
      </c>
      <c r="H1394" s="35">
        <v>46</v>
      </c>
      <c r="I1394" s="35">
        <v>6</v>
      </c>
      <c r="J1394" s="36">
        <v>42677</v>
      </c>
      <c r="K1394" s="37">
        <v>0.40881944444444446</v>
      </c>
      <c r="L1394" s="36">
        <v>42912</v>
      </c>
      <c r="M1394" s="38">
        <v>0.59459490740740739</v>
      </c>
    </row>
    <row r="1395" spans="1:13" ht="30" x14ac:dyDescent="0.25">
      <c r="A1395" s="33" t="s">
        <v>262</v>
      </c>
      <c r="B1395" s="34" t="str">
        <f>HYPERLINK("http://www.twitter.com/Leyton6thLib", "Leyton6thLib")</f>
        <v>Leyton6thLib</v>
      </c>
      <c r="C1395" s="33" t="s">
        <v>3540</v>
      </c>
      <c r="D1395" s="33" t="s">
        <v>477</v>
      </c>
      <c r="E1395" s="32" t="s">
        <v>3541</v>
      </c>
      <c r="F1395" s="35">
        <v>87</v>
      </c>
      <c r="G1395" s="35">
        <v>28</v>
      </c>
      <c r="H1395" s="35">
        <v>44</v>
      </c>
      <c r="I1395" s="35">
        <v>21</v>
      </c>
      <c r="J1395" s="36">
        <v>42850</v>
      </c>
      <c r="K1395" s="37">
        <v>0.61468749999999994</v>
      </c>
      <c r="L1395" s="36">
        <v>42928</v>
      </c>
      <c r="M1395" s="38">
        <v>0.44703703703703707</v>
      </c>
    </row>
    <row r="1396" spans="1:13" ht="30" x14ac:dyDescent="0.25">
      <c r="A1396" s="33" t="s">
        <v>262</v>
      </c>
      <c r="B1396" s="34" t="str">
        <f>HYPERLINK("http://www.twitter.com/nhslrc", "nhslrc")</f>
        <v>nhslrc</v>
      </c>
      <c r="C1396" s="33" t="s">
        <v>2618</v>
      </c>
      <c r="D1396" s="33" t="s">
        <v>2619</v>
      </c>
      <c r="E1396" s="32" t="s">
        <v>2620</v>
      </c>
      <c r="F1396" s="35">
        <v>271</v>
      </c>
      <c r="G1396" s="35">
        <v>211</v>
      </c>
      <c r="H1396" s="35">
        <v>44</v>
      </c>
      <c r="I1396" s="35">
        <v>0</v>
      </c>
      <c r="J1396" s="36">
        <v>42275</v>
      </c>
      <c r="K1396" s="37">
        <v>0.48743055555555559</v>
      </c>
      <c r="L1396" s="36">
        <v>42755</v>
      </c>
      <c r="M1396" s="38">
        <v>0.65309027777777773</v>
      </c>
    </row>
    <row r="1397" spans="1:13" x14ac:dyDescent="0.25">
      <c r="A1397" s="33" t="s">
        <v>262</v>
      </c>
      <c r="B1397" s="34" t="str">
        <f>HYPERLINK("http://www.twitter.com/BGS_Library01", "BGS_Library01")</f>
        <v>BGS_Library01</v>
      </c>
      <c r="C1397" s="33" t="s">
        <v>3507</v>
      </c>
      <c r="E1397" s="32" t="s">
        <v>3508</v>
      </c>
      <c r="F1397" s="35">
        <v>22</v>
      </c>
      <c r="G1397" s="35">
        <v>11</v>
      </c>
      <c r="H1397" s="35">
        <v>43</v>
      </c>
      <c r="I1397" s="35">
        <v>0</v>
      </c>
      <c r="J1397" s="36">
        <v>41661</v>
      </c>
      <c r="K1397" s="37">
        <v>0.59672453703703698</v>
      </c>
      <c r="L1397" s="36">
        <v>41829</v>
      </c>
      <c r="M1397" s="38">
        <v>0.43532407407407409</v>
      </c>
    </row>
    <row r="1398" spans="1:13" x14ac:dyDescent="0.25">
      <c r="A1398" s="33" t="s">
        <v>262</v>
      </c>
      <c r="B1398" s="34" t="str">
        <f>HYPERLINK("http://www.twitter.com/HayesSchLibrary", "HayesSchLibrary")</f>
        <v>HayesSchLibrary</v>
      </c>
      <c r="C1398" s="33" t="s">
        <v>3447</v>
      </c>
      <c r="D1398" s="33" t="s">
        <v>3448</v>
      </c>
      <c r="E1398" s="32" t="s">
        <v>3449</v>
      </c>
      <c r="F1398" s="35">
        <v>39</v>
      </c>
      <c r="G1398" s="35">
        <v>28</v>
      </c>
      <c r="H1398" s="35">
        <v>40</v>
      </c>
      <c r="I1398" s="35">
        <v>0</v>
      </c>
      <c r="J1398" s="36">
        <v>40981</v>
      </c>
      <c r="K1398" s="37">
        <v>0.48072916666666665</v>
      </c>
      <c r="L1398" s="36">
        <v>42432</v>
      </c>
      <c r="M1398" s="38">
        <v>0.55837962962962961</v>
      </c>
    </row>
    <row r="1399" spans="1:13" x14ac:dyDescent="0.25">
      <c r="A1399" s="33" t="s">
        <v>262</v>
      </c>
      <c r="B1399" s="34" t="str">
        <f>HYPERLINK("http://www.twitter.com/chilton_lrc", "chilton_lrc")</f>
        <v>chilton_lrc</v>
      </c>
      <c r="C1399" s="33" t="s">
        <v>3268</v>
      </c>
      <c r="F1399" s="35">
        <v>178</v>
      </c>
      <c r="G1399" s="35">
        <v>73</v>
      </c>
      <c r="H1399" s="35">
        <v>40</v>
      </c>
      <c r="I1399" s="35">
        <v>44</v>
      </c>
      <c r="J1399" s="36">
        <v>42633</v>
      </c>
      <c r="K1399" s="37">
        <v>0.35099537037037037</v>
      </c>
      <c r="L1399" s="36">
        <v>42823</v>
      </c>
      <c r="M1399" s="38">
        <v>0.46434027777777781</v>
      </c>
    </row>
    <row r="1400" spans="1:13" ht="30" x14ac:dyDescent="0.25">
      <c r="A1400" s="33" t="s">
        <v>262</v>
      </c>
      <c r="B1400" s="34" t="str">
        <f>HYPERLINK("http://www.twitter.com/GA_library", "GA_library")</f>
        <v>GA_library</v>
      </c>
      <c r="C1400" s="33" t="s">
        <v>3427</v>
      </c>
      <c r="D1400" s="33" t="s">
        <v>3428</v>
      </c>
      <c r="E1400" s="32" t="s">
        <v>3429</v>
      </c>
      <c r="F1400" s="35">
        <v>128</v>
      </c>
      <c r="G1400" s="35">
        <v>49</v>
      </c>
      <c r="H1400" s="35">
        <v>39</v>
      </c>
      <c r="I1400" s="35">
        <v>12</v>
      </c>
      <c r="J1400" s="36">
        <v>42803</v>
      </c>
      <c r="K1400" s="37">
        <v>0.58067129629629632</v>
      </c>
      <c r="L1400" s="36">
        <v>42912</v>
      </c>
      <c r="M1400" s="38">
        <v>0.93817129629629636</v>
      </c>
    </row>
    <row r="1401" spans="1:13" x14ac:dyDescent="0.25">
      <c r="A1401" s="33" t="s">
        <v>262</v>
      </c>
      <c r="B1401" s="34" t="str">
        <f>HYPERLINK("http://www.twitter.com/HarlawLibrary", "HarlawLibrary")</f>
        <v>HarlawLibrary</v>
      </c>
      <c r="C1401" s="33" t="s">
        <v>3443</v>
      </c>
      <c r="D1401" s="33" t="s">
        <v>569</v>
      </c>
      <c r="F1401" s="35">
        <v>108</v>
      </c>
      <c r="G1401" s="35">
        <v>50</v>
      </c>
      <c r="H1401" s="35">
        <v>38</v>
      </c>
      <c r="I1401" s="35">
        <v>107</v>
      </c>
      <c r="J1401" s="36">
        <v>42870</v>
      </c>
      <c r="K1401" s="37">
        <v>0.31854166666666667</v>
      </c>
      <c r="L1401" s="36">
        <v>42920</v>
      </c>
      <c r="M1401" s="38">
        <v>0.65371527777777783</v>
      </c>
    </row>
    <row r="1402" spans="1:13" ht="45" x14ac:dyDescent="0.25">
      <c r="A1402" s="33" t="s">
        <v>262</v>
      </c>
      <c r="B1402" s="34" t="str">
        <f>HYPERLINK("http://www.twitter.com/hallparklibrary", "hallparklibrary")</f>
        <v>hallparklibrary</v>
      </c>
      <c r="C1402" s="33" t="s">
        <v>3302</v>
      </c>
      <c r="D1402" s="33" t="s">
        <v>2107</v>
      </c>
      <c r="E1402" s="32" t="s">
        <v>3303</v>
      </c>
      <c r="F1402" s="35">
        <v>102</v>
      </c>
      <c r="G1402" s="35">
        <v>99</v>
      </c>
      <c r="H1402" s="35">
        <v>37</v>
      </c>
      <c r="I1402" s="35">
        <v>13</v>
      </c>
      <c r="J1402" s="36">
        <v>42790</v>
      </c>
      <c r="K1402" s="37">
        <v>0.43577546296296293</v>
      </c>
      <c r="L1402" s="36">
        <v>42933</v>
      </c>
      <c r="M1402" s="38">
        <v>0.60785879629629636</v>
      </c>
    </row>
    <row r="1403" spans="1:13" ht="30" x14ac:dyDescent="0.25">
      <c r="A1403" s="33" t="s">
        <v>262</v>
      </c>
      <c r="B1403" s="34" t="str">
        <f>HYPERLINK("http://www.twitter.com/addeyslibrary", "addeyslibrary")</f>
        <v>addeyslibrary</v>
      </c>
      <c r="C1403" s="33" t="s">
        <v>3223</v>
      </c>
      <c r="E1403" s="32" t="s">
        <v>3552</v>
      </c>
      <c r="F1403" s="35">
        <v>250</v>
      </c>
      <c r="G1403" s="35">
        <v>93</v>
      </c>
      <c r="H1403" s="35">
        <v>33</v>
      </c>
      <c r="I1403" s="35">
        <v>103</v>
      </c>
      <c r="J1403" s="36">
        <v>42481</v>
      </c>
      <c r="K1403" s="37">
        <v>0.36843749999999997</v>
      </c>
      <c r="L1403" s="36">
        <v>42900</v>
      </c>
      <c r="M1403" s="38">
        <v>0.64376157407407408</v>
      </c>
    </row>
    <row r="1404" spans="1:13" ht="30" x14ac:dyDescent="0.25">
      <c r="A1404" s="33" t="s">
        <v>262</v>
      </c>
      <c r="B1404" s="34" t="str">
        <f>HYPERLINK("http://www.twitter.com/PipersLibrary", "PipersLibrary")</f>
        <v>PipersLibrary</v>
      </c>
      <c r="C1404" s="33" t="s">
        <v>3471</v>
      </c>
      <c r="D1404" s="33" t="s">
        <v>3472</v>
      </c>
      <c r="E1404" s="32" t="s">
        <v>3473</v>
      </c>
      <c r="F1404" s="35">
        <v>69</v>
      </c>
      <c r="G1404" s="35">
        <v>27</v>
      </c>
      <c r="H1404" s="35">
        <v>31</v>
      </c>
      <c r="I1404" s="35">
        <v>7</v>
      </c>
      <c r="J1404" s="36">
        <v>42618</v>
      </c>
      <c r="K1404" s="37">
        <v>0.54274305555555558</v>
      </c>
      <c r="L1404" s="36">
        <v>42905</v>
      </c>
      <c r="M1404" s="38">
        <v>0.6470717592592593</v>
      </c>
    </row>
    <row r="1405" spans="1:13" x14ac:dyDescent="0.25">
      <c r="A1405" s="33" t="s">
        <v>262</v>
      </c>
      <c r="B1405" s="34" t="str">
        <f>HYPERLINK("http://www.twitter.com/OLSP_Library", "OLSP_Library")</f>
        <v>OLSP_Library</v>
      </c>
      <c r="C1405" s="33" t="s">
        <v>3534</v>
      </c>
      <c r="D1405" s="33" t="s">
        <v>3529</v>
      </c>
      <c r="F1405" s="35">
        <v>171</v>
      </c>
      <c r="G1405" s="35">
        <v>50</v>
      </c>
      <c r="H1405" s="35">
        <v>29</v>
      </c>
      <c r="I1405" s="35">
        <v>95</v>
      </c>
      <c r="J1405" s="36">
        <v>42871</v>
      </c>
      <c r="K1405" s="37">
        <v>0.5635648148148148</v>
      </c>
      <c r="L1405" s="36">
        <v>42940</v>
      </c>
      <c r="M1405" s="38">
        <v>0.42605324074074075</v>
      </c>
    </row>
    <row r="1406" spans="1:13" x14ac:dyDescent="0.25">
      <c r="A1406" s="33" t="s">
        <v>262</v>
      </c>
      <c r="B1406" s="34" t="str">
        <f>HYPERLINK("http://www.twitter.com/aquinascentre", "aquinascentre")</f>
        <v>aquinascentre</v>
      </c>
      <c r="C1406" s="33" t="s">
        <v>3535</v>
      </c>
      <c r="D1406" s="33" t="s">
        <v>3040</v>
      </c>
      <c r="F1406" s="35">
        <v>40</v>
      </c>
      <c r="G1406" s="35">
        <v>17</v>
      </c>
      <c r="H1406" s="35">
        <v>28</v>
      </c>
      <c r="I1406" s="35">
        <v>23</v>
      </c>
      <c r="J1406" s="36">
        <v>42867</v>
      </c>
      <c r="K1406" s="37">
        <v>0.44037037037037036</v>
      </c>
      <c r="L1406" s="36">
        <v>42930</v>
      </c>
      <c r="M1406" s="38">
        <v>0.52034722222222218</v>
      </c>
    </row>
    <row r="1407" spans="1:13" ht="30" x14ac:dyDescent="0.25">
      <c r="A1407" s="33" t="s">
        <v>262</v>
      </c>
      <c r="B1407" s="34" t="str">
        <f>HYPERLINK("http://www.twitter.com/bsfc_lrc", "bsfc_lrc")</f>
        <v>bsfc_lrc</v>
      </c>
      <c r="C1407" s="33" t="s">
        <v>3372</v>
      </c>
      <c r="D1407" s="33" t="s">
        <v>3373</v>
      </c>
      <c r="E1407" s="32" t="s">
        <v>3374</v>
      </c>
      <c r="F1407" s="35">
        <v>151</v>
      </c>
      <c r="G1407" s="35">
        <v>48</v>
      </c>
      <c r="H1407" s="35">
        <v>28</v>
      </c>
      <c r="I1407" s="35">
        <v>1</v>
      </c>
      <c r="J1407" s="36">
        <v>41712</v>
      </c>
      <c r="K1407" s="37">
        <v>0.48715277777777777</v>
      </c>
      <c r="L1407" s="36">
        <v>42403</v>
      </c>
      <c r="M1407" s="38">
        <v>0.38313657407407403</v>
      </c>
    </row>
    <row r="1408" spans="1:13" x14ac:dyDescent="0.25">
      <c r="A1408" s="33" t="s">
        <v>262</v>
      </c>
      <c r="B1408" s="34" t="str">
        <f>HYPERLINK("http://www.twitter.com/CarrHillLRC", "CarrHillLRC")</f>
        <v>CarrHillLRC</v>
      </c>
      <c r="C1408" s="33" t="s">
        <v>3545</v>
      </c>
      <c r="F1408" s="35">
        <v>159</v>
      </c>
      <c r="G1408" s="35">
        <v>23</v>
      </c>
      <c r="H1408" s="35">
        <v>27</v>
      </c>
      <c r="I1408" s="35">
        <v>1</v>
      </c>
      <c r="J1408" s="36">
        <v>42803</v>
      </c>
      <c r="K1408" s="37">
        <v>0.54387731481481483</v>
      </c>
      <c r="L1408" s="36">
        <v>42922</v>
      </c>
      <c r="M1408" s="38">
        <v>0.62531250000000005</v>
      </c>
    </row>
    <row r="1409" spans="1:13" ht="30" x14ac:dyDescent="0.25">
      <c r="A1409" s="33" t="s">
        <v>262</v>
      </c>
      <c r="B1409" s="34" t="str">
        <f>HYPERLINK("http://www.twitter.com/SchLibrarianUK", "SchLibrarianUK")</f>
        <v>SchLibrarianUK</v>
      </c>
      <c r="C1409" s="33" t="s">
        <v>3196</v>
      </c>
      <c r="E1409" s="32" t="s">
        <v>3575</v>
      </c>
      <c r="F1409" s="35">
        <v>191</v>
      </c>
      <c r="G1409" s="35">
        <v>209</v>
      </c>
      <c r="H1409" s="35">
        <v>27</v>
      </c>
      <c r="I1409" s="35">
        <v>34</v>
      </c>
      <c r="J1409" s="36">
        <v>41801</v>
      </c>
      <c r="K1409" s="37">
        <v>0.55841435185185184</v>
      </c>
      <c r="L1409" s="36">
        <v>42054</v>
      </c>
      <c r="M1409" s="38">
        <v>0.5597685185185185</v>
      </c>
    </row>
    <row r="1410" spans="1:13" x14ac:dyDescent="0.25">
      <c r="A1410" s="33" t="s">
        <v>262</v>
      </c>
      <c r="B1410" s="34" t="str">
        <f>HYPERLINK("http://www.twitter.com/longsuttonscho1", "longsuttonscho1")</f>
        <v>longsuttonscho1</v>
      </c>
      <c r="C1410" s="33" t="s">
        <v>3536</v>
      </c>
      <c r="E1410" s="32" t="s">
        <v>3537</v>
      </c>
      <c r="F1410" s="35">
        <v>43</v>
      </c>
      <c r="G1410" s="35">
        <v>10</v>
      </c>
      <c r="H1410" s="35">
        <v>26</v>
      </c>
      <c r="I1410" s="35">
        <v>1</v>
      </c>
      <c r="J1410" s="36">
        <v>42864</v>
      </c>
      <c r="K1410" s="37">
        <v>0.39072916666666663</v>
      </c>
      <c r="L1410" s="36">
        <v>42894</v>
      </c>
      <c r="M1410" s="38">
        <v>0.67306712962962967</v>
      </c>
    </row>
    <row r="1411" spans="1:13" ht="45" x14ac:dyDescent="0.25">
      <c r="A1411" s="33" t="s">
        <v>262</v>
      </c>
      <c r="B1411" s="34" t="str">
        <f>HYPERLINK("http://www.twitter.com/ChestnutsLib", "ChestnutsLib")</f>
        <v>ChestnutsLib</v>
      </c>
      <c r="C1411" s="33" t="s">
        <v>3523</v>
      </c>
      <c r="D1411" s="33" t="s">
        <v>3524</v>
      </c>
      <c r="E1411" s="32" t="s">
        <v>3525</v>
      </c>
      <c r="F1411" s="35">
        <v>130</v>
      </c>
      <c r="G1411" s="35">
        <v>36</v>
      </c>
      <c r="H1411" s="35">
        <v>25</v>
      </c>
      <c r="I1411" s="35">
        <v>66</v>
      </c>
      <c r="J1411" s="36">
        <v>42898</v>
      </c>
      <c r="K1411" s="37">
        <v>0.56754629629629627</v>
      </c>
      <c r="L1411" s="36">
        <v>42936</v>
      </c>
      <c r="M1411" s="38">
        <v>0.7098726851851852</v>
      </c>
    </row>
    <row r="1412" spans="1:13" x14ac:dyDescent="0.25">
      <c r="A1412" s="33" t="s">
        <v>262</v>
      </c>
      <c r="B1412" s="34" t="str">
        <f>HYPERLINK("http://www.twitter.com/SBAlibrary", "SBAlibrary")</f>
        <v>SBAlibrary</v>
      </c>
      <c r="C1412" s="33" t="s">
        <v>1464</v>
      </c>
      <c r="D1412" s="33" t="s">
        <v>318</v>
      </c>
      <c r="E1412" s="32" t="s">
        <v>3241</v>
      </c>
      <c r="F1412" s="35">
        <v>77</v>
      </c>
      <c r="G1412" s="35">
        <v>77</v>
      </c>
      <c r="H1412" s="35">
        <v>24</v>
      </c>
      <c r="I1412" s="35">
        <v>21</v>
      </c>
      <c r="J1412" s="36">
        <v>42401</v>
      </c>
      <c r="K1412" s="37">
        <v>0.42550925925925925</v>
      </c>
      <c r="L1412" s="36">
        <v>42801</v>
      </c>
      <c r="M1412" s="38">
        <v>0.6237152777777778</v>
      </c>
    </row>
    <row r="1413" spans="1:13" x14ac:dyDescent="0.25">
      <c r="A1413" s="33" t="s">
        <v>262</v>
      </c>
      <c r="B1413" s="34" t="str">
        <f>HYPERLINK("http://www.twitter.com/ReptonLibrary", "ReptonLibrary")</f>
        <v>ReptonLibrary</v>
      </c>
      <c r="C1413" s="33" t="s">
        <v>2658</v>
      </c>
      <c r="D1413" s="33" t="s">
        <v>2659</v>
      </c>
      <c r="E1413" s="32" t="s">
        <v>2660</v>
      </c>
      <c r="F1413" s="35">
        <v>570</v>
      </c>
      <c r="G1413" s="35">
        <v>208</v>
      </c>
      <c r="H1413" s="35">
        <v>23</v>
      </c>
      <c r="I1413" s="35">
        <v>15</v>
      </c>
      <c r="J1413" s="36">
        <v>42321</v>
      </c>
      <c r="K1413" s="37">
        <v>0.51239583333333327</v>
      </c>
      <c r="L1413" s="36">
        <v>42910</v>
      </c>
      <c r="M1413" s="38">
        <v>0.32241898148148146</v>
      </c>
    </row>
    <row r="1414" spans="1:13" x14ac:dyDescent="0.25">
      <c r="A1414" s="33" t="s">
        <v>262</v>
      </c>
      <c r="B1414" s="34" t="str">
        <f>HYPERLINK("http://www.twitter.com/THA_Library", "THA_Library")</f>
        <v>THA_Library</v>
      </c>
      <c r="C1414" s="33" t="s">
        <v>3485</v>
      </c>
      <c r="E1414" s="32" t="s">
        <v>3486</v>
      </c>
      <c r="F1414" s="35">
        <v>82</v>
      </c>
      <c r="G1414" s="35">
        <v>21</v>
      </c>
      <c r="H1414" s="35">
        <v>17</v>
      </c>
      <c r="I1414" s="35">
        <v>1</v>
      </c>
      <c r="J1414" s="36">
        <v>41389</v>
      </c>
      <c r="K1414" s="37">
        <v>0.85732638888888879</v>
      </c>
      <c r="L1414" s="36">
        <v>41613</v>
      </c>
      <c r="M1414" s="38">
        <v>0.49708333333333332</v>
      </c>
    </row>
    <row r="1415" spans="1:13" ht="60" x14ac:dyDescent="0.25">
      <c r="A1415" s="33" t="s">
        <v>262</v>
      </c>
      <c r="B1415" s="34" t="str">
        <f>HYPERLINK("http://www.twitter.com/Fannin_Library", "Fannin_Library")</f>
        <v>Fannin_Library</v>
      </c>
      <c r="C1415" s="33" t="s">
        <v>3408</v>
      </c>
      <c r="D1415" s="33" t="s">
        <v>3409</v>
      </c>
      <c r="E1415" s="32" t="s">
        <v>3410</v>
      </c>
      <c r="F1415" s="35">
        <v>41</v>
      </c>
      <c r="G1415" s="35">
        <v>45</v>
      </c>
      <c r="H1415" s="35">
        <v>14</v>
      </c>
      <c r="I1415" s="35">
        <v>11</v>
      </c>
      <c r="J1415" s="36">
        <v>42849</v>
      </c>
      <c r="K1415" s="37">
        <v>8.3842592592592594E-2</v>
      </c>
      <c r="L1415" s="36">
        <v>42892</v>
      </c>
      <c r="M1415" s="38">
        <v>0.79553240740740738</v>
      </c>
    </row>
    <row r="1416" spans="1:13" ht="30" x14ac:dyDescent="0.25">
      <c r="A1416" s="33" t="s">
        <v>262</v>
      </c>
      <c r="B1416" s="34" t="str">
        <f>HYPERLINK("http://www.twitter.com/GstounLibrary", "GstounLibrary")</f>
        <v>GstounLibrary</v>
      </c>
      <c r="C1416" s="33" t="s">
        <v>3191</v>
      </c>
      <c r="D1416" s="33" t="s">
        <v>3192</v>
      </c>
      <c r="E1416" s="32" t="s">
        <v>3193</v>
      </c>
      <c r="F1416" s="35">
        <v>43</v>
      </c>
      <c r="G1416" s="35">
        <v>88</v>
      </c>
      <c r="H1416" s="35">
        <v>12</v>
      </c>
      <c r="I1416" s="35">
        <v>14</v>
      </c>
      <c r="J1416" s="36">
        <v>41776</v>
      </c>
      <c r="K1416" s="37">
        <v>0.40266203703703707</v>
      </c>
      <c r="L1416" s="36">
        <v>42857</v>
      </c>
      <c r="M1416" s="38">
        <v>0.57973379629629629</v>
      </c>
    </row>
    <row r="1417" spans="1:13" x14ac:dyDescent="0.25">
      <c r="A1417" s="33" t="s">
        <v>262</v>
      </c>
      <c r="B1417" s="34" t="str">
        <f>HYPERLINK("http://www.twitter.com/Library_THA", "Library_THA")</f>
        <v>Library_THA</v>
      </c>
      <c r="C1417" s="33" t="s">
        <v>3542</v>
      </c>
      <c r="D1417" s="33" t="s">
        <v>3543</v>
      </c>
      <c r="E1417" s="32" t="s">
        <v>3544</v>
      </c>
      <c r="F1417" s="35">
        <v>52</v>
      </c>
      <c r="G1417" s="35">
        <v>26</v>
      </c>
      <c r="H1417" s="35">
        <v>9</v>
      </c>
      <c r="I1417" s="35">
        <v>102</v>
      </c>
      <c r="J1417" s="36">
        <v>42824</v>
      </c>
      <c r="K1417" s="37">
        <v>0.58848379629629632</v>
      </c>
      <c r="L1417" s="36">
        <v>42869</v>
      </c>
      <c r="M1417" s="38">
        <v>0.44817129629629626</v>
      </c>
    </row>
    <row r="1418" spans="1:13" x14ac:dyDescent="0.25">
      <c r="A1418" s="33" t="s">
        <v>262</v>
      </c>
      <c r="B1418" s="34" t="str">
        <f>HYPERLINK("http://www.twitter.com/BoroughmuirLRC", "BoroughmuirLRC")</f>
        <v>BoroughmuirLRC</v>
      </c>
      <c r="C1418" s="33" t="s">
        <v>3490</v>
      </c>
      <c r="F1418" s="35">
        <v>1</v>
      </c>
      <c r="G1418" s="35">
        <v>18</v>
      </c>
      <c r="H1418" s="35">
        <v>8</v>
      </c>
      <c r="I1418" s="35">
        <v>1</v>
      </c>
      <c r="J1418" s="36">
        <v>42398</v>
      </c>
      <c r="K1418" s="37">
        <v>0.40842592592592591</v>
      </c>
      <c r="L1418" s="36">
        <v>42887</v>
      </c>
      <c r="M1418" s="38">
        <v>0.30989583333333331</v>
      </c>
    </row>
    <row r="1419" spans="1:13" ht="45" x14ac:dyDescent="0.25">
      <c r="A1419" s="33" t="s">
        <v>262</v>
      </c>
      <c r="B1419" s="34" t="str">
        <f>HYPERLINK("http://www.twitter.com/TheBACALibrary", "TheBACALibrary")</f>
        <v>TheBACALibrary</v>
      </c>
      <c r="C1419" s="33" t="s">
        <v>3175</v>
      </c>
      <c r="D1419" s="33" t="s">
        <v>2102</v>
      </c>
      <c r="E1419" s="32" t="s">
        <v>3176</v>
      </c>
      <c r="F1419" s="35">
        <v>179</v>
      </c>
      <c r="G1419" s="35">
        <v>91</v>
      </c>
      <c r="H1419" s="35">
        <v>7</v>
      </c>
      <c r="I1419" s="35">
        <v>18</v>
      </c>
      <c r="J1419" s="36">
        <v>42488</v>
      </c>
      <c r="K1419" s="37">
        <v>0.44137731481481479</v>
      </c>
      <c r="L1419" s="36">
        <v>42744</v>
      </c>
      <c r="M1419" s="38">
        <v>0.48001157407407408</v>
      </c>
    </row>
    <row r="1420" spans="1:13" x14ac:dyDescent="0.25">
      <c r="A1420" s="33" t="s">
        <v>262</v>
      </c>
      <c r="B1420" s="34" t="str">
        <f>HYPERLINK("http://www.twitter.com/FarlingayeLibr", "FarlingayeLibr")</f>
        <v>FarlingayeLibr</v>
      </c>
      <c r="C1420" s="33" t="s">
        <v>3515</v>
      </c>
      <c r="D1420" s="33" t="s">
        <v>3516</v>
      </c>
      <c r="E1420" s="32" t="s">
        <v>3517</v>
      </c>
      <c r="F1420" s="35">
        <v>25</v>
      </c>
      <c r="G1420" s="35">
        <v>15</v>
      </c>
      <c r="H1420" s="35">
        <v>4</v>
      </c>
      <c r="I1420" s="35">
        <v>0</v>
      </c>
      <c r="J1420" s="36">
        <v>42866</v>
      </c>
      <c r="K1420" s="37">
        <v>0.48461805555555554</v>
      </c>
      <c r="L1420" s="36">
        <v>42893</v>
      </c>
      <c r="M1420" s="38">
        <v>0.6095949074074074</v>
      </c>
    </row>
    <row r="1421" spans="1:13" x14ac:dyDescent="0.25">
      <c r="A1421" s="33" t="s">
        <v>262</v>
      </c>
      <c r="B1421" s="34" t="str">
        <f>HYPERLINK("http://www.twitter.com/Walsall_Col_LRC", "Walsall_Col_LRC")</f>
        <v>Walsall_Col_LRC</v>
      </c>
      <c r="C1421" s="33" t="s">
        <v>3463</v>
      </c>
      <c r="E1421" s="32" t="s">
        <v>3464</v>
      </c>
      <c r="F1421" s="35">
        <v>10</v>
      </c>
      <c r="G1421" s="35">
        <v>25</v>
      </c>
      <c r="H1421" s="35">
        <v>4</v>
      </c>
      <c r="I1421" s="35">
        <v>0</v>
      </c>
      <c r="J1421" s="36">
        <v>39988</v>
      </c>
      <c r="K1421" s="37">
        <v>0.4629861111111111</v>
      </c>
      <c r="L1421" s="36">
        <v>40050</v>
      </c>
      <c r="M1421" s="38">
        <v>0.48995370370370367</v>
      </c>
    </row>
    <row r="1422" spans="1:13" x14ac:dyDescent="0.25">
      <c r="A1422" s="33" t="s">
        <v>262</v>
      </c>
      <c r="B1422" s="34" t="str">
        <f>HYPERLINK("http://www.twitter.com/LibraryLwc", "LibraryLwc")</f>
        <v>LibraryLwc</v>
      </c>
      <c r="C1422" s="33" t="s">
        <v>3510</v>
      </c>
      <c r="F1422" s="35">
        <v>63</v>
      </c>
      <c r="G1422" s="35">
        <v>13</v>
      </c>
      <c r="H1422" s="35">
        <v>3</v>
      </c>
      <c r="I1422" s="35">
        <v>1</v>
      </c>
      <c r="J1422" s="36">
        <v>42815</v>
      </c>
      <c r="K1422" s="37">
        <v>0.56436342592592592</v>
      </c>
      <c r="L1422" s="36">
        <v>42892</v>
      </c>
      <c r="M1422" s="38">
        <v>0.5322337962962963</v>
      </c>
    </row>
    <row r="1423" spans="1:13" ht="30" x14ac:dyDescent="0.25">
      <c r="A1423" s="33" t="s">
        <v>262</v>
      </c>
      <c r="B1423" s="34" t="str">
        <f>HYPERLINK("http://www.twitter.com/KSSCLibrary", "KSSCLibrary")</f>
        <v>KSSCLibrary</v>
      </c>
      <c r="C1423" s="33" t="s">
        <v>3478</v>
      </c>
      <c r="D1423" s="33" t="s">
        <v>2030</v>
      </c>
      <c r="E1423" s="32" t="s">
        <v>3479</v>
      </c>
      <c r="F1423" s="35">
        <v>31</v>
      </c>
      <c r="G1423" s="35">
        <v>22</v>
      </c>
      <c r="H1423" s="35">
        <v>2</v>
      </c>
      <c r="I1423" s="35">
        <v>0</v>
      </c>
      <c r="J1423" s="36">
        <v>41246</v>
      </c>
      <c r="K1423" s="37">
        <v>0.67329861111111111</v>
      </c>
      <c r="L1423" s="36">
        <v>41256</v>
      </c>
      <c r="M1423" s="38">
        <v>0.46752314814814816</v>
      </c>
    </row>
    <row r="1424" spans="1:13" x14ac:dyDescent="0.25">
      <c r="A1424" s="33" t="s">
        <v>262</v>
      </c>
      <c r="B1424" s="34" t="str">
        <f>HYPERLINK("http://www.twitter.com/Harrislibrary1", "Harrislibrary1")</f>
        <v>Harrislibrary1</v>
      </c>
      <c r="C1424" s="33" t="s">
        <v>3411</v>
      </c>
      <c r="F1424" s="35">
        <v>3</v>
      </c>
      <c r="G1424" s="35">
        <v>42</v>
      </c>
      <c r="H1424" s="35">
        <v>2</v>
      </c>
      <c r="I1424" s="35">
        <v>0</v>
      </c>
      <c r="J1424" s="36">
        <v>42774</v>
      </c>
      <c r="K1424" s="37">
        <v>0.47790509259259256</v>
      </c>
      <c r="L1424" s="36">
        <v>42793</v>
      </c>
      <c r="M1424" s="38">
        <v>0.43873842592592593</v>
      </c>
    </row>
    <row r="1425" spans="1:10" x14ac:dyDescent="0.25">
      <c r="A1425" s="35"/>
      <c r="B1425" s="41"/>
      <c r="J1425" s="36"/>
    </row>
    <row r="1426" spans="1:10" x14ac:dyDescent="0.25">
      <c r="A1426" s="35"/>
      <c r="J1426" s="36"/>
    </row>
    <row r="1427" spans="1:10" x14ac:dyDescent="0.25">
      <c r="A1427" s="35"/>
      <c r="H1427" s="42"/>
      <c r="J1427" s="36"/>
    </row>
    <row r="1428" spans="1:10" x14ac:dyDescent="0.25">
      <c r="A1428" s="35"/>
      <c r="J1428" s="36"/>
    </row>
    <row r="1429" spans="1:10" x14ac:dyDescent="0.25">
      <c r="A1429" s="35"/>
      <c r="J1429" s="36"/>
    </row>
    <row r="1430" spans="1:10" x14ac:dyDescent="0.25">
      <c r="A1430" s="35"/>
      <c r="J1430" s="36"/>
    </row>
    <row r="1431" spans="1:10" x14ac:dyDescent="0.25">
      <c r="A1431" s="35"/>
      <c r="J1431" s="36"/>
    </row>
    <row r="1432" spans="1:10" x14ac:dyDescent="0.25">
      <c r="A1432" s="35"/>
      <c r="J1432" s="36"/>
    </row>
    <row r="1433" spans="1:10" x14ac:dyDescent="0.25">
      <c r="A1433" s="35"/>
      <c r="J1433" s="36"/>
    </row>
    <row r="1434" spans="1:10" x14ac:dyDescent="0.25">
      <c r="A1434" s="35"/>
      <c r="J1434" s="36"/>
    </row>
    <row r="1435" spans="1:10" x14ac:dyDescent="0.25">
      <c r="A1435" s="35"/>
      <c r="J1435" s="36"/>
    </row>
    <row r="1436" spans="1:10" x14ac:dyDescent="0.25">
      <c r="A1436" s="35"/>
      <c r="J1436" s="36"/>
    </row>
    <row r="1437" spans="1:10" x14ac:dyDescent="0.25">
      <c r="A1437" s="35"/>
      <c r="J1437" s="36"/>
    </row>
    <row r="1438" spans="1:10" x14ac:dyDescent="0.25">
      <c r="A1438" s="35"/>
      <c r="J1438" s="36"/>
    </row>
    <row r="1439" spans="1:10" x14ac:dyDescent="0.25">
      <c r="A1439" s="35"/>
      <c r="J1439" s="36"/>
    </row>
    <row r="1440" spans="1:10" x14ac:dyDescent="0.25">
      <c r="A1440" s="35"/>
      <c r="J1440" s="36"/>
    </row>
    <row r="1441" spans="1:10" x14ac:dyDescent="0.25">
      <c r="A1441" s="35"/>
      <c r="J1441" s="36"/>
    </row>
    <row r="1442" spans="1:10" x14ac:dyDescent="0.25">
      <c r="A1442" s="35"/>
      <c r="J1442" s="36"/>
    </row>
    <row r="1443" spans="1:10" x14ac:dyDescent="0.25">
      <c r="A1443" s="35"/>
      <c r="J1443" s="36"/>
    </row>
    <row r="1444" spans="1:10" x14ac:dyDescent="0.25">
      <c r="A1444" s="35"/>
      <c r="J1444" s="36"/>
    </row>
    <row r="1445" spans="1:10" x14ac:dyDescent="0.25">
      <c r="A1445" s="35"/>
      <c r="J1445" s="36"/>
    </row>
    <row r="1446" spans="1:10" x14ac:dyDescent="0.25">
      <c r="A1446" s="35"/>
      <c r="J1446" s="36"/>
    </row>
    <row r="1447" spans="1:10" x14ac:dyDescent="0.25">
      <c r="A1447" s="35"/>
      <c r="J1447" s="36"/>
    </row>
    <row r="1448" spans="1:10" x14ac:dyDescent="0.25">
      <c r="A1448" s="35"/>
      <c r="J1448" s="36"/>
    </row>
    <row r="1449" spans="1:10" x14ac:dyDescent="0.25">
      <c r="A1449" s="35"/>
      <c r="J1449" s="36"/>
    </row>
    <row r="1450" spans="1:10" x14ac:dyDescent="0.25">
      <c r="A1450" s="35"/>
      <c r="J1450" s="36"/>
    </row>
    <row r="1451" spans="1:10" x14ac:dyDescent="0.25">
      <c r="A1451" s="35"/>
      <c r="J1451" s="36"/>
    </row>
    <row r="1452" spans="1:10" x14ac:dyDescent="0.25">
      <c r="A1452" s="35"/>
      <c r="J1452" s="36"/>
    </row>
    <row r="1453" spans="1:10" x14ac:dyDescent="0.25">
      <c r="A1453" s="35"/>
      <c r="J1453" s="36"/>
    </row>
    <row r="1454" spans="1:10" x14ac:dyDescent="0.25">
      <c r="A1454" s="35"/>
      <c r="J1454" s="36"/>
    </row>
    <row r="1455" spans="1:10" x14ac:dyDescent="0.25">
      <c r="A1455" s="35"/>
      <c r="J1455" s="36"/>
    </row>
    <row r="1456" spans="1:10" x14ac:dyDescent="0.25">
      <c r="A1456" s="35"/>
      <c r="J1456" s="36"/>
    </row>
    <row r="1457" spans="1:10" x14ac:dyDescent="0.25">
      <c r="A1457" s="35"/>
      <c r="J1457" s="36"/>
    </row>
    <row r="1458" spans="1:10" x14ac:dyDescent="0.25">
      <c r="A1458" s="35"/>
      <c r="J1458" s="36"/>
    </row>
    <row r="1459" spans="1:10" x14ac:dyDescent="0.25">
      <c r="A1459" s="35"/>
      <c r="J1459" s="36"/>
    </row>
    <row r="1460" spans="1:10" x14ac:dyDescent="0.25">
      <c r="A1460" s="35"/>
      <c r="J1460" s="36"/>
    </row>
    <row r="1461" spans="1:10" x14ac:dyDescent="0.25">
      <c r="A1461" s="35"/>
      <c r="J1461" s="36"/>
    </row>
    <row r="1462" spans="1:10" x14ac:dyDescent="0.25">
      <c r="A1462" s="35"/>
      <c r="J1462" s="36"/>
    </row>
    <row r="1463" spans="1:10" x14ac:dyDescent="0.25">
      <c r="A1463" s="35"/>
      <c r="J1463" s="36"/>
    </row>
    <row r="1464" spans="1:10" x14ac:dyDescent="0.25">
      <c r="A1464" s="35"/>
      <c r="J1464" s="36"/>
    </row>
    <row r="1465" spans="1:10" x14ac:dyDescent="0.25">
      <c r="A1465" s="35"/>
      <c r="J1465" s="36"/>
    </row>
    <row r="1466" spans="1:10" x14ac:dyDescent="0.25">
      <c r="A1466" s="35"/>
      <c r="J1466" s="36"/>
    </row>
    <row r="1467" spans="1:10" x14ac:dyDescent="0.25">
      <c r="A1467" s="35"/>
    </row>
    <row r="1468" spans="1:10" x14ac:dyDescent="0.25">
      <c r="A1468" s="35"/>
      <c r="J1468" s="36"/>
    </row>
    <row r="1469" spans="1:10" x14ac:dyDescent="0.25">
      <c r="A1469" s="35"/>
      <c r="J1469" s="36"/>
    </row>
    <row r="1470" spans="1:10" x14ac:dyDescent="0.25">
      <c r="A1470" s="35"/>
      <c r="J1470" s="36"/>
    </row>
    <row r="1471" spans="1:10" x14ac:dyDescent="0.25">
      <c r="A1471" s="35"/>
      <c r="J1471" s="36"/>
    </row>
    <row r="1472" spans="1:10" x14ac:dyDescent="0.25">
      <c r="A1472" s="35"/>
      <c r="J1472" s="36"/>
    </row>
    <row r="1473" spans="1:10" x14ac:dyDescent="0.25">
      <c r="A1473" s="35"/>
      <c r="J1473" s="36"/>
    </row>
    <row r="1474" spans="1:10" x14ac:dyDescent="0.25">
      <c r="A1474" s="35"/>
      <c r="J1474" s="36"/>
    </row>
    <row r="1475" spans="1:10" x14ac:dyDescent="0.25">
      <c r="A1475" s="35"/>
      <c r="J1475" s="36"/>
    </row>
    <row r="1476" spans="1:10" x14ac:dyDescent="0.25">
      <c r="A1476" s="35"/>
      <c r="J1476" s="36"/>
    </row>
    <row r="1477" spans="1:10" x14ac:dyDescent="0.25">
      <c r="A1477" s="35"/>
      <c r="J1477" s="36"/>
    </row>
    <row r="1478" spans="1:10" x14ac:dyDescent="0.25">
      <c r="A1478" s="35"/>
      <c r="J1478" s="36"/>
    </row>
    <row r="1479" spans="1:10" x14ac:dyDescent="0.25">
      <c r="A1479" s="35"/>
      <c r="J1479" s="36"/>
    </row>
    <row r="1480" spans="1:10" x14ac:dyDescent="0.25">
      <c r="A1480" s="35"/>
      <c r="J1480" s="36"/>
    </row>
    <row r="1481" spans="1:10" x14ac:dyDescent="0.25">
      <c r="A1481" s="35"/>
      <c r="J1481" s="36"/>
    </row>
    <row r="1482" spans="1:10" x14ac:dyDescent="0.25">
      <c r="A1482" s="35"/>
    </row>
    <row r="1483" spans="1:10" x14ac:dyDescent="0.25">
      <c r="A1483" s="35"/>
      <c r="J1483" s="36"/>
    </row>
    <row r="1484" spans="1:10" x14ac:dyDescent="0.25">
      <c r="A1484" s="35"/>
    </row>
    <row r="1485" spans="1:10" x14ac:dyDescent="0.25">
      <c r="A1485" s="35"/>
      <c r="J1485" s="36"/>
    </row>
    <row r="1486" spans="1:10" x14ac:dyDescent="0.25">
      <c r="A1486" s="35"/>
      <c r="J1486" s="36"/>
    </row>
    <row r="1487" spans="1:10" x14ac:dyDescent="0.25">
      <c r="A1487" s="35"/>
      <c r="J1487" s="36"/>
    </row>
    <row r="1488" spans="1:10" x14ac:dyDescent="0.25">
      <c r="A1488" s="35"/>
      <c r="J1488" s="36"/>
    </row>
    <row r="1489" spans="1:10" x14ac:dyDescent="0.25">
      <c r="A1489" s="35"/>
      <c r="J1489" s="36"/>
    </row>
    <row r="1490" spans="1:10" x14ac:dyDescent="0.25">
      <c r="A1490" s="35"/>
      <c r="J1490" s="36"/>
    </row>
    <row r="1491" spans="1:10" x14ac:dyDescent="0.25">
      <c r="A1491" s="35"/>
      <c r="J1491" s="36"/>
    </row>
    <row r="1492" spans="1:10" x14ac:dyDescent="0.25">
      <c r="A1492" s="35"/>
      <c r="J1492" s="36"/>
    </row>
    <row r="1493" spans="1:10" x14ac:dyDescent="0.25">
      <c r="A1493" s="35"/>
      <c r="J1493" s="36"/>
    </row>
    <row r="1494" spans="1:10" x14ac:dyDescent="0.25">
      <c r="A1494" s="35"/>
      <c r="J1494" s="36"/>
    </row>
    <row r="1495" spans="1:10" x14ac:dyDescent="0.25">
      <c r="A1495" s="35"/>
      <c r="J1495" s="36"/>
    </row>
    <row r="1496" spans="1:10" x14ac:dyDescent="0.25">
      <c r="A1496" s="35"/>
      <c r="J1496" s="36"/>
    </row>
    <row r="1497" spans="1:10" x14ac:dyDescent="0.25">
      <c r="A1497" s="35"/>
      <c r="J1497" s="36"/>
    </row>
    <row r="1498" spans="1:10" x14ac:dyDescent="0.25">
      <c r="A1498" s="35"/>
      <c r="J1498" s="36"/>
    </row>
    <row r="1499" spans="1:10" x14ac:dyDescent="0.25">
      <c r="A1499" s="35"/>
      <c r="J1499" s="36"/>
    </row>
    <row r="1500" spans="1:10" x14ac:dyDescent="0.25">
      <c r="A1500" s="35"/>
    </row>
    <row r="1501" spans="1:10" x14ac:dyDescent="0.25">
      <c r="A1501" s="35"/>
      <c r="J1501" s="36"/>
    </row>
    <row r="1502" spans="1:10" x14ac:dyDescent="0.25">
      <c r="A1502" s="35"/>
    </row>
    <row r="1503" spans="1:10" x14ac:dyDescent="0.25">
      <c r="A1503" s="35"/>
      <c r="J1503" s="36"/>
    </row>
    <row r="1504" spans="1:10" x14ac:dyDescent="0.25">
      <c r="A1504" s="35"/>
      <c r="J1504" s="36"/>
    </row>
    <row r="1505" spans="1:10" x14ac:dyDescent="0.25">
      <c r="A1505" s="35"/>
      <c r="J1505" s="36"/>
    </row>
    <row r="1506" spans="1:10" x14ac:dyDescent="0.25">
      <c r="A1506" s="35"/>
      <c r="J1506" s="36"/>
    </row>
    <row r="1507" spans="1:10" x14ac:dyDescent="0.25">
      <c r="A1507" s="35"/>
      <c r="J1507" s="36"/>
    </row>
    <row r="1508" spans="1:10" x14ac:dyDescent="0.25">
      <c r="A1508" s="35"/>
      <c r="J1508" s="36"/>
    </row>
    <row r="1509" spans="1:10" x14ac:dyDescent="0.25">
      <c r="A1509" s="35"/>
      <c r="J1509" s="36"/>
    </row>
    <row r="1510" spans="1:10" x14ac:dyDescent="0.25">
      <c r="A1510" s="35"/>
      <c r="J1510" s="36"/>
    </row>
    <row r="1511" spans="1:10" x14ac:dyDescent="0.25">
      <c r="A1511" s="35"/>
      <c r="J1511" s="36"/>
    </row>
    <row r="1512" spans="1:10" x14ac:dyDescent="0.25">
      <c r="A1512" s="35"/>
      <c r="J1512" s="36"/>
    </row>
    <row r="1513" spans="1:10" x14ac:dyDescent="0.25">
      <c r="A1513" s="35"/>
      <c r="J1513" s="36"/>
    </row>
    <row r="1514" spans="1:10" x14ac:dyDescent="0.25">
      <c r="A1514" s="35"/>
      <c r="J1514" s="36"/>
    </row>
    <row r="1515" spans="1:10" x14ac:dyDescent="0.25">
      <c r="A1515" s="35"/>
      <c r="J1515" s="36"/>
    </row>
    <row r="1516" spans="1:10" x14ac:dyDescent="0.25">
      <c r="A1516" s="35"/>
      <c r="J1516" s="36"/>
    </row>
    <row r="1517" spans="1:10" x14ac:dyDescent="0.25">
      <c r="A1517" s="35"/>
      <c r="J1517" s="36"/>
    </row>
    <row r="1518" spans="1:10" x14ac:dyDescent="0.25">
      <c r="A1518" s="35"/>
      <c r="J1518" s="36"/>
    </row>
    <row r="1519" spans="1:10" x14ac:dyDescent="0.25">
      <c r="A1519" s="35"/>
      <c r="J1519" s="36"/>
    </row>
    <row r="1520" spans="1:10" x14ac:dyDescent="0.25">
      <c r="A1520" s="35"/>
      <c r="J1520" s="36"/>
    </row>
    <row r="1521" spans="1:10" x14ac:dyDescent="0.25">
      <c r="A1521" s="35"/>
      <c r="J1521" s="36"/>
    </row>
    <row r="1522" spans="1:10" x14ac:dyDescent="0.25">
      <c r="A1522" s="35"/>
      <c r="J1522" s="36"/>
    </row>
    <row r="1523" spans="1:10" x14ac:dyDescent="0.25">
      <c r="A1523" s="35"/>
      <c r="J1523" s="36"/>
    </row>
    <row r="1524" spans="1:10" x14ac:dyDescent="0.25">
      <c r="A1524" s="35"/>
      <c r="J1524" s="36"/>
    </row>
    <row r="1525" spans="1:10" x14ac:dyDescent="0.25">
      <c r="A1525" s="35"/>
    </row>
    <row r="1526" spans="1:10" x14ac:dyDescent="0.25">
      <c r="A1526" s="35"/>
      <c r="J1526" s="36"/>
    </row>
    <row r="1527" spans="1:10" x14ac:dyDescent="0.25">
      <c r="A1527" s="35"/>
      <c r="J1527" s="36"/>
    </row>
    <row r="1528" spans="1:10" x14ac:dyDescent="0.25">
      <c r="A1528" s="35"/>
      <c r="J1528" s="36"/>
    </row>
    <row r="1529" spans="1:10" x14ac:dyDescent="0.25">
      <c r="A1529" s="35"/>
      <c r="J1529" s="36"/>
    </row>
    <row r="1530" spans="1:10" x14ac:dyDescent="0.25">
      <c r="A1530" s="35"/>
      <c r="J1530" s="36"/>
    </row>
    <row r="1531" spans="1:10" x14ac:dyDescent="0.25">
      <c r="A1531" s="35"/>
      <c r="J1531" s="36"/>
    </row>
    <row r="1532" spans="1:10" x14ac:dyDescent="0.25">
      <c r="A1532" s="35"/>
      <c r="J1532" s="36"/>
    </row>
    <row r="1533" spans="1:10" x14ac:dyDescent="0.25">
      <c r="A1533" s="35"/>
    </row>
    <row r="1534" spans="1:10" x14ac:dyDescent="0.25">
      <c r="A1534" s="35"/>
      <c r="J1534" s="36"/>
    </row>
    <row r="1535" spans="1:10" x14ac:dyDescent="0.25">
      <c r="A1535" s="35"/>
      <c r="J1535" s="36"/>
    </row>
    <row r="1536" spans="1:10" x14ac:dyDescent="0.25">
      <c r="A1536" s="35"/>
      <c r="J1536" s="36"/>
    </row>
    <row r="1537" spans="1:10" x14ac:dyDescent="0.25">
      <c r="A1537" s="35"/>
      <c r="J1537" s="36"/>
    </row>
    <row r="1538" spans="1:10" x14ac:dyDescent="0.25">
      <c r="A1538" s="35"/>
      <c r="J1538" s="36"/>
    </row>
    <row r="1539" spans="1:10" x14ac:dyDescent="0.25">
      <c r="A1539" s="35"/>
      <c r="J1539" s="36"/>
    </row>
    <row r="1540" spans="1:10" x14ac:dyDescent="0.25">
      <c r="A1540" s="35"/>
      <c r="J1540" s="36"/>
    </row>
    <row r="1541" spans="1:10" x14ac:dyDescent="0.25">
      <c r="A1541" s="35"/>
      <c r="J1541" s="36"/>
    </row>
    <row r="1542" spans="1:10" x14ac:dyDescent="0.25">
      <c r="A1542" s="35"/>
      <c r="J1542" s="36"/>
    </row>
    <row r="1543" spans="1:10" x14ac:dyDescent="0.25">
      <c r="A1543" s="35"/>
      <c r="J1543" s="36"/>
    </row>
    <row r="1544" spans="1:10" x14ac:dyDescent="0.25">
      <c r="A1544" s="35"/>
      <c r="J1544" s="36"/>
    </row>
    <row r="1545" spans="1:10" x14ac:dyDescent="0.25">
      <c r="A1545" s="35"/>
      <c r="J1545" s="36"/>
    </row>
    <row r="1546" spans="1:10" x14ac:dyDescent="0.25">
      <c r="A1546" s="35"/>
      <c r="J1546" s="36"/>
    </row>
    <row r="1547" spans="1:10" x14ac:dyDescent="0.25">
      <c r="A1547" s="35"/>
    </row>
    <row r="1548" spans="1:10" x14ac:dyDescent="0.25">
      <c r="A1548" s="35"/>
      <c r="J1548" s="36"/>
    </row>
    <row r="1549" spans="1:10" x14ac:dyDescent="0.25">
      <c r="A1549" s="35"/>
      <c r="J1549" s="36"/>
    </row>
    <row r="1550" spans="1:10" x14ac:dyDescent="0.25">
      <c r="A1550" s="35"/>
      <c r="J1550" s="36"/>
    </row>
    <row r="1551" spans="1:10" x14ac:dyDescent="0.25">
      <c r="A1551" s="35"/>
      <c r="J1551" s="36"/>
    </row>
    <row r="1552" spans="1:10" x14ac:dyDescent="0.25">
      <c r="A1552" s="35"/>
      <c r="J1552" s="36"/>
    </row>
    <row r="1553" spans="1:10" x14ac:dyDescent="0.25">
      <c r="A1553" s="35"/>
      <c r="J1553" s="36"/>
    </row>
    <row r="1554" spans="1:10" x14ac:dyDescent="0.25">
      <c r="A1554" s="35"/>
      <c r="J1554" s="36"/>
    </row>
    <row r="1555" spans="1:10" x14ac:dyDescent="0.25">
      <c r="A1555" s="35"/>
      <c r="J1555" s="36"/>
    </row>
    <row r="1556" spans="1:10" x14ac:dyDescent="0.25">
      <c r="A1556" s="35"/>
      <c r="J1556" s="36"/>
    </row>
    <row r="1557" spans="1:10" x14ac:dyDescent="0.25">
      <c r="A1557" s="35"/>
      <c r="J1557" s="36"/>
    </row>
    <row r="1558" spans="1:10" x14ac:dyDescent="0.25">
      <c r="A1558" s="35"/>
      <c r="J1558" s="36"/>
    </row>
    <row r="1559" spans="1:10" x14ac:dyDescent="0.25">
      <c r="A1559" s="35"/>
      <c r="J1559" s="36"/>
    </row>
    <row r="1560" spans="1:10" x14ac:dyDescent="0.25">
      <c r="A1560" s="35"/>
      <c r="J1560" s="36"/>
    </row>
    <row r="1561" spans="1:10" x14ac:dyDescent="0.25">
      <c r="A1561" s="35"/>
      <c r="J1561" s="36"/>
    </row>
    <row r="1562" spans="1:10" x14ac:dyDescent="0.25">
      <c r="A1562" s="35"/>
      <c r="J1562" s="36"/>
    </row>
    <row r="1563" spans="1:10" x14ac:dyDescent="0.25">
      <c r="A1563" s="35"/>
    </row>
    <row r="1564" spans="1:10" x14ac:dyDescent="0.25">
      <c r="A1564" s="35"/>
      <c r="J1564" s="36"/>
    </row>
    <row r="1565" spans="1:10" x14ac:dyDescent="0.25">
      <c r="A1565" s="35"/>
      <c r="J1565" s="36"/>
    </row>
    <row r="1566" spans="1:10" x14ac:dyDescent="0.25">
      <c r="A1566" s="35"/>
      <c r="J1566" s="36"/>
    </row>
    <row r="1567" spans="1:10" x14ac:dyDescent="0.25">
      <c r="A1567" s="35"/>
      <c r="J1567" s="36"/>
    </row>
    <row r="1568" spans="1:10" x14ac:dyDescent="0.25">
      <c r="A1568" s="35"/>
      <c r="J1568" s="36"/>
    </row>
    <row r="1569" spans="1:10" x14ac:dyDescent="0.25">
      <c r="A1569" s="35"/>
      <c r="J1569" s="36"/>
    </row>
    <row r="1570" spans="1:10" x14ac:dyDescent="0.25">
      <c r="A1570" s="35"/>
      <c r="J1570" s="36"/>
    </row>
    <row r="1571" spans="1:10" x14ac:dyDescent="0.25">
      <c r="A1571" s="35"/>
      <c r="J1571" s="36"/>
    </row>
    <row r="1572" spans="1:10" x14ac:dyDescent="0.25">
      <c r="A1572" s="35"/>
      <c r="J1572" s="36"/>
    </row>
    <row r="1573" spans="1:10" x14ac:dyDescent="0.25">
      <c r="A1573" s="35"/>
      <c r="J1573" s="36"/>
    </row>
    <row r="1574" spans="1:10" x14ac:dyDescent="0.25">
      <c r="A1574" s="35"/>
      <c r="J1574" s="36"/>
    </row>
    <row r="1575" spans="1:10" x14ac:dyDescent="0.25">
      <c r="A1575" s="35"/>
      <c r="J1575" s="36"/>
    </row>
    <row r="1576" spans="1:10" x14ac:dyDescent="0.25">
      <c r="A1576" s="35"/>
      <c r="J1576" s="36"/>
    </row>
    <row r="1577" spans="1:10" x14ac:dyDescent="0.25">
      <c r="A1577" s="35"/>
      <c r="J1577" s="36"/>
    </row>
    <row r="1578" spans="1:10" x14ac:dyDescent="0.25">
      <c r="A1578" s="35"/>
      <c r="J1578" s="36"/>
    </row>
    <row r="1579" spans="1:10" x14ac:dyDescent="0.25">
      <c r="A1579" s="35"/>
      <c r="J1579" s="36"/>
    </row>
    <row r="1580" spans="1:10" x14ac:dyDescent="0.25">
      <c r="A1580" s="35"/>
      <c r="J1580" s="36"/>
    </row>
    <row r="1581" spans="1:10" x14ac:dyDescent="0.25">
      <c r="A1581" s="35"/>
      <c r="J1581" s="36"/>
    </row>
    <row r="1582" spans="1:10" x14ac:dyDescent="0.25">
      <c r="A1582" s="35"/>
      <c r="J1582" s="36"/>
    </row>
    <row r="1583" spans="1:10" x14ac:dyDescent="0.25">
      <c r="A1583" s="35"/>
      <c r="J1583" s="36"/>
    </row>
    <row r="1584" spans="1:10" x14ac:dyDescent="0.25">
      <c r="A1584" s="35"/>
      <c r="J1584" s="36"/>
    </row>
    <row r="1585" spans="1:10" x14ac:dyDescent="0.25">
      <c r="A1585" s="35"/>
      <c r="J1585" s="36"/>
    </row>
    <row r="1586" spans="1:10" x14ac:dyDescent="0.25">
      <c r="A1586" s="35"/>
      <c r="J1586" s="36"/>
    </row>
    <row r="1587" spans="1:10" x14ac:dyDescent="0.25">
      <c r="A1587" s="35"/>
      <c r="J1587" s="36"/>
    </row>
    <row r="1588" spans="1:10" x14ac:dyDescent="0.25">
      <c r="A1588" s="35"/>
      <c r="J1588" s="36"/>
    </row>
    <row r="1589" spans="1:10" x14ac:dyDescent="0.25">
      <c r="A1589" s="35"/>
      <c r="J1589" s="36"/>
    </row>
    <row r="1590" spans="1:10" x14ac:dyDescent="0.25">
      <c r="A1590" s="35"/>
      <c r="J1590" s="36"/>
    </row>
    <row r="1591" spans="1:10" x14ac:dyDescent="0.25">
      <c r="A1591" s="35"/>
      <c r="J1591" s="36"/>
    </row>
    <row r="1592" spans="1:10" x14ac:dyDescent="0.25">
      <c r="A1592" s="35"/>
      <c r="J1592" s="36"/>
    </row>
    <row r="1593" spans="1:10" x14ac:dyDescent="0.25">
      <c r="A1593" s="35"/>
      <c r="J1593" s="36"/>
    </row>
    <row r="1594" spans="1:10" x14ac:dyDescent="0.25">
      <c r="A1594" s="35"/>
      <c r="J1594" s="36"/>
    </row>
    <row r="1595" spans="1:10" x14ac:dyDescent="0.25">
      <c r="A1595" s="35"/>
      <c r="J1595" s="36"/>
    </row>
    <row r="1596" spans="1:10" x14ac:dyDescent="0.25">
      <c r="A1596" s="35"/>
      <c r="J1596" s="36"/>
    </row>
    <row r="1597" spans="1:10" x14ac:dyDescent="0.25">
      <c r="A1597" s="35"/>
      <c r="J1597" s="36"/>
    </row>
    <row r="1598" spans="1:10" x14ac:dyDescent="0.25">
      <c r="A1598" s="35"/>
      <c r="J1598" s="36"/>
    </row>
    <row r="1599" spans="1:10" x14ac:dyDescent="0.25">
      <c r="A1599" s="35"/>
      <c r="J1599" s="36"/>
    </row>
    <row r="1600" spans="1:10" x14ac:dyDescent="0.25">
      <c r="A1600" s="35"/>
      <c r="J1600" s="36"/>
    </row>
    <row r="1601" spans="1:10" x14ac:dyDescent="0.25">
      <c r="A1601" s="35"/>
      <c r="J1601" s="36"/>
    </row>
    <row r="1602" spans="1:10" x14ac:dyDescent="0.25">
      <c r="A1602" s="35"/>
      <c r="J1602" s="36"/>
    </row>
    <row r="1603" spans="1:10" x14ac:dyDescent="0.25">
      <c r="A1603" s="35"/>
      <c r="J1603" s="36"/>
    </row>
    <row r="1604" spans="1:10" x14ac:dyDescent="0.25">
      <c r="A1604" s="35"/>
      <c r="J1604" s="36"/>
    </row>
    <row r="1605" spans="1:10" x14ac:dyDescent="0.25">
      <c r="A1605" s="35"/>
      <c r="J1605" s="36"/>
    </row>
  </sheetData>
  <sortState xmlns:xlrd2="http://schemas.microsoft.com/office/spreadsheetml/2017/richdata2" ref="A4:VNW1607">
    <sortCondition ref="A2:A1607"/>
    <sortCondition descending="1" ref="G2:G1607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53"/>
  <sheetViews>
    <sheetView workbookViewId="0">
      <pane ySplit="1" topLeftCell="A2" activePane="bottomLeft" state="frozen"/>
      <selection pane="bottomLeft" sqref="A1:XFD1048576"/>
    </sheetView>
  </sheetViews>
  <sheetFormatPr defaultRowHeight="15" x14ac:dyDescent="0.25"/>
  <cols>
    <col min="1" max="1" width="7.42578125" style="7" customWidth="1"/>
    <col min="2" max="2" width="16.28515625" style="7" customWidth="1"/>
    <col min="3" max="3" width="14.28515625" style="8" customWidth="1"/>
    <col min="4" max="4" width="13.5703125" style="8" customWidth="1"/>
    <col min="5" max="6" width="11.85546875" style="3" customWidth="1"/>
    <col min="7" max="7" width="9.5703125" style="3" customWidth="1"/>
    <col min="8" max="8" width="9.140625" style="3"/>
    <col min="9" max="9" width="15.28515625" style="9" customWidth="1"/>
    <col min="10" max="10" width="17.140625" style="9" customWidth="1"/>
    <col min="11" max="16384" width="9.140625" style="45"/>
  </cols>
  <sheetData>
    <row r="1" spans="1:16" s="46" customFormat="1" x14ac:dyDescent="0.25">
      <c r="A1" s="22" t="s">
        <v>0</v>
      </c>
      <c r="B1" s="5" t="s">
        <v>3739</v>
      </c>
      <c r="C1" s="5" t="s">
        <v>1</v>
      </c>
      <c r="D1" s="5" t="s">
        <v>2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23" t="s">
        <v>3741</v>
      </c>
      <c r="L1" s="54" t="s">
        <v>13530</v>
      </c>
      <c r="M1" s="55"/>
      <c r="N1" s="55"/>
      <c r="O1" s="55"/>
      <c r="P1" s="56"/>
    </row>
    <row r="2" spans="1:16" ht="30" x14ac:dyDescent="0.25">
      <c r="A2" s="18" t="s">
        <v>14</v>
      </c>
      <c r="B2" s="12" t="str">
        <f>HYPERLINK("http://www.twitter.com/hudlibbooks", "hudlibbooks")</f>
        <v>hudlibbooks</v>
      </c>
      <c r="C2" s="10" t="s">
        <v>2368</v>
      </c>
      <c r="D2" s="10" t="s">
        <v>2369</v>
      </c>
      <c r="E2" s="13">
        <v>0</v>
      </c>
      <c r="F2" s="13">
        <v>270</v>
      </c>
      <c r="G2" s="13">
        <v>186554</v>
      </c>
      <c r="H2" s="13">
        <v>0</v>
      </c>
      <c r="I2" s="14">
        <v>40004</v>
      </c>
      <c r="J2" s="20">
        <v>41376</v>
      </c>
    </row>
    <row r="3" spans="1:16" ht="30" x14ac:dyDescent="0.25">
      <c r="A3" s="18" t="s">
        <v>14</v>
      </c>
      <c r="B3" s="12" t="str">
        <f>HYPERLINK("http://www.twitter.com/nclroblib", "nclroblib")</f>
        <v>nclroblib</v>
      </c>
      <c r="C3" s="10" t="s">
        <v>360</v>
      </c>
      <c r="D3" s="10" t="s">
        <v>361</v>
      </c>
      <c r="E3" s="13">
        <v>468</v>
      </c>
      <c r="F3" s="13">
        <v>3102</v>
      </c>
      <c r="G3" s="13">
        <v>30308</v>
      </c>
      <c r="H3" s="13">
        <v>3039</v>
      </c>
      <c r="I3" s="14">
        <v>40247</v>
      </c>
      <c r="J3" s="20">
        <v>42940</v>
      </c>
    </row>
    <row r="4" spans="1:16" ht="30" x14ac:dyDescent="0.25">
      <c r="A4" s="18" t="s">
        <v>14</v>
      </c>
      <c r="B4" s="12" t="str">
        <f>HYPERLINK("http://www.twitter.com/LivUniLibrary", "LivUniLibrary")</f>
        <v>LivUniLibrary</v>
      </c>
      <c r="C4" s="10" t="s">
        <v>101</v>
      </c>
      <c r="D4" s="10" t="s">
        <v>102</v>
      </c>
      <c r="E4" s="13">
        <v>1301</v>
      </c>
      <c r="F4" s="13">
        <v>9326</v>
      </c>
      <c r="G4" s="13">
        <v>29226</v>
      </c>
      <c r="H4" s="13">
        <v>11073</v>
      </c>
      <c r="I4" s="14">
        <v>40032</v>
      </c>
      <c r="J4" s="20">
        <v>42940</v>
      </c>
    </row>
    <row r="5" spans="1:16" ht="30" x14ac:dyDescent="0.25">
      <c r="A5" s="18" t="s">
        <v>14</v>
      </c>
      <c r="B5" s="12" t="str">
        <f>HYPERLINK("http://www.twitter.com/BeckettLibrary", "BeckettLibrary")</f>
        <v>BeckettLibrary</v>
      </c>
      <c r="C5" s="10" t="s">
        <v>179</v>
      </c>
      <c r="D5" s="10" t="s">
        <v>180</v>
      </c>
      <c r="E5" s="13">
        <v>2528</v>
      </c>
      <c r="F5" s="13">
        <v>5814</v>
      </c>
      <c r="G5" s="13">
        <v>18748</v>
      </c>
      <c r="H5" s="13">
        <v>1918</v>
      </c>
      <c r="I5" s="14">
        <v>39891</v>
      </c>
      <c r="J5" s="20">
        <v>42940</v>
      </c>
    </row>
    <row r="6" spans="1:16" ht="30" x14ac:dyDescent="0.25">
      <c r="A6" s="18" t="s">
        <v>14</v>
      </c>
      <c r="B6" s="12" t="str">
        <f>HYPERLINK("http://www.twitter.com/UniofGreenwich", "UniofGreenwich")</f>
        <v>UniofGreenwich</v>
      </c>
      <c r="C6" s="10" t="s">
        <v>43</v>
      </c>
      <c r="D6" s="10" t="s">
        <v>44</v>
      </c>
      <c r="E6" s="13">
        <v>1354</v>
      </c>
      <c r="F6" s="13">
        <v>20130</v>
      </c>
      <c r="G6" s="13">
        <v>17177</v>
      </c>
      <c r="H6" s="13">
        <v>4464</v>
      </c>
      <c r="I6" s="14">
        <v>39987</v>
      </c>
      <c r="J6" s="20">
        <v>42940</v>
      </c>
    </row>
    <row r="7" spans="1:16" ht="30" x14ac:dyDescent="0.25">
      <c r="A7" s="18" t="s">
        <v>14</v>
      </c>
      <c r="B7" s="12" t="str">
        <f>HYPERLINK("http://www.twitter.com/warwicklibrary", "warwicklibrary")</f>
        <v>warwicklibrary</v>
      </c>
      <c r="C7" s="10" t="s">
        <v>213</v>
      </c>
      <c r="D7" s="10" t="s">
        <v>214</v>
      </c>
      <c r="E7" s="13">
        <v>283</v>
      </c>
      <c r="F7" s="13">
        <v>4769</v>
      </c>
      <c r="G7" s="13">
        <v>17012</v>
      </c>
      <c r="H7" s="13">
        <v>1053</v>
      </c>
      <c r="I7" s="14">
        <v>39295</v>
      </c>
      <c r="J7" s="20">
        <v>42940</v>
      </c>
    </row>
    <row r="8" spans="1:16" ht="45" x14ac:dyDescent="0.25">
      <c r="A8" s="18" t="s">
        <v>14</v>
      </c>
      <c r="B8" s="12" t="str">
        <f>HYPERLINK("http://www.twitter.com/wlv_uni", "wlv_uni")</f>
        <v>wlv_uni</v>
      </c>
      <c r="C8" s="10" t="s">
        <v>38</v>
      </c>
      <c r="D8" s="10" t="s">
        <v>39</v>
      </c>
      <c r="E8" s="13">
        <v>711</v>
      </c>
      <c r="F8" s="13">
        <v>26921</v>
      </c>
      <c r="G8" s="13">
        <v>14849</v>
      </c>
      <c r="H8" s="13">
        <v>3061</v>
      </c>
      <c r="I8" s="14">
        <v>39947</v>
      </c>
      <c r="J8" s="20">
        <v>42940</v>
      </c>
    </row>
    <row r="9" spans="1:16" x14ac:dyDescent="0.25">
      <c r="A9" s="18" t="s">
        <v>14</v>
      </c>
      <c r="B9" s="12" t="str">
        <f>HYPERLINK("http://www.twitter.com/UWTSDLib", "UWTSDLib")</f>
        <v>UWTSDLib</v>
      </c>
      <c r="C9" s="10" t="s">
        <v>1297</v>
      </c>
      <c r="D9" s="10"/>
      <c r="E9" s="13">
        <v>490</v>
      </c>
      <c r="F9" s="13">
        <v>936</v>
      </c>
      <c r="G9" s="13">
        <v>14779</v>
      </c>
      <c r="H9" s="13">
        <v>385</v>
      </c>
      <c r="I9" s="14">
        <v>40675</v>
      </c>
      <c r="J9" s="20">
        <v>42940</v>
      </c>
      <c r="L9" s="57"/>
    </row>
    <row r="10" spans="1:16" ht="45" x14ac:dyDescent="0.25">
      <c r="A10" s="18" t="s">
        <v>14</v>
      </c>
      <c r="B10" s="12" t="str">
        <f>HYPERLINK("http://www.twitter.com/QueensUBelfast", "QueensUBelfast")</f>
        <v>QueensUBelfast</v>
      </c>
      <c r="C10" s="10" t="s">
        <v>26</v>
      </c>
      <c r="D10" s="10" t="s">
        <v>27</v>
      </c>
      <c r="E10" s="13">
        <v>803</v>
      </c>
      <c r="F10" s="13">
        <v>32098</v>
      </c>
      <c r="G10" s="13">
        <v>14612</v>
      </c>
      <c r="H10" s="13">
        <v>6515</v>
      </c>
      <c r="I10" s="14">
        <v>39934</v>
      </c>
      <c r="J10" s="20">
        <v>42940</v>
      </c>
    </row>
    <row r="11" spans="1:16" ht="45" x14ac:dyDescent="0.25">
      <c r="A11" s="18" t="s">
        <v>14</v>
      </c>
      <c r="B11" s="12" t="str">
        <f>HYPERLINK("http://www.twitter.com/TeessideUni", "TeessideUni")</f>
        <v>TeessideUni</v>
      </c>
      <c r="C11" s="10" t="s">
        <v>15</v>
      </c>
      <c r="D11" s="10" t="s">
        <v>16</v>
      </c>
      <c r="E11" s="13">
        <v>1632</v>
      </c>
      <c r="F11" s="13">
        <v>40946</v>
      </c>
      <c r="G11" s="13">
        <v>14091</v>
      </c>
      <c r="H11" s="13">
        <v>2178</v>
      </c>
      <c r="I11" s="14">
        <v>39848</v>
      </c>
      <c r="J11" s="20">
        <v>42940</v>
      </c>
    </row>
    <row r="12" spans="1:16" ht="30" x14ac:dyDescent="0.25">
      <c r="A12" s="18" t="s">
        <v>14</v>
      </c>
      <c r="B12" s="12" t="str">
        <f>HYPERLINK("http://www.twitter.com/UCLLibraries", "UCLLibraries")</f>
        <v>UCLLibraries</v>
      </c>
      <c r="C12" s="10" t="s">
        <v>269</v>
      </c>
      <c r="D12" s="10" t="s">
        <v>270</v>
      </c>
      <c r="E12" s="13">
        <v>1309</v>
      </c>
      <c r="F12" s="13">
        <v>3952</v>
      </c>
      <c r="G12" s="13">
        <v>13671</v>
      </c>
      <c r="H12" s="13">
        <v>1315</v>
      </c>
      <c r="I12" s="14">
        <v>40967</v>
      </c>
      <c r="J12" s="20">
        <v>42936</v>
      </c>
      <c r="M12" s="7"/>
    </row>
    <row r="13" spans="1:16" ht="30" x14ac:dyDescent="0.25">
      <c r="A13" s="18" t="s">
        <v>14</v>
      </c>
      <c r="B13" s="12" t="str">
        <f>HYPERLINK("http://www.twitter.com/SheffLibraries", "SheffLibraries")</f>
        <v>SheffLibraries</v>
      </c>
      <c r="C13" s="10" t="s">
        <v>104</v>
      </c>
      <c r="D13" s="10" t="s">
        <v>105</v>
      </c>
      <c r="E13" s="13">
        <v>1705</v>
      </c>
      <c r="F13" s="13">
        <v>9226</v>
      </c>
      <c r="G13" s="13">
        <v>13337</v>
      </c>
      <c r="H13" s="13">
        <v>1928</v>
      </c>
      <c r="I13" s="14">
        <v>39980</v>
      </c>
      <c r="J13" s="20">
        <v>42938</v>
      </c>
      <c r="M13" s="7"/>
    </row>
    <row r="14" spans="1:16" x14ac:dyDescent="0.25">
      <c r="A14" s="18" t="s">
        <v>14</v>
      </c>
      <c r="B14" s="12" t="str">
        <f>HYPERLINK("http://www.twitter.com/scharrlib", "scharrlib")</f>
        <v>scharrlib</v>
      </c>
      <c r="C14" s="10" t="s">
        <v>1228</v>
      </c>
      <c r="D14" s="10" t="s">
        <v>219</v>
      </c>
      <c r="E14" s="13">
        <v>394</v>
      </c>
      <c r="F14" s="13">
        <v>1014</v>
      </c>
      <c r="G14" s="13">
        <v>10985</v>
      </c>
      <c r="H14" s="13">
        <v>254</v>
      </c>
      <c r="I14" s="14">
        <v>40252</v>
      </c>
      <c r="J14" s="20">
        <v>42940</v>
      </c>
      <c r="M14" s="7"/>
    </row>
    <row r="15" spans="1:16" ht="30" x14ac:dyDescent="0.25">
      <c r="A15" s="18" t="s">
        <v>14</v>
      </c>
      <c r="B15" s="12" t="str">
        <f>HYPERLINK("http://www.twitter.com/EdNapLib", "EdNapLib")</f>
        <v>EdNapLib</v>
      </c>
      <c r="C15" s="10" t="s">
        <v>727</v>
      </c>
      <c r="D15" s="10" t="s">
        <v>24</v>
      </c>
      <c r="E15" s="13">
        <v>1808</v>
      </c>
      <c r="F15" s="13">
        <v>1809</v>
      </c>
      <c r="G15" s="13">
        <v>10776</v>
      </c>
      <c r="H15" s="13">
        <v>379</v>
      </c>
      <c r="I15" s="14">
        <v>39958</v>
      </c>
      <c r="J15" s="20">
        <v>42940</v>
      </c>
      <c r="M15" s="7"/>
    </row>
    <row r="16" spans="1:16" x14ac:dyDescent="0.25">
      <c r="A16" s="18" t="s">
        <v>14</v>
      </c>
      <c r="B16" s="12" t="str">
        <f>HYPERLINK("http://www.twitter.com/shu_library", "shu_library")</f>
        <v>shu_library</v>
      </c>
      <c r="C16" s="10" t="s">
        <v>458</v>
      </c>
      <c r="D16" s="10" t="s">
        <v>459</v>
      </c>
      <c r="E16" s="13">
        <v>272</v>
      </c>
      <c r="F16" s="13">
        <v>2670</v>
      </c>
      <c r="G16" s="13">
        <v>10653</v>
      </c>
      <c r="H16" s="13">
        <v>320</v>
      </c>
      <c r="I16" s="14">
        <v>40170</v>
      </c>
      <c r="J16" s="20">
        <v>42940</v>
      </c>
      <c r="M16" s="7"/>
    </row>
    <row r="17" spans="1:13" ht="30" x14ac:dyDescent="0.25">
      <c r="A17" s="18" t="s">
        <v>14</v>
      </c>
      <c r="B17" s="12" t="str">
        <f>HYPERLINK("http://www.twitter.com/UniWinLibrary", "UniWinLibrary")</f>
        <v>UniWinLibrary</v>
      </c>
      <c r="C17" s="10" t="s">
        <v>1027</v>
      </c>
      <c r="D17" s="10" t="s">
        <v>189</v>
      </c>
      <c r="E17" s="13">
        <v>709</v>
      </c>
      <c r="F17" s="13">
        <v>1232</v>
      </c>
      <c r="G17" s="13">
        <v>10270</v>
      </c>
      <c r="H17" s="13">
        <v>716</v>
      </c>
      <c r="I17" s="14">
        <v>40078</v>
      </c>
      <c r="J17" s="20">
        <v>42940</v>
      </c>
      <c r="M17" s="7"/>
    </row>
    <row r="18" spans="1:13" ht="30" x14ac:dyDescent="0.25">
      <c r="A18" s="19" t="s">
        <v>14</v>
      </c>
      <c r="B18" s="15" t="str">
        <f>HYPERLINK("http://www.twitter.com/AfrStudiesLib", "AfrStudiesLib")</f>
        <v>AfrStudiesLib</v>
      </c>
      <c r="C18" s="11" t="s">
        <v>751</v>
      </c>
      <c r="D18" s="11" t="s">
        <v>508</v>
      </c>
      <c r="E18" s="16">
        <v>356</v>
      </c>
      <c r="F18" s="16">
        <v>1757</v>
      </c>
      <c r="G18" s="16">
        <v>9916</v>
      </c>
      <c r="H18" s="16">
        <v>420</v>
      </c>
      <c r="I18" s="17">
        <v>40612</v>
      </c>
      <c r="J18" s="21">
        <v>42940</v>
      </c>
      <c r="M18" s="7"/>
    </row>
    <row r="19" spans="1:13" ht="30" x14ac:dyDescent="0.25">
      <c r="A19" s="18" t="s">
        <v>72</v>
      </c>
      <c r="B19" s="12" t="str">
        <f>HYPERLINK("http://www.twitter.com/IllingworthInfo", "IllingworthInfo")</f>
        <v>IllingworthInfo</v>
      </c>
      <c r="C19" s="10" t="s">
        <v>2264</v>
      </c>
      <c r="D19" s="10" t="s">
        <v>459</v>
      </c>
      <c r="E19" s="13">
        <v>208</v>
      </c>
      <c r="F19" s="13">
        <v>299</v>
      </c>
      <c r="G19" s="13">
        <v>30412</v>
      </c>
      <c r="H19" s="13">
        <v>28</v>
      </c>
      <c r="I19" s="14">
        <v>40875</v>
      </c>
      <c r="J19" s="20">
        <v>42940</v>
      </c>
    </row>
    <row r="20" spans="1:13" x14ac:dyDescent="0.25">
      <c r="A20" s="18" t="s">
        <v>72</v>
      </c>
      <c r="B20" s="12" t="str">
        <f>HYPERLINK("http://www.twitter.com/LSTM_Library", "LSTM_Library")</f>
        <v>LSTM_Library</v>
      </c>
      <c r="C20" s="10" t="s">
        <v>641</v>
      </c>
      <c r="D20" s="10" t="s">
        <v>642</v>
      </c>
      <c r="E20" s="13">
        <v>3047</v>
      </c>
      <c r="F20" s="13">
        <v>2126</v>
      </c>
      <c r="G20" s="13">
        <v>13620</v>
      </c>
      <c r="H20" s="13">
        <v>15302</v>
      </c>
      <c r="I20" s="14">
        <v>40233</v>
      </c>
      <c r="J20" s="20">
        <v>42940</v>
      </c>
    </row>
    <row r="21" spans="1:13" ht="30" x14ac:dyDescent="0.25">
      <c r="A21" s="18" t="s">
        <v>72</v>
      </c>
      <c r="B21" s="12" t="str">
        <f>HYPERLINK("http://www.twitter.com/HearingLibrary", "HearingLibrary")</f>
        <v>HearingLibrary</v>
      </c>
      <c r="C21" s="10" t="s">
        <v>818</v>
      </c>
      <c r="D21" s="10" t="s">
        <v>819</v>
      </c>
      <c r="E21" s="13">
        <v>527</v>
      </c>
      <c r="F21" s="13">
        <v>1599</v>
      </c>
      <c r="G21" s="13">
        <v>12902</v>
      </c>
      <c r="H21" s="13">
        <v>1217</v>
      </c>
      <c r="I21" s="14">
        <v>40843</v>
      </c>
      <c r="J21" s="20">
        <v>42940</v>
      </c>
    </row>
    <row r="22" spans="1:13" ht="30" x14ac:dyDescent="0.25">
      <c r="A22" s="18" t="s">
        <v>72</v>
      </c>
      <c r="B22" s="12" t="str">
        <f>HYPERLINK("http://www.twitter.com/ArthurRankHouse", "ArthurRankHouse")</f>
        <v>ArthurRankHouse</v>
      </c>
      <c r="C22" s="10" t="s">
        <v>507</v>
      </c>
      <c r="D22" s="10" t="s">
        <v>508</v>
      </c>
      <c r="E22" s="13">
        <v>1315</v>
      </c>
      <c r="F22" s="13">
        <v>2504</v>
      </c>
      <c r="G22" s="13">
        <v>11800</v>
      </c>
      <c r="H22" s="13">
        <v>4679</v>
      </c>
      <c r="I22" s="14">
        <v>40457</v>
      </c>
      <c r="J22" s="20">
        <v>42940</v>
      </c>
    </row>
    <row r="23" spans="1:13" ht="45" x14ac:dyDescent="0.25">
      <c r="A23" s="18" t="s">
        <v>72</v>
      </c>
      <c r="B23" s="12" t="str">
        <f>HYPERLINK("http://www.twitter.com/BloomsburyL", "BloomsburyL")</f>
        <v>BloomsburyL</v>
      </c>
      <c r="C23" s="10" t="s">
        <v>1945</v>
      </c>
      <c r="D23" s="10" t="s">
        <v>1946</v>
      </c>
      <c r="E23" s="13">
        <v>935</v>
      </c>
      <c r="F23" s="13">
        <v>465</v>
      </c>
      <c r="G23" s="13">
        <v>11557</v>
      </c>
      <c r="H23" s="13">
        <v>97</v>
      </c>
      <c r="I23" s="14">
        <v>42013</v>
      </c>
      <c r="J23" s="20">
        <v>42940</v>
      </c>
    </row>
    <row r="24" spans="1:13" ht="30" x14ac:dyDescent="0.25">
      <c r="A24" s="19" t="s">
        <v>72</v>
      </c>
      <c r="B24" s="15" t="str">
        <f>HYPERLINK("http://www.twitter.com/NHFTNHSLibrary", "NHFTNHSLibrary")</f>
        <v>NHFTNHSLibrary</v>
      </c>
      <c r="C24" s="11" t="s">
        <v>1032</v>
      </c>
      <c r="D24" s="11" t="s">
        <v>1033</v>
      </c>
      <c r="E24" s="16">
        <v>1784</v>
      </c>
      <c r="F24" s="16">
        <v>1253</v>
      </c>
      <c r="G24" s="16">
        <v>10824</v>
      </c>
      <c r="H24" s="16">
        <v>1205</v>
      </c>
      <c r="I24" s="17">
        <v>40959</v>
      </c>
      <c r="J24" s="21">
        <v>42940</v>
      </c>
    </row>
    <row r="25" spans="1:13" ht="30" x14ac:dyDescent="0.25">
      <c r="A25" s="18" t="s">
        <v>72</v>
      </c>
      <c r="B25" s="12" t="str">
        <f>HYPERLINK("http://www.twitter.com/kingsfund_lib", "kingsfund_lib")</f>
        <v>kingsfund_lib</v>
      </c>
      <c r="C25" s="10" t="s">
        <v>149</v>
      </c>
      <c r="D25" s="10" t="s">
        <v>110</v>
      </c>
      <c r="E25" s="13">
        <v>357</v>
      </c>
      <c r="F25" s="13">
        <v>6597</v>
      </c>
      <c r="G25" s="13">
        <v>9054</v>
      </c>
      <c r="H25" s="13">
        <v>136</v>
      </c>
      <c r="I25" s="14">
        <v>40185</v>
      </c>
      <c r="J25" s="20">
        <v>42940</v>
      </c>
    </row>
    <row r="26" spans="1:13" ht="30" x14ac:dyDescent="0.25">
      <c r="A26" s="18" t="s">
        <v>72</v>
      </c>
      <c r="B26" s="12" t="str">
        <f>HYPERLINK("http://www.twitter.com/tapchat", "tapchat")</f>
        <v>tapchat</v>
      </c>
      <c r="C26" s="10" t="s">
        <v>450</v>
      </c>
      <c r="D26" s="10" t="s">
        <v>36</v>
      </c>
      <c r="E26" s="13">
        <v>1312</v>
      </c>
      <c r="F26" s="13">
        <v>2733</v>
      </c>
      <c r="G26" s="13">
        <v>8607</v>
      </c>
      <c r="H26" s="13">
        <v>785</v>
      </c>
      <c r="I26" s="14">
        <v>40119</v>
      </c>
      <c r="J26" s="20">
        <v>42940</v>
      </c>
    </row>
    <row r="27" spans="1:13" ht="30" x14ac:dyDescent="0.25">
      <c r="A27" s="18" t="s">
        <v>72</v>
      </c>
      <c r="B27" s="12" t="str">
        <f>HYPERLINK("http://www.twitter.com/VCCLibrary", "VCCLibrary")</f>
        <v>VCCLibrary</v>
      </c>
      <c r="C27" s="10" t="s">
        <v>1632</v>
      </c>
      <c r="D27" s="10" t="s">
        <v>1218</v>
      </c>
      <c r="E27" s="13">
        <v>486</v>
      </c>
      <c r="F27" s="13">
        <v>639</v>
      </c>
      <c r="G27" s="13">
        <v>8215</v>
      </c>
      <c r="H27" s="13">
        <v>6</v>
      </c>
      <c r="I27" s="14">
        <v>41355</v>
      </c>
      <c r="J27" s="20">
        <v>42940</v>
      </c>
    </row>
    <row r="28" spans="1:13" ht="45" x14ac:dyDescent="0.25">
      <c r="A28" s="18" t="s">
        <v>72</v>
      </c>
      <c r="B28" s="12" t="str">
        <f>HYPERLINK("http://www.twitter.com/LibraryatQUB", "LibraryatQUB")</f>
        <v>LibraryatQUB</v>
      </c>
      <c r="C28" s="10" t="s">
        <v>134</v>
      </c>
      <c r="D28" s="10" t="s">
        <v>135</v>
      </c>
      <c r="E28" s="13">
        <v>3290</v>
      </c>
      <c r="F28" s="13">
        <v>7014</v>
      </c>
      <c r="G28" s="13">
        <v>7728</v>
      </c>
      <c r="H28" s="13">
        <v>1879</v>
      </c>
      <c r="I28" s="14">
        <v>39888</v>
      </c>
      <c r="J28" s="20">
        <v>42940</v>
      </c>
    </row>
    <row r="29" spans="1:13" ht="45" x14ac:dyDescent="0.25">
      <c r="A29" s="18" t="s">
        <v>18</v>
      </c>
      <c r="B29" s="12" t="str">
        <f>HYPERLINK("http://www.twitter.com/saveUNlibrary", "saveUNlibrary")</f>
        <v>saveUNlibrary</v>
      </c>
      <c r="C29" s="10" t="s">
        <v>380</v>
      </c>
      <c r="D29" s="10" t="s">
        <v>381</v>
      </c>
      <c r="E29" s="13">
        <v>2106</v>
      </c>
      <c r="F29" s="13">
        <v>2948</v>
      </c>
      <c r="G29" s="13">
        <v>33512</v>
      </c>
      <c r="H29" s="13">
        <v>1434</v>
      </c>
      <c r="I29" s="14">
        <v>40870</v>
      </c>
      <c r="J29" s="20">
        <v>42939</v>
      </c>
    </row>
    <row r="30" spans="1:13" ht="30" x14ac:dyDescent="0.25">
      <c r="A30" s="18" t="s">
        <v>18</v>
      </c>
      <c r="B30" s="12" t="str">
        <f>HYPERLINK("http://www.twitter.com/LibraryLine", "LibraryLine")</f>
        <v>LibraryLine</v>
      </c>
      <c r="C30" s="10" t="s">
        <v>283</v>
      </c>
      <c r="D30" s="10" t="s">
        <v>284</v>
      </c>
      <c r="E30" s="13">
        <v>273</v>
      </c>
      <c r="F30" s="13">
        <v>3356</v>
      </c>
      <c r="G30" s="13">
        <v>28030</v>
      </c>
      <c r="H30" s="13">
        <v>92</v>
      </c>
      <c r="I30" s="14">
        <v>40424</v>
      </c>
      <c r="J30" s="20">
        <v>42940</v>
      </c>
    </row>
    <row r="31" spans="1:13" x14ac:dyDescent="0.25">
      <c r="A31" s="19" t="s">
        <v>18</v>
      </c>
      <c r="B31" s="15" t="str">
        <f>HYPERLINK("http://www.twitter.com/OrkneyLibrary", "OrkneyLibrary")</f>
        <v>OrkneyLibrary</v>
      </c>
      <c r="C31" s="11" t="s">
        <v>19</v>
      </c>
      <c r="D31" s="11" t="s">
        <v>20</v>
      </c>
      <c r="E31" s="16">
        <v>12665</v>
      </c>
      <c r="F31" s="16">
        <v>35075</v>
      </c>
      <c r="G31" s="16">
        <v>19300</v>
      </c>
      <c r="H31" s="16">
        <v>9280</v>
      </c>
      <c r="I31" s="17">
        <v>39993</v>
      </c>
      <c r="J31" s="21">
        <v>42940</v>
      </c>
    </row>
    <row r="32" spans="1:13" ht="30" x14ac:dyDescent="0.25">
      <c r="A32" s="18" t="s">
        <v>18</v>
      </c>
      <c r="B32" s="12" t="str">
        <f>HYPERLINK("http://www.twitter.com/NACLibraries", "NACLibraries")</f>
        <v>NACLibraries</v>
      </c>
      <c r="C32" s="10" t="s">
        <v>713</v>
      </c>
      <c r="D32" s="10" t="s">
        <v>714</v>
      </c>
      <c r="E32" s="13">
        <v>800</v>
      </c>
      <c r="F32" s="13">
        <v>1863</v>
      </c>
      <c r="G32" s="13">
        <v>17248</v>
      </c>
      <c r="H32" s="13">
        <v>663</v>
      </c>
      <c r="I32" s="14">
        <v>40237</v>
      </c>
      <c r="J32" s="20">
        <v>42940</v>
      </c>
    </row>
    <row r="33" spans="1:10" ht="30" x14ac:dyDescent="0.25">
      <c r="A33" s="18" t="s">
        <v>18</v>
      </c>
      <c r="B33" s="12" t="str">
        <f>HYPERLINK("http://www.twitter.com/BargoedLib", "BargoedLib")</f>
        <v>BargoedLib</v>
      </c>
      <c r="C33" s="10" t="s">
        <v>1063</v>
      </c>
      <c r="D33" s="10"/>
      <c r="E33" s="13">
        <v>907</v>
      </c>
      <c r="F33" s="13">
        <v>1207</v>
      </c>
      <c r="G33" s="13">
        <v>15725</v>
      </c>
      <c r="H33" s="13">
        <v>2597</v>
      </c>
      <c r="I33" s="14">
        <v>41656</v>
      </c>
      <c r="J33" s="20">
        <v>42940</v>
      </c>
    </row>
    <row r="34" spans="1:10" x14ac:dyDescent="0.25">
      <c r="A34" s="18" t="s">
        <v>18</v>
      </c>
      <c r="B34" s="12" t="str">
        <f>HYPERLINK("http://www.twitter.com/SwindonLocal", "SwindonLocal")</f>
        <v>SwindonLocal</v>
      </c>
      <c r="C34" s="10" t="s">
        <v>292</v>
      </c>
      <c r="D34" s="10" t="s">
        <v>293</v>
      </c>
      <c r="E34" s="13">
        <v>1660</v>
      </c>
      <c r="F34" s="13">
        <v>3630</v>
      </c>
      <c r="G34" s="13">
        <v>11991</v>
      </c>
      <c r="H34" s="13">
        <v>12587</v>
      </c>
      <c r="I34" s="14">
        <v>39984</v>
      </c>
      <c r="J34" s="20">
        <v>42938</v>
      </c>
    </row>
    <row r="35" spans="1:10" ht="30" x14ac:dyDescent="0.25">
      <c r="A35" s="18" t="s">
        <v>18</v>
      </c>
      <c r="B35" s="12" t="str">
        <f>HYPERLINK("http://www.twitter.com/gloslibs", "gloslibs")</f>
        <v>gloslibs</v>
      </c>
      <c r="C35" s="10" t="s">
        <v>870</v>
      </c>
      <c r="D35" s="10" t="s">
        <v>871</v>
      </c>
      <c r="E35" s="13">
        <v>1091</v>
      </c>
      <c r="F35" s="13">
        <v>1517</v>
      </c>
      <c r="G35" s="13">
        <v>10302</v>
      </c>
      <c r="H35" s="13">
        <v>3270</v>
      </c>
      <c r="I35" s="14">
        <v>41110</v>
      </c>
      <c r="J35" s="20">
        <v>42940</v>
      </c>
    </row>
    <row r="36" spans="1:10" ht="45" x14ac:dyDescent="0.25">
      <c r="A36" s="18" t="s">
        <v>18</v>
      </c>
      <c r="B36" s="12" t="str">
        <f>HYPERLINK("http://www.twitter.com/BanbridgeLib", "BanbridgeLib")</f>
        <v>BanbridgeLib</v>
      </c>
      <c r="C36" s="10" t="s">
        <v>1021</v>
      </c>
      <c r="D36" s="10" t="s">
        <v>1022</v>
      </c>
      <c r="E36" s="13">
        <v>993</v>
      </c>
      <c r="F36" s="13">
        <v>1229</v>
      </c>
      <c r="G36" s="13">
        <v>9571</v>
      </c>
      <c r="H36" s="13">
        <v>7321</v>
      </c>
      <c r="I36" s="14">
        <v>41331</v>
      </c>
      <c r="J36" s="20">
        <v>42938</v>
      </c>
    </row>
    <row r="37" spans="1:10" x14ac:dyDescent="0.25">
      <c r="A37" s="18" t="s">
        <v>18</v>
      </c>
      <c r="B37" s="12" t="str">
        <f>HYPERLINK("http://www.twitter.com/StoryhouseLive", "StoryhouseLive")</f>
        <v>StoryhouseLive</v>
      </c>
      <c r="C37" s="10" t="s">
        <v>76</v>
      </c>
      <c r="D37" s="10" t="s">
        <v>77</v>
      </c>
      <c r="E37" s="13">
        <v>4837</v>
      </c>
      <c r="F37" s="13">
        <v>11967</v>
      </c>
      <c r="G37" s="13">
        <v>9037</v>
      </c>
      <c r="H37" s="13">
        <v>6539</v>
      </c>
      <c r="I37" s="14">
        <v>39930</v>
      </c>
      <c r="J37" s="20">
        <v>42940</v>
      </c>
    </row>
    <row r="38" spans="1:10" ht="60" x14ac:dyDescent="0.25">
      <c r="A38" s="18" t="s">
        <v>18</v>
      </c>
      <c r="B38" s="12" t="str">
        <f>HYPERLINK("http://www.twitter.com/BelfastCentLib", "BelfastCentLib")</f>
        <v>BelfastCentLib</v>
      </c>
      <c r="C38" s="10" t="s">
        <v>392</v>
      </c>
      <c r="D38" s="10" t="s">
        <v>393</v>
      </c>
      <c r="E38" s="13">
        <v>405</v>
      </c>
      <c r="F38" s="13">
        <v>2905</v>
      </c>
      <c r="G38" s="13">
        <v>8552</v>
      </c>
      <c r="H38" s="13">
        <v>6071</v>
      </c>
      <c r="I38" s="14">
        <v>41327</v>
      </c>
      <c r="J38" s="20">
        <v>42940</v>
      </c>
    </row>
    <row r="39" spans="1:10" x14ac:dyDescent="0.25">
      <c r="A39" s="18" t="s">
        <v>18</v>
      </c>
      <c r="B39" s="12" t="str">
        <f>HYPERLINK("http://www.twitter.com/fyldelibraries", "fyldelibraries")</f>
        <v>fyldelibraries</v>
      </c>
      <c r="C39" s="10" t="s">
        <v>3681</v>
      </c>
      <c r="D39" s="10" t="s">
        <v>3682</v>
      </c>
      <c r="E39" s="13">
        <v>765</v>
      </c>
      <c r="F39" s="13">
        <v>2826</v>
      </c>
      <c r="G39" s="13">
        <v>7796</v>
      </c>
      <c r="H39" s="13">
        <v>473</v>
      </c>
      <c r="I39" s="14">
        <v>39951</v>
      </c>
      <c r="J39" s="20">
        <v>42735</v>
      </c>
    </row>
    <row r="40" spans="1:10" ht="30" x14ac:dyDescent="0.25">
      <c r="A40" s="18" t="s">
        <v>18</v>
      </c>
      <c r="B40" s="12" t="str">
        <f>HYPERLINK("http://www.twitter.com/LibFalkirk", "LibFalkirk")</f>
        <v>LibFalkirk</v>
      </c>
      <c r="C40" s="10" t="s">
        <v>354</v>
      </c>
      <c r="D40" s="10" t="s">
        <v>355</v>
      </c>
      <c r="E40" s="13">
        <v>1221</v>
      </c>
      <c r="F40" s="13">
        <v>3223</v>
      </c>
      <c r="G40" s="13">
        <v>7536</v>
      </c>
      <c r="H40" s="13">
        <v>2499</v>
      </c>
      <c r="I40" s="14">
        <v>40323</v>
      </c>
      <c r="J40" s="20">
        <v>42940</v>
      </c>
    </row>
    <row r="41" spans="1:10" x14ac:dyDescent="0.25">
      <c r="A41" s="18" t="s">
        <v>262</v>
      </c>
      <c r="B41" s="12" t="str">
        <f>HYPERLINK("http://www.twitter.com/TIASSL", "TIASSL")</f>
        <v>TIASSL</v>
      </c>
      <c r="C41" s="10" t="s">
        <v>1630</v>
      </c>
      <c r="D41" s="10" t="s">
        <v>517</v>
      </c>
      <c r="E41" s="13">
        <v>1202</v>
      </c>
      <c r="F41" s="13">
        <v>650</v>
      </c>
      <c r="G41" s="13">
        <v>28157</v>
      </c>
      <c r="H41" s="13">
        <v>407</v>
      </c>
      <c r="I41" s="14">
        <v>41956</v>
      </c>
      <c r="J41" s="20">
        <v>42928</v>
      </c>
    </row>
    <row r="42" spans="1:10" ht="30" x14ac:dyDescent="0.25">
      <c r="A42" s="18" t="s">
        <v>262</v>
      </c>
      <c r="B42" s="12" t="str">
        <f>HYPERLINK("http://www.twitter.com/STHLibraries", "STHLibraries")</f>
        <v>STHLibraries</v>
      </c>
      <c r="C42" s="10" t="s">
        <v>263</v>
      </c>
      <c r="D42" s="10" t="s">
        <v>264</v>
      </c>
      <c r="E42" s="13">
        <v>2595</v>
      </c>
      <c r="F42" s="13">
        <v>4116</v>
      </c>
      <c r="G42" s="13">
        <v>19767</v>
      </c>
      <c r="H42" s="13">
        <v>6178</v>
      </c>
      <c r="I42" s="14">
        <v>41509</v>
      </c>
      <c r="J42" s="20">
        <v>42940</v>
      </c>
    </row>
    <row r="43" spans="1:10" ht="30" x14ac:dyDescent="0.25">
      <c r="A43" s="18" t="s">
        <v>262</v>
      </c>
      <c r="B43" s="12" t="str">
        <f>HYPERLINK("http://www.twitter.com/HNCLib", "HNCLib")</f>
        <v>HNCLib</v>
      </c>
      <c r="C43" s="10" t="s">
        <v>1718</v>
      </c>
      <c r="D43" s="10" t="s">
        <v>1719</v>
      </c>
      <c r="E43" s="13">
        <v>409</v>
      </c>
      <c r="F43" s="13">
        <v>573</v>
      </c>
      <c r="G43" s="13">
        <v>13375</v>
      </c>
      <c r="H43" s="13">
        <v>18351</v>
      </c>
      <c r="I43" s="14">
        <v>40121</v>
      </c>
      <c r="J43" s="20">
        <v>42929</v>
      </c>
    </row>
    <row r="44" spans="1:10" x14ac:dyDescent="0.25">
      <c r="A44" s="18" t="s">
        <v>262</v>
      </c>
      <c r="B44" s="12" t="str">
        <f>HYPERLINK("http://www.twitter.com/TheKeyLRC", "TheKeyLRC")</f>
        <v>TheKeyLRC</v>
      </c>
      <c r="C44" s="10" t="s">
        <v>2579</v>
      </c>
      <c r="D44" s="10" t="s">
        <v>2580</v>
      </c>
      <c r="E44" s="13">
        <v>534</v>
      </c>
      <c r="F44" s="13">
        <v>219</v>
      </c>
      <c r="G44" s="13">
        <v>12322</v>
      </c>
      <c r="H44" s="13">
        <v>223</v>
      </c>
      <c r="I44" s="14">
        <v>40444</v>
      </c>
      <c r="J44" s="20">
        <v>42939</v>
      </c>
    </row>
    <row r="45" spans="1:10" ht="30" x14ac:dyDescent="0.25">
      <c r="A45" s="18" t="s">
        <v>262</v>
      </c>
      <c r="B45" s="12" t="str">
        <f>HYPERLINK("http://www.twitter.com/LPLibrarian", "LPLibrarian")</f>
        <v>LPLibrarian</v>
      </c>
      <c r="C45" s="10" t="s">
        <v>906</v>
      </c>
      <c r="D45" s="10" t="s">
        <v>907</v>
      </c>
      <c r="E45" s="13">
        <v>2060</v>
      </c>
      <c r="F45" s="13">
        <v>1440</v>
      </c>
      <c r="G45" s="13">
        <v>7833</v>
      </c>
      <c r="H45" s="13">
        <v>3758</v>
      </c>
      <c r="I45" s="14">
        <v>41077</v>
      </c>
      <c r="J45" s="20">
        <v>42940</v>
      </c>
    </row>
    <row r="46" spans="1:10" x14ac:dyDescent="0.25">
      <c r="A46" s="18" t="s">
        <v>262</v>
      </c>
      <c r="B46" s="12" t="str">
        <f>HYPERLINK("http://www.twitter.com/LibraryatEA", "LibraryatEA")</f>
        <v>LibraryatEA</v>
      </c>
      <c r="C46" s="10" t="s">
        <v>1584</v>
      </c>
      <c r="D46" s="10"/>
      <c r="E46" s="13">
        <v>645</v>
      </c>
      <c r="F46" s="13">
        <v>711</v>
      </c>
      <c r="G46" s="13">
        <v>7645</v>
      </c>
      <c r="H46" s="13">
        <v>3259</v>
      </c>
      <c r="I46" s="14">
        <v>42075</v>
      </c>
      <c r="J46" s="20">
        <v>42940</v>
      </c>
    </row>
    <row r="47" spans="1:10" ht="30" x14ac:dyDescent="0.25">
      <c r="A47" s="18" t="s">
        <v>262</v>
      </c>
      <c r="B47" s="12" t="str">
        <f>HYPERLINK("http://www.twitter.com/glenthornelrc", "glenthornelrc")</f>
        <v>glenthornelrc</v>
      </c>
      <c r="C47" s="10" t="s">
        <v>933</v>
      </c>
      <c r="D47" s="10"/>
      <c r="E47" s="13">
        <v>1582</v>
      </c>
      <c r="F47" s="13">
        <v>1391</v>
      </c>
      <c r="G47" s="13">
        <v>7465</v>
      </c>
      <c r="H47" s="13">
        <v>1693</v>
      </c>
      <c r="I47" s="14">
        <v>41617</v>
      </c>
      <c r="J47" s="20">
        <v>42938</v>
      </c>
    </row>
    <row r="48" spans="1:10" ht="30" x14ac:dyDescent="0.25">
      <c r="A48" s="18" t="s">
        <v>262</v>
      </c>
      <c r="B48" s="12" t="str">
        <f>HYPERLINK("http://www.twitter.com/LibraryVictory", "LibraryVictory")</f>
        <v>LibraryVictory</v>
      </c>
      <c r="C48" s="10" t="s">
        <v>693</v>
      </c>
      <c r="D48" s="10" t="s">
        <v>694</v>
      </c>
      <c r="E48" s="13">
        <v>2213</v>
      </c>
      <c r="F48" s="13">
        <v>1914</v>
      </c>
      <c r="G48" s="13">
        <v>6799</v>
      </c>
      <c r="H48" s="13">
        <v>1768</v>
      </c>
      <c r="I48" s="14">
        <v>41360</v>
      </c>
      <c r="J48" s="20">
        <v>42936</v>
      </c>
    </row>
    <row r="49" spans="1:10" ht="45" x14ac:dyDescent="0.25">
      <c r="A49" s="18" t="s">
        <v>262</v>
      </c>
      <c r="B49" s="12" t="str">
        <f>HYPERLINK("http://www.twitter.com/GHSLibrGHSLibr", "GHSLibrGHSLibr")</f>
        <v>GHSLibrGHSLibr</v>
      </c>
      <c r="C49" s="10" t="s">
        <v>2006</v>
      </c>
      <c r="D49" s="10" t="s">
        <v>2007</v>
      </c>
      <c r="E49" s="13">
        <v>401</v>
      </c>
      <c r="F49" s="13">
        <v>420</v>
      </c>
      <c r="G49" s="13">
        <v>6064</v>
      </c>
      <c r="H49" s="13">
        <v>1355</v>
      </c>
      <c r="I49" s="14">
        <v>41523</v>
      </c>
      <c r="J49" s="20">
        <v>42940</v>
      </c>
    </row>
    <row r="50" spans="1:10" ht="30" x14ac:dyDescent="0.25">
      <c r="A50" s="18" t="s">
        <v>22</v>
      </c>
      <c r="B50" s="12" t="str">
        <f>HYPERLINK("http://www.twitter.com/ByLeavesWeLive", "ByLeavesWeLive")</f>
        <v>ByLeavesWeLive</v>
      </c>
      <c r="C50" s="10" t="s">
        <v>23</v>
      </c>
      <c r="D50" s="10" t="s">
        <v>24</v>
      </c>
      <c r="E50" s="13">
        <v>10982</v>
      </c>
      <c r="F50" s="13">
        <v>33376</v>
      </c>
      <c r="G50" s="13">
        <v>63843</v>
      </c>
      <c r="H50" s="13">
        <v>506</v>
      </c>
      <c r="I50" s="14">
        <v>39868</v>
      </c>
      <c r="J50" s="20">
        <v>42940</v>
      </c>
    </row>
    <row r="51" spans="1:10" ht="30" x14ac:dyDescent="0.25">
      <c r="A51" s="18" t="s">
        <v>22</v>
      </c>
      <c r="B51" s="12" t="str">
        <f>HYPERLINK("http://www.twitter.com/inner_temple", "inner_temple")</f>
        <v>inner_temple</v>
      </c>
      <c r="C51" s="10" t="s">
        <v>112</v>
      </c>
      <c r="D51" s="10" t="s">
        <v>36</v>
      </c>
      <c r="E51" s="13">
        <v>404</v>
      </c>
      <c r="F51" s="13">
        <v>8749</v>
      </c>
      <c r="G51" s="13">
        <v>46849</v>
      </c>
      <c r="H51" s="13">
        <v>250</v>
      </c>
      <c r="I51" s="14">
        <v>39303</v>
      </c>
      <c r="J51" s="20">
        <v>42940</v>
      </c>
    </row>
    <row r="52" spans="1:10" ht="30" x14ac:dyDescent="0.25">
      <c r="A52" s="18" t="s">
        <v>22</v>
      </c>
      <c r="B52" s="12" t="str">
        <f>HYPERLINK("http://www.twitter.com/gladlib", "gladlib")</f>
        <v>gladlib</v>
      </c>
      <c r="C52" s="10" t="s">
        <v>154</v>
      </c>
      <c r="D52" s="10" t="s">
        <v>155</v>
      </c>
      <c r="E52" s="13">
        <v>3540</v>
      </c>
      <c r="F52" s="13">
        <v>6556</v>
      </c>
      <c r="G52" s="13">
        <v>12049</v>
      </c>
      <c r="H52" s="13">
        <v>6327</v>
      </c>
      <c r="I52" s="14">
        <v>40408</v>
      </c>
      <c r="J52" s="20">
        <v>42940</v>
      </c>
    </row>
    <row r="53" spans="1:10" ht="45" x14ac:dyDescent="0.25">
      <c r="A53" s="24" t="s">
        <v>22</v>
      </c>
      <c r="B53" s="25" t="str">
        <f>HYPERLINK("http://www.twitter.com/womenslibrary", "womenslibrary")</f>
        <v>womenslibrary</v>
      </c>
      <c r="C53" s="26" t="s">
        <v>98</v>
      </c>
      <c r="D53" s="26" t="s">
        <v>99</v>
      </c>
      <c r="E53" s="27">
        <v>6273</v>
      </c>
      <c r="F53" s="27">
        <v>10139</v>
      </c>
      <c r="G53" s="27">
        <v>11891</v>
      </c>
      <c r="H53" s="27">
        <v>11631</v>
      </c>
      <c r="I53" s="28">
        <v>39652</v>
      </c>
      <c r="J53" s="29">
        <v>42940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15"/>
  <sheetViews>
    <sheetView workbookViewId="0">
      <pane ySplit="1" topLeftCell="A2" activePane="bottomLeft" state="frozen"/>
      <selection pane="bottomLeft"/>
    </sheetView>
  </sheetViews>
  <sheetFormatPr defaultRowHeight="15" x14ac:dyDescent="0.25"/>
  <cols>
    <col min="1" max="1" width="13.7109375" style="45" customWidth="1"/>
    <col min="2" max="2" width="23.5703125" style="45" customWidth="1"/>
    <col min="3" max="3" width="44" style="45" customWidth="1"/>
    <col min="4" max="4" width="44" style="46" customWidth="1"/>
    <col min="5" max="5" width="11.28515625" style="59" customWidth="1"/>
    <col min="6" max="6" width="33.7109375" style="8" customWidth="1"/>
    <col min="7" max="16384" width="9.140625" style="45"/>
  </cols>
  <sheetData>
    <row r="1" spans="1:6" ht="30" x14ac:dyDescent="0.25">
      <c r="A1" s="58" t="s">
        <v>0</v>
      </c>
      <c r="B1" s="58" t="s">
        <v>1</v>
      </c>
      <c r="C1" s="58" t="s">
        <v>2</v>
      </c>
      <c r="D1" s="4" t="s">
        <v>3</v>
      </c>
      <c r="E1" s="4" t="s">
        <v>8</v>
      </c>
      <c r="F1" s="4" t="s">
        <v>13531</v>
      </c>
    </row>
    <row r="2" spans="1:6" x14ac:dyDescent="0.25">
      <c r="A2" s="3" t="s">
        <v>262</v>
      </c>
      <c r="B2" s="45" t="s">
        <v>3223</v>
      </c>
      <c r="E2" s="59">
        <v>42481</v>
      </c>
      <c r="F2" s="60" t="s">
        <v>3747</v>
      </c>
    </row>
    <row r="3" spans="1:6" ht="30" x14ac:dyDescent="0.25">
      <c r="A3" s="3" t="s">
        <v>262</v>
      </c>
      <c r="B3" s="45" t="s">
        <v>3223</v>
      </c>
      <c r="D3" s="46" t="s">
        <v>3552</v>
      </c>
      <c r="E3" s="59">
        <v>42481</v>
      </c>
      <c r="F3" s="60" t="s">
        <v>3747</v>
      </c>
    </row>
    <row r="4" spans="1:6" ht="45" x14ac:dyDescent="0.25">
      <c r="A4" s="3" t="s">
        <v>14</v>
      </c>
      <c r="B4" s="45" t="s">
        <v>1979</v>
      </c>
      <c r="C4" s="45" t="s">
        <v>1980</v>
      </c>
      <c r="D4" s="46" t="s">
        <v>1981</v>
      </c>
      <c r="E4" s="59">
        <v>41466</v>
      </c>
      <c r="F4" s="60" t="s">
        <v>3747</v>
      </c>
    </row>
    <row r="5" spans="1:6" ht="60" x14ac:dyDescent="0.25">
      <c r="A5" s="3" t="s">
        <v>14</v>
      </c>
      <c r="B5" s="45" t="s">
        <v>1979</v>
      </c>
      <c r="C5" s="45" t="s">
        <v>1980</v>
      </c>
      <c r="D5" s="46" t="s">
        <v>3695</v>
      </c>
      <c r="E5" s="59">
        <v>41466</v>
      </c>
      <c r="F5" s="60" t="s">
        <v>3747</v>
      </c>
    </row>
    <row r="6" spans="1:6" x14ac:dyDescent="0.25">
      <c r="A6" s="3" t="s">
        <v>262</v>
      </c>
      <c r="B6" s="45" t="s">
        <v>3266</v>
      </c>
      <c r="D6" s="46" t="s">
        <v>3267</v>
      </c>
      <c r="E6" s="59">
        <v>41606</v>
      </c>
      <c r="F6" s="60" t="s">
        <v>3747</v>
      </c>
    </row>
    <row r="7" spans="1:6" ht="30" x14ac:dyDescent="0.25">
      <c r="A7" s="3" t="s">
        <v>262</v>
      </c>
      <c r="B7" s="45" t="s">
        <v>3266</v>
      </c>
      <c r="D7" s="46" t="s">
        <v>3578</v>
      </c>
      <c r="E7" s="59">
        <v>41606</v>
      </c>
      <c r="F7" s="60" t="s">
        <v>3747</v>
      </c>
    </row>
    <row r="8" spans="1:6" ht="45" x14ac:dyDescent="0.25">
      <c r="A8" s="3" t="s">
        <v>14</v>
      </c>
      <c r="B8" s="45" t="s">
        <v>804</v>
      </c>
      <c r="C8" s="45" t="s">
        <v>805</v>
      </c>
      <c r="D8" s="46" t="s">
        <v>806</v>
      </c>
      <c r="E8" s="59">
        <v>40632</v>
      </c>
      <c r="F8" s="61" t="s">
        <v>3745</v>
      </c>
    </row>
    <row r="9" spans="1:6" ht="30" x14ac:dyDescent="0.25">
      <c r="A9" s="3" t="s">
        <v>72</v>
      </c>
      <c r="B9" s="45" t="s">
        <v>3098</v>
      </c>
      <c r="C9" s="45" t="s">
        <v>926</v>
      </c>
      <c r="D9" s="46" t="s">
        <v>3099</v>
      </c>
      <c r="E9" s="59">
        <v>42409</v>
      </c>
      <c r="F9" s="61" t="s">
        <v>3745</v>
      </c>
    </row>
    <row r="10" spans="1:6" ht="45" x14ac:dyDescent="0.25">
      <c r="A10" s="3" t="s">
        <v>14</v>
      </c>
      <c r="B10" s="45" t="s">
        <v>966</v>
      </c>
      <c r="C10" s="45" t="s">
        <v>967</v>
      </c>
      <c r="D10" s="46" t="s">
        <v>968</v>
      </c>
      <c r="E10" s="59">
        <v>39983</v>
      </c>
      <c r="F10" s="61" t="s">
        <v>3747</v>
      </c>
    </row>
    <row r="11" spans="1:6" x14ac:dyDescent="0.25">
      <c r="A11" s="3" t="s">
        <v>14</v>
      </c>
      <c r="B11" s="45" t="s">
        <v>966</v>
      </c>
      <c r="C11" s="45" t="s">
        <v>967</v>
      </c>
      <c r="D11" s="46" t="s">
        <v>3715</v>
      </c>
      <c r="E11" s="59">
        <v>39983</v>
      </c>
      <c r="F11" s="61" t="s">
        <v>3747</v>
      </c>
    </row>
    <row r="12" spans="1:6" ht="60" x14ac:dyDescent="0.25">
      <c r="A12" s="3" t="s">
        <v>18</v>
      </c>
      <c r="B12" s="45" t="s">
        <v>3316</v>
      </c>
      <c r="C12" s="45" t="s">
        <v>3317</v>
      </c>
      <c r="D12" s="46" t="s">
        <v>3318</v>
      </c>
      <c r="E12" s="59">
        <v>42016</v>
      </c>
      <c r="F12" s="61" t="s">
        <v>3745</v>
      </c>
    </row>
    <row r="13" spans="1:6" ht="60" x14ac:dyDescent="0.25">
      <c r="A13" s="3" t="s">
        <v>18</v>
      </c>
      <c r="B13" s="45" t="s">
        <v>392</v>
      </c>
      <c r="C13" s="45" t="s">
        <v>393</v>
      </c>
      <c r="D13" s="46" t="s">
        <v>394</v>
      </c>
      <c r="E13" s="59">
        <v>41327</v>
      </c>
      <c r="F13" s="60" t="s">
        <v>3747</v>
      </c>
    </row>
    <row r="14" spans="1:6" ht="60" x14ac:dyDescent="0.25">
      <c r="A14" s="3" t="s">
        <v>3742</v>
      </c>
      <c r="B14" s="45" t="s">
        <v>392</v>
      </c>
      <c r="C14" s="45" t="s">
        <v>393</v>
      </c>
      <c r="D14" s="46" t="s">
        <v>3655</v>
      </c>
      <c r="E14" s="59">
        <v>41327</v>
      </c>
      <c r="F14" s="60" t="s">
        <v>3747</v>
      </c>
    </row>
    <row r="15" spans="1:6" ht="60" x14ac:dyDescent="0.25">
      <c r="A15" s="3" t="s">
        <v>262</v>
      </c>
      <c r="B15" s="45" t="s">
        <v>3029</v>
      </c>
      <c r="C15" s="45" t="s">
        <v>3030</v>
      </c>
      <c r="D15" s="46" t="s">
        <v>3031</v>
      </c>
      <c r="E15" s="59">
        <v>42339</v>
      </c>
      <c r="F15" s="60" t="s">
        <v>3747</v>
      </c>
    </row>
    <row r="16" spans="1:6" ht="60" x14ac:dyDescent="0.25">
      <c r="A16" s="3" t="s">
        <v>262</v>
      </c>
      <c r="B16" s="45" t="s">
        <v>3029</v>
      </c>
      <c r="C16" s="45" t="s">
        <v>3030</v>
      </c>
      <c r="D16" s="46" t="s">
        <v>3564</v>
      </c>
      <c r="E16" s="59">
        <v>42339</v>
      </c>
      <c r="F16" s="60" t="s">
        <v>3747</v>
      </c>
    </row>
    <row r="17" spans="1:6" ht="45" x14ac:dyDescent="0.25">
      <c r="A17" s="3" t="s">
        <v>120</v>
      </c>
      <c r="B17" s="45" t="s">
        <v>323</v>
      </c>
      <c r="C17" s="45" t="s">
        <v>324</v>
      </c>
      <c r="D17" s="46" t="s">
        <v>325</v>
      </c>
      <c r="E17" s="59">
        <v>40276</v>
      </c>
      <c r="F17" s="61" t="s">
        <v>3746</v>
      </c>
    </row>
    <row r="18" spans="1:6" ht="45" x14ac:dyDescent="0.25">
      <c r="A18" s="3" t="s">
        <v>120</v>
      </c>
      <c r="B18" s="45" t="s">
        <v>323</v>
      </c>
      <c r="C18" s="45" t="s">
        <v>3677</v>
      </c>
      <c r="D18" s="46" t="s">
        <v>325</v>
      </c>
      <c r="E18" s="59">
        <v>40276</v>
      </c>
      <c r="F18" s="60" t="s">
        <v>3746</v>
      </c>
    </row>
    <row r="19" spans="1:6" ht="45" x14ac:dyDescent="0.25">
      <c r="A19" s="3" t="s">
        <v>46</v>
      </c>
      <c r="B19" s="45" t="s">
        <v>654</v>
      </c>
      <c r="C19" s="45" t="s">
        <v>655</v>
      </c>
      <c r="D19" s="46" t="s">
        <v>656</v>
      </c>
      <c r="E19" s="59">
        <v>40471</v>
      </c>
      <c r="F19" s="60" t="s">
        <v>3746</v>
      </c>
    </row>
    <row r="20" spans="1:6" ht="45" x14ac:dyDescent="0.25">
      <c r="A20" s="3" t="s">
        <v>46</v>
      </c>
      <c r="B20" s="45" t="s">
        <v>654</v>
      </c>
      <c r="C20" s="45" t="s">
        <v>3674</v>
      </c>
      <c r="D20" s="46" t="s">
        <v>656</v>
      </c>
      <c r="E20" s="59">
        <v>40471</v>
      </c>
      <c r="F20" s="60" t="s">
        <v>3746</v>
      </c>
    </row>
    <row r="21" spans="1:6" ht="45" x14ac:dyDescent="0.25">
      <c r="A21" s="3" t="s">
        <v>262</v>
      </c>
      <c r="B21" s="45" t="s">
        <v>3173</v>
      </c>
      <c r="D21" s="46" t="s">
        <v>3174</v>
      </c>
      <c r="E21" s="59">
        <v>40981</v>
      </c>
      <c r="F21" s="61" t="s">
        <v>3748</v>
      </c>
    </row>
    <row r="22" spans="1:6" ht="45" x14ac:dyDescent="0.25">
      <c r="A22" s="3" t="s">
        <v>262</v>
      </c>
      <c r="B22" s="45" t="s">
        <v>3173</v>
      </c>
      <c r="D22" s="46" t="s">
        <v>3592</v>
      </c>
      <c r="E22" s="59">
        <v>40981</v>
      </c>
      <c r="F22" s="61" t="s">
        <v>3748</v>
      </c>
    </row>
    <row r="23" spans="1:6" ht="60" x14ac:dyDescent="0.25">
      <c r="A23" s="3" t="s">
        <v>46</v>
      </c>
      <c r="B23" s="45" t="s">
        <v>545</v>
      </c>
      <c r="C23" s="45" t="s">
        <v>546</v>
      </c>
      <c r="D23" s="46" t="s">
        <v>547</v>
      </c>
      <c r="E23" s="59">
        <v>40716</v>
      </c>
      <c r="F23" s="61" t="s">
        <v>3746</v>
      </c>
    </row>
    <row r="24" spans="1:6" ht="60" x14ac:dyDescent="0.25">
      <c r="A24" s="3" t="s">
        <v>46</v>
      </c>
      <c r="B24" s="45" t="s">
        <v>545</v>
      </c>
      <c r="C24" s="45" t="s">
        <v>3668</v>
      </c>
      <c r="D24" s="46" t="s">
        <v>547</v>
      </c>
      <c r="E24" s="59">
        <v>40716</v>
      </c>
      <c r="F24" s="60" t="s">
        <v>3746</v>
      </c>
    </row>
    <row r="25" spans="1:6" ht="30" x14ac:dyDescent="0.25">
      <c r="A25" s="3" t="s">
        <v>262</v>
      </c>
      <c r="B25" s="45" t="s">
        <v>2566</v>
      </c>
      <c r="C25" s="45" t="s">
        <v>2567</v>
      </c>
      <c r="D25" s="46" t="s">
        <v>2568</v>
      </c>
      <c r="E25" s="59">
        <v>42398</v>
      </c>
      <c r="F25" s="61" t="s">
        <v>3747</v>
      </c>
    </row>
    <row r="26" spans="1:6" ht="45" x14ac:dyDescent="0.25">
      <c r="A26" s="3" t="s">
        <v>262</v>
      </c>
      <c r="B26" s="45" t="s">
        <v>2566</v>
      </c>
      <c r="C26" s="45" t="s">
        <v>2567</v>
      </c>
      <c r="D26" s="46" t="s">
        <v>3554</v>
      </c>
      <c r="E26" s="59">
        <v>42398</v>
      </c>
      <c r="F26" s="60" t="s">
        <v>3747</v>
      </c>
    </row>
    <row r="27" spans="1:6" ht="60" x14ac:dyDescent="0.25">
      <c r="A27" s="3" t="s">
        <v>22</v>
      </c>
      <c r="B27" s="45" t="s">
        <v>1960</v>
      </c>
      <c r="D27" s="46" t="s">
        <v>1961</v>
      </c>
      <c r="E27" s="59">
        <v>42123</v>
      </c>
      <c r="F27" s="61" t="s">
        <v>3748</v>
      </c>
    </row>
    <row r="28" spans="1:6" ht="60" x14ac:dyDescent="0.25">
      <c r="A28" s="3" t="s">
        <v>22</v>
      </c>
      <c r="B28" s="45" t="s">
        <v>1960</v>
      </c>
      <c r="D28" s="46" t="s">
        <v>3620</v>
      </c>
      <c r="E28" s="59">
        <v>42123</v>
      </c>
      <c r="F28" s="60" t="s">
        <v>3748</v>
      </c>
    </row>
    <row r="29" spans="1:6" ht="75" x14ac:dyDescent="0.25">
      <c r="A29" s="3" t="s">
        <v>18</v>
      </c>
      <c r="B29" s="45" t="s">
        <v>2465</v>
      </c>
      <c r="C29" s="45" t="s">
        <v>2466</v>
      </c>
      <c r="D29" s="46" t="s">
        <v>2467</v>
      </c>
      <c r="E29" s="59">
        <v>42699</v>
      </c>
      <c r="F29" s="61" t="s">
        <v>3747</v>
      </c>
    </row>
    <row r="30" spans="1:6" ht="60" x14ac:dyDescent="0.25">
      <c r="A30" s="3" t="s">
        <v>3742</v>
      </c>
      <c r="B30" s="45" t="s">
        <v>2465</v>
      </c>
      <c r="C30" s="45" t="s">
        <v>2466</v>
      </c>
      <c r="D30" s="46" t="s">
        <v>3629</v>
      </c>
      <c r="E30" s="59">
        <v>42699</v>
      </c>
      <c r="F30" s="60" t="s">
        <v>3747</v>
      </c>
    </row>
    <row r="31" spans="1:6" ht="30" x14ac:dyDescent="0.25">
      <c r="A31" s="3" t="s">
        <v>14</v>
      </c>
      <c r="B31" s="45" t="s">
        <v>1123</v>
      </c>
      <c r="C31" s="45" t="s">
        <v>1124</v>
      </c>
      <c r="D31" s="46" t="s">
        <v>1125</v>
      </c>
      <c r="E31" s="59">
        <v>39449</v>
      </c>
      <c r="F31" s="61" t="s">
        <v>3747</v>
      </c>
    </row>
    <row r="32" spans="1:6" ht="30" x14ac:dyDescent="0.25">
      <c r="A32" s="3" t="s">
        <v>14</v>
      </c>
      <c r="B32" s="45" t="s">
        <v>1123</v>
      </c>
      <c r="C32" s="45" t="s">
        <v>1124</v>
      </c>
      <c r="D32" s="46" t="s">
        <v>3722</v>
      </c>
      <c r="E32" s="59">
        <v>39449</v>
      </c>
      <c r="F32" s="61" t="s">
        <v>3747</v>
      </c>
    </row>
    <row r="33" spans="1:6" ht="60" x14ac:dyDescent="0.25">
      <c r="A33" s="3" t="s">
        <v>72</v>
      </c>
      <c r="B33" s="45" t="s">
        <v>2160</v>
      </c>
      <c r="C33" s="45" t="s">
        <v>2161</v>
      </c>
      <c r="D33" s="46" t="s">
        <v>2162</v>
      </c>
      <c r="E33" s="59">
        <v>41151</v>
      </c>
      <c r="F33" s="61" t="s">
        <v>3746</v>
      </c>
    </row>
    <row r="34" spans="1:6" ht="60" x14ac:dyDescent="0.25">
      <c r="A34" s="3" t="s">
        <v>72</v>
      </c>
      <c r="B34" s="45" t="s">
        <v>2160</v>
      </c>
      <c r="C34" s="45" t="s">
        <v>3735</v>
      </c>
      <c r="D34" s="46" t="s">
        <v>2162</v>
      </c>
      <c r="E34" s="59">
        <v>41151</v>
      </c>
      <c r="F34" s="60" t="s">
        <v>3746</v>
      </c>
    </row>
    <row r="35" spans="1:6" ht="45" x14ac:dyDescent="0.25">
      <c r="A35" s="3" t="s">
        <v>262</v>
      </c>
      <c r="B35" s="45" t="s">
        <v>3606</v>
      </c>
      <c r="C35" s="45" t="s">
        <v>3607</v>
      </c>
      <c r="D35" s="46" t="s">
        <v>3608</v>
      </c>
      <c r="E35" s="59">
        <v>40606</v>
      </c>
      <c r="F35" s="60" t="s">
        <v>3743</v>
      </c>
    </row>
    <row r="36" spans="1:6" ht="45" x14ac:dyDescent="0.25">
      <c r="A36" s="3" t="s">
        <v>262</v>
      </c>
      <c r="B36" s="45" t="s">
        <v>1171</v>
      </c>
      <c r="C36" s="45" t="s">
        <v>1172</v>
      </c>
      <c r="D36" s="46" t="s">
        <v>1173</v>
      </c>
      <c r="E36" s="59">
        <v>41015</v>
      </c>
      <c r="F36" s="60" t="s">
        <v>3743</v>
      </c>
    </row>
    <row r="37" spans="1:6" ht="60" x14ac:dyDescent="0.25">
      <c r="A37" s="3" t="s">
        <v>46</v>
      </c>
      <c r="B37" s="45" t="s">
        <v>79</v>
      </c>
      <c r="C37" s="45" t="s">
        <v>80</v>
      </c>
      <c r="D37" s="46" t="s">
        <v>81</v>
      </c>
      <c r="E37" s="59">
        <v>39896</v>
      </c>
      <c r="F37" s="61" t="s">
        <v>3747</v>
      </c>
    </row>
    <row r="38" spans="1:6" ht="60" x14ac:dyDescent="0.25">
      <c r="A38" s="3" t="s">
        <v>46</v>
      </c>
      <c r="B38" s="45" t="s">
        <v>79</v>
      </c>
      <c r="C38" s="45" t="s">
        <v>80</v>
      </c>
      <c r="D38" s="46" t="s">
        <v>3685</v>
      </c>
      <c r="E38" s="59">
        <v>39896</v>
      </c>
      <c r="F38" s="61" t="s">
        <v>3747</v>
      </c>
    </row>
    <row r="39" spans="1:6" ht="60" x14ac:dyDescent="0.25">
      <c r="A39" s="3" t="s">
        <v>46</v>
      </c>
      <c r="B39" s="45" t="s">
        <v>368</v>
      </c>
      <c r="C39" s="45" t="s">
        <v>369</v>
      </c>
      <c r="D39" s="46" t="s">
        <v>370</v>
      </c>
      <c r="E39" s="59">
        <v>41242</v>
      </c>
      <c r="F39" s="61" t="s">
        <v>3746</v>
      </c>
    </row>
    <row r="40" spans="1:6" ht="60" x14ac:dyDescent="0.25">
      <c r="A40" s="3" t="s">
        <v>46</v>
      </c>
      <c r="B40" s="45" t="s">
        <v>368</v>
      </c>
      <c r="C40" s="45" t="s">
        <v>3656</v>
      </c>
      <c r="D40" s="46" t="s">
        <v>370</v>
      </c>
      <c r="E40" s="59">
        <v>41242</v>
      </c>
      <c r="F40" s="60" t="s">
        <v>3746</v>
      </c>
    </row>
    <row r="41" spans="1:6" ht="60" x14ac:dyDescent="0.25">
      <c r="A41" s="3" t="s">
        <v>22</v>
      </c>
      <c r="B41" s="45" t="s">
        <v>1279</v>
      </c>
      <c r="C41" s="45" t="s">
        <v>1280</v>
      </c>
      <c r="D41" s="46" t="s">
        <v>1281</v>
      </c>
      <c r="E41" s="59">
        <v>42472</v>
      </c>
      <c r="F41" s="61" t="s">
        <v>3748</v>
      </c>
    </row>
    <row r="42" spans="1:6" ht="60" x14ac:dyDescent="0.25">
      <c r="A42" s="3" t="s">
        <v>22</v>
      </c>
      <c r="B42" s="45" t="s">
        <v>1279</v>
      </c>
      <c r="C42" s="45" t="s">
        <v>1280</v>
      </c>
      <c r="D42" s="46" t="s">
        <v>3619</v>
      </c>
      <c r="E42" s="59">
        <v>42472</v>
      </c>
      <c r="F42" s="60" t="s">
        <v>3748</v>
      </c>
    </row>
    <row r="43" spans="1:6" ht="45" x14ac:dyDescent="0.25">
      <c r="A43" s="3" t="s">
        <v>120</v>
      </c>
      <c r="B43" s="45" t="s">
        <v>146</v>
      </c>
      <c r="C43" s="45" t="s">
        <v>147</v>
      </c>
      <c r="D43" s="46" t="s">
        <v>148</v>
      </c>
      <c r="E43" s="59">
        <v>39909</v>
      </c>
      <c r="F43" s="61" t="s">
        <v>3747</v>
      </c>
    </row>
    <row r="44" spans="1:6" ht="60" x14ac:dyDescent="0.25">
      <c r="A44" s="3" t="s">
        <v>120</v>
      </c>
      <c r="B44" s="45" t="s">
        <v>146</v>
      </c>
      <c r="C44" s="45" t="s">
        <v>147</v>
      </c>
      <c r="D44" s="46" t="s">
        <v>3684</v>
      </c>
      <c r="E44" s="59">
        <v>39909</v>
      </c>
      <c r="F44" s="60" t="s">
        <v>3747</v>
      </c>
    </row>
    <row r="45" spans="1:6" ht="45" x14ac:dyDescent="0.25">
      <c r="A45" s="3" t="s">
        <v>10</v>
      </c>
      <c r="B45" s="45" t="s">
        <v>1065</v>
      </c>
      <c r="C45" s="45" t="s">
        <v>505</v>
      </c>
      <c r="D45" s="46" t="s">
        <v>1066</v>
      </c>
      <c r="E45" s="59">
        <v>40014</v>
      </c>
      <c r="F45" s="61" t="s">
        <v>3747</v>
      </c>
    </row>
    <row r="46" spans="1:6" ht="45" x14ac:dyDescent="0.25">
      <c r="A46" s="3" t="s">
        <v>3628</v>
      </c>
      <c r="B46" s="45" t="s">
        <v>1065</v>
      </c>
      <c r="C46" s="45" t="s">
        <v>505</v>
      </c>
      <c r="D46" s="46" t="s">
        <v>3627</v>
      </c>
      <c r="E46" s="59">
        <v>40014</v>
      </c>
      <c r="F46" s="60" t="s">
        <v>3747</v>
      </c>
    </row>
    <row r="47" spans="1:6" ht="60" x14ac:dyDescent="0.25">
      <c r="A47" s="3" t="s">
        <v>72</v>
      </c>
      <c r="B47" s="45" t="s">
        <v>3024</v>
      </c>
      <c r="C47" s="45" t="s">
        <v>3025</v>
      </c>
      <c r="D47" s="46" t="s">
        <v>3026</v>
      </c>
      <c r="E47" s="59">
        <v>42241</v>
      </c>
      <c r="F47" s="60" t="s">
        <v>3747</v>
      </c>
    </row>
    <row r="48" spans="1:6" ht="60" x14ac:dyDescent="0.25">
      <c r="A48" s="3" t="s">
        <v>72</v>
      </c>
      <c r="B48" s="45" t="s">
        <v>3024</v>
      </c>
      <c r="C48" s="45" t="s">
        <v>3025</v>
      </c>
      <c r="D48" s="46" t="s">
        <v>3726</v>
      </c>
      <c r="E48" s="59">
        <v>42241</v>
      </c>
      <c r="F48" s="60" t="s">
        <v>3747</v>
      </c>
    </row>
    <row r="49" spans="1:6" ht="30" x14ac:dyDescent="0.25">
      <c r="A49" s="3" t="s">
        <v>72</v>
      </c>
      <c r="B49" s="45" t="s">
        <v>2810</v>
      </c>
      <c r="C49" s="45" t="s">
        <v>2811</v>
      </c>
      <c r="D49" s="46" t="s">
        <v>2812</v>
      </c>
      <c r="E49" s="59">
        <v>41761</v>
      </c>
      <c r="F49" s="60" t="s">
        <v>3747</v>
      </c>
    </row>
    <row r="50" spans="1:6" ht="60" x14ac:dyDescent="0.25">
      <c r="A50" s="3" t="s">
        <v>72</v>
      </c>
      <c r="B50" s="45" t="s">
        <v>2810</v>
      </c>
      <c r="C50" s="45" t="s">
        <v>2811</v>
      </c>
      <c r="D50" s="46" t="s">
        <v>3729</v>
      </c>
      <c r="E50" s="59">
        <v>41761</v>
      </c>
      <c r="F50" s="60" t="s">
        <v>3747</v>
      </c>
    </row>
    <row r="51" spans="1:6" ht="30" x14ac:dyDescent="0.25">
      <c r="A51" s="3" t="s">
        <v>18</v>
      </c>
      <c r="B51" s="45" t="s">
        <v>2624</v>
      </c>
      <c r="C51" s="45" t="s">
        <v>2625</v>
      </c>
      <c r="D51" s="46" t="s">
        <v>2626</v>
      </c>
      <c r="E51" s="59">
        <v>39954</v>
      </c>
      <c r="F51" s="61" t="s">
        <v>3745</v>
      </c>
    </row>
    <row r="52" spans="1:6" ht="60" x14ac:dyDescent="0.25">
      <c r="A52" s="3" t="s">
        <v>243</v>
      </c>
      <c r="B52" s="45" t="s">
        <v>476</v>
      </c>
      <c r="C52" s="45" t="s">
        <v>477</v>
      </c>
      <c r="D52" s="46" t="s">
        <v>478</v>
      </c>
      <c r="E52" s="59">
        <v>42660</v>
      </c>
      <c r="F52" s="60" t="s">
        <v>3747</v>
      </c>
    </row>
    <row r="53" spans="1:6" ht="45" x14ac:dyDescent="0.25">
      <c r="A53" s="3" t="s">
        <v>243</v>
      </c>
      <c r="B53" s="45" t="s">
        <v>476</v>
      </c>
      <c r="C53" s="45" t="s">
        <v>477</v>
      </c>
      <c r="D53" s="46" t="s">
        <v>3631</v>
      </c>
      <c r="E53" s="59">
        <v>42660</v>
      </c>
      <c r="F53" s="60" t="s">
        <v>3747</v>
      </c>
    </row>
    <row r="54" spans="1:6" ht="30" x14ac:dyDescent="0.25">
      <c r="A54" s="3" t="s">
        <v>72</v>
      </c>
      <c r="B54" s="45" t="s">
        <v>2892</v>
      </c>
      <c r="C54" s="45" t="s">
        <v>2893</v>
      </c>
      <c r="D54" s="46" t="s">
        <v>2894</v>
      </c>
      <c r="E54" s="59">
        <v>41437</v>
      </c>
      <c r="F54" s="60" t="s">
        <v>3747</v>
      </c>
    </row>
    <row r="55" spans="1:6" ht="45" x14ac:dyDescent="0.25">
      <c r="A55" s="3" t="s">
        <v>72</v>
      </c>
      <c r="B55" s="45" t="s">
        <v>2892</v>
      </c>
      <c r="C55" s="45" t="s">
        <v>2893</v>
      </c>
      <c r="D55" s="46" t="s">
        <v>3731</v>
      </c>
      <c r="E55" s="59">
        <v>41437</v>
      </c>
      <c r="F55" s="60" t="s">
        <v>3747</v>
      </c>
    </row>
    <row r="56" spans="1:6" x14ac:dyDescent="0.25">
      <c r="A56" s="3" t="s">
        <v>14</v>
      </c>
      <c r="B56" s="45" t="s">
        <v>1971</v>
      </c>
      <c r="C56" s="45" t="s">
        <v>36</v>
      </c>
      <c r="D56" s="46" t="s">
        <v>1972</v>
      </c>
      <c r="E56" s="59">
        <v>39968</v>
      </c>
      <c r="F56" s="60" t="s">
        <v>3747</v>
      </c>
    </row>
    <row r="57" spans="1:6" ht="30" x14ac:dyDescent="0.25">
      <c r="A57" s="3" t="s">
        <v>14</v>
      </c>
      <c r="B57" s="45" t="s">
        <v>1971</v>
      </c>
      <c r="C57" s="45" t="s">
        <v>36</v>
      </c>
      <c r="D57" s="46" t="s">
        <v>3716</v>
      </c>
      <c r="E57" s="59">
        <v>39968</v>
      </c>
      <c r="F57" s="60" t="s">
        <v>3747</v>
      </c>
    </row>
    <row r="58" spans="1:6" ht="60" x14ac:dyDescent="0.25">
      <c r="A58" s="3" t="s">
        <v>72</v>
      </c>
      <c r="B58" s="45" t="s">
        <v>1060</v>
      </c>
      <c r="C58" s="45" t="s">
        <v>1061</v>
      </c>
      <c r="D58" s="46" t="s">
        <v>1062</v>
      </c>
      <c r="E58" s="59">
        <v>41648</v>
      </c>
      <c r="F58" s="60" t="s">
        <v>3747</v>
      </c>
    </row>
    <row r="59" spans="1:6" ht="60" x14ac:dyDescent="0.25">
      <c r="A59" s="3" t="s">
        <v>72</v>
      </c>
      <c r="B59" s="45" t="s">
        <v>1060</v>
      </c>
      <c r="C59" s="45" t="s">
        <v>1061</v>
      </c>
      <c r="D59" s="46" t="s">
        <v>3730</v>
      </c>
      <c r="E59" s="59">
        <v>41648</v>
      </c>
      <c r="F59" s="60" t="s">
        <v>3747</v>
      </c>
    </row>
    <row r="60" spans="1:6" ht="60" x14ac:dyDescent="0.25">
      <c r="A60" s="3" t="s">
        <v>46</v>
      </c>
      <c r="B60" s="45" t="s">
        <v>461</v>
      </c>
      <c r="C60" s="45" t="s">
        <v>462</v>
      </c>
      <c r="D60" s="46" t="s">
        <v>463</v>
      </c>
      <c r="E60" s="59">
        <v>41081</v>
      </c>
      <c r="F60" s="60" t="s">
        <v>3747</v>
      </c>
    </row>
    <row r="61" spans="1:6" ht="45" x14ac:dyDescent="0.25">
      <c r="A61" s="3" t="s">
        <v>46</v>
      </c>
      <c r="B61" s="45" t="s">
        <v>461</v>
      </c>
      <c r="C61" s="45" t="s">
        <v>462</v>
      </c>
      <c r="D61" s="46" t="s">
        <v>3658</v>
      </c>
      <c r="E61" s="59">
        <v>41081</v>
      </c>
      <c r="F61" s="60" t="s">
        <v>3747</v>
      </c>
    </row>
    <row r="62" spans="1:6" ht="60" x14ac:dyDescent="0.25">
      <c r="A62" s="3" t="s">
        <v>72</v>
      </c>
      <c r="B62" s="45" t="s">
        <v>1626</v>
      </c>
      <c r="C62" s="45" t="s">
        <v>36</v>
      </c>
      <c r="D62" s="46" t="s">
        <v>1627</v>
      </c>
      <c r="E62" s="59">
        <v>40683</v>
      </c>
      <c r="F62" s="60" t="s">
        <v>3747</v>
      </c>
    </row>
    <row r="63" spans="1:6" ht="60" x14ac:dyDescent="0.25">
      <c r="A63" s="3" t="s">
        <v>72</v>
      </c>
      <c r="B63" s="45" t="s">
        <v>1626</v>
      </c>
      <c r="C63" s="45" t="s">
        <v>36</v>
      </c>
      <c r="D63" s="46" t="s">
        <v>3736</v>
      </c>
      <c r="E63" s="59">
        <v>40683</v>
      </c>
      <c r="F63" s="60" t="s">
        <v>3747</v>
      </c>
    </row>
    <row r="64" spans="1:6" ht="60" x14ac:dyDescent="0.25">
      <c r="A64" s="3" t="s">
        <v>120</v>
      </c>
      <c r="B64" s="45" t="s">
        <v>157</v>
      </c>
      <c r="C64" s="45" t="s">
        <v>158</v>
      </c>
      <c r="D64" s="46" t="s">
        <v>159</v>
      </c>
      <c r="E64" s="59">
        <v>40490</v>
      </c>
      <c r="F64" s="61" t="s">
        <v>3746</v>
      </c>
    </row>
    <row r="65" spans="1:6" ht="60" x14ac:dyDescent="0.25">
      <c r="A65" s="3" t="s">
        <v>120</v>
      </c>
      <c r="B65" s="45" t="s">
        <v>157</v>
      </c>
      <c r="C65" s="45" t="s">
        <v>3672</v>
      </c>
      <c r="D65" s="46" t="s">
        <v>159</v>
      </c>
      <c r="E65" s="59">
        <v>40490</v>
      </c>
      <c r="F65" s="61" t="s">
        <v>3746</v>
      </c>
    </row>
    <row r="66" spans="1:6" ht="60" x14ac:dyDescent="0.25">
      <c r="A66" s="3" t="s">
        <v>14</v>
      </c>
      <c r="B66" s="45" t="s">
        <v>795</v>
      </c>
      <c r="C66" s="45" t="s">
        <v>361</v>
      </c>
      <c r="D66" s="46" t="s">
        <v>796</v>
      </c>
      <c r="E66" s="59">
        <v>41045</v>
      </c>
      <c r="F66" s="60" t="s">
        <v>3747</v>
      </c>
    </row>
    <row r="67" spans="1:6" ht="45" x14ac:dyDescent="0.25">
      <c r="A67" s="3" t="s">
        <v>14</v>
      </c>
      <c r="B67" s="45" t="s">
        <v>795</v>
      </c>
      <c r="C67" s="45" t="s">
        <v>361</v>
      </c>
      <c r="D67" s="46" t="s">
        <v>3698</v>
      </c>
      <c r="E67" s="59">
        <v>41045</v>
      </c>
      <c r="F67" s="60" t="s">
        <v>3747</v>
      </c>
    </row>
    <row r="68" spans="1:6" ht="30" x14ac:dyDescent="0.25">
      <c r="A68" s="3" t="s">
        <v>262</v>
      </c>
      <c r="B68" s="45" t="s">
        <v>3604</v>
      </c>
      <c r="C68" s="45" t="s">
        <v>1295</v>
      </c>
      <c r="D68" s="46" t="s">
        <v>3605</v>
      </c>
      <c r="E68" s="59">
        <v>40701</v>
      </c>
      <c r="F68" s="61" t="s">
        <v>3743</v>
      </c>
    </row>
    <row r="69" spans="1:6" x14ac:dyDescent="0.25">
      <c r="A69" s="3" t="s">
        <v>262</v>
      </c>
      <c r="B69" s="45" t="s">
        <v>3111</v>
      </c>
      <c r="C69" s="45" t="s">
        <v>1295</v>
      </c>
      <c r="D69" s="46" t="s">
        <v>3112</v>
      </c>
      <c r="E69" s="59">
        <v>40701</v>
      </c>
      <c r="F69" s="61" t="s">
        <v>3743</v>
      </c>
    </row>
    <row r="70" spans="1:6" ht="60" x14ac:dyDescent="0.25">
      <c r="A70" s="3" t="s">
        <v>14</v>
      </c>
      <c r="B70" s="45" t="s">
        <v>482</v>
      </c>
      <c r="C70" s="45" t="s">
        <v>225</v>
      </c>
      <c r="D70" s="46" t="s">
        <v>483</v>
      </c>
      <c r="E70" s="59">
        <v>41094</v>
      </c>
      <c r="F70" s="60" t="s">
        <v>3747</v>
      </c>
    </row>
    <row r="71" spans="1:6" ht="60" x14ac:dyDescent="0.25">
      <c r="A71" s="3" t="s">
        <v>14</v>
      </c>
      <c r="B71" s="45" t="s">
        <v>482</v>
      </c>
      <c r="C71" s="45" t="s">
        <v>225</v>
      </c>
      <c r="D71" s="46" t="s">
        <v>3697</v>
      </c>
      <c r="E71" s="59">
        <v>41094</v>
      </c>
      <c r="F71" s="60" t="s">
        <v>3747</v>
      </c>
    </row>
    <row r="72" spans="1:6" ht="60" x14ac:dyDescent="0.25">
      <c r="A72" s="3" t="s">
        <v>262</v>
      </c>
      <c r="B72" s="45" t="s">
        <v>3109</v>
      </c>
      <c r="C72" s="45" t="s">
        <v>926</v>
      </c>
      <c r="D72" s="46" t="s">
        <v>3110</v>
      </c>
      <c r="E72" s="59">
        <v>42635</v>
      </c>
      <c r="F72" s="60" t="s">
        <v>3747</v>
      </c>
    </row>
    <row r="73" spans="1:6" ht="45" x14ac:dyDescent="0.25">
      <c r="A73" s="3" t="s">
        <v>262</v>
      </c>
      <c r="B73" s="45" t="s">
        <v>3109</v>
      </c>
      <c r="C73" s="45" t="s">
        <v>926</v>
      </c>
      <c r="D73" s="46" t="s">
        <v>3551</v>
      </c>
      <c r="E73" s="59">
        <v>42635</v>
      </c>
      <c r="F73" s="60" t="s">
        <v>3747</v>
      </c>
    </row>
    <row r="74" spans="1:6" ht="45" x14ac:dyDescent="0.25">
      <c r="A74" s="3" t="s">
        <v>14</v>
      </c>
      <c r="B74" s="45" t="s">
        <v>123</v>
      </c>
      <c r="C74" s="45" t="s">
        <v>36</v>
      </c>
      <c r="D74" s="46" t="s">
        <v>124</v>
      </c>
      <c r="E74" s="59">
        <v>39920</v>
      </c>
      <c r="F74" s="60" t="s">
        <v>3747</v>
      </c>
    </row>
    <row r="75" spans="1:6" ht="45" x14ac:dyDescent="0.25">
      <c r="A75" s="3" t="s">
        <v>14</v>
      </c>
      <c r="B75" s="45" t="s">
        <v>123</v>
      </c>
      <c r="C75" s="45" t="s">
        <v>36</v>
      </c>
      <c r="D75" s="46" t="s">
        <v>3717</v>
      </c>
      <c r="E75" s="59">
        <v>39920</v>
      </c>
      <c r="F75" s="60" t="s">
        <v>3747</v>
      </c>
    </row>
    <row r="76" spans="1:6" ht="60" x14ac:dyDescent="0.25">
      <c r="A76" s="3" t="s">
        <v>14</v>
      </c>
      <c r="B76" s="45" t="s">
        <v>1769</v>
      </c>
      <c r="C76" s="45" t="s">
        <v>1770</v>
      </c>
      <c r="D76" s="46" t="s">
        <v>1771</v>
      </c>
      <c r="E76" s="59">
        <v>41020</v>
      </c>
      <c r="F76" s="60" t="s">
        <v>3747</v>
      </c>
    </row>
    <row r="77" spans="1:6" ht="60" x14ac:dyDescent="0.25">
      <c r="A77" s="3" t="s">
        <v>14</v>
      </c>
      <c r="B77" s="45" t="s">
        <v>1769</v>
      </c>
      <c r="C77" s="45" t="s">
        <v>1770</v>
      </c>
      <c r="D77" s="46" t="s">
        <v>3699</v>
      </c>
      <c r="E77" s="59">
        <v>41020</v>
      </c>
      <c r="F77" s="60" t="s">
        <v>3747</v>
      </c>
    </row>
    <row r="78" spans="1:6" ht="60" x14ac:dyDescent="0.25">
      <c r="A78" s="3" t="s">
        <v>18</v>
      </c>
      <c r="B78" s="45" t="s">
        <v>114</v>
      </c>
      <c r="C78" s="45" t="s">
        <v>115</v>
      </c>
      <c r="D78" s="46" t="s">
        <v>116</v>
      </c>
      <c r="E78" s="59">
        <v>40473</v>
      </c>
      <c r="F78" s="60" t="s">
        <v>3747</v>
      </c>
    </row>
    <row r="79" spans="1:6" ht="60" x14ac:dyDescent="0.25">
      <c r="A79" s="3" t="s">
        <v>3742</v>
      </c>
      <c r="B79" s="45" t="s">
        <v>114</v>
      </c>
      <c r="C79" s="45" t="s">
        <v>115</v>
      </c>
      <c r="D79" s="46" t="s">
        <v>3673</v>
      </c>
      <c r="E79" s="59">
        <v>40473</v>
      </c>
      <c r="F79" s="60" t="s">
        <v>3747</v>
      </c>
    </row>
    <row r="80" spans="1:6" ht="60" x14ac:dyDescent="0.25">
      <c r="A80" s="3" t="s">
        <v>14</v>
      </c>
      <c r="B80" s="45" t="s">
        <v>1038</v>
      </c>
      <c r="C80" s="45" t="s">
        <v>336</v>
      </c>
      <c r="D80" s="46" t="s">
        <v>1039</v>
      </c>
      <c r="E80" s="59">
        <v>40551</v>
      </c>
      <c r="F80" s="61" t="s">
        <v>3748</v>
      </c>
    </row>
    <row r="81" spans="1:6" ht="60" x14ac:dyDescent="0.25">
      <c r="A81" s="3" t="s">
        <v>14</v>
      </c>
      <c r="B81" s="45" t="s">
        <v>1038</v>
      </c>
      <c r="C81" s="45" t="s">
        <v>336</v>
      </c>
      <c r="D81" s="46" t="s">
        <v>3711</v>
      </c>
      <c r="E81" s="59">
        <v>40551</v>
      </c>
      <c r="F81" s="61" t="s">
        <v>3748</v>
      </c>
    </row>
    <row r="82" spans="1:6" ht="60" x14ac:dyDescent="0.25">
      <c r="A82" s="3" t="s">
        <v>72</v>
      </c>
      <c r="B82" s="45" t="s">
        <v>2484</v>
      </c>
      <c r="D82" s="46" t="s">
        <v>2485</v>
      </c>
      <c r="E82" s="59">
        <v>42142</v>
      </c>
      <c r="F82" s="60" t="s">
        <v>3743</v>
      </c>
    </row>
    <row r="83" spans="1:6" ht="60" x14ac:dyDescent="0.25">
      <c r="A83" s="3" t="s">
        <v>72</v>
      </c>
      <c r="B83" s="45" t="s">
        <v>2484</v>
      </c>
      <c r="D83" s="46" t="s">
        <v>3727</v>
      </c>
      <c r="E83" s="59">
        <v>42142</v>
      </c>
      <c r="F83" s="60" t="s">
        <v>3743</v>
      </c>
    </row>
    <row r="84" spans="1:6" ht="60" x14ac:dyDescent="0.25">
      <c r="A84" s="3" t="s">
        <v>120</v>
      </c>
      <c r="B84" s="45" t="s">
        <v>638</v>
      </c>
      <c r="C84" s="45" t="s">
        <v>639</v>
      </c>
      <c r="D84" s="46" t="s">
        <v>640</v>
      </c>
      <c r="E84" s="59">
        <v>41505</v>
      </c>
      <c r="F84" s="61" t="s">
        <v>3746</v>
      </c>
    </row>
    <row r="85" spans="1:6" ht="60" x14ac:dyDescent="0.25">
      <c r="A85" s="3" t="s">
        <v>120</v>
      </c>
      <c r="B85" s="45" t="s">
        <v>638</v>
      </c>
      <c r="C85" s="45" t="s">
        <v>3650</v>
      </c>
      <c r="D85" s="46" t="s">
        <v>640</v>
      </c>
      <c r="E85" s="59">
        <v>41505</v>
      </c>
      <c r="F85" s="61" t="s">
        <v>3746</v>
      </c>
    </row>
    <row r="86" spans="1:6" ht="60" x14ac:dyDescent="0.25">
      <c r="A86" s="3" t="s">
        <v>46</v>
      </c>
      <c r="B86" s="45" t="s">
        <v>1467</v>
      </c>
      <c r="C86" s="45" t="s">
        <v>1468</v>
      </c>
      <c r="D86" s="46" t="s">
        <v>1469</v>
      </c>
      <c r="E86" s="59">
        <v>42481</v>
      </c>
      <c r="F86" s="61" t="s">
        <v>3747</v>
      </c>
    </row>
    <row r="87" spans="1:6" ht="60" x14ac:dyDescent="0.25">
      <c r="A87" s="3" t="s">
        <v>46</v>
      </c>
      <c r="B87" s="45" t="s">
        <v>1467</v>
      </c>
      <c r="C87" s="45" t="s">
        <v>1468</v>
      </c>
      <c r="D87" s="46" t="s">
        <v>3632</v>
      </c>
      <c r="E87" s="59">
        <v>42481</v>
      </c>
      <c r="F87" s="61" t="s">
        <v>3747</v>
      </c>
    </row>
    <row r="88" spans="1:6" ht="60" x14ac:dyDescent="0.25">
      <c r="A88" s="3" t="s">
        <v>120</v>
      </c>
      <c r="B88" s="45" t="s">
        <v>140</v>
      </c>
      <c r="C88" s="45" t="s">
        <v>141</v>
      </c>
      <c r="D88" s="46" t="s">
        <v>142</v>
      </c>
      <c r="E88" s="59">
        <v>39974</v>
      </c>
      <c r="F88" s="61" t="s">
        <v>3746</v>
      </c>
    </row>
    <row r="89" spans="1:6" ht="60" x14ac:dyDescent="0.25">
      <c r="A89" s="3" t="s">
        <v>120</v>
      </c>
      <c r="B89" s="45" t="s">
        <v>140</v>
      </c>
      <c r="C89" s="45" t="s">
        <v>3680</v>
      </c>
      <c r="D89" s="46" t="s">
        <v>142</v>
      </c>
      <c r="E89" s="59">
        <v>39974</v>
      </c>
      <c r="F89" s="60" t="s">
        <v>3746</v>
      </c>
    </row>
    <row r="90" spans="1:6" ht="60" x14ac:dyDescent="0.25">
      <c r="A90" s="3" t="s">
        <v>262</v>
      </c>
      <c r="B90" s="45" t="s">
        <v>3209</v>
      </c>
      <c r="C90" s="45" t="s">
        <v>3210</v>
      </c>
      <c r="D90" s="46" t="s">
        <v>3211</v>
      </c>
      <c r="E90" s="59">
        <v>42136</v>
      </c>
      <c r="F90" s="61" t="s">
        <v>3744</v>
      </c>
    </row>
    <row r="91" spans="1:6" ht="45" x14ac:dyDescent="0.25">
      <c r="A91" s="3" t="s">
        <v>18</v>
      </c>
      <c r="B91" s="45" t="s">
        <v>1114</v>
      </c>
      <c r="C91" s="45" t="s">
        <v>1115</v>
      </c>
      <c r="D91" s="46" t="s">
        <v>1116</v>
      </c>
      <c r="E91" s="59">
        <v>41451</v>
      </c>
      <c r="F91" s="60" t="s">
        <v>3746</v>
      </c>
    </row>
    <row r="92" spans="1:6" ht="45" x14ac:dyDescent="0.25">
      <c r="A92" s="3" t="s">
        <v>3742</v>
      </c>
      <c r="B92" s="45" t="s">
        <v>1114</v>
      </c>
      <c r="C92" s="45" t="s">
        <v>3651</v>
      </c>
      <c r="D92" s="46" t="s">
        <v>3652</v>
      </c>
      <c r="E92" s="59">
        <v>41451</v>
      </c>
      <c r="F92" s="60" t="s">
        <v>3746</v>
      </c>
    </row>
    <row r="93" spans="1:6" ht="45" x14ac:dyDescent="0.25">
      <c r="A93" s="3" t="s">
        <v>14</v>
      </c>
      <c r="B93" s="45" t="s">
        <v>15</v>
      </c>
      <c r="C93" s="45" t="s">
        <v>16</v>
      </c>
      <c r="D93" s="46" t="s">
        <v>17</v>
      </c>
      <c r="E93" s="59">
        <v>39848</v>
      </c>
      <c r="F93" s="61" t="s">
        <v>3747</v>
      </c>
    </row>
    <row r="94" spans="1:6" ht="60" x14ac:dyDescent="0.25">
      <c r="A94" s="3" t="s">
        <v>14</v>
      </c>
      <c r="B94" s="45" t="s">
        <v>15</v>
      </c>
      <c r="C94" s="45" t="s">
        <v>16</v>
      </c>
      <c r="D94" s="46" t="s">
        <v>3721</v>
      </c>
      <c r="E94" s="59">
        <v>39848</v>
      </c>
      <c r="F94" s="61" t="s">
        <v>3747</v>
      </c>
    </row>
    <row r="95" spans="1:6" ht="45" x14ac:dyDescent="0.25">
      <c r="A95" s="3" t="s">
        <v>262</v>
      </c>
      <c r="B95" s="45" t="s">
        <v>1932</v>
      </c>
      <c r="C95" s="45" t="s">
        <v>2022</v>
      </c>
      <c r="D95" s="46" t="s">
        <v>3571</v>
      </c>
      <c r="E95" s="59">
        <v>41983</v>
      </c>
      <c r="F95" s="61" t="s">
        <v>3747</v>
      </c>
    </row>
    <row r="96" spans="1:6" ht="60" x14ac:dyDescent="0.25">
      <c r="A96" s="3" t="s">
        <v>262</v>
      </c>
      <c r="B96" s="45" t="s">
        <v>1932</v>
      </c>
      <c r="C96" s="45" t="s">
        <v>2022</v>
      </c>
      <c r="D96" s="46" t="s">
        <v>2023</v>
      </c>
      <c r="E96" s="59">
        <v>41983</v>
      </c>
      <c r="F96" s="61" t="s">
        <v>3747</v>
      </c>
    </row>
    <row r="97" spans="1:6" ht="60" x14ac:dyDescent="0.25">
      <c r="A97" s="3" t="s">
        <v>72</v>
      </c>
      <c r="B97" s="45" t="s">
        <v>2517</v>
      </c>
      <c r="C97" s="45" t="s">
        <v>2518</v>
      </c>
      <c r="D97" s="46" t="s">
        <v>2519</v>
      </c>
      <c r="E97" s="59">
        <v>42569</v>
      </c>
      <c r="F97" s="61" t="s">
        <v>3747</v>
      </c>
    </row>
    <row r="98" spans="1:6" ht="75" x14ac:dyDescent="0.25">
      <c r="A98" s="3" t="s">
        <v>72</v>
      </c>
      <c r="B98" s="45" t="s">
        <v>2517</v>
      </c>
      <c r="C98" s="45" t="s">
        <v>2518</v>
      </c>
      <c r="D98" s="46" t="s">
        <v>3723</v>
      </c>
      <c r="E98" s="59">
        <v>42569</v>
      </c>
      <c r="F98" s="61" t="s">
        <v>3747</v>
      </c>
    </row>
    <row r="99" spans="1:6" ht="60" x14ac:dyDescent="0.25">
      <c r="A99" s="3" t="s">
        <v>14</v>
      </c>
      <c r="B99" s="45" t="s">
        <v>1591</v>
      </c>
      <c r="C99" s="45" t="s">
        <v>1592</v>
      </c>
      <c r="D99" s="46" t="s">
        <v>1593</v>
      </c>
      <c r="E99" s="59">
        <v>42027</v>
      </c>
      <c r="F99" s="61" t="s">
        <v>3747</v>
      </c>
    </row>
    <row r="100" spans="1:6" ht="75" x14ac:dyDescent="0.25">
      <c r="A100" s="3" t="s">
        <v>14</v>
      </c>
      <c r="B100" s="45" t="s">
        <v>1591</v>
      </c>
      <c r="C100" s="45" t="s">
        <v>1592</v>
      </c>
      <c r="D100" s="46" t="s">
        <v>3692</v>
      </c>
      <c r="E100" s="59">
        <v>42027</v>
      </c>
      <c r="F100" s="61" t="s">
        <v>3747</v>
      </c>
    </row>
    <row r="101" spans="1:6" ht="45" x14ac:dyDescent="0.25">
      <c r="A101" s="3" t="s">
        <v>120</v>
      </c>
      <c r="B101" s="45" t="s">
        <v>592</v>
      </c>
      <c r="C101" s="45" t="s">
        <v>593</v>
      </c>
      <c r="D101" s="46" t="s">
        <v>594</v>
      </c>
      <c r="E101" s="59">
        <v>40191</v>
      </c>
      <c r="F101" s="61" t="s">
        <v>3746</v>
      </c>
    </row>
    <row r="102" spans="1:6" ht="45" x14ac:dyDescent="0.25">
      <c r="A102" s="3" t="s">
        <v>120</v>
      </c>
      <c r="B102" s="45" t="s">
        <v>592</v>
      </c>
      <c r="C102" s="45" t="s">
        <v>3678</v>
      </c>
      <c r="D102" s="46" t="s">
        <v>594</v>
      </c>
      <c r="E102" s="59">
        <v>40191</v>
      </c>
      <c r="F102" s="61" t="s">
        <v>3746</v>
      </c>
    </row>
    <row r="103" spans="1:6" ht="60" x14ac:dyDescent="0.25">
      <c r="A103" s="3" t="s">
        <v>46</v>
      </c>
      <c r="B103" s="45" t="s">
        <v>423</v>
      </c>
      <c r="C103" s="45" t="s">
        <v>424</v>
      </c>
      <c r="D103" s="46" t="s">
        <v>425</v>
      </c>
      <c r="E103" s="59">
        <v>40865</v>
      </c>
      <c r="F103" s="61" t="s">
        <v>3746</v>
      </c>
    </row>
    <row r="104" spans="1:6" ht="60" x14ac:dyDescent="0.25">
      <c r="A104" s="3" t="s">
        <v>46</v>
      </c>
      <c r="B104" s="45" t="s">
        <v>423</v>
      </c>
      <c r="C104" s="45" t="s">
        <v>2041</v>
      </c>
      <c r="D104" s="46" t="s">
        <v>425</v>
      </c>
      <c r="E104" s="59">
        <v>40865</v>
      </c>
      <c r="F104" s="61" t="s">
        <v>3746</v>
      </c>
    </row>
    <row r="105" spans="1:6" ht="60" x14ac:dyDescent="0.25">
      <c r="A105" s="3" t="s">
        <v>262</v>
      </c>
      <c r="B105" s="45" t="s">
        <v>2040</v>
      </c>
      <c r="C105" s="45" t="s">
        <v>2041</v>
      </c>
      <c r="D105" s="46" t="s">
        <v>2042</v>
      </c>
      <c r="E105" s="59">
        <v>42138</v>
      </c>
      <c r="F105" s="61" t="s">
        <v>3747</v>
      </c>
    </row>
    <row r="106" spans="1:6" ht="60" x14ac:dyDescent="0.25">
      <c r="A106" s="3" t="s">
        <v>262</v>
      </c>
      <c r="B106" s="45" t="s">
        <v>2040</v>
      </c>
      <c r="C106" s="45" t="s">
        <v>2041</v>
      </c>
      <c r="D106" s="46" t="s">
        <v>3567</v>
      </c>
      <c r="E106" s="59">
        <v>42138</v>
      </c>
      <c r="F106" s="61" t="s">
        <v>3747</v>
      </c>
    </row>
    <row r="107" spans="1:6" x14ac:dyDescent="0.25">
      <c r="A107" s="3" t="s">
        <v>262</v>
      </c>
      <c r="B107" s="45" t="s">
        <v>3209</v>
      </c>
      <c r="C107" s="45" t="s">
        <v>3593</v>
      </c>
      <c r="D107" s="46" t="s">
        <v>3594</v>
      </c>
      <c r="E107" s="59">
        <v>40963</v>
      </c>
      <c r="F107" s="60" t="s">
        <v>3744</v>
      </c>
    </row>
    <row r="108" spans="1:6" x14ac:dyDescent="0.25">
      <c r="A108" s="45" t="s">
        <v>262</v>
      </c>
      <c r="B108" s="45" t="s">
        <v>2536</v>
      </c>
      <c r="D108" s="45"/>
      <c r="E108" s="62">
        <v>41740</v>
      </c>
      <c r="F108" s="45" t="s">
        <v>3744</v>
      </c>
    </row>
    <row r="109" spans="1:6" x14ac:dyDescent="0.25">
      <c r="A109" s="45" t="s">
        <v>262</v>
      </c>
      <c r="B109" s="45" t="s">
        <v>2536</v>
      </c>
      <c r="D109" s="45" t="s">
        <v>2537</v>
      </c>
      <c r="E109" s="62">
        <v>42010</v>
      </c>
      <c r="F109" s="45" t="s">
        <v>3744</v>
      </c>
    </row>
    <row r="110" spans="1:6" x14ac:dyDescent="0.25">
      <c r="C110" s="46"/>
      <c r="D110" s="59"/>
      <c r="E110" s="8"/>
      <c r="F110" s="45"/>
    </row>
    <row r="111" spans="1:6" x14ac:dyDescent="0.25">
      <c r="C111" s="46"/>
      <c r="D111" s="59"/>
      <c r="E111" s="8"/>
      <c r="F111" s="45"/>
    </row>
    <row r="112" spans="1:6" x14ac:dyDescent="0.25">
      <c r="C112" s="46"/>
      <c r="D112" s="59"/>
      <c r="E112" s="8"/>
      <c r="F112" s="45"/>
    </row>
    <row r="113" spans="3:6" x14ac:dyDescent="0.25">
      <c r="C113" s="46"/>
      <c r="D113" s="59"/>
      <c r="E113" s="8"/>
      <c r="F113" s="45"/>
    </row>
    <row r="114" spans="3:6" x14ac:dyDescent="0.25">
      <c r="C114" s="46"/>
      <c r="D114" s="59"/>
      <c r="E114" s="8"/>
      <c r="F114" s="45"/>
    </row>
    <row r="115" spans="3:6" x14ac:dyDescent="0.25">
      <c r="C115" s="46"/>
      <c r="D115" s="59"/>
      <c r="E115" s="8"/>
      <c r="F115" s="45"/>
    </row>
  </sheetData>
  <autoFilter ref="A1:F115" xr:uid="{00000000-0009-0000-0000-000003000000}"/>
  <sortState xmlns:xlrd2="http://schemas.microsoft.com/office/spreadsheetml/2017/richdata2" ref="A8:F109">
    <sortCondition ref="F2:F115"/>
    <sortCondition ref="A2:A115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35204"/>
  <sheetViews>
    <sheetView workbookViewId="0">
      <pane ySplit="1" topLeftCell="A2" activePane="bottomLeft" state="frozen"/>
      <selection activeCell="F1" sqref="F1"/>
      <selection pane="bottomLeft" activeCell="H31" sqref="H31"/>
    </sheetView>
  </sheetViews>
  <sheetFormatPr defaultRowHeight="15" x14ac:dyDescent="0.25"/>
  <cols>
    <col min="1" max="1" width="19.7109375" style="66" customWidth="1"/>
    <col min="2" max="2" width="31" style="66" customWidth="1"/>
    <col min="3" max="16384" width="9.140625" style="66"/>
  </cols>
  <sheetData>
    <row r="1" spans="1:2" s="63" customFormat="1" x14ac:dyDescent="0.25">
      <c r="A1" s="58" t="s">
        <v>3739</v>
      </c>
      <c r="B1" s="58" t="s">
        <v>13532</v>
      </c>
    </row>
    <row r="2" spans="1:2" x14ac:dyDescent="0.25">
      <c r="A2" s="64" t="str">
        <f>HYPERLINK("http://www.twitter.com/rkfb", "rkfb")</f>
        <v>rkfb</v>
      </c>
      <c r="B2" s="65" t="s">
        <v>3751</v>
      </c>
    </row>
    <row r="3" spans="1:2" x14ac:dyDescent="0.25">
      <c r="A3" s="64" t="str">
        <f>HYPERLINK("http://www.twitter.com/BigP04", "BigP04")</f>
        <v>BigP04</v>
      </c>
      <c r="B3" s="65"/>
    </row>
    <row r="4" spans="1:2" x14ac:dyDescent="0.25">
      <c r="A4" s="64" t="str">
        <f>HYPERLINK("http://www.twitter.com/lucieboots", "lucieboots")</f>
        <v>lucieboots</v>
      </c>
      <c r="B4" s="65" t="s">
        <v>2007</v>
      </c>
    </row>
    <row r="5" spans="1:2" x14ac:dyDescent="0.25">
      <c r="A5" s="64" t="str">
        <f>HYPERLINK("http://www.twitter.com/SALCTG", "SALCTG")</f>
        <v>SALCTG</v>
      </c>
      <c r="B5" s="65"/>
    </row>
    <row r="6" spans="1:2" x14ac:dyDescent="0.25">
      <c r="A6" s="64" t="str">
        <f>HYPERLINK("http://www.twitter.com/zlj517", "zlj517")</f>
        <v>zlj517</v>
      </c>
      <c r="B6" s="65" t="s">
        <v>3752</v>
      </c>
    </row>
    <row r="7" spans="1:2" x14ac:dyDescent="0.25">
      <c r="A7" s="64" t="str">
        <f>HYPERLINK("http://www.twitter.com/graduatelibrary", "graduatelibrary")</f>
        <v>graduatelibrary</v>
      </c>
      <c r="B7" s="65"/>
    </row>
    <row r="8" spans="1:2" x14ac:dyDescent="0.25">
      <c r="A8" s="64" t="str">
        <f>HYPERLINK("http://www.twitter.com/Manjusweety853", "Manjusweety853")</f>
        <v>Manjusweety853</v>
      </c>
      <c r="B8" s="65"/>
    </row>
    <row r="9" spans="1:2" x14ac:dyDescent="0.25">
      <c r="A9" s="64" t="str">
        <f>HYPERLINK("http://www.twitter.com/jnmstewart", "jnmstewart")</f>
        <v>jnmstewart</v>
      </c>
      <c r="B9" s="65"/>
    </row>
    <row r="10" spans="1:2" x14ac:dyDescent="0.25">
      <c r="A10" s="64" t="str">
        <f>HYPERLINK("http://www.twitter.com/bloom_grow", "bloom_grow")</f>
        <v>bloom_grow</v>
      </c>
      <c r="B10" s="65" t="s">
        <v>3753</v>
      </c>
    </row>
    <row r="11" spans="1:2" x14ac:dyDescent="0.25">
      <c r="A11" s="64" t="str">
        <f>HYPERLINK("http://www.twitter.com/asjipon", "asjipon")</f>
        <v>asjipon</v>
      </c>
      <c r="B11" s="65" t="s">
        <v>3754</v>
      </c>
    </row>
    <row r="12" spans="1:2" x14ac:dyDescent="0.25">
      <c r="A12" s="64" t="str">
        <f>HYPERLINK("http://www.twitter.com/BeaBTCharles", "BeaBTCharles")</f>
        <v>BeaBTCharles</v>
      </c>
      <c r="B12" s="65" t="s">
        <v>361</v>
      </c>
    </row>
    <row r="13" spans="1:2" x14ac:dyDescent="0.25">
      <c r="A13" s="64" t="str">
        <f>HYPERLINK("http://www.twitter.com/libraryyyyninja", "libraryyyyninja")</f>
        <v>libraryyyyninja</v>
      </c>
      <c r="B13" s="65" t="s">
        <v>3755</v>
      </c>
    </row>
    <row r="14" spans="1:2" x14ac:dyDescent="0.25">
      <c r="A14" s="64" t="str">
        <f>HYPERLINK("http://www.twitter.com/BeeTrudgeon", "BeeTrudgeon")</f>
        <v>BeeTrudgeon</v>
      </c>
      <c r="B14" s="65" t="s">
        <v>3756</v>
      </c>
    </row>
    <row r="15" spans="1:2" x14ac:dyDescent="0.25">
      <c r="A15" s="64" t="str">
        <f>HYPERLINK("http://www.twitter.com/harryoakey", "harryoakey")</f>
        <v>harryoakey</v>
      </c>
      <c r="B15" s="65"/>
    </row>
    <row r="16" spans="1:2" x14ac:dyDescent="0.25">
      <c r="A16" s="64" t="str">
        <f>HYPERLINK("http://www.twitter.com/Vocequer_Ozy", "Vocequer_Ozy")</f>
        <v>Vocequer_Ozy</v>
      </c>
      <c r="B16" s="65" t="s">
        <v>3757</v>
      </c>
    </row>
    <row r="17" spans="1:2" x14ac:dyDescent="0.25">
      <c r="A17" s="64" t="str">
        <f>HYPERLINK("http://www.twitter.com/eswales", "eswales")</f>
        <v>eswales</v>
      </c>
      <c r="B17" s="65"/>
    </row>
    <row r="18" spans="1:2" x14ac:dyDescent="0.25">
      <c r="A18" s="64" t="str">
        <f>HYPERLINK("http://www.twitter.com/wendymckissack", "wendymckissack")</f>
        <v>wendymckissack</v>
      </c>
      <c r="B18" s="65"/>
    </row>
    <row r="19" spans="1:2" x14ac:dyDescent="0.25">
      <c r="A19" s="64" t="str">
        <f>HYPERLINK("http://www.twitter.com/WestportLibrary", "WestportLibrary")</f>
        <v>WestportLibrary</v>
      </c>
      <c r="B19" s="65" t="s">
        <v>3758</v>
      </c>
    </row>
    <row r="20" spans="1:2" x14ac:dyDescent="0.25">
      <c r="A20" s="64" t="str">
        <f>HYPERLINK("http://www.twitter.com/MhuntleyMia", "MhuntleyMia")</f>
        <v>MhuntleyMia</v>
      </c>
      <c r="B20" s="65" t="s">
        <v>1377</v>
      </c>
    </row>
    <row r="21" spans="1:2" x14ac:dyDescent="0.25">
      <c r="A21" s="64" t="str">
        <f>HYPERLINK("http://www.twitter.com/maximisingTAs", "maximisingTAs")</f>
        <v>maximisingTAs</v>
      </c>
      <c r="B21" s="65" t="s">
        <v>3759</v>
      </c>
    </row>
    <row r="22" spans="1:2" x14ac:dyDescent="0.25">
      <c r="A22" s="64" t="str">
        <f>HYPERLINK("http://www.twitter.com/NatPrintMuseum", "NatPrintMuseum")</f>
        <v>NatPrintMuseum</v>
      </c>
      <c r="B22" s="65" t="s">
        <v>3760</v>
      </c>
    </row>
    <row r="23" spans="1:2" x14ac:dyDescent="0.25">
      <c r="A23" s="64" t="str">
        <f>HYPERLINK("http://www.twitter.com/hadfield_jen", "hadfield_jen")</f>
        <v>hadfield_jen</v>
      </c>
      <c r="B23" s="65" t="s">
        <v>115</v>
      </c>
    </row>
    <row r="24" spans="1:2" x14ac:dyDescent="0.25">
      <c r="A24" s="64" t="str">
        <f>HYPERLINK("http://www.twitter.com/LeicesterWFA", "LeicesterWFA")</f>
        <v>LeicesterWFA</v>
      </c>
      <c r="B24" s="65" t="s">
        <v>3761</v>
      </c>
    </row>
    <row r="25" spans="1:2" x14ac:dyDescent="0.25">
      <c r="A25" s="64" t="str">
        <f>HYPERLINK("http://www.twitter.com/james089934", "james089934")</f>
        <v>james089934</v>
      </c>
      <c r="B25" s="65"/>
    </row>
    <row r="26" spans="1:2" x14ac:dyDescent="0.25">
      <c r="A26" s="64" t="str">
        <f>HYPERLINK("http://www.twitter.com/pentlandorkney", "pentlandorkney")</f>
        <v>pentlandorkney</v>
      </c>
      <c r="B26" s="65" t="s">
        <v>3762</v>
      </c>
    </row>
    <row r="27" spans="1:2" x14ac:dyDescent="0.25">
      <c r="A27" s="64" t="str">
        <f>HYPERLINK("http://www.twitter.com/BeauLotto", "BeauLotto")</f>
        <v>BeauLotto</v>
      </c>
      <c r="B27" s="65" t="s">
        <v>477</v>
      </c>
    </row>
    <row r="28" spans="1:2" x14ac:dyDescent="0.25">
      <c r="A28" s="64" t="str">
        <f>HYPERLINK("http://www.twitter.com/c_rochez", "c_rochez")</f>
        <v>c_rochez</v>
      </c>
      <c r="B28" s="65"/>
    </row>
    <row r="29" spans="1:2" x14ac:dyDescent="0.25">
      <c r="A29" s="64" t="str">
        <f>HYPERLINK("http://www.twitter.com/BadLibAdvice", "BadLibAdvice")</f>
        <v>BadLibAdvice</v>
      </c>
      <c r="B29" s="65"/>
    </row>
    <row r="30" spans="1:2" x14ac:dyDescent="0.25">
      <c r="A30" s="64" t="str">
        <f>HYPERLINK("http://www.twitter.com/DrFaustus1066", "DrFaustus1066")</f>
        <v>DrFaustus1066</v>
      </c>
      <c r="B30" s="65" t="s">
        <v>3763</v>
      </c>
    </row>
    <row r="31" spans="1:2" x14ac:dyDescent="0.25">
      <c r="A31" s="64" t="str">
        <f>HYPERLINK("http://www.twitter.com/eevie3", "eevie3")</f>
        <v>eevie3</v>
      </c>
      <c r="B31" s="65" t="s">
        <v>3764</v>
      </c>
    </row>
    <row r="32" spans="1:2" x14ac:dyDescent="0.25">
      <c r="A32" s="64" t="str">
        <f>HYPERLINK("http://www.twitter.com/eandrews3706", "eandrews3706")</f>
        <v>eandrews3706</v>
      </c>
      <c r="B32" s="65" t="s">
        <v>3765</v>
      </c>
    </row>
    <row r="33" spans="1:2" x14ac:dyDescent="0.25">
      <c r="A33" s="64" t="str">
        <f>HYPERLINK("http://www.twitter.com/InnovatorMarie", "InnovatorMarie")</f>
        <v>InnovatorMarie</v>
      </c>
      <c r="B33" s="65" t="s">
        <v>24</v>
      </c>
    </row>
    <row r="34" spans="1:2" x14ac:dyDescent="0.25">
      <c r="A34" s="64" t="str">
        <f>HYPERLINK("http://www.twitter.com/theorlando1892", "theorlando1892")</f>
        <v>theorlando1892</v>
      </c>
      <c r="B34" s="65" t="s">
        <v>3766</v>
      </c>
    </row>
    <row r="35" spans="1:2" x14ac:dyDescent="0.25">
      <c r="A35" s="64" t="str">
        <f>HYPERLINK("http://www.twitter.com/anneerskine12", "anneerskine12")</f>
        <v>anneerskine12</v>
      </c>
      <c r="B35" s="65"/>
    </row>
    <row r="36" spans="1:2" x14ac:dyDescent="0.25">
      <c r="A36" s="64" t="str">
        <f>HYPERLINK("http://www.twitter.com/allonsflaneur", "allonsflaneur")</f>
        <v>allonsflaneur</v>
      </c>
      <c r="B36" s="65"/>
    </row>
    <row r="37" spans="1:2" x14ac:dyDescent="0.25">
      <c r="A37" s="64" t="str">
        <f>HYPERLINK("http://www.twitter.com/thejoyfactor1", "thejoyfactor1")</f>
        <v>thejoyfactor1</v>
      </c>
      <c r="B37" s="65"/>
    </row>
    <row r="38" spans="1:2" x14ac:dyDescent="0.25">
      <c r="A38" s="64" t="str">
        <f>HYPERLINK("http://www.twitter.com/StirUniNews", "StirUniNews")</f>
        <v>StirUniNews</v>
      </c>
      <c r="B38" s="65" t="s">
        <v>3767</v>
      </c>
    </row>
    <row r="39" spans="1:2" x14ac:dyDescent="0.25">
      <c r="A39" s="64" t="str">
        <f>HYPERLINK("http://www.twitter.com/tonyrees1", "tonyrees1")</f>
        <v>tonyrees1</v>
      </c>
      <c r="B39" s="65"/>
    </row>
    <row r="40" spans="1:2" x14ac:dyDescent="0.25">
      <c r="A40" s="64" t="str">
        <f>HYPERLINK("http://www.twitter.com/landotrevallyn", "landotrevallyn")</f>
        <v>landotrevallyn</v>
      </c>
      <c r="B40" s="65" t="s">
        <v>296</v>
      </c>
    </row>
    <row r="41" spans="1:2" x14ac:dyDescent="0.25">
      <c r="A41" s="64" t="str">
        <f>HYPERLINK("http://www.twitter.com/woollyoriginals", "woollyoriginals")</f>
        <v>woollyoriginals</v>
      </c>
      <c r="B41" s="65" t="s">
        <v>487</v>
      </c>
    </row>
    <row r="42" spans="1:2" x14ac:dyDescent="0.25">
      <c r="A42" s="64" t="str">
        <f>HYPERLINK("http://www.twitter.com/Sandra25San25", "Sandra25San25")</f>
        <v>Sandra25San25</v>
      </c>
      <c r="B42" s="65" t="s">
        <v>115</v>
      </c>
    </row>
    <row r="43" spans="1:2" x14ac:dyDescent="0.25">
      <c r="A43" s="64" t="str">
        <f>HYPERLINK("http://www.twitter.com/BookishMrsB", "BookishMrsB")</f>
        <v>BookishMrsB</v>
      </c>
      <c r="B43" s="65" t="s">
        <v>3768</v>
      </c>
    </row>
    <row r="44" spans="1:2" x14ac:dyDescent="0.25">
      <c r="A44" s="64" t="str">
        <f>HYPERLINK("http://www.twitter.com/LibQ_Official", "LibQ_Official")</f>
        <v>LibQ_Official</v>
      </c>
      <c r="B44" s="65"/>
    </row>
    <row r="45" spans="1:2" x14ac:dyDescent="0.25">
      <c r="A45" s="64" t="str">
        <f>HYPERLINK("http://www.twitter.com/lucywoodwriter", "lucywoodwriter")</f>
        <v>lucywoodwriter</v>
      </c>
      <c r="B45" s="65" t="s">
        <v>2518</v>
      </c>
    </row>
    <row r="46" spans="1:2" x14ac:dyDescent="0.25">
      <c r="A46" s="64" t="str">
        <f>HYPERLINK("http://www.twitter.com/eat_haggis", "eat_haggis")</f>
        <v>eat_haggis</v>
      </c>
      <c r="B46" s="65" t="s">
        <v>517</v>
      </c>
    </row>
    <row r="47" spans="1:2" x14ac:dyDescent="0.25">
      <c r="A47" s="64" t="str">
        <f>HYPERLINK("http://www.twitter.com/ElizabethRuncie", "ElizabethRuncie")</f>
        <v>ElizabethRuncie</v>
      </c>
      <c r="B47" s="65"/>
    </row>
    <row r="48" spans="1:2" x14ac:dyDescent="0.25">
      <c r="A48" s="64" t="str">
        <f>HYPERLINK("http://www.twitter.com/ElaineWilso", "ElaineWilso")</f>
        <v>ElaineWilso</v>
      </c>
      <c r="B48" s="65" t="s">
        <v>3769</v>
      </c>
    </row>
    <row r="49" spans="1:2" x14ac:dyDescent="0.25">
      <c r="A49" s="64" t="str">
        <f>HYPERLINK("http://www.twitter.com/booksandwine76", "booksandwine76")</f>
        <v>booksandwine76</v>
      </c>
      <c r="B49" s="65"/>
    </row>
    <row r="50" spans="1:2" x14ac:dyDescent="0.25">
      <c r="A50" s="64" t="str">
        <f>HYPERLINK("http://www.twitter.com/BOA_MAP", "BOA_MAP")</f>
        <v>BOA_MAP</v>
      </c>
      <c r="B50" s="65" t="s">
        <v>1377</v>
      </c>
    </row>
    <row r="51" spans="1:2" x14ac:dyDescent="0.25">
      <c r="A51" s="64" t="str">
        <f>HYPERLINK("http://www.twitter.com/HealyRuth6", "HealyRuth6")</f>
        <v>HealyRuth6</v>
      </c>
      <c r="B51" s="65" t="s">
        <v>3770</v>
      </c>
    </row>
    <row r="52" spans="1:2" x14ac:dyDescent="0.25">
      <c r="A52" s="64" t="str">
        <f>HYPERLINK("http://www.twitter.com/svberlinwriter", "svberlinwriter")</f>
        <v>svberlinwriter</v>
      </c>
      <c r="B52" s="65" t="s">
        <v>3771</v>
      </c>
    </row>
    <row r="53" spans="1:2" x14ac:dyDescent="0.25">
      <c r="A53" s="64" t="str">
        <f>HYPERLINK("http://www.twitter.com/mpkwilson", "mpkwilson")</f>
        <v>mpkwilson</v>
      </c>
      <c r="B53" s="65" t="s">
        <v>3772</v>
      </c>
    </row>
    <row r="54" spans="1:2" x14ac:dyDescent="0.25">
      <c r="A54" s="64" t="str">
        <f>HYPERLINK("http://www.twitter.com/KTodd_Writes", "KTodd_Writes")</f>
        <v>KTodd_Writes</v>
      </c>
      <c r="B54" s="65" t="s">
        <v>296</v>
      </c>
    </row>
    <row r="55" spans="1:2" x14ac:dyDescent="0.25">
      <c r="A55" s="64" t="str">
        <f>HYPERLINK("http://www.twitter.com/TerryPollman", "TerryPollman")</f>
        <v>TerryPollman</v>
      </c>
      <c r="B55" s="65"/>
    </row>
    <row r="56" spans="1:2" x14ac:dyDescent="0.25">
      <c r="A56" s="64" t="str">
        <f>HYPERLINK("http://www.twitter.com/CatherineOgston", "CatherineOgston")</f>
        <v>CatherineOgston</v>
      </c>
      <c r="B56" s="65" t="s">
        <v>3773</v>
      </c>
    </row>
    <row r="57" spans="1:2" x14ac:dyDescent="0.25">
      <c r="A57" s="64" t="str">
        <f>HYPERLINK("http://www.twitter.com/Stamford1905", "Stamford1905")</f>
        <v>Stamford1905</v>
      </c>
      <c r="B57" s="65" t="s">
        <v>20</v>
      </c>
    </row>
    <row r="58" spans="1:2" x14ac:dyDescent="0.25">
      <c r="A58" s="64" t="str">
        <f>HYPERLINK("http://www.twitter.com/SandieDonnelly2", "SandieDonnelly2")</f>
        <v>SandieDonnelly2</v>
      </c>
      <c r="B58" s="65"/>
    </row>
    <row r="59" spans="1:2" x14ac:dyDescent="0.25">
      <c r="A59" s="64" t="str">
        <f>HYPERLINK("http://www.twitter.com/FalkStoryFest", "FalkStoryFest")</f>
        <v>FalkStoryFest</v>
      </c>
      <c r="B59" s="65" t="s">
        <v>2303</v>
      </c>
    </row>
    <row r="60" spans="1:2" x14ac:dyDescent="0.25">
      <c r="A60" s="64" t="str">
        <f>HYPERLINK("http://www.twitter.com/KathyKenzie_", "KathyKenzie_")</f>
        <v>KathyKenzie_</v>
      </c>
      <c r="B60" s="65" t="s">
        <v>3774</v>
      </c>
    </row>
    <row r="61" spans="1:2" x14ac:dyDescent="0.25">
      <c r="A61" s="64" t="str">
        <f>HYPERLINK("http://www.twitter.com/Wattonlib", "Wattonlib")</f>
        <v>Wattonlib</v>
      </c>
      <c r="B61" s="65"/>
    </row>
    <row r="62" spans="1:2" x14ac:dyDescent="0.25">
      <c r="A62" s="64" t="str">
        <f>HYPERLINK("http://www.twitter.com/MrsGanglybean", "MrsGanglybean")</f>
        <v>MrsGanglybean</v>
      </c>
      <c r="B62" s="65" t="s">
        <v>1180</v>
      </c>
    </row>
    <row r="63" spans="1:2" x14ac:dyDescent="0.25">
      <c r="A63" s="64" t="str">
        <f>HYPERLINK("http://www.twitter.com/WestwoodMoyra", "WestwoodMoyra")</f>
        <v>WestwoodMoyra</v>
      </c>
      <c r="B63" s="65"/>
    </row>
    <row r="64" spans="1:2" x14ac:dyDescent="0.25">
      <c r="A64" s="64" t="str">
        <f>HYPERLINK("http://www.twitter.com/LindaatWB", "LindaatWB")</f>
        <v>LindaatWB</v>
      </c>
      <c r="B64" s="65"/>
    </row>
    <row r="65" spans="1:2" x14ac:dyDescent="0.25">
      <c r="A65" s="64" t="str">
        <f>HYPERLINK("http://www.twitter.com/Nikester123", "Nikester123")</f>
        <v>Nikester123</v>
      </c>
      <c r="B65" s="65"/>
    </row>
    <row r="66" spans="1:2" x14ac:dyDescent="0.25">
      <c r="A66" s="64" t="str">
        <f>HYPERLINK("http://www.twitter.com/MarkGoulston", "MarkGoulston")</f>
        <v>MarkGoulston</v>
      </c>
      <c r="B66" s="65" t="s">
        <v>3775</v>
      </c>
    </row>
    <row r="67" spans="1:2" x14ac:dyDescent="0.25">
      <c r="A67" s="64" t="str">
        <f>HYPERLINK("http://www.twitter.com/RWoodlouse", "RWoodlouse")</f>
        <v>RWoodlouse</v>
      </c>
      <c r="B67" s="65" t="s">
        <v>257</v>
      </c>
    </row>
    <row r="68" spans="1:2" x14ac:dyDescent="0.25">
      <c r="A68" s="64" t="str">
        <f>HYPERLINK("http://www.twitter.com/CopyrightAmanda", "CopyrightAmanda")</f>
        <v>CopyrightAmanda</v>
      </c>
      <c r="B68" s="65" t="s">
        <v>3776</v>
      </c>
    </row>
    <row r="69" spans="1:2" x14ac:dyDescent="0.25">
      <c r="A69" s="64" t="str">
        <f>HYPERLINK("http://www.twitter.com/hiyuura", "hiyuura")</f>
        <v>hiyuura</v>
      </c>
      <c r="B69" s="65" t="s">
        <v>3777</v>
      </c>
    </row>
    <row r="70" spans="1:2" x14ac:dyDescent="0.25">
      <c r="A70" s="64" t="str">
        <f>HYPERLINK("http://www.twitter.com/skstock", "skstock")</f>
        <v>skstock</v>
      </c>
      <c r="B70" s="65" t="s">
        <v>3778</v>
      </c>
    </row>
    <row r="71" spans="1:2" x14ac:dyDescent="0.25">
      <c r="A71" s="64" t="str">
        <f>HYPERLINK("http://www.twitter.com/JustineClark", "JustineClark")</f>
        <v>JustineClark</v>
      </c>
      <c r="B71" s="65" t="s">
        <v>3779</v>
      </c>
    </row>
    <row r="72" spans="1:2" x14ac:dyDescent="0.25">
      <c r="A72" s="64" t="str">
        <f>HYPERLINK("http://www.twitter.com/libkatb", "libkatb")</f>
        <v>libkatb</v>
      </c>
      <c r="B72" s="65"/>
    </row>
    <row r="73" spans="1:2" x14ac:dyDescent="0.25">
      <c r="A73" s="64" t="str">
        <f>HYPERLINK("http://www.twitter.com/dootrix", "dootrix")</f>
        <v>dootrix</v>
      </c>
      <c r="B73" s="65" t="s">
        <v>3780</v>
      </c>
    </row>
    <row r="74" spans="1:2" x14ac:dyDescent="0.25">
      <c r="A74" s="64" t="str">
        <f>HYPERLINK("http://www.twitter.com/magnetic_girl_", "magnetic_girl_")</f>
        <v>magnetic_girl_</v>
      </c>
      <c r="B74" s="65" t="s">
        <v>3781</v>
      </c>
    </row>
    <row r="75" spans="1:2" x14ac:dyDescent="0.25">
      <c r="A75" s="64" t="str">
        <f>HYPERLINK("http://www.twitter.com/LibrarianFHS", "LibrarianFHS")</f>
        <v>LibrarianFHS</v>
      </c>
      <c r="B75" s="65" t="s">
        <v>3782</v>
      </c>
    </row>
    <row r="76" spans="1:2" x14ac:dyDescent="0.25">
      <c r="A76" s="64" t="str">
        <f>HYPERLINK("http://www.twitter.com/bn108", "bn108")</f>
        <v>bn108</v>
      </c>
      <c r="B76" s="65" t="s">
        <v>296</v>
      </c>
    </row>
    <row r="77" spans="1:2" x14ac:dyDescent="0.25">
      <c r="A77" s="64" t="str">
        <f>HYPERLINK("http://www.twitter.com/BrickyBecky", "BrickyBecky")</f>
        <v>BrickyBecky</v>
      </c>
      <c r="B77" s="65" t="s">
        <v>3783</v>
      </c>
    </row>
    <row r="78" spans="1:2" x14ac:dyDescent="0.25">
      <c r="A78" s="64" t="str">
        <f>HYPERLINK("http://www.twitter.com/RalphBalderdash", "RalphBalderdash")</f>
        <v>RalphBalderdash</v>
      </c>
      <c r="B78" s="65" t="s">
        <v>3784</v>
      </c>
    </row>
    <row r="79" spans="1:2" x14ac:dyDescent="0.25">
      <c r="A79" s="64" t="str">
        <f>HYPERLINK("http://www.twitter.com/quo7", "quo7")</f>
        <v>quo7</v>
      </c>
      <c r="B79" s="65"/>
    </row>
    <row r="80" spans="1:2" x14ac:dyDescent="0.25">
      <c r="A80" s="64" t="str">
        <f>HYPERLINK("http://www.twitter.com/Squidith", "Squidith")</f>
        <v>Squidith</v>
      </c>
      <c r="B80" s="65" t="s">
        <v>20</v>
      </c>
    </row>
    <row r="81" spans="1:2" x14ac:dyDescent="0.25">
      <c r="A81" s="64" t="str">
        <f>HYPERLINK("http://www.twitter.com/SchlagzeugerOne", "SchlagzeugerOne")</f>
        <v>SchlagzeugerOne</v>
      </c>
      <c r="B81" s="65" t="s">
        <v>3785</v>
      </c>
    </row>
    <row r="82" spans="1:2" x14ac:dyDescent="0.25">
      <c r="A82" s="64" t="str">
        <f>HYPERLINK("http://www.twitter.com/thedouchess", "thedouchess")</f>
        <v>thedouchess</v>
      </c>
      <c r="B82" s="65"/>
    </row>
    <row r="83" spans="1:2" x14ac:dyDescent="0.25">
      <c r="A83" s="64" t="str">
        <f>HYPERLINK("http://www.twitter.com/fracturedbolide", "fracturedbolide")</f>
        <v>fracturedbolide</v>
      </c>
      <c r="B83" s="65" t="s">
        <v>1377</v>
      </c>
    </row>
    <row r="84" spans="1:2" x14ac:dyDescent="0.25">
      <c r="A84" s="64" t="str">
        <f>HYPERLINK("http://www.twitter.com/taysump", "taysump")</f>
        <v>taysump</v>
      </c>
      <c r="B84" s="65" t="s">
        <v>3786</v>
      </c>
    </row>
    <row r="85" spans="1:2" x14ac:dyDescent="0.25">
      <c r="A85" s="64" t="str">
        <f>HYPERLINK("http://www.twitter.com/booksandbabas", "booksandbabas")</f>
        <v>booksandbabas</v>
      </c>
      <c r="B85" s="65" t="s">
        <v>3787</v>
      </c>
    </row>
    <row r="86" spans="1:2" x14ac:dyDescent="0.25">
      <c r="A86" s="64" t="str">
        <f>HYPERLINK("http://www.twitter.com/Sva0eg8455754", "Sva0eg8455754")</f>
        <v>Sva0eg8455754</v>
      </c>
      <c r="B86" s="65"/>
    </row>
    <row r="87" spans="1:2" x14ac:dyDescent="0.25">
      <c r="A87" s="64" t="str">
        <f>HYPERLINK("http://www.twitter.com/bookfairiespl", "bookfairiespl")</f>
        <v>bookfairiespl</v>
      </c>
      <c r="B87" s="65" t="s">
        <v>3788</v>
      </c>
    </row>
    <row r="88" spans="1:2" x14ac:dyDescent="0.25">
      <c r="A88" s="64" t="str">
        <f>HYPERLINK("http://www.twitter.com/Shell906", "Shell906")</f>
        <v>Shell906</v>
      </c>
      <c r="B88" s="65"/>
    </row>
    <row r="89" spans="1:2" x14ac:dyDescent="0.25">
      <c r="A89" s="64" t="str">
        <f>HYPERLINK("http://www.twitter.com/PeoplesNHS", "PeoplesNHS")</f>
        <v>PeoplesNHS</v>
      </c>
      <c r="B89" s="65" t="s">
        <v>296</v>
      </c>
    </row>
    <row r="90" spans="1:2" x14ac:dyDescent="0.25">
      <c r="A90" s="64" t="str">
        <f>HYPERLINK("http://www.twitter.com/IncorrigibleK", "IncorrigibleK")</f>
        <v>IncorrigibleK</v>
      </c>
      <c r="B90" s="65" t="s">
        <v>3789</v>
      </c>
    </row>
    <row r="91" spans="1:2" x14ac:dyDescent="0.25">
      <c r="A91" s="64" t="str">
        <f>HYPERLINK("http://www.twitter.com/lo9rd", "lo9rd")</f>
        <v>lo9rd</v>
      </c>
      <c r="B91" s="65" t="s">
        <v>517</v>
      </c>
    </row>
    <row r="92" spans="1:2" x14ac:dyDescent="0.25">
      <c r="A92" s="64" t="str">
        <f>HYPERLINK("http://www.twitter.com/AllyBews", "AllyBews")</f>
        <v>AllyBews</v>
      </c>
      <c r="B92" s="65" t="s">
        <v>808</v>
      </c>
    </row>
    <row r="93" spans="1:2" x14ac:dyDescent="0.25">
      <c r="A93" s="64" t="str">
        <f>HYPERLINK("http://www.twitter.com/docsuzy", "docsuzy")</f>
        <v>docsuzy</v>
      </c>
      <c r="B93" s="65" t="s">
        <v>3790</v>
      </c>
    </row>
    <row r="94" spans="1:2" x14ac:dyDescent="0.25">
      <c r="A94" s="64" t="str">
        <f>HYPERLINK("http://www.twitter.com/Books_Plow", "Books_Plow")</f>
        <v>Books_Plow</v>
      </c>
      <c r="B94" s="65" t="s">
        <v>3791</v>
      </c>
    </row>
    <row r="95" spans="1:2" x14ac:dyDescent="0.25">
      <c r="A95" s="64" t="str">
        <f>HYPERLINK("http://www.twitter.com/d_willman", "d_willman")</f>
        <v>d_willman</v>
      </c>
      <c r="B95" s="65" t="s">
        <v>3792</v>
      </c>
    </row>
    <row r="96" spans="1:2" x14ac:dyDescent="0.25">
      <c r="A96" s="64" t="str">
        <f>HYPERLINK("http://www.twitter.com/r4nd0macc0unt77", "r4nd0macc0unt77")</f>
        <v>r4nd0macc0unt77</v>
      </c>
      <c r="B96" s="65" t="s">
        <v>3793</v>
      </c>
    </row>
    <row r="97" spans="1:2" x14ac:dyDescent="0.25">
      <c r="A97" s="64" t="str">
        <f>HYPERLINK("http://www.twitter.com/McFarlandLib", "McFarlandLib")</f>
        <v>McFarlandLib</v>
      </c>
      <c r="B97" s="65" t="s">
        <v>3794</v>
      </c>
    </row>
    <row r="98" spans="1:2" x14ac:dyDescent="0.25">
      <c r="A98" s="64" t="str">
        <f>HYPERLINK("http://www.twitter.com/FrancesThird", "FrancesThird")</f>
        <v>FrancesThird</v>
      </c>
      <c r="B98" s="65" t="s">
        <v>517</v>
      </c>
    </row>
    <row r="99" spans="1:2" x14ac:dyDescent="0.25">
      <c r="A99" s="64" t="str">
        <f>HYPERLINK("http://www.twitter.com/JamesViewBarra", "JamesViewBarra")</f>
        <v>JamesViewBarra</v>
      </c>
      <c r="B99" s="65" t="s">
        <v>3795</v>
      </c>
    </row>
    <row r="100" spans="1:2" x14ac:dyDescent="0.25">
      <c r="A100" s="64" t="str">
        <f>HYPERLINK("http://www.twitter.com/Harveey_Crew", "Harveey_Crew")</f>
        <v>Harveey_Crew</v>
      </c>
      <c r="B100" s="65"/>
    </row>
    <row r="101" spans="1:2" x14ac:dyDescent="0.25">
      <c r="A101" s="64" t="str">
        <f>HYPERLINK("http://www.twitter.com/Phaishonne", "Phaishonne")</f>
        <v>Phaishonne</v>
      </c>
      <c r="B101" s="65" t="s">
        <v>3797</v>
      </c>
    </row>
    <row r="102" spans="1:2" x14ac:dyDescent="0.25">
      <c r="A102" s="64" t="str">
        <f>HYPERLINK("http://www.twitter.com/rsloan431", "rsloan431")</f>
        <v>rsloan431</v>
      </c>
      <c r="B102" s="65" t="s">
        <v>24</v>
      </c>
    </row>
    <row r="103" spans="1:2" x14ac:dyDescent="0.25">
      <c r="A103" s="64" t="str">
        <f>HYPERLINK("http://www.twitter.com/GeorgeSpence21", "GeorgeSpence21")</f>
        <v>GeorgeSpence21</v>
      </c>
      <c r="B103" s="65"/>
    </row>
    <row r="104" spans="1:2" x14ac:dyDescent="0.25">
      <c r="A104" s="64" t="str">
        <f>HYPERLINK("http://www.twitter.com/josephikajavub1", "josephikajavub1")</f>
        <v>josephikajavub1</v>
      </c>
      <c r="B104" s="65" t="s">
        <v>3798</v>
      </c>
    </row>
    <row r="105" spans="1:2" x14ac:dyDescent="0.25">
      <c r="A105" s="64" t="str">
        <f>HYPERLINK("http://www.twitter.com/mkcol", "mkcol")</f>
        <v>mkcol</v>
      </c>
      <c r="B105" s="65" t="s">
        <v>3781</v>
      </c>
    </row>
    <row r="106" spans="1:2" x14ac:dyDescent="0.25">
      <c r="A106" s="64" t="str">
        <f>HYPERLINK("http://www.twitter.com/chadwick_zoe", "chadwick_zoe")</f>
        <v>chadwick_zoe</v>
      </c>
      <c r="B106" s="65" t="s">
        <v>926</v>
      </c>
    </row>
    <row r="107" spans="1:2" x14ac:dyDescent="0.25">
      <c r="A107" s="64" t="str">
        <f>HYPERLINK("http://www.twitter.com/RedJackdawMedia", "RedJackdawMedia")</f>
        <v>RedJackdawMedia</v>
      </c>
      <c r="B107" s="65"/>
    </row>
    <row r="108" spans="1:2" x14ac:dyDescent="0.25">
      <c r="A108" s="64" t="str">
        <f>HYPERLINK("http://www.twitter.com/EMusicScotland", "EMusicScotland")</f>
        <v>EMusicScotland</v>
      </c>
      <c r="B108" s="65" t="s">
        <v>138</v>
      </c>
    </row>
    <row r="109" spans="1:2" x14ac:dyDescent="0.25">
      <c r="A109" s="64" t="str">
        <f>HYPERLINK("http://www.twitter.com/JSSBennett", "JSSBennett")</f>
        <v>JSSBennett</v>
      </c>
      <c r="B109" s="65" t="s">
        <v>3799</v>
      </c>
    </row>
    <row r="110" spans="1:2" x14ac:dyDescent="0.25">
      <c r="A110" s="64" t="str">
        <f>HYPERLINK("http://www.twitter.com/miss_sharons", "miss_sharons")</f>
        <v>miss_sharons</v>
      </c>
      <c r="B110" s="65" t="s">
        <v>3797</v>
      </c>
    </row>
    <row r="111" spans="1:2" x14ac:dyDescent="0.25">
      <c r="A111" s="64" t="str">
        <f>HYPERLINK("http://www.twitter.com/AndrewAFerguson", "AndrewAFerguson")</f>
        <v>AndrewAFerguson</v>
      </c>
      <c r="B111" s="65"/>
    </row>
    <row r="112" spans="1:2" x14ac:dyDescent="0.25">
      <c r="A112" s="64" t="str">
        <f>HYPERLINK("http://www.twitter.com/mreeVT", "mreeVT")</f>
        <v>mreeVT</v>
      </c>
      <c r="B112" s="65"/>
    </row>
    <row r="113" spans="1:2" x14ac:dyDescent="0.25">
      <c r="A113" s="64" t="str">
        <f>HYPERLINK("http://www.twitter.com/tartanroots", "tartanroots")</f>
        <v>tartanroots</v>
      </c>
      <c r="B113" s="65" t="s">
        <v>3800</v>
      </c>
    </row>
    <row r="114" spans="1:2" x14ac:dyDescent="0.25">
      <c r="A114" s="64" t="str">
        <f>HYPERLINK("http://www.twitter.com/lda1972", "lda1972")</f>
        <v>lda1972</v>
      </c>
      <c r="B114" s="65"/>
    </row>
    <row r="115" spans="1:2" x14ac:dyDescent="0.25">
      <c r="A115" s="64" t="str">
        <f>HYPERLINK("http://www.twitter.com/ValSawyer5", "ValSawyer5")</f>
        <v>ValSawyer5</v>
      </c>
      <c r="B115" s="65" t="s">
        <v>2592</v>
      </c>
    </row>
    <row r="116" spans="1:2" x14ac:dyDescent="0.25">
      <c r="A116" s="64" t="str">
        <f>HYPERLINK("http://www.twitter.com/JGLOBHEALTH", "JGLOBHEALTH")</f>
        <v>JGLOBHEALTH</v>
      </c>
      <c r="B116" s="65" t="s">
        <v>67</v>
      </c>
    </row>
    <row r="117" spans="1:2" x14ac:dyDescent="0.25">
      <c r="A117" s="64" t="str">
        <f>HYPERLINK("http://www.twitter.com/LibraryDinosaur", "LibraryDinosaur")</f>
        <v>LibraryDinosaur</v>
      </c>
      <c r="B117" s="65" t="s">
        <v>3801</v>
      </c>
    </row>
    <row r="118" spans="1:2" x14ac:dyDescent="0.25">
      <c r="A118" s="64" t="str">
        <f>HYPERLINK("http://www.twitter.com/rachaelking70", "rachaelking70")</f>
        <v>rachaelking70</v>
      </c>
      <c r="B118" s="65" t="s">
        <v>3802</v>
      </c>
    </row>
    <row r="119" spans="1:2" x14ac:dyDescent="0.25">
      <c r="A119" s="64" t="str">
        <f>HYPERLINK("http://www.twitter.com/PeterWhittick", "PeterWhittick")</f>
        <v>PeterWhittick</v>
      </c>
      <c r="B119" s="65"/>
    </row>
    <row r="120" spans="1:2" x14ac:dyDescent="0.25">
      <c r="A120" s="64" t="str">
        <f>HYPERLINK("http://www.twitter.com/BloomsCHAPTER", "BloomsCHAPTER")</f>
        <v>BloomsCHAPTER</v>
      </c>
      <c r="B120" s="65" t="s">
        <v>477</v>
      </c>
    </row>
    <row r="121" spans="1:2" x14ac:dyDescent="0.25">
      <c r="A121" s="64" t="str">
        <f>HYPERLINK("http://www.twitter.com/coopno01", "coopno01")</f>
        <v>coopno01</v>
      </c>
      <c r="B121" s="65" t="s">
        <v>2007</v>
      </c>
    </row>
    <row r="122" spans="1:2" x14ac:dyDescent="0.25">
      <c r="A122" s="64" t="str">
        <f>HYPERLINK("http://www.twitter.com/labour_lives", "labour_lives")</f>
        <v>labour_lives</v>
      </c>
      <c r="B122" s="65" t="s">
        <v>926</v>
      </c>
    </row>
    <row r="123" spans="1:2" x14ac:dyDescent="0.25">
      <c r="A123" s="64" t="str">
        <f>HYPERLINK("http://www.twitter.com/librarali", "librarali")</f>
        <v>librarali</v>
      </c>
      <c r="B123" s="65"/>
    </row>
    <row r="124" spans="1:2" x14ac:dyDescent="0.25">
      <c r="A124" s="64" t="str">
        <f>HYPERLINK("http://www.twitter.com/en_ligne_", "en_ligne_")</f>
        <v>en_ligne_</v>
      </c>
      <c r="B124" s="65" t="s">
        <v>3803</v>
      </c>
    </row>
    <row r="125" spans="1:2" x14ac:dyDescent="0.25">
      <c r="A125" s="64" t="str">
        <f>HYPERLINK("http://www.twitter.com/AmyMaltbie", "AmyMaltbie")</f>
        <v>AmyMaltbie</v>
      </c>
      <c r="B125" s="65" t="s">
        <v>3804</v>
      </c>
    </row>
    <row r="126" spans="1:2" x14ac:dyDescent="0.25">
      <c r="A126" s="64" t="str">
        <f>HYPERLINK("http://www.twitter.com/IainRWhite", "IainRWhite")</f>
        <v>IainRWhite</v>
      </c>
      <c r="B126" s="65" t="s">
        <v>3805</v>
      </c>
    </row>
    <row r="127" spans="1:2" x14ac:dyDescent="0.25">
      <c r="A127" s="64" t="str">
        <f>HYPERLINK("http://www.twitter.com/uomlib_michael", "uomlib_michael")</f>
        <v>uomlib_michael</v>
      </c>
      <c r="B127" s="65" t="s">
        <v>2289</v>
      </c>
    </row>
    <row r="128" spans="1:2" x14ac:dyDescent="0.25">
      <c r="A128" s="64" t="str">
        <f>HYPERLINK("http://www.twitter.com/AlexBilan1991", "AlexBilan1991")</f>
        <v>AlexBilan1991</v>
      </c>
      <c r="B128" s="65" t="s">
        <v>3806</v>
      </c>
    </row>
    <row r="129" spans="1:2" x14ac:dyDescent="0.25">
      <c r="A129" s="64" t="str">
        <f>HYPERLINK("http://www.twitter.com/GirgolPereira", "GirgolPereira")</f>
        <v>GirgolPereira</v>
      </c>
      <c r="B129" s="65" t="s">
        <v>3807</v>
      </c>
    </row>
    <row r="130" spans="1:2" x14ac:dyDescent="0.25">
      <c r="A130" s="64" t="str">
        <f>HYPERLINK("http://www.twitter.com/AbigailFriend1", "AbigailFriend1")</f>
        <v>AbigailFriend1</v>
      </c>
      <c r="B130" s="65" t="s">
        <v>3808</v>
      </c>
    </row>
    <row r="131" spans="1:2" x14ac:dyDescent="0.25">
      <c r="A131" s="64" t="str">
        <f>HYPERLINK("http://www.twitter.com/Princess56Stars", "Princess56Stars")</f>
        <v>Princess56Stars</v>
      </c>
      <c r="B131" s="65" t="s">
        <v>3809</v>
      </c>
    </row>
    <row r="132" spans="1:2" x14ac:dyDescent="0.25">
      <c r="A132" s="64" t="str">
        <f>HYPERLINK("http://www.twitter.com/realwaterside", "realwaterside")</f>
        <v>realwaterside</v>
      </c>
      <c r="B132" s="65" t="s">
        <v>3810</v>
      </c>
    </row>
    <row r="133" spans="1:2" x14ac:dyDescent="0.25">
      <c r="A133" s="64" t="str">
        <f>HYPERLINK("http://www.twitter.com/MearaGeraldine", "MearaGeraldine")</f>
        <v>MearaGeraldine</v>
      </c>
      <c r="B133" s="65"/>
    </row>
    <row r="134" spans="1:2" x14ac:dyDescent="0.25">
      <c r="A134" s="64" t="str">
        <f>HYPERLINK("http://www.twitter.com/ratty2608", "ratty2608")</f>
        <v>ratty2608</v>
      </c>
      <c r="B134" s="65"/>
    </row>
    <row r="135" spans="1:2" x14ac:dyDescent="0.25">
      <c r="A135" s="64" t="str">
        <f>HYPERLINK("http://www.twitter.com/Jean_M_Maguire", "Jean_M_Maguire")</f>
        <v>Jean_M_Maguire</v>
      </c>
      <c r="B135" s="65"/>
    </row>
    <row r="136" spans="1:2" x14ac:dyDescent="0.25">
      <c r="A136" s="64" t="str">
        <f>HYPERLINK("http://www.twitter.com/notes_journal", "notes_journal")</f>
        <v>notes_journal</v>
      </c>
      <c r="B136" s="65" t="s">
        <v>2007</v>
      </c>
    </row>
    <row r="137" spans="1:2" x14ac:dyDescent="0.25">
      <c r="A137" s="64" t="str">
        <f>HYPERLINK("http://www.twitter.com/olivertaylor271", "olivertaylor271")</f>
        <v>olivertaylor271</v>
      </c>
      <c r="B137" s="65" t="s">
        <v>2007</v>
      </c>
    </row>
    <row r="138" spans="1:2" x14ac:dyDescent="0.25">
      <c r="A138" s="64" t="str">
        <f>HYPERLINK("http://www.twitter.com/AIMCollective", "AIMCollective")</f>
        <v>AIMCollective</v>
      </c>
      <c r="B138" s="65" t="s">
        <v>2007</v>
      </c>
    </row>
    <row r="139" spans="1:2" x14ac:dyDescent="0.25">
      <c r="A139" s="64" t="str">
        <f>HYPERLINK("http://www.twitter.com/AlchemicalLand", "AlchemicalLand")</f>
        <v>AlchemicalLand</v>
      </c>
      <c r="B139" s="65" t="s">
        <v>3811</v>
      </c>
    </row>
    <row r="140" spans="1:2" x14ac:dyDescent="0.25">
      <c r="A140" s="64" t="str">
        <f>HYPERLINK("http://www.twitter.com/Magenpie23", "Magenpie23")</f>
        <v>Magenpie23</v>
      </c>
      <c r="B140" s="65" t="s">
        <v>3812</v>
      </c>
    </row>
    <row r="141" spans="1:2" x14ac:dyDescent="0.25">
      <c r="A141" s="64" t="str">
        <f>HYPERLINK("http://www.twitter.com/RHUL_Library", "RHUL_Library")</f>
        <v>RHUL_Library</v>
      </c>
      <c r="B141" s="65" t="s">
        <v>436</v>
      </c>
    </row>
    <row r="142" spans="1:2" x14ac:dyDescent="0.25">
      <c r="A142" s="64" t="str">
        <f>HYPERLINK("http://www.twitter.com/lydiaonyett", "lydiaonyett")</f>
        <v>lydiaonyett</v>
      </c>
      <c r="B142" s="65" t="s">
        <v>3813</v>
      </c>
    </row>
    <row r="143" spans="1:2" x14ac:dyDescent="0.25">
      <c r="A143" s="64" t="str">
        <f>HYPERLINK("http://www.twitter.com/squirrels4", "squirrels4")</f>
        <v>squirrels4</v>
      </c>
      <c r="B143" s="65" t="s">
        <v>459</v>
      </c>
    </row>
    <row r="144" spans="1:2" x14ac:dyDescent="0.25">
      <c r="A144" s="64" t="str">
        <f>HYPERLINK("http://www.twitter.com/asameshimae", "asameshimae")</f>
        <v>asameshimae</v>
      </c>
      <c r="B144" s="65" t="s">
        <v>2289</v>
      </c>
    </row>
    <row r="145" spans="1:2" x14ac:dyDescent="0.25">
      <c r="A145" s="64" t="str">
        <f>HYPERLINK("http://www.twitter.com/MMU_LRS", "MMU_LRS")</f>
        <v>MMU_LRS</v>
      </c>
      <c r="B145" s="65" t="s">
        <v>2289</v>
      </c>
    </row>
    <row r="146" spans="1:2" x14ac:dyDescent="0.25">
      <c r="A146" s="64" t="str">
        <f>HYPERLINK("http://www.twitter.com/heljack1967", "heljack1967")</f>
        <v>heljack1967</v>
      </c>
      <c r="B146" s="65" t="s">
        <v>3814</v>
      </c>
    </row>
    <row r="147" spans="1:2" x14ac:dyDescent="0.25">
      <c r="A147" s="64" t="str">
        <f>HYPERLINK("http://www.twitter.com/DrunkWolfArt", "DrunkWolfArt")</f>
        <v>DrunkWolfArt</v>
      </c>
      <c r="B147" s="65" t="s">
        <v>3815</v>
      </c>
    </row>
    <row r="148" spans="1:2" x14ac:dyDescent="0.25">
      <c r="A148" s="64" t="str">
        <f>HYPERLINK("http://www.twitter.com/BD644597969", "BD644597969")</f>
        <v>BD644597969</v>
      </c>
      <c r="B148" s="65"/>
    </row>
    <row r="149" spans="1:2" x14ac:dyDescent="0.25">
      <c r="A149" s="64" t="str">
        <f>HYPERLINK("http://www.twitter.com/realaurad", "realaurad")</f>
        <v>realaurad</v>
      </c>
      <c r="B149" s="65"/>
    </row>
    <row r="150" spans="1:2" x14ac:dyDescent="0.25">
      <c r="A150" s="64" t="str">
        <f>HYPERLINK("http://www.twitter.com/Lakin5Andrew", "Lakin5Andrew")</f>
        <v>Lakin5Andrew</v>
      </c>
      <c r="B150" s="65" t="s">
        <v>3816</v>
      </c>
    </row>
    <row r="151" spans="1:2" x14ac:dyDescent="0.25">
      <c r="A151" s="64" t="str">
        <f>HYPERLINK("http://www.twitter.com/greywoodvick", "greywoodvick")</f>
        <v>greywoodvick</v>
      </c>
      <c r="B151" s="65"/>
    </row>
    <row r="152" spans="1:2" x14ac:dyDescent="0.25">
      <c r="A152" s="64" t="str">
        <f>HYPERLINK("http://www.twitter.com/EarlyYearsEd", "EarlyYearsEd")</f>
        <v>EarlyYearsEd</v>
      </c>
      <c r="B152" s="65"/>
    </row>
    <row r="153" spans="1:2" x14ac:dyDescent="0.25">
      <c r="A153" s="64" t="str">
        <f>HYPERLINK("http://www.twitter.com/portlysmum", "portlysmum")</f>
        <v>portlysmum</v>
      </c>
      <c r="B153" s="65" t="s">
        <v>3817</v>
      </c>
    </row>
    <row r="154" spans="1:2" x14ac:dyDescent="0.25">
      <c r="A154" s="64" t="str">
        <f>HYPERLINK("http://www.twitter.com/graciebliddle", "graciebliddle")</f>
        <v>graciebliddle</v>
      </c>
      <c r="B154" s="65"/>
    </row>
    <row r="155" spans="1:2" x14ac:dyDescent="0.25">
      <c r="A155" s="64" t="str">
        <f>HYPERLINK("http://www.twitter.com/ArfurSmith", "ArfurSmith")</f>
        <v>ArfurSmith</v>
      </c>
      <c r="B155" s="65" t="s">
        <v>3818</v>
      </c>
    </row>
    <row r="156" spans="1:2" x14ac:dyDescent="0.25">
      <c r="A156" s="64" t="str">
        <f>HYPERLINK("http://www.twitter.com/MathsScot", "MathsScot")</f>
        <v>MathsScot</v>
      </c>
      <c r="B156" s="65"/>
    </row>
    <row r="157" spans="1:2" x14ac:dyDescent="0.25">
      <c r="A157" s="64" t="str">
        <f>HYPERLINK("http://www.twitter.com/LesleyBonang", "LesleyBonang")</f>
        <v>LesleyBonang</v>
      </c>
      <c r="B157" s="65"/>
    </row>
    <row r="158" spans="1:2" x14ac:dyDescent="0.25">
      <c r="A158" s="64" t="str">
        <f>HYPERLINK("http://www.twitter.com/BrookesLibrary", "BrookesLibrary")</f>
        <v>BrookesLibrary</v>
      </c>
      <c r="B158" s="65" t="s">
        <v>896</v>
      </c>
    </row>
    <row r="159" spans="1:2" x14ac:dyDescent="0.25">
      <c r="A159" s="64" t="str">
        <f>HYPERLINK("http://www.twitter.com/icklechums", "icklechums")</f>
        <v>icklechums</v>
      </c>
      <c r="B159" s="65"/>
    </row>
    <row r="160" spans="1:2" x14ac:dyDescent="0.25">
      <c r="A160" s="64" t="str">
        <f>HYPERLINK("http://www.twitter.com/juliefhill", "juliefhill")</f>
        <v>juliefhill</v>
      </c>
      <c r="B160" s="65" t="s">
        <v>36</v>
      </c>
    </row>
    <row r="161" spans="1:2" x14ac:dyDescent="0.25">
      <c r="A161" s="64" t="str">
        <f>HYPERLINK("http://www.twitter.com/LDugardein", "LDugardein")</f>
        <v>LDugardein</v>
      </c>
      <c r="B161" s="65" t="s">
        <v>3819</v>
      </c>
    </row>
    <row r="162" spans="1:2" x14ac:dyDescent="0.25">
      <c r="A162" s="64" t="str">
        <f>HYPERLINK("http://www.twitter.com/IslaBoag", "IslaBoag")</f>
        <v>IslaBoag</v>
      </c>
      <c r="B162" s="65"/>
    </row>
    <row r="163" spans="1:2" x14ac:dyDescent="0.25">
      <c r="A163" s="64" t="str">
        <f>HYPERLINK("http://www.twitter.com/jenfleuri", "jenfleuri")</f>
        <v>jenfleuri</v>
      </c>
      <c r="B163" s="65"/>
    </row>
    <row r="164" spans="1:2" x14ac:dyDescent="0.25">
      <c r="A164" s="64" t="str">
        <f>HYPERLINK("http://www.twitter.com/nhsnhs_thinker", "nhsnhs_thinker")</f>
        <v>nhsnhs_thinker</v>
      </c>
      <c r="B164" s="65" t="s">
        <v>3820</v>
      </c>
    </row>
    <row r="165" spans="1:2" x14ac:dyDescent="0.25">
      <c r="A165" s="64" t="str">
        <f>HYPERLINK("http://www.twitter.com/plwaconf", "plwaconf")</f>
        <v>plwaconf</v>
      </c>
      <c r="B165" s="65" t="s">
        <v>3821</v>
      </c>
    </row>
    <row r="166" spans="1:2" x14ac:dyDescent="0.25">
      <c r="A166" s="64" t="str">
        <f>HYPERLINK("http://www.twitter.com/CarrieBVC", "CarrieBVC")</f>
        <v>CarrieBVC</v>
      </c>
      <c r="B166" s="65" t="s">
        <v>487</v>
      </c>
    </row>
    <row r="167" spans="1:2" x14ac:dyDescent="0.25">
      <c r="A167" s="64" t="str">
        <f>HYPERLINK("http://www.twitter.com/LoveBristolLib", "LoveBristolLib")</f>
        <v>LoveBristolLib</v>
      </c>
      <c r="B167" s="65" t="s">
        <v>514</v>
      </c>
    </row>
    <row r="168" spans="1:2" x14ac:dyDescent="0.25">
      <c r="A168" s="64" t="str">
        <f>HYPERLINK("http://www.twitter.com/tormey_history", "tormey_history")</f>
        <v>tormey_history</v>
      </c>
      <c r="B168" s="65" t="s">
        <v>3822</v>
      </c>
    </row>
    <row r="169" spans="1:2" x14ac:dyDescent="0.25">
      <c r="A169" s="64" t="str">
        <f>HYPERLINK("http://www.twitter.com/bob_philip1", "bob_philip1")</f>
        <v>bob_philip1</v>
      </c>
      <c r="B169" s="65" t="s">
        <v>3823</v>
      </c>
    </row>
    <row r="170" spans="1:2" x14ac:dyDescent="0.25">
      <c r="A170" s="64" t="str">
        <f>HYPERLINK("http://www.twitter.com/MustowStuart", "MustowStuart")</f>
        <v>MustowStuart</v>
      </c>
      <c r="B170" s="65"/>
    </row>
    <row r="171" spans="1:2" x14ac:dyDescent="0.25">
      <c r="A171" s="64" t="str">
        <f>HYPERLINK("http://www.twitter.com/DavyTheCanary", "DavyTheCanary")</f>
        <v>DavyTheCanary</v>
      </c>
      <c r="B171" s="65" t="s">
        <v>3824</v>
      </c>
    </row>
    <row r="172" spans="1:2" x14ac:dyDescent="0.25">
      <c r="A172" s="64" t="str">
        <f>HYPERLINK("http://www.twitter.com/jzillhart", "jzillhart")</f>
        <v>jzillhart</v>
      </c>
      <c r="B172" s="65"/>
    </row>
    <row r="173" spans="1:2" x14ac:dyDescent="0.25">
      <c r="A173" s="64" t="str">
        <f>HYPERLINK("http://www.twitter.com/jaydrinkall", "jaydrinkall")</f>
        <v>jaydrinkall</v>
      </c>
      <c r="B173" s="65" t="s">
        <v>36</v>
      </c>
    </row>
    <row r="174" spans="1:2" x14ac:dyDescent="0.25">
      <c r="A174" s="64" t="str">
        <f>HYPERLINK("http://www.twitter.com/Catheri59405209", "Catheri59405209")</f>
        <v>Catheri59405209</v>
      </c>
      <c r="B174" s="65" t="s">
        <v>2007</v>
      </c>
    </row>
    <row r="175" spans="1:2" x14ac:dyDescent="0.25">
      <c r="A175" s="64" t="str">
        <f>HYPERLINK("http://www.twitter.com/hifi_corner", "hifi_corner")</f>
        <v>hifi_corner</v>
      </c>
      <c r="B175" s="65" t="s">
        <v>3825</v>
      </c>
    </row>
    <row r="176" spans="1:2" x14ac:dyDescent="0.25">
      <c r="A176" s="64" t="str">
        <f>HYPERLINK("http://www.twitter.com/BritSciBranches", "BritSciBranches")</f>
        <v>BritSciBranches</v>
      </c>
      <c r="B176" s="65" t="s">
        <v>296</v>
      </c>
    </row>
    <row r="177" spans="1:2" x14ac:dyDescent="0.25">
      <c r="A177" s="64" t="str">
        <f>HYPERLINK("http://www.twitter.com/jasperrd", "jasperrd")</f>
        <v>jasperrd</v>
      </c>
      <c r="B177" s="65"/>
    </row>
    <row r="178" spans="1:2" x14ac:dyDescent="0.25">
      <c r="A178" s="64" t="str">
        <f>HYPERLINK("http://www.twitter.com/NewsCityLife", "NewsCityLife")</f>
        <v>NewsCityLife</v>
      </c>
      <c r="B178" s="65" t="s">
        <v>517</v>
      </c>
    </row>
    <row r="179" spans="1:2" x14ac:dyDescent="0.25">
      <c r="A179" s="64" t="str">
        <f>HYPERLINK("http://www.twitter.com/SridarShyam", "SridarShyam")</f>
        <v>SridarShyam</v>
      </c>
      <c r="B179" s="65"/>
    </row>
    <row r="180" spans="1:2" x14ac:dyDescent="0.25">
      <c r="A180" s="64" t="str">
        <f>HYPERLINK("http://www.twitter.com/CEOScotland", "CEOScotland")</f>
        <v>CEOScotland</v>
      </c>
      <c r="B180" s="65" t="s">
        <v>3826</v>
      </c>
    </row>
    <row r="181" spans="1:2" x14ac:dyDescent="0.25">
      <c r="A181" s="64" t="str">
        <f>HYPERLINK("http://www.twitter.com/Chrispiorkowsk", "Chrispiorkowsk")</f>
        <v>Chrispiorkowsk</v>
      </c>
      <c r="B181" s="65" t="s">
        <v>477</v>
      </c>
    </row>
    <row r="182" spans="1:2" x14ac:dyDescent="0.25">
      <c r="A182" s="64" t="str">
        <f>HYPERLINK("http://www.twitter.com/PanamaBookWorm", "PanamaBookWorm")</f>
        <v>PanamaBookWorm</v>
      </c>
      <c r="B182" s="65" t="s">
        <v>3827</v>
      </c>
    </row>
    <row r="183" spans="1:2" x14ac:dyDescent="0.25">
      <c r="A183" s="64" t="str">
        <f>HYPERLINK("http://www.twitter.com/mayathepapaya", "mayathepapaya")</f>
        <v>mayathepapaya</v>
      </c>
      <c r="B183" s="65"/>
    </row>
    <row r="184" spans="1:2" x14ac:dyDescent="0.25">
      <c r="A184" s="64" t="str">
        <f>HYPERLINK("http://www.twitter.com/Ric19712", "Ric19712")</f>
        <v>Ric19712</v>
      </c>
      <c r="B184" s="65"/>
    </row>
    <row r="185" spans="1:2" x14ac:dyDescent="0.25">
      <c r="A185" s="64" t="str">
        <f>HYPERLINK("http://www.twitter.com/violetlizzie", "violetlizzie")</f>
        <v>violetlizzie</v>
      </c>
      <c r="B185" s="65" t="s">
        <v>1739</v>
      </c>
    </row>
    <row r="186" spans="1:2" x14ac:dyDescent="0.25">
      <c r="A186" s="64" t="str">
        <f>HYPERLINK("http://www.twitter.com/wee_green", "wee_green")</f>
        <v>wee_green</v>
      </c>
      <c r="B186" s="65"/>
    </row>
    <row r="187" spans="1:2" x14ac:dyDescent="0.25">
      <c r="A187" s="64" t="str">
        <f>HYPERLINK("http://www.twitter.com/JGoodall_MSP", "JGoodall_MSP")</f>
        <v>JGoodall_MSP</v>
      </c>
      <c r="B187" s="65" t="s">
        <v>3828</v>
      </c>
    </row>
    <row r="188" spans="1:2" x14ac:dyDescent="0.25">
      <c r="A188" s="64" t="str">
        <f>HYPERLINK("http://www.twitter.com/AmandaRoseFeist", "AmandaRoseFeist")</f>
        <v>AmandaRoseFeist</v>
      </c>
      <c r="B188" s="65"/>
    </row>
    <row r="189" spans="1:2" x14ac:dyDescent="0.25">
      <c r="A189" s="64" t="str">
        <f>HYPERLINK("http://www.twitter.com/ericwhalen1", "ericwhalen1")</f>
        <v>ericwhalen1</v>
      </c>
      <c r="B189" s="65" t="s">
        <v>3829</v>
      </c>
    </row>
    <row r="190" spans="1:2" x14ac:dyDescent="0.25">
      <c r="A190" s="64" t="str">
        <f>HYPERLINK("http://www.twitter.com/CulturedRuffian", "CulturedRuffian")</f>
        <v>CulturedRuffian</v>
      </c>
      <c r="B190" s="65" t="s">
        <v>3830</v>
      </c>
    </row>
    <row r="191" spans="1:2" x14ac:dyDescent="0.25">
      <c r="A191" s="64" t="str">
        <f>HYPERLINK("http://www.twitter.com/oceanallover", "oceanallover")</f>
        <v>oceanallover</v>
      </c>
      <c r="B191" s="65" t="s">
        <v>2007</v>
      </c>
    </row>
    <row r="192" spans="1:2" x14ac:dyDescent="0.25">
      <c r="A192" s="64" t="str">
        <f>HYPERLINK("http://www.twitter.com/Jmaloneiv01", "Jmaloneiv01")</f>
        <v>Jmaloneiv01</v>
      </c>
      <c r="B192" s="65" t="s">
        <v>2007</v>
      </c>
    </row>
    <row r="193" spans="1:2" x14ac:dyDescent="0.25">
      <c r="A193" s="64" t="str">
        <f>HYPERLINK("http://www.twitter.com/HeleneBooklover", "HeleneBooklover")</f>
        <v>HeleneBooklover</v>
      </c>
      <c r="B193" s="65"/>
    </row>
    <row r="194" spans="1:2" x14ac:dyDescent="0.25">
      <c r="A194" s="64" t="str">
        <f>HYPERLINK("http://www.twitter.com/Katfoy1", "Katfoy1")</f>
        <v>Katfoy1</v>
      </c>
      <c r="B194" s="65" t="s">
        <v>569</v>
      </c>
    </row>
    <row r="195" spans="1:2" x14ac:dyDescent="0.25">
      <c r="A195" s="64" t="str">
        <f>HYPERLINK("http://www.twitter.com/Lauradianam", "Lauradianam")</f>
        <v>Lauradianam</v>
      </c>
      <c r="B195" s="65" t="s">
        <v>2289</v>
      </c>
    </row>
    <row r="196" spans="1:2" x14ac:dyDescent="0.25">
      <c r="A196" s="64" t="str">
        <f>HYPERLINK("http://www.twitter.com/NickKnackP", "NickKnackP")</f>
        <v>NickKnackP</v>
      </c>
      <c r="B196" s="65" t="s">
        <v>3831</v>
      </c>
    </row>
    <row r="197" spans="1:2" x14ac:dyDescent="0.25">
      <c r="A197" s="64" t="str">
        <f>HYPERLINK("http://www.twitter.com/illinoisHPNL", "illinoisHPNL")</f>
        <v>illinoisHPNL</v>
      </c>
      <c r="B197" s="65" t="s">
        <v>3832</v>
      </c>
    </row>
    <row r="198" spans="1:2" x14ac:dyDescent="0.25">
      <c r="A198" s="64" t="str">
        <f>HYPERLINK("http://www.twitter.com/rpnairn", "rpnairn")</f>
        <v>rpnairn</v>
      </c>
      <c r="B198" s="65" t="s">
        <v>3779</v>
      </c>
    </row>
    <row r="199" spans="1:2" x14ac:dyDescent="0.25">
      <c r="A199" s="64" t="str">
        <f>HYPERLINK("http://www.twitter.com/LesChristie1", "LesChristie1")</f>
        <v>LesChristie1</v>
      </c>
      <c r="B199" s="65"/>
    </row>
    <row r="200" spans="1:2" x14ac:dyDescent="0.25">
      <c r="A200" s="64" t="str">
        <f>HYPERLINK("http://www.twitter.com/scottisskill", "scottisskill")</f>
        <v>scottisskill</v>
      </c>
      <c r="B200" s="65" t="s">
        <v>3833</v>
      </c>
    </row>
    <row r="201" spans="1:2" x14ac:dyDescent="0.25">
      <c r="A201" s="64" t="str">
        <f>HYPERLINK("http://www.twitter.com/TheBoopBlog", "TheBoopBlog")</f>
        <v>TheBoopBlog</v>
      </c>
      <c r="B201" s="65" t="s">
        <v>3834</v>
      </c>
    </row>
    <row r="202" spans="1:2" x14ac:dyDescent="0.25">
      <c r="A202" s="64" t="str">
        <f>HYPERLINK("http://www.twitter.com/LanedotPhil", "LanedotPhil")</f>
        <v>LanedotPhil</v>
      </c>
      <c r="B202" s="65"/>
    </row>
    <row r="203" spans="1:2" x14ac:dyDescent="0.25">
      <c r="A203" s="64" t="str">
        <f>HYPERLINK("http://www.twitter.com/NBMScotland", "NBMScotland")</f>
        <v>NBMScotland</v>
      </c>
      <c r="B203" s="65" t="s">
        <v>517</v>
      </c>
    </row>
    <row r="204" spans="1:2" x14ac:dyDescent="0.25">
      <c r="A204" s="64" t="str">
        <f>HYPERLINK("http://www.twitter.com/ddweaver47", "ddweaver47")</f>
        <v>ddweaver47</v>
      </c>
      <c r="B204" s="65" t="s">
        <v>3835</v>
      </c>
    </row>
    <row r="205" spans="1:2" x14ac:dyDescent="0.25">
      <c r="A205" s="64" t="str">
        <f>HYPERLINK("http://www.twitter.com/susiejc", "susiejc")</f>
        <v>susiejc</v>
      </c>
      <c r="B205" s="65"/>
    </row>
    <row r="206" spans="1:2" x14ac:dyDescent="0.25">
      <c r="A206" s="64" t="str">
        <f>HYPERLINK("http://www.twitter.com/schwawah", "schwawah")</f>
        <v>schwawah</v>
      </c>
      <c r="B206" s="65" t="s">
        <v>3836</v>
      </c>
    </row>
    <row r="207" spans="1:2" x14ac:dyDescent="0.25">
      <c r="A207" s="64" t="str">
        <f>HYPERLINK("http://www.twitter.com/HolRaar", "HolRaar")</f>
        <v>HolRaar</v>
      </c>
      <c r="B207" s="65"/>
    </row>
    <row r="208" spans="1:2" x14ac:dyDescent="0.25">
      <c r="A208" s="64" t="str">
        <f>HYPERLINK("http://www.twitter.com/Jmstewart77", "Jmstewart77")</f>
        <v>Jmstewart77</v>
      </c>
      <c r="B208" s="65" t="s">
        <v>3837</v>
      </c>
    </row>
    <row r="209" spans="1:2" x14ac:dyDescent="0.25">
      <c r="A209" s="64" t="str">
        <f>HYPERLINK("http://www.twitter.com/VailaIrvine", "VailaIrvine")</f>
        <v>VailaIrvine</v>
      </c>
      <c r="B209" s="65"/>
    </row>
    <row r="210" spans="1:2" x14ac:dyDescent="0.25">
      <c r="A210" s="64" t="str">
        <f>HYPERLINK("http://www.twitter.com/jd_bentley", "jd_bentley")</f>
        <v>jd_bentley</v>
      </c>
      <c r="B210" s="65"/>
    </row>
    <row r="211" spans="1:2" x14ac:dyDescent="0.25">
      <c r="A211" s="64" t="str">
        <f>HYPERLINK("http://www.twitter.com/Things_In_Books", "Things_In_Books")</f>
        <v>Things_In_Books</v>
      </c>
      <c r="B211" s="65" t="s">
        <v>70</v>
      </c>
    </row>
    <row r="212" spans="1:2" x14ac:dyDescent="0.25">
      <c r="A212" s="64" t="str">
        <f>HYPERLINK("http://www.twitter.com/cammybm79", "cammybm79")</f>
        <v>cammybm79</v>
      </c>
      <c r="B212" s="65"/>
    </row>
    <row r="213" spans="1:2" x14ac:dyDescent="0.25">
      <c r="A213" s="64" t="str">
        <f>HYPERLINK("http://www.twitter.com/boxhead_craft", "boxhead_craft")</f>
        <v>boxhead_craft</v>
      </c>
      <c r="B213" s="65" t="s">
        <v>3838</v>
      </c>
    </row>
    <row r="214" spans="1:2" x14ac:dyDescent="0.25">
      <c r="A214" s="64" t="str">
        <f>HYPERLINK("http://www.twitter.com/minfitbabe", "minfitbabe")</f>
        <v>minfitbabe</v>
      </c>
      <c r="B214" s="65" t="s">
        <v>3839</v>
      </c>
    </row>
    <row r="215" spans="1:2" x14ac:dyDescent="0.25">
      <c r="A215" s="64" t="str">
        <f>HYPERLINK("http://www.twitter.com/Bibliotheek030", "Bibliotheek030")</f>
        <v>Bibliotheek030</v>
      </c>
      <c r="B215" s="65" t="s">
        <v>3840</v>
      </c>
    </row>
    <row r="216" spans="1:2" x14ac:dyDescent="0.25">
      <c r="A216" s="64" t="str">
        <f>HYPERLINK("http://www.twitter.com/reg_lorraine", "reg_lorraine")</f>
        <v>reg_lorraine</v>
      </c>
      <c r="B216" s="65"/>
    </row>
    <row r="217" spans="1:2" x14ac:dyDescent="0.25">
      <c r="A217" s="64" t="str">
        <f>HYPERLINK("http://www.twitter.com/crust_jebus", "crust_jebus")</f>
        <v>crust_jebus</v>
      </c>
      <c r="B217" s="65" t="s">
        <v>3841</v>
      </c>
    </row>
    <row r="218" spans="1:2" x14ac:dyDescent="0.25">
      <c r="A218" s="64" t="str">
        <f>HYPERLINK("http://www.twitter.com/whovian_sarah", "whovian_sarah")</f>
        <v>whovian_sarah</v>
      </c>
      <c r="B218" s="65" t="s">
        <v>3842</v>
      </c>
    </row>
    <row r="219" spans="1:2" x14ac:dyDescent="0.25">
      <c r="A219" s="64" t="str">
        <f>HYPERLINK("http://www.twitter.com/Grillandjim", "Grillandjim")</f>
        <v>Grillandjim</v>
      </c>
      <c r="B219" s="65"/>
    </row>
    <row r="220" spans="1:2" x14ac:dyDescent="0.25">
      <c r="A220" s="64" t="str">
        <f>HYPERLINK("http://www.twitter.com/bengothmagician", "bengothmagician")</f>
        <v>bengothmagician</v>
      </c>
      <c r="B220" s="65"/>
    </row>
    <row r="221" spans="1:2" x14ac:dyDescent="0.25">
      <c r="A221" s="64" t="str">
        <f>HYPERLINK("http://www.twitter.com/Nonamecat5", "Nonamecat5")</f>
        <v>Nonamecat5</v>
      </c>
      <c r="B221" s="65"/>
    </row>
    <row r="222" spans="1:2" x14ac:dyDescent="0.25">
      <c r="A222" s="64" t="str">
        <f>HYPERLINK("http://www.twitter.com/FilmChatPodcast", "FilmChatPodcast")</f>
        <v>FilmChatPodcast</v>
      </c>
      <c r="B222" s="65"/>
    </row>
    <row r="223" spans="1:2" x14ac:dyDescent="0.25">
      <c r="A223" s="64" t="str">
        <f>HYPERLINK("http://www.twitter.com/AlexTechEdin", "AlexTechEdin")</f>
        <v>AlexTechEdin</v>
      </c>
      <c r="B223" s="65" t="s">
        <v>24</v>
      </c>
    </row>
    <row r="224" spans="1:2" x14ac:dyDescent="0.25">
      <c r="A224" s="64" t="str">
        <f>HYPERLINK("http://www.twitter.com/ShawnAl74405331", "ShawnAl74405331")</f>
        <v>ShawnAl74405331</v>
      </c>
      <c r="B224" s="65"/>
    </row>
    <row r="225" spans="1:2" x14ac:dyDescent="0.25">
      <c r="A225" s="64" t="str">
        <f>HYPERLINK("http://www.twitter.com/welcssgmom", "welcssgmom")</f>
        <v>welcssgmom</v>
      </c>
      <c r="B225" s="65" t="s">
        <v>3843</v>
      </c>
    </row>
    <row r="226" spans="1:2" x14ac:dyDescent="0.25">
      <c r="A226" s="64" t="str">
        <f>HYPERLINK("http://www.twitter.com/LuxuryMogul", "LuxuryMogul")</f>
        <v>LuxuryMogul</v>
      </c>
      <c r="B226" s="65"/>
    </row>
    <row r="227" spans="1:2" x14ac:dyDescent="0.25">
      <c r="A227" s="64" t="str">
        <f>HYPERLINK("http://www.twitter.com/tutam59", "tutam59")</f>
        <v>tutam59</v>
      </c>
      <c r="B227" s="65" t="s">
        <v>3844</v>
      </c>
    </row>
    <row r="228" spans="1:2" x14ac:dyDescent="0.25">
      <c r="A228" s="64" t="str">
        <f>HYPERLINK("http://www.twitter.com/andrewagogo", "andrewagogo")</f>
        <v>andrewagogo</v>
      </c>
      <c r="B228" s="65"/>
    </row>
    <row r="229" spans="1:2" x14ac:dyDescent="0.25">
      <c r="A229" s="64" t="str">
        <f>HYPERLINK("http://www.twitter.com/dianeg5819", "dianeg5819")</f>
        <v>dianeg5819</v>
      </c>
      <c r="B229" s="65"/>
    </row>
    <row r="230" spans="1:2" x14ac:dyDescent="0.25">
      <c r="A230" s="64" t="str">
        <f>HYPERLINK("http://www.twitter.com/HelpSTOPscammer", "HelpSTOPscammer")</f>
        <v>HelpSTOPscammer</v>
      </c>
      <c r="B230" s="65" t="s">
        <v>3797</v>
      </c>
    </row>
    <row r="231" spans="1:2" x14ac:dyDescent="0.25">
      <c r="A231" s="64" t="str">
        <f>HYPERLINK("http://www.twitter.com/metcoaches", "metcoaches")</f>
        <v>metcoaches</v>
      </c>
      <c r="B231" s="65" t="s">
        <v>3845</v>
      </c>
    </row>
    <row r="232" spans="1:2" x14ac:dyDescent="0.25">
      <c r="A232" s="64" t="str">
        <f>HYPERLINK("http://www.twitter.com/diditdj4", "diditdj4")</f>
        <v>diditdj4</v>
      </c>
      <c r="B232" s="65"/>
    </row>
    <row r="233" spans="1:2" x14ac:dyDescent="0.25">
      <c r="A233" s="64" t="str">
        <f>HYPERLINK("http://www.twitter.com/AJW451", "AJW451")</f>
        <v>AJW451</v>
      </c>
      <c r="B233" s="65"/>
    </row>
    <row r="234" spans="1:2" x14ac:dyDescent="0.25">
      <c r="A234" s="64" t="str">
        <f>HYPERLINK("http://www.twitter.com/sept_marketing", "sept_marketing")</f>
        <v>sept_marketing</v>
      </c>
      <c r="B234" s="65" t="s">
        <v>3846</v>
      </c>
    </row>
    <row r="235" spans="1:2" x14ac:dyDescent="0.25">
      <c r="A235" s="64" t="str">
        <f>HYPERLINK("http://www.twitter.com/EvaRezkova1", "EvaRezkova1")</f>
        <v>EvaRezkova1</v>
      </c>
      <c r="B235" s="65"/>
    </row>
    <row r="236" spans="1:2" x14ac:dyDescent="0.25">
      <c r="A236" s="64" t="str">
        <f>HYPERLINK("http://www.twitter.com/19bk69", "19bk69")</f>
        <v>19bk69</v>
      </c>
      <c r="B236" s="65" t="s">
        <v>3847</v>
      </c>
    </row>
    <row r="237" spans="1:2" x14ac:dyDescent="0.25">
      <c r="A237" s="64" t="str">
        <f>HYPERLINK("http://www.twitter.com/NMandDVC", "NMandDVC")</f>
        <v>NMandDVC</v>
      </c>
      <c r="B237" s="65" t="s">
        <v>3848</v>
      </c>
    </row>
    <row r="238" spans="1:2" x14ac:dyDescent="0.25">
      <c r="A238" s="64" t="str">
        <f>HYPERLINK("http://www.twitter.com/NyomiSutherland", "NyomiSutherland")</f>
        <v>NyomiSutherland</v>
      </c>
      <c r="B238" s="65"/>
    </row>
    <row r="239" spans="1:2" x14ac:dyDescent="0.25">
      <c r="A239" s="64" t="str">
        <f>HYPERLINK("http://www.twitter.com/Glittery_boots", "Glittery_boots")</f>
        <v>Glittery_boots</v>
      </c>
      <c r="B239" s="65"/>
    </row>
    <row r="240" spans="1:2" x14ac:dyDescent="0.25">
      <c r="A240" s="64" t="str">
        <f>HYPERLINK("http://www.twitter.com/montg", "montg")</f>
        <v>montg</v>
      </c>
      <c r="B240" s="65" t="s">
        <v>477</v>
      </c>
    </row>
    <row r="241" spans="1:2" x14ac:dyDescent="0.25">
      <c r="A241" s="64" t="str">
        <f>HYPERLINK("http://www.twitter.com/furrpo", "furrpo")</f>
        <v>furrpo</v>
      </c>
      <c r="B241" s="65"/>
    </row>
    <row r="242" spans="1:2" x14ac:dyDescent="0.25">
      <c r="A242" s="64" t="str">
        <f>HYPERLINK("http://www.twitter.com/IngleTeare", "IngleTeare")</f>
        <v>IngleTeare</v>
      </c>
      <c r="B242" s="65" t="s">
        <v>180</v>
      </c>
    </row>
    <row r="243" spans="1:2" x14ac:dyDescent="0.25">
      <c r="A243" s="64" t="str">
        <f>HYPERLINK("http://www.twitter.com/2fishPisces", "2fishPisces")</f>
        <v>2fishPisces</v>
      </c>
      <c r="B243" s="65"/>
    </row>
    <row r="244" spans="1:2" x14ac:dyDescent="0.25">
      <c r="A244" s="64" t="str">
        <f>HYPERLINK("http://www.twitter.com/BoekeKatrin", "BoekeKatrin")</f>
        <v>BoekeKatrin</v>
      </c>
      <c r="B244" s="65" t="s">
        <v>3849</v>
      </c>
    </row>
    <row r="245" spans="1:2" x14ac:dyDescent="0.25">
      <c r="A245" s="64" t="str">
        <f>HYPERLINK("http://www.twitter.com/Wonkycottage", "Wonkycottage")</f>
        <v>Wonkycottage</v>
      </c>
      <c r="B245" s="65" t="s">
        <v>3850</v>
      </c>
    </row>
    <row r="246" spans="1:2" x14ac:dyDescent="0.25">
      <c r="A246" s="64" t="str">
        <f>HYPERLINK("http://www.twitter.com/alanalcampbell1", "alanalcampbell1")</f>
        <v>alanalcampbell1</v>
      </c>
      <c r="B246" s="65" t="s">
        <v>3851</v>
      </c>
    </row>
    <row r="247" spans="1:2" x14ac:dyDescent="0.25">
      <c r="A247" s="64" t="str">
        <f>HYPERLINK("http://www.twitter.com/LlanbradachLib", "LlanbradachLib")</f>
        <v>LlanbradachLib</v>
      </c>
      <c r="B247" s="65"/>
    </row>
    <row r="248" spans="1:2" x14ac:dyDescent="0.25">
      <c r="A248" s="64" t="str">
        <f>HYPERLINK("http://www.twitter.com/Truesyardmuseum", "Truesyardmuseum")</f>
        <v>Truesyardmuseum</v>
      </c>
      <c r="B248" s="65" t="s">
        <v>3852</v>
      </c>
    </row>
    <row r="249" spans="1:2" x14ac:dyDescent="0.25">
      <c r="A249" s="64" t="str">
        <f>HYPERLINK("http://www.twitter.com/GemSeltz", "GemSeltz")</f>
        <v>GemSeltz</v>
      </c>
      <c r="B249" s="65" t="s">
        <v>36</v>
      </c>
    </row>
    <row r="250" spans="1:2" x14ac:dyDescent="0.25">
      <c r="A250" s="64" t="str">
        <f>HYPERLINK("http://www.twitter.com/Leko", "Leko")</f>
        <v>Leko</v>
      </c>
      <c r="B250" s="65"/>
    </row>
    <row r="251" spans="1:2" x14ac:dyDescent="0.25">
      <c r="A251" s="64" t="str">
        <f>HYPERLINK("http://www.twitter.com/Cat_Warren", "Cat_Warren")</f>
        <v>Cat_Warren</v>
      </c>
      <c r="B251" s="65"/>
    </row>
    <row r="252" spans="1:2" x14ac:dyDescent="0.25">
      <c r="A252" s="64" t="str">
        <f>HYPERLINK("http://www.twitter.com/LizChapman84", "LizChapman84")</f>
        <v>LizChapman84</v>
      </c>
      <c r="B252" s="65"/>
    </row>
    <row r="253" spans="1:2" x14ac:dyDescent="0.25">
      <c r="A253" s="64" t="str">
        <f>HYPERLINK("http://www.twitter.com/mbfitzgerald201", "mbfitzgerald201")</f>
        <v>mbfitzgerald201</v>
      </c>
      <c r="B253" s="65" t="s">
        <v>3853</v>
      </c>
    </row>
    <row r="254" spans="1:2" x14ac:dyDescent="0.25">
      <c r="A254" s="64" t="str">
        <f>HYPERLINK("http://www.twitter.com/Jenny_Knotts", "Jenny_Knotts")</f>
        <v>Jenny_Knotts</v>
      </c>
      <c r="B254" s="65" t="s">
        <v>318</v>
      </c>
    </row>
    <row r="255" spans="1:2" x14ac:dyDescent="0.25">
      <c r="A255" s="64" t="str">
        <f>HYPERLINK("http://www.twitter.com/friends_wpl", "friends_wpl")</f>
        <v>friends_wpl</v>
      </c>
      <c r="B255" s="65"/>
    </row>
    <row r="256" spans="1:2" x14ac:dyDescent="0.25">
      <c r="A256" s="64" t="str">
        <f>HYPERLINK("http://www.twitter.com/gains_college", "gains_college")</f>
        <v>gains_college</v>
      </c>
      <c r="B256" s="65"/>
    </row>
    <row r="257" spans="1:2" x14ac:dyDescent="0.25">
      <c r="A257" s="64" t="str">
        <f>HYPERLINK("http://www.twitter.com/RoseAdam4", "RoseAdam4")</f>
        <v>RoseAdam4</v>
      </c>
      <c r="B257" s="65" t="s">
        <v>3854</v>
      </c>
    </row>
    <row r="258" spans="1:2" x14ac:dyDescent="0.25">
      <c r="A258" s="64" t="str">
        <f>HYPERLINK("http://www.twitter.com/goodwinauthor", "goodwinauthor")</f>
        <v>goodwinauthor</v>
      </c>
      <c r="B258" s="65" t="s">
        <v>3828</v>
      </c>
    </row>
    <row r="259" spans="1:2" x14ac:dyDescent="0.25">
      <c r="A259" s="64" t="str">
        <f>HYPERLINK("http://www.twitter.com/GaynorjeanHodge", "GaynorjeanHodge")</f>
        <v>GaynorjeanHodge</v>
      </c>
      <c r="B259" s="65" t="s">
        <v>3855</v>
      </c>
    </row>
    <row r="260" spans="1:2" x14ac:dyDescent="0.25">
      <c r="A260" s="64" t="str">
        <f>HYPERLINK("http://www.twitter.com/waltwhitman", "waltwhitman")</f>
        <v>waltwhitman</v>
      </c>
      <c r="B260" s="65" t="s">
        <v>3856</v>
      </c>
    </row>
    <row r="261" spans="1:2" x14ac:dyDescent="0.25">
      <c r="A261" s="64" t="str">
        <f>HYPERLINK("http://www.twitter.com/ing_aw", "ing_aw")</f>
        <v>ing_aw</v>
      </c>
      <c r="B261" s="65" t="s">
        <v>3857</v>
      </c>
    </row>
    <row r="262" spans="1:2" x14ac:dyDescent="0.25">
      <c r="A262" s="64" t="str">
        <f>HYPERLINK("http://www.twitter.com/RugbyPrinter", "RugbyPrinter")</f>
        <v>RugbyPrinter</v>
      </c>
      <c r="B262" s="65" t="s">
        <v>3858</v>
      </c>
    </row>
    <row r="263" spans="1:2" x14ac:dyDescent="0.25">
      <c r="A263" s="64" t="str">
        <f>HYPERLINK("http://www.twitter.com/AvantaUKLtd", "AvantaUKLtd")</f>
        <v>AvantaUKLtd</v>
      </c>
      <c r="B263" s="65" t="s">
        <v>3859</v>
      </c>
    </row>
    <row r="264" spans="1:2" x14ac:dyDescent="0.25">
      <c r="A264" s="64" t="str">
        <f>HYPERLINK("http://www.twitter.com/lucylovestea", "lucylovestea")</f>
        <v>lucylovestea</v>
      </c>
      <c r="B264" s="65"/>
    </row>
    <row r="265" spans="1:2" x14ac:dyDescent="0.25">
      <c r="A265" s="64" t="str">
        <f>HYPERLINK("http://www.twitter.com/HermioneMole", "HermioneMole")</f>
        <v>HermioneMole</v>
      </c>
      <c r="B265" s="65" t="s">
        <v>3860</v>
      </c>
    </row>
    <row r="266" spans="1:2" x14ac:dyDescent="0.25">
      <c r="A266" s="64" t="str">
        <f>HYPERLINK("http://www.twitter.com/npburton", "npburton")</f>
        <v>npburton</v>
      </c>
      <c r="B266" s="65"/>
    </row>
    <row r="267" spans="1:2" x14ac:dyDescent="0.25">
      <c r="A267" s="64" t="str">
        <f>HYPERLINK("http://www.twitter.com/beaherdwick", "beaherdwick")</f>
        <v>beaherdwick</v>
      </c>
      <c r="B267" s="65"/>
    </row>
    <row r="268" spans="1:2" x14ac:dyDescent="0.25">
      <c r="A268" s="64" t="str">
        <f>HYPERLINK("http://www.twitter.com/RealPeggyHart", "RealPeggyHart")</f>
        <v>RealPeggyHart</v>
      </c>
      <c r="B268" s="65"/>
    </row>
    <row r="269" spans="1:2" x14ac:dyDescent="0.25">
      <c r="A269" s="64" t="str">
        <f>HYPERLINK("http://www.twitter.com/MyBookCASE_Evan", "MyBookCASE_Evan")</f>
        <v>MyBookCASE_Evan</v>
      </c>
      <c r="B269" s="65" t="s">
        <v>3861</v>
      </c>
    </row>
    <row r="270" spans="1:2" x14ac:dyDescent="0.25">
      <c r="A270" s="64" t="str">
        <f>HYPERLINK("http://www.twitter.com/grammar_goodies", "grammar_goodies")</f>
        <v>grammar_goodies</v>
      </c>
      <c r="B270" s="65" t="s">
        <v>2007</v>
      </c>
    </row>
    <row r="271" spans="1:2" x14ac:dyDescent="0.25">
      <c r="A271" s="64" t="str">
        <f>HYPERLINK("http://www.twitter.com/DunedinViki", "DunedinViki")</f>
        <v>DunedinViki</v>
      </c>
      <c r="B271" s="65" t="s">
        <v>3862</v>
      </c>
    </row>
    <row r="272" spans="1:2" x14ac:dyDescent="0.25">
      <c r="A272" s="64" t="str">
        <f>HYPERLINK("http://www.twitter.com/SamRichards1970", "SamRichards1970")</f>
        <v>SamRichards1970</v>
      </c>
      <c r="B272" s="65" t="s">
        <v>70</v>
      </c>
    </row>
    <row r="273" spans="1:2" x14ac:dyDescent="0.25">
      <c r="A273" s="64" t="str">
        <f>HYPERLINK("http://www.twitter.com/morecambetango", "morecambetango")</f>
        <v>morecambetango</v>
      </c>
      <c r="B273" s="65"/>
    </row>
    <row r="274" spans="1:2" x14ac:dyDescent="0.25">
      <c r="A274" s="64" t="str">
        <f>HYPERLINK("http://www.twitter.com/VRValicento", "VRValicento")</f>
        <v>VRValicento</v>
      </c>
      <c r="B274" s="65" t="s">
        <v>3863</v>
      </c>
    </row>
    <row r="275" spans="1:2" x14ac:dyDescent="0.25">
      <c r="A275" s="64" t="str">
        <f>HYPERLINK("http://www.twitter.com/lauraposadas1", "lauraposadas1")</f>
        <v>lauraposadas1</v>
      </c>
      <c r="B275" s="65"/>
    </row>
    <row r="276" spans="1:2" x14ac:dyDescent="0.25">
      <c r="A276" s="64" t="str">
        <f>HYPERLINK("http://www.twitter.com/LifeDeathGrief", "LifeDeathGrief")</f>
        <v>LifeDeathGrief</v>
      </c>
      <c r="B276" s="65" t="s">
        <v>517</v>
      </c>
    </row>
    <row r="277" spans="1:2" x14ac:dyDescent="0.25">
      <c r="A277" s="64" t="str">
        <f>HYPERLINK("http://www.twitter.com/The_Tom_Jackson", "The_Tom_Jackson")</f>
        <v>The_Tom_Jackson</v>
      </c>
      <c r="B277" s="65" t="s">
        <v>3864</v>
      </c>
    </row>
    <row r="278" spans="1:2" x14ac:dyDescent="0.25">
      <c r="A278" s="64" t="str">
        <f>HYPERLINK("http://www.twitter.com/Crintach", "Crintach")</f>
        <v>Crintach</v>
      </c>
      <c r="B278" s="65"/>
    </row>
    <row r="279" spans="1:2" x14ac:dyDescent="0.25">
      <c r="A279" s="64" t="str">
        <f>HYPERLINK("http://www.twitter.com/AnneMarieKerr9", "AnneMarieKerr9")</f>
        <v>AnneMarieKerr9</v>
      </c>
      <c r="B279" s="65"/>
    </row>
    <row r="280" spans="1:2" x14ac:dyDescent="0.25">
      <c r="A280" s="64" t="str">
        <f>HYPERLINK("http://www.twitter.com/janedavisauthor", "janedavisauthor")</f>
        <v>janedavisauthor</v>
      </c>
      <c r="B280" s="65"/>
    </row>
    <row r="281" spans="1:2" x14ac:dyDescent="0.25">
      <c r="A281" s="64" t="str">
        <f>HYPERLINK("http://www.twitter.com/WorldCupDoubles", "WorldCupDoubles")</f>
        <v>WorldCupDoubles</v>
      </c>
      <c r="B281" s="65" t="s">
        <v>3865</v>
      </c>
    </row>
    <row r="282" spans="1:2" x14ac:dyDescent="0.25">
      <c r="A282" s="64" t="str">
        <f>HYPERLINK("http://www.twitter.com/nickrennie", "nickrennie")</f>
        <v>nickrennie</v>
      </c>
      <c r="B282" s="65"/>
    </row>
    <row r="283" spans="1:2" x14ac:dyDescent="0.25">
      <c r="A283" s="64" t="str">
        <f>HYPERLINK("http://www.twitter.com/Leealfred2", "Leealfred2")</f>
        <v>Leealfred2</v>
      </c>
      <c r="B283" s="65"/>
    </row>
    <row r="284" spans="1:2" x14ac:dyDescent="0.25">
      <c r="A284" s="64" t="str">
        <f>HYPERLINK("http://www.twitter.com/sueball011", "sueball011")</f>
        <v>sueball011</v>
      </c>
      <c r="B284" s="65"/>
    </row>
    <row r="285" spans="1:2" x14ac:dyDescent="0.25">
      <c r="A285" s="64" t="str">
        <f>HYPERLINK("http://www.twitter.com/VCCLib", "VCCLib")</f>
        <v>VCCLib</v>
      </c>
      <c r="B285" s="65" t="s">
        <v>3866</v>
      </c>
    </row>
    <row r="286" spans="1:2" x14ac:dyDescent="0.25">
      <c r="A286" s="64" t="str">
        <f>HYPERLINK("http://www.twitter.com/UnderstudiesThe", "UnderstudiesThe")</f>
        <v>UnderstudiesThe</v>
      </c>
      <c r="B286" s="65" t="s">
        <v>24</v>
      </c>
    </row>
    <row r="287" spans="1:2" x14ac:dyDescent="0.25">
      <c r="A287" s="64" t="str">
        <f>HYPERLINK("http://www.twitter.com/Bioranuisge", "Bioranuisge")</f>
        <v>Bioranuisge</v>
      </c>
      <c r="B287" s="65"/>
    </row>
    <row r="288" spans="1:2" x14ac:dyDescent="0.25">
      <c r="A288" s="64" t="str">
        <f>HYPERLINK("http://www.twitter.com/BrianHi73852212", "BrianHi73852212")</f>
        <v>BrianHi73852212</v>
      </c>
      <c r="B288" s="65"/>
    </row>
    <row r="289" spans="1:2" x14ac:dyDescent="0.25">
      <c r="A289" s="64" t="str">
        <f>HYPERLINK("http://www.twitter.com/rathgar", "rathgar")</f>
        <v>rathgar</v>
      </c>
      <c r="B289" s="65" t="s">
        <v>36</v>
      </c>
    </row>
    <row r="290" spans="1:2" x14ac:dyDescent="0.25">
      <c r="A290" s="64" t="str">
        <f>HYPERLINK("http://www.twitter.com/Wildlife4Photos", "Wildlife4Photos")</f>
        <v>Wildlife4Photos</v>
      </c>
      <c r="B290" s="65"/>
    </row>
    <row r="291" spans="1:2" x14ac:dyDescent="0.25">
      <c r="A291" s="64" t="str">
        <f>HYPERLINK("http://www.twitter.com/OrlaDukes", "OrlaDukes")</f>
        <v>OrlaDukes</v>
      </c>
      <c r="B291" s="65" t="s">
        <v>3867</v>
      </c>
    </row>
    <row r="292" spans="1:2" x14ac:dyDescent="0.25">
      <c r="A292" s="64" t="str">
        <f>HYPERLINK("http://www.twitter.com/MC_NPL", "MC_NPL")</f>
        <v>MC_NPL</v>
      </c>
      <c r="B292" s="65" t="s">
        <v>3868</v>
      </c>
    </row>
    <row r="293" spans="1:2" x14ac:dyDescent="0.25">
      <c r="A293" s="64" t="str">
        <f>HYPERLINK("http://www.twitter.com/briathran", "briathran")</f>
        <v>briathran</v>
      </c>
      <c r="B293" s="65"/>
    </row>
    <row r="294" spans="1:2" x14ac:dyDescent="0.25">
      <c r="A294" s="64" t="str">
        <f>HYPERLINK("http://www.twitter.com/meganbreakwell", "meganbreakwell")</f>
        <v>meganbreakwell</v>
      </c>
      <c r="B294" s="65"/>
    </row>
    <row r="295" spans="1:2" x14ac:dyDescent="0.25">
      <c r="A295" s="64" t="str">
        <f>HYPERLINK("http://www.twitter.com/dkorail", "dkorail")</f>
        <v>dkorail</v>
      </c>
      <c r="B295" s="65"/>
    </row>
    <row r="296" spans="1:2" x14ac:dyDescent="0.25">
      <c r="A296" s="64" t="str">
        <f>HYPERLINK("http://www.twitter.com/Outlandish_Harp", "Outlandish_Harp")</f>
        <v>Outlandish_Harp</v>
      </c>
      <c r="B296" s="65"/>
    </row>
    <row r="297" spans="1:2" x14ac:dyDescent="0.25">
      <c r="A297" s="64" t="str">
        <f>HYPERLINK("http://www.twitter.com/brihall71", "brihall71")</f>
        <v>brihall71</v>
      </c>
      <c r="B297" s="65" t="s">
        <v>3869</v>
      </c>
    </row>
    <row r="298" spans="1:2" x14ac:dyDescent="0.25">
      <c r="A298" s="64" t="str">
        <f>HYPERLINK("http://www.twitter.com/countryvintage1", "countryvintage1")</f>
        <v>countryvintage1</v>
      </c>
      <c r="B298" s="65" t="s">
        <v>3870</v>
      </c>
    </row>
    <row r="299" spans="1:2" x14ac:dyDescent="0.25">
      <c r="A299" s="64" t="str">
        <f>HYPERLINK("http://www.twitter.com/DanPrice12345", "DanPrice12345")</f>
        <v>DanPrice12345</v>
      </c>
      <c r="B299" s="65"/>
    </row>
    <row r="300" spans="1:2" x14ac:dyDescent="0.25">
      <c r="A300" s="64" t="str">
        <f>HYPERLINK("http://www.twitter.com/lesamcpeak", "lesamcpeak")</f>
        <v>lesamcpeak</v>
      </c>
      <c r="B300" s="65"/>
    </row>
    <row r="301" spans="1:2" x14ac:dyDescent="0.25">
      <c r="A301" s="64" t="str">
        <f>HYPERLINK("http://www.twitter.com/GriffinPeggy2", "GriffinPeggy2")</f>
        <v>GriffinPeggy2</v>
      </c>
      <c r="B301" s="65"/>
    </row>
    <row r="302" spans="1:2" x14ac:dyDescent="0.25">
      <c r="A302" s="64" t="str">
        <f>HYPERLINK("http://www.twitter.com/marydirisio", "marydirisio")</f>
        <v>marydirisio</v>
      </c>
      <c r="B302" s="65" t="s">
        <v>3871</v>
      </c>
    </row>
    <row r="303" spans="1:2" x14ac:dyDescent="0.25">
      <c r="A303" s="64" t="str">
        <f>HYPERLINK("http://www.twitter.com/JacquelynnScott", "JacquelynnScott")</f>
        <v>JacquelynnScott</v>
      </c>
      <c r="B303" s="65" t="s">
        <v>3872</v>
      </c>
    </row>
    <row r="304" spans="1:2" x14ac:dyDescent="0.25">
      <c r="A304" s="64" t="str">
        <f>HYPERLINK("http://www.twitter.com/ByrneElaine", "ByrneElaine")</f>
        <v>ByrneElaine</v>
      </c>
      <c r="B304" s="65"/>
    </row>
    <row r="305" spans="1:2" x14ac:dyDescent="0.25">
      <c r="A305" s="64" t="str">
        <f>HYPERLINK("http://www.twitter.com/stewartblair1", "stewartblair1")</f>
        <v>stewartblair1</v>
      </c>
      <c r="B305" s="65"/>
    </row>
    <row r="306" spans="1:2" x14ac:dyDescent="0.25">
      <c r="A306" s="64" t="str">
        <f>HYPERLINK("http://www.twitter.com/KateElliottSFF", "KateElliottSFF")</f>
        <v>KateElliottSFF</v>
      </c>
      <c r="B306" s="65" t="s">
        <v>3873</v>
      </c>
    </row>
    <row r="307" spans="1:2" x14ac:dyDescent="0.25">
      <c r="A307" s="64" t="str">
        <f>HYPERLINK("http://www.twitter.com/ben92351", "ben92351")</f>
        <v>ben92351</v>
      </c>
      <c r="B307" s="65"/>
    </row>
    <row r="308" spans="1:2" x14ac:dyDescent="0.25">
      <c r="A308" s="64" t="str">
        <f>HYPERLINK("http://www.twitter.com/RosemaryRitorto", "RosemaryRitorto")</f>
        <v>RosemaryRitorto</v>
      </c>
      <c r="B308" s="65" t="s">
        <v>3874</v>
      </c>
    </row>
    <row r="309" spans="1:2" x14ac:dyDescent="0.25">
      <c r="A309" s="64" t="str">
        <f>HYPERLINK("http://www.twitter.com/sheldonmum", "sheldonmum")</f>
        <v>sheldonmum</v>
      </c>
      <c r="B309" s="65"/>
    </row>
    <row r="310" spans="1:2" x14ac:dyDescent="0.25">
      <c r="A310" s="64" t="str">
        <f>HYPERLINK("http://www.twitter.com/CouthMagazine", "CouthMagazine")</f>
        <v>CouthMagazine</v>
      </c>
      <c r="B310" s="65"/>
    </row>
    <row r="311" spans="1:2" x14ac:dyDescent="0.25">
      <c r="A311" s="64" t="str">
        <f>HYPERLINK("http://www.twitter.com/Meli_MacD", "Meli_MacD")</f>
        <v>Meli_MacD</v>
      </c>
      <c r="B311" s="65" t="s">
        <v>3875</v>
      </c>
    </row>
    <row r="312" spans="1:2" x14ac:dyDescent="0.25">
      <c r="A312" s="64" t="str">
        <f>HYPERLINK("http://www.twitter.com/Sudhanshu_999", "Sudhanshu_999")</f>
        <v>Sudhanshu_999</v>
      </c>
      <c r="B312" s="65" t="s">
        <v>3876</v>
      </c>
    </row>
    <row r="313" spans="1:2" x14ac:dyDescent="0.25">
      <c r="A313" s="64" t="str">
        <f>HYPERLINK("http://www.twitter.com/ElisLaurie1", "ElisLaurie1")</f>
        <v>ElisLaurie1</v>
      </c>
      <c r="B313" s="65" t="s">
        <v>318</v>
      </c>
    </row>
    <row r="314" spans="1:2" x14ac:dyDescent="0.25">
      <c r="A314" s="64" t="str">
        <f>HYPERLINK("http://www.twitter.com/wenglishgeek", "wenglishgeek")</f>
        <v>wenglishgeek</v>
      </c>
      <c r="B314" s="65" t="s">
        <v>3877</v>
      </c>
    </row>
    <row r="315" spans="1:2" x14ac:dyDescent="0.25">
      <c r="A315" s="64" t="str">
        <f>HYPERLINK("http://www.twitter.com/JessLemonTree", "JessLemonTree")</f>
        <v>JessLemonTree</v>
      </c>
      <c r="B315" s="65" t="s">
        <v>2007</v>
      </c>
    </row>
    <row r="316" spans="1:2" x14ac:dyDescent="0.25">
      <c r="A316" s="64" t="str">
        <f>HYPERLINK("http://www.twitter.com/aniajwhite", "aniajwhite")</f>
        <v>aniajwhite</v>
      </c>
      <c r="B316" s="65"/>
    </row>
    <row r="317" spans="1:2" x14ac:dyDescent="0.25">
      <c r="A317" s="64" t="str">
        <f>HYPERLINK("http://www.twitter.com/gailadugas", "gailadugas")</f>
        <v>gailadugas</v>
      </c>
      <c r="B317" s="65" t="s">
        <v>3878</v>
      </c>
    </row>
    <row r="318" spans="1:2" x14ac:dyDescent="0.25">
      <c r="A318" s="64" t="str">
        <f>HYPERLINK("http://www.twitter.com/RickiSparksxv", "RickiSparksxv")</f>
        <v>RickiSparksxv</v>
      </c>
      <c r="B318" s="65" t="s">
        <v>3879</v>
      </c>
    </row>
    <row r="319" spans="1:2" x14ac:dyDescent="0.25">
      <c r="A319" s="64" t="str">
        <f>HYPERLINK("http://www.twitter.com/lauriep1", "lauriep1")</f>
        <v>lauriep1</v>
      </c>
      <c r="B319" s="65"/>
    </row>
    <row r="320" spans="1:2" x14ac:dyDescent="0.25">
      <c r="A320" s="64" t="str">
        <f>HYPERLINK("http://www.twitter.com/rigeorge27y", "rigeorge27y")</f>
        <v>rigeorge27y</v>
      </c>
      <c r="B320" s="65" t="s">
        <v>3880</v>
      </c>
    </row>
    <row r="321" spans="1:2" x14ac:dyDescent="0.25">
      <c r="A321" s="64" t="str">
        <f>HYPERLINK("http://www.twitter.com/JoOuest", "JoOuest")</f>
        <v>JoOuest</v>
      </c>
      <c r="B321" s="65"/>
    </row>
    <row r="322" spans="1:2" x14ac:dyDescent="0.25">
      <c r="A322" s="64" t="str">
        <f>HYPERLINK("http://www.twitter.com/davehalescanada", "davehalescanada")</f>
        <v>davehalescanada</v>
      </c>
      <c r="B322" s="65" t="s">
        <v>3881</v>
      </c>
    </row>
    <row r="323" spans="1:2" x14ac:dyDescent="0.25">
      <c r="A323" s="64" t="str">
        <f>HYPERLINK("http://www.twitter.com/ben_fowkes", "ben_fowkes")</f>
        <v>ben_fowkes</v>
      </c>
      <c r="B323" s="65" t="s">
        <v>1873</v>
      </c>
    </row>
    <row r="324" spans="1:2" x14ac:dyDescent="0.25">
      <c r="A324" s="64" t="str">
        <f>HYPERLINK("http://www.twitter.com/bal4hay13", "bal4hay13")</f>
        <v>bal4hay13</v>
      </c>
      <c r="B324" s="65" t="s">
        <v>3882</v>
      </c>
    </row>
    <row r="325" spans="1:2" x14ac:dyDescent="0.25">
      <c r="A325" s="64" t="str">
        <f>HYPERLINK("http://www.twitter.com/_HoyAisling_", "_HoyAisling_")</f>
        <v>_HoyAisling_</v>
      </c>
      <c r="B325" s="65" t="s">
        <v>3883</v>
      </c>
    </row>
    <row r="326" spans="1:2" x14ac:dyDescent="0.25">
      <c r="A326" s="64" t="str">
        <f>HYPERLINK("http://www.twitter.com/PurlingPanda", "PurlingPanda")</f>
        <v>PurlingPanda</v>
      </c>
      <c r="B326" s="65" t="s">
        <v>3884</v>
      </c>
    </row>
    <row r="327" spans="1:2" x14ac:dyDescent="0.25">
      <c r="A327" s="64" t="str">
        <f>HYPERLINK("http://www.twitter.com/petitebijous", "petitebijous")</f>
        <v>petitebijous</v>
      </c>
      <c r="B327" s="65" t="s">
        <v>448</v>
      </c>
    </row>
    <row r="328" spans="1:2" x14ac:dyDescent="0.25">
      <c r="A328" s="64" t="str">
        <f>HYPERLINK("http://www.twitter.com/SBark40", "SBark40")</f>
        <v>SBark40</v>
      </c>
      <c r="B328" s="65" t="s">
        <v>3885</v>
      </c>
    </row>
    <row r="329" spans="1:2" x14ac:dyDescent="0.25">
      <c r="A329" s="64" t="str">
        <f>HYPERLINK("http://www.twitter.com/JoeChristie", "JoeChristie")</f>
        <v>JoeChristie</v>
      </c>
      <c r="B329" s="65" t="s">
        <v>3886</v>
      </c>
    </row>
    <row r="330" spans="1:2" x14ac:dyDescent="0.25">
      <c r="A330" s="64" t="str">
        <f>HYPERLINK("http://www.twitter.com/LeughLeabhar", "LeughLeabhar")</f>
        <v>LeughLeabhar</v>
      </c>
      <c r="B330" s="65" t="s">
        <v>3887</v>
      </c>
    </row>
    <row r="331" spans="1:2" x14ac:dyDescent="0.25">
      <c r="A331" s="64" t="str">
        <f>HYPERLINK("http://www.twitter.com/ch_moor", "ch_moor")</f>
        <v>ch_moor</v>
      </c>
      <c r="B331" s="65" t="s">
        <v>93</v>
      </c>
    </row>
    <row r="332" spans="1:2" x14ac:dyDescent="0.25">
      <c r="A332" s="64" t="str">
        <f>HYPERLINK("http://www.twitter.com/hsfreeman1", "hsfreeman1")</f>
        <v>hsfreeman1</v>
      </c>
      <c r="B332" s="65"/>
    </row>
    <row r="333" spans="1:2" x14ac:dyDescent="0.25">
      <c r="A333" s="64" t="str">
        <f>HYPERLINK("http://www.twitter.com/Jennifer62438", "Jennifer62438")</f>
        <v>Jennifer62438</v>
      </c>
      <c r="B333" s="65" t="s">
        <v>3888</v>
      </c>
    </row>
    <row r="334" spans="1:2" x14ac:dyDescent="0.25">
      <c r="A334" s="64" t="str">
        <f>HYPERLINK("http://www.twitter.com/annemariebrear", "annemariebrear")</f>
        <v>annemariebrear</v>
      </c>
      <c r="B334" s="65" t="s">
        <v>3889</v>
      </c>
    </row>
    <row r="335" spans="1:2" x14ac:dyDescent="0.25">
      <c r="A335" s="64" t="str">
        <f>HYPERLINK("http://www.twitter.com/rhiannereid90", "rhiannereid90")</f>
        <v>rhiannereid90</v>
      </c>
      <c r="B335" s="65"/>
    </row>
    <row r="336" spans="1:2" x14ac:dyDescent="0.25">
      <c r="A336" s="64" t="str">
        <f>HYPERLINK("http://www.twitter.com/Bridge_Short", "Bridge_Short")</f>
        <v>Bridge_Short</v>
      </c>
      <c r="B336" s="65" t="s">
        <v>318</v>
      </c>
    </row>
    <row r="337" spans="1:2" x14ac:dyDescent="0.25">
      <c r="A337" s="64" t="str">
        <f>HYPERLINK("http://www.twitter.com/jammcaster", "jammcaster")</f>
        <v>jammcaster</v>
      </c>
      <c r="B337" s="65"/>
    </row>
    <row r="338" spans="1:2" x14ac:dyDescent="0.25">
      <c r="A338" s="64" t="str">
        <f>HYPERLINK("http://www.twitter.com/SalMorrison", "SalMorrison")</f>
        <v>SalMorrison</v>
      </c>
      <c r="B338" s="65" t="s">
        <v>3890</v>
      </c>
    </row>
    <row r="339" spans="1:2" x14ac:dyDescent="0.25">
      <c r="A339" s="64" t="str">
        <f>HYPERLINK("http://www.twitter.com/danjones1", "danjones1")</f>
        <v>danjones1</v>
      </c>
      <c r="B339" s="65" t="s">
        <v>36</v>
      </c>
    </row>
    <row r="340" spans="1:2" x14ac:dyDescent="0.25">
      <c r="A340" s="64" t="str">
        <f>HYPERLINK("http://www.twitter.com/bogmyrtleskye", "bogmyrtleskye")</f>
        <v>bogmyrtleskye</v>
      </c>
      <c r="B340" s="65" t="s">
        <v>3891</v>
      </c>
    </row>
    <row r="341" spans="1:2" x14ac:dyDescent="0.25">
      <c r="A341" s="64" t="str">
        <f>HYPERLINK("http://www.twitter.com/alex_akero", "alex_akero")</f>
        <v>alex_akero</v>
      </c>
      <c r="B341" s="65" t="s">
        <v>2102</v>
      </c>
    </row>
    <row r="342" spans="1:2" x14ac:dyDescent="0.25">
      <c r="A342" s="64" t="str">
        <f>HYPERLINK("http://www.twitter.com/David9278", "David9278")</f>
        <v>David9278</v>
      </c>
      <c r="B342" s="65" t="s">
        <v>3892</v>
      </c>
    </row>
    <row r="343" spans="1:2" x14ac:dyDescent="0.25">
      <c r="A343" s="64" t="str">
        <f>HYPERLINK("http://www.twitter.com/YunRigina", "YunRigina")</f>
        <v>YunRigina</v>
      </c>
      <c r="B343" s="65"/>
    </row>
    <row r="344" spans="1:2" x14ac:dyDescent="0.25">
      <c r="A344" s="64" t="str">
        <f>HYPERLINK("http://www.twitter.com/btown_han", "btown_han")</f>
        <v>btown_han</v>
      </c>
      <c r="B344" s="65" t="s">
        <v>1980</v>
      </c>
    </row>
    <row r="345" spans="1:2" x14ac:dyDescent="0.25">
      <c r="A345" s="64" t="str">
        <f>HYPERLINK("http://www.twitter.com/NutWithACamera", "NutWithACamera")</f>
        <v>NutWithACamera</v>
      </c>
      <c r="B345" s="65" t="s">
        <v>3893</v>
      </c>
    </row>
    <row r="346" spans="1:2" x14ac:dyDescent="0.25">
      <c r="A346" s="64" t="str">
        <f>HYPERLINK("http://www.twitter.com/ejpotter08", "ejpotter08")</f>
        <v>ejpotter08</v>
      </c>
      <c r="B346" s="65" t="s">
        <v>36</v>
      </c>
    </row>
    <row r="347" spans="1:2" x14ac:dyDescent="0.25">
      <c r="A347" s="64" t="str">
        <f>HYPERLINK("http://www.twitter.com/Gen2050", "Gen2050")</f>
        <v>Gen2050</v>
      </c>
      <c r="B347" s="65"/>
    </row>
    <row r="348" spans="1:2" x14ac:dyDescent="0.25">
      <c r="A348" s="64" t="str">
        <f>HYPERLINK("http://www.twitter.com/alip69", "alip69")</f>
        <v>alip69</v>
      </c>
      <c r="B348" s="65"/>
    </row>
    <row r="349" spans="1:2" x14ac:dyDescent="0.25">
      <c r="A349" s="64" t="str">
        <f>HYPERLINK("http://www.twitter.com/TattieDog", "TattieDog")</f>
        <v>TattieDog</v>
      </c>
      <c r="B349" s="65"/>
    </row>
    <row r="350" spans="1:2" x14ac:dyDescent="0.25">
      <c r="A350" s="64" t="str">
        <f>HYPERLINK("http://www.twitter.com/UO_ESIS", "UO_ESIS")</f>
        <v>UO_ESIS</v>
      </c>
      <c r="B350" s="65" t="s">
        <v>3894</v>
      </c>
    </row>
    <row r="351" spans="1:2" x14ac:dyDescent="0.25">
      <c r="A351" s="64" t="str">
        <f>HYPERLINK("http://www.twitter.com/mtechman", "mtechman")</f>
        <v>mtechman</v>
      </c>
      <c r="B351" s="65" t="s">
        <v>3895</v>
      </c>
    </row>
    <row r="352" spans="1:2" x14ac:dyDescent="0.25">
      <c r="A352" s="64" t="str">
        <f>HYPERLINK("http://www.twitter.com/Thatpoetrybloke", "Thatpoetrybloke")</f>
        <v>Thatpoetrybloke</v>
      </c>
      <c r="B352" s="65" t="s">
        <v>3896</v>
      </c>
    </row>
    <row r="353" spans="1:2" x14ac:dyDescent="0.25">
      <c r="A353" s="64" t="str">
        <f>HYPERLINK("http://www.twitter.com/McCuneSmithCafe", "McCuneSmithCafe")</f>
        <v>McCuneSmithCafe</v>
      </c>
      <c r="B353" s="65" t="s">
        <v>3897</v>
      </c>
    </row>
    <row r="354" spans="1:2" x14ac:dyDescent="0.25">
      <c r="A354" s="64" t="str">
        <f>HYPERLINK("http://www.twitter.com/MercianArch", "MercianArch")</f>
        <v>MercianArch</v>
      </c>
      <c r="B354" s="65" t="s">
        <v>3898</v>
      </c>
    </row>
    <row r="355" spans="1:2" x14ac:dyDescent="0.25">
      <c r="A355" s="64" t="str">
        <f>HYPERLINK("http://www.twitter.com/ArcHistSherwood", "ArcHistSherwood")</f>
        <v>ArcHistSherwood</v>
      </c>
      <c r="B355" s="65" t="s">
        <v>273</v>
      </c>
    </row>
    <row r="356" spans="1:2" x14ac:dyDescent="0.25">
      <c r="A356" s="64" t="str">
        <f>HYPERLINK("http://www.twitter.com/AGArchaeology", "AGArchaeology")</f>
        <v>AGArchaeology</v>
      </c>
      <c r="B356" s="65"/>
    </row>
    <row r="357" spans="1:2" x14ac:dyDescent="0.25">
      <c r="A357" s="64" t="str">
        <f>HYPERLINK("http://www.twitter.com/kg2862", "kg2862")</f>
        <v>kg2862</v>
      </c>
      <c r="B357" s="65" t="s">
        <v>3900</v>
      </c>
    </row>
    <row r="358" spans="1:2" x14ac:dyDescent="0.25">
      <c r="A358" s="64" t="str">
        <f>HYPERLINK("http://www.twitter.com/LisaGorn4", "LisaGorn4")</f>
        <v>LisaGorn4</v>
      </c>
      <c r="B358" s="65"/>
    </row>
    <row r="359" spans="1:2" x14ac:dyDescent="0.25">
      <c r="A359" s="64" t="str">
        <f>HYPERLINK("http://www.twitter.com/SquirkRodent", "SquirkRodent")</f>
        <v>SquirkRodent</v>
      </c>
      <c r="B359" s="65" t="s">
        <v>3901</v>
      </c>
    </row>
    <row r="360" spans="1:2" x14ac:dyDescent="0.25">
      <c r="A360" s="64" t="str">
        <f>HYPERLINK("http://www.twitter.com/KhanhTuyenPham", "KhanhTuyenPham")</f>
        <v>KhanhTuyenPham</v>
      </c>
      <c r="B360" s="65"/>
    </row>
    <row r="361" spans="1:2" x14ac:dyDescent="0.25">
      <c r="A361" s="64" t="str">
        <f>HYPERLINK("http://www.twitter.com/woolwinding", "woolwinding")</f>
        <v>woolwinding</v>
      </c>
      <c r="B361" s="65" t="s">
        <v>2134</v>
      </c>
    </row>
    <row r="362" spans="1:2" x14ac:dyDescent="0.25">
      <c r="A362" s="64" t="str">
        <f>HYPERLINK("http://www.twitter.com/OrknetWebDesign", "OrknetWebDesign")</f>
        <v>OrknetWebDesign</v>
      </c>
      <c r="B362" s="65" t="s">
        <v>3762</v>
      </c>
    </row>
    <row r="363" spans="1:2" x14ac:dyDescent="0.25">
      <c r="A363" s="64" t="str">
        <f>HYPERLINK("http://www.twitter.com/ze2ec", "ze2ec")</f>
        <v>ze2ec</v>
      </c>
      <c r="B363" s="65" t="s">
        <v>2007</v>
      </c>
    </row>
    <row r="364" spans="1:2" x14ac:dyDescent="0.25">
      <c r="A364" s="64" t="str">
        <f>HYPERLINK("http://www.twitter.com/Dazmondal", "Dazmondal")</f>
        <v>Dazmondal</v>
      </c>
      <c r="B364" s="65" t="s">
        <v>1295</v>
      </c>
    </row>
    <row r="365" spans="1:2" x14ac:dyDescent="0.25">
      <c r="A365" s="64" t="str">
        <f>HYPERLINK("http://www.twitter.com/CalumToogood", "CalumToogood")</f>
        <v>CalumToogood</v>
      </c>
      <c r="B365" s="65" t="s">
        <v>3902</v>
      </c>
    </row>
    <row r="366" spans="1:2" x14ac:dyDescent="0.25">
      <c r="A366" s="64" t="str">
        <f>HYPERLINK("http://www.twitter.com/darty_sp", "darty_sp")</f>
        <v>darty_sp</v>
      </c>
      <c r="B366" s="65" t="s">
        <v>3903</v>
      </c>
    </row>
    <row r="367" spans="1:2" x14ac:dyDescent="0.25">
      <c r="A367" s="64" t="str">
        <f>HYPERLINK("http://www.twitter.com/theorderofnut", "theorderofnut")</f>
        <v>theorderofnut</v>
      </c>
      <c r="B367" s="65" t="s">
        <v>3904</v>
      </c>
    </row>
    <row r="368" spans="1:2" x14ac:dyDescent="0.25">
      <c r="A368" s="64" t="str">
        <f>HYPERLINK("http://www.twitter.com/WendyTrakes", "WendyTrakes")</f>
        <v>WendyTrakes</v>
      </c>
      <c r="B368" s="65" t="s">
        <v>3905</v>
      </c>
    </row>
    <row r="369" spans="1:2" x14ac:dyDescent="0.25">
      <c r="A369" s="64" t="str">
        <f>HYPERLINK("http://www.twitter.com/IanMcDougall1", "IanMcDougall1")</f>
        <v>IanMcDougall1</v>
      </c>
      <c r="B369" s="65" t="s">
        <v>3906</v>
      </c>
    </row>
    <row r="370" spans="1:2" x14ac:dyDescent="0.25">
      <c r="A370" s="64" t="str">
        <f>HYPERLINK("http://www.twitter.com/MadameAskew", "MadameAskew")</f>
        <v>MadameAskew</v>
      </c>
      <c r="B370" s="65" t="s">
        <v>3907</v>
      </c>
    </row>
    <row r="371" spans="1:2" x14ac:dyDescent="0.25">
      <c r="A371" s="64" t="str">
        <f>HYPERLINK("http://www.twitter.com/KingLibraries", "KingLibraries")</f>
        <v>KingLibraries</v>
      </c>
      <c r="B371" s="65" t="s">
        <v>3908</v>
      </c>
    </row>
    <row r="372" spans="1:2" x14ac:dyDescent="0.25">
      <c r="A372" s="64" t="str">
        <f>HYPERLINK("http://www.twitter.com/tragic_muse", "tragic_muse")</f>
        <v>tragic_muse</v>
      </c>
      <c r="B372" s="65"/>
    </row>
    <row r="373" spans="1:2" x14ac:dyDescent="0.25">
      <c r="A373" s="64" t="str">
        <f>HYPERLINK("http://www.twitter.com/McnabStewart", "McnabStewart")</f>
        <v>McnabStewart</v>
      </c>
      <c r="B373" s="65" t="s">
        <v>3909</v>
      </c>
    </row>
    <row r="374" spans="1:2" x14ac:dyDescent="0.25">
      <c r="A374" s="64" t="str">
        <f>HYPERLINK("http://www.twitter.com/Active_Arts", "Active_Arts")</f>
        <v>Active_Arts</v>
      </c>
      <c r="B374" s="65" t="s">
        <v>3910</v>
      </c>
    </row>
    <row r="375" spans="1:2" x14ac:dyDescent="0.25">
      <c r="A375" s="64" t="str">
        <f>HYPERLINK("http://www.twitter.com/CoopNoo1", "CoopNoo1")</f>
        <v>CoopNoo1</v>
      </c>
      <c r="B375" s="65" t="s">
        <v>2007</v>
      </c>
    </row>
    <row r="376" spans="1:2" x14ac:dyDescent="0.25">
      <c r="A376" s="64" t="str">
        <f>HYPERLINK("http://www.twitter.com/TRLibraries", "TRLibraries")</f>
        <v>TRLibraries</v>
      </c>
      <c r="B376" s="65" t="s">
        <v>3911</v>
      </c>
    </row>
    <row r="377" spans="1:2" x14ac:dyDescent="0.25">
      <c r="A377" s="64" t="str">
        <f>HYPERLINK("http://www.twitter.com/OCLC_NL", "OCLC_NL")</f>
        <v>OCLC_NL</v>
      </c>
      <c r="B377" s="65" t="s">
        <v>3912</v>
      </c>
    </row>
    <row r="378" spans="1:2" x14ac:dyDescent="0.25">
      <c r="A378" s="64" t="str">
        <f>HYPERLINK("http://www.twitter.com/HanitavdM", "HanitavdM")</f>
        <v>HanitavdM</v>
      </c>
      <c r="B378" s="65" t="s">
        <v>3913</v>
      </c>
    </row>
    <row r="379" spans="1:2" x14ac:dyDescent="0.25">
      <c r="A379" s="64" t="str">
        <f>HYPERLINK("http://www.twitter.com/ParadiseWLPark", "ParadiseWLPark")</f>
        <v>ParadiseWLPark</v>
      </c>
      <c r="B379" s="65" t="s">
        <v>3914</v>
      </c>
    </row>
    <row r="380" spans="1:2" x14ac:dyDescent="0.25">
      <c r="A380" s="64" t="str">
        <f>HYPERLINK("http://www.twitter.com/EUROLIS", "EUROLIS")</f>
        <v>EUROLIS</v>
      </c>
      <c r="B380" s="65" t="s">
        <v>36</v>
      </c>
    </row>
    <row r="381" spans="1:2" x14ac:dyDescent="0.25">
      <c r="A381" s="64" t="str">
        <f>HYPERLINK("http://www.twitter.com/GailJIrvine", "GailJIrvine")</f>
        <v>GailJIrvine</v>
      </c>
      <c r="B381" s="65"/>
    </row>
    <row r="382" spans="1:2" x14ac:dyDescent="0.25">
      <c r="A382" s="64" t="str">
        <f>HYPERLINK("http://www.twitter.com/PatersonAndrew", "PatersonAndrew")</f>
        <v>PatersonAndrew</v>
      </c>
      <c r="B382" s="65" t="s">
        <v>318</v>
      </c>
    </row>
    <row r="383" spans="1:2" x14ac:dyDescent="0.25">
      <c r="A383" s="64" t="str">
        <f>HYPERLINK("http://www.twitter.com/Saveman", "Saveman")</f>
        <v>Saveman</v>
      </c>
      <c r="B383" s="65" t="s">
        <v>3915</v>
      </c>
    </row>
    <row r="384" spans="1:2" x14ac:dyDescent="0.25">
      <c r="A384" s="64" t="str">
        <f>HYPERLINK("http://www.twitter.com/t_kanode", "t_kanode")</f>
        <v>t_kanode</v>
      </c>
      <c r="B384" s="65" t="s">
        <v>3916</v>
      </c>
    </row>
    <row r="385" spans="1:2" x14ac:dyDescent="0.25">
      <c r="A385" s="64" t="str">
        <f>HYPERLINK("http://www.twitter.com/Becky_Swain", "Becky_Swain")</f>
        <v>Becky_Swain</v>
      </c>
      <c r="B385" s="65" t="s">
        <v>296</v>
      </c>
    </row>
    <row r="386" spans="1:2" x14ac:dyDescent="0.25">
      <c r="A386" s="64" t="str">
        <f>HYPERLINK("http://www.twitter.com/harpmik", "harpmik")</f>
        <v>harpmik</v>
      </c>
      <c r="B386" s="65"/>
    </row>
    <row r="387" spans="1:2" x14ac:dyDescent="0.25">
      <c r="A387" s="64" t="str">
        <f>HYPERLINK("http://www.twitter.com/SmithsonsP", "SmithsonsP")</f>
        <v>SmithsonsP</v>
      </c>
      <c r="B387" s="65" t="s">
        <v>3682</v>
      </c>
    </row>
    <row r="388" spans="1:2" x14ac:dyDescent="0.25">
      <c r="A388" s="64" t="str">
        <f>HYPERLINK("http://www.twitter.com/tickthelist", "tickthelist")</f>
        <v>tickthelist</v>
      </c>
      <c r="B388" s="65" t="s">
        <v>3917</v>
      </c>
    </row>
    <row r="389" spans="1:2" x14ac:dyDescent="0.25">
      <c r="A389" s="64" t="str">
        <f>HYPERLINK("http://www.twitter.com/quote_sic", "quote_sic")</f>
        <v>quote_sic</v>
      </c>
      <c r="B389" s="65" t="s">
        <v>3918</v>
      </c>
    </row>
    <row r="390" spans="1:2" x14ac:dyDescent="0.25">
      <c r="A390" s="64" t="str">
        <f>HYPERLINK("http://www.twitter.com/GordyL01", "GordyL01")</f>
        <v>GordyL01</v>
      </c>
      <c r="B390" s="65" t="s">
        <v>2238</v>
      </c>
    </row>
    <row r="391" spans="1:2" x14ac:dyDescent="0.25">
      <c r="A391" s="64" t="str">
        <f>HYPERLINK("http://www.twitter.com/matt_is_a_twat", "matt_is_a_twat")</f>
        <v>matt_is_a_twat</v>
      </c>
      <c r="B391" s="65"/>
    </row>
    <row r="392" spans="1:2" x14ac:dyDescent="0.25">
      <c r="A392" s="64" t="str">
        <f>HYPERLINK("http://www.twitter.com/properlytired", "properlytired")</f>
        <v>properlytired</v>
      </c>
      <c r="B392" s="65"/>
    </row>
    <row r="393" spans="1:2" x14ac:dyDescent="0.25">
      <c r="A393" s="64" t="str">
        <f>HYPERLINK("http://www.twitter.com/crazycakebaker", "crazycakebaker")</f>
        <v>crazycakebaker</v>
      </c>
      <c r="B393" s="65"/>
    </row>
    <row r="394" spans="1:2" x14ac:dyDescent="0.25">
      <c r="A394" s="64" t="str">
        <f>HYPERLINK("http://www.twitter.com/rona_michie", "rona_michie")</f>
        <v>rona_michie</v>
      </c>
      <c r="B394" s="65"/>
    </row>
    <row r="395" spans="1:2" x14ac:dyDescent="0.25">
      <c r="A395" s="64" t="str">
        <f>HYPERLINK("http://www.twitter.com/sally_crowe", "sally_crowe")</f>
        <v>sally_crowe</v>
      </c>
      <c r="B395" s="65" t="s">
        <v>12</v>
      </c>
    </row>
    <row r="396" spans="1:2" x14ac:dyDescent="0.25">
      <c r="A396" s="64" t="str">
        <f>HYPERLINK("http://www.twitter.com/TowaFreenature", "TowaFreenature")</f>
        <v>TowaFreenature</v>
      </c>
      <c r="B396" s="65" t="s">
        <v>2007</v>
      </c>
    </row>
    <row r="397" spans="1:2" x14ac:dyDescent="0.25">
      <c r="A397" s="64" t="str">
        <f>HYPERLINK("http://www.twitter.com/VonBitchPants", "VonBitchPants")</f>
        <v>VonBitchPants</v>
      </c>
      <c r="B397" s="65" t="s">
        <v>3919</v>
      </c>
    </row>
    <row r="398" spans="1:2" x14ac:dyDescent="0.25">
      <c r="A398" s="64" t="str">
        <f>HYPERLINK("http://www.twitter.com/Jodie_says_", "Jodie_says_")</f>
        <v>Jodie_says_</v>
      </c>
      <c r="B398" s="65" t="s">
        <v>3920</v>
      </c>
    </row>
    <row r="399" spans="1:2" x14ac:dyDescent="0.25">
      <c r="A399" s="64" t="str">
        <f>HYPERLINK("http://www.twitter.com/_LLePage", "_LLePage")</f>
        <v>_LLePage</v>
      </c>
      <c r="B399" s="65" t="s">
        <v>3921</v>
      </c>
    </row>
    <row r="400" spans="1:2" x14ac:dyDescent="0.25">
      <c r="A400" s="64" t="str">
        <f>HYPERLINK("http://www.twitter.com/HVDaisy", "HVDaisy")</f>
        <v>HVDaisy</v>
      </c>
      <c r="B400" s="65" t="s">
        <v>517</v>
      </c>
    </row>
    <row r="401" spans="1:2" x14ac:dyDescent="0.25">
      <c r="A401" s="64" t="str">
        <f>HYPERLINK("http://www.twitter.com/abookbug", "abookbug")</f>
        <v>abookbug</v>
      </c>
      <c r="B401" s="65"/>
    </row>
    <row r="402" spans="1:2" x14ac:dyDescent="0.25">
      <c r="A402" s="64" t="str">
        <f>HYPERLINK("http://www.twitter.com/Maggieturner53", "Maggieturner53")</f>
        <v>Maggieturner53</v>
      </c>
      <c r="B402" s="65"/>
    </row>
    <row r="403" spans="1:2" x14ac:dyDescent="0.25">
      <c r="A403" s="64" t="str">
        <f>HYPERLINK("http://www.twitter.com/cate_a_moore", "cate_a_moore")</f>
        <v>cate_a_moore</v>
      </c>
      <c r="B403" s="65" t="s">
        <v>3922</v>
      </c>
    </row>
    <row r="404" spans="1:2" x14ac:dyDescent="0.25">
      <c r="A404" s="64" t="str">
        <f>HYPERLINK("http://www.twitter.com/IcelandWriters", "IcelandWriters")</f>
        <v>IcelandWriters</v>
      </c>
      <c r="B404" s="65" t="s">
        <v>3923</v>
      </c>
    </row>
    <row r="405" spans="1:2" x14ac:dyDescent="0.25">
      <c r="A405" s="64" t="str">
        <f>HYPERLINK("http://www.twitter.com/oh_so_indigo", "oh_so_indigo")</f>
        <v>oh_so_indigo</v>
      </c>
      <c r="B405" s="65"/>
    </row>
    <row r="406" spans="1:2" x14ac:dyDescent="0.25">
      <c r="A406" s="64" t="str">
        <f>HYPERLINK("http://www.twitter.com/GazR17", "GazR17")</f>
        <v>GazR17</v>
      </c>
      <c r="B406" s="65" t="s">
        <v>318</v>
      </c>
    </row>
    <row r="407" spans="1:2" x14ac:dyDescent="0.25">
      <c r="A407" s="64" t="str">
        <f>HYPERLINK("http://www.twitter.com/mrsmanhorne", "mrsmanhorne")</f>
        <v>mrsmanhorne</v>
      </c>
      <c r="B407" s="65" t="s">
        <v>3924</v>
      </c>
    </row>
    <row r="408" spans="1:2" x14ac:dyDescent="0.25">
      <c r="A408" s="64" t="str">
        <f>HYPERLINK("http://www.twitter.com/PGtwweets", "PGtwweets")</f>
        <v>PGtwweets</v>
      </c>
      <c r="B408" s="65"/>
    </row>
    <row r="409" spans="1:2" x14ac:dyDescent="0.25">
      <c r="A409" s="64" t="str">
        <f>HYPERLINK("http://www.twitter.com/avismastin", "avismastin")</f>
        <v>avismastin</v>
      </c>
      <c r="B409" s="65" t="s">
        <v>652</v>
      </c>
    </row>
    <row r="410" spans="1:2" x14ac:dyDescent="0.25">
      <c r="A410" s="64" t="str">
        <f>HYPERLINK("http://www.twitter.com/khae", "khae")</f>
        <v>khae</v>
      </c>
      <c r="B410" s="65" t="s">
        <v>3925</v>
      </c>
    </row>
    <row r="411" spans="1:2" x14ac:dyDescent="0.25">
      <c r="A411" s="64" t="str">
        <f>HYPERLINK("http://www.twitter.com/Phatwa91", "Phatwa91")</f>
        <v>Phatwa91</v>
      </c>
      <c r="B411" s="65"/>
    </row>
    <row r="412" spans="1:2" x14ac:dyDescent="0.25">
      <c r="A412" s="64" t="str">
        <f>HYPERLINK("http://www.twitter.com/Girlinknits", "Girlinknits")</f>
        <v>Girlinknits</v>
      </c>
      <c r="B412" s="65" t="s">
        <v>3040</v>
      </c>
    </row>
    <row r="413" spans="1:2" x14ac:dyDescent="0.25">
      <c r="A413" s="64" t="str">
        <f>HYPERLINK("http://www.twitter.com/shonamacn", "shonamacn")</f>
        <v>shonamacn</v>
      </c>
      <c r="B413" s="65" t="s">
        <v>3926</v>
      </c>
    </row>
    <row r="414" spans="1:2" x14ac:dyDescent="0.25">
      <c r="A414" s="64" t="str">
        <f>HYPERLINK("http://www.twitter.com/evievonberg", "evievonberg")</f>
        <v>evievonberg</v>
      </c>
      <c r="B414" s="65" t="s">
        <v>3927</v>
      </c>
    </row>
    <row r="415" spans="1:2" x14ac:dyDescent="0.25">
      <c r="A415" s="64" t="str">
        <f>HYPERLINK("http://www.twitter.com/ManuelMagUK", "ManuelMagUK")</f>
        <v>ManuelMagUK</v>
      </c>
      <c r="B415" s="65" t="s">
        <v>3928</v>
      </c>
    </row>
    <row r="416" spans="1:2" x14ac:dyDescent="0.25">
      <c r="A416" s="64" t="str">
        <f>HYPERLINK("http://www.twitter.com/sneezysnooze", "sneezysnooze")</f>
        <v>sneezysnooze</v>
      </c>
      <c r="B416" s="65" t="s">
        <v>3929</v>
      </c>
    </row>
    <row r="417" spans="1:2" x14ac:dyDescent="0.25">
      <c r="A417" s="64" t="str">
        <f>HYPERLINK("http://www.twitter.com/caffinated_", "caffinated_")</f>
        <v>caffinated_</v>
      </c>
      <c r="B417" s="65"/>
    </row>
    <row r="418" spans="1:2" x14ac:dyDescent="0.25">
      <c r="A418" s="64" t="str">
        <f>HYPERLINK("http://www.twitter.com/sindalott", "sindalott")</f>
        <v>sindalott</v>
      </c>
      <c r="B418" s="65" t="s">
        <v>517</v>
      </c>
    </row>
    <row r="419" spans="1:2" x14ac:dyDescent="0.25">
      <c r="A419" s="64" t="str">
        <f>HYPERLINK("http://www.twitter.com/GemmaPettmanPR", "GemmaPettmanPR")</f>
        <v>GemmaPettmanPR</v>
      </c>
      <c r="B419" s="65" t="s">
        <v>3930</v>
      </c>
    </row>
    <row r="420" spans="1:2" x14ac:dyDescent="0.25">
      <c r="A420" s="64" t="str">
        <f>HYPERLINK("http://www.twitter.com/Ootlier", "Ootlier")</f>
        <v>Ootlier</v>
      </c>
      <c r="B420" s="65"/>
    </row>
    <row r="421" spans="1:2" x14ac:dyDescent="0.25">
      <c r="A421" s="64" t="str">
        <f>HYPERLINK("http://www.twitter.com/DSingmaster", "DSingmaster")</f>
        <v>DSingmaster</v>
      </c>
      <c r="B421" s="65" t="s">
        <v>3931</v>
      </c>
    </row>
    <row r="422" spans="1:2" x14ac:dyDescent="0.25">
      <c r="A422" s="64" t="str">
        <f>HYPERLINK("http://www.twitter.com/StockbridgeArch", "StockbridgeArch")</f>
        <v>StockbridgeArch</v>
      </c>
      <c r="B422" s="65" t="s">
        <v>24</v>
      </c>
    </row>
    <row r="423" spans="1:2" x14ac:dyDescent="0.25">
      <c r="A423" s="64" t="str">
        <f>HYPERLINK("http://www.twitter.com/Claudibird", "Claudibird")</f>
        <v>Claudibird</v>
      </c>
      <c r="B423" s="65" t="s">
        <v>180</v>
      </c>
    </row>
    <row r="424" spans="1:2" x14ac:dyDescent="0.25">
      <c r="A424" s="64" t="str">
        <f>HYPERLINK("http://www.twitter.com/Leighbra", "Leighbra")</f>
        <v>Leighbra</v>
      </c>
      <c r="B424" s="65"/>
    </row>
    <row r="425" spans="1:2" x14ac:dyDescent="0.25">
      <c r="A425" s="64" t="str">
        <f>HYPERLINK("http://www.twitter.com/StokCecile", "StokCecile")</f>
        <v>StokCecile</v>
      </c>
      <c r="B425" s="65" t="s">
        <v>3932</v>
      </c>
    </row>
    <row r="426" spans="1:2" x14ac:dyDescent="0.25">
      <c r="A426" s="64" t="str">
        <f>HYPERLINK("http://www.twitter.com/_JuuT_", "_JuuT_")</f>
        <v>_JuuT_</v>
      </c>
      <c r="B426" s="65" t="s">
        <v>3933</v>
      </c>
    </row>
    <row r="427" spans="1:2" x14ac:dyDescent="0.25">
      <c r="A427" s="64" t="str">
        <f>HYPERLINK("http://www.twitter.com/mckpicbook", "mckpicbook")</f>
        <v>mckpicbook</v>
      </c>
      <c r="B427" s="65" t="s">
        <v>517</v>
      </c>
    </row>
    <row r="428" spans="1:2" x14ac:dyDescent="0.25">
      <c r="A428" s="64" t="str">
        <f>HYPERLINK("http://www.twitter.com/knor651", "knor651")</f>
        <v>knor651</v>
      </c>
      <c r="B428" s="65" t="s">
        <v>3934</v>
      </c>
    </row>
    <row r="429" spans="1:2" x14ac:dyDescent="0.25">
      <c r="A429" s="64" t="str">
        <f>HYPERLINK("http://www.twitter.com/razdango", "razdango")</f>
        <v>razdango</v>
      </c>
      <c r="B429" s="65"/>
    </row>
    <row r="430" spans="1:2" x14ac:dyDescent="0.25">
      <c r="A430" s="64" t="str">
        <f>HYPERLINK("http://www.twitter.com/fairlylimited", "fairlylimited")</f>
        <v>fairlylimited</v>
      </c>
      <c r="B430" s="65" t="s">
        <v>33</v>
      </c>
    </row>
    <row r="431" spans="1:2" x14ac:dyDescent="0.25">
      <c r="A431" s="64" t="str">
        <f>HYPERLINK("http://www.twitter.com/alteredattitude", "alteredattitude")</f>
        <v>alteredattitude</v>
      </c>
      <c r="B431" s="65" t="s">
        <v>3656</v>
      </c>
    </row>
    <row r="432" spans="1:2" x14ac:dyDescent="0.25">
      <c r="A432" s="64" t="str">
        <f>HYPERLINK("http://www.twitter.com/rogue_curator", "rogue_curator")</f>
        <v>rogue_curator</v>
      </c>
      <c r="B432" s="65" t="s">
        <v>3935</v>
      </c>
    </row>
    <row r="433" spans="1:2" x14ac:dyDescent="0.25">
      <c r="A433" s="64" t="str">
        <f>HYPERLINK("http://www.twitter.com/Stretbox", "Stretbox")</f>
        <v>Stretbox</v>
      </c>
      <c r="B433" s="65"/>
    </row>
    <row r="434" spans="1:2" x14ac:dyDescent="0.25">
      <c r="A434" s="64" t="str">
        <f>HYPERLINK("http://www.twitter.com/MoragRussell", "MoragRussell")</f>
        <v>MoragRussell</v>
      </c>
      <c r="B434" s="65"/>
    </row>
    <row r="435" spans="1:2" x14ac:dyDescent="0.25">
      <c r="A435" s="64" t="str">
        <f>HYPERLINK("http://www.twitter.com/AngelNorth", "AngelNorth")</f>
        <v>AngelNorth</v>
      </c>
      <c r="B435" s="65"/>
    </row>
    <row r="436" spans="1:2" x14ac:dyDescent="0.25">
      <c r="A436" s="64" t="str">
        <f>HYPERLINK("http://www.twitter.com/LesleyMcMillan1", "LesleyMcMillan1")</f>
        <v>LesleyMcMillan1</v>
      </c>
      <c r="B436" s="65" t="s">
        <v>24</v>
      </c>
    </row>
    <row r="437" spans="1:2" x14ac:dyDescent="0.25">
      <c r="A437" s="64" t="str">
        <f>HYPERLINK("http://www.twitter.com/ALTERNACOMICS", "ALTERNACOMICS")</f>
        <v>ALTERNACOMICS</v>
      </c>
      <c r="B437" s="65" t="s">
        <v>3936</v>
      </c>
    </row>
    <row r="438" spans="1:2" x14ac:dyDescent="0.25">
      <c r="A438" s="64" t="str">
        <f>HYPERLINK("http://www.twitter.com/LaineyRoberts87", "LaineyRoberts87")</f>
        <v>LaineyRoberts87</v>
      </c>
      <c r="B438" s="65"/>
    </row>
    <row r="439" spans="1:2" x14ac:dyDescent="0.25">
      <c r="A439" s="64" t="str">
        <f>HYPERLINK("http://www.twitter.com/Bunjo", "Bunjo")</f>
        <v>Bunjo</v>
      </c>
      <c r="B439" s="65" t="s">
        <v>2093</v>
      </c>
    </row>
    <row r="440" spans="1:2" x14ac:dyDescent="0.25">
      <c r="A440" s="64" t="str">
        <f>HYPERLINK("http://www.twitter.com/AmandaMx579", "AmandaMx579")</f>
        <v>AmandaMx579</v>
      </c>
      <c r="B440" s="65" t="s">
        <v>296</v>
      </c>
    </row>
    <row r="441" spans="1:2" x14ac:dyDescent="0.25">
      <c r="A441" s="64" t="str">
        <f>HYPERLINK("http://www.twitter.com/AbbotEadseig", "AbbotEadseig")</f>
        <v>AbbotEadseig</v>
      </c>
      <c r="B441" s="65" t="s">
        <v>1377</v>
      </c>
    </row>
    <row r="442" spans="1:2" x14ac:dyDescent="0.25">
      <c r="A442" s="64" t="str">
        <f>HYPERLINK("http://www.twitter.com/JeremiahWax", "JeremiahWax")</f>
        <v>JeremiahWax</v>
      </c>
      <c r="B442" s="65" t="s">
        <v>3937</v>
      </c>
    </row>
    <row r="443" spans="1:2" x14ac:dyDescent="0.25">
      <c r="A443" s="64" t="str">
        <f>HYPERLINK("http://www.twitter.com/ArielsClaws", "ArielsClaws")</f>
        <v>ArielsClaws</v>
      </c>
      <c r="B443" s="65"/>
    </row>
    <row r="444" spans="1:2" x14ac:dyDescent="0.25">
      <c r="A444" s="64" t="str">
        <f>HYPERLINK("http://www.twitter.com/UKLaureate", "UKLaureate")</f>
        <v>UKLaureate</v>
      </c>
      <c r="B444" s="65" t="s">
        <v>70</v>
      </c>
    </row>
    <row r="445" spans="1:2" x14ac:dyDescent="0.25">
      <c r="A445" s="64" t="str">
        <f>HYPERLINK("http://www.twitter.com/OurCPLibrary", "OurCPLibrary")</f>
        <v>OurCPLibrary</v>
      </c>
      <c r="B445" s="65" t="s">
        <v>3938</v>
      </c>
    </row>
    <row r="446" spans="1:2" x14ac:dyDescent="0.25">
      <c r="A446" s="64" t="str">
        <f>HYPERLINK("http://www.twitter.com/darkestheritage", "darkestheritage")</f>
        <v>darkestheritage</v>
      </c>
      <c r="B446" s="65" t="s">
        <v>20</v>
      </c>
    </row>
    <row r="447" spans="1:2" x14ac:dyDescent="0.25">
      <c r="A447" s="64" t="str">
        <f>HYPERLINK("http://www.twitter.com/midlibraryorg", "midlibraryorg")</f>
        <v>midlibraryorg</v>
      </c>
      <c r="B447" s="65" t="s">
        <v>3939</v>
      </c>
    </row>
    <row r="448" spans="1:2" x14ac:dyDescent="0.25">
      <c r="A448" s="64" t="str">
        <f>HYPERLINK("http://www.twitter.com/uk_in_ruins", "uk_in_ruins")</f>
        <v>uk_in_ruins</v>
      </c>
      <c r="B448" s="65" t="s">
        <v>3940</v>
      </c>
    </row>
    <row r="449" spans="1:2" x14ac:dyDescent="0.25">
      <c r="A449" s="64" t="str">
        <f>HYPERLINK("http://www.twitter.com/carriejking", "carriejking")</f>
        <v>carriejking</v>
      </c>
      <c r="B449" s="65" t="s">
        <v>3941</v>
      </c>
    </row>
    <row r="450" spans="1:2" x14ac:dyDescent="0.25">
      <c r="A450" s="64" t="str">
        <f>HYPERLINK("http://www.twitter.com/thefruitpixie", "thefruitpixie")</f>
        <v>thefruitpixie</v>
      </c>
      <c r="B450" s="65" t="s">
        <v>3942</v>
      </c>
    </row>
    <row r="451" spans="1:2" x14ac:dyDescent="0.25">
      <c r="A451" s="64" t="str">
        <f>HYPERLINK("http://www.twitter.com/Tiamthe", "Tiamthe")</f>
        <v>Tiamthe</v>
      </c>
      <c r="B451" s="65"/>
    </row>
    <row r="452" spans="1:2" x14ac:dyDescent="0.25">
      <c r="A452" s="64" t="str">
        <f>HYPERLINK("http://www.twitter.com/aichour_franka", "aichour_franka")</f>
        <v>aichour_franka</v>
      </c>
      <c r="B452" s="65"/>
    </row>
    <row r="453" spans="1:2" x14ac:dyDescent="0.25">
      <c r="A453" s="64" t="str">
        <f>HYPERLINK("http://www.twitter.com/CarolinefromHU", "CarolinefromHU")</f>
        <v>CarolinefromHU</v>
      </c>
      <c r="B453" s="65"/>
    </row>
    <row r="454" spans="1:2" x14ac:dyDescent="0.25">
      <c r="A454" s="64" t="str">
        <f>HYPERLINK("http://www.twitter.com/JackRigby", "JackRigby")</f>
        <v>JackRigby</v>
      </c>
      <c r="B454" s="65" t="s">
        <v>36</v>
      </c>
    </row>
    <row r="455" spans="1:2" x14ac:dyDescent="0.25">
      <c r="A455" s="64" t="str">
        <f>HYPERLINK("http://www.twitter.com/GillParker12", "GillParker12")</f>
        <v>GillParker12</v>
      </c>
      <c r="B455" s="65" t="s">
        <v>517</v>
      </c>
    </row>
    <row r="456" spans="1:2" x14ac:dyDescent="0.25">
      <c r="A456" s="64" t="str">
        <f>HYPERLINK("http://www.twitter.com/universallyemma", "universallyemma")</f>
        <v>universallyemma</v>
      </c>
      <c r="B456" s="65" t="s">
        <v>477</v>
      </c>
    </row>
    <row r="457" spans="1:2" x14ac:dyDescent="0.25">
      <c r="A457" s="64" t="str">
        <f>HYPERLINK("http://www.twitter.com/TheWayneGibbons", "TheWayneGibbons")</f>
        <v>TheWayneGibbons</v>
      </c>
      <c r="B457" s="65" t="s">
        <v>3943</v>
      </c>
    </row>
    <row r="458" spans="1:2" x14ac:dyDescent="0.25">
      <c r="A458" s="64" t="str">
        <f>HYPERLINK("http://www.twitter.com/mariaItarana", "mariaItarana")</f>
        <v>mariaItarana</v>
      </c>
      <c r="B458" s="65" t="s">
        <v>3944</v>
      </c>
    </row>
    <row r="459" spans="1:2" x14ac:dyDescent="0.25">
      <c r="A459" s="64" t="str">
        <f>HYPERLINK("http://www.twitter.com/ScottishWonders", "ScottishWonders")</f>
        <v>ScottishWonders</v>
      </c>
      <c r="B459" s="65" t="s">
        <v>2007</v>
      </c>
    </row>
    <row r="460" spans="1:2" x14ac:dyDescent="0.25">
      <c r="A460" s="64" t="str">
        <f>HYPERLINK("http://www.twitter.com/commacontrol", "commacontrol")</f>
        <v>commacontrol</v>
      </c>
      <c r="B460" s="65" t="s">
        <v>3945</v>
      </c>
    </row>
    <row r="461" spans="1:2" x14ac:dyDescent="0.25">
      <c r="A461" s="64" t="str">
        <f>HYPERLINK("http://www.twitter.com/jenginpa", "jenginpa")</f>
        <v>jenginpa</v>
      </c>
      <c r="B461" s="65"/>
    </row>
    <row r="462" spans="1:2" x14ac:dyDescent="0.25">
      <c r="A462" s="64" t="str">
        <f>HYPERLINK("http://www.twitter.com/ladymarian66", "ladymarian66")</f>
        <v>ladymarian66</v>
      </c>
      <c r="B462" s="65" t="s">
        <v>3946</v>
      </c>
    </row>
    <row r="463" spans="1:2" x14ac:dyDescent="0.25">
      <c r="A463" s="64" t="str">
        <f>HYPERLINK("http://www.twitter.com/aeerjavac", "aeerjavac")</f>
        <v>aeerjavac</v>
      </c>
      <c r="B463" s="65"/>
    </row>
    <row r="464" spans="1:2" x14ac:dyDescent="0.25">
      <c r="A464" s="64" t="str">
        <f>HYPERLINK("http://www.twitter.com/Daniel40850845", "Daniel40850845")</f>
        <v>Daniel40850845</v>
      </c>
      <c r="B464" s="65" t="s">
        <v>3947</v>
      </c>
    </row>
    <row r="465" spans="1:2" x14ac:dyDescent="0.25">
      <c r="A465" s="64" t="str">
        <f>HYPERLINK("http://www.twitter.com/Joneybeg", "Joneybeg")</f>
        <v>Joneybeg</v>
      </c>
      <c r="B465" s="65"/>
    </row>
    <row r="466" spans="1:2" x14ac:dyDescent="0.25">
      <c r="A466" s="64" t="str">
        <f>HYPERLINK("http://www.twitter.com/LoanStarsCA", "LoanStarsCA")</f>
        <v>LoanStarsCA</v>
      </c>
      <c r="B466" s="65" t="s">
        <v>3948</v>
      </c>
    </row>
    <row r="467" spans="1:2" x14ac:dyDescent="0.25">
      <c r="A467" s="64" t="str">
        <f>HYPERLINK("http://www.twitter.com/LauraFo14573362", "LauraFo14573362")</f>
        <v>LauraFo14573362</v>
      </c>
      <c r="B467" s="65" t="s">
        <v>3949</v>
      </c>
    </row>
    <row r="468" spans="1:2" x14ac:dyDescent="0.25">
      <c r="A468" s="64" t="str">
        <f>HYPERLINK("http://www.twitter.com/GabyK_lib", "GabyK_lib")</f>
        <v>GabyK_lib</v>
      </c>
      <c r="B468" s="65" t="s">
        <v>3950</v>
      </c>
    </row>
    <row r="469" spans="1:2" x14ac:dyDescent="0.25">
      <c r="A469" s="64" t="str">
        <f>HYPERLINK("http://www.twitter.com/FitzharrisMary", "FitzharrisMary")</f>
        <v>FitzharrisMary</v>
      </c>
      <c r="B469" s="65" t="s">
        <v>3951</v>
      </c>
    </row>
    <row r="470" spans="1:2" x14ac:dyDescent="0.25">
      <c r="A470" s="64" t="str">
        <f>HYPERLINK("http://www.twitter.com/SASHLibs", "SASHLibs")</f>
        <v>SASHLibs</v>
      </c>
      <c r="B470" s="65" t="s">
        <v>1841</v>
      </c>
    </row>
    <row r="471" spans="1:2" x14ac:dyDescent="0.25">
      <c r="A471" s="64" t="str">
        <f>HYPERLINK("http://www.twitter.com/SSFRALunenburgC", "SSFRALunenburgC")</f>
        <v>SSFRALunenburgC</v>
      </c>
      <c r="B471" s="65"/>
    </row>
    <row r="472" spans="1:2" x14ac:dyDescent="0.25">
      <c r="A472" s="64" t="str">
        <f>HYPERLINK("http://www.twitter.com/RAISEonlineTra", "RAISEonlineTra")</f>
        <v>RAISEonlineTra</v>
      </c>
      <c r="B472" s="65" t="s">
        <v>3952</v>
      </c>
    </row>
    <row r="473" spans="1:2" x14ac:dyDescent="0.25">
      <c r="A473" s="64" t="str">
        <f>HYPERLINK("http://www.twitter.com/FrancescaBeard", "FrancescaBeard")</f>
        <v>FrancescaBeard</v>
      </c>
      <c r="B473" s="65" t="s">
        <v>36</v>
      </c>
    </row>
    <row r="474" spans="1:2" x14ac:dyDescent="0.25">
      <c r="A474" s="64" t="str">
        <f>HYPERLINK("http://www.twitter.com/EastScotSeafood", "EastScotSeafood")</f>
        <v>EastScotSeafood</v>
      </c>
      <c r="B474" s="65" t="s">
        <v>3953</v>
      </c>
    </row>
    <row r="475" spans="1:2" x14ac:dyDescent="0.25">
      <c r="A475" s="64" t="str">
        <f>HYPERLINK("http://www.twitter.com/BenRohomon", "BenRohomon")</f>
        <v>BenRohomon</v>
      </c>
      <c r="B475" s="65" t="s">
        <v>3954</v>
      </c>
    </row>
    <row r="476" spans="1:2" x14ac:dyDescent="0.25">
      <c r="A476" s="64" t="str">
        <f>HYPERLINK("http://www.twitter.com/fifilib48", "fifilib48")</f>
        <v>fifilib48</v>
      </c>
      <c r="B476" s="65"/>
    </row>
    <row r="477" spans="1:2" x14ac:dyDescent="0.25">
      <c r="A477" s="64" t="str">
        <f>HYPERLINK("http://www.twitter.com/Oddori", "Oddori")</f>
        <v>Oddori</v>
      </c>
      <c r="B477" s="65" t="s">
        <v>487</v>
      </c>
    </row>
    <row r="478" spans="1:2" x14ac:dyDescent="0.25">
      <c r="A478" s="64" t="str">
        <f>HYPERLINK("http://www.twitter.com/Hat_Kowes", "Hat_Kowes")</f>
        <v>Hat_Kowes</v>
      </c>
      <c r="B478" s="65" t="s">
        <v>2007</v>
      </c>
    </row>
    <row r="479" spans="1:2" x14ac:dyDescent="0.25">
      <c r="A479" s="64" t="str">
        <f>HYPERLINK("http://www.twitter.com/rorytenor", "rorytenor")</f>
        <v>rorytenor</v>
      </c>
      <c r="B479" s="65" t="s">
        <v>487</v>
      </c>
    </row>
    <row r="480" spans="1:2" x14ac:dyDescent="0.25">
      <c r="A480" s="64" t="str">
        <f>HYPERLINK("http://www.twitter.com/AskewsAcademic", "AskewsAcademic")</f>
        <v>AskewsAcademic</v>
      </c>
      <c r="B480" s="65" t="s">
        <v>3955</v>
      </c>
    </row>
    <row r="481" spans="1:2" x14ac:dyDescent="0.25">
      <c r="A481" s="64" t="str">
        <f>HYPERLINK("http://www.twitter.com/L07na", "L07na")</f>
        <v>L07na</v>
      </c>
      <c r="B481" s="65" t="s">
        <v>318</v>
      </c>
    </row>
    <row r="482" spans="1:2" x14ac:dyDescent="0.25">
      <c r="A482" s="64" t="str">
        <f>HYPERLINK("http://www.twitter.com/coffeebucks", "coffeebucks")</f>
        <v>coffeebucks</v>
      </c>
      <c r="B482" s="65" t="s">
        <v>3956</v>
      </c>
    </row>
    <row r="483" spans="1:2" x14ac:dyDescent="0.25">
      <c r="A483" s="64" t="str">
        <f>HYPERLINK("http://www.twitter.com/dbelomax", "dbelomax")</f>
        <v>dbelomax</v>
      </c>
      <c r="B483" s="65"/>
    </row>
    <row r="484" spans="1:2" x14ac:dyDescent="0.25">
      <c r="A484" s="64" t="str">
        <f>HYPERLINK("http://www.twitter.com/sleepytqp", "sleepytqp")</f>
        <v>sleepytqp</v>
      </c>
      <c r="B484" s="65" t="s">
        <v>3957</v>
      </c>
    </row>
    <row r="485" spans="1:2" x14ac:dyDescent="0.25">
      <c r="A485" s="64" t="str">
        <f>HYPERLINK("http://www.twitter.com/gwnhwyfer", "gwnhwyfer")</f>
        <v>gwnhwyfer</v>
      </c>
      <c r="B485" s="65" t="s">
        <v>3958</v>
      </c>
    </row>
    <row r="486" spans="1:2" x14ac:dyDescent="0.25">
      <c r="A486" s="64" t="str">
        <f>HYPERLINK("http://www.twitter.com/AzamYldz5", "AzamYldz5")</f>
        <v>AzamYldz5</v>
      </c>
      <c r="B486" s="65"/>
    </row>
    <row r="487" spans="1:2" x14ac:dyDescent="0.25">
      <c r="A487" s="64" t="str">
        <f>HYPERLINK("http://www.twitter.com/artybjorn", "artybjorn")</f>
        <v>artybjorn</v>
      </c>
      <c r="B487" s="65" t="s">
        <v>3959</v>
      </c>
    </row>
    <row r="488" spans="1:2" x14ac:dyDescent="0.25">
      <c r="A488" s="64" t="str">
        <f>HYPERLINK("http://www.twitter.com/bhsosl", "bhsosl")</f>
        <v>bhsosl</v>
      </c>
      <c r="B488" s="65" t="s">
        <v>2102</v>
      </c>
    </row>
    <row r="489" spans="1:2" x14ac:dyDescent="0.25">
      <c r="A489" s="64" t="str">
        <f>HYPERLINK("http://www.twitter.com/GraemeWright62", "GraemeWright62")</f>
        <v>GraemeWright62</v>
      </c>
      <c r="B489" s="65" t="s">
        <v>3960</v>
      </c>
    </row>
    <row r="490" spans="1:2" x14ac:dyDescent="0.25">
      <c r="A490" s="64" t="str">
        <f>HYPERLINK("http://www.twitter.com/RedTedVCuts", "RedTedVCuts")</f>
        <v>RedTedVCuts</v>
      </c>
      <c r="B490" s="65" t="s">
        <v>725</v>
      </c>
    </row>
    <row r="491" spans="1:2" x14ac:dyDescent="0.25">
      <c r="A491" s="64" t="str">
        <f>HYPERLINK("http://www.twitter.com/GoldieC21", "GoldieC21")</f>
        <v>GoldieC21</v>
      </c>
      <c r="B491" s="65" t="s">
        <v>257</v>
      </c>
    </row>
    <row r="492" spans="1:2" x14ac:dyDescent="0.25">
      <c r="A492" s="64" t="str">
        <f>HYPERLINK("http://www.twitter.com/mkhannadavies", "mkhannadavies")</f>
        <v>mkhannadavies</v>
      </c>
      <c r="B492" s="65" t="s">
        <v>427</v>
      </c>
    </row>
    <row r="493" spans="1:2" x14ac:dyDescent="0.25">
      <c r="A493" s="64" t="str">
        <f>HYPERLINK("http://www.twitter.com/theloz21", "theloz21")</f>
        <v>theloz21</v>
      </c>
      <c r="B493" s="65"/>
    </row>
    <row r="494" spans="1:2" x14ac:dyDescent="0.25">
      <c r="A494" s="64" t="str">
        <f>HYPERLINK("http://www.twitter.com/Cordockbass", "Cordockbass")</f>
        <v>Cordockbass</v>
      </c>
      <c r="B494" s="65" t="s">
        <v>3961</v>
      </c>
    </row>
    <row r="495" spans="1:2" x14ac:dyDescent="0.25">
      <c r="A495" s="64" t="str">
        <f>HYPERLINK("http://www.twitter.com/ScotHistReview", "ScotHistReview")</f>
        <v>ScotHistReview</v>
      </c>
      <c r="B495" s="65" t="s">
        <v>2007</v>
      </c>
    </row>
    <row r="496" spans="1:2" x14ac:dyDescent="0.25">
      <c r="A496" s="64" t="str">
        <f>HYPERLINK("http://www.twitter.com/ChrisinKarachi", "ChrisinKarachi")</f>
        <v>ChrisinKarachi</v>
      </c>
      <c r="B496" s="65" t="s">
        <v>3962</v>
      </c>
    </row>
    <row r="497" spans="1:2" x14ac:dyDescent="0.25">
      <c r="A497" s="64" t="str">
        <f>HYPERLINK("http://www.twitter.com/Sheltiemama", "Sheltiemama")</f>
        <v>Sheltiemama</v>
      </c>
      <c r="B497" s="65" t="s">
        <v>3963</v>
      </c>
    </row>
    <row r="498" spans="1:2" x14ac:dyDescent="0.25">
      <c r="A498" s="64" t="str">
        <f>HYPERLINK("http://www.twitter.com/purplestegosaur", "purplestegosaur")</f>
        <v>purplestegosaur</v>
      </c>
      <c r="B498" s="65" t="s">
        <v>3964</v>
      </c>
    </row>
    <row r="499" spans="1:2" x14ac:dyDescent="0.25">
      <c r="A499" s="64" t="str">
        <f>HYPERLINK("http://www.twitter.com/GregDouglas8", "GregDouglas8")</f>
        <v>GregDouglas8</v>
      </c>
      <c r="B499" s="65"/>
    </row>
    <row r="500" spans="1:2" x14ac:dyDescent="0.25">
      <c r="A500" s="64" t="str">
        <f>HYPERLINK("http://www.twitter.com/JamesWHobbs", "JamesWHobbs")</f>
        <v>JamesWHobbs</v>
      </c>
      <c r="B500" s="65"/>
    </row>
    <row r="501" spans="1:2" x14ac:dyDescent="0.25">
      <c r="A501" s="64" t="str">
        <f>HYPERLINK("http://www.twitter.com/GlobalTom", "GlobalTom")</f>
        <v>GlobalTom</v>
      </c>
      <c r="B501" s="65" t="s">
        <v>3965</v>
      </c>
    </row>
    <row r="502" spans="1:2" x14ac:dyDescent="0.25">
      <c r="A502" s="64" t="str">
        <f>HYPERLINK("http://www.twitter.com/DMUSpecialColls", "DMUSpecialColls")</f>
        <v>DMUSpecialColls</v>
      </c>
      <c r="B502" s="65" t="s">
        <v>3559</v>
      </c>
    </row>
    <row r="503" spans="1:2" x14ac:dyDescent="0.25">
      <c r="A503" s="64" t="str">
        <f>HYPERLINK("http://www.twitter.com/sarahh270", "sarahh270")</f>
        <v>sarahh270</v>
      </c>
      <c r="B503" s="65" t="s">
        <v>3966</v>
      </c>
    </row>
    <row r="504" spans="1:2" x14ac:dyDescent="0.25">
      <c r="A504" s="64" t="str">
        <f>HYPERLINK("http://www.twitter.com/OTStummer", "OTStummer")</f>
        <v>OTStummer</v>
      </c>
      <c r="B504" s="65" t="s">
        <v>477</v>
      </c>
    </row>
    <row r="505" spans="1:2" x14ac:dyDescent="0.25">
      <c r="A505" s="64" t="str">
        <f>HYPERLINK("http://www.twitter.com/WillowParkCBE", "WillowParkCBE")</f>
        <v>WillowParkCBE</v>
      </c>
      <c r="B505" s="65" t="s">
        <v>3967</v>
      </c>
    </row>
    <row r="506" spans="1:2" x14ac:dyDescent="0.25">
      <c r="A506" s="64" t="str">
        <f>HYPERLINK("http://www.twitter.com/MistyLloyd", "MistyLloyd")</f>
        <v>MistyLloyd</v>
      </c>
      <c r="B506" s="65" t="s">
        <v>3968</v>
      </c>
    </row>
    <row r="507" spans="1:2" x14ac:dyDescent="0.25">
      <c r="A507" s="64" t="str">
        <f>HYPERLINK("http://www.twitter.com/MikeStrathearn", "MikeStrathearn")</f>
        <v>MikeStrathearn</v>
      </c>
      <c r="B507" s="65" t="s">
        <v>3969</v>
      </c>
    </row>
    <row r="508" spans="1:2" x14ac:dyDescent="0.25">
      <c r="A508" s="64" t="str">
        <f>HYPERLINK("http://www.twitter.com/Fiona_Watson1", "Fiona_Watson1")</f>
        <v>Fiona_Watson1</v>
      </c>
      <c r="B508" s="65" t="s">
        <v>3875</v>
      </c>
    </row>
    <row r="509" spans="1:2" x14ac:dyDescent="0.25">
      <c r="A509" s="64" t="str">
        <f>HYPERLINK("http://www.twitter.com/joanhendersons", "joanhendersons")</f>
        <v>joanhendersons</v>
      </c>
      <c r="B509" s="65" t="s">
        <v>725</v>
      </c>
    </row>
    <row r="510" spans="1:2" x14ac:dyDescent="0.25">
      <c r="A510" s="64" t="str">
        <f>HYPERLINK("http://www.twitter.com/orlacrag", "orlacrag")</f>
        <v>orlacrag</v>
      </c>
      <c r="B510" s="65" t="s">
        <v>318</v>
      </c>
    </row>
    <row r="511" spans="1:2" x14ac:dyDescent="0.25">
      <c r="A511" s="64" t="str">
        <f>HYPERLINK("http://www.twitter.com/GilwernLibrary", "GilwernLibrary")</f>
        <v>GilwernLibrary</v>
      </c>
      <c r="B511" s="65" t="s">
        <v>2243</v>
      </c>
    </row>
    <row r="512" spans="1:2" x14ac:dyDescent="0.25">
      <c r="A512" s="64" t="str">
        <f>HYPERLINK("http://www.twitter.com/ScotsAntiquary", "ScotsAntiquary")</f>
        <v>ScotsAntiquary</v>
      </c>
      <c r="B512" s="65" t="s">
        <v>3970</v>
      </c>
    </row>
    <row r="513" spans="1:2" x14ac:dyDescent="0.25">
      <c r="A513" s="64" t="str">
        <f>HYPERLINK("http://www.twitter.com/Allihartley", "Allihartley")</f>
        <v>Allihartley</v>
      </c>
      <c r="B513" s="65"/>
    </row>
    <row r="514" spans="1:2" x14ac:dyDescent="0.25">
      <c r="A514" s="64" t="str">
        <f>HYPERLINK("http://www.twitter.com/SelenYl92726880", "SelenYl92726880")</f>
        <v>SelenYl92726880</v>
      </c>
      <c r="B514" s="65"/>
    </row>
    <row r="515" spans="1:2" x14ac:dyDescent="0.25">
      <c r="A515" s="64" t="str">
        <f>HYPERLINK("http://www.twitter.com/PennyelfinNigh", "PennyelfinNigh")</f>
        <v>PennyelfinNigh</v>
      </c>
      <c r="B515" s="65" t="s">
        <v>3971</v>
      </c>
    </row>
    <row r="516" spans="1:2" x14ac:dyDescent="0.25">
      <c r="A516" s="64" t="str">
        <f>HYPERLINK("http://www.twitter.com/alisonjrhodes", "alisonjrhodes")</f>
        <v>alisonjrhodes</v>
      </c>
      <c r="B516" s="65"/>
    </row>
    <row r="517" spans="1:2" x14ac:dyDescent="0.25">
      <c r="A517" s="64" t="str">
        <f>HYPERLINK("http://www.twitter.com/Alan51013689", "Alan51013689")</f>
        <v>Alan51013689</v>
      </c>
      <c r="B517" s="65"/>
    </row>
    <row r="518" spans="1:2" x14ac:dyDescent="0.25">
      <c r="A518" s="64" t="str">
        <f>HYPERLINK("http://www.twitter.com/Nickybadger", "Nickybadger")</f>
        <v>Nickybadger</v>
      </c>
      <c r="B518" s="65" t="s">
        <v>3677</v>
      </c>
    </row>
    <row r="519" spans="1:2" x14ac:dyDescent="0.25">
      <c r="A519" s="64" t="str">
        <f>HYPERLINK("http://www.twitter.com/HarryVegas", "HarryVegas")</f>
        <v>HarryVegas</v>
      </c>
      <c r="B519" s="65" t="s">
        <v>296</v>
      </c>
    </row>
    <row r="520" spans="1:2" x14ac:dyDescent="0.25">
      <c r="A520" s="64" t="str">
        <f>HYPERLINK("http://www.twitter.com/HSCPshire", "HSCPshire")</f>
        <v>HSCPshire</v>
      </c>
      <c r="B520" s="65"/>
    </row>
    <row r="521" spans="1:2" x14ac:dyDescent="0.25">
      <c r="A521" s="64" t="str">
        <f>HYPERLINK("http://www.twitter.com/HachetteSchools", "HachetteSchools")</f>
        <v>HachetteSchools</v>
      </c>
      <c r="B521" s="65" t="s">
        <v>477</v>
      </c>
    </row>
    <row r="522" spans="1:2" x14ac:dyDescent="0.25">
      <c r="A522" s="64" t="str">
        <f>HYPERLINK("http://www.twitter.com/lindsaykenny75", "lindsaykenny75")</f>
        <v>lindsaykenny75</v>
      </c>
      <c r="B522" s="65"/>
    </row>
    <row r="523" spans="1:2" x14ac:dyDescent="0.25">
      <c r="A523" s="64" t="str">
        <f>HYPERLINK("http://www.twitter.com/garwren", "garwren")</f>
        <v>garwren</v>
      </c>
      <c r="B523" s="65" t="s">
        <v>3972</v>
      </c>
    </row>
    <row r="524" spans="1:2" x14ac:dyDescent="0.25">
      <c r="A524" s="64" t="str">
        <f>HYPERLINK("http://www.twitter.com/Y42005090", "Y42005090")</f>
        <v>Y42005090</v>
      </c>
      <c r="B524" s="65"/>
    </row>
    <row r="525" spans="1:2" x14ac:dyDescent="0.25">
      <c r="A525" s="64" t="str">
        <f>HYPERLINK("http://www.twitter.com/AMcIlvanney", "AMcIlvanney")</f>
        <v>AMcIlvanney</v>
      </c>
      <c r="B525" s="65" t="s">
        <v>3973</v>
      </c>
    </row>
    <row r="526" spans="1:2" x14ac:dyDescent="0.25">
      <c r="A526" s="64" t="str">
        <f>HYPERLINK("http://www.twitter.com/BurakNebiolu17", "BurakNebiolu17")</f>
        <v>BurakNebiolu17</v>
      </c>
      <c r="B526" s="65"/>
    </row>
    <row r="527" spans="1:2" x14ac:dyDescent="0.25">
      <c r="A527" s="64" t="str">
        <f>HYPERLINK("http://www.twitter.com/Bakiztr19033559", "Bakiztr19033559")</f>
        <v>Bakiztr19033559</v>
      </c>
      <c r="B527" s="65"/>
    </row>
    <row r="528" spans="1:2" x14ac:dyDescent="0.25">
      <c r="A528" s="64" t="str">
        <f>HYPERLINK("http://www.twitter.com/JulioRiviera", "JulioRiviera")</f>
        <v>JulioRiviera</v>
      </c>
      <c r="B528" s="65" t="s">
        <v>3974</v>
      </c>
    </row>
    <row r="529" spans="1:2" x14ac:dyDescent="0.25">
      <c r="A529" s="64" t="str">
        <f>HYPERLINK("http://www.twitter.com/AbercarnLibrary", "AbercarnLibrary")</f>
        <v>AbercarnLibrary</v>
      </c>
      <c r="B529" s="65" t="s">
        <v>2275</v>
      </c>
    </row>
    <row r="530" spans="1:2" x14ac:dyDescent="0.25">
      <c r="A530" s="64" t="str">
        <f>HYPERLINK("http://www.twitter.com/Rosinacarley", "Rosinacarley")</f>
        <v>Rosinacarley</v>
      </c>
      <c r="B530" s="65" t="s">
        <v>3975</v>
      </c>
    </row>
    <row r="531" spans="1:2" x14ac:dyDescent="0.25">
      <c r="A531" s="64" t="str">
        <f>HYPERLINK("http://www.twitter.com/SteffR29", "SteffR29")</f>
        <v>SteffR29</v>
      </c>
      <c r="B531" s="65"/>
    </row>
    <row r="532" spans="1:2" x14ac:dyDescent="0.25">
      <c r="A532" s="64" t="str">
        <f>HYPERLINK("http://www.twitter.com/NicoleBain18", "NicoleBain18")</f>
        <v>NicoleBain18</v>
      </c>
      <c r="B532" s="65"/>
    </row>
    <row r="533" spans="1:2" x14ac:dyDescent="0.25">
      <c r="A533" s="64" t="str">
        <f>HYPERLINK("http://www.twitter.com/jessarose88", "jessarose88")</f>
        <v>jessarose88</v>
      </c>
      <c r="B533" s="65"/>
    </row>
    <row r="534" spans="1:2" x14ac:dyDescent="0.25">
      <c r="A534" s="64" t="str">
        <f>HYPERLINK("http://www.twitter.com/Sunny_K_1", "Sunny_K_1")</f>
        <v>Sunny_K_1</v>
      </c>
      <c r="B534" s="65"/>
    </row>
    <row r="535" spans="1:2" x14ac:dyDescent="0.25">
      <c r="A535" s="64" t="str">
        <f>HYPERLINK("http://www.twitter.com/Bellissimo_Yum", "Bellissimo_Yum")</f>
        <v>Bellissimo_Yum</v>
      </c>
      <c r="B535" s="65" t="s">
        <v>1377</v>
      </c>
    </row>
    <row r="536" spans="1:2" x14ac:dyDescent="0.25">
      <c r="A536" s="64" t="str">
        <f>HYPERLINK("http://www.twitter.com/Yldzzbek11", "Yldzzbek11")</f>
        <v>Yldzzbek11</v>
      </c>
      <c r="B536" s="65"/>
    </row>
    <row r="537" spans="1:2" x14ac:dyDescent="0.25">
      <c r="A537" s="64" t="str">
        <f>HYPERLINK("http://www.twitter.com/rodgersbooks", "rodgersbooks")</f>
        <v>rodgersbooks</v>
      </c>
      <c r="B537" s="65" t="s">
        <v>318</v>
      </c>
    </row>
    <row r="538" spans="1:2" x14ac:dyDescent="0.25">
      <c r="A538" s="64" t="str">
        <f>HYPERLINK("http://www.twitter.com/Alptekinsmail6", "Alptekinsmail6")</f>
        <v>Alptekinsmail6</v>
      </c>
      <c r="B538" s="65"/>
    </row>
    <row r="539" spans="1:2" x14ac:dyDescent="0.25">
      <c r="A539" s="64" t="str">
        <f>HYPERLINK("http://www.twitter.com/tuliptimeuk", "tuliptimeuk")</f>
        <v>tuliptimeuk</v>
      </c>
      <c r="B539" s="65"/>
    </row>
    <row r="540" spans="1:2" x14ac:dyDescent="0.25">
      <c r="A540" s="64" t="str">
        <f>HYPERLINK("http://www.twitter.com/Sultanz99244604", "Sultanz99244604")</f>
        <v>Sultanz99244604</v>
      </c>
      <c r="B540" s="65"/>
    </row>
    <row r="541" spans="1:2" x14ac:dyDescent="0.25">
      <c r="A541" s="64" t="str">
        <f>HYPERLINK("http://www.twitter.com/HeatherYvonne", "HeatherYvonne")</f>
        <v>HeatherYvonne</v>
      </c>
      <c r="B541" s="65" t="s">
        <v>3778</v>
      </c>
    </row>
    <row r="542" spans="1:2" x14ac:dyDescent="0.25">
      <c r="A542" s="64" t="str">
        <f>HYPERLINK("http://www.twitter.com/MadMarzD", "MadMarzD")</f>
        <v>MadMarzD</v>
      </c>
      <c r="B542" s="65" t="s">
        <v>3976</v>
      </c>
    </row>
    <row r="543" spans="1:2" x14ac:dyDescent="0.25">
      <c r="A543" s="64" t="str">
        <f>HYPERLINK("http://www.twitter.com/alicecann", "alicecann")</f>
        <v>alicecann</v>
      </c>
      <c r="B543" s="65" t="s">
        <v>36</v>
      </c>
    </row>
    <row r="544" spans="1:2" x14ac:dyDescent="0.25">
      <c r="A544" s="64" t="str">
        <f>HYPERLINK("http://www.twitter.com/TwinsPlayground", "TwinsPlayground")</f>
        <v>TwinsPlayground</v>
      </c>
      <c r="B544" s="65" t="s">
        <v>3977</v>
      </c>
    </row>
    <row r="545" spans="1:2" x14ac:dyDescent="0.25">
      <c r="A545" s="64" t="str">
        <f>HYPERLINK("http://www.twitter.com/jgoffz", "jgoffz")</f>
        <v>jgoffz</v>
      </c>
      <c r="B545" s="65" t="s">
        <v>2007</v>
      </c>
    </row>
    <row r="546" spans="1:2" x14ac:dyDescent="0.25">
      <c r="A546" s="64" t="str">
        <f>HYPERLINK("http://www.twitter.com/RPPote", "RPPote")</f>
        <v>RPPote</v>
      </c>
      <c r="B546" s="65"/>
    </row>
    <row r="547" spans="1:2" x14ac:dyDescent="0.25">
      <c r="A547" s="64" t="str">
        <f>HYPERLINK("http://www.twitter.com/BarbaraAMiller", "BarbaraAMiller")</f>
        <v>BarbaraAMiller</v>
      </c>
      <c r="B547" s="65" t="s">
        <v>3688</v>
      </c>
    </row>
    <row r="548" spans="1:2" x14ac:dyDescent="0.25">
      <c r="A548" s="64" t="str">
        <f>HYPERLINK("http://www.twitter.com/BiblioEll", "BiblioEll")</f>
        <v>BiblioEll</v>
      </c>
      <c r="B548" s="65" t="s">
        <v>3978</v>
      </c>
    </row>
    <row r="549" spans="1:2" x14ac:dyDescent="0.25">
      <c r="A549" s="64" t="str">
        <f>HYPERLINK("http://www.twitter.com/laamka", "laamka")</f>
        <v>laamka</v>
      </c>
      <c r="B549" s="65" t="s">
        <v>3979</v>
      </c>
    </row>
    <row r="550" spans="1:2" x14ac:dyDescent="0.25">
      <c r="A550" s="64" t="str">
        <f>HYPERLINK("http://www.twitter.com/BScottBaum", "BScottBaum")</f>
        <v>BScottBaum</v>
      </c>
      <c r="B550" s="65" t="s">
        <v>3980</v>
      </c>
    </row>
    <row r="551" spans="1:2" x14ac:dyDescent="0.25">
      <c r="A551" s="64" t="str">
        <f>HYPERLINK("http://www.twitter.com/megan_eloise", "megan_eloise")</f>
        <v>megan_eloise</v>
      </c>
      <c r="B551" s="65"/>
    </row>
    <row r="552" spans="1:2" x14ac:dyDescent="0.25">
      <c r="A552" s="64" t="str">
        <f>HYPERLINK("http://www.twitter.com/iknowhim", "iknowhim")</f>
        <v>iknowhim</v>
      </c>
      <c r="B552" s="65" t="s">
        <v>36</v>
      </c>
    </row>
    <row r="553" spans="1:2" x14ac:dyDescent="0.25">
      <c r="A553" s="64" t="str">
        <f>HYPERLINK("http://www.twitter.com/beckrowls", "beckrowls")</f>
        <v>beckrowls</v>
      </c>
      <c r="B553" s="65"/>
    </row>
    <row r="554" spans="1:2" x14ac:dyDescent="0.25">
      <c r="A554" s="64" t="str">
        <f>HYPERLINK("http://www.twitter.com/AnneTaciturn", "AnneTaciturn")</f>
        <v>AnneTaciturn</v>
      </c>
      <c r="B554" s="65" t="s">
        <v>3981</v>
      </c>
    </row>
    <row r="555" spans="1:2" x14ac:dyDescent="0.25">
      <c r="A555" s="64" t="str">
        <f>HYPERLINK("http://www.twitter.com/AggieAspinwall", "AggieAspinwall")</f>
        <v>AggieAspinwall</v>
      </c>
      <c r="B555" s="65"/>
    </row>
    <row r="556" spans="1:2" x14ac:dyDescent="0.25">
      <c r="A556" s="64" t="str">
        <f>HYPERLINK("http://www.twitter.com/gms_waller", "gms_waller")</f>
        <v>gms_waller</v>
      </c>
      <c r="B556" s="65" t="s">
        <v>3982</v>
      </c>
    </row>
    <row r="557" spans="1:2" x14ac:dyDescent="0.25">
      <c r="A557" s="64" t="str">
        <f>HYPERLINK("http://www.twitter.com/darlingemma", "darlingemma")</f>
        <v>darlingemma</v>
      </c>
      <c r="B557" s="65" t="s">
        <v>3875</v>
      </c>
    </row>
    <row r="558" spans="1:2" x14ac:dyDescent="0.25">
      <c r="A558" s="64" t="str">
        <f>HYPERLINK("http://www.twitter.com/crichterwa", "crichterwa")</f>
        <v>crichterwa</v>
      </c>
      <c r="B558" s="65" t="s">
        <v>3983</v>
      </c>
    </row>
    <row r="559" spans="1:2" x14ac:dyDescent="0.25">
      <c r="A559" s="64" t="str">
        <f>HYPERLINK("http://www.twitter.com/mariadangel", "mariadangel")</f>
        <v>mariadangel</v>
      </c>
      <c r="B559" s="65" t="s">
        <v>3984</v>
      </c>
    </row>
    <row r="560" spans="1:2" x14ac:dyDescent="0.25">
      <c r="A560" s="64" t="str">
        <f>HYPERLINK("http://www.twitter.com/jmacdeee", "jmacdeee")</f>
        <v>jmacdeee</v>
      </c>
      <c r="B560" s="65" t="s">
        <v>517</v>
      </c>
    </row>
    <row r="561" spans="1:2" x14ac:dyDescent="0.25">
      <c r="A561" s="64" t="str">
        <f>HYPERLINK("http://www.twitter.com/marysdurrell", "marysdurrell")</f>
        <v>marysdurrell</v>
      </c>
      <c r="B561" s="65" t="s">
        <v>3985</v>
      </c>
    </row>
    <row r="562" spans="1:2" x14ac:dyDescent="0.25">
      <c r="A562" s="64" t="str">
        <f>HYPERLINK("http://www.twitter.com/eshe120", "eshe120")</f>
        <v>eshe120</v>
      </c>
      <c r="B562" s="65"/>
    </row>
    <row r="563" spans="1:2" x14ac:dyDescent="0.25">
      <c r="A563" s="64" t="str">
        <f>HYPERLINK("http://www.twitter.com/KMayhew11", "KMayhew11")</f>
        <v>KMayhew11</v>
      </c>
      <c r="B563" s="65" t="s">
        <v>3986</v>
      </c>
    </row>
    <row r="564" spans="1:2" x14ac:dyDescent="0.25">
      <c r="A564" s="64" t="str">
        <f>HYPERLINK("http://www.twitter.com/dixie1963", "dixie1963")</f>
        <v>dixie1963</v>
      </c>
      <c r="B564" s="65"/>
    </row>
    <row r="565" spans="1:2" x14ac:dyDescent="0.25">
      <c r="A565" s="64" t="str">
        <f>HYPERLINK("http://www.twitter.com/pangur1", "pangur1")</f>
        <v>pangur1</v>
      </c>
      <c r="B565" s="65" t="s">
        <v>3987</v>
      </c>
    </row>
    <row r="566" spans="1:2" x14ac:dyDescent="0.25">
      <c r="A566" s="64" t="str">
        <f>HYPERLINK("http://www.twitter.com/NatKay10", "NatKay10")</f>
        <v>NatKay10</v>
      </c>
      <c r="B566" s="65" t="s">
        <v>3988</v>
      </c>
    </row>
    <row r="567" spans="1:2" x14ac:dyDescent="0.25">
      <c r="A567" s="64" t="str">
        <f>HYPERLINK("http://www.twitter.com/MLMcKeever", "MLMcKeever")</f>
        <v>MLMcKeever</v>
      </c>
      <c r="B567" s="65"/>
    </row>
    <row r="568" spans="1:2" x14ac:dyDescent="0.25">
      <c r="A568" s="64" t="str">
        <f>HYPERLINK("http://www.twitter.com/DDBookheimer", "DDBookheimer")</f>
        <v>DDBookheimer</v>
      </c>
      <c r="B568" s="65" t="s">
        <v>3989</v>
      </c>
    </row>
    <row r="569" spans="1:2" x14ac:dyDescent="0.25">
      <c r="A569" s="64" t="str">
        <f>HYPERLINK("http://www.twitter.com/tinawhynot1", "tinawhynot1")</f>
        <v>tinawhynot1</v>
      </c>
      <c r="B569" s="65" t="s">
        <v>3990</v>
      </c>
    </row>
    <row r="570" spans="1:2" x14ac:dyDescent="0.25">
      <c r="A570" s="64" t="str">
        <f>HYPERLINK("http://www.twitter.com/DMommyP", "DMommyP")</f>
        <v>DMommyP</v>
      </c>
      <c r="B570" s="65"/>
    </row>
    <row r="571" spans="1:2" x14ac:dyDescent="0.25">
      <c r="A571" s="64" t="str">
        <f>HYPERLINK("http://www.twitter.com/BeeDMC", "BeeDMC")</f>
        <v>BeeDMC</v>
      </c>
      <c r="B571" s="65"/>
    </row>
    <row r="572" spans="1:2" x14ac:dyDescent="0.25">
      <c r="A572" s="64" t="str">
        <f>HYPERLINK("http://www.twitter.com/MacMhairi", "MacMhairi")</f>
        <v>MacMhairi</v>
      </c>
      <c r="B572" s="65"/>
    </row>
    <row r="573" spans="1:2" x14ac:dyDescent="0.25">
      <c r="A573" s="64" t="str">
        <f>HYPERLINK("http://www.twitter.com/insocrates", "insocrates")</f>
        <v>insocrates</v>
      </c>
      <c r="B573" s="65"/>
    </row>
    <row r="574" spans="1:2" x14ac:dyDescent="0.25">
      <c r="A574" s="64" t="str">
        <f>HYPERLINK("http://www.twitter.com/BrianBethune", "BrianBethune")</f>
        <v>BrianBethune</v>
      </c>
      <c r="B574" s="65" t="s">
        <v>3991</v>
      </c>
    </row>
    <row r="575" spans="1:2" x14ac:dyDescent="0.25">
      <c r="A575" s="64" t="str">
        <f>HYPERLINK("http://www.twitter.com/nacomerford", "nacomerford")</f>
        <v>nacomerford</v>
      </c>
      <c r="B575" s="65"/>
    </row>
    <row r="576" spans="1:2" x14ac:dyDescent="0.25">
      <c r="A576" s="64" t="str">
        <f>HYPERLINK("http://www.twitter.com/thehandpiecoPEI", "thehandpiecoPEI")</f>
        <v>thehandpiecoPEI</v>
      </c>
      <c r="B576" s="65" t="s">
        <v>3992</v>
      </c>
    </row>
    <row r="577" spans="1:2" x14ac:dyDescent="0.25">
      <c r="A577" s="64" t="str">
        <f>HYPERLINK("http://www.twitter.com/Gigi_Girl", "Gigi_Girl")</f>
        <v>Gigi_Girl</v>
      </c>
      <c r="B577" s="65" t="s">
        <v>3993</v>
      </c>
    </row>
    <row r="578" spans="1:2" x14ac:dyDescent="0.25">
      <c r="A578" s="64" t="str">
        <f>HYPERLINK("http://www.twitter.com/raffstar66", "raffstar66")</f>
        <v>raffstar66</v>
      </c>
      <c r="B578" s="65" t="s">
        <v>3978</v>
      </c>
    </row>
    <row r="579" spans="1:2" x14ac:dyDescent="0.25">
      <c r="A579" s="64" t="str">
        <f>HYPERLINK("http://www.twitter.com/Zannified13", "Zannified13")</f>
        <v>Zannified13</v>
      </c>
      <c r="B579" s="65"/>
    </row>
    <row r="580" spans="1:2" x14ac:dyDescent="0.25">
      <c r="A580" s="64" t="str">
        <f>HYPERLINK("http://www.twitter.com/FrenchClaire64", "FrenchClaire64")</f>
        <v>FrenchClaire64</v>
      </c>
      <c r="B580" s="65" t="s">
        <v>2007</v>
      </c>
    </row>
    <row r="581" spans="1:2" x14ac:dyDescent="0.25">
      <c r="A581" s="64" t="str">
        <f>HYPERLINK("http://www.twitter.com/PDT10", "PDT10")</f>
        <v>PDT10</v>
      </c>
      <c r="B581" s="65" t="s">
        <v>24</v>
      </c>
    </row>
    <row r="582" spans="1:2" x14ac:dyDescent="0.25">
      <c r="A582" s="64" t="str">
        <f>HYPERLINK("http://www.twitter.com/asawoky", "asawoky")</f>
        <v>asawoky</v>
      </c>
      <c r="B582" s="65" t="s">
        <v>3994</v>
      </c>
    </row>
    <row r="583" spans="1:2" x14ac:dyDescent="0.25">
      <c r="A583" s="64" t="str">
        <f>HYPERLINK("http://www.twitter.com/Graham__meek", "Graham__meek")</f>
        <v>Graham__meek</v>
      </c>
      <c r="B583" s="65" t="s">
        <v>3995</v>
      </c>
    </row>
    <row r="584" spans="1:2" x14ac:dyDescent="0.25">
      <c r="A584" s="64" t="str">
        <f>HYPERLINK("http://www.twitter.com/kathryn_ellett", "kathryn_ellett")</f>
        <v>kathryn_ellett</v>
      </c>
      <c r="B584" s="65" t="s">
        <v>3996</v>
      </c>
    </row>
    <row r="585" spans="1:2" x14ac:dyDescent="0.25">
      <c r="A585" s="64" t="str">
        <f>HYPERLINK("http://www.twitter.com/j_swizzlesticks", "j_swizzlesticks")</f>
        <v>j_swizzlesticks</v>
      </c>
      <c r="B585" s="65"/>
    </row>
    <row r="586" spans="1:2" x14ac:dyDescent="0.25">
      <c r="A586" s="64" t="str">
        <f>HYPERLINK("http://www.twitter.com/DenaHe", "DenaHe")</f>
        <v>DenaHe</v>
      </c>
      <c r="B586" s="65" t="s">
        <v>3997</v>
      </c>
    </row>
    <row r="587" spans="1:2" x14ac:dyDescent="0.25">
      <c r="A587" s="64" t="str">
        <f>HYPERLINK("http://www.twitter.com/glencre", "glencre")</f>
        <v>glencre</v>
      </c>
      <c r="B587" s="65" t="s">
        <v>3760</v>
      </c>
    </row>
    <row r="588" spans="1:2" x14ac:dyDescent="0.25">
      <c r="A588" s="64" t="str">
        <f>HYPERLINK("http://www.twitter.com/hexicorn1", "hexicorn1")</f>
        <v>hexicorn1</v>
      </c>
      <c r="B588" s="65"/>
    </row>
    <row r="589" spans="1:2" x14ac:dyDescent="0.25">
      <c r="A589" s="64" t="str">
        <f>HYPERLINK("http://www.twitter.com/BahaAlaaddin7", "BahaAlaaddin7")</f>
        <v>BahaAlaaddin7</v>
      </c>
      <c r="B589" s="65"/>
    </row>
    <row r="590" spans="1:2" x14ac:dyDescent="0.25">
      <c r="A590" s="64" t="str">
        <f>HYPERLINK("http://www.twitter.com/severinelp", "severinelp")</f>
        <v>severinelp</v>
      </c>
      <c r="B590" s="65"/>
    </row>
    <row r="591" spans="1:2" x14ac:dyDescent="0.25">
      <c r="A591" s="64" t="str">
        <f>HYPERLINK("http://www.twitter.com/vmburkhardt", "vmburkhardt")</f>
        <v>vmburkhardt</v>
      </c>
      <c r="B591" s="65" t="s">
        <v>3998</v>
      </c>
    </row>
    <row r="592" spans="1:2" x14ac:dyDescent="0.25">
      <c r="A592" s="64" t="str">
        <f>HYPERLINK("http://www.twitter.com/DrippyHippy", "DrippyHippy")</f>
        <v>DrippyHippy</v>
      </c>
      <c r="B592" s="65" t="s">
        <v>3999</v>
      </c>
    </row>
    <row r="593" spans="1:2" x14ac:dyDescent="0.25">
      <c r="A593" s="64" t="str">
        <f>HYPERLINK("http://www.twitter.com/ruisa_c", "ruisa_c")</f>
        <v>ruisa_c</v>
      </c>
      <c r="B593" s="65"/>
    </row>
    <row r="594" spans="1:2" x14ac:dyDescent="0.25">
      <c r="A594" s="64" t="str">
        <f>HYPERLINK("http://www.twitter.com/BahacanAlaaddi5", "BahacanAlaaddi5")</f>
        <v>BahacanAlaaddi5</v>
      </c>
      <c r="B594" s="65"/>
    </row>
    <row r="595" spans="1:2" x14ac:dyDescent="0.25">
      <c r="A595" s="64" t="str">
        <f>HYPERLINK("http://www.twitter.com/LyndaSnell", "LyndaSnell")</f>
        <v>LyndaSnell</v>
      </c>
      <c r="B595" s="65" t="s">
        <v>4000</v>
      </c>
    </row>
    <row r="596" spans="1:2" x14ac:dyDescent="0.25">
      <c r="A596" s="64" t="str">
        <f>HYPERLINK("http://www.twitter.com/tanz4", "tanz4")</f>
        <v>tanz4</v>
      </c>
      <c r="B596" s="65" t="s">
        <v>4001</v>
      </c>
    </row>
    <row r="597" spans="1:2" x14ac:dyDescent="0.25">
      <c r="A597" s="64" t="str">
        <f>HYPERLINK("http://www.twitter.com/KarenABQNM", "KarenABQNM")</f>
        <v>KarenABQNM</v>
      </c>
      <c r="B597" s="65" t="s">
        <v>4002</v>
      </c>
    </row>
    <row r="598" spans="1:2" x14ac:dyDescent="0.25">
      <c r="A598" s="64" t="str">
        <f>HYPERLINK("http://www.twitter.com/oreillypaula1", "oreillypaula1")</f>
        <v>oreillypaula1</v>
      </c>
      <c r="B598" s="65" t="s">
        <v>4003</v>
      </c>
    </row>
    <row r="599" spans="1:2" x14ac:dyDescent="0.25">
      <c r="A599" s="64" t="str">
        <f>HYPERLINK("http://www.twitter.com/OstieMama", "OstieMama")</f>
        <v>OstieMama</v>
      </c>
      <c r="B599" s="65"/>
    </row>
    <row r="600" spans="1:2" x14ac:dyDescent="0.25">
      <c r="A600" s="64" t="str">
        <f>HYPERLINK("http://www.twitter.com/mascauxanne", "mascauxanne")</f>
        <v>mascauxanne</v>
      </c>
      <c r="B600" s="65"/>
    </row>
    <row r="601" spans="1:2" x14ac:dyDescent="0.25">
      <c r="A601" s="64" t="str">
        <f>HYPERLINK("http://www.twitter.com/BlairObserves", "BlairObserves")</f>
        <v>BlairObserves</v>
      </c>
      <c r="B601" s="65" t="s">
        <v>4004</v>
      </c>
    </row>
    <row r="602" spans="1:2" x14ac:dyDescent="0.25">
      <c r="A602" s="64" t="str">
        <f>HYPERLINK("http://www.twitter.com/amzh", "amzh")</f>
        <v>amzh</v>
      </c>
      <c r="B602" s="65"/>
    </row>
    <row r="603" spans="1:2" x14ac:dyDescent="0.25">
      <c r="A603" s="64" t="str">
        <f>HYPERLINK("http://www.twitter.com/alicepotter92", "alicepotter92")</f>
        <v>alicepotter92</v>
      </c>
      <c r="B603" s="65" t="s">
        <v>4005</v>
      </c>
    </row>
    <row r="604" spans="1:2" x14ac:dyDescent="0.25">
      <c r="A604" s="64" t="str">
        <f>HYPERLINK("http://www.twitter.com/dmartorelli", "dmartorelli")</f>
        <v>dmartorelli</v>
      </c>
      <c r="B604" s="65" t="s">
        <v>3770</v>
      </c>
    </row>
    <row r="605" spans="1:2" x14ac:dyDescent="0.25">
      <c r="A605" s="64" t="str">
        <f>HYPERLINK("http://www.twitter.com/HTruelock", "HTruelock")</f>
        <v>HTruelock</v>
      </c>
      <c r="B605" s="65" t="s">
        <v>4006</v>
      </c>
    </row>
    <row r="606" spans="1:2" x14ac:dyDescent="0.25">
      <c r="A606" s="64" t="str">
        <f>HYPERLINK("http://www.twitter.com/Erecura", "Erecura")</f>
        <v>Erecura</v>
      </c>
      <c r="B606" s="65" t="s">
        <v>4007</v>
      </c>
    </row>
    <row r="607" spans="1:2" x14ac:dyDescent="0.25">
      <c r="A607" s="64" t="str">
        <f>HYPERLINK("http://www.twitter.com/okem00", "okem00")</f>
        <v>okem00</v>
      </c>
      <c r="B607" s="65" t="s">
        <v>4008</v>
      </c>
    </row>
    <row r="608" spans="1:2" x14ac:dyDescent="0.25">
      <c r="A608" s="64" t="str">
        <f>HYPERLINK("http://www.twitter.com/pennyzwyz", "pennyzwyz")</f>
        <v>pennyzwyz</v>
      </c>
      <c r="B608" s="65" t="s">
        <v>4009</v>
      </c>
    </row>
    <row r="609" spans="1:2" x14ac:dyDescent="0.25">
      <c r="A609" s="64" t="str">
        <f>HYPERLINK("http://www.twitter.com/aliceinjax", "aliceinjax")</f>
        <v>aliceinjax</v>
      </c>
      <c r="B609" s="65" t="s">
        <v>4010</v>
      </c>
    </row>
    <row r="610" spans="1:2" x14ac:dyDescent="0.25">
      <c r="A610" s="64" t="str">
        <f>HYPERLINK("http://www.twitter.com/Evwymom", "Evwymom")</f>
        <v>Evwymom</v>
      </c>
      <c r="B610" s="65"/>
    </row>
    <row r="611" spans="1:2" x14ac:dyDescent="0.25">
      <c r="A611" s="64" t="str">
        <f>HYPERLINK("http://www.twitter.com/cperdeus", "cperdeus")</f>
        <v>cperdeus</v>
      </c>
      <c r="B611" s="65" t="s">
        <v>4001</v>
      </c>
    </row>
    <row r="612" spans="1:2" x14ac:dyDescent="0.25">
      <c r="A612" s="64" t="str">
        <f>HYPERLINK("http://www.twitter.com/HollyW2016", "HollyW2016")</f>
        <v>HollyW2016</v>
      </c>
      <c r="B612" s="65" t="s">
        <v>2041</v>
      </c>
    </row>
    <row r="613" spans="1:2" x14ac:dyDescent="0.25">
      <c r="A613" s="64" t="str">
        <f>HYPERLINK("http://www.twitter.com/FebryKaren", "FebryKaren")</f>
        <v>FebryKaren</v>
      </c>
      <c r="B613" s="65" t="s">
        <v>4011</v>
      </c>
    </row>
    <row r="614" spans="1:2" x14ac:dyDescent="0.25">
      <c r="A614" s="64" t="str">
        <f>HYPERLINK("http://www.twitter.com/RobinInFlint", "RobinInFlint")</f>
        <v>RobinInFlint</v>
      </c>
      <c r="B614" s="65" t="s">
        <v>4012</v>
      </c>
    </row>
    <row r="615" spans="1:2" x14ac:dyDescent="0.25">
      <c r="A615" s="64" t="str">
        <f>HYPERLINK("http://www.twitter.com/abijamtastic", "abijamtastic")</f>
        <v>abijamtastic</v>
      </c>
      <c r="B615" s="65" t="s">
        <v>773</v>
      </c>
    </row>
    <row r="616" spans="1:2" x14ac:dyDescent="0.25">
      <c r="A616" s="64" t="str">
        <f>HYPERLINK("http://www.twitter.com/deborah61hwy", "deborah61hwy")</f>
        <v>deborah61hwy</v>
      </c>
      <c r="B616" s="65" t="s">
        <v>3797</v>
      </c>
    </row>
    <row r="617" spans="1:2" x14ac:dyDescent="0.25">
      <c r="A617" s="64" t="str">
        <f>HYPERLINK("http://www.twitter.com/Lindsay_Emory", "Lindsay_Emory")</f>
        <v>Lindsay_Emory</v>
      </c>
      <c r="B617" s="65" t="s">
        <v>4013</v>
      </c>
    </row>
    <row r="618" spans="1:2" x14ac:dyDescent="0.25">
      <c r="A618" s="64" t="str">
        <f>HYPERLINK("http://www.twitter.com/helen_b2", "helen_b2")</f>
        <v>helen_b2</v>
      </c>
      <c r="B618" s="65" t="s">
        <v>517</v>
      </c>
    </row>
    <row r="619" spans="1:2" x14ac:dyDescent="0.25">
      <c r="A619" s="64" t="str">
        <f>HYPERLINK("http://www.twitter.com/AnneDenissen", "AnneDenissen")</f>
        <v>AnneDenissen</v>
      </c>
      <c r="B619" s="65" t="s">
        <v>4014</v>
      </c>
    </row>
    <row r="620" spans="1:2" x14ac:dyDescent="0.25">
      <c r="A620" s="64" t="str">
        <f>HYPERLINK("http://www.twitter.com/Alex41313169", "Alex41313169")</f>
        <v>Alex41313169</v>
      </c>
      <c r="B620" s="65" t="s">
        <v>4015</v>
      </c>
    </row>
    <row r="621" spans="1:2" x14ac:dyDescent="0.25">
      <c r="A621" s="64" t="str">
        <f>HYPERLINK("http://www.twitter.com/kfricchione", "kfricchione")</f>
        <v>kfricchione</v>
      </c>
      <c r="B621" s="65"/>
    </row>
    <row r="622" spans="1:2" x14ac:dyDescent="0.25">
      <c r="A622" s="64" t="str">
        <f>HYPERLINK("http://www.twitter.com/RossWilson11", "RossWilson11")</f>
        <v>RossWilson11</v>
      </c>
      <c r="B622" s="65" t="s">
        <v>808</v>
      </c>
    </row>
    <row r="623" spans="1:2" x14ac:dyDescent="0.25">
      <c r="A623" s="64" t="str">
        <f>HYPERLINK("http://www.twitter.com/Jamesmuir100", "Jamesmuir100")</f>
        <v>Jamesmuir100</v>
      </c>
      <c r="B623" s="65"/>
    </row>
    <row r="624" spans="1:2" x14ac:dyDescent="0.25">
      <c r="A624" s="64" t="str">
        <f>HYPERLINK("http://www.twitter.com/GemmaElwinH", "GemmaElwinH")</f>
        <v>GemmaElwinH</v>
      </c>
      <c r="B624" s="65" t="s">
        <v>477</v>
      </c>
    </row>
    <row r="625" spans="1:2" x14ac:dyDescent="0.25">
      <c r="A625" s="64" t="str">
        <f>HYPERLINK("http://www.twitter.com/DodieMcPee", "DodieMcPee")</f>
        <v>DodieMcPee</v>
      </c>
      <c r="B625" s="65"/>
    </row>
    <row r="626" spans="1:2" x14ac:dyDescent="0.25">
      <c r="A626" s="64" t="str">
        <f>HYPERLINK("http://www.twitter.com/dave2718", "dave2718")</f>
        <v>dave2718</v>
      </c>
      <c r="B626" s="65"/>
    </row>
    <row r="627" spans="1:2" x14ac:dyDescent="0.25">
      <c r="A627" s="64" t="str">
        <f>HYPERLINK("http://www.twitter.com/PugnaciousLC", "PugnaciousLC")</f>
        <v>PugnaciousLC</v>
      </c>
      <c r="B627" s="65"/>
    </row>
    <row r="628" spans="1:2" x14ac:dyDescent="0.25">
      <c r="A628" s="64" t="str">
        <f>HYPERLINK("http://www.twitter.com/celticbuddie", "celticbuddie")</f>
        <v>celticbuddie</v>
      </c>
      <c r="B628" s="65"/>
    </row>
    <row r="629" spans="1:2" x14ac:dyDescent="0.25">
      <c r="A629" s="64" t="str">
        <f>HYPERLINK("http://www.twitter.com/LitZippo", "LitZippo")</f>
        <v>LitZippo</v>
      </c>
      <c r="B629" s="65" t="s">
        <v>4016</v>
      </c>
    </row>
    <row r="630" spans="1:2" x14ac:dyDescent="0.25">
      <c r="A630" s="64" t="str">
        <f>HYPERLINK("http://www.twitter.com/StokesleyLib", "StokesleyLib")</f>
        <v>StokesleyLib</v>
      </c>
      <c r="B630" s="65" t="s">
        <v>4017</v>
      </c>
    </row>
    <row r="631" spans="1:2" x14ac:dyDescent="0.25">
      <c r="A631" s="64" t="str">
        <f>HYPERLINK("http://www.twitter.com/BenlevaSteve", "BenlevaSteve")</f>
        <v>BenlevaSteve</v>
      </c>
      <c r="B631" s="65" t="s">
        <v>4018</v>
      </c>
    </row>
    <row r="632" spans="1:2" x14ac:dyDescent="0.25">
      <c r="A632" s="64" t="str">
        <f>HYPERLINK("http://www.twitter.com/KninaKnits", "KninaKnits")</f>
        <v>KninaKnits</v>
      </c>
      <c r="B632" s="65"/>
    </row>
    <row r="633" spans="1:2" x14ac:dyDescent="0.25">
      <c r="A633" s="64" t="str">
        <f>HYPERLINK("http://www.twitter.com/RafaelleArauj16", "RafaelleArauj16")</f>
        <v>RafaelleArauj16</v>
      </c>
      <c r="B633" s="65"/>
    </row>
    <row r="634" spans="1:2" x14ac:dyDescent="0.25">
      <c r="A634" s="64" t="str">
        <f>HYPERLINK("http://www.twitter.com/Harristhehound", "Harristhehound")</f>
        <v>Harristhehound</v>
      </c>
      <c r="B634" s="65" t="s">
        <v>4019</v>
      </c>
    </row>
    <row r="635" spans="1:2" x14ac:dyDescent="0.25">
      <c r="A635" s="64" t="str">
        <f>HYPERLINK("http://www.twitter.com/tricia_ns", "tricia_ns")</f>
        <v>tricia_ns</v>
      </c>
      <c r="B635" s="65"/>
    </row>
    <row r="636" spans="1:2" x14ac:dyDescent="0.25">
      <c r="A636" s="64" t="str">
        <f>HYPERLINK("http://www.twitter.com/YouCanLearnIt", "YouCanLearnIt")</f>
        <v>YouCanLearnIt</v>
      </c>
      <c r="B636" s="65" t="s">
        <v>4020</v>
      </c>
    </row>
    <row r="637" spans="1:2" x14ac:dyDescent="0.25">
      <c r="A637" s="64" t="str">
        <f>HYPERLINK("http://www.twitter.com/JessieWingard", "JessieWingard")</f>
        <v>JessieWingard</v>
      </c>
      <c r="B637" s="65" t="s">
        <v>4021</v>
      </c>
    </row>
    <row r="638" spans="1:2" x14ac:dyDescent="0.25">
      <c r="A638" s="64" t="str">
        <f>HYPERLINK("http://www.twitter.com/bmaczee", "bmaczee")</f>
        <v>bmaczee</v>
      </c>
      <c r="B638" s="65" t="s">
        <v>2007</v>
      </c>
    </row>
    <row r="639" spans="1:2" x14ac:dyDescent="0.25">
      <c r="A639" s="64" t="str">
        <f>HYPERLINK("http://www.twitter.com/Thebarrista", "Thebarrista")</f>
        <v>Thebarrista</v>
      </c>
      <c r="B639" s="65" t="s">
        <v>4022</v>
      </c>
    </row>
    <row r="640" spans="1:2" x14ac:dyDescent="0.25">
      <c r="A640" s="64" t="str">
        <f>HYPERLINK("http://www.twitter.com/matt_p_davis", "matt_p_davis")</f>
        <v>matt_p_davis</v>
      </c>
      <c r="B640" s="65" t="s">
        <v>24</v>
      </c>
    </row>
    <row r="641" spans="1:2" x14ac:dyDescent="0.25">
      <c r="A641" s="64" t="str">
        <f>HYPERLINK("http://www.twitter.com/BL6John", "BL6John")</f>
        <v>BL6John</v>
      </c>
      <c r="B641" s="65" t="s">
        <v>4023</v>
      </c>
    </row>
    <row r="642" spans="1:2" x14ac:dyDescent="0.25">
      <c r="A642" s="64" t="str">
        <f>HYPERLINK("http://www.twitter.com/SpecklyFrog", "SpecklyFrog")</f>
        <v>SpecklyFrog</v>
      </c>
      <c r="B642" s="65" t="s">
        <v>4024</v>
      </c>
    </row>
    <row r="643" spans="1:2" x14ac:dyDescent="0.25">
      <c r="A643" s="64" t="str">
        <f>HYPERLINK("http://www.twitter.com/sooziverse", "sooziverse")</f>
        <v>sooziverse</v>
      </c>
      <c r="B643" s="65"/>
    </row>
    <row r="644" spans="1:2" x14ac:dyDescent="0.25">
      <c r="A644" s="64" t="str">
        <f>HYPERLINK("http://www.twitter.com/jester_mouse", "jester_mouse")</f>
        <v>jester_mouse</v>
      </c>
      <c r="B644" s="65" t="s">
        <v>487</v>
      </c>
    </row>
    <row r="645" spans="1:2" x14ac:dyDescent="0.25">
      <c r="A645" s="64" t="str">
        <f>HYPERLINK("http://www.twitter.com/critsect", "critsect")</f>
        <v>critsect</v>
      </c>
      <c r="B645" s="65"/>
    </row>
    <row r="646" spans="1:2" x14ac:dyDescent="0.25">
      <c r="A646" s="64" t="str">
        <f>HYPERLINK("http://www.twitter.com/thecraig86", "thecraig86")</f>
        <v>thecraig86</v>
      </c>
      <c r="B646" s="65" t="s">
        <v>4025</v>
      </c>
    </row>
    <row r="647" spans="1:2" x14ac:dyDescent="0.25">
      <c r="A647" s="64" t="str">
        <f>HYPERLINK("http://www.twitter.com/JessieAmyLee1", "JessieAmyLee1")</f>
        <v>JessieAmyLee1</v>
      </c>
      <c r="B647" s="65" t="s">
        <v>4026</v>
      </c>
    </row>
    <row r="648" spans="1:2" x14ac:dyDescent="0.25">
      <c r="A648" s="64" t="str">
        <f>HYPERLINK("http://www.twitter.com/lumitalo", "lumitalo")</f>
        <v>lumitalo</v>
      </c>
      <c r="B648" s="65"/>
    </row>
    <row r="649" spans="1:2" x14ac:dyDescent="0.25">
      <c r="A649" s="64" t="str">
        <f>HYPERLINK("http://www.twitter.com/fifisaurus", "fifisaurus")</f>
        <v>fifisaurus</v>
      </c>
      <c r="B649" s="65" t="s">
        <v>1417</v>
      </c>
    </row>
    <row r="650" spans="1:2" x14ac:dyDescent="0.25">
      <c r="A650" s="64" t="str">
        <f>HYPERLINK("http://www.twitter.com/tomcara", "tomcara")</f>
        <v>tomcara</v>
      </c>
      <c r="B650" s="65" t="s">
        <v>138</v>
      </c>
    </row>
    <row r="651" spans="1:2" x14ac:dyDescent="0.25">
      <c r="A651" s="64" t="str">
        <f>HYPERLINK("http://www.twitter.com/TammyLibrarian", "TammyLibrarian")</f>
        <v>TammyLibrarian</v>
      </c>
      <c r="B651" s="65"/>
    </row>
    <row r="652" spans="1:2" x14ac:dyDescent="0.25">
      <c r="A652" s="64" t="str">
        <f>HYPERLINK("http://www.twitter.com/PaulShelbourne2", "PaulShelbourne2")</f>
        <v>PaulShelbourne2</v>
      </c>
      <c r="B652" s="65"/>
    </row>
    <row r="653" spans="1:2" x14ac:dyDescent="0.25">
      <c r="A653" s="64" t="str">
        <f>HYPERLINK("http://www.twitter.com/barmybrumy", "barmybrumy")</f>
        <v>barmybrumy</v>
      </c>
      <c r="B653" s="65" t="s">
        <v>4027</v>
      </c>
    </row>
    <row r="654" spans="1:2" x14ac:dyDescent="0.25">
      <c r="A654" s="64" t="str">
        <f>HYPERLINK("http://www.twitter.com/nutraliftskinca", "nutraliftskinca")</f>
        <v>nutraliftskinca</v>
      </c>
      <c r="B654" s="65"/>
    </row>
    <row r="655" spans="1:2" x14ac:dyDescent="0.25">
      <c r="A655" s="64" t="str">
        <f>HYPERLINK("http://www.twitter.com/SianLower", "SianLower")</f>
        <v>SianLower</v>
      </c>
      <c r="B655" s="65" t="s">
        <v>4028</v>
      </c>
    </row>
    <row r="656" spans="1:2" x14ac:dyDescent="0.25">
      <c r="A656" s="64" t="str">
        <f>HYPERLINK("http://www.twitter.com/jenniferAdias", "jenniferAdias")</f>
        <v>jenniferAdias</v>
      </c>
      <c r="B656" s="65"/>
    </row>
    <row r="657" spans="1:2" x14ac:dyDescent="0.25">
      <c r="A657" s="64" t="str">
        <f>HYPERLINK("http://www.twitter.com/MoveMoreEdin", "MoveMoreEdin")</f>
        <v>MoveMoreEdin</v>
      </c>
      <c r="B657" s="65" t="s">
        <v>487</v>
      </c>
    </row>
    <row r="658" spans="1:2" x14ac:dyDescent="0.25">
      <c r="A658" s="64" t="str">
        <f>HYPERLINK("http://www.twitter.com/VADundee", "VADundee")</f>
        <v>VADundee</v>
      </c>
      <c r="B658" s="65" t="s">
        <v>517</v>
      </c>
    </row>
    <row r="659" spans="1:2" x14ac:dyDescent="0.25">
      <c r="A659" s="64" t="str">
        <f>HYPERLINK("http://www.twitter.com/Poli__Dee", "Poli__Dee")</f>
        <v>Poli__Dee</v>
      </c>
      <c r="B659" s="65" t="s">
        <v>4029</v>
      </c>
    </row>
    <row r="660" spans="1:2" x14ac:dyDescent="0.25">
      <c r="A660" s="64" t="str">
        <f>HYPERLINK("http://www.twitter.com/FeedTheCurators", "FeedTheCurators")</f>
        <v>FeedTheCurators</v>
      </c>
      <c r="B660" s="65" t="s">
        <v>477</v>
      </c>
    </row>
    <row r="661" spans="1:2" x14ac:dyDescent="0.25">
      <c r="A661" s="64" t="str">
        <f>HYPERLINK("http://www.twitter.com/WhitbyDemi", "WhitbyDemi")</f>
        <v>WhitbyDemi</v>
      </c>
      <c r="B661" s="65"/>
    </row>
    <row r="662" spans="1:2" x14ac:dyDescent="0.25">
      <c r="A662" s="64" t="str">
        <f>HYPERLINK("http://www.twitter.com/Singh97Quinton", "Singh97Quinton")</f>
        <v>Singh97Quinton</v>
      </c>
      <c r="B662" s="65" t="s">
        <v>4030</v>
      </c>
    </row>
    <row r="663" spans="1:2" x14ac:dyDescent="0.25">
      <c r="A663" s="64" t="str">
        <f>HYPERLINK("http://www.twitter.com/LauraScott112", "LauraScott112")</f>
        <v>LauraScott112</v>
      </c>
      <c r="B663" s="65" t="s">
        <v>2213</v>
      </c>
    </row>
    <row r="664" spans="1:2" x14ac:dyDescent="0.25">
      <c r="A664" s="64" t="str">
        <f>HYPERLINK("http://www.twitter.com/borderlinesfest", "borderlinesfest")</f>
        <v>borderlinesfest</v>
      </c>
      <c r="B664" s="65" t="s">
        <v>4031</v>
      </c>
    </row>
    <row r="665" spans="1:2" x14ac:dyDescent="0.25">
      <c r="A665" s="64" t="str">
        <f>HYPERLINK("http://www.twitter.com/PeerieVaila2", "PeerieVaila2")</f>
        <v>PeerieVaila2</v>
      </c>
      <c r="B665" s="65"/>
    </row>
    <row r="666" spans="1:2" x14ac:dyDescent="0.25">
      <c r="A666" s="64" t="str">
        <f>HYPERLINK("http://www.twitter.com/ColourEnvelopes", "ColourEnvelopes")</f>
        <v>ColourEnvelopes</v>
      </c>
      <c r="B666" s="65" t="s">
        <v>4032</v>
      </c>
    </row>
    <row r="667" spans="1:2" x14ac:dyDescent="0.25">
      <c r="A667" s="64" t="str">
        <f>HYPERLINK("http://www.twitter.com/SabotageReviews", "SabotageReviews")</f>
        <v>SabotageReviews</v>
      </c>
      <c r="B667" s="65" t="s">
        <v>4033</v>
      </c>
    </row>
    <row r="668" spans="1:2" x14ac:dyDescent="0.25">
      <c r="A668" s="64" t="str">
        <f>HYPERLINK("http://www.twitter.com/williemeikle", "williemeikle")</f>
        <v>williemeikle</v>
      </c>
      <c r="B668" s="65" t="s">
        <v>4034</v>
      </c>
    </row>
    <row r="669" spans="1:2" x14ac:dyDescent="0.25">
      <c r="A669" s="64" t="str">
        <f>HYPERLINK("http://www.twitter.com/LibrarianAf", "LibrarianAf")</f>
        <v>LibrarianAf</v>
      </c>
      <c r="B669" s="65"/>
    </row>
    <row r="670" spans="1:2" x14ac:dyDescent="0.25">
      <c r="A670" s="64" t="str">
        <f>HYPERLINK("http://www.twitter.com/JECFriends1978", "JECFriends1978")</f>
        <v>JECFriends1978</v>
      </c>
      <c r="B670" s="65" t="s">
        <v>4035</v>
      </c>
    </row>
    <row r="671" spans="1:2" x14ac:dyDescent="0.25">
      <c r="A671" s="64" t="str">
        <f>HYPERLINK("http://www.twitter.com/bbcpress", "bbcpress")</f>
        <v>bbcpress</v>
      </c>
      <c r="B671" s="65" t="s">
        <v>4036</v>
      </c>
    </row>
    <row r="672" spans="1:2" x14ac:dyDescent="0.25">
      <c r="A672" s="64" t="str">
        <f>HYPERLINK("http://www.twitter.com/NCLlibrary", "NCLlibrary")</f>
        <v>NCLlibrary</v>
      </c>
      <c r="B672" s="65" t="s">
        <v>517</v>
      </c>
    </row>
    <row r="673" spans="1:2" x14ac:dyDescent="0.25">
      <c r="A673" s="64" t="str">
        <f>HYPERLINK("http://www.twitter.com/MissSinclairDHT", "MissSinclairDHT")</f>
        <v>MissSinclairDHT</v>
      </c>
      <c r="B673" s="65" t="s">
        <v>2007</v>
      </c>
    </row>
    <row r="674" spans="1:2" x14ac:dyDescent="0.25">
      <c r="A674" s="64" t="str">
        <f>HYPERLINK("http://www.twitter.com/heather_boyes", "heather_boyes")</f>
        <v>heather_boyes</v>
      </c>
      <c r="B674" s="65"/>
    </row>
    <row r="675" spans="1:2" x14ac:dyDescent="0.25">
      <c r="A675" s="64" t="str">
        <f>HYPERLINK("http://www.twitter.com/AaronCowieson", "AaronCowieson")</f>
        <v>AaronCowieson</v>
      </c>
      <c r="B675" s="65" t="s">
        <v>2007</v>
      </c>
    </row>
    <row r="676" spans="1:2" x14ac:dyDescent="0.25">
      <c r="A676" s="64" t="str">
        <f>HYPERLINK("http://www.twitter.com/borischoi_", "borischoi_")</f>
        <v>borischoi_</v>
      </c>
      <c r="B676" s="65"/>
    </row>
    <row r="677" spans="1:2" x14ac:dyDescent="0.25">
      <c r="A677" s="64" t="str">
        <f>HYPERLINK("http://www.twitter.com/Book_Junction", "Book_Junction")</f>
        <v>Book_Junction</v>
      </c>
      <c r="B677" s="65" t="s">
        <v>4037</v>
      </c>
    </row>
    <row r="678" spans="1:2" x14ac:dyDescent="0.25">
      <c r="A678" s="64" t="str">
        <f>HYPERLINK("http://www.twitter.com/johnshevlin", "johnshevlin")</f>
        <v>johnshevlin</v>
      </c>
      <c r="B678" s="65" t="s">
        <v>36</v>
      </c>
    </row>
    <row r="679" spans="1:2" x14ac:dyDescent="0.25">
      <c r="A679" s="64" t="str">
        <f>HYPERLINK("http://www.twitter.com/Vishnul53415542", "Vishnul53415542")</f>
        <v>Vishnul53415542</v>
      </c>
      <c r="B679" s="65"/>
    </row>
    <row r="680" spans="1:2" x14ac:dyDescent="0.25">
      <c r="A680" s="64" t="str">
        <f>HYPERLINK("http://www.twitter.com/JodyWang_TT", "JodyWang_TT")</f>
        <v>JodyWang_TT</v>
      </c>
      <c r="B680" s="65" t="s">
        <v>4038</v>
      </c>
    </row>
    <row r="681" spans="1:2" x14ac:dyDescent="0.25">
      <c r="A681" s="64" t="str">
        <f>HYPERLINK("http://www.twitter.com/StuartJMcKenzie", "StuartJMcKenzie")</f>
        <v>StuartJMcKenzie</v>
      </c>
      <c r="B681" s="65"/>
    </row>
    <row r="682" spans="1:2" x14ac:dyDescent="0.25">
      <c r="A682" s="64" t="str">
        <f>HYPERLINK("http://www.twitter.com/d_christiansen", "d_christiansen")</f>
        <v>d_christiansen</v>
      </c>
      <c r="B682" s="65"/>
    </row>
    <row r="683" spans="1:2" x14ac:dyDescent="0.25">
      <c r="A683" s="64" t="str">
        <f>HYPERLINK("http://www.twitter.com/davejavou", "davejavou")</f>
        <v>davejavou</v>
      </c>
      <c r="B683" s="65"/>
    </row>
    <row r="684" spans="1:2" x14ac:dyDescent="0.25">
      <c r="A684" s="64" t="str">
        <f>HYPERLINK("http://www.twitter.com/meek_simone", "meek_simone")</f>
        <v>meek_simone</v>
      </c>
      <c r="B684" s="65"/>
    </row>
    <row r="685" spans="1:2" x14ac:dyDescent="0.25">
      <c r="A685" s="64" t="str">
        <f>HYPERLINK("http://www.twitter.com/JackiePat72", "JackiePat72")</f>
        <v>JackiePat72</v>
      </c>
      <c r="B685" s="65" t="s">
        <v>70</v>
      </c>
    </row>
    <row r="686" spans="1:2" x14ac:dyDescent="0.25">
      <c r="A686" s="64" t="str">
        <f>HYPERLINK("http://www.twitter.com/MCChildsBookDay", "MCChildsBookDay")</f>
        <v>MCChildsBookDay</v>
      </c>
      <c r="B686" s="65" t="s">
        <v>4039</v>
      </c>
    </row>
    <row r="687" spans="1:2" x14ac:dyDescent="0.25">
      <c r="A687" s="64" t="str">
        <f>HYPERLINK("http://www.twitter.com/EllieM163", "EllieM163")</f>
        <v>EllieM163</v>
      </c>
      <c r="B687" s="65" t="s">
        <v>4040</v>
      </c>
    </row>
    <row r="688" spans="1:2" x14ac:dyDescent="0.25">
      <c r="A688" s="64" t="str">
        <f>HYPERLINK("http://www.twitter.com/QuaresmaAna", "QuaresmaAna")</f>
        <v>QuaresmaAna</v>
      </c>
      <c r="B688" s="65" t="s">
        <v>4041</v>
      </c>
    </row>
    <row r="689" spans="1:2" x14ac:dyDescent="0.25">
      <c r="A689" s="64" t="str">
        <f>HYPERLINK("http://www.twitter.com/Grandprige1918", "Grandprige1918")</f>
        <v>Grandprige1918</v>
      </c>
      <c r="B689" s="65"/>
    </row>
    <row r="690" spans="1:2" x14ac:dyDescent="0.25">
      <c r="A690" s="64" t="str">
        <f>HYPERLINK("http://www.twitter.com/GymnastsMum", "GymnastsMum")</f>
        <v>GymnastsMum</v>
      </c>
      <c r="B690" s="65" t="s">
        <v>4042</v>
      </c>
    </row>
    <row r="691" spans="1:2" x14ac:dyDescent="0.25">
      <c r="A691" s="64" t="str">
        <f>HYPERLINK("http://www.twitter.com/Hot_Doom", "Hot_Doom")</f>
        <v>Hot_Doom</v>
      </c>
      <c r="B691" s="65" t="s">
        <v>4043</v>
      </c>
    </row>
    <row r="692" spans="1:2" x14ac:dyDescent="0.25">
      <c r="A692" s="64" t="str">
        <f>HYPERLINK("http://www.twitter.com/moseley_adam_p_", "moseley_adam_p_")</f>
        <v>moseley_adam_p_</v>
      </c>
      <c r="B692" s="65"/>
    </row>
    <row r="693" spans="1:2" x14ac:dyDescent="0.25">
      <c r="A693" s="64" t="str">
        <f>HYPERLINK("http://www.twitter.com/danielmazur", "danielmazur")</f>
        <v>danielmazur</v>
      </c>
      <c r="B693" s="65" t="s">
        <v>514</v>
      </c>
    </row>
    <row r="694" spans="1:2" x14ac:dyDescent="0.25">
      <c r="A694" s="64" t="str">
        <f>HYPERLINK("http://www.twitter.com/amazonebook1", "amazonebook1")</f>
        <v>amazonebook1</v>
      </c>
      <c r="B694" s="65"/>
    </row>
    <row r="695" spans="1:2" x14ac:dyDescent="0.25">
      <c r="A695" s="64" t="str">
        <f>HYPERLINK("http://www.twitter.com/ancresbyjacq", "ancresbyjacq")</f>
        <v>ancresbyjacq</v>
      </c>
      <c r="B695" s="65" t="s">
        <v>4044</v>
      </c>
    </row>
    <row r="696" spans="1:2" x14ac:dyDescent="0.25">
      <c r="A696" s="64" t="str">
        <f>HYPERLINK("http://www.twitter.com/macgregor63", "macgregor63")</f>
        <v>macgregor63</v>
      </c>
      <c r="B696" s="65" t="s">
        <v>4045</v>
      </c>
    </row>
    <row r="697" spans="1:2" x14ac:dyDescent="0.25">
      <c r="A697" s="64" t="str">
        <f>HYPERLINK("http://www.twitter.com/DonaldRay2014", "DonaldRay2014")</f>
        <v>DonaldRay2014</v>
      </c>
      <c r="B697" s="65"/>
    </row>
    <row r="698" spans="1:2" x14ac:dyDescent="0.25">
      <c r="A698" s="64" t="str">
        <f>HYPERLINK("http://www.twitter.com/n16oya", "n16oya")</f>
        <v>n16oya</v>
      </c>
      <c r="B698" s="65"/>
    </row>
    <row r="699" spans="1:2" x14ac:dyDescent="0.25">
      <c r="A699" s="64" t="str">
        <f>HYPERLINK("http://www.twitter.com/marahsahood", "marahsahood")</f>
        <v>marahsahood</v>
      </c>
      <c r="B699" s="65"/>
    </row>
    <row r="700" spans="1:2" x14ac:dyDescent="0.25">
      <c r="A700" s="64" t="str">
        <f>HYPERLINK("http://www.twitter.com/AsiaLindsay", "AsiaLindsay")</f>
        <v>AsiaLindsay</v>
      </c>
      <c r="B700" s="65" t="s">
        <v>4046</v>
      </c>
    </row>
    <row r="701" spans="1:2" x14ac:dyDescent="0.25">
      <c r="A701" s="64" t="str">
        <f>HYPERLINK("http://www.twitter.com/sahanur_hossain", "sahanur_hossain")</f>
        <v>sahanur_hossain</v>
      </c>
      <c r="B701" s="65" t="s">
        <v>4047</v>
      </c>
    </row>
    <row r="702" spans="1:2" x14ac:dyDescent="0.25">
      <c r="A702" s="64" t="str">
        <f>HYPERLINK("http://www.twitter.com/artstringapp", "artstringapp")</f>
        <v>artstringapp</v>
      </c>
      <c r="B702" s="65" t="s">
        <v>477</v>
      </c>
    </row>
    <row r="703" spans="1:2" x14ac:dyDescent="0.25">
      <c r="A703" s="64" t="str">
        <f>HYPERLINK("http://www.twitter.com/ArchPolly", "ArchPolly")</f>
        <v>ArchPolly</v>
      </c>
      <c r="B703" s="65" t="s">
        <v>110</v>
      </c>
    </row>
    <row r="704" spans="1:2" x14ac:dyDescent="0.25">
      <c r="A704" s="64" t="str">
        <f>HYPERLINK("http://www.twitter.com/sooloo59", "sooloo59")</f>
        <v>sooloo59</v>
      </c>
      <c r="B704" s="65"/>
    </row>
    <row r="705" spans="1:2" x14ac:dyDescent="0.25">
      <c r="A705" s="64" t="str">
        <f>HYPERLINK("http://www.twitter.com/curly_girl9", "curly_girl9")</f>
        <v>curly_girl9</v>
      </c>
      <c r="B705" s="65"/>
    </row>
    <row r="706" spans="1:2" x14ac:dyDescent="0.25">
      <c r="A706" s="64" t="str">
        <f>HYPERLINK("http://www.twitter.com/lifewithAutism1", "lifewithAutism1")</f>
        <v>lifewithAutism1</v>
      </c>
      <c r="B706" s="65" t="s">
        <v>3678</v>
      </c>
    </row>
    <row r="707" spans="1:2" x14ac:dyDescent="0.25">
      <c r="A707" s="64" t="str">
        <f>HYPERLINK("http://www.twitter.com/LBScollay", "LBScollay")</f>
        <v>LBScollay</v>
      </c>
      <c r="B707" s="65" t="s">
        <v>487</v>
      </c>
    </row>
    <row r="708" spans="1:2" x14ac:dyDescent="0.25">
      <c r="A708" s="64" t="str">
        <f>HYPERLINK("http://www.twitter.com/jmccann72", "jmccann72")</f>
        <v>jmccann72</v>
      </c>
      <c r="B708" s="65" t="s">
        <v>4048</v>
      </c>
    </row>
    <row r="709" spans="1:2" x14ac:dyDescent="0.25">
      <c r="A709" s="64" t="str">
        <f>HYPERLINK("http://www.twitter.com/DundeeArchives", "DundeeArchives")</f>
        <v>DundeeArchives</v>
      </c>
      <c r="B709" s="65" t="s">
        <v>232</v>
      </c>
    </row>
    <row r="710" spans="1:2" x14ac:dyDescent="0.25">
      <c r="A710" s="64" t="str">
        <f>HYPERLINK("http://www.twitter.com/thisgirl32", "thisgirl32")</f>
        <v>thisgirl32</v>
      </c>
      <c r="B710" s="65" t="s">
        <v>4049</v>
      </c>
    </row>
    <row r="711" spans="1:2" x14ac:dyDescent="0.25">
      <c r="A711" s="64" t="str">
        <f>HYPERLINK("http://www.twitter.com/annrees", "annrees")</f>
        <v>annrees</v>
      </c>
      <c r="B711" s="65"/>
    </row>
    <row r="712" spans="1:2" x14ac:dyDescent="0.25">
      <c r="A712" s="64" t="str">
        <f>HYPERLINK("http://www.twitter.com/Sujonzz", "Sujonzz")</f>
        <v>Sujonzz</v>
      </c>
      <c r="B712" s="65"/>
    </row>
    <row r="713" spans="1:2" x14ac:dyDescent="0.25">
      <c r="A713" s="64" t="str">
        <f>HYPERLINK("http://www.twitter.com/InvernessSoup", "InvernessSoup")</f>
        <v>InvernessSoup</v>
      </c>
      <c r="B713" s="65" t="s">
        <v>4050</v>
      </c>
    </row>
    <row r="714" spans="1:2" x14ac:dyDescent="0.25">
      <c r="A714" s="64" t="str">
        <f>HYPERLINK("http://www.twitter.com/IrinaBonavino", "IrinaBonavino")</f>
        <v>IrinaBonavino</v>
      </c>
      <c r="B714" s="65"/>
    </row>
    <row r="715" spans="1:2" x14ac:dyDescent="0.25">
      <c r="A715" s="64" t="str">
        <f>HYPERLINK("http://www.twitter.com/caffeinenights", "caffeinenights")</f>
        <v>caffeinenights</v>
      </c>
      <c r="B715" s="65" t="s">
        <v>4051</v>
      </c>
    </row>
    <row r="716" spans="1:2" x14ac:dyDescent="0.25">
      <c r="A716" s="64" t="str">
        <f>HYPERLINK("http://www.twitter.com/AnnecolAnne", "AnnecolAnne")</f>
        <v>AnnecolAnne</v>
      </c>
      <c r="B716" s="65" t="s">
        <v>1490</v>
      </c>
    </row>
    <row r="717" spans="1:2" x14ac:dyDescent="0.25">
      <c r="A717" s="64" t="str">
        <f>HYPERLINK("http://www.twitter.com/jones_kirsti", "jones_kirsti")</f>
        <v>jones_kirsti</v>
      </c>
      <c r="B717" s="65" t="s">
        <v>4052</v>
      </c>
    </row>
    <row r="718" spans="1:2" x14ac:dyDescent="0.25">
      <c r="A718" s="64" t="str">
        <f>HYPERLINK("http://www.twitter.com/joannemarine", "joannemarine")</f>
        <v>joannemarine</v>
      </c>
      <c r="B718" s="65" t="s">
        <v>4053</v>
      </c>
    </row>
    <row r="719" spans="1:2" x14ac:dyDescent="0.25">
      <c r="A719" s="64" t="str">
        <f>HYPERLINK("http://www.twitter.com/LaughterAngel1", "LaughterAngel1")</f>
        <v>LaughterAngel1</v>
      </c>
      <c r="B719" s="65" t="s">
        <v>4054</v>
      </c>
    </row>
    <row r="720" spans="1:2" x14ac:dyDescent="0.25">
      <c r="A720" s="64" t="str">
        <f>HYPERLINK("http://www.twitter.com/sarahjc01", "sarahjc01")</f>
        <v>sarahjc01</v>
      </c>
      <c r="B720" s="65"/>
    </row>
    <row r="721" spans="1:2" x14ac:dyDescent="0.25">
      <c r="A721" s="64" t="str">
        <f>HYPERLINK("http://www.twitter.com/caoshaugh", "caoshaugh")</f>
        <v>caoshaugh</v>
      </c>
      <c r="B721" s="65"/>
    </row>
    <row r="722" spans="1:2" x14ac:dyDescent="0.25">
      <c r="A722" s="64" t="str">
        <f>HYPERLINK("http://www.twitter.com/MuseumOfRegret", "MuseumOfRegret")</f>
        <v>MuseumOfRegret</v>
      </c>
      <c r="B722" s="65" t="s">
        <v>4055</v>
      </c>
    </row>
    <row r="723" spans="1:2" x14ac:dyDescent="0.25">
      <c r="A723" s="64" t="str">
        <f>HYPERLINK("http://www.twitter.com/LAGibson54", "LAGibson54")</f>
        <v>LAGibson54</v>
      </c>
      <c r="B723" s="65" t="s">
        <v>4056</v>
      </c>
    </row>
    <row r="724" spans="1:2" x14ac:dyDescent="0.25">
      <c r="A724" s="64" t="str">
        <f>HYPERLINK("http://www.twitter.com/MeRichardairey", "MeRichardairey")</f>
        <v>MeRichardairey</v>
      </c>
      <c r="B724" s="65" t="s">
        <v>1905</v>
      </c>
    </row>
    <row r="725" spans="1:2" x14ac:dyDescent="0.25">
      <c r="A725" s="64" t="str">
        <f>HYPERLINK("http://www.twitter.com/RicMillen", "RicMillen")</f>
        <v>RicMillen</v>
      </c>
      <c r="B725" s="65" t="s">
        <v>1377</v>
      </c>
    </row>
    <row r="726" spans="1:2" x14ac:dyDescent="0.25">
      <c r="A726" s="64" t="str">
        <f>HYPERLINK("http://www.twitter.com/dsoden", "dsoden")</f>
        <v>dsoden</v>
      </c>
      <c r="B726" s="65" t="s">
        <v>1218</v>
      </c>
    </row>
    <row r="727" spans="1:2" x14ac:dyDescent="0.25">
      <c r="A727" s="64" t="str">
        <f>HYPERLINK("http://www.twitter.com/threeloos", "threeloos")</f>
        <v>threeloos</v>
      </c>
      <c r="B727" s="65" t="s">
        <v>4057</v>
      </c>
    </row>
    <row r="728" spans="1:2" x14ac:dyDescent="0.25">
      <c r="A728" s="64" t="str">
        <f>HYPERLINK("http://www.twitter.com/SPTA_LIBRARY", "SPTA_LIBRARY")</f>
        <v>SPTA_LIBRARY</v>
      </c>
      <c r="B728" s="65" t="s">
        <v>616</v>
      </c>
    </row>
    <row r="729" spans="1:2" x14ac:dyDescent="0.25">
      <c r="A729" s="64" t="str">
        <f>HYPERLINK("http://www.twitter.com/untweetablethor", "untweetablethor")</f>
        <v>untweetablethor</v>
      </c>
      <c r="B729" s="65" t="s">
        <v>1537</v>
      </c>
    </row>
    <row r="730" spans="1:2" x14ac:dyDescent="0.25">
      <c r="A730" s="64" t="str">
        <f>HYPERLINK("http://www.twitter.com/dengarmouse", "dengarmouse")</f>
        <v>dengarmouse</v>
      </c>
      <c r="B730" s="65" t="s">
        <v>318</v>
      </c>
    </row>
    <row r="731" spans="1:2" x14ac:dyDescent="0.25">
      <c r="A731" s="64" t="str">
        <f>HYPERLINK("http://www.twitter.com/MadlineGreta", "MadlineGreta")</f>
        <v>MadlineGreta</v>
      </c>
      <c r="B731" s="65" t="s">
        <v>4058</v>
      </c>
    </row>
    <row r="732" spans="1:2" x14ac:dyDescent="0.25">
      <c r="A732" s="64" t="str">
        <f>HYPERLINK("http://www.twitter.com/jamiefair", "jamiefair")</f>
        <v>jamiefair</v>
      </c>
      <c r="B732" s="65" t="s">
        <v>4059</v>
      </c>
    </row>
    <row r="733" spans="1:2" x14ac:dyDescent="0.25">
      <c r="A733" s="64" t="str">
        <f>HYPERLINK("http://www.twitter.com/The_Palmhouse", "The_Palmhouse")</f>
        <v>The_Palmhouse</v>
      </c>
      <c r="B733" s="65" t="s">
        <v>102</v>
      </c>
    </row>
    <row r="734" spans="1:2" x14ac:dyDescent="0.25">
      <c r="A734" s="64" t="str">
        <f>HYPERLINK("http://www.twitter.com/diCalhoun", "diCalhoun")</f>
        <v>diCalhoun</v>
      </c>
      <c r="B734" s="65" t="s">
        <v>3872</v>
      </c>
    </row>
    <row r="735" spans="1:2" x14ac:dyDescent="0.25">
      <c r="A735" s="64" t="str">
        <f>HYPERLINK("http://www.twitter.com/MeLadySho", "MeLadySho")</f>
        <v>MeLadySho</v>
      </c>
      <c r="B735" s="65"/>
    </row>
    <row r="736" spans="1:2" x14ac:dyDescent="0.25">
      <c r="A736" s="64" t="str">
        <f>HYPERLINK("http://www.twitter.com/5150power", "5150power")</f>
        <v>5150power</v>
      </c>
      <c r="B736" s="65" t="s">
        <v>4060</v>
      </c>
    </row>
    <row r="737" spans="1:2" x14ac:dyDescent="0.25">
      <c r="A737" s="64" t="str">
        <f>HYPERLINK("http://www.twitter.com/lollipop_shoes", "lollipop_shoes")</f>
        <v>lollipop_shoes</v>
      </c>
      <c r="B737" s="65" t="s">
        <v>33</v>
      </c>
    </row>
    <row r="738" spans="1:2" x14ac:dyDescent="0.25">
      <c r="A738" s="64" t="str">
        <f>HYPERLINK("http://www.twitter.com/marsham_juliet", "marsham_juliet")</f>
        <v>marsham_juliet</v>
      </c>
      <c r="B738" s="65" t="s">
        <v>4061</v>
      </c>
    </row>
    <row r="739" spans="1:2" x14ac:dyDescent="0.25">
      <c r="A739" s="64" t="str">
        <f>HYPERLINK("http://www.twitter.com/michellebreenUL", "michellebreenUL")</f>
        <v>michellebreenUL</v>
      </c>
      <c r="B739" s="65" t="s">
        <v>4062</v>
      </c>
    </row>
    <row r="740" spans="1:2" x14ac:dyDescent="0.25">
      <c r="A740" s="64" t="str">
        <f>HYPERLINK("http://www.twitter.com/djkingassassin", "djkingassassin")</f>
        <v>djkingassassin</v>
      </c>
      <c r="B740" s="65" t="s">
        <v>4063</v>
      </c>
    </row>
    <row r="741" spans="1:2" x14ac:dyDescent="0.25">
      <c r="A741" s="64" t="str">
        <f>HYPERLINK("http://www.twitter.com/realtyand", "realtyand")</f>
        <v>realtyand</v>
      </c>
      <c r="B741" s="65"/>
    </row>
    <row r="742" spans="1:2" x14ac:dyDescent="0.25">
      <c r="A742" s="64" t="str">
        <f>HYPERLINK("http://www.twitter.com/cleyrauc", "cleyrauc")</f>
        <v>cleyrauc</v>
      </c>
      <c r="B742" s="65" t="s">
        <v>4064</v>
      </c>
    </row>
    <row r="743" spans="1:2" x14ac:dyDescent="0.25">
      <c r="A743" s="64" t="str">
        <f>HYPERLINK("http://www.twitter.com/MarcForster18", "MarcForster18")</f>
        <v>MarcForster18</v>
      </c>
      <c r="B743" s="65" t="s">
        <v>477</v>
      </c>
    </row>
    <row r="744" spans="1:2" x14ac:dyDescent="0.25">
      <c r="A744" s="64" t="str">
        <f>HYPERLINK("http://www.twitter.com/GreenggGracie", "GreenggGracie")</f>
        <v>GreenggGracie</v>
      </c>
      <c r="B744" s="65"/>
    </row>
    <row r="745" spans="1:2" x14ac:dyDescent="0.25">
      <c r="A745" s="64" t="str">
        <f>HYPERLINK("http://www.twitter.com/hickserv", "hickserv")</f>
        <v>hickserv</v>
      </c>
      <c r="B745" s="65"/>
    </row>
    <row r="746" spans="1:2" x14ac:dyDescent="0.25">
      <c r="A746" s="64" t="str">
        <f>HYPERLINK("http://www.twitter.com/gardenmum7", "gardenmum7")</f>
        <v>gardenmum7</v>
      </c>
      <c r="B746" s="65" t="s">
        <v>3207</v>
      </c>
    </row>
    <row r="747" spans="1:2" x14ac:dyDescent="0.25">
      <c r="A747" s="64" t="str">
        <f>HYPERLINK("http://www.twitter.com/screamethereal", "screamethereal")</f>
        <v>screamethereal</v>
      </c>
      <c r="B747" s="65" t="s">
        <v>4065</v>
      </c>
    </row>
    <row r="748" spans="1:2" x14ac:dyDescent="0.25">
      <c r="A748" s="64" t="str">
        <f>HYPERLINK("http://www.twitter.com/danshand", "danshand")</f>
        <v>danshand</v>
      </c>
      <c r="B748" s="65" t="s">
        <v>24</v>
      </c>
    </row>
    <row r="749" spans="1:2" x14ac:dyDescent="0.25">
      <c r="A749" s="64" t="str">
        <f>HYPERLINK("http://www.twitter.com/Dunphysam71", "Dunphysam71")</f>
        <v>Dunphysam71</v>
      </c>
      <c r="B749" s="65"/>
    </row>
    <row r="750" spans="1:2" x14ac:dyDescent="0.25">
      <c r="A750" s="64" t="str">
        <f>HYPERLINK("http://www.twitter.com/alisonwalmsleyx", "alisonwalmsleyx")</f>
        <v>alisonwalmsleyx</v>
      </c>
      <c r="B750" s="65" t="s">
        <v>4066</v>
      </c>
    </row>
    <row r="751" spans="1:2" x14ac:dyDescent="0.25">
      <c r="A751" s="64" t="str">
        <f>HYPERLINK("http://www.twitter.com/BeulahLibrary", "BeulahLibrary")</f>
        <v>BeulahLibrary</v>
      </c>
      <c r="B751" s="65"/>
    </row>
    <row r="752" spans="1:2" x14ac:dyDescent="0.25">
      <c r="A752" s="64" t="str">
        <f>HYPERLINK("http://www.twitter.com/chris_dungate", "chris_dungate")</f>
        <v>chris_dungate</v>
      </c>
      <c r="B752" s="65" t="s">
        <v>70</v>
      </c>
    </row>
    <row r="753" spans="1:2" x14ac:dyDescent="0.25">
      <c r="A753" s="64" t="str">
        <f>HYPERLINK("http://www.twitter.com/StephanieECrowe", "StephanieECrowe")</f>
        <v>StephanieECrowe</v>
      </c>
      <c r="B753" s="65" t="s">
        <v>232</v>
      </c>
    </row>
    <row r="754" spans="1:2" x14ac:dyDescent="0.25">
      <c r="A754" s="64" t="str">
        <f>HYPERLINK("http://www.twitter.com/orkneywebdev", "orkneywebdev")</f>
        <v>orkneywebdev</v>
      </c>
      <c r="B754" s="65" t="s">
        <v>2007</v>
      </c>
    </row>
    <row r="755" spans="1:2" x14ac:dyDescent="0.25">
      <c r="A755" s="64" t="str">
        <f>HYPERLINK("http://www.twitter.com/marketinggroupG", "marketinggroupG")</f>
        <v>marketinggroupG</v>
      </c>
      <c r="B755" s="65" t="s">
        <v>4067</v>
      </c>
    </row>
    <row r="756" spans="1:2" x14ac:dyDescent="0.25">
      <c r="A756" s="64" t="str">
        <f>HYPERLINK("http://www.twitter.com/WGC_Central_Lib", "WGC_Central_Lib")</f>
        <v>WGC_Central_Lib</v>
      </c>
      <c r="B756" s="65" t="s">
        <v>4068</v>
      </c>
    </row>
    <row r="757" spans="1:2" x14ac:dyDescent="0.25">
      <c r="A757" s="64" t="str">
        <f>HYPERLINK("http://www.twitter.com/PopUpInverclyde", "PopUpInverclyde")</f>
        <v>PopUpInverclyde</v>
      </c>
      <c r="B757" s="65" t="s">
        <v>4069</v>
      </c>
    </row>
    <row r="758" spans="1:2" x14ac:dyDescent="0.25">
      <c r="A758" s="64" t="str">
        <f>HYPERLINK("http://www.twitter.com/KatherineSwann", "KatherineSwann")</f>
        <v>KatherineSwann</v>
      </c>
      <c r="B758" s="65" t="s">
        <v>4070</v>
      </c>
    </row>
    <row r="759" spans="1:2" x14ac:dyDescent="0.25">
      <c r="A759" s="64" t="str">
        <f>HYPERLINK("http://www.twitter.com/englangwsfc", "englangwsfc")</f>
        <v>englangwsfc</v>
      </c>
      <c r="B759" s="65"/>
    </row>
    <row r="760" spans="1:2" x14ac:dyDescent="0.25">
      <c r="A760" s="64" t="str">
        <f>HYPERLINK("http://www.twitter.com/CATEMH", "CATEMH")</f>
        <v>CATEMH</v>
      </c>
      <c r="B760" s="65" t="s">
        <v>4071</v>
      </c>
    </row>
    <row r="761" spans="1:2" x14ac:dyDescent="0.25">
      <c r="A761" s="64" t="str">
        <f>HYPERLINK("http://www.twitter.com/Perrinado31", "Perrinado31")</f>
        <v>Perrinado31</v>
      </c>
      <c r="B761" s="65" t="s">
        <v>138</v>
      </c>
    </row>
    <row r="762" spans="1:2" x14ac:dyDescent="0.25">
      <c r="A762" s="64" t="str">
        <f>HYPERLINK("http://www.twitter.com/mjosevc63", "mjosevc63")</f>
        <v>mjosevc63</v>
      </c>
      <c r="B762" s="65" t="s">
        <v>4072</v>
      </c>
    </row>
    <row r="763" spans="1:2" x14ac:dyDescent="0.25">
      <c r="A763" s="64" t="str">
        <f>HYPERLINK("http://www.twitter.com/arwyn_yale", "arwyn_yale")</f>
        <v>arwyn_yale</v>
      </c>
      <c r="B763" s="65" t="s">
        <v>4073</v>
      </c>
    </row>
    <row r="764" spans="1:2" x14ac:dyDescent="0.25">
      <c r="A764" s="64" t="str">
        <f>HYPERLINK("http://www.twitter.com/missbrittreads", "missbrittreads")</f>
        <v>missbrittreads</v>
      </c>
      <c r="B764" s="65" t="s">
        <v>4074</v>
      </c>
    </row>
    <row r="765" spans="1:2" x14ac:dyDescent="0.25">
      <c r="A765" s="64" t="str">
        <f>HYPERLINK("http://www.twitter.com/ilka_heale", "ilka_heale")</f>
        <v>ilka_heale</v>
      </c>
      <c r="B765" s="65"/>
    </row>
    <row r="766" spans="1:2" x14ac:dyDescent="0.25">
      <c r="A766" s="64" t="str">
        <f>HYPERLINK("http://www.twitter.com/clarkelutton", "clarkelutton")</f>
        <v>clarkelutton</v>
      </c>
      <c r="B766" s="65" t="s">
        <v>4075</v>
      </c>
    </row>
    <row r="767" spans="1:2" x14ac:dyDescent="0.25">
      <c r="A767" s="64" t="str">
        <f>HYPERLINK("http://www.twitter.com/CDrying", "CDrying")</f>
        <v>CDrying</v>
      </c>
      <c r="B767" s="65" t="s">
        <v>4076</v>
      </c>
    </row>
    <row r="768" spans="1:2" x14ac:dyDescent="0.25">
      <c r="A768" s="64" t="str">
        <f>HYPERLINK("http://www.twitter.com/pugCloss", "pugCloss")</f>
        <v>pugCloss</v>
      </c>
      <c r="B768" s="65" t="s">
        <v>2007</v>
      </c>
    </row>
    <row r="769" spans="1:2" x14ac:dyDescent="0.25">
      <c r="A769" s="64" t="str">
        <f>HYPERLINK("http://www.twitter.com/LorraeCharles", "LorraeCharles")</f>
        <v>LorraeCharles</v>
      </c>
      <c r="B769" s="65"/>
    </row>
    <row r="770" spans="1:2" x14ac:dyDescent="0.25">
      <c r="A770" s="64" t="str">
        <f>HYPERLINK("http://www.twitter.com/David__New", "David__New")</f>
        <v>David__New</v>
      </c>
      <c r="B770" s="65"/>
    </row>
    <row r="771" spans="1:2" x14ac:dyDescent="0.25">
      <c r="A771" s="64" t="str">
        <f>HYPERLINK("http://www.twitter.com/590813N_635727W", "590813N_635727W")</f>
        <v>590813N_635727W</v>
      </c>
      <c r="B771" s="65"/>
    </row>
    <row r="772" spans="1:2" x14ac:dyDescent="0.25">
      <c r="A772" s="64" t="str">
        <f>HYPERLINK("http://www.twitter.com/BrankinX", "BrankinX")</f>
        <v>BrankinX</v>
      </c>
      <c r="B772" s="65"/>
    </row>
    <row r="773" spans="1:2" x14ac:dyDescent="0.25">
      <c r="A773" s="64" t="str">
        <f>HYPERLINK("http://www.twitter.com/dschrecker", "dschrecker")</f>
        <v>dschrecker</v>
      </c>
      <c r="B773" s="65"/>
    </row>
    <row r="774" spans="1:2" x14ac:dyDescent="0.25">
      <c r="A774" s="64" t="str">
        <f>HYPERLINK("http://www.twitter.com/TatteredMan", "TatteredMan")</f>
        <v>TatteredMan</v>
      </c>
      <c r="B774" s="65" t="s">
        <v>4077</v>
      </c>
    </row>
    <row r="775" spans="1:2" x14ac:dyDescent="0.25">
      <c r="A775" s="64" t="str">
        <f>HYPERLINK("http://www.twitter.com/bessy_bass", "bessy_bass")</f>
        <v>bessy_bass</v>
      </c>
      <c r="B775" s="65"/>
    </row>
    <row r="776" spans="1:2" x14ac:dyDescent="0.25">
      <c r="A776" s="64" t="str">
        <f>HYPERLINK("http://www.twitter.com/SimplyFussFree", "SimplyFussFree")</f>
        <v>SimplyFussFree</v>
      </c>
      <c r="B776" s="65" t="s">
        <v>4078</v>
      </c>
    </row>
    <row r="777" spans="1:2" x14ac:dyDescent="0.25">
      <c r="A777" s="64" t="str">
        <f>HYPERLINK("http://www.twitter.com/ElaineG027", "ElaineG027")</f>
        <v>ElaineG027</v>
      </c>
      <c r="B777" s="65"/>
    </row>
    <row r="778" spans="1:2" x14ac:dyDescent="0.25">
      <c r="A778" s="64" t="str">
        <f>HYPERLINK("http://www.twitter.com/RichardBatson55", "RichardBatson55")</f>
        <v>RichardBatson55</v>
      </c>
      <c r="B778" s="65" t="s">
        <v>4079</v>
      </c>
    </row>
    <row r="779" spans="1:2" x14ac:dyDescent="0.25">
      <c r="A779" s="64" t="str">
        <f>HYPERLINK("http://www.twitter.com/GeoConor", "GeoConor")</f>
        <v>GeoConor</v>
      </c>
      <c r="B779" s="65" t="s">
        <v>248</v>
      </c>
    </row>
    <row r="780" spans="1:2" x14ac:dyDescent="0.25">
      <c r="A780" s="64" t="str">
        <f>HYPERLINK("http://www.twitter.com/GagarinBass35", "GagarinBass35")</f>
        <v>GagarinBass35</v>
      </c>
      <c r="B780" s="65"/>
    </row>
    <row r="781" spans="1:2" x14ac:dyDescent="0.25">
      <c r="A781" s="64" t="str">
        <f>HYPERLINK("http://www.twitter.com/BadshaRoni", "BadshaRoni")</f>
        <v>BadshaRoni</v>
      </c>
      <c r="B781" s="65" t="s">
        <v>4080</v>
      </c>
    </row>
    <row r="782" spans="1:2" x14ac:dyDescent="0.25">
      <c r="A782" s="64" t="str">
        <f>HYPERLINK("http://www.twitter.com/UWL_Library", "UWL_Library")</f>
        <v>UWL_Library</v>
      </c>
      <c r="B782" s="65" t="s">
        <v>36</v>
      </c>
    </row>
    <row r="783" spans="1:2" x14ac:dyDescent="0.25">
      <c r="A783" s="64" t="str">
        <f>HYPERLINK("http://www.twitter.com/Chambearlin", "Chambearlin")</f>
        <v>Chambearlin</v>
      </c>
      <c r="B783" s="65" t="s">
        <v>4081</v>
      </c>
    </row>
    <row r="784" spans="1:2" x14ac:dyDescent="0.25">
      <c r="A784" s="64" t="str">
        <f>HYPERLINK("http://www.twitter.com/PEkerhovd", "PEkerhovd")</f>
        <v>PEkerhovd</v>
      </c>
      <c r="B784" s="65"/>
    </row>
    <row r="785" spans="1:2" x14ac:dyDescent="0.25">
      <c r="A785" s="64" t="str">
        <f>HYPERLINK("http://www.twitter.com/AceComputerSup", "AceComputerSup")</f>
        <v>AceComputerSup</v>
      </c>
      <c r="B785" s="65" t="s">
        <v>4082</v>
      </c>
    </row>
    <row r="786" spans="1:2" x14ac:dyDescent="0.25">
      <c r="A786" s="64" t="str">
        <f>HYPERLINK("http://www.twitter.com/noctopusredux", "noctopusredux")</f>
        <v>noctopusredux</v>
      </c>
      <c r="B786" s="65"/>
    </row>
    <row r="787" spans="1:2" x14ac:dyDescent="0.25">
      <c r="A787" s="64" t="str">
        <f>HYPERLINK("http://www.twitter.com/Right2Stand", "Right2Stand")</f>
        <v>Right2Stand</v>
      </c>
      <c r="B787" s="65" t="s">
        <v>248</v>
      </c>
    </row>
    <row r="788" spans="1:2" x14ac:dyDescent="0.25">
      <c r="A788" s="64" t="str">
        <f>HYPERLINK("http://www.twitter.com/SciFiEmma", "SciFiEmma")</f>
        <v>SciFiEmma</v>
      </c>
      <c r="B788" s="65"/>
    </row>
    <row r="789" spans="1:2" x14ac:dyDescent="0.25">
      <c r="A789" s="64" t="str">
        <f>HYPERLINK("http://www.twitter.com/sharonluana", "sharonluana")</f>
        <v>sharonluana</v>
      </c>
      <c r="B789" s="65" t="s">
        <v>4083</v>
      </c>
    </row>
    <row r="790" spans="1:2" x14ac:dyDescent="0.25">
      <c r="A790" s="64" t="str">
        <f>HYPERLINK("http://www.twitter.com/kathleennickso1", "kathleennickso1")</f>
        <v>kathleennickso1</v>
      </c>
      <c r="B790" s="65"/>
    </row>
    <row r="791" spans="1:2" x14ac:dyDescent="0.25">
      <c r="A791" s="64" t="str">
        <f>HYPERLINK("http://www.twitter.com/BlytheRegina", "BlytheRegina")</f>
        <v>BlytheRegina</v>
      </c>
      <c r="B791" s="65" t="s">
        <v>4084</v>
      </c>
    </row>
    <row r="792" spans="1:2" x14ac:dyDescent="0.25">
      <c r="A792" s="64" t="str">
        <f>HYPERLINK("http://www.twitter.com/grandkilo", "grandkilo")</f>
        <v>grandkilo</v>
      </c>
      <c r="B792" s="65" t="s">
        <v>4085</v>
      </c>
    </row>
    <row r="793" spans="1:2" x14ac:dyDescent="0.25">
      <c r="A793" s="64" t="str">
        <f>HYPERLINK("http://www.twitter.com/MissCleaverP4C", "MissCleaverP4C")</f>
        <v>MissCleaverP4C</v>
      </c>
      <c r="B793" s="65" t="s">
        <v>4086</v>
      </c>
    </row>
    <row r="794" spans="1:2" x14ac:dyDescent="0.25">
      <c r="A794" s="64" t="str">
        <f>HYPERLINK("http://www.twitter.com/Skaggsy7vh", "Skaggsy7vh")</f>
        <v>Skaggsy7vh</v>
      </c>
      <c r="B794" s="65"/>
    </row>
    <row r="795" spans="1:2" x14ac:dyDescent="0.25">
      <c r="A795" s="64" t="str">
        <f>HYPERLINK("http://www.twitter.com/ATG_NewsChannel", "ATG_NewsChannel")</f>
        <v>ATG_NewsChannel</v>
      </c>
      <c r="B795" s="65" t="s">
        <v>4087</v>
      </c>
    </row>
    <row r="796" spans="1:2" x14ac:dyDescent="0.25">
      <c r="A796" s="64" t="str">
        <f>HYPERLINK("http://www.twitter.com/danieltvf", "danieltvf")</f>
        <v>danieltvf</v>
      </c>
      <c r="B796" s="65"/>
    </row>
    <row r="797" spans="1:2" x14ac:dyDescent="0.25">
      <c r="A797" s="64" t="str">
        <f>HYPERLINK("http://www.twitter.com/IAMJACKWEBB", "IAMJACKWEBB")</f>
        <v>IAMJACKWEBB</v>
      </c>
      <c r="B797" s="65" t="s">
        <v>487</v>
      </c>
    </row>
    <row r="798" spans="1:2" x14ac:dyDescent="0.25">
      <c r="A798" s="64" t="str">
        <f>HYPERLINK("http://www.twitter.com/HistoricLore", "HistoricLore")</f>
        <v>HistoricLore</v>
      </c>
      <c r="B798" s="65" t="s">
        <v>4088</v>
      </c>
    </row>
    <row r="799" spans="1:2" x14ac:dyDescent="0.25">
      <c r="A799" s="64" t="str">
        <f>HYPERLINK("http://www.twitter.com/foolsdustydeath", "foolsdustydeath")</f>
        <v>foolsdustydeath</v>
      </c>
      <c r="B799" s="65" t="s">
        <v>477</v>
      </c>
    </row>
    <row r="800" spans="1:2" x14ac:dyDescent="0.25">
      <c r="A800" s="64" t="str">
        <f>HYPERLINK("http://www.twitter.com/donnacambeul", "donnacambeul")</f>
        <v>donnacambeul</v>
      </c>
      <c r="B800" s="65" t="s">
        <v>2289</v>
      </c>
    </row>
    <row r="801" spans="1:2" x14ac:dyDescent="0.25">
      <c r="A801" s="64" t="str">
        <f>HYPERLINK("http://www.twitter.com/Stuart_Mon", "Stuart_Mon")</f>
        <v>Stuart_Mon</v>
      </c>
      <c r="B801" s="65" t="s">
        <v>517</v>
      </c>
    </row>
    <row r="802" spans="1:2" x14ac:dyDescent="0.25">
      <c r="A802" s="64" t="str">
        <f>HYPERLINK("http://www.twitter.com/LeahFer222", "LeahFer222")</f>
        <v>LeahFer222</v>
      </c>
      <c r="B802" s="65"/>
    </row>
    <row r="803" spans="1:2" x14ac:dyDescent="0.25">
      <c r="A803" s="64" t="str">
        <f>HYPERLINK("http://www.twitter.com/meaganessie", "meaganessie")</f>
        <v>meaganessie</v>
      </c>
      <c r="B803" s="65" t="s">
        <v>4089</v>
      </c>
    </row>
    <row r="804" spans="1:2" x14ac:dyDescent="0.25">
      <c r="A804" s="64" t="str">
        <f>HYPERLINK("http://www.twitter.com/laurenS_library", "laurenS_library")</f>
        <v>laurenS_library</v>
      </c>
      <c r="B804" s="65" t="s">
        <v>3919</v>
      </c>
    </row>
    <row r="805" spans="1:2" x14ac:dyDescent="0.25">
      <c r="A805" s="64" t="str">
        <f>HYPERLINK("http://www.twitter.com/juststepsways", "juststepsways")</f>
        <v>juststepsways</v>
      </c>
      <c r="B805" s="65" t="s">
        <v>33</v>
      </c>
    </row>
    <row r="806" spans="1:2" x14ac:dyDescent="0.25">
      <c r="A806" s="64" t="str">
        <f>HYPERLINK("http://www.twitter.com/TA_UoB", "TA_UoB")</f>
        <v>TA_UoB</v>
      </c>
      <c r="B806" s="65" t="s">
        <v>926</v>
      </c>
    </row>
    <row r="807" spans="1:2" x14ac:dyDescent="0.25">
      <c r="A807" s="64" t="str">
        <f>HYPERLINK("http://www.twitter.com/ScotChildmind", "ScotChildmind")</f>
        <v>ScotChildmind</v>
      </c>
      <c r="B807" s="65" t="s">
        <v>517</v>
      </c>
    </row>
    <row r="808" spans="1:2" x14ac:dyDescent="0.25">
      <c r="A808" s="64" t="str">
        <f>HYPERLINK("http://www.twitter.com/bymarysantos", "bymarysantos")</f>
        <v>bymarysantos</v>
      </c>
      <c r="B808" s="65" t="s">
        <v>4090</v>
      </c>
    </row>
    <row r="809" spans="1:2" x14ac:dyDescent="0.25">
      <c r="A809" s="64" t="str">
        <f>HYPERLINK("http://www.twitter.com/UNBORNness", "UNBORNness")</f>
        <v>UNBORNness</v>
      </c>
      <c r="B809" s="65"/>
    </row>
    <row r="810" spans="1:2" x14ac:dyDescent="0.25">
      <c r="A810" s="64" t="str">
        <f>HYPERLINK("http://www.twitter.com/anne_lies_h", "anne_lies_h")</f>
        <v>anne_lies_h</v>
      </c>
      <c r="B810" s="65"/>
    </row>
    <row r="811" spans="1:2" x14ac:dyDescent="0.25">
      <c r="A811" s="64" t="str">
        <f>HYPERLINK("http://www.twitter.com/AntiochGrey", "AntiochGrey")</f>
        <v>AntiochGrey</v>
      </c>
      <c r="B811" s="65" t="s">
        <v>1377</v>
      </c>
    </row>
    <row r="812" spans="1:2" x14ac:dyDescent="0.25">
      <c r="A812" s="64" t="str">
        <f>HYPERLINK("http://www.twitter.com/e_gran", "e_gran")</f>
        <v>e_gran</v>
      </c>
      <c r="B812" s="65" t="s">
        <v>4091</v>
      </c>
    </row>
    <row r="813" spans="1:2" x14ac:dyDescent="0.25">
      <c r="A813" s="64" t="str">
        <f>HYPERLINK("http://www.twitter.com/Abel_JohnPaul", "Abel_JohnPaul")</f>
        <v>Abel_JohnPaul</v>
      </c>
      <c r="B813" s="65" t="s">
        <v>318</v>
      </c>
    </row>
    <row r="814" spans="1:2" x14ac:dyDescent="0.25">
      <c r="A814" s="64" t="str">
        <f>HYPERLINK("http://www.twitter.com/gardningirl", "gardningirl")</f>
        <v>gardningirl</v>
      </c>
      <c r="B814" s="65"/>
    </row>
    <row r="815" spans="1:2" x14ac:dyDescent="0.25">
      <c r="A815" s="64" t="str">
        <f>HYPERLINK("http://www.twitter.com/FiMcM84", "FiMcM84")</f>
        <v>FiMcM84</v>
      </c>
      <c r="B815" s="65" t="s">
        <v>4092</v>
      </c>
    </row>
    <row r="816" spans="1:2" x14ac:dyDescent="0.25">
      <c r="A816" s="64" t="str">
        <f>HYPERLINK("http://www.twitter.com/Cameront47", "Cameront47")</f>
        <v>Cameront47</v>
      </c>
      <c r="B816" s="65" t="s">
        <v>3808</v>
      </c>
    </row>
    <row r="817" spans="1:2" x14ac:dyDescent="0.25">
      <c r="A817" s="64" t="str">
        <f>HYPERLINK("http://www.twitter.com/stpaullibrary", "stpaullibrary")</f>
        <v>stpaullibrary</v>
      </c>
      <c r="B817" s="65" t="s">
        <v>4093</v>
      </c>
    </row>
    <row r="818" spans="1:2" x14ac:dyDescent="0.25">
      <c r="A818" s="64" t="str">
        <f>HYPERLINK("http://www.twitter.com/Danov_Valravn", "Danov_Valravn")</f>
        <v>Danov_Valravn</v>
      </c>
      <c r="B818" s="65" t="s">
        <v>487</v>
      </c>
    </row>
    <row r="819" spans="1:2" x14ac:dyDescent="0.25">
      <c r="A819" s="64" t="str">
        <f>HYPERLINK("http://www.twitter.com/TivLibDevon", "TivLibDevon")</f>
        <v>TivLibDevon</v>
      </c>
      <c r="B819" s="65" t="s">
        <v>1377</v>
      </c>
    </row>
    <row r="820" spans="1:2" x14ac:dyDescent="0.25">
      <c r="A820" s="64" t="str">
        <f>HYPERLINK("http://www.twitter.com/Reagandahe", "Reagandahe")</f>
        <v>Reagandahe</v>
      </c>
      <c r="B820" s="65"/>
    </row>
    <row r="821" spans="1:2" x14ac:dyDescent="0.25">
      <c r="A821" s="64" t="str">
        <f>HYPERLINK("http://www.twitter.com/elron2", "elron2")</f>
        <v>elron2</v>
      </c>
      <c r="B821" s="65" t="s">
        <v>4094</v>
      </c>
    </row>
    <row r="822" spans="1:2" x14ac:dyDescent="0.25">
      <c r="A822" s="64" t="str">
        <f>HYPERLINK("http://www.twitter.com/KateBeattie81", "KateBeattie81")</f>
        <v>KateBeattie81</v>
      </c>
      <c r="B822" s="65" t="s">
        <v>601</v>
      </c>
    </row>
    <row r="823" spans="1:2" x14ac:dyDescent="0.25">
      <c r="A823" s="64" t="str">
        <f>HYPERLINK("http://www.twitter.com/alexbolesta", "alexbolesta")</f>
        <v>alexbolesta</v>
      </c>
      <c r="B823" s="65" t="s">
        <v>4095</v>
      </c>
    </row>
    <row r="824" spans="1:2" x14ac:dyDescent="0.25">
      <c r="A824" s="64" t="str">
        <f>HYPERLINK("http://www.twitter.com/LUCYCCHRISTOPHE", "LUCYCCHRISTOPHE")</f>
        <v>LUCYCCHRISTOPHE</v>
      </c>
      <c r="B824" s="65" t="s">
        <v>24</v>
      </c>
    </row>
    <row r="825" spans="1:2" x14ac:dyDescent="0.25">
      <c r="A825" s="64" t="str">
        <f>HYPERLINK("http://www.twitter.com/Terryboxing", "Terryboxing")</f>
        <v>Terryboxing</v>
      </c>
      <c r="B825" s="65" t="s">
        <v>4096</v>
      </c>
    </row>
    <row r="826" spans="1:2" x14ac:dyDescent="0.25">
      <c r="A826" s="64" t="str">
        <f>HYPERLINK("http://www.twitter.com/ULHread4leisure", "ULHread4leisure")</f>
        <v>ULHread4leisure</v>
      </c>
      <c r="B826" s="65"/>
    </row>
    <row r="827" spans="1:2" x14ac:dyDescent="0.25">
      <c r="A827" s="64" t="str">
        <f>HYPERLINK("http://www.twitter.com/Makennalyle", "Makennalyle")</f>
        <v>Makennalyle</v>
      </c>
      <c r="B827" s="65"/>
    </row>
    <row r="828" spans="1:2" x14ac:dyDescent="0.25">
      <c r="A828" s="64" t="str">
        <f>HYPERLINK("http://www.twitter.com/AusterityFilm", "AusterityFilm")</f>
        <v>AusterityFilm</v>
      </c>
      <c r="B828" s="65" t="s">
        <v>296</v>
      </c>
    </row>
    <row r="829" spans="1:2" x14ac:dyDescent="0.25">
      <c r="A829" s="64" t="str">
        <f>HYPERLINK("http://www.twitter.com/MsErvinReads", "MsErvinReads")</f>
        <v>MsErvinReads</v>
      </c>
      <c r="B829" s="65"/>
    </row>
    <row r="830" spans="1:2" x14ac:dyDescent="0.25">
      <c r="A830" s="64" t="str">
        <f>HYPERLINK("http://www.twitter.com/geoflo1", "geoflo1")</f>
        <v>geoflo1</v>
      </c>
      <c r="B830" s="65"/>
    </row>
    <row r="831" spans="1:2" x14ac:dyDescent="0.25">
      <c r="A831" s="64" t="str">
        <f>HYPERLINK("http://www.twitter.com/JaneBrown396", "JaneBrown396")</f>
        <v>JaneBrown396</v>
      </c>
      <c r="B831" s="65"/>
    </row>
    <row r="832" spans="1:2" x14ac:dyDescent="0.25">
      <c r="A832" s="64" t="str">
        <f>HYPERLINK("http://www.twitter.com/columbalibrary", "columbalibrary")</f>
        <v>columbalibrary</v>
      </c>
      <c r="B832" s="65" t="s">
        <v>4097</v>
      </c>
    </row>
    <row r="833" spans="1:2" x14ac:dyDescent="0.25">
      <c r="A833" s="64" t="str">
        <f>HYPERLINK("http://www.twitter.com/LyndsayRobins17", "LyndsayRobins17")</f>
        <v>LyndsayRobins17</v>
      </c>
      <c r="B833" s="65" t="s">
        <v>3762</v>
      </c>
    </row>
    <row r="834" spans="1:2" x14ac:dyDescent="0.25">
      <c r="A834" s="64" t="str">
        <f>HYPERLINK("http://www.twitter.com/KarenLoughlin8", "KarenLoughlin8")</f>
        <v>KarenLoughlin8</v>
      </c>
      <c r="B834" s="65"/>
    </row>
    <row r="835" spans="1:2" x14ac:dyDescent="0.25">
      <c r="A835" s="64" t="str">
        <f>HYPERLINK("http://www.twitter.com/library_rgs", "library_rgs")</f>
        <v>library_rgs</v>
      </c>
      <c r="B835" s="65" t="s">
        <v>3787</v>
      </c>
    </row>
    <row r="836" spans="1:2" x14ac:dyDescent="0.25">
      <c r="A836" s="64" t="str">
        <f>HYPERLINK("http://www.twitter.com/aj300_80", "aj300_80")</f>
        <v>aj300_80</v>
      </c>
      <c r="B836" s="65" t="s">
        <v>477</v>
      </c>
    </row>
    <row r="837" spans="1:2" x14ac:dyDescent="0.25">
      <c r="A837" s="64" t="str">
        <f>HYPERLINK("http://www.twitter.com/sab_hayes", "sab_hayes")</f>
        <v>sab_hayes</v>
      </c>
      <c r="B837" s="65"/>
    </row>
    <row r="838" spans="1:2" x14ac:dyDescent="0.25">
      <c r="A838" s="64" t="str">
        <f>HYPERLINK("http://www.twitter.com/TheStoryPeople1", "TheStoryPeople1")</f>
        <v>TheStoryPeople1</v>
      </c>
      <c r="B838" s="65"/>
    </row>
    <row r="839" spans="1:2" x14ac:dyDescent="0.25">
      <c r="A839" s="64" t="str">
        <f>HYPERLINK("http://www.twitter.com/KatSl24", "KatSl24")</f>
        <v>KatSl24</v>
      </c>
      <c r="B839" s="65" t="s">
        <v>517</v>
      </c>
    </row>
    <row r="840" spans="1:2" x14ac:dyDescent="0.25">
      <c r="A840" s="64" t="str">
        <f>HYPERLINK("http://www.twitter.com/talking_gamh", "talking_gamh")</f>
        <v>talking_gamh</v>
      </c>
      <c r="B840" s="65"/>
    </row>
    <row r="841" spans="1:2" x14ac:dyDescent="0.25">
      <c r="A841" s="64" t="str">
        <f>HYPERLINK("http://www.twitter.com/upmoproject", "upmoproject")</f>
        <v>upmoproject</v>
      </c>
      <c r="B841" s="65" t="s">
        <v>24</v>
      </c>
    </row>
    <row r="842" spans="1:2" x14ac:dyDescent="0.25">
      <c r="A842" s="64" t="str">
        <f>HYPERLINK("http://www.twitter.com/SAPnetSA", "SAPnetSA")</f>
        <v>SAPnetSA</v>
      </c>
      <c r="B842" s="65" t="s">
        <v>4098</v>
      </c>
    </row>
    <row r="843" spans="1:2" x14ac:dyDescent="0.25">
      <c r="A843" s="64" t="str">
        <f>HYPERLINK("http://www.twitter.com/OrkneyCheese", "OrkneyCheese")</f>
        <v>OrkneyCheese</v>
      </c>
      <c r="B843" s="65" t="s">
        <v>3762</v>
      </c>
    </row>
    <row r="844" spans="1:2" x14ac:dyDescent="0.25">
      <c r="A844" s="64" t="str">
        <f>HYPERLINK("http://www.twitter.com/laouadiomar1", "laouadiomar1")</f>
        <v>laouadiomar1</v>
      </c>
      <c r="B844" s="65"/>
    </row>
    <row r="845" spans="1:2" x14ac:dyDescent="0.25">
      <c r="A845" s="64" t="str">
        <f>HYPERLINK("http://www.twitter.com/pcaxford", "pcaxford")</f>
        <v>pcaxford</v>
      </c>
      <c r="B845" s="65"/>
    </row>
    <row r="846" spans="1:2" x14ac:dyDescent="0.25">
      <c r="A846" s="64" t="str">
        <f>HYPERLINK("http://www.twitter.com/shakescenery", "shakescenery")</f>
        <v>shakescenery</v>
      </c>
      <c r="B846" s="65" t="s">
        <v>477</v>
      </c>
    </row>
    <row r="847" spans="1:2" x14ac:dyDescent="0.25">
      <c r="A847" s="64" t="str">
        <f>HYPERLINK("http://www.twitter.com/fionak1990", "fionak1990")</f>
        <v>fionak1990</v>
      </c>
      <c r="B847" s="65" t="s">
        <v>3842</v>
      </c>
    </row>
    <row r="848" spans="1:2" x14ac:dyDescent="0.25">
      <c r="A848" s="64" t="str">
        <f>HYPERLINK("http://www.twitter.com/tempground", "tempground")</f>
        <v>tempground</v>
      </c>
      <c r="B848" s="65"/>
    </row>
    <row r="849" spans="1:2" x14ac:dyDescent="0.25">
      <c r="A849" s="64" t="str">
        <f>HYPERLINK("http://www.twitter.com/Actonjustin", "Actonjustin")</f>
        <v>Actonjustin</v>
      </c>
      <c r="B849" s="65" t="s">
        <v>4099</v>
      </c>
    </row>
    <row r="850" spans="1:2" x14ac:dyDescent="0.25">
      <c r="A850" s="64" t="str">
        <f>HYPERLINK("http://www.twitter.com/Baker_Andrews_", "Baker_Andrews_")</f>
        <v>Baker_Andrews_</v>
      </c>
      <c r="B850" s="65" t="s">
        <v>4100</v>
      </c>
    </row>
    <row r="851" spans="1:2" x14ac:dyDescent="0.25">
      <c r="A851" s="64" t="str">
        <f>HYPERLINK("http://www.twitter.com/EhrlichadamN", "EhrlichadamN")</f>
        <v>EhrlichadamN</v>
      </c>
      <c r="B851" s="65"/>
    </row>
    <row r="852" spans="1:2" x14ac:dyDescent="0.25">
      <c r="A852" s="64" t="str">
        <f>HYPERLINK("http://www.twitter.com/AndydBird", "AndydBird")</f>
        <v>AndydBird</v>
      </c>
      <c r="B852" s="65" t="s">
        <v>4101</v>
      </c>
    </row>
    <row r="853" spans="1:2" x14ac:dyDescent="0.25">
      <c r="A853" s="64" t="str">
        <f>HYPERLINK("http://www.twitter.com/NotCalledClive", "NotCalledClive")</f>
        <v>NotCalledClive</v>
      </c>
      <c r="B853" s="65" t="s">
        <v>4102</v>
      </c>
    </row>
    <row r="854" spans="1:2" x14ac:dyDescent="0.25">
      <c r="A854" s="64" t="str">
        <f>HYPERLINK("http://www.twitter.com/HannahT60772401", "HannahT60772401")</f>
        <v>HannahT60772401</v>
      </c>
      <c r="B854" s="65" t="s">
        <v>2007</v>
      </c>
    </row>
    <row r="855" spans="1:2" x14ac:dyDescent="0.25">
      <c r="A855" s="64" t="str">
        <f>HYPERLINK("http://www.twitter.com/JamesMylet", "JamesMylet")</f>
        <v>JamesMylet</v>
      </c>
      <c r="B855" s="65"/>
    </row>
    <row r="856" spans="1:2" x14ac:dyDescent="0.25">
      <c r="A856" s="64" t="str">
        <f>HYPERLINK("http://www.twitter.com/llantwitlibrary", "llantwitlibrary")</f>
        <v>llantwitlibrary</v>
      </c>
      <c r="B856" s="65" t="s">
        <v>4103</v>
      </c>
    </row>
    <row r="857" spans="1:2" x14ac:dyDescent="0.25">
      <c r="A857" s="64" t="str">
        <f>HYPERLINK("http://www.twitter.com/HeatherAnnMcKay", "HeatherAnnMcKay")</f>
        <v>HeatherAnnMcKay</v>
      </c>
      <c r="B857" s="65" t="s">
        <v>3779</v>
      </c>
    </row>
    <row r="858" spans="1:2" x14ac:dyDescent="0.25">
      <c r="A858" s="64" t="str">
        <f>HYPERLINK("http://www.twitter.com/_SELCIE_", "_SELCIE_")</f>
        <v>_SELCIE_</v>
      </c>
      <c r="B858" s="65" t="s">
        <v>487</v>
      </c>
    </row>
    <row r="859" spans="1:2" x14ac:dyDescent="0.25">
      <c r="A859" s="64" t="str">
        <f>HYPERLINK("http://www.twitter.com/dialdianne", "dialdianne")</f>
        <v>dialdianne</v>
      </c>
      <c r="B859" s="65"/>
    </row>
    <row r="860" spans="1:2" x14ac:dyDescent="0.25">
      <c r="A860" s="64" t="str">
        <f>HYPERLINK("http://www.twitter.com/janecraigie", "janecraigie")</f>
        <v>janecraigie</v>
      </c>
      <c r="B860" s="65" t="s">
        <v>517</v>
      </c>
    </row>
    <row r="861" spans="1:2" x14ac:dyDescent="0.25">
      <c r="A861" s="64" t="str">
        <f>HYPERLINK("http://www.twitter.com/Muhamma36181332", "Muhamma36181332")</f>
        <v>Muhamma36181332</v>
      </c>
      <c r="B861" s="65" t="s">
        <v>4104</v>
      </c>
    </row>
    <row r="862" spans="1:2" x14ac:dyDescent="0.25">
      <c r="A862" s="64" t="str">
        <f>HYPERLINK("http://www.twitter.com/jack_gaches", "jack_gaches")</f>
        <v>jack_gaches</v>
      </c>
      <c r="B862" s="65"/>
    </row>
    <row r="863" spans="1:2" x14ac:dyDescent="0.25">
      <c r="A863" s="64" t="str">
        <f>HYPERLINK("http://www.twitter.com/oxfambksreading", "oxfambksreading")</f>
        <v>oxfambksreading</v>
      </c>
      <c r="B863" s="65" t="s">
        <v>560</v>
      </c>
    </row>
    <row r="864" spans="1:2" x14ac:dyDescent="0.25">
      <c r="A864" s="64" t="str">
        <f>HYPERLINK("http://www.twitter.com/flicketyspit", "flicketyspit")</f>
        <v>flicketyspit</v>
      </c>
      <c r="B864" s="65"/>
    </row>
    <row r="865" spans="1:2" x14ac:dyDescent="0.25">
      <c r="A865" s="64" t="str">
        <f>HYPERLINK("http://www.twitter.com/GreyHighlandsPL", "GreyHighlandsPL")</f>
        <v>GreyHighlandsPL</v>
      </c>
      <c r="B865" s="65" t="s">
        <v>4105</v>
      </c>
    </row>
    <row r="866" spans="1:2" x14ac:dyDescent="0.25">
      <c r="A866" s="64" t="str">
        <f>HYPERLINK("http://www.twitter.com/ortk95", "ortk95")</f>
        <v>ortk95</v>
      </c>
      <c r="B866" s="65" t="s">
        <v>296</v>
      </c>
    </row>
    <row r="867" spans="1:2" x14ac:dyDescent="0.25">
      <c r="A867" s="64" t="str">
        <f>HYPERLINK("http://www.twitter.com/hannah_sycamore", "hannah_sycamore")</f>
        <v>hannah_sycamore</v>
      </c>
      <c r="B867" s="65"/>
    </row>
    <row r="868" spans="1:2" x14ac:dyDescent="0.25">
      <c r="A868" s="64" t="str">
        <f>HYPERLINK("http://www.twitter.com/BarryLibrary", "BarryLibrary")</f>
        <v>BarryLibrary</v>
      </c>
      <c r="B868" s="65" t="s">
        <v>4106</v>
      </c>
    </row>
    <row r="869" spans="1:2" x14ac:dyDescent="0.25">
      <c r="A869" s="64" t="str">
        <f>HYPERLINK("http://www.twitter.com/Urbancroft", "Urbancroft")</f>
        <v>Urbancroft</v>
      </c>
      <c r="B869" s="65" t="s">
        <v>4107</v>
      </c>
    </row>
    <row r="870" spans="1:2" x14ac:dyDescent="0.25">
      <c r="A870" s="64" t="str">
        <f>HYPERLINK("http://www.twitter.com/NorthamLibrary", "NorthamLibrary")</f>
        <v>NorthamLibrary</v>
      </c>
      <c r="B870" s="65"/>
    </row>
    <row r="871" spans="1:2" x14ac:dyDescent="0.25">
      <c r="A871" s="64" t="str">
        <f>HYPERLINK("http://www.twitter.com/AnneJoS", "AnneJoS")</f>
        <v>AnneJoS</v>
      </c>
      <c r="B871" s="65" t="s">
        <v>4108</v>
      </c>
    </row>
    <row r="872" spans="1:2" x14ac:dyDescent="0.25">
      <c r="A872" s="64" t="str">
        <f>HYPERLINK("http://www.twitter.com/maureen18132", "maureen18132")</f>
        <v>maureen18132</v>
      </c>
      <c r="B872" s="65"/>
    </row>
    <row r="873" spans="1:2" x14ac:dyDescent="0.25">
      <c r="A873" s="64" t="str">
        <f>HYPERLINK("http://www.twitter.com/downintheclouds", "downintheclouds")</f>
        <v>downintheclouds</v>
      </c>
      <c r="B873" s="65" t="s">
        <v>4109</v>
      </c>
    </row>
    <row r="874" spans="1:2" x14ac:dyDescent="0.25">
      <c r="A874" s="64" t="str">
        <f>HYPERLINK("http://www.twitter.com/katrs_rose", "katrs_rose")</f>
        <v>katrs_rose</v>
      </c>
      <c r="B874" s="65"/>
    </row>
    <row r="875" spans="1:2" x14ac:dyDescent="0.25">
      <c r="A875" s="64" t="str">
        <f>HYPERLINK("http://www.twitter.com/samhayes", "samhayes")</f>
        <v>samhayes</v>
      </c>
      <c r="B875" s="65" t="s">
        <v>593</v>
      </c>
    </row>
    <row r="876" spans="1:2" x14ac:dyDescent="0.25">
      <c r="A876" s="64" t="str">
        <f>HYPERLINK("http://www.twitter.com/bail15", "bail15")</f>
        <v>bail15</v>
      </c>
      <c r="B876" s="65" t="s">
        <v>3040</v>
      </c>
    </row>
    <row r="877" spans="1:2" x14ac:dyDescent="0.25">
      <c r="A877" s="64" t="str">
        <f>HYPERLINK("http://www.twitter.com/AdamCMarkham", "AdamCMarkham")</f>
        <v>AdamCMarkham</v>
      </c>
      <c r="B877" s="65" t="s">
        <v>4110</v>
      </c>
    </row>
    <row r="878" spans="1:2" x14ac:dyDescent="0.25">
      <c r="A878" s="64" t="str">
        <f>HYPERLINK("http://www.twitter.com/lenchalmers", "lenchalmers")</f>
        <v>lenchalmers</v>
      </c>
      <c r="B878" s="65"/>
    </row>
    <row r="879" spans="1:2" x14ac:dyDescent="0.25">
      <c r="A879" s="64" t="str">
        <f>HYPERLINK("http://www.twitter.com/granby4streets1", "granby4streets1")</f>
        <v>granby4streets1</v>
      </c>
      <c r="B879" s="65" t="s">
        <v>2864</v>
      </c>
    </row>
    <row r="880" spans="1:2" x14ac:dyDescent="0.25">
      <c r="A880" s="64" t="str">
        <f>HYPERLINK("http://www.twitter.com/KateGledhill", "KateGledhill")</f>
        <v>KateGledhill</v>
      </c>
      <c r="B880" s="65" t="s">
        <v>2564</v>
      </c>
    </row>
    <row r="881" spans="1:2" x14ac:dyDescent="0.25">
      <c r="A881" s="64" t="str">
        <f>HYPERLINK("http://www.twitter.com/Aliclari", "Aliclari")</f>
        <v>Aliclari</v>
      </c>
      <c r="B881" s="65" t="s">
        <v>70</v>
      </c>
    </row>
    <row r="882" spans="1:2" x14ac:dyDescent="0.25">
      <c r="A882" s="64" t="str">
        <f>HYPERLINK("http://www.twitter.com/didibs39", "didibs39")</f>
        <v>didibs39</v>
      </c>
      <c r="B882" s="65"/>
    </row>
    <row r="883" spans="1:2" x14ac:dyDescent="0.25">
      <c r="A883" s="64" t="str">
        <f>HYPERLINK("http://www.twitter.com/Marcelohenderm1", "Marcelohenderm1")</f>
        <v>Marcelohenderm1</v>
      </c>
      <c r="B883" s="65"/>
    </row>
    <row r="884" spans="1:2" x14ac:dyDescent="0.25">
      <c r="A884" s="64" t="str">
        <f>HYPERLINK("http://www.twitter.com/Sharrie1604", "Sharrie1604")</f>
        <v>Sharrie1604</v>
      </c>
      <c r="B884" s="65"/>
    </row>
    <row r="885" spans="1:2" x14ac:dyDescent="0.25">
      <c r="A885" s="64" t="str">
        <f>HYPERLINK("http://www.twitter.com/PeteMacLeod", "PeteMacLeod")</f>
        <v>PeteMacLeod</v>
      </c>
      <c r="B885" s="65" t="s">
        <v>4111</v>
      </c>
    </row>
    <row r="886" spans="1:2" x14ac:dyDescent="0.25">
      <c r="A886" s="64" t="str">
        <f>HYPERLINK("http://www.twitter.com/hmia66", "hmia66")</f>
        <v>hmia66</v>
      </c>
      <c r="B886" s="65"/>
    </row>
    <row r="887" spans="1:2" x14ac:dyDescent="0.25">
      <c r="A887" s="64" t="str">
        <f>HYPERLINK("http://www.twitter.com/thespotlightuk", "thespotlightuk")</f>
        <v>thespotlightuk</v>
      </c>
      <c r="B887" s="65" t="s">
        <v>4112</v>
      </c>
    </row>
    <row r="888" spans="1:2" x14ac:dyDescent="0.25">
      <c r="A888" s="64" t="str">
        <f>HYPERLINK("http://www.twitter.com/PennyHz", "PennyHz")</f>
        <v>PennyHz</v>
      </c>
      <c r="B888" s="65"/>
    </row>
    <row r="889" spans="1:2" x14ac:dyDescent="0.25">
      <c r="A889" s="64" t="str">
        <f>HYPERLINK("http://www.twitter.com/mattjhall", "mattjhall")</f>
        <v>mattjhall</v>
      </c>
      <c r="B889" s="65" t="s">
        <v>24</v>
      </c>
    </row>
    <row r="890" spans="1:2" x14ac:dyDescent="0.25">
      <c r="A890" s="64" t="str">
        <f>HYPERLINK("http://www.twitter.com/sbc_edinburgh", "sbc_edinburgh")</f>
        <v>sbc_edinburgh</v>
      </c>
      <c r="B890" s="65" t="s">
        <v>487</v>
      </c>
    </row>
    <row r="891" spans="1:2" x14ac:dyDescent="0.25">
      <c r="A891" s="64" t="str">
        <f>HYPERLINK("http://www.twitter.com/NeonatalMatron", "NeonatalMatron")</f>
        <v>NeonatalMatron</v>
      </c>
      <c r="B891" s="65" t="s">
        <v>4113</v>
      </c>
    </row>
    <row r="892" spans="1:2" x14ac:dyDescent="0.25">
      <c r="A892" s="64" t="str">
        <f>HYPERLINK("http://www.twitter.com/Grassy_Knoll", "Grassy_Knoll")</f>
        <v>Grassy_Knoll</v>
      </c>
      <c r="B892" s="65" t="s">
        <v>4114</v>
      </c>
    </row>
    <row r="893" spans="1:2" x14ac:dyDescent="0.25">
      <c r="A893" s="64" t="str">
        <f>HYPERLINK("http://www.twitter.com/fct_ceo", "fct_ceo")</f>
        <v>fct_ceo</v>
      </c>
      <c r="B893" s="65" t="s">
        <v>421</v>
      </c>
    </row>
    <row r="894" spans="1:2" x14ac:dyDescent="0.25">
      <c r="A894" s="64" t="str">
        <f>HYPERLINK("http://www.twitter.com/OrangutansSOS", "OrangutansSOS")</f>
        <v>OrangutansSOS</v>
      </c>
      <c r="B894" s="65"/>
    </row>
    <row r="895" spans="1:2" x14ac:dyDescent="0.25">
      <c r="A895" s="64" t="str">
        <f>HYPERLINK("http://www.twitter.com/rachelhinds", "rachelhinds")</f>
        <v>rachelhinds</v>
      </c>
      <c r="B895" s="65" t="s">
        <v>24</v>
      </c>
    </row>
    <row r="896" spans="1:2" x14ac:dyDescent="0.25">
      <c r="A896" s="64" t="str">
        <f>HYPERLINK("http://www.twitter.com/KaseyJayWrites", "KaseyJayWrites")</f>
        <v>KaseyJayWrites</v>
      </c>
      <c r="B896" s="65" t="s">
        <v>4115</v>
      </c>
    </row>
    <row r="897" spans="1:2" x14ac:dyDescent="0.25">
      <c r="A897" s="64" t="str">
        <f>HYPERLINK("http://www.twitter.com/ajeet_malcolm", "ajeet_malcolm")</f>
        <v>ajeet_malcolm</v>
      </c>
      <c r="B897" s="65"/>
    </row>
    <row r="898" spans="1:2" x14ac:dyDescent="0.25">
      <c r="A898" s="64" t="str">
        <f>HYPERLINK("http://www.twitter.com/EmptyMirror", "EmptyMirror")</f>
        <v>EmptyMirror</v>
      </c>
      <c r="B898" s="65" t="s">
        <v>4116</v>
      </c>
    </row>
    <row r="899" spans="1:2" x14ac:dyDescent="0.25">
      <c r="A899" s="64" t="str">
        <f>HYPERLINK("http://www.twitter.com/sam22644944", "sam22644944")</f>
        <v>sam22644944</v>
      </c>
      <c r="B899" s="65"/>
    </row>
    <row r="900" spans="1:2" x14ac:dyDescent="0.25">
      <c r="A900" s="64" t="str">
        <f>HYPERLINK("http://www.twitter.com/SamCatte", "SamCatte")</f>
        <v>SamCatte</v>
      </c>
      <c r="B900" s="65" t="s">
        <v>4117</v>
      </c>
    </row>
    <row r="901" spans="1:2" x14ac:dyDescent="0.25">
      <c r="A901" s="64" t="str">
        <f>HYPERLINK("http://www.twitter.com/Immol8", "Immol8")</f>
        <v>Immol8</v>
      </c>
      <c r="B901" s="65"/>
    </row>
    <row r="902" spans="1:2" x14ac:dyDescent="0.25">
      <c r="A902" s="64" t="str">
        <f>HYPERLINK("http://www.twitter.com/fitbawidow", "fitbawidow")</f>
        <v>fitbawidow</v>
      </c>
      <c r="B902" s="65"/>
    </row>
    <row r="903" spans="1:2" x14ac:dyDescent="0.25">
      <c r="A903" s="64" t="str">
        <f>HYPERLINK("http://www.twitter.com/MGThornton", "MGThornton")</f>
        <v>MGThornton</v>
      </c>
      <c r="B903" s="65" t="s">
        <v>487</v>
      </c>
    </row>
    <row r="904" spans="1:2" x14ac:dyDescent="0.25">
      <c r="A904" s="64" t="str">
        <f>HYPERLINK("http://www.twitter.com/GoneFichingTO", "GoneFichingTO")</f>
        <v>GoneFichingTO</v>
      </c>
      <c r="B904" s="65" t="s">
        <v>4118</v>
      </c>
    </row>
    <row r="905" spans="1:2" x14ac:dyDescent="0.25">
      <c r="A905" s="64" t="str">
        <f>HYPERLINK("http://www.twitter.com/MilfordLibMI", "MilfordLibMI")</f>
        <v>MilfordLibMI</v>
      </c>
      <c r="B905" s="65" t="s">
        <v>4119</v>
      </c>
    </row>
    <row r="906" spans="1:2" x14ac:dyDescent="0.25">
      <c r="A906" s="64" t="str">
        <f>HYPERLINK("http://www.twitter.com/kbakircioglu", "kbakircioglu")</f>
        <v>kbakircioglu</v>
      </c>
      <c r="B906" s="65" t="s">
        <v>24</v>
      </c>
    </row>
    <row r="907" spans="1:2" x14ac:dyDescent="0.25">
      <c r="A907" s="64" t="str">
        <f>HYPERLINK("http://www.twitter.com/Koioslib", "Koioslib")</f>
        <v>Koioslib</v>
      </c>
      <c r="B907" s="65" t="s">
        <v>4120</v>
      </c>
    </row>
    <row r="908" spans="1:2" x14ac:dyDescent="0.25">
      <c r="A908" s="64" t="str">
        <f>HYPERLINK("http://www.twitter.com/hargrettlibrary", "hargrettlibrary")</f>
        <v>hargrettlibrary</v>
      </c>
      <c r="B908" s="65" t="s">
        <v>4121</v>
      </c>
    </row>
    <row r="909" spans="1:2" x14ac:dyDescent="0.25">
      <c r="A909" s="64" t="str">
        <f>HYPERLINK("http://www.twitter.com/handbagjane", "handbagjane")</f>
        <v>handbagjane</v>
      </c>
      <c r="B909" s="65"/>
    </row>
    <row r="910" spans="1:2" x14ac:dyDescent="0.25">
      <c r="A910" s="64" t="str">
        <f>HYPERLINK("http://www.twitter.com/RealEricCarmen", "RealEricCarmen")</f>
        <v>RealEricCarmen</v>
      </c>
      <c r="B910" s="65" t="s">
        <v>4039</v>
      </c>
    </row>
    <row r="911" spans="1:2" x14ac:dyDescent="0.25">
      <c r="A911" s="64" t="str">
        <f>HYPERLINK("http://www.twitter.com/JimWalpole2", "JimWalpole2")</f>
        <v>JimWalpole2</v>
      </c>
      <c r="B911" s="65" t="s">
        <v>4122</v>
      </c>
    </row>
    <row r="912" spans="1:2" x14ac:dyDescent="0.25">
      <c r="A912" s="64" t="str">
        <f>HYPERLINK("http://www.twitter.com/cybermango", "cybermango")</f>
        <v>cybermango</v>
      </c>
      <c r="B912" s="65" t="s">
        <v>4123</v>
      </c>
    </row>
    <row r="913" spans="1:2" x14ac:dyDescent="0.25">
      <c r="A913" s="64" t="str">
        <f>HYPERLINK("http://www.twitter.com/jp7843", "jp7843")</f>
        <v>jp7843</v>
      </c>
      <c r="B913" s="65" t="s">
        <v>4124</v>
      </c>
    </row>
    <row r="914" spans="1:2" x14ac:dyDescent="0.25">
      <c r="A914" s="64" t="str">
        <f>HYPERLINK("http://www.twitter.com/BirdsEyeView008", "BirdsEyeView008")</f>
        <v>BirdsEyeView008</v>
      </c>
      <c r="B914" s="65"/>
    </row>
    <row r="915" spans="1:2" x14ac:dyDescent="0.25">
      <c r="A915" s="64" t="str">
        <f>HYPERLINK("http://www.twitter.com/BrownlieHarris", "BrownlieHarris")</f>
        <v>BrownlieHarris</v>
      </c>
      <c r="B915" s="65"/>
    </row>
    <row r="916" spans="1:2" x14ac:dyDescent="0.25">
      <c r="A916" s="64" t="str">
        <f>HYPERLINK("http://www.twitter.com/georgie_malcolm", "georgie_malcolm")</f>
        <v>georgie_malcolm</v>
      </c>
      <c r="B916" s="65" t="s">
        <v>4125</v>
      </c>
    </row>
    <row r="917" spans="1:2" x14ac:dyDescent="0.25">
      <c r="A917" s="64" t="str">
        <f>HYPERLINK("http://www.twitter.com/KateDoughty_", "KateDoughty_")</f>
        <v>KateDoughty_</v>
      </c>
      <c r="B917" s="65" t="s">
        <v>4126</v>
      </c>
    </row>
    <row r="918" spans="1:2" x14ac:dyDescent="0.25">
      <c r="A918" s="64" t="str">
        <f>HYPERLINK("http://www.twitter.com/laurailuca", "laurailuca")</f>
        <v>laurailuca</v>
      </c>
      <c r="B918" s="65" t="s">
        <v>2501</v>
      </c>
    </row>
    <row r="919" spans="1:2" x14ac:dyDescent="0.25">
      <c r="A919" s="64" t="str">
        <f>HYPERLINK("http://www.twitter.com/ladyarwen1969", "ladyarwen1969")</f>
        <v>ladyarwen1969</v>
      </c>
      <c r="B919" s="65" t="s">
        <v>4127</v>
      </c>
    </row>
    <row r="920" spans="1:2" x14ac:dyDescent="0.25">
      <c r="A920" s="64" t="str">
        <f>HYPERLINK("http://www.twitter.com/Caeruoleus", "Caeruoleus")</f>
        <v>Caeruoleus</v>
      </c>
      <c r="B920" s="65" t="s">
        <v>4128</v>
      </c>
    </row>
    <row r="921" spans="1:2" x14ac:dyDescent="0.25">
      <c r="A921" s="64" t="str">
        <f>HYPERLINK("http://www.twitter.com/Michele49127344", "Michele49127344")</f>
        <v>Michele49127344</v>
      </c>
      <c r="B921" s="65" t="s">
        <v>4129</v>
      </c>
    </row>
    <row r="922" spans="1:2" x14ac:dyDescent="0.25">
      <c r="A922" s="64" t="str">
        <f>HYPERLINK("http://www.twitter.com/ewerth", "ewerth")</f>
        <v>ewerth</v>
      </c>
      <c r="B922" s="65" t="s">
        <v>4130</v>
      </c>
    </row>
    <row r="923" spans="1:2" x14ac:dyDescent="0.25">
      <c r="A923" s="64" t="str">
        <f>HYPERLINK("http://www.twitter.com/lts101", "lts101")</f>
        <v>lts101</v>
      </c>
      <c r="B923" s="65"/>
    </row>
    <row r="924" spans="1:2" x14ac:dyDescent="0.25">
      <c r="A924" s="64" t="str">
        <f>HYPERLINK("http://www.twitter.com/MarshaDeeee", "MarshaDeeee")</f>
        <v>MarshaDeeee</v>
      </c>
      <c r="B924" s="65" t="s">
        <v>517</v>
      </c>
    </row>
    <row r="925" spans="1:2" x14ac:dyDescent="0.25">
      <c r="A925" s="64" t="str">
        <f>HYPERLINK("http://www.twitter.com/tpgcolson", "tpgcolson")</f>
        <v>tpgcolson</v>
      </c>
      <c r="B925" s="65" t="s">
        <v>4131</v>
      </c>
    </row>
    <row r="926" spans="1:2" x14ac:dyDescent="0.25">
      <c r="A926" s="64" t="str">
        <f>HYPERLINK("http://www.twitter.com/saraoleary", "saraoleary")</f>
        <v>saraoleary</v>
      </c>
      <c r="B926" s="65" t="s">
        <v>4132</v>
      </c>
    </row>
    <row r="927" spans="1:2" x14ac:dyDescent="0.25">
      <c r="A927" s="64" t="str">
        <f>HYPERLINK("http://www.twitter.com/CandV_Reviews", "CandV_Reviews")</f>
        <v>CandV_Reviews</v>
      </c>
      <c r="B927" s="65"/>
    </row>
    <row r="928" spans="1:2" x14ac:dyDescent="0.25">
      <c r="A928" s="64" t="str">
        <f>HYPERLINK("http://www.twitter.com/jani8889", "jani8889")</f>
        <v>jani8889</v>
      </c>
      <c r="B928" s="65"/>
    </row>
    <row r="929" spans="1:2" x14ac:dyDescent="0.25">
      <c r="A929" s="64" t="str">
        <f>HYPERLINK("http://www.twitter.com/Goffy97", "Goffy97")</f>
        <v>Goffy97</v>
      </c>
      <c r="B929" s="65"/>
    </row>
    <row r="930" spans="1:2" x14ac:dyDescent="0.25">
      <c r="A930" s="64" t="str">
        <f>HYPERLINK("http://www.twitter.com/TreadGower", "TreadGower")</f>
        <v>TreadGower</v>
      </c>
      <c r="B930" s="65" t="s">
        <v>4133</v>
      </c>
    </row>
    <row r="931" spans="1:2" x14ac:dyDescent="0.25">
      <c r="A931" s="64" t="str">
        <f>HYPERLINK("http://www.twitter.com/NighuntoSh", "NighuntoSh")</f>
        <v>NighuntoSh</v>
      </c>
      <c r="B931" s="65" t="s">
        <v>4134</v>
      </c>
    </row>
    <row r="932" spans="1:2" x14ac:dyDescent="0.25">
      <c r="A932" s="64" t="str">
        <f>HYPERLINK("http://www.twitter.com/mrsantonialee", "mrsantonialee")</f>
        <v>mrsantonialee</v>
      </c>
      <c r="B932" s="65"/>
    </row>
    <row r="933" spans="1:2" x14ac:dyDescent="0.25">
      <c r="A933" s="64" t="str">
        <f>HYPERLINK("http://www.twitter.com/droids_dont_cry", "droids_dont_cry")</f>
        <v>droids_dont_cry</v>
      </c>
      <c r="B933" s="65" t="s">
        <v>2864</v>
      </c>
    </row>
    <row r="934" spans="1:2" x14ac:dyDescent="0.25">
      <c r="A934" s="64" t="str">
        <f>HYPERLINK("http://www.twitter.com/prudencesthomas", "prudencesthomas")</f>
        <v>prudencesthomas</v>
      </c>
      <c r="B934" s="65" t="s">
        <v>70</v>
      </c>
    </row>
    <row r="935" spans="1:2" x14ac:dyDescent="0.25">
      <c r="A935" s="64" t="str">
        <f>HYPERLINK("http://www.twitter.com/rebellesonique", "rebellesonique")</f>
        <v>rebellesonique</v>
      </c>
      <c r="B935" s="65" t="s">
        <v>4135</v>
      </c>
    </row>
    <row r="936" spans="1:2" x14ac:dyDescent="0.25">
      <c r="A936" s="64" t="str">
        <f>HYPERLINK("http://www.twitter.com/LynnORourke1", "LynnORourke1")</f>
        <v>LynnORourke1</v>
      </c>
      <c r="B936" s="65" t="s">
        <v>487</v>
      </c>
    </row>
    <row r="937" spans="1:2" x14ac:dyDescent="0.25">
      <c r="A937" s="64" t="str">
        <f>HYPERLINK("http://www.twitter.com/tellingthe578", "tellingthe578")</f>
        <v>tellingthe578</v>
      </c>
      <c r="B937" s="65"/>
    </row>
    <row r="938" spans="1:2" x14ac:dyDescent="0.25">
      <c r="A938" s="64" t="str">
        <f>HYPERLINK("http://www.twitter.com/sheenybeeny", "sheenybeeny")</f>
        <v>sheenybeeny</v>
      </c>
      <c r="B938" s="65"/>
    </row>
    <row r="939" spans="1:2" x14ac:dyDescent="0.25">
      <c r="A939" s="64" t="str">
        <f>HYPERLINK("http://www.twitter.com/LdnPeregrines", "LdnPeregrines")</f>
        <v>LdnPeregrines</v>
      </c>
      <c r="B939" s="65" t="s">
        <v>477</v>
      </c>
    </row>
    <row r="940" spans="1:2" x14ac:dyDescent="0.25">
      <c r="A940" s="64" t="str">
        <f>HYPERLINK("http://www.twitter.com/UHIPressOffice", "UHIPressOffice")</f>
        <v>UHIPressOffice</v>
      </c>
      <c r="B940" s="65" t="s">
        <v>2007</v>
      </c>
    </row>
    <row r="941" spans="1:2" x14ac:dyDescent="0.25">
      <c r="A941" s="64" t="str">
        <f>HYPERLINK("http://www.twitter.com/julieeastgate", "julieeastgate")</f>
        <v>julieeastgate</v>
      </c>
      <c r="B941" s="65" t="s">
        <v>4136</v>
      </c>
    </row>
    <row r="942" spans="1:2" x14ac:dyDescent="0.25">
      <c r="A942" s="64" t="str">
        <f>HYPERLINK("http://www.twitter.com/PiersatPenn", "PiersatPenn")</f>
        <v>PiersatPenn</v>
      </c>
      <c r="B942" s="65" t="s">
        <v>4035</v>
      </c>
    </row>
    <row r="943" spans="1:2" x14ac:dyDescent="0.25">
      <c r="A943" s="64" t="str">
        <f>HYPERLINK("http://www.twitter.com/wilsoncolinw", "wilsoncolinw")</f>
        <v>wilsoncolinw</v>
      </c>
      <c r="B943" s="65" t="s">
        <v>487</v>
      </c>
    </row>
    <row r="944" spans="1:2" x14ac:dyDescent="0.25">
      <c r="A944" s="64" t="str">
        <f>HYPERLINK("http://www.twitter.com/Joon123", "Joon123")</f>
        <v>Joon123</v>
      </c>
      <c r="B944" s="65" t="s">
        <v>3559</v>
      </c>
    </row>
    <row r="945" spans="1:2" x14ac:dyDescent="0.25">
      <c r="A945" s="64" t="str">
        <f>HYPERLINK("http://www.twitter.com/DaisyFlett", "DaisyFlett")</f>
        <v>DaisyFlett</v>
      </c>
      <c r="B945" s="65" t="s">
        <v>4137</v>
      </c>
    </row>
    <row r="946" spans="1:2" x14ac:dyDescent="0.25">
      <c r="A946" s="64" t="str">
        <f>HYPERLINK("http://www.twitter.com/Michael55644518", "Michael55644518")</f>
        <v>Michael55644518</v>
      </c>
      <c r="B946" s="65" t="s">
        <v>70</v>
      </c>
    </row>
    <row r="947" spans="1:2" x14ac:dyDescent="0.25">
      <c r="A947" s="64" t="str">
        <f>HYPERLINK("http://www.twitter.com/allieds48", "allieds48")</f>
        <v>allieds48</v>
      </c>
      <c r="B947" s="65" t="s">
        <v>4138</v>
      </c>
    </row>
    <row r="948" spans="1:2" x14ac:dyDescent="0.25">
      <c r="A948" s="64" t="str">
        <f>HYPERLINK("http://www.twitter.com/Griffinrat", "Griffinrat")</f>
        <v>Griffinrat</v>
      </c>
      <c r="B948" s="65"/>
    </row>
    <row r="949" spans="1:2" x14ac:dyDescent="0.25">
      <c r="A949" s="64" t="str">
        <f>HYPERLINK("http://www.twitter.com/Mrliamowen", "Mrliamowen")</f>
        <v>Mrliamowen</v>
      </c>
      <c r="B949" s="65" t="s">
        <v>70</v>
      </c>
    </row>
    <row r="950" spans="1:2" x14ac:dyDescent="0.25">
      <c r="A950" s="64" t="str">
        <f>HYPERLINK("http://www.twitter.com/drifterktm1", "drifterktm1")</f>
        <v>drifterktm1</v>
      </c>
      <c r="B950" s="65"/>
    </row>
    <row r="951" spans="1:2" x14ac:dyDescent="0.25">
      <c r="A951" s="64" t="str">
        <f>HYPERLINK("http://www.twitter.com/HellenBach", "HellenBach")</f>
        <v>HellenBach</v>
      </c>
      <c r="B951" s="65" t="s">
        <v>296</v>
      </c>
    </row>
    <row r="952" spans="1:2" x14ac:dyDescent="0.25">
      <c r="A952" s="64" t="str">
        <f>HYPERLINK("http://www.twitter.com/VivaLaJeza", "VivaLaJeza")</f>
        <v>VivaLaJeza</v>
      </c>
      <c r="B952" s="65" t="s">
        <v>1377</v>
      </c>
    </row>
    <row r="953" spans="1:2" x14ac:dyDescent="0.25">
      <c r="A953" s="64" t="str">
        <f>HYPERLINK("http://www.twitter.com/ErinGreenAuthor", "ErinGreenAuthor")</f>
        <v>ErinGreenAuthor</v>
      </c>
      <c r="B953" s="65" t="s">
        <v>4139</v>
      </c>
    </row>
    <row r="954" spans="1:2" x14ac:dyDescent="0.25">
      <c r="A954" s="64" t="str">
        <f>HYPERLINK("http://www.twitter.com/AmyBroganx1", "AmyBroganx1")</f>
        <v>AmyBroganx1</v>
      </c>
      <c r="B954" s="65"/>
    </row>
    <row r="955" spans="1:2" x14ac:dyDescent="0.25">
      <c r="A955" s="64" t="str">
        <f>HYPERLINK("http://www.twitter.com/bettelightyear", "bettelightyear")</f>
        <v>bettelightyear</v>
      </c>
      <c r="B955" s="65"/>
    </row>
    <row r="956" spans="1:2" x14ac:dyDescent="0.25">
      <c r="A956" s="64" t="str">
        <f>HYPERLINK("http://www.twitter.com/elakkiya_sb", "elakkiya_sb")</f>
        <v>elakkiya_sb</v>
      </c>
      <c r="B956" s="65" t="s">
        <v>4140</v>
      </c>
    </row>
    <row r="957" spans="1:2" x14ac:dyDescent="0.25">
      <c r="A957" s="64" t="str">
        <f>HYPERLINK("http://www.twitter.com/harlequin1848", "harlequin1848")</f>
        <v>harlequin1848</v>
      </c>
      <c r="B957" s="65" t="s">
        <v>4141</v>
      </c>
    </row>
    <row r="958" spans="1:2" x14ac:dyDescent="0.25">
      <c r="A958" s="64" t="str">
        <f>HYPERLINK("http://www.twitter.com/JDawsonwriter", "JDawsonwriter")</f>
        <v>JDawsonwriter</v>
      </c>
      <c r="B958" s="65" t="s">
        <v>4142</v>
      </c>
    </row>
    <row r="959" spans="1:2" x14ac:dyDescent="0.25">
      <c r="A959" s="64" t="str">
        <f>HYPERLINK("http://www.twitter.com/z_writer", "z_writer")</f>
        <v>z_writer</v>
      </c>
      <c r="B959" s="65"/>
    </row>
    <row r="960" spans="1:2" x14ac:dyDescent="0.25">
      <c r="A960" s="64" t="str">
        <f>HYPERLINK("http://www.twitter.com/Cat_Tabbner", "Cat_Tabbner")</f>
        <v>Cat_Tabbner</v>
      </c>
      <c r="B960" s="65"/>
    </row>
    <row r="961" spans="1:2" x14ac:dyDescent="0.25">
      <c r="A961" s="64" t="str">
        <f>HYPERLINK("http://www.twitter.com/daznik72", "daznik72")</f>
        <v>daznik72</v>
      </c>
      <c r="B961" s="65"/>
    </row>
    <row r="962" spans="1:2" x14ac:dyDescent="0.25">
      <c r="A962" s="64" t="str">
        <f>HYPERLINK("http://www.twitter.com/godthe1st", "godthe1st")</f>
        <v>godthe1st</v>
      </c>
      <c r="B962" s="65"/>
    </row>
    <row r="963" spans="1:2" x14ac:dyDescent="0.25">
      <c r="A963" s="64" t="str">
        <f>HYPERLINK("http://www.twitter.com/jessmatter25", "jessmatter25")</f>
        <v>jessmatter25</v>
      </c>
      <c r="B963" s="65"/>
    </row>
    <row r="964" spans="1:2" x14ac:dyDescent="0.25">
      <c r="A964" s="64" t="str">
        <f>HYPERLINK("http://www.twitter.com/CatHepburnWrite", "CatHepburnWrite")</f>
        <v>CatHepburnWrite</v>
      </c>
      <c r="B964" s="65" t="s">
        <v>318</v>
      </c>
    </row>
    <row r="965" spans="1:2" x14ac:dyDescent="0.25">
      <c r="A965" s="64" t="str">
        <f>HYPERLINK("http://www.twitter.com/SharePteOBrien", "SharePteOBrien")</f>
        <v>SharePteOBrien</v>
      </c>
      <c r="B965" s="65" t="s">
        <v>4143</v>
      </c>
    </row>
    <row r="966" spans="1:2" x14ac:dyDescent="0.25">
      <c r="A966" s="64" t="str">
        <f>HYPERLINK("http://www.twitter.com/ChasingTimeScot", "ChasingTimeScot")</f>
        <v>ChasingTimeScot</v>
      </c>
      <c r="B966" s="65" t="s">
        <v>4144</v>
      </c>
    </row>
    <row r="967" spans="1:2" x14ac:dyDescent="0.25">
      <c r="A967" s="64" t="str">
        <f>HYPERLINK("http://www.twitter.com/LorraineMatches", "LorraineMatches")</f>
        <v>LorraineMatches</v>
      </c>
      <c r="B967" s="65"/>
    </row>
    <row r="968" spans="1:2" x14ac:dyDescent="0.25">
      <c r="A968" s="64" t="str">
        <f>HYPERLINK("http://www.twitter.com/annalea56", "annalea56")</f>
        <v>annalea56</v>
      </c>
      <c r="B968" s="65"/>
    </row>
    <row r="969" spans="1:2" x14ac:dyDescent="0.25">
      <c r="A969" s="64" t="str">
        <f>HYPERLINK("http://www.twitter.com/rawfeminism", "rawfeminism")</f>
        <v>rawfeminism</v>
      </c>
      <c r="B969" s="65" t="s">
        <v>3940</v>
      </c>
    </row>
    <row r="970" spans="1:2" x14ac:dyDescent="0.25">
      <c r="A970" s="64" t="str">
        <f>HYPERLINK("http://www.twitter.com/XavierSociety", "XavierSociety")</f>
        <v>XavierSociety</v>
      </c>
      <c r="B970" s="65" t="s">
        <v>4145</v>
      </c>
    </row>
    <row r="971" spans="1:2" x14ac:dyDescent="0.25">
      <c r="A971" s="64" t="str">
        <f>HYPERLINK("http://www.twitter.com/libraryrunner", "libraryrunner")</f>
        <v>libraryrunner</v>
      </c>
      <c r="B971" s="65" t="s">
        <v>222</v>
      </c>
    </row>
    <row r="972" spans="1:2" x14ac:dyDescent="0.25">
      <c r="A972" s="64" t="str">
        <f>HYPERLINK("http://www.twitter.com/IcamArchive", "IcamArchive")</f>
        <v>IcamArchive</v>
      </c>
      <c r="B972" s="65" t="s">
        <v>1033</v>
      </c>
    </row>
    <row r="973" spans="1:2" x14ac:dyDescent="0.25">
      <c r="A973" s="64" t="str">
        <f>HYPERLINK("http://www.twitter.com/MikeDia03746009", "MikeDia03746009")</f>
        <v>MikeDia03746009</v>
      </c>
      <c r="B973" s="65"/>
    </row>
    <row r="974" spans="1:2" x14ac:dyDescent="0.25">
      <c r="A974" s="64" t="str">
        <f>HYPERLINK("http://www.twitter.com/HMPD_ZA", "HMPD_ZA")</f>
        <v>HMPD_ZA</v>
      </c>
      <c r="B974" s="65" t="s">
        <v>4146</v>
      </c>
    </row>
    <row r="975" spans="1:2" x14ac:dyDescent="0.25">
      <c r="A975" s="64" t="str">
        <f>HYPERLINK("http://www.twitter.com/MarcelaDO", "MarcelaDO")</f>
        <v>MarcelaDO</v>
      </c>
      <c r="B975" s="65"/>
    </row>
    <row r="976" spans="1:2" x14ac:dyDescent="0.25">
      <c r="A976" s="64" t="str">
        <f>HYPERLINK("http://www.twitter.com/W4mediaUK", "W4mediaUK")</f>
        <v>W4mediaUK</v>
      </c>
      <c r="B976" s="65" t="s">
        <v>36</v>
      </c>
    </row>
    <row r="977" spans="1:2" x14ac:dyDescent="0.25">
      <c r="A977" s="64" t="str">
        <f>HYPERLINK("http://www.twitter.com/MrsHCanville", "MrsHCanville")</f>
        <v>MrsHCanville</v>
      </c>
      <c r="B977" s="65"/>
    </row>
    <row r="978" spans="1:2" x14ac:dyDescent="0.25">
      <c r="A978" s="64" t="str">
        <f>HYPERLINK("http://www.twitter.com/Michael66818214", "Michael66818214")</f>
        <v>Michael66818214</v>
      </c>
      <c r="B978" s="65" t="s">
        <v>1817</v>
      </c>
    </row>
    <row r="979" spans="1:2" x14ac:dyDescent="0.25">
      <c r="A979" s="64" t="str">
        <f>HYPERLINK("http://www.twitter.com/MissEmilieLib", "MissEmilieLib")</f>
        <v>MissEmilieLib</v>
      </c>
      <c r="B979" s="65" t="s">
        <v>4147</v>
      </c>
    </row>
    <row r="980" spans="1:2" x14ac:dyDescent="0.25">
      <c r="A980" s="64" t="str">
        <f>HYPERLINK("http://www.twitter.com/RealLLW", "RealLLW")</f>
        <v>RealLLW</v>
      </c>
      <c r="B980" s="65" t="s">
        <v>477</v>
      </c>
    </row>
    <row r="981" spans="1:2" x14ac:dyDescent="0.25">
      <c r="A981" s="64" t="str">
        <f>HYPERLINK("http://www.twitter.com/katstenger", "katstenger")</f>
        <v>katstenger</v>
      </c>
      <c r="B981" s="65" t="s">
        <v>4148</v>
      </c>
    </row>
    <row r="982" spans="1:2" x14ac:dyDescent="0.25">
      <c r="A982" s="64" t="str">
        <f>HYPERLINK("http://www.twitter.com/OliviaRose_F", "OliviaRose_F")</f>
        <v>OliviaRose_F</v>
      </c>
      <c r="B982" s="65" t="s">
        <v>477</v>
      </c>
    </row>
    <row r="983" spans="1:2" x14ac:dyDescent="0.25">
      <c r="A983" s="64" t="str">
        <f>HYPERLINK("http://www.twitter.com/the_bookfairies", "the_bookfairies")</f>
        <v>the_bookfairies</v>
      </c>
      <c r="B983" s="65" t="s">
        <v>4149</v>
      </c>
    </row>
    <row r="984" spans="1:2" x14ac:dyDescent="0.25">
      <c r="A984" s="64" t="str">
        <f>HYPERLINK("http://www.twitter.com/StepheHarrop", "StepheHarrop")</f>
        <v>StepheHarrop</v>
      </c>
      <c r="B984" s="65" t="s">
        <v>102</v>
      </c>
    </row>
    <row r="985" spans="1:2" x14ac:dyDescent="0.25">
      <c r="A985" s="64" t="str">
        <f>HYPERLINK("http://www.twitter.com/aidafdezgarcia", "aidafdezgarcia")</f>
        <v>aidafdezgarcia</v>
      </c>
      <c r="B985" s="65" t="s">
        <v>4150</v>
      </c>
    </row>
    <row r="986" spans="1:2" x14ac:dyDescent="0.25">
      <c r="A986" s="64" t="str">
        <f>HYPERLINK("http://www.twitter.com/TearsOfLys18", "TearsOfLys18")</f>
        <v>TearsOfLys18</v>
      </c>
      <c r="B986" s="65" t="s">
        <v>3797</v>
      </c>
    </row>
    <row r="987" spans="1:2" x14ac:dyDescent="0.25">
      <c r="A987" s="64" t="str">
        <f>HYPERLINK("http://www.twitter.com/tazza_bee", "tazza_bee")</f>
        <v>tazza_bee</v>
      </c>
      <c r="B987" s="65" t="s">
        <v>4151</v>
      </c>
    </row>
    <row r="988" spans="1:2" x14ac:dyDescent="0.25">
      <c r="A988" s="64" t="str">
        <f>HYPERLINK("http://www.twitter.com/DrJackieSpicer", "DrJackieSpicer")</f>
        <v>DrJackieSpicer</v>
      </c>
      <c r="B988" s="65" t="s">
        <v>4152</v>
      </c>
    </row>
    <row r="989" spans="1:2" x14ac:dyDescent="0.25">
      <c r="A989" s="64" t="str">
        <f>HYPERLINK("http://www.twitter.com/pipsjukebox", "pipsjukebox")</f>
        <v>pipsjukebox</v>
      </c>
      <c r="B989" s="65" t="s">
        <v>296</v>
      </c>
    </row>
    <row r="990" spans="1:2" x14ac:dyDescent="0.25">
      <c r="A990" s="64" t="str">
        <f>HYPERLINK("http://www.twitter.com/Myra84", "Myra84")</f>
        <v>Myra84</v>
      </c>
      <c r="B990" s="65" t="s">
        <v>4153</v>
      </c>
    </row>
    <row r="991" spans="1:2" x14ac:dyDescent="0.25">
      <c r="A991" s="64" t="str">
        <f>HYPERLINK("http://www.twitter.com/bitten_", "bitten_")</f>
        <v>bitten_</v>
      </c>
      <c r="B991" s="65" t="s">
        <v>110</v>
      </c>
    </row>
    <row r="992" spans="1:2" x14ac:dyDescent="0.25">
      <c r="A992" s="64" t="str">
        <f>HYPERLINK("http://www.twitter.com/mordoc1", "mordoc1")</f>
        <v>mordoc1</v>
      </c>
      <c r="B992" s="65"/>
    </row>
    <row r="993" spans="1:2" x14ac:dyDescent="0.25">
      <c r="A993" s="64" t="str">
        <f>HYPERLINK("http://www.twitter.com/MrsUppie", "MrsUppie")</f>
        <v>MrsUppie</v>
      </c>
      <c r="B993" s="65"/>
    </row>
    <row r="994" spans="1:2" x14ac:dyDescent="0.25">
      <c r="A994" s="64" t="str">
        <f>HYPERLINK("http://www.twitter.com/islandscop", "islandscop")</f>
        <v>islandscop</v>
      </c>
      <c r="B994" s="65" t="s">
        <v>4154</v>
      </c>
    </row>
    <row r="995" spans="1:2" x14ac:dyDescent="0.25">
      <c r="A995" s="64" t="str">
        <f>HYPERLINK("http://www.twitter.com/teramika04", "teramika04")</f>
        <v>teramika04</v>
      </c>
      <c r="B995" s="65"/>
    </row>
    <row r="996" spans="1:2" x14ac:dyDescent="0.25">
      <c r="A996" s="64" t="str">
        <f>HYPERLINK("http://www.twitter.com/gwelymynedd", "gwelymynedd")</f>
        <v>gwelymynedd</v>
      </c>
      <c r="B996" s="65"/>
    </row>
    <row r="997" spans="1:2" x14ac:dyDescent="0.25">
      <c r="A997" s="64" t="str">
        <f>HYPERLINK("http://www.twitter.com/gzspence", "gzspence")</f>
        <v>gzspence</v>
      </c>
      <c r="B997" s="65" t="s">
        <v>4155</v>
      </c>
    </row>
    <row r="998" spans="1:2" x14ac:dyDescent="0.25">
      <c r="A998" s="64" t="str">
        <f>HYPERLINK("http://www.twitter.com/crownjules1st", "crownjules1st")</f>
        <v>crownjules1st</v>
      </c>
      <c r="B998" s="65"/>
    </row>
    <row r="999" spans="1:2" x14ac:dyDescent="0.25">
      <c r="A999" s="64" t="str">
        <f>HYPERLINK("http://www.twitter.com/RobinMarwick", "RobinMarwick")</f>
        <v>RobinMarwick</v>
      </c>
      <c r="B999" s="65" t="s">
        <v>3688</v>
      </c>
    </row>
    <row r="1000" spans="1:2" x14ac:dyDescent="0.25">
      <c r="A1000" s="64" t="str">
        <f>HYPERLINK("http://www.twitter.com/NL_Heritage", "NL_Heritage")</f>
        <v>NL_Heritage</v>
      </c>
      <c r="B1000" s="65" t="s">
        <v>4156</v>
      </c>
    </row>
    <row r="1001" spans="1:2" x14ac:dyDescent="0.25">
      <c r="A1001" s="64" t="str">
        <f>HYPERLINK("http://www.twitter.com/Jennydrabbit", "Jennydrabbit")</f>
        <v>Jennydrabbit</v>
      </c>
      <c r="B1001" s="65"/>
    </row>
    <row r="1002" spans="1:2" x14ac:dyDescent="0.25">
      <c r="A1002" s="64" t="str">
        <f>HYPERLINK("http://www.twitter.com/copydev", "copydev")</f>
        <v>copydev</v>
      </c>
      <c r="B1002" s="65" t="s">
        <v>4157</v>
      </c>
    </row>
    <row r="1003" spans="1:2" x14ac:dyDescent="0.25">
      <c r="A1003" s="64" t="str">
        <f>HYPERLINK("http://www.twitter.com/Glenworking", "Glenworking")</f>
        <v>Glenworking</v>
      </c>
      <c r="B1003" s="65" t="s">
        <v>3779</v>
      </c>
    </row>
    <row r="1004" spans="1:2" x14ac:dyDescent="0.25">
      <c r="A1004" s="64" t="str">
        <f>HYPERLINK("http://www.twitter.com/kanno_ghost", "kanno_ghost")</f>
        <v>kanno_ghost</v>
      </c>
      <c r="B1004" s="65"/>
    </row>
    <row r="1005" spans="1:2" x14ac:dyDescent="0.25">
      <c r="A1005" s="64" t="str">
        <f>HYPERLINK("http://www.twitter.com/BooklyWorld", "BooklyWorld")</f>
        <v>BooklyWorld</v>
      </c>
      <c r="B1005" s="65"/>
    </row>
    <row r="1006" spans="1:2" x14ac:dyDescent="0.25">
      <c r="A1006" s="64" t="str">
        <f>HYPERLINK("http://www.twitter.com/tduggan201", "tduggan201")</f>
        <v>tduggan201</v>
      </c>
      <c r="B1006" s="65"/>
    </row>
    <row r="1007" spans="1:2" x14ac:dyDescent="0.25">
      <c r="A1007" s="64" t="str">
        <f>HYPERLINK("http://www.twitter.com/MacmillanGL", "MacmillanGL")</f>
        <v>MacmillanGL</v>
      </c>
      <c r="B1007" s="65" t="s">
        <v>138</v>
      </c>
    </row>
    <row r="1008" spans="1:2" x14ac:dyDescent="0.25">
      <c r="A1008" s="64" t="str">
        <f>HYPERLINK("http://www.twitter.com/NehaBabu7", "NehaBabu7")</f>
        <v>NehaBabu7</v>
      </c>
      <c r="B1008" s="65"/>
    </row>
    <row r="1009" spans="1:2" x14ac:dyDescent="0.25">
      <c r="A1009" s="64" t="str">
        <f>HYPERLINK("http://www.twitter.com/lemonjapp", "lemonjapp")</f>
        <v>lemonjapp</v>
      </c>
      <c r="B1009" s="65" t="s">
        <v>203</v>
      </c>
    </row>
    <row r="1010" spans="1:2" x14ac:dyDescent="0.25">
      <c r="A1010" s="64" t="str">
        <f>HYPERLINK("http://www.twitter.com/Lupita_GarzaG", "Lupita_GarzaG")</f>
        <v>Lupita_GarzaG</v>
      </c>
      <c r="B1010" s="65" t="s">
        <v>4158</v>
      </c>
    </row>
    <row r="1011" spans="1:2" x14ac:dyDescent="0.25">
      <c r="A1011" s="64" t="str">
        <f>HYPERLINK("http://www.twitter.com/treaclegeorge", "treaclegeorge")</f>
        <v>treaclegeorge</v>
      </c>
      <c r="B1011" s="65" t="s">
        <v>1377</v>
      </c>
    </row>
    <row r="1012" spans="1:2" x14ac:dyDescent="0.25">
      <c r="A1012" s="64" t="str">
        <f>HYPERLINK("http://www.twitter.com/LibraryFreckles", "LibraryFreckles")</f>
        <v>LibraryFreckles</v>
      </c>
      <c r="B1012" s="65"/>
    </row>
    <row r="1013" spans="1:2" x14ac:dyDescent="0.25">
      <c r="A1013" s="64" t="str">
        <f>HYPERLINK("http://www.twitter.com/milad10101", "milad10101")</f>
        <v>milad10101</v>
      </c>
      <c r="B1013" s="65"/>
    </row>
    <row r="1014" spans="1:2" x14ac:dyDescent="0.25">
      <c r="A1014" s="64" t="str">
        <f>HYPERLINK("http://www.twitter.com/ringnetter", "ringnetter")</f>
        <v>ringnetter</v>
      </c>
      <c r="B1014" s="65" t="s">
        <v>4159</v>
      </c>
    </row>
    <row r="1015" spans="1:2" x14ac:dyDescent="0.25">
      <c r="A1015" s="64" t="str">
        <f>HYPERLINK("http://www.twitter.com/RabRhee", "RabRhee")</f>
        <v>RabRhee</v>
      </c>
      <c r="B1015" s="65"/>
    </row>
    <row r="1016" spans="1:2" x14ac:dyDescent="0.25">
      <c r="A1016" s="64" t="str">
        <f>HYPERLINK("http://www.twitter.com/ClaireInHeaven1", "ClaireInHeaven1")</f>
        <v>ClaireInHeaven1</v>
      </c>
      <c r="B1016" s="65" t="s">
        <v>4160</v>
      </c>
    </row>
    <row r="1017" spans="1:2" x14ac:dyDescent="0.25">
      <c r="A1017" s="64" t="str">
        <f>HYPERLINK("http://www.twitter.com/IAMalone0105", "IAMalone0105")</f>
        <v>IAMalone0105</v>
      </c>
      <c r="B1017" s="65"/>
    </row>
    <row r="1018" spans="1:2" x14ac:dyDescent="0.25">
      <c r="A1018" s="64" t="str">
        <f>HYPERLINK("http://www.twitter.com/sjaacoop", "sjaacoop")</f>
        <v>sjaacoop</v>
      </c>
      <c r="B1018" s="65"/>
    </row>
    <row r="1019" spans="1:2" x14ac:dyDescent="0.25">
      <c r="A1019" s="64" t="str">
        <f>HYPERLINK("http://www.twitter.com/uglywebsites", "uglywebsites")</f>
        <v>uglywebsites</v>
      </c>
      <c r="B1019" s="65"/>
    </row>
    <row r="1020" spans="1:2" x14ac:dyDescent="0.25">
      <c r="A1020" s="64" t="str">
        <f>HYPERLINK("http://www.twitter.com/gullycat59", "gullycat59")</f>
        <v>gullycat59</v>
      </c>
      <c r="B1020" s="65"/>
    </row>
    <row r="1021" spans="1:2" x14ac:dyDescent="0.25">
      <c r="A1021" s="64" t="str">
        <f>HYPERLINK("http://www.twitter.com/pm323", "pm323")</f>
        <v>pm323</v>
      </c>
      <c r="B1021" s="65" t="s">
        <v>4161</v>
      </c>
    </row>
    <row r="1022" spans="1:2" x14ac:dyDescent="0.25">
      <c r="A1022" s="64" t="str">
        <f>HYPERLINK("http://www.twitter.com/SilsdenLibrary", "SilsdenLibrary")</f>
        <v>SilsdenLibrary</v>
      </c>
      <c r="B1022" s="65" t="s">
        <v>4162</v>
      </c>
    </row>
    <row r="1023" spans="1:2" x14ac:dyDescent="0.25">
      <c r="A1023" s="64" t="str">
        <f>HYPERLINK("http://www.twitter.com/Hyena_1953", "Hyena_1953")</f>
        <v>Hyena_1953</v>
      </c>
      <c r="B1023" s="65" t="s">
        <v>4163</v>
      </c>
    </row>
    <row r="1024" spans="1:2" x14ac:dyDescent="0.25">
      <c r="A1024" s="64" t="str">
        <f>HYPERLINK("http://www.twitter.com/NicolaEJFox", "NicolaEJFox")</f>
        <v>NicolaEJFox</v>
      </c>
      <c r="B1024" s="65" t="s">
        <v>4164</v>
      </c>
    </row>
    <row r="1025" spans="1:2" x14ac:dyDescent="0.25">
      <c r="A1025" s="64" t="str">
        <f>HYPERLINK("http://www.twitter.com/theideaburo", "theideaburo")</f>
        <v>theideaburo</v>
      </c>
      <c r="B1025" s="65" t="s">
        <v>3682</v>
      </c>
    </row>
    <row r="1026" spans="1:2" x14ac:dyDescent="0.25">
      <c r="A1026" s="64" t="str">
        <f>HYPERLINK("http://www.twitter.com/cortechquality", "cortechquality")</f>
        <v>cortechquality</v>
      </c>
      <c r="B1026" s="65" t="s">
        <v>4165</v>
      </c>
    </row>
    <row r="1027" spans="1:2" x14ac:dyDescent="0.25">
      <c r="A1027" s="64" t="str">
        <f>HYPERLINK("http://www.twitter.com/ilikebeignets", "ilikebeignets")</f>
        <v>ilikebeignets</v>
      </c>
      <c r="B1027" s="65" t="s">
        <v>4166</v>
      </c>
    </row>
    <row r="1028" spans="1:2" x14ac:dyDescent="0.25">
      <c r="A1028" s="64" t="str">
        <f>HYPERLINK("http://www.twitter.com/0cryst4l0", "0cryst4l0")</f>
        <v>0cryst4l0</v>
      </c>
      <c r="B1028" s="65" t="s">
        <v>4167</v>
      </c>
    </row>
    <row r="1029" spans="1:2" x14ac:dyDescent="0.25">
      <c r="A1029" s="64" t="str">
        <f>HYPERLINK("http://www.twitter.com/marinemutch", "marinemutch")</f>
        <v>marinemutch</v>
      </c>
      <c r="B1029" s="65" t="s">
        <v>569</v>
      </c>
    </row>
    <row r="1030" spans="1:2" x14ac:dyDescent="0.25">
      <c r="A1030" s="64" t="str">
        <f>HYPERLINK("http://www.twitter.com/LizKirkland14", "LizKirkland14")</f>
        <v>LizKirkland14</v>
      </c>
      <c r="B1030" s="65"/>
    </row>
    <row r="1031" spans="1:2" x14ac:dyDescent="0.25">
      <c r="A1031" s="64" t="str">
        <f>HYPERLINK("http://www.twitter.com/Morayjs", "Morayjs")</f>
        <v>Morayjs</v>
      </c>
      <c r="B1031" s="65" t="s">
        <v>4168</v>
      </c>
    </row>
    <row r="1032" spans="1:2" x14ac:dyDescent="0.25">
      <c r="A1032" s="64" t="str">
        <f>HYPERLINK("http://www.twitter.com/LorenzoDiGe", "LorenzoDiGe")</f>
        <v>LorenzoDiGe</v>
      </c>
      <c r="B1032" s="65"/>
    </row>
    <row r="1033" spans="1:2" x14ac:dyDescent="0.25">
      <c r="A1033" s="64" t="str">
        <f>HYPERLINK("http://www.twitter.com/MzRubybaby2003", "MzRubybaby2003")</f>
        <v>MzRubybaby2003</v>
      </c>
      <c r="B1033" s="65"/>
    </row>
    <row r="1034" spans="1:2" x14ac:dyDescent="0.25">
      <c r="A1034" s="64" t="str">
        <f>HYPERLINK("http://www.twitter.com/Huskyteer", "Huskyteer")</f>
        <v>Huskyteer</v>
      </c>
      <c r="B1034" s="65" t="s">
        <v>4169</v>
      </c>
    </row>
    <row r="1035" spans="1:2" x14ac:dyDescent="0.25">
      <c r="A1035" s="64" t="str">
        <f>HYPERLINK("http://www.twitter.com/Ilumi", "Ilumi")</f>
        <v>Ilumi</v>
      </c>
      <c r="B1035" s="65" t="s">
        <v>4170</v>
      </c>
    </row>
    <row r="1036" spans="1:2" x14ac:dyDescent="0.25">
      <c r="A1036" s="64" t="str">
        <f>HYPERLINK("http://www.twitter.com/Tracy14786177", "Tracy14786177")</f>
        <v>Tracy14786177</v>
      </c>
      <c r="B1036" s="65"/>
    </row>
    <row r="1037" spans="1:2" x14ac:dyDescent="0.25">
      <c r="A1037" s="64" t="str">
        <f>HYPERLINK("http://www.twitter.com/Froghollow5", "Froghollow5")</f>
        <v>Froghollow5</v>
      </c>
      <c r="B1037" s="65" t="s">
        <v>4171</v>
      </c>
    </row>
    <row r="1038" spans="1:2" x14ac:dyDescent="0.25">
      <c r="A1038" s="64" t="str">
        <f>HYPERLINK("http://www.twitter.com/Chatterblanners", "Chatterblanners")</f>
        <v>Chatterblanners</v>
      </c>
      <c r="B1038" s="65" t="s">
        <v>4172</v>
      </c>
    </row>
    <row r="1039" spans="1:2" x14ac:dyDescent="0.25">
      <c r="A1039" s="64" t="str">
        <f>HYPERLINK("http://www.twitter.com/AmyKitcher", "AmyKitcher")</f>
        <v>AmyKitcher</v>
      </c>
      <c r="B1039" s="65" t="s">
        <v>4173</v>
      </c>
    </row>
    <row r="1040" spans="1:2" x14ac:dyDescent="0.25">
      <c r="A1040" s="64" t="str">
        <f>HYPERLINK("http://www.twitter.com/Nigellicus", "Nigellicus")</f>
        <v>Nigellicus</v>
      </c>
      <c r="B1040" s="65"/>
    </row>
    <row r="1041" spans="1:2" x14ac:dyDescent="0.25">
      <c r="A1041" s="64" t="str">
        <f>HYPERLINK("http://www.twitter.com/sirona7", "sirona7")</f>
        <v>sirona7</v>
      </c>
      <c r="B1041" s="65" t="s">
        <v>4174</v>
      </c>
    </row>
    <row r="1042" spans="1:2" x14ac:dyDescent="0.25">
      <c r="A1042" s="64" t="str">
        <f>HYPERLINK("http://www.twitter.com/novelideasblog", "novelideasblog")</f>
        <v>novelideasblog</v>
      </c>
      <c r="B1042" s="65" t="s">
        <v>526</v>
      </c>
    </row>
    <row r="1043" spans="1:2" x14ac:dyDescent="0.25">
      <c r="A1043" s="64" t="str">
        <f>HYPERLINK("http://www.twitter.com/BarryWi88768923", "BarryWi88768923")</f>
        <v>BarryWi88768923</v>
      </c>
      <c r="B1043" s="65" t="s">
        <v>4175</v>
      </c>
    </row>
    <row r="1044" spans="1:2" x14ac:dyDescent="0.25">
      <c r="A1044" s="64" t="str">
        <f>HYPERLINK("http://www.twitter.com/gazzabwilson", "gazzabwilson")</f>
        <v>gazzabwilson</v>
      </c>
      <c r="B1044" s="65" t="s">
        <v>1482</v>
      </c>
    </row>
    <row r="1045" spans="1:2" x14ac:dyDescent="0.25">
      <c r="A1045" s="64" t="str">
        <f>HYPERLINK("http://www.twitter.com/JSHeadSutton", "JSHeadSutton")</f>
        <v>JSHeadSutton</v>
      </c>
      <c r="B1045" s="65" t="s">
        <v>4176</v>
      </c>
    </row>
    <row r="1046" spans="1:2" x14ac:dyDescent="0.25">
      <c r="A1046" s="64" t="str">
        <f>HYPERLINK("http://www.twitter.com/MobileLeeds", "MobileLeeds")</f>
        <v>MobileLeeds</v>
      </c>
      <c r="B1046" s="65" t="s">
        <v>93</v>
      </c>
    </row>
    <row r="1047" spans="1:2" x14ac:dyDescent="0.25">
      <c r="A1047" s="64" t="str">
        <f>HYPERLINK("http://www.twitter.com/EmeraldLibrary", "EmeraldLibrary")</f>
        <v>EmeraldLibrary</v>
      </c>
      <c r="B1047" s="65" t="s">
        <v>4177</v>
      </c>
    </row>
    <row r="1048" spans="1:2" x14ac:dyDescent="0.25">
      <c r="A1048" s="64" t="str">
        <f>HYPERLINK("http://www.twitter.com/TraciWilley", "TraciWilley")</f>
        <v>TraciWilley</v>
      </c>
      <c r="B1048" s="65" t="s">
        <v>4178</v>
      </c>
    </row>
    <row r="1049" spans="1:2" x14ac:dyDescent="0.25">
      <c r="A1049" s="64" t="str">
        <f>HYPERLINK("http://www.twitter.com/HidayatMS4", "HidayatMS4")</f>
        <v>HidayatMS4</v>
      </c>
      <c r="B1049" s="65" t="s">
        <v>4179</v>
      </c>
    </row>
    <row r="1050" spans="1:2" x14ac:dyDescent="0.25">
      <c r="A1050" s="64" t="str">
        <f>HYPERLINK("http://www.twitter.com/SharSemple", "SharSemple")</f>
        <v>SharSemple</v>
      </c>
      <c r="B1050" s="65"/>
    </row>
    <row r="1051" spans="1:2" x14ac:dyDescent="0.25">
      <c r="A1051" s="64" t="str">
        <f>HYPERLINK("http://www.twitter.com/invacadlib", "invacadlib")</f>
        <v>invacadlib</v>
      </c>
      <c r="B1051" s="65" t="s">
        <v>613</v>
      </c>
    </row>
    <row r="1052" spans="1:2" x14ac:dyDescent="0.25">
      <c r="A1052" s="64" t="str">
        <f>HYPERLINK("http://www.twitter.com/maeganlittle7", "maeganlittle7")</f>
        <v>maeganlittle7</v>
      </c>
      <c r="B1052" s="65"/>
    </row>
    <row r="1053" spans="1:2" x14ac:dyDescent="0.25">
      <c r="A1053" s="64" t="str">
        <f>HYPERLINK("http://www.twitter.com/JeanKentSutton", "JeanKentSutton")</f>
        <v>JeanKentSutton</v>
      </c>
      <c r="B1053" s="65"/>
    </row>
    <row r="1054" spans="1:2" x14ac:dyDescent="0.25">
      <c r="A1054" s="64" t="str">
        <f>HYPERLINK("http://www.twitter.com/rowett_abdn", "rowett_abdn")</f>
        <v>rowett_abdn</v>
      </c>
      <c r="B1054" s="65" t="s">
        <v>4180</v>
      </c>
    </row>
    <row r="1055" spans="1:2" x14ac:dyDescent="0.25">
      <c r="A1055" s="64" t="str">
        <f>HYPERLINK("http://www.twitter.com/thecairnsbroch", "thecairnsbroch")</f>
        <v>thecairnsbroch</v>
      </c>
      <c r="B1055" s="65" t="s">
        <v>2007</v>
      </c>
    </row>
    <row r="1056" spans="1:2" x14ac:dyDescent="0.25">
      <c r="A1056" s="64" t="str">
        <f>HYPERLINK("http://www.twitter.com/Docomalik", "Docomalik")</f>
        <v>Docomalik</v>
      </c>
      <c r="B1056" s="65" t="s">
        <v>487</v>
      </c>
    </row>
    <row r="1057" spans="1:2" x14ac:dyDescent="0.25">
      <c r="A1057" s="64" t="str">
        <f>HYPERLINK("http://www.twitter.com/RealRBW", "RealRBW")</f>
        <v>RealRBW</v>
      </c>
      <c r="B1057" s="65" t="s">
        <v>4181</v>
      </c>
    </row>
    <row r="1058" spans="1:2" x14ac:dyDescent="0.25">
      <c r="A1058" s="64" t="str">
        <f>HYPERLINK("http://www.twitter.com/harikagle", "harikagle")</f>
        <v>harikagle</v>
      </c>
      <c r="B1058" s="65" t="s">
        <v>4182</v>
      </c>
    </row>
    <row r="1059" spans="1:2" x14ac:dyDescent="0.25">
      <c r="A1059" s="64" t="str">
        <f>HYPERLINK("http://www.twitter.com/theothermuse", "theothermuse")</f>
        <v>theothermuse</v>
      </c>
      <c r="B1059" s="65" t="s">
        <v>4183</v>
      </c>
    </row>
    <row r="1060" spans="1:2" x14ac:dyDescent="0.25">
      <c r="A1060" s="64" t="str">
        <f>HYPERLINK("http://www.twitter.com/carmelecker", "carmelecker")</f>
        <v>carmelecker</v>
      </c>
      <c r="B1060" s="65" t="s">
        <v>4184</v>
      </c>
    </row>
    <row r="1061" spans="1:2" x14ac:dyDescent="0.25">
      <c r="A1061" s="64" t="str">
        <f>HYPERLINK("http://www.twitter.com/ajile", "ajile")</f>
        <v>ajile</v>
      </c>
      <c r="B1061" s="65" t="s">
        <v>3817</v>
      </c>
    </row>
    <row r="1062" spans="1:2" x14ac:dyDescent="0.25">
      <c r="A1062" s="64" t="str">
        <f>HYPERLINK("http://www.twitter.com/woollahra_lib", "woollahra_lib")</f>
        <v>woollahra_lib</v>
      </c>
      <c r="B1062" s="65" t="s">
        <v>4185</v>
      </c>
    </row>
    <row r="1063" spans="1:2" x14ac:dyDescent="0.25">
      <c r="A1063" s="64" t="str">
        <f>HYPERLINK("http://www.twitter.com/BillMonkman", "BillMonkman")</f>
        <v>BillMonkman</v>
      </c>
      <c r="B1063" s="65"/>
    </row>
    <row r="1064" spans="1:2" x14ac:dyDescent="0.25">
      <c r="A1064" s="64" t="str">
        <f>HYPERLINK("http://www.twitter.com/Maggie_Perhaps", "Maggie_Perhaps")</f>
        <v>Maggie_Perhaps</v>
      </c>
      <c r="B1064" s="65"/>
    </row>
    <row r="1065" spans="1:2" x14ac:dyDescent="0.25">
      <c r="A1065" s="64" t="str">
        <f>HYPERLINK("http://www.twitter.com/lindach", "lindach")</f>
        <v>lindach</v>
      </c>
      <c r="B1065" s="65" t="s">
        <v>3988</v>
      </c>
    </row>
    <row r="1066" spans="1:2" x14ac:dyDescent="0.25">
      <c r="A1066" s="64" t="str">
        <f>HYPERLINK("http://www.twitter.com/laralovesknit", "laralovesknit")</f>
        <v>laralovesknit</v>
      </c>
      <c r="B1066" s="65"/>
    </row>
    <row r="1067" spans="1:2" x14ac:dyDescent="0.25">
      <c r="A1067" s="64" t="str">
        <f>HYPERLINK("http://www.twitter.com/superkits19", "superkits19")</f>
        <v>superkits19</v>
      </c>
      <c r="B1067" s="65" t="s">
        <v>36</v>
      </c>
    </row>
    <row r="1068" spans="1:2" x14ac:dyDescent="0.25">
      <c r="A1068" s="64" t="str">
        <f>HYPERLINK("http://www.twitter.com/DrKPfeiffer", "DrKPfeiffer")</f>
        <v>DrKPfeiffer</v>
      </c>
      <c r="B1068" s="65"/>
    </row>
    <row r="1069" spans="1:2" x14ac:dyDescent="0.25">
      <c r="A1069" s="64" t="str">
        <f>HYPERLINK("http://www.twitter.com/murrayboy61", "murrayboy61")</f>
        <v>murrayboy61</v>
      </c>
      <c r="B1069" s="65"/>
    </row>
    <row r="1070" spans="1:2" x14ac:dyDescent="0.25">
      <c r="A1070" s="64" t="str">
        <f>HYPERLINK("http://www.twitter.com/Dudgeon_EllieP", "Dudgeon_EllieP")</f>
        <v>Dudgeon_EllieP</v>
      </c>
      <c r="B1070" s="65"/>
    </row>
    <row r="1071" spans="1:2" x14ac:dyDescent="0.25">
      <c r="A1071" s="64" t="str">
        <f>HYPERLINK("http://www.twitter.com/chicthomson", "chicthomson")</f>
        <v>chicthomson</v>
      </c>
      <c r="B1071" s="65" t="s">
        <v>4186</v>
      </c>
    </row>
    <row r="1072" spans="1:2" x14ac:dyDescent="0.25">
      <c r="A1072" s="64" t="str">
        <f>HYPERLINK("http://www.twitter.com/JennTeichmann", "JennTeichmann")</f>
        <v>JennTeichmann</v>
      </c>
      <c r="B1072" s="65"/>
    </row>
    <row r="1073" spans="1:2" x14ac:dyDescent="0.25">
      <c r="A1073" s="64" t="str">
        <f>HYPERLINK("http://www.twitter.com/TartansAndTweed", "TartansAndTweed")</f>
        <v>TartansAndTweed</v>
      </c>
      <c r="B1073" s="65" t="s">
        <v>4187</v>
      </c>
    </row>
    <row r="1074" spans="1:2" x14ac:dyDescent="0.25">
      <c r="A1074" s="64" t="str">
        <f>HYPERLINK("http://www.twitter.com/c_masterman", "c_masterman")</f>
        <v>c_masterman</v>
      </c>
      <c r="B1074" s="65" t="s">
        <v>4188</v>
      </c>
    </row>
    <row r="1075" spans="1:2" x14ac:dyDescent="0.25">
      <c r="A1075" s="64" t="str">
        <f>HYPERLINK("http://www.twitter.com/emryme", "emryme")</f>
        <v>emryme</v>
      </c>
      <c r="B1075" s="65"/>
    </row>
    <row r="1076" spans="1:2" x14ac:dyDescent="0.25">
      <c r="A1076" s="64" t="str">
        <f>HYPERLINK("http://www.twitter.com/FriendsBCL", "FriendsBCL")</f>
        <v>FriendsBCL</v>
      </c>
      <c r="B1076" s="65" t="s">
        <v>4189</v>
      </c>
    </row>
    <row r="1077" spans="1:2" x14ac:dyDescent="0.25">
      <c r="A1077" s="64" t="str">
        <f>HYPERLINK("http://www.twitter.com/mchodora", "mchodora")</f>
        <v>mchodora</v>
      </c>
      <c r="B1077" s="65" t="s">
        <v>4035</v>
      </c>
    </row>
    <row r="1078" spans="1:2" x14ac:dyDescent="0.25">
      <c r="A1078" s="64" t="str">
        <f>HYPERLINK("http://www.twitter.com/bluestream_01", "bluestream_01")</f>
        <v>bluestream_01</v>
      </c>
      <c r="B1078" s="65" t="s">
        <v>4190</v>
      </c>
    </row>
    <row r="1079" spans="1:2" x14ac:dyDescent="0.25">
      <c r="A1079" s="64" t="str">
        <f>HYPERLINK("http://www.twitter.com/JenACKnitwear", "JenACKnitwear")</f>
        <v>JenACKnitwear</v>
      </c>
      <c r="B1079" s="65" t="s">
        <v>1810</v>
      </c>
    </row>
    <row r="1080" spans="1:2" x14ac:dyDescent="0.25">
      <c r="A1080" s="64" t="str">
        <f>HYPERLINK("http://www.twitter.com/CormackCarr", "CormackCarr")</f>
        <v>CormackCarr</v>
      </c>
      <c r="B1080" s="65" t="s">
        <v>310</v>
      </c>
    </row>
    <row r="1081" spans="1:2" x14ac:dyDescent="0.25">
      <c r="A1081" s="64" t="str">
        <f>HYPERLINK("http://www.twitter.com/SallyRose49", "SallyRose49")</f>
        <v>SallyRose49</v>
      </c>
      <c r="B1081" s="65" t="s">
        <v>4041</v>
      </c>
    </row>
    <row r="1082" spans="1:2" x14ac:dyDescent="0.25">
      <c r="A1082" s="64" t="str">
        <f>HYPERLINK("http://www.twitter.com/lexigent_", "lexigent_")</f>
        <v>lexigent_</v>
      </c>
      <c r="B1082" s="65"/>
    </row>
    <row r="1083" spans="1:2" x14ac:dyDescent="0.25">
      <c r="A1083" s="64" t="str">
        <f>HYPERLINK("http://www.twitter.com/homeisanisland", "homeisanisland")</f>
        <v>homeisanisland</v>
      </c>
      <c r="B1083" s="65" t="s">
        <v>4191</v>
      </c>
    </row>
    <row r="1084" spans="1:2" x14ac:dyDescent="0.25">
      <c r="A1084" s="64" t="str">
        <f>HYPERLINK("http://www.twitter.com/Lynsmulligan", "Lynsmulligan")</f>
        <v>Lynsmulligan</v>
      </c>
      <c r="B1084" s="65"/>
    </row>
    <row r="1085" spans="1:2" x14ac:dyDescent="0.25">
      <c r="A1085" s="64" t="str">
        <f>HYPERLINK("http://www.twitter.com/JHallHDI", "JHallHDI")</f>
        <v>JHallHDI</v>
      </c>
      <c r="B1085" s="65" t="s">
        <v>296</v>
      </c>
    </row>
    <row r="1086" spans="1:2" x14ac:dyDescent="0.25">
      <c r="A1086" s="64" t="str">
        <f>HYPERLINK("http://www.twitter.com/fran10430", "fran10430")</f>
        <v>fran10430</v>
      </c>
      <c r="B1086" s="65"/>
    </row>
    <row r="1087" spans="1:2" x14ac:dyDescent="0.25">
      <c r="A1087" s="64" t="str">
        <f>HYPERLINK("http://www.twitter.com/LarryMontello1", "LarryMontello1")</f>
        <v>LarryMontello1</v>
      </c>
      <c r="B1087" s="65"/>
    </row>
    <row r="1088" spans="1:2" x14ac:dyDescent="0.25">
      <c r="A1088" s="64" t="str">
        <f>HYPERLINK("http://www.twitter.com/Vicseeker", "Vicseeker")</f>
        <v>Vicseeker</v>
      </c>
      <c r="B1088" s="65"/>
    </row>
    <row r="1089" spans="1:2" x14ac:dyDescent="0.25">
      <c r="A1089" s="64" t="str">
        <f>HYPERLINK("http://www.twitter.com/DianaG_9", "DianaG_9")</f>
        <v>DianaG_9</v>
      </c>
      <c r="B1089" s="65" t="s">
        <v>4192</v>
      </c>
    </row>
    <row r="1090" spans="1:2" x14ac:dyDescent="0.25">
      <c r="A1090" s="64" t="str">
        <f>HYPERLINK("http://www.twitter.com/MikeFinbar", "MikeFinbar")</f>
        <v>MikeFinbar</v>
      </c>
      <c r="B1090" s="65"/>
    </row>
    <row r="1091" spans="1:2" x14ac:dyDescent="0.25">
      <c r="A1091" s="64" t="str">
        <f>HYPERLINK("http://www.twitter.com/JillianHeg", "JillianHeg")</f>
        <v>JillianHeg</v>
      </c>
      <c r="B1091" s="65" t="s">
        <v>4193</v>
      </c>
    </row>
    <row r="1092" spans="1:2" x14ac:dyDescent="0.25">
      <c r="A1092" s="64" t="str">
        <f>HYPERLINK("http://www.twitter.com/MagdLibAndArch", "MagdLibAndArch")</f>
        <v>MagdLibAndArch</v>
      </c>
      <c r="B1092" s="65" t="s">
        <v>1452</v>
      </c>
    </row>
    <row r="1093" spans="1:2" x14ac:dyDescent="0.25">
      <c r="A1093" s="64" t="str">
        <f>HYPERLINK("http://www.twitter.com/unstlass80", "unstlass80")</f>
        <v>unstlass80</v>
      </c>
      <c r="B1093" s="65" t="s">
        <v>4194</v>
      </c>
    </row>
    <row r="1094" spans="1:2" x14ac:dyDescent="0.25">
      <c r="A1094" s="64" t="str">
        <f>HYPERLINK("http://www.twitter.com/annie_webster13", "annie_webster13")</f>
        <v>annie_webster13</v>
      </c>
      <c r="B1094" s="65" t="s">
        <v>477</v>
      </c>
    </row>
    <row r="1095" spans="1:2" x14ac:dyDescent="0.25">
      <c r="A1095" s="64" t="str">
        <f>HYPERLINK("http://www.twitter.com/NhewesNick", "NhewesNick")</f>
        <v>NhewesNick</v>
      </c>
      <c r="B1095" s="65"/>
    </row>
    <row r="1096" spans="1:2" x14ac:dyDescent="0.25">
      <c r="A1096" s="64" t="str">
        <f>HYPERLINK("http://www.twitter.com/FatCatBrewery", "FatCatBrewery")</f>
        <v>FatCatBrewery</v>
      </c>
      <c r="B1096" s="65" t="s">
        <v>2213</v>
      </c>
    </row>
    <row r="1097" spans="1:2" x14ac:dyDescent="0.25">
      <c r="A1097" s="64" t="str">
        <f>HYPERLINK("http://www.twitter.com/OutdoorsPhoto", "OutdoorsPhoto")</f>
        <v>OutdoorsPhoto</v>
      </c>
      <c r="B1097" s="65" t="s">
        <v>4195</v>
      </c>
    </row>
    <row r="1098" spans="1:2" x14ac:dyDescent="0.25">
      <c r="A1098" s="64" t="str">
        <f>HYPERLINK("http://www.twitter.com/Katie_Laker", "Katie_Laker")</f>
        <v>Katie_Laker</v>
      </c>
      <c r="B1098" s="65" t="s">
        <v>4196</v>
      </c>
    </row>
    <row r="1099" spans="1:2" x14ac:dyDescent="0.25">
      <c r="A1099" s="64" t="str">
        <f>HYPERLINK("http://www.twitter.com/MarkFinnemore", "MarkFinnemore")</f>
        <v>MarkFinnemore</v>
      </c>
      <c r="B1099" s="65"/>
    </row>
    <row r="1100" spans="1:2" x14ac:dyDescent="0.25">
      <c r="A1100" s="64" t="str">
        <f>HYPERLINK("http://www.twitter.com/dmonbeer", "dmonbeer")</f>
        <v>dmonbeer</v>
      </c>
      <c r="B1100" s="65" t="s">
        <v>1417</v>
      </c>
    </row>
    <row r="1101" spans="1:2" x14ac:dyDescent="0.25">
      <c r="A1101" s="64" t="str">
        <f>HYPERLINK("http://www.twitter.com/StubbyStef", "StubbyStef")</f>
        <v>StubbyStef</v>
      </c>
      <c r="B1101" s="65"/>
    </row>
    <row r="1102" spans="1:2" x14ac:dyDescent="0.25">
      <c r="A1102" s="64" t="str">
        <f>HYPERLINK("http://www.twitter.com/IanStratton", "IanStratton")</f>
        <v>IanStratton</v>
      </c>
      <c r="B1102" s="65" t="s">
        <v>4197</v>
      </c>
    </row>
    <row r="1103" spans="1:2" x14ac:dyDescent="0.25">
      <c r="A1103" s="64" t="str">
        <f>HYPERLINK("http://www.twitter.com/DrKirstyOwen", "DrKirstyOwen")</f>
        <v>DrKirstyOwen</v>
      </c>
      <c r="B1103" s="65" t="s">
        <v>487</v>
      </c>
    </row>
    <row r="1104" spans="1:2" x14ac:dyDescent="0.25">
      <c r="A1104" s="64" t="str">
        <f>HYPERLINK("http://www.twitter.com/davemelsey", "davemelsey")</f>
        <v>davemelsey</v>
      </c>
      <c r="B1104" s="65" t="s">
        <v>4198</v>
      </c>
    </row>
    <row r="1105" spans="1:2" x14ac:dyDescent="0.25">
      <c r="A1105" s="64" t="str">
        <f>HYPERLINK("http://www.twitter.com/judiyellow", "judiyellow")</f>
        <v>judiyellow</v>
      </c>
      <c r="B1105" s="65" t="s">
        <v>4199</v>
      </c>
    </row>
    <row r="1106" spans="1:2" x14ac:dyDescent="0.25">
      <c r="A1106" s="64" t="str">
        <f>HYPERLINK("http://www.twitter.com/Jacquel18619246", "Jacquel18619246")</f>
        <v>Jacquel18619246</v>
      </c>
      <c r="B1106" s="65" t="s">
        <v>477</v>
      </c>
    </row>
    <row r="1107" spans="1:2" x14ac:dyDescent="0.25">
      <c r="A1107" s="64" t="str">
        <f>HYPERLINK("http://www.twitter.com/stacerh", "stacerh")</f>
        <v>stacerh</v>
      </c>
      <c r="B1107" s="65"/>
    </row>
    <row r="1108" spans="1:2" x14ac:dyDescent="0.25">
      <c r="A1108" s="64" t="str">
        <f>HYPERLINK("http://www.twitter.com/invisiblemooste", "invisiblemooste")</f>
        <v>invisiblemooste</v>
      </c>
      <c r="B1108" s="65" t="s">
        <v>4200</v>
      </c>
    </row>
    <row r="1109" spans="1:2" x14ac:dyDescent="0.25">
      <c r="A1109" s="64" t="str">
        <f>HYPERLINK("http://www.twitter.com/john_shute", "john_shute")</f>
        <v>john_shute</v>
      </c>
      <c r="B1109" s="65" t="s">
        <v>4201</v>
      </c>
    </row>
    <row r="1110" spans="1:2" x14ac:dyDescent="0.25">
      <c r="A1110" s="64" t="str">
        <f>HYPERLINK("http://www.twitter.com/lilyofthenorth", "lilyofthenorth")</f>
        <v>lilyofthenorth</v>
      </c>
      <c r="B1110" s="65" t="s">
        <v>4202</v>
      </c>
    </row>
    <row r="1111" spans="1:2" x14ac:dyDescent="0.25">
      <c r="A1111" s="64" t="str">
        <f>HYPERLINK("http://www.twitter.com/furrynorman", "furrynorman")</f>
        <v>furrynorman</v>
      </c>
      <c r="B1111" s="65" t="s">
        <v>4203</v>
      </c>
    </row>
    <row r="1112" spans="1:2" x14ac:dyDescent="0.25">
      <c r="A1112" s="64" t="str">
        <f>HYPERLINK("http://www.twitter.com/raistllynn", "raistllynn")</f>
        <v>raistllynn</v>
      </c>
      <c r="B1112" s="65" t="s">
        <v>4092</v>
      </c>
    </row>
    <row r="1113" spans="1:2" x14ac:dyDescent="0.25">
      <c r="A1113" s="64" t="str">
        <f>HYPERLINK("http://www.twitter.com/teatoastjam", "teatoastjam")</f>
        <v>teatoastjam</v>
      </c>
      <c r="B1113" s="65"/>
    </row>
    <row r="1114" spans="1:2" x14ac:dyDescent="0.25">
      <c r="A1114" s="64" t="str">
        <f>HYPERLINK("http://www.twitter.com/TheDeadPoet7", "TheDeadPoet7")</f>
        <v>TheDeadPoet7</v>
      </c>
      <c r="B1114" s="65" t="s">
        <v>318</v>
      </c>
    </row>
    <row r="1115" spans="1:2" x14ac:dyDescent="0.25">
      <c r="A1115" s="64" t="str">
        <f>HYPERLINK("http://www.twitter.com/ninazinicola", "ninazinicola")</f>
        <v>ninazinicola</v>
      </c>
      <c r="B1115" s="65"/>
    </row>
    <row r="1116" spans="1:2" x14ac:dyDescent="0.25">
      <c r="A1116" s="64" t="str">
        <f>HYPERLINK("http://www.twitter.com/BARREST74", "BARREST74")</f>
        <v>BARREST74</v>
      </c>
      <c r="B1116" s="65"/>
    </row>
    <row r="1117" spans="1:2" x14ac:dyDescent="0.25">
      <c r="A1117" s="64" t="str">
        <f>HYPERLINK("http://www.twitter.com/msnorthernsoul", "msnorthernsoul")</f>
        <v>msnorthernsoul</v>
      </c>
      <c r="B1117" s="65"/>
    </row>
    <row r="1118" spans="1:2" x14ac:dyDescent="0.25">
      <c r="A1118" s="64" t="str">
        <f>HYPERLINK("http://www.twitter.com/sisterraysaid", "sisterraysaid")</f>
        <v>sisterraysaid</v>
      </c>
      <c r="B1118" s="65"/>
    </row>
    <row r="1119" spans="1:2" x14ac:dyDescent="0.25">
      <c r="A1119" s="64" t="str">
        <f>HYPERLINK("http://www.twitter.com/snathe", "snathe")</f>
        <v>snathe</v>
      </c>
      <c r="B1119" s="65" t="s">
        <v>4204</v>
      </c>
    </row>
    <row r="1120" spans="1:2" x14ac:dyDescent="0.25">
      <c r="A1120" s="64" t="str">
        <f>HYPERLINK("http://www.twitter.com/vimtojim", "vimtojim")</f>
        <v>vimtojim</v>
      </c>
      <c r="B1120" s="65"/>
    </row>
    <row r="1121" spans="1:2" x14ac:dyDescent="0.25">
      <c r="A1121" s="64" t="str">
        <f>HYPERLINK("http://www.twitter.com/GarethButtrill", "GarethButtrill")</f>
        <v>GarethButtrill</v>
      </c>
      <c r="B1121" s="65"/>
    </row>
    <row r="1122" spans="1:2" x14ac:dyDescent="0.25">
      <c r="A1122" s="64" t="str">
        <f>HYPERLINK("http://www.twitter.com/KarunaRiazi", "KarunaRiazi")</f>
        <v>KarunaRiazi</v>
      </c>
      <c r="B1122" s="65" t="s">
        <v>3797</v>
      </c>
    </row>
    <row r="1123" spans="1:2" x14ac:dyDescent="0.25">
      <c r="A1123" s="64" t="str">
        <f>HYPERLINK("http://www.twitter.com/gildedspine", "gildedspine")</f>
        <v>gildedspine</v>
      </c>
      <c r="B1123" s="65" t="s">
        <v>4039</v>
      </c>
    </row>
    <row r="1124" spans="1:2" x14ac:dyDescent="0.25">
      <c r="A1124" s="64" t="str">
        <f>HYPERLINK("http://www.twitter.com/InkAndHive", "InkAndHive")</f>
        <v>InkAndHive</v>
      </c>
      <c r="B1124" s="65" t="s">
        <v>4148</v>
      </c>
    </row>
    <row r="1125" spans="1:2" x14ac:dyDescent="0.25">
      <c r="A1125" s="64" t="str">
        <f>HYPERLINK("http://www.twitter.com/acsoave", "acsoave")</f>
        <v>acsoave</v>
      </c>
      <c r="B1125" s="65" t="s">
        <v>4205</v>
      </c>
    </row>
    <row r="1126" spans="1:2" x14ac:dyDescent="0.25">
      <c r="A1126" s="64" t="str">
        <f>HYPERLINK("http://www.twitter.com/educake81", "educake81")</f>
        <v>educake81</v>
      </c>
      <c r="B1126" s="65" t="s">
        <v>517</v>
      </c>
    </row>
    <row r="1127" spans="1:2" x14ac:dyDescent="0.25">
      <c r="A1127" s="64" t="str">
        <f>HYPERLINK("http://www.twitter.com/SirsiDynix", "SirsiDynix")</f>
        <v>SirsiDynix</v>
      </c>
      <c r="B1127" s="65" t="s">
        <v>4206</v>
      </c>
    </row>
    <row r="1128" spans="1:2" x14ac:dyDescent="0.25">
      <c r="A1128" s="64" t="str">
        <f>HYPERLINK("http://www.twitter.com/saucyandspice", "saucyandspice")</f>
        <v>saucyandspice</v>
      </c>
      <c r="B1128" s="65" t="s">
        <v>4207</v>
      </c>
    </row>
    <row r="1129" spans="1:2" x14ac:dyDescent="0.25">
      <c r="A1129" s="64" t="str">
        <f>HYPERLINK("http://www.twitter.com/ShaunaSSCS", "ShaunaSSCS")</f>
        <v>ShaunaSSCS</v>
      </c>
      <c r="B1129" s="65" t="s">
        <v>4208</v>
      </c>
    </row>
    <row r="1130" spans="1:2" x14ac:dyDescent="0.25">
      <c r="A1130" s="64" t="str">
        <f>HYPERLINK("http://www.twitter.com/christianli3bo1", "christianli3bo1")</f>
        <v>christianli3bo1</v>
      </c>
      <c r="B1130" s="65" t="s">
        <v>4209</v>
      </c>
    </row>
    <row r="1131" spans="1:2" x14ac:dyDescent="0.25">
      <c r="A1131" s="64" t="str">
        <f>HYPERLINK("http://www.twitter.com/mattedwardfox", "mattedwardfox")</f>
        <v>mattedwardfox</v>
      </c>
      <c r="B1131" s="65" t="s">
        <v>4210</v>
      </c>
    </row>
    <row r="1132" spans="1:2" x14ac:dyDescent="0.25">
      <c r="A1132" s="64" t="str">
        <f>HYPERLINK("http://www.twitter.com/asyaarobins", "asyaarobins")</f>
        <v>asyaarobins</v>
      </c>
      <c r="B1132" s="65"/>
    </row>
    <row r="1133" spans="1:2" x14ac:dyDescent="0.25">
      <c r="A1133" s="64" t="str">
        <f>HYPERLINK("http://www.twitter.com/BumpinGemz", "BumpinGemz")</f>
        <v>BumpinGemz</v>
      </c>
      <c r="B1133" s="65" t="s">
        <v>4211</v>
      </c>
    </row>
    <row r="1134" spans="1:2" x14ac:dyDescent="0.25">
      <c r="A1134" s="64" t="str">
        <f>HYPERLINK("http://www.twitter.com/eliasilvestrada", "eliasilvestrada")</f>
        <v>eliasilvestrada</v>
      </c>
      <c r="B1134" s="65" t="s">
        <v>4212</v>
      </c>
    </row>
    <row r="1135" spans="1:2" x14ac:dyDescent="0.25">
      <c r="A1135" s="64" t="str">
        <f>HYPERLINK("http://www.twitter.com/drljshepherd", "drljshepherd")</f>
        <v>drljshepherd</v>
      </c>
      <c r="B1135" s="65" t="s">
        <v>3817</v>
      </c>
    </row>
    <row r="1136" spans="1:2" x14ac:dyDescent="0.25">
      <c r="A1136" s="64" t="str">
        <f>HYPERLINK("http://www.twitter.com/livingwomen", "livingwomen")</f>
        <v>livingwomen</v>
      </c>
      <c r="B1136" s="65" t="s">
        <v>4213</v>
      </c>
    </row>
    <row r="1137" spans="1:2" x14ac:dyDescent="0.25">
      <c r="A1137" s="64" t="str">
        <f>HYPERLINK("http://www.twitter.com/IngridM345TT", "IngridM345TT")</f>
        <v>IngridM345TT</v>
      </c>
      <c r="B1137" s="65"/>
    </row>
    <row r="1138" spans="1:2" x14ac:dyDescent="0.25">
      <c r="A1138" s="64" t="str">
        <f>HYPERLINK("http://www.twitter.com/galean_thrope", "galean_thrope")</f>
        <v>galean_thrope</v>
      </c>
      <c r="B1138" s="65"/>
    </row>
    <row r="1139" spans="1:2" x14ac:dyDescent="0.25">
      <c r="A1139" s="64" t="str">
        <f>HYPERLINK("http://www.twitter.com/jellycat72", "jellycat72")</f>
        <v>jellycat72</v>
      </c>
      <c r="B1139" s="65" t="s">
        <v>517</v>
      </c>
    </row>
    <row r="1140" spans="1:2" x14ac:dyDescent="0.25">
      <c r="A1140" s="64" t="str">
        <f>HYPERLINK("http://www.twitter.com/CliffH", "CliffH")</f>
        <v>CliffH</v>
      </c>
      <c r="B1140" s="65" t="s">
        <v>3868</v>
      </c>
    </row>
    <row r="1141" spans="1:2" x14ac:dyDescent="0.25">
      <c r="A1141" s="64" t="str">
        <f>HYPERLINK("http://www.twitter.com/Book_Gnome", "Book_Gnome")</f>
        <v>Book_Gnome</v>
      </c>
      <c r="B1141" s="65"/>
    </row>
    <row r="1142" spans="1:2" x14ac:dyDescent="0.25">
      <c r="A1142" s="64" t="str">
        <f>HYPERLINK("http://www.twitter.com/ghibli_geek", "ghibli_geek")</f>
        <v>ghibli_geek</v>
      </c>
      <c r="B1142" s="65"/>
    </row>
    <row r="1143" spans="1:2" x14ac:dyDescent="0.25">
      <c r="A1143" s="64" t="str">
        <f>HYPERLINK("http://www.twitter.com/BessTheHess", "BessTheHess")</f>
        <v>BessTheHess</v>
      </c>
      <c r="B1143" s="65"/>
    </row>
    <row r="1144" spans="1:2" x14ac:dyDescent="0.25">
      <c r="A1144" s="64" t="str">
        <f>HYPERLINK("http://www.twitter.com/PaintedPixels", "PaintedPixels")</f>
        <v>PaintedPixels</v>
      </c>
      <c r="B1144" s="65"/>
    </row>
    <row r="1145" spans="1:2" x14ac:dyDescent="0.25">
      <c r="A1145" s="64" t="str">
        <f>HYPERLINK("http://www.twitter.com/lauralikesbooks", "lauralikesbooks")</f>
        <v>lauralikesbooks</v>
      </c>
      <c r="B1145" s="65" t="s">
        <v>4214</v>
      </c>
    </row>
    <row r="1146" spans="1:2" x14ac:dyDescent="0.25">
      <c r="A1146" s="64" t="str">
        <f>HYPERLINK("http://www.twitter.com/ConstLib", "ConstLib")</f>
        <v>ConstLib</v>
      </c>
      <c r="B1146" s="65"/>
    </row>
    <row r="1147" spans="1:2" x14ac:dyDescent="0.25">
      <c r="A1147" s="64" t="str">
        <f>HYPERLINK("http://www.twitter.com/evilniamh", "evilniamh")</f>
        <v>evilniamh</v>
      </c>
      <c r="B1147" s="65" t="s">
        <v>4215</v>
      </c>
    </row>
    <row r="1148" spans="1:2" x14ac:dyDescent="0.25">
      <c r="A1148" s="64" t="str">
        <f>HYPERLINK("http://www.twitter.com/bizdistricts", "bizdistricts")</f>
        <v>bizdistricts</v>
      </c>
      <c r="B1148" s="65" t="s">
        <v>4216</v>
      </c>
    </row>
    <row r="1149" spans="1:2" x14ac:dyDescent="0.25">
      <c r="A1149" s="64" t="str">
        <f>HYPERLINK("http://www.twitter.com/DianeKellyBooks", "DianeKellyBooks")</f>
        <v>DianeKellyBooks</v>
      </c>
      <c r="B1149" s="65"/>
    </row>
    <row r="1150" spans="1:2" x14ac:dyDescent="0.25">
      <c r="A1150" s="64" t="str">
        <f>HYPERLINK("http://www.twitter.com/EruthsLindell", "EruthsLindell")</f>
        <v>EruthsLindell</v>
      </c>
      <c r="B1150" s="65" t="s">
        <v>4217</v>
      </c>
    </row>
    <row r="1151" spans="1:2" x14ac:dyDescent="0.25">
      <c r="A1151" s="64" t="str">
        <f>HYPERLINK("http://www.twitter.com/lounge_books", "lounge_books")</f>
        <v>lounge_books</v>
      </c>
      <c r="B1151" s="65" t="s">
        <v>296</v>
      </c>
    </row>
    <row r="1152" spans="1:2" x14ac:dyDescent="0.25">
      <c r="A1152" s="64" t="str">
        <f>HYPERLINK("http://www.twitter.com/beckypants", "beckypants")</f>
        <v>beckypants</v>
      </c>
      <c r="B1152" s="65" t="s">
        <v>4218</v>
      </c>
    </row>
    <row r="1153" spans="1:2" x14ac:dyDescent="0.25">
      <c r="A1153" s="64" t="str">
        <f>HYPERLINK("http://www.twitter.com/PoliticalYeti", "PoliticalYeti")</f>
        <v>PoliticalYeti</v>
      </c>
      <c r="B1153" s="65" t="s">
        <v>4219</v>
      </c>
    </row>
    <row r="1154" spans="1:2" x14ac:dyDescent="0.25">
      <c r="A1154" s="64" t="str">
        <f>HYPERLINK("http://www.twitter.com/crtjones92", "crtjones92")</f>
        <v>crtjones92</v>
      </c>
      <c r="B1154" s="65"/>
    </row>
    <row r="1155" spans="1:2" x14ac:dyDescent="0.25">
      <c r="A1155" s="64" t="str">
        <f>HYPERLINK("http://www.twitter.com/izzymc101", "izzymc101")</f>
        <v>izzymc101</v>
      </c>
      <c r="B1155" s="65"/>
    </row>
    <row r="1156" spans="1:2" x14ac:dyDescent="0.25">
      <c r="A1156" s="64" t="str">
        <f>HYPERLINK("http://www.twitter.com/andymooselawson", "andymooselawson")</f>
        <v>andymooselawson</v>
      </c>
      <c r="B1156" s="65"/>
    </row>
    <row r="1157" spans="1:2" x14ac:dyDescent="0.25">
      <c r="A1157" s="64" t="str">
        <f>HYPERLINK("http://www.twitter.com/spimescape", "spimescape")</f>
        <v>spimescape</v>
      </c>
      <c r="B1157" s="65" t="s">
        <v>477</v>
      </c>
    </row>
    <row r="1158" spans="1:2" x14ac:dyDescent="0.25">
      <c r="A1158" s="64" t="str">
        <f>HYPERLINK("http://www.twitter.com/Futuredawn", "Futuredawn")</f>
        <v>Futuredawn</v>
      </c>
      <c r="B1158" s="65"/>
    </row>
    <row r="1159" spans="1:2" x14ac:dyDescent="0.25">
      <c r="A1159" s="64" t="str">
        <f>HYPERLINK("http://www.twitter.com/_eflett", "_eflett")</f>
        <v>_eflett</v>
      </c>
      <c r="B1159" s="65"/>
    </row>
    <row r="1160" spans="1:2" x14ac:dyDescent="0.25">
      <c r="A1160" s="64" t="str">
        <f>HYPERLINK("http://www.twitter.com/davidlettington", "davidlettington")</f>
        <v>davidlettington</v>
      </c>
      <c r="B1160" s="65" t="s">
        <v>4220</v>
      </c>
    </row>
    <row r="1161" spans="1:2" x14ac:dyDescent="0.25">
      <c r="A1161" s="64" t="str">
        <f>HYPERLINK("http://www.twitter.com/molana_hajrat", "molana_hajrat")</f>
        <v>molana_hajrat</v>
      </c>
      <c r="B1161" s="65" t="s">
        <v>4221</v>
      </c>
    </row>
    <row r="1162" spans="1:2" x14ac:dyDescent="0.25">
      <c r="A1162" s="64" t="str">
        <f>HYPERLINK("http://www.twitter.com/ConorMulvagh", "ConorMulvagh")</f>
        <v>ConorMulvagh</v>
      </c>
      <c r="B1162" s="65" t="s">
        <v>3760</v>
      </c>
    </row>
    <row r="1163" spans="1:2" x14ac:dyDescent="0.25">
      <c r="A1163" s="64" t="str">
        <f>HYPERLINK("http://www.twitter.com/Wallies9", "Wallies9")</f>
        <v>Wallies9</v>
      </c>
      <c r="B1163" s="65" t="s">
        <v>4222</v>
      </c>
    </row>
    <row r="1164" spans="1:2" x14ac:dyDescent="0.25">
      <c r="A1164" s="64" t="str">
        <f>HYPERLINK("http://www.twitter.com/craigie_dara", "craigie_dara")</f>
        <v>craigie_dara</v>
      </c>
      <c r="B1164" s="65" t="s">
        <v>4223</v>
      </c>
    </row>
    <row r="1165" spans="1:2" x14ac:dyDescent="0.25">
      <c r="A1165" s="64" t="str">
        <f>HYPERLINK("http://www.twitter.com/aronchick", "aronchick")</f>
        <v>aronchick</v>
      </c>
      <c r="B1165" s="65" t="s">
        <v>4224</v>
      </c>
    </row>
    <row r="1166" spans="1:2" x14ac:dyDescent="0.25">
      <c r="A1166" s="64" t="str">
        <f>HYPERLINK("http://www.twitter.com/boxtersushi", "boxtersushi")</f>
        <v>boxtersushi</v>
      </c>
      <c r="B1166" s="65" t="s">
        <v>4225</v>
      </c>
    </row>
    <row r="1167" spans="1:2" x14ac:dyDescent="0.25">
      <c r="A1167" s="64" t="str">
        <f>HYPERLINK("http://www.twitter.com/estebaniza", "estebaniza")</f>
        <v>estebaniza</v>
      </c>
      <c r="B1167" s="65" t="s">
        <v>4226</v>
      </c>
    </row>
    <row r="1168" spans="1:2" x14ac:dyDescent="0.25">
      <c r="A1168" s="64" t="str">
        <f>HYPERLINK("http://www.twitter.com/LesleyMclay", "LesleyMclay")</f>
        <v>LesleyMclay</v>
      </c>
      <c r="B1168" s="65"/>
    </row>
    <row r="1169" spans="1:2" x14ac:dyDescent="0.25">
      <c r="A1169" s="64" t="str">
        <f>HYPERLINK("http://www.twitter.com/lesyeuxbelle", "lesyeuxbelle")</f>
        <v>lesyeuxbelle</v>
      </c>
      <c r="B1169" s="65"/>
    </row>
    <row r="1170" spans="1:2" x14ac:dyDescent="0.25">
      <c r="A1170" s="64" t="str">
        <f>HYPERLINK("http://www.twitter.com/nelsonk365", "nelsonk365")</f>
        <v>nelsonk365</v>
      </c>
      <c r="B1170" s="65"/>
    </row>
    <row r="1171" spans="1:2" x14ac:dyDescent="0.25">
      <c r="A1171" s="64" t="str">
        <f>HYPERLINK("http://www.twitter.com/KatherineSBT", "KatherineSBT")</f>
        <v>KatherineSBT</v>
      </c>
      <c r="B1171" s="65" t="s">
        <v>487</v>
      </c>
    </row>
    <row r="1172" spans="1:2" x14ac:dyDescent="0.25">
      <c r="A1172" s="64" t="str">
        <f>HYPERLINK("http://www.twitter.com/BeccaMoff", "BeccaMoff")</f>
        <v>BeccaMoff</v>
      </c>
      <c r="B1172" s="65" t="s">
        <v>4227</v>
      </c>
    </row>
    <row r="1173" spans="1:2" x14ac:dyDescent="0.25">
      <c r="A1173" s="64" t="str">
        <f>HYPERLINK("http://www.twitter.com/eileensinclair", "eileensinclair")</f>
        <v>eileensinclair</v>
      </c>
      <c r="B1173" s="65" t="s">
        <v>4228</v>
      </c>
    </row>
    <row r="1174" spans="1:2" x14ac:dyDescent="0.25">
      <c r="A1174" s="64" t="str">
        <f>HYPERLINK("http://www.twitter.com/christistark012", "christistark012")</f>
        <v>christistark012</v>
      </c>
      <c r="B1174" s="65" t="s">
        <v>4229</v>
      </c>
    </row>
    <row r="1175" spans="1:2" x14ac:dyDescent="0.25">
      <c r="A1175" s="64" t="str">
        <f>HYPERLINK("http://www.twitter.com/folliard1", "folliard1")</f>
        <v>folliard1</v>
      </c>
      <c r="B1175" s="65"/>
    </row>
    <row r="1176" spans="1:2" x14ac:dyDescent="0.25">
      <c r="A1176" s="64" t="str">
        <f>HYPERLINK("http://www.twitter.com/konicasgray", "konicasgray")</f>
        <v>konicasgray</v>
      </c>
      <c r="B1176" s="65" t="s">
        <v>487</v>
      </c>
    </row>
    <row r="1177" spans="1:2" x14ac:dyDescent="0.25">
      <c r="A1177" s="64" t="str">
        <f>HYPERLINK("http://www.twitter.com/auntygill123", "auntygill123")</f>
        <v>auntygill123</v>
      </c>
      <c r="B1177" s="65"/>
    </row>
    <row r="1178" spans="1:2" x14ac:dyDescent="0.25">
      <c r="A1178" s="64" t="str">
        <f>HYPERLINK("http://www.twitter.com/joanne_dade", "joanne_dade")</f>
        <v>joanne_dade</v>
      </c>
      <c r="B1178" s="65"/>
    </row>
    <row r="1179" spans="1:2" x14ac:dyDescent="0.25">
      <c r="A1179" s="64" t="str">
        <f>HYPERLINK("http://www.twitter.com/prince0605095", "prince0605095")</f>
        <v>prince0605095</v>
      </c>
      <c r="B1179" s="65" t="s">
        <v>477</v>
      </c>
    </row>
    <row r="1180" spans="1:2" x14ac:dyDescent="0.25">
      <c r="A1180" s="64" t="str">
        <f>HYPERLINK("http://www.twitter.com/CoffeeAngelEdi", "CoffeeAngelEdi")</f>
        <v>CoffeeAngelEdi</v>
      </c>
      <c r="B1180" s="65" t="s">
        <v>487</v>
      </c>
    </row>
    <row r="1181" spans="1:2" x14ac:dyDescent="0.25">
      <c r="A1181" s="64" t="str">
        <f>HYPERLINK("http://www.twitter.com/mandersonlib", "mandersonlib")</f>
        <v>mandersonlib</v>
      </c>
      <c r="B1181" s="65" t="s">
        <v>4230</v>
      </c>
    </row>
    <row r="1182" spans="1:2" x14ac:dyDescent="0.25">
      <c r="A1182" s="64" t="str">
        <f>HYPERLINK("http://www.twitter.com/thebenstreet", "thebenstreet")</f>
        <v>thebenstreet</v>
      </c>
      <c r="B1182" s="65" t="s">
        <v>36</v>
      </c>
    </row>
    <row r="1183" spans="1:2" x14ac:dyDescent="0.25">
      <c r="A1183" s="64" t="str">
        <f>HYPERLINK("http://www.twitter.com/ClareAlSharif", "ClareAlSharif")</f>
        <v>ClareAlSharif</v>
      </c>
      <c r="B1183" s="65"/>
    </row>
    <row r="1184" spans="1:2" x14ac:dyDescent="0.25">
      <c r="A1184" s="64" t="str">
        <f>HYPERLINK("http://www.twitter.com/morgan_madge", "morgan_madge")</f>
        <v>morgan_madge</v>
      </c>
      <c r="B1184" s="65"/>
    </row>
    <row r="1185" spans="1:2" x14ac:dyDescent="0.25">
      <c r="A1185" s="64" t="str">
        <f>HYPERLINK("http://www.twitter.com/JenTrueland", "JenTrueland")</f>
        <v>JenTrueland</v>
      </c>
      <c r="B1185" s="65" t="s">
        <v>4231</v>
      </c>
    </row>
    <row r="1186" spans="1:2" x14ac:dyDescent="0.25">
      <c r="A1186" s="64" t="str">
        <f>HYPERLINK("http://www.twitter.com/swiftersout", "swiftersout")</f>
        <v>swiftersout</v>
      </c>
      <c r="B1186" s="65"/>
    </row>
    <row r="1187" spans="1:2" x14ac:dyDescent="0.25">
      <c r="A1187" s="64" t="str">
        <f>HYPERLINK("http://www.twitter.com/DevonLibrarian", "DevonLibrarian")</f>
        <v>DevonLibrarian</v>
      </c>
      <c r="B1187" s="65" t="s">
        <v>630</v>
      </c>
    </row>
    <row r="1188" spans="1:2" x14ac:dyDescent="0.25">
      <c r="A1188" s="64" t="str">
        <f>HYPERLINK("http://www.twitter.com/andrapat", "andrapat")</f>
        <v>andrapat</v>
      </c>
      <c r="B1188" s="65"/>
    </row>
    <row r="1189" spans="1:2" x14ac:dyDescent="0.25">
      <c r="A1189" s="64" t="str">
        <f>HYPERLINK("http://www.twitter.com/AlastairM", "AlastairM")</f>
        <v>AlastairM</v>
      </c>
      <c r="B1189" s="65" t="s">
        <v>4232</v>
      </c>
    </row>
    <row r="1190" spans="1:2" x14ac:dyDescent="0.25">
      <c r="A1190" s="64" t="str">
        <f>HYPERLINK("http://www.twitter.com/callieleroux", "callieleroux")</f>
        <v>callieleroux</v>
      </c>
      <c r="B1190" s="65" t="s">
        <v>4233</v>
      </c>
    </row>
    <row r="1191" spans="1:2" x14ac:dyDescent="0.25">
      <c r="A1191" s="64" t="str">
        <f>HYPERLINK("http://www.twitter.com/saftycyclist", "saftycyclist")</f>
        <v>saftycyclist</v>
      </c>
      <c r="B1191" s="65"/>
    </row>
    <row r="1192" spans="1:2" x14ac:dyDescent="0.25">
      <c r="A1192" s="64" t="str">
        <f>HYPERLINK("http://www.twitter.com/fionat", "fionat")</f>
        <v>fionat</v>
      </c>
      <c r="B1192" s="65"/>
    </row>
    <row r="1193" spans="1:2" x14ac:dyDescent="0.25">
      <c r="A1193" s="64" t="str">
        <f>HYPERLINK("http://www.twitter.com/DTGregg1", "DTGregg1")</f>
        <v>DTGregg1</v>
      </c>
      <c r="B1193" s="65" t="s">
        <v>4234</v>
      </c>
    </row>
    <row r="1194" spans="1:2" x14ac:dyDescent="0.25">
      <c r="A1194" s="64" t="str">
        <f>HYPERLINK("http://www.twitter.com/lumi_1984", "lumi_1984")</f>
        <v>lumi_1984</v>
      </c>
      <c r="B1194" s="65" t="s">
        <v>4235</v>
      </c>
    </row>
    <row r="1195" spans="1:2" x14ac:dyDescent="0.25">
      <c r="A1195" s="64" t="str">
        <f>HYPERLINK("http://www.twitter.com/TheWeeMaverick", "TheWeeMaverick")</f>
        <v>TheWeeMaverick</v>
      </c>
      <c r="B1195" s="65" t="s">
        <v>138</v>
      </c>
    </row>
    <row r="1196" spans="1:2" x14ac:dyDescent="0.25">
      <c r="A1196" s="64" t="str">
        <f>HYPERLINK("http://www.twitter.com/VanessaTelfer", "VanessaTelfer")</f>
        <v>VanessaTelfer</v>
      </c>
      <c r="B1196" s="65"/>
    </row>
    <row r="1197" spans="1:2" x14ac:dyDescent="0.25">
      <c r="A1197" s="64" t="str">
        <f>HYPERLINK("http://www.twitter.com/jjbu12", "jjbu12")</f>
        <v>jjbu12</v>
      </c>
      <c r="B1197" s="65"/>
    </row>
    <row r="1198" spans="1:2" x14ac:dyDescent="0.25">
      <c r="A1198" s="64" t="str">
        <f>HYPERLINK("http://www.twitter.com/nigeltwit", "nigeltwit")</f>
        <v>nigeltwit</v>
      </c>
      <c r="B1198" s="65" t="s">
        <v>4236</v>
      </c>
    </row>
    <row r="1199" spans="1:2" x14ac:dyDescent="0.25">
      <c r="A1199" s="64" t="str">
        <f>HYPERLINK("http://www.twitter.com/Shelley48712027", "Shelley48712027")</f>
        <v>Shelley48712027</v>
      </c>
      <c r="B1199" s="65"/>
    </row>
    <row r="1200" spans="1:2" x14ac:dyDescent="0.25">
      <c r="A1200" s="64" t="str">
        <f>HYPERLINK("http://www.twitter.com/cocoajane", "cocoajane")</f>
        <v>cocoajane</v>
      </c>
      <c r="B1200" s="65" t="s">
        <v>4237</v>
      </c>
    </row>
    <row r="1201" spans="1:2" x14ac:dyDescent="0.25">
      <c r="A1201" s="64" t="str">
        <f>HYPERLINK("http://www.twitter.com/DumfriesOxfam", "DumfriesOxfam")</f>
        <v>DumfriesOxfam</v>
      </c>
      <c r="B1201" s="65" t="s">
        <v>4238</v>
      </c>
    </row>
    <row r="1202" spans="1:2" x14ac:dyDescent="0.25">
      <c r="A1202" s="64" t="str">
        <f>HYPERLINK("http://www.twitter.com/bethleyja", "bethleyja")</f>
        <v>bethleyja</v>
      </c>
      <c r="B1202" s="65" t="s">
        <v>4227</v>
      </c>
    </row>
    <row r="1203" spans="1:2" x14ac:dyDescent="0.25">
      <c r="A1203" s="64" t="str">
        <f>HYPERLINK("http://www.twitter.com/backinitin", "backinitin")</f>
        <v>backinitin</v>
      </c>
      <c r="B1203" s="65" t="s">
        <v>3040</v>
      </c>
    </row>
    <row r="1204" spans="1:2" x14ac:dyDescent="0.25">
      <c r="A1204" s="64" t="str">
        <f>HYPERLINK("http://www.twitter.com/Mumtoposie", "Mumtoposie")</f>
        <v>Mumtoposie</v>
      </c>
      <c r="B1204" s="65"/>
    </row>
    <row r="1205" spans="1:2" x14ac:dyDescent="0.25">
      <c r="A1205" s="64" t="str">
        <f>HYPERLINK("http://www.twitter.com/mzungu74", "mzungu74")</f>
        <v>mzungu74</v>
      </c>
      <c r="B1205" s="65" t="s">
        <v>4239</v>
      </c>
    </row>
    <row r="1206" spans="1:2" x14ac:dyDescent="0.25">
      <c r="A1206" s="64" t="str">
        <f>HYPERLINK("http://www.twitter.com/DavidONeillPR", "DavidONeillPR")</f>
        <v>DavidONeillPR</v>
      </c>
      <c r="B1206" s="65" t="s">
        <v>4240</v>
      </c>
    </row>
    <row r="1207" spans="1:2" x14ac:dyDescent="0.25">
      <c r="A1207" s="64" t="str">
        <f>HYPERLINK("http://www.twitter.com/AndymanMoore", "AndymanMoore")</f>
        <v>AndymanMoore</v>
      </c>
      <c r="B1207" s="65" t="s">
        <v>93</v>
      </c>
    </row>
    <row r="1208" spans="1:2" x14ac:dyDescent="0.25">
      <c r="A1208" s="64" t="str">
        <f>HYPERLINK("http://www.twitter.com/MikeEllison7", "MikeEllison7")</f>
        <v>MikeEllison7</v>
      </c>
      <c r="B1208" s="65"/>
    </row>
    <row r="1209" spans="1:2" x14ac:dyDescent="0.25">
      <c r="A1209" s="64" t="str">
        <f>HYPERLINK("http://www.twitter.com/alexjubb1", "alexjubb1")</f>
        <v>alexjubb1</v>
      </c>
      <c r="B1209" s="65" t="s">
        <v>257</v>
      </c>
    </row>
    <row r="1210" spans="1:2" x14ac:dyDescent="0.25">
      <c r="A1210" s="64" t="str">
        <f>HYPERLINK("http://www.twitter.com/awbeattie", "awbeattie")</f>
        <v>awbeattie</v>
      </c>
      <c r="B1210" s="65"/>
    </row>
    <row r="1211" spans="1:2" x14ac:dyDescent="0.25">
      <c r="A1211" s="64" t="str">
        <f>HYPERLINK("http://www.twitter.com/Brianna_Rudd", "Brianna_Rudd")</f>
        <v>Brianna_Rudd</v>
      </c>
      <c r="B1211" s="65" t="s">
        <v>4241</v>
      </c>
    </row>
    <row r="1212" spans="1:2" x14ac:dyDescent="0.25">
      <c r="A1212" s="64" t="str">
        <f>HYPERLINK("http://www.twitter.com/hermlessbaheid", "hermlessbaheid")</f>
        <v>hermlessbaheid</v>
      </c>
      <c r="B1212" s="65" t="s">
        <v>2007</v>
      </c>
    </row>
    <row r="1213" spans="1:2" x14ac:dyDescent="0.25">
      <c r="A1213" s="64" t="str">
        <f>HYPERLINK("http://www.twitter.com/Davidmc26239982", "Davidmc26239982")</f>
        <v>Davidmc26239982</v>
      </c>
      <c r="B1213" s="65" t="s">
        <v>4242</v>
      </c>
    </row>
    <row r="1214" spans="1:2" x14ac:dyDescent="0.25">
      <c r="A1214" s="64" t="str">
        <f>HYPERLINK("http://www.twitter.com/Cloudhopper9", "Cloudhopper9")</f>
        <v>Cloudhopper9</v>
      </c>
      <c r="B1214" s="65" t="s">
        <v>296</v>
      </c>
    </row>
    <row r="1215" spans="1:2" x14ac:dyDescent="0.25">
      <c r="A1215" s="64" t="str">
        <f>HYPERLINK("http://www.twitter.com/SLDickson", "SLDickson")</f>
        <v>SLDickson</v>
      </c>
      <c r="B1215" s="65" t="s">
        <v>4243</v>
      </c>
    </row>
    <row r="1216" spans="1:2" x14ac:dyDescent="0.25">
      <c r="A1216" s="64" t="str">
        <f>HYPERLINK("http://www.twitter.com/Jamilla_t", "Jamilla_t")</f>
        <v>Jamilla_t</v>
      </c>
      <c r="B1216" s="65"/>
    </row>
    <row r="1217" spans="1:2" x14ac:dyDescent="0.25">
      <c r="A1217" s="64" t="str">
        <f>HYPERLINK("http://www.twitter.com/josiemakes", "josiemakes")</f>
        <v>josiemakes</v>
      </c>
      <c r="B1217" s="65" t="s">
        <v>36</v>
      </c>
    </row>
    <row r="1218" spans="1:2" x14ac:dyDescent="0.25">
      <c r="A1218" s="64" t="str">
        <f>HYPERLINK("http://www.twitter.com/SabineKurz", "SabineKurz")</f>
        <v>SabineKurz</v>
      </c>
      <c r="B1218" s="65" t="s">
        <v>487</v>
      </c>
    </row>
    <row r="1219" spans="1:2" x14ac:dyDescent="0.25">
      <c r="A1219" s="64" t="str">
        <f>HYPERLINK("http://www.twitter.com/MathsKitten", "MathsKitten")</f>
        <v>MathsKitten</v>
      </c>
      <c r="B1219" s="65" t="s">
        <v>36</v>
      </c>
    </row>
    <row r="1220" spans="1:2" x14ac:dyDescent="0.25">
      <c r="A1220" s="64" t="str">
        <f>HYPERLINK("http://www.twitter.com/ClaireGNeuro", "ClaireGNeuro")</f>
        <v>ClaireGNeuro</v>
      </c>
      <c r="B1220" s="65"/>
    </row>
    <row r="1221" spans="1:2" x14ac:dyDescent="0.25">
      <c r="A1221" s="64" t="str">
        <f>HYPERLINK("http://www.twitter.com/CommLinksBrom", "CommLinksBrom")</f>
        <v>CommLinksBrom</v>
      </c>
      <c r="B1221" s="65" t="s">
        <v>4244</v>
      </c>
    </row>
    <row r="1222" spans="1:2" x14ac:dyDescent="0.25">
      <c r="A1222" s="64" t="str">
        <f>HYPERLINK("http://www.twitter.com/bentnib", "bentnib")</f>
        <v>bentnib</v>
      </c>
      <c r="B1222" s="65" t="s">
        <v>67</v>
      </c>
    </row>
    <row r="1223" spans="1:2" x14ac:dyDescent="0.25">
      <c r="A1223" s="64" t="str">
        <f>HYPERLINK("http://www.twitter.com/tashapotamus", "tashapotamus")</f>
        <v>tashapotamus</v>
      </c>
      <c r="B1223" s="65" t="s">
        <v>3978</v>
      </c>
    </row>
    <row r="1224" spans="1:2" x14ac:dyDescent="0.25">
      <c r="A1224" s="64" t="str">
        <f>HYPERLINK("http://www.twitter.com/livyrose_p", "livyrose_p")</f>
        <v>livyrose_p</v>
      </c>
      <c r="B1224" s="65" t="s">
        <v>4245</v>
      </c>
    </row>
    <row r="1225" spans="1:2" x14ac:dyDescent="0.25">
      <c r="A1225" s="64" t="str">
        <f>HYPERLINK("http://www.twitter.com/akmaciver", "akmaciver")</f>
        <v>akmaciver</v>
      </c>
      <c r="B1225" s="65" t="s">
        <v>70</v>
      </c>
    </row>
    <row r="1226" spans="1:2" x14ac:dyDescent="0.25">
      <c r="A1226" s="64" t="str">
        <f>HYPERLINK("http://www.twitter.com/Daisynmurphy", "Daisynmurphy")</f>
        <v>Daisynmurphy</v>
      </c>
      <c r="B1226" s="65"/>
    </row>
    <row r="1227" spans="1:2" x14ac:dyDescent="0.25">
      <c r="A1227" s="64" t="str">
        <f>HYPERLINK("http://www.twitter.com/watchsnapper", "watchsnapper")</f>
        <v>watchsnapper</v>
      </c>
      <c r="B1227" s="65" t="s">
        <v>1046</v>
      </c>
    </row>
    <row r="1228" spans="1:2" x14ac:dyDescent="0.25">
      <c r="A1228" s="64" t="str">
        <f>HYPERLINK("http://www.twitter.com/LSTM_Library", "LSTM_Library")</f>
        <v>LSTM_Library</v>
      </c>
      <c r="B1228" s="65" t="s">
        <v>642</v>
      </c>
    </row>
    <row r="1229" spans="1:2" x14ac:dyDescent="0.25">
      <c r="A1229" s="64" t="str">
        <f>HYPERLINK("http://www.twitter.com/dismur143", "dismur143")</f>
        <v>dismur143</v>
      </c>
      <c r="B1229" s="65" t="s">
        <v>4246</v>
      </c>
    </row>
    <row r="1230" spans="1:2" x14ac:dyDescent="0.25">
      <c r="A1230" s="64" t="str">
        <f>HYPERLINK("http://www.twitter.com/caespititious", "caespititious")</f>
        <v>caespititious</v>
      </c>
      <c r="B1230" s="65" t="s">
        <v>2232</v>
      </c>
    </row>
    <row r="1231" spans="1:2" x14ac:dyDescent="0.25">
      <c r="A1231" s="64" t="str">
        <f>HYPERLINK("http://www.twitter.com/throbber85", "throbber85")</f>
        <v>throbber85</v>
      </c>
      <c r="B1231" s="65" t="s">
        <v>517</v>
      </c>
    </row>
    <row r="1232" spans="1:2" x14ac:dyDescent="0.25">
      <c r="A1232" s="64" t="str">
        <f>HYPERLINK("http://www.twitter.com/KathrynStreetNZ", "KathrynStreetNZ")</f>
        <v>KathrynStreetNZ</v>
      </c>
      <c r="B1232" s="65" t="s">
        <v>4247</v>
      </c>
    </row>
    <row r="1233" spans="1:2" x14ac:dyDescent="0.25">
      <c r="A1233" s="64" t="str">
        <f>HYPERLINK("http://www.twitter.com/louisedickie77", "louisedickie77")</f>
        <v>louisedickie77</v>
      </c>
      <c r="B1233" s="65" t="s">
        <v>487</v>
      </c>
    </row>
    <row r="1234" spans="1:2" x14ac:dyDescent="0.25">
      <c r="A1234" s="64" t="str">
        <f>HYPERLINK("http://www.twitter.com/Karl_Kinsella", "Karl_Kinsella")</f>
        <v>Karl_Kinsella</v>
      </c>
      <c r="B1234" s="65" t="s">
        <v>257</v>
      </c>
    </row>
    <row r="1235" spans="1:2" x14ac:dyDescent="0.25">
      <c r="A1235" s="64" t="str">
        <f>HYPERLINK("http://www.twitter.com/pa_interiors", "pa_interiors")</f>
        <v>pa_interiors</v>
      </c>
      <c r="B1235" s="65" t="s">
        <v>4248</v>
      </c>
    </row>
    <row r="1236" spans="1:2" x14ac:dyDescent="0.25">
      <c r="A1236" s="64" t="str">
        <f>HYPERLINK("http://www.twitter.com/EveshamLib", "EveshamLib")</f>
        <v>EveshamLib</v>
      </c>
      <c r="B1236" s="65" t="s">
        <v>1132</v>
      </c>
    </row>
    <row r="1237" spans="1:2" x14ac:dyDescent="0.25">
      <c r="A1237" s="64" t="str">
        <f>HYPERLINK("http://www.twitter.com/ImogenHerrad", "ImogenHerrad")</f>
        <v>ImogenHerrad</v>
      </c>
      <c r="B1237" s="65" t="s">
        <v>4249</v>
      </c>
    </row>
    <row r="1238" spans="1:2" x14ac:dyDescent="0.25">
      <c r="A1238" s="64" t="str">
        <f>HYPERLINK("http://www.twitter.com/AlexWar97484164", "AlexWar97484164")</f>
        <v>AlexWar97484164</v>
      </c>
      <c r="B1238" s="65"/>
    </row>
    <row r="1239" spans="1:2" x14ac:dyDescent="0.25">
      <c r="A1239" s="64" t="str">
        <f>HYPERLINK("http://www.twitter.com/Hippopeteamus", "Hippopeteamus")</f>
        <v>Hippopeteamus</v>
      </c>
      <c r="B1239" s="65" t="s">
        <v>4250</v>
      </c>
    </row>
    <row r="1240" spans="1:2" x14ac:dyDescent="0.25">
      <c r="A1240" s="64" t="str">
        <f>HYPERLINK("http://www.twitter.com/LRC_WiltsColl", "LRC_WiltsColl")</f>
        <v>LRC_WiltsColl</v>
      </c>
      <c r="B1240" s="65" t="s">
        <v>2041</v>
      </c>
    </row>
    <row r="1241" spans="1:2" x14ac:dyDescent="0.25">
      <c r="A1241" s="64" t="str">
        <f>HYPERLINK("http://www.twitter.com/storyofcamilla", "storyofcamilla")</f>
        <v>storyofcamilla</v>
      </c>
      <c r="B1241" s="65"/>
    </row>
    <row r="1242" spans="1:2" x14ac:dyDescent="0.25">
      <c r="A1242" s="64" t="str">
        <f>HYPERLINK("http://www.twitter.com/bisonfish", "bisonfish")</f>
        <v>bisonfish</v>
      </c>
      <c r="B1242" s="65" t="s">
        <v>4251</v>
      </c>
    </row>
    <row r="1243" spans="1:2" x14ac:dyDescent="0.25">
      <c r="A1243" s="64" t="str">
        <f>HYPERLINK("http://www.twitter.com/SukyTawdry1", "SukyTawdry1")</f>
        <v>SukyTawdry1</v>
      </c>
      <c r="B1243" s="65" t="s">
        <v>477</v>
      </c>
    </row>
    <row r="1244" spans="1:2" x14ac:dyDescent="0.25">
      <c r="A1244" s="64" t="str">
        <f>HYPERLINK("http://www.twitter.com/GofMod", "GofMod")</f>
        <v>GofMod</v>
      </c>
      <c r="B1244" s="65"/>
    </row>
    <row r="1245" spans="1:2" x14ac:dyDescent="0.25">
      <c r="A1245" s="64" t="str">
        <f>HYPERLINK("http://www.twitter.com/judithfhart", "judithfhart")</f>
        <v>judithfhart</v>
      </c>
      <c r="B1245" s="65" t="s">
        <v>4252</v>
      </c>
    </row>
    <row r="1246" spans="1:2" x14ac:dyDescent="0.25">
      <c r="A1246" s="64" t="str">
        <f>HYPERLINK("http://www.twitter.com/DuAcad_Library", "DuAcad_Library")</f>
        <v>DuAcad_Library</v>
      </c>
      <c r="B1246" s="65" t="s">
        <v>3529</v>
      </c>
    </row>
    <row r="1247" spans="1:2" x14ac:dyDescent="0.25">
      <c r="A1247" s="64" t="str">
        <f>HYPERLINK("http://www.twitter.com/JPJGarvin", "JPJGarvin")</f>
        <v>JPJGarvin</v>
      </c>
      <c r="B1247" s="65" t="s">
        <v>4253</v>
      </c>
    </row>
    <row r="1248" spans="1:2" x14ac:dyDescent="0.25">
      <c r="A1248" s="64" t="str">
        <f>HYPERLINK("http://www.twitter.com/MarianneKav", "MarianneKav")</f>
        <v>MarianneKav</v>
      </c>
      <c r="B1248" s="65" t="s">
        <v>36</v>
      </c>
    </row>
    <row r="1249" spans="1:2" x14ac:dyDescent="0.25">
      <c r="A1249" s="64" t="str">
        <f>HYPERLINK("http://www.twitter.com/_nickhowell", "_nickhowell")</f>
        <v>_nickhowell</v>
      </c>
      <c r="B1249" s="65" t="s">
        <v>361</v>
      </c>
    </row>
    <row r="1250" spans="1:2" x14ac:dyDescent="0.25">
      <c r="A1250" s="64" t="str">
        <f>HYPERLINK("http://www.twitter.com/DrLatigo", "DrLatigo")</f>
        <v>DrLatigo</v>
      </c>
      <c r="B1250" s="65"/>
    </row>
    <row r="1251" spans="1:2" x14ac:dyDescent="0.25">
      <c r="A1251" s="64" t="str">
        <f>HYPERLINK("http://www.twitter.com/ThatNeilMartin", "ThatNeilMartin")</f>
        <v>ThatNeilMartin</v>
      </c>
      <c r="B1251" s="65"/>
    </row>
    <row r="1252" spans="1:2" x14ac:dyDescent="0.25">
      <c r="A1252" s="64" t="str">
        <f>HYPERLINK("http://www.twitter.com/paulblairedin", "paulblairedin")</f>
        <v>paulblairedin</v>
      </c>
      <c r="B1252" s="65"/>
    </row>
    <row r="1253" spans="1:2" x14ac:dyDescent="0.25">
      <c r="A1253" s="64" t="str">
        <f>HYPERLINK("http://www.twitter.com/rjjd", "rjjd")</f>
        <v>rjjd</v>
      </c>
      <c r="B1253" s="65" t="s">
        <v>4254</v>
      </c>
    </row>
    <row r="1254" spans="1:2" x14ac:dyDescent="0.25">
      <c r="A1254" s="64" t="str">
        <f>HYPERLINK("http://www.twitter.com/fnmergitur7", "fnmergitur7")</f>
        <v>fnmergitur7</v>
      </c>
      <c r="B1254" s="65"/>
    </row>
    <row r="1255" spans="1:2" x14ac:dyDescent="0.25">
      <c r="A1255" s="64" t="str">
        <f>HYPERLINK("http://www.twitter.com/Kristin_G_Hart", "Kristin_G_Hart")</f>
        <v>Kristin_G_Hart</v>
      </c>
      <c r="B1255" s="65" t="s">
        <v>4255</v>
      </c>
    </row>
    <row r="1256" spans="1:2" x14ac:dyDescent="0.25">
      <c r="A1256" s="64" t="str">
        <f>HYPERLINK("http://www.twitter.com/HuwDWilliams", "HuwDWilliams")</f>
        <v>HuwDWilliams</v>
      </c>
      <c r="B1256" s="65" t="s">
        <v>138</v>
      </c>
    </row>
    <row r="1257" spans="1:2" x14ac:dyDescent="0.25">
      <c r="A1257" s="64" t="str">
        <f>HYPERLINK("http://www.twitter.com/MRDixon87", "MRDixon87")</f>
        <v>MRDixon87</v>
      </c>
      <c r="B1257" s="65" t="s">
        <v>33</v>
      </c>
    </row>
    <row r="1258" spans="1:2" x14ac:dyDescent="0.25">
      <c r="A1258" s="64" t="str">
        <f>HYPERLINK("http://www.twitter.com/r_j_hinton", "r_j_hinton")</f>
        <v>r_j_hinton</v>
      </c>
      <c r="B1258" s="65" t="s">
        <v>4256</v>
      </c>
    </row>
    <row r="1259" spans="1:2" x14ac:dyDescent="0.25">
      <c r="A1259" s="64" t="str">
        <f>HYPERLINK("http://www.twitter.com/Kristen_Marque", "Kristen_Marque")</f>
        <v>Kristen_Marque</v>
      </c>
      <c r="B1259" s="65"/>
    </row>
    <row r="1260" spans="1:2" x14ac:dyDescent="0.25">
      <c r="A1260" s="64" t="str">
        <f>HYPERLINK("http://www.twitter.com/OLSP_Library", "OLSP_Library")</f>
        <v>OLSP_Library</v>
      </c>
      <c r="B1260" s="65" t="s">
        <v>3529</v>
      </c>
    </row>
    <row r="1261" spans="1:2" x14ac:dyDescent="0.25">
      <c r="A1261" s="64" t="str">
        <f>HYPERLINK("http://www.twitter.com/sparkyhamill", "sparkyhamill")</f>
        <v>sparkyhamill</v>
      </c>
      <c r="B1261" s="65" t="s">
        <v>4257</v>
      </c>
    </row>
    <row r="1262" spans="1:2" x14ac:dyDescent="0.25">
      <c r="A1262" s="64" t="str">
        <f>HYPERLINK("http://www.twitter.com/BoroLibraries", "BoroLibraries")</f>
        <v>BoroLibraries</v>
      </c>
      <c r="B1262" s="65" t="s">
        <v>364</v>
      </c>
    </row>
    <row r="1263" spans="1:2" x14ac:dyDescent="0.25">
      <c r="A1263" s="64" t="str">
        <f>HYPERLINK("http://www.twitter.com/Ailiemac", "Ailiemac")</f>
        <v>Ailiemac</v>
      </c>
      <c r="B1263" s="65" t="s">
        <v>4258</v>
      </c>
    </row>
    <row r="1264" spans="1:2" x14ac:dyDescent="0.25">
      <c r="A1264" s="64" t="str">
        <f>HYPERLINK("http://www.twitter.com/peglovesjeg", "peglovesjeg")</f>
        <v>peglovesjeg</v>
      </c>
      <c r="B1264" s="65" t="s">
        <v>4259</v>
      </c>
    </row>
    <row r="1265" spans="1:2" x14ac:dyDescent="0.25">
      <c r="A1265" s="64" t="str">
        <f>HYPERLINK("http://www.twitter.com/JuanEunson", "JuanEunson")</f>
        <v>JuanEunson</v>
      </c>
      <c r="B1265" s="65" t="s">
        <v>4260</v>
      </c>
    </row>
    <row r="1266" spans="1:2" x14ac:dyDescent="0.25">
      <c r="A1266" s="64" t="str">
        <f>HYPERLINK("http://www.twitter.com/BenjaminFreeth", "BenjaminFreeth")</f>
        <v>BenjaminFreeth</v>
      </c>
      <c r="B1266" s="65" t="s">
        <v>96</v>
      </c>
    </row>
    <row r="1267" spans="1:2" x14ac:dyDescent="0.25">
      <c r="A1267" s="64" t="str">
        <f>HYPERLINK("http://www.twitter.com/bookreeper", "bookreeper")</f>
        <v>bookreeper</v>
      </c>
      <c r="B1267" s="65" t="s">
        <v>4261</v>
      </c>
    </row>
    <row r="1268" spans="1:2" x14ac:dyDescent="0.25">
      <c r="A1268" s="64" t="str">
        <f>HYPERLINK("http://www.twitter.com/jenfarrar76", "jenfarrar76")</f>
        <v>jenfarrar76</v>
      </c>
      <c r="B1268" s="65" t="s">
        <v>487</v>
      </c>
    </row>
    <row r="1269" spans="1:2" x14ac:dyDescent="0.25">
      <c r="A1269" s="64" t="str">
        <f>HYPERLINK("http://www.twitter.com/ehu", "ehu")</f>
        <v>ehu</v>
      </c>
      <c r="B1269" s="65" t="s">
        <v>4262</v>
      </c>
    </row>
    <row r="1270" spans="1:2" x14ac:dyDescent="0.25">
      <c r="A1270" s="64" t="str">
        <f>HYPERLINK("http://www.twitter.com/lifson", "lifson")</f>
        <v>lifson</v>
      </c>
      <c r="B1270" s="65" t="s">
        <v>4263</v>
      </c>
    </row>
    <row r="1271" spans="1:2" x14ac:dyDescent="0.25">
      <c r="A1271" s="64" t="str">
        <f>HYPERLINK("http://www.twitter.com/s0apy", "s0apy")</f>
        <v>s0apy</v>
      </c>
      <c r="B1271" s="65" t="s">
        <v>20</v>
      </c>
    </row>
    <row r="1272" spans="1:2" x14ac:dyDescent="0.25">
      <c r="A1272" s="64" t="str">
        <f>HYPERLINK("http://www.twitter.com/djmiggy", "djmiggy")</f>
        <v>djmiggy</v>
      </c>
      <c r="B1272" s="65" t="s">
        <v>4264</v>
      </c>
    </row>
    <row r="1273" spans="1:2" x14ac:dyDescent="0.25">
      <c r="A1273" s="64" t="str">
        <f>HYPERLINK("http://www.twitter.com/rachel_watts22", "rachel_watts22")</f>
        <v>rachel_watts22</v>
      </c>
      <c r="B1273" s="65" t="s">
        <v>4265</v>
      </c>
    </row>
    <row r="1274" spans="1:2" x14ac:dyDescent="0.25">
      <c r="A1274" s="64" t="str">
        <f>HYPERLINK("http://www.twitter.com/lisajane_w", "lisajane_w")</f>
        <v>lisajane_w</v>
      </c>
      <c r="B1274" s="65" t="s">
        <v>4266</v>
      </c>
    </row>
    <row r="1275" spans="1:2" x14ac:dyDescent="0.25">
      <c r="A1275" s="64" t="str">
        <f>HYPERLINK("http://www.twitter.com/moss_b_", "moss_b_")</f>
        <v>moss_b_</v>
      </c>
      <c r="B1275" s="65"/>
    </row>
    <row r="1276" spans="1:2" x14ac:dyDescent="0.25">
      <c r="A1276" s="64" t="str">
        <f>HYPERLINK("http://www.twitter.com/Mjc2566", "Mjc2566")</f>
        <v>Mjc2566</v>
      </c>
      <c r="B1276" s="65"/>
    </row>
    <row r="1277" spans="1:2" x14ac:dyDescent="0.25">
      <c r="A1277" s="64" t="str">
        <f>HYPERLINK("http://www.twitter.com/PaulAtNorthGare", "PaulAtNorthGare")</f>
        <v>PaulAtNorthGare</v>
      </c>
      <c r="B1277" s="65" t="s">
        <v>4267</v>
      </c>
    </row>
    <row r="1278" spans="1:2" x14ac:dyDescent="0.25">
      <c r="A1278" s="64" t="str">
        <f>HYPERLINK("http://www.twitter.com/MynorsKatherine", "MynorsKatherine")</f>
        <v>MynorsKatherine</v>
      </c>
      <c r="B1278" s="65"/>
    </row>
    <row r="1279" spans="1:2" x14ac:dyDescent="0.25">
      <c r="A1279" s="64" t="str">
        <f>HYPERLINK("http://www.twitter.com/hamishmilne", "hamishmilne")</f>
        <v>hamishmilne</v>
      </c>
      <c r="B1279" s="65"/>
    </row>
    <row r="1280" spans="1:2" x14ac:dyDescent="0.25">
      <c r="A1280" s="64" t="str">
        <f>HYPERLINK("http://www.twitter.com/igraniecain", "igraniecain")</f>
        <v>igraniecain</v>
      </c>
      <c r="B1280" s="65"/>
    </row>
    <row r="1281" spans="1:2" x14ac:dyDescent="0.25">
      <c r="A1281" s="64" t="str">
        <f>HYPERLINK("http://www.twitter.com/TomCowdrey", "TomCowdrey")</f>
        <v>TomCowdrey</v>
      </c>
      <c r="B1281" s="65" t="s">
        <v>33</v>
      </c>
    </row>
    <row r="1282" spans="1:2" x14ac:dyDescent="0.25">
      <c r="A1282" s="64" t="str">
        <f>HYPERLINK("http://www.twitter.com/dellasalway", "dellasalway")</f>
        <v>dellasalway</v>
      </c>
      <c r="B1282" s="65" t="s">
        <v>4268</v>
      </c>
    </row>
    <row r="1283" spans="1:2" x14ac:dyDescent="0.25">
      <c r="A1283" s="64" t="str">
        <f>HYPERLINK("http://www.twitter.com/VOLA_Library", "VOLA_Library")</f>
        <v>VOLA_Library</v>
      </c>
      <c r="B1283" s="65" t="s">
        <v>3532</v>
      </c>
    </row>
    <row r="1284" spans="1:2" x14ac:dyDescent="0.25">
      <c r="A1284" s="64" t="str">
        <f>HYPERLINK("http://www.twitter.com/AndAnyBassDrum", "AndAnyBassDrum")</f>
        <v>AndAnyBassDrum</v>
      </c>
      <c r="B1284" s="65" t="s">
        <v>4269</v>
      </c>
    </row>
    <row r="1285" spans="1:2" x14ac:dyDescent="0.25">
      <c r="A1285" s="64" t="str">
        <f>HYPERLINK("http://www.twitter.com/yabbie5674", "yabbie5674")</f>
        <v>yabbie5674</v>
      </c>
      <c r="B1285" s="65"/>
    </row>
    <row r="1286" spans="1:2" x14ac:dyDescent="0.25">
      <c r="A1286" s="64" t="str">
        <f>HYPERLINK("http://www.twitter.com/jennylmackinnon", "jennylmackinnon")</f>
        <v>jennylmackinnon</v>
      </c>
      <c r="B1286" s="65" t="s">
        <v>4270</v>
      </c>
    </row>
    <row r="1287" spans="1:2" x14ac:dyDescent="0.25">
      <c r="A1287" s="64" t="str">
        <f>HYPERLINK("http://www.twitter.com/3TomatoesShort", "3TomatoesShort")</f>
        <v>3TomatoesShort</v>
      </c>
      <c r="B1287" s="65" t="s">
        <v>4271</v>
      </c>
    </row>
    <row r="1288" spans="1:2" x14ac:dyDescent="0.25">
      <c r="A1288" s="64" t="str">
        <f>HYPERLINK("http://www.twitter.com/missteresa55", "missteresa55")</f>
        <v>missteresa55</v>
      </c>
      <c r="B1288" s="65" t="s">
        <v>4272</v>
      </c>
    </row>
    <row r="1289" spans="1:2" x14ac:dyDescent="0.25">
      <c r="A1289" s="64" t="str">
        <f>HYPERLINK("http://www.twitter.com/RozSheffield", "RozSheffield")</f>
        <v>RozSheffield</v>
      </c>
      <c r="B1289" s="65" t="s">
        <v>219</v>
      </c>
    </row>
    <row r="1290" spans="1:2" x14ac:dyDescent="0.25">
      <c r="A1290" s="64" t="str">
        <f>HYPERLINK("http://www.twitter.com/Fluffy_LeMonde", "Fluffy_LeMonde")</f>
        <v>Fluffy_LeMonde</v>
      </c>
      <c r="B1290" s="65" t="s">
        <v>138</v>
      </c>
    </row>
    <row r="1291" spans="1:2" x14ac:dyDescent="0.25">
      <c r="A1291" s="64" t="str">
        <f>HYPERLINK("http://www.twitter.com/annemaree99", "annemaree99")</f>
        <v>annemaree99</v>
      </c>
      <c r="B1291" s="65"/>
    </row>
    <row r="1292" spans="1:2" x14ac:dyDescent="0.25">
      <c r="A1292" s="64" t="str">
        <f>HYPERLINK("http://www.twitter.com/starofflorida", "starofflorida")</f>
        <v>starofflorida</v>
      </c>
      <c r="B1292" s="65" t="s">
        <v>4273</v>
      </c>
    </row>
    <row r="1293" spans="1:2" x14ac:dyDescent="0.25">
      <c r="A1293" s="64" t="str">
        <f>HYPERLINK("http://www.twitter.com/IngridHojem", "IngridHojem")</f>
        <v>IngridHojem</v>
      </c>
      <c r="B1293" s="65" t="s">
        <v>4274</v>
      </c>
    </row>
    <row r="1294" spans="1:2" x14ac:dyDescent="0.25">
      <c r="A1294" s="64" t="str">
        <f>HYPERLINK("http://www.twitter.com/TitusShambles73", "TitusShambles73")</f>
        <v>TitusShambles73</v>
      </c>
      <c r="B1294" s="65" t="s">
        <v>4275</v>
      </c>
    </row>
    <row r="1295" spans="1:2" x14ac:dyDescent="0.25">
      <c r="A1295" s="64" t="str">
        <f>HYPERLINK("http://www.twitter.com/benharrycohen", "benharrycohen")</f>
        <v>benharrycohen</v>
      </c>
      <c r="B1295" s="65" t="s">
        <v>36</v>
      </c>
    </row>
    <row r="1296" spans="1:2" x14ac:dyDescent="0.25">
      <c r="A1296" s="64" t="str">
        <f>HYPERLINK("http://www.twitter.com/seanieRW", "seanieRW")</f>
        <v>seanieRW</v>
      </c>
      <c r="B1296" s="65" t="s">
        <v>4276</v>
      </c>
    </row>
    <row r="1297" spans="1:2" x14ac:dyDescent="0.25">
      <c r="A1297" s="64" t="str">
        <f>HYPERLINK("http://www.twitter.com/projfearbingo", "projfearbingo")</f>
        <v>projfearbingo</v>
      </c>
      <c r="B1297" s="65" t="s">
        <v>517</v>
      </c>
    </row>
    <row r="1298" spans="1:2" x14ac:dyDescent="0.25">
      <c r="A1298" s="64" t="str">
        <f>HYPERLINK("http://www.twitter.com/iainmcw", "iainmcw")</f>
        <v>iainmcw</v>
      </c>
      <c r="B1298" s="65"/>
    </row>
    <row r="1299" spans="1:2" x14ac:dyDescent="0.25">
      <c r="A1299" s="64" t="str">
        <f>HYPERLINK("http://www.twitter.com/andaidh", "andaidh")</f>
        <v>andaidh</v>
      </c>
      <c r="B1299" s="65" t="s">
        <v>4277</v>
      </c>
    </row>
    <row r="1300" spans="1:2" x14ac:dyDescent="0.25">
      <c r="A1300" s="64" t="str">
        <f>HYPERLINK("http://www.twitter.com/DotStereo", "DotStereo")</f>
        <v>DotStereo</v>
      </c>
      <c r="B1300" s="65" t="s">
        <v>4278</v>
      </c>
    </row>
    <row r="1301" spans="1:2" x14ac:dyDescent="0.25">
      <c r="A1301" s="64" t="str">
        <f>HYPERLINK("http://www.twitter.com/EmmaEvaPhoto", "EmmaEvaPhoto")</f>
        <v>EmmaEvaPhoto</v>
      </c>
      <c r="B1301" s="65" t="s">
        <v>477</v>
      </c>
    </row>
    <row r="1302" spans="1:2" x14ac:dyDescent="0.25">
      <c r="A1302" s="64" t="str">
        <f>HYPERLINK("http://www.twitter.com/fionafbaillie", "fionafbaillie")</f>
        <v>fionafbaillie</v>
      </c>
      <c r="B1302" s="65" t="s">
        <v>70</v>
      </c>
    </row>
    <row r="1303" spans="1:2" x14ac:dyDescent="0.25">
      <c r="A1303" s="64" t="str">
        <f>HYPERLINK("http://www.twitter.com/EditorEmma", "EditorEmma")</f>
        <v>EditorEmma</v>
      </c>
      <c r="B1303" s="65" t="s">
        <v>36</v>
      </c>
    </row>
    <row r="1304" spans="1:2" x14ac:dyDescent="0.25">
      <c r="A1304" s="64" t="str">
        <f>HYPERLINK("http://www.twitter.com/petejdsmith", "petejdsmith")</f>
        <v>petejdsmith</v>
      </c>
      <c r="B1304" s="65"/>
    </row>
    <row r="1305" spans="1:2" x14ac:dyDescent="0.25">
      <c r="A1305" s="64" t="str">
        <f>HYPERLINK("http://www.twitter.com/beckythecyclist", "beckythecyclist")</f>
        <v>beckythecyclist</v>
      </c>
      <c r="B1305" s="65" t="s">
        <v>4279</v>
      </c>
    </row>
    <row r="1306" spans="1:2" x14ac:dyDescent="0.25">
      <c r="A1306" s="64" t="str">
        <f>HYPERLINK("http://www.twitter.com/KarenAPayne", "KarenAPayne")</f>
        <v>KarenAPayne</v>
      </c>
      <c r="B1306" s="65" t="s">
        <v>138</v>
      </c>
    </row>
    <row r="1307" spans="1:2" x14ac:dyDescent="0.25">
      <c r="A1307" s="64" t="str">
        <f>HYPERLINK("http://www.twitter.com/fifip", "fifip")</f>
        <v>fifip</v>
      </c>
      <c r="B1307" s="65" t="s">
        <v>70</v>
      </c>
    </row>
    <row r="1308" spans="1:2" x14ac:dyDescent="0.25">
      <c r="A1308" s="64" t="str">
        <f>HYPERLINK("http://www.twitter.com/MajorMcBloodnok", "MajorMcBloodnok")</f>
        <v>MajorMcBloodnok</v>
      </c>
      <c r="B1308" s="65" t="s">
        <v>4280</v>
      </c>
    </row>
    <row r="1309" spans="1:2" x14ac:dyDescent="0.25">
      <c r="A1309" s="64" t="str">
        <f>HYPERLINK("http://www.twitter.com/knowsleyarchive", "knowsleyarchive")</f>
        <v>knowsleyarchive</v>
      </c>
      <c r="B1309" s="65" t="s">
        <v>4281</v>
      </c>
    </row>
    <row r="1310" spans="1:2" x14ac:dyDescent="0.25">
      <c r="A1310" s="64" t="str">
        <f>HYPERLINK("http://www.twitter.com/HenryEMurphy", "HenryEMurphy")</f>
        <v>HenryEMurphy</v>
      </c>
      <c r="B1310" s="65"/>
    </row>
    <row r="1311" spans="1:2" x14ac:dyDescent="0.25">
      <c r="A1311" s="64" t="str">
        <f>HYPERLINK("http://www.twitter.com/neilturn", "neilturn")</f>
        <v>neilturn</v>
      </c>
      <c r="B1311" s="65" t="s">
        <v>487</v>
      </c>
    </row>
    <row r="1312" spans="1:2" x14ac:dyDescent="0.25">
      <c r="A1312" s="64" t="str">
        <f>HYPERLINK("http://www.twitter.com/Tangotastic", "Tangotastic")</f>
        <v>Tangotastic</v>
      </c>
      <c r="B1312" s="65"/>
    </row>
    <row r="1313" spans="1:2" x14ac:dyDescent="0.25">
      <c r="A1313" s="64" t="str">
        <f>HYPERLINK("http://www.twitter.com/martinmacdonald", "martinmacdonald")</f>
        <v>martinmacdonald</v>
      </c>
      <c r="B1313" s="65" t="s">
        <v>487</v>
      </c>
    </row>
    <row r="1314" spans="1:2" x14ac:dyDescent="0.25">
      <c r="A1314" s="64" t="str">
        <f>HYPERLINK("http://www.twitter.com/newbiggingdavid", "newbiggingdavid")</f>
        <v>newbiggingdavid</v>
      </c>
      <c r="B1314" s="65" t="s">
        <v>2007</v>
      </c>
    </row>
    <row r="1315" spans="1:2" x14ac:dyDescent="0.25">
      <c r="A1315" s="64" t="str">
        <f>HYPERLINK("http://www.twitter.com/NeilCaple", "NeilCaple")</f>
        <v>NeilCaple</v>
      </c>
      <c r="B1315" s="65" t="s">
        <v>4057</v>
      </c>
    </row>
    <row r="1316" spans="1:2" x14ac:dyDescent="0.25">
      <c r="A1316" s="64" t="str">
        <f>HYPERLINK("http://www.twitter.com/Lord_Bile", "Lord_Bile")</f>
        <v>Lord_Bile</v>
      </c>
      <c r="B1316" s="65" t="s">
        <v>4282</v>
      </c>
    </row>
    <row r="1317" spans="1:2" x14ac:dyDescent="0.25">
      <c r="A1317" s="64" t="str">
        <f>HYPERLINK("http://www.twitter.com/xAndNothingMore", "xAndNothingMore")</f>
        <v>xAndNothingMore</v>
      </c>
      <c r="B1317" s="65"/>
    </row>
    <row r="1318" spans="1:2" x14ac:dyDescent="0.25">
      <c r="A1318" s="64" t="str">
        <f>HYPERLINK("http://www.twitter.com/cakerdeath42", "cakerdeath42")</f>
        <v>cakerdeath42</v>
      </c>
      <c r="B1318" s="65" t="s">
        <v>4283</v>
      </c>
    </row>
    <row r="1319" spans="1:2" x14ac:dyDescent="0.25">
      <c r="A1319" s="64" t="str">
        <f>HYPERLINK("http://www.twitter.com/TheLongSlowRun", "TheLongSlowRun")</f>
        <v>TheLongSlowRun</v>
      </c>
      <c r="B1319" s="65" t="s">
        <v>2185</v>
      </c>
    </row>
    <row r="1320" spans="1:2" x14ac:dyDescent="0.25">
      <c r="A1320" s="64" t="str">
        <f>HYPERLINK("http://www.twitter.com/hnimrn", "hnimrn")</f>
        <v>hnimrn</v>
      </c>
      <c r="B1320" s="65" t="s">
        <v>4284</v>
      </c>
    </row>
    <row r="1321" spans="1:2" x14ac:dyDescent="0.25">
      <c r="A1321" s="64" t="str">
        <f>HYPERLINK("http://www.twitter.com/markh991", "markh991")</f>
        <v>markh991</v>
      </c>
      <c r="B1321" s="65" t="s">
        <v>93</v>
      </c>
    </row>
    <row r="1322" spans="1:2" x14ac:dyDescent="0.25">
      <c r="A1322" s="64" t="str">
        <f>HYPERLINK("http://www.twitter.com/AskTheHorse", "AskTheHorse")</f>
        <v>AskTheHorse</v>
      </c>
      <c r="B1322" s="65"/>
    </row>
    <row r="1323" spans="1:2" x14ac:dyDescent="0.25">
      <c r="A1323" s="64" t="str">
        <f>HYPERLINK("http://www.twitter.com/selkie_runner", "selkie_runner")</f>
        <v>selkie_runner</v>
      </c>
      <c r="B1323" s="65" t="s">
        <v>2007</v>
      </c>
    </row>
    <row r="1324" spans="1:2" x14ac:dyDescent="0.25">
      <c r="A1324" s="64" t="str">
        <f>HYPERLINK("http://www.twitter.com/NavalAirHistory", "NavalAirHistory")</f>
        <v>NavalAirHistory</v>
      </c>
      <c r="B1324" s="65" t="s">
        <v>877</v>
      </c>
    </row>
    <row r="1325" spans="1:2" x14ac:dyDescent="0.25">
      <c r="A1325" s="64" t="str">
        <f>HYPERLINK("http://www.twitter.com/LWiC_QI", "LWiC_QI")</f>
        <v>LWiC_QI</v>
      </c>
      <c r="B1325" s="65" t="s">
        <v>4285</v>
      </c>
    </row>
    <row r="1326" spans="1:2" x14ac:dyDescent="0.25">
      <c r="A1326" s="64" t="str">
        <f>HYPERLINK("http://www.twitter.com/therubyslippers", "therubyslippers")</f>
        <v>therubyslippers</v>
      </c>
      <c r="B1326" s="65" t="s">
        <v>36</v>
      </c>
    </row>
    <row r="1327" spans="1:2" x14ac:dyDescent="0.25">
      <c r="A1327" s="64" t="str">
        <f>HYPERLINK("http://www.twitter.com/marvkelly", "marvkelly")</f>
        <v>marvkelly</v>
      </c>
      <c r="B1327" s="65" t="s">
        <v>4286</v>
      </c>
    </row>
    <row r="1328" spans="1:2" x14ac:dyDescent="0.25">
      <c r="A1328" s="64" t="str">
        <f>HYPERLINK("http://www.twitter.com/MrsMeadowsweet", "MrsMeadowsweet")</f>
        <v>MrsMeadowsweet</v>
      </c>
      <c r="B1328" s="65" t="s">
        <v>4287</v>
      </c>
    </row>
    <row r="1329" spans="1:2" x14ac:dyDescent="0.25">
      <c r="A1329" s="64" t="str">
        <f>HYPERLINK("http://www.twitter.com/miles_munn", "miles_munn")</f>
        <v>miles_munn</v>
      </c>
      <c r="B1329" s="65" t="s">
        <v>3978</v>
      </c>
    </row>
    <row r="1330" spans="1:2" x14ac:dyDescent="0.25">
      <c r="A1330" s="64" t="str">
        <f>HYPERLINK("http://www.twitter.com/TriciaHoulihan", "TriciaHoulihan")</f>
        <v>TriciaHoulihan</v>
      </c>
      <c r="B1330" s="65"/>
    </row>
    <row r="1331" spans="1:2" x14ac:dyDescent="0.25">
      <c r="A1331" s="64" t="str">
        <f>HYPERLINK("http://www.twitter.com/deanbromley", "deanbromley")</f>
        <v>deanbromley</v>
      </c>
      <c r="B1331" s="65" t="s">
        <v>4288</v>
      </c>
    </row>
    <row r="1332" spans="1:2" x14ac:dyDescent="0.25">
      <c r="A1332" s="64" t="str">
        <f>HYPERLINK("http://www.twitter.com/clarat95", "clarat95")</f>
        <v>clarat95</v>
      </c>
      <c r="B1332" s="65" t="s">
        <v>477</v>
      </c>
    </row>
    <row r="1333" spans="1:2" x14ac:dyDescent="0.25">
      <c r="A1333" s="64" t="str">
        <f>HYPERLINK("http://www.twitter.com/janebaston", "janebaston")</f>
        <v>janebaston</v>
      </c>
      <c r="B1333" s="65" t="s">
        <v>1490</v>
      </c>
    </row>
    <row r="1334" spans="1:2" x14ac:dyDescent="0.25">
      <c r="A1334" s="64" t="str">
        <f>HYPERLINK("http://www.twitter.com/iantdawson", "iantdawson")</f>
        <v>iantdawson</v>
      </c>
      <c r="B1334" s="65" t="s">
        <v>4289</v>
      </c>
    </row>
    <row r="1335" spans="1:2" x14ac:dyDescent="0.25">
      <c r="A1335" s="64" t="str">
        <f>HYPERLINK("http://www.twitter.com/catwoman1979", "catwoman1979")</f>
        <v>catwoman1979</v>
      </c>
      <c r="B1335" s="65" t="s">
        <v>569</v>
      </c>
    </row>
    <row r="1336" spans="1:2" x14ac:dyDescent="0.25">
      <c r="A1336" s="64" t="str">
        <f>HYPERLINK("http://www.twitter.com/johnhwd", "johnhwd")</f>
        <v>johnhwd</v>
      </c>
      <c r="B1336" s="65" t="s">
        <v>36</v>
      </c>
    </row>
    <row r="1337" spans="1:2" x14ac:dyDescent="0.25">
      <c r="A1337" s="64" t="str">
        <f>HYPERLINK("http://www.twitter.com/charlotteeloise", "charlotteeloise")</f>
        <v>charlotteeloise</v>
      </c>
      <c r="B1337" s="65"/>
    </row>
    <row r="1338" spans="1:2" x14ac:dyDescent="0.25">
      <c r="A1338" s="64" t="str">
        <f>HYPERLINK("http://www.twitter.com/SaucyJack1970", "SaucyJack1970")</f>
        <v>SaucyJack1970</v>
      </c>
      <c r="B1338" s="65"/>
    </row>
    <row r="1339" spans="1:2" x14ac:dyDescent="0.25">
      <c r="A1339" s="64" t="str">
        <f>HYPERLINK("http://www.twitter.com/GuiseleyRadio", "GuiseleyRadio")</f>
        <v>GuiseleyRadio</v>
      </c>
      <c r="B1339" s="65"/>
    </row>
    <row r="1340" spans="1:2" x14ac:dyDescent="0.25">
      <c r="A1340" s="64" t="str">
        <f>HYPERLINK("http://www.twitter.com/StefanRooke", "StefanRooke")</f>
        <v>StefanRooke</v>
      </c>
      <c r="B1340" s="65" t="s">
        <v>487</v>
      </c>
    </row>
    <row r="1341" spans="1:2" x14ac:dyDescent="0.25">
      <c r="A1341" s="64" t="str">
        <f>HYPERLINK("http://www.twitter.com/SEET_scotland", "SEET_scotland")</f>
        <v>SEET_scotland</v>
      </c>
      <c r="B1341" s="65" t="s">
        <v>67</v>
      </c>
    </row>
    <row r="1342" spans="1:2" x14ac:dyDescent="0.25">
      <c r="A1342" s="64" t="str">
        <f>HYPERLINK("http://www.twitter.com/BookSurgery", "BookSurgery")</f>
        <v>BookSurgery</v>
      </c>
      <c r="B1342" s="65" t="s">
        <v>477</v>
      </c>
    </row>
    <row r="1343" spans="1:2" x14ac:dyDescent="0.25">
      <c r="A1343" s="64" t="str">
        <f>HYPERLINK("http://www.twitter.com/genscot", "genscot")</f>
        <v>genscot</v>
      </c>
      <c r="B1343" s="65" t="s">
        <v>517</v>
      </c>
    </row>
    <row r="1344" spans="1:2" x14ac:dyDescent="0.25">
      <c r="A1344" s="64" t="str">
        <f>HYPERLINK("http://www.twitter.com/gaenor_moore", "gaenor_moore")</f>
        <v>gaenor_moore</v>
      </c>
      <c r="B1344" s="65" t="s">
        <v>788</v>
      </c>
    </row>
    <row r="1345" spans="1:2" x14ac:dyDescent="0.25">
      <c r="A1345" s="64" t="str">
        <f>HYPERLINK("http://www.twitter.com/665aSableMews", "665aSableMews")</f>
        <v>665aSableMews</v>
      </c>
      <c r="B1345" s="65" t="s">
        <v>1189</v>
      </c>
    </row>
    <row r="1346" spans="1:2" x14ac:dyDescent="0.25">
      <c r="A1346" s="64" t="str">
        <f>HYPERLINK("http://www.twitter.com/RuthEastham1", "RuthEastham1")</f>
        <v>RuthEastham1</v>
      </c>
      <c r="B1346" s="65"/>
    </row>
    <row r="1347" spans="1:2" x14ac:dyDescent="0.25">
      <c r="A1347" s="64" t="str">
        <f>HYPERLINK("http://www.twitter.com/laurafarrell663", "laurafarrell663")</f>
        <v>laurafarrell663</v>
      </c>
      <c r="B1347" s="65"/>
    </row>
    <row r="1348" spans="1:2" x14ac:dyDescent="0.25">
      <c r="A1348" s="64" t="str">
        <f>HYPERLINK("http://www.twitter.com/cdevalle3", "cdevalle3")</f>
        <v>cdevalle3</v>
      </c>
      <c r="B1348" s="65"/>
    </row>
    <row r="1349" spans="1:2" x14ac:dyDescent="0.25">
      <c r="A1349" s="64" t="str">
        <f>HYPERLINK("http://www.twitter.com/martinyeomanart", "martinyeomanart")</f>
        <v>martinyeomanart</v>
      </c>
      <c r="B1349" s="65" t="s">
        <v>4290</v>
      </c>
    </row>
    <row r="1350" spans="1:2" x14ac:dyDescent="0.25">
      <c r="A1350" s="64" t="str">
        <f>HYPERLINK("http://www.twitter.com/BarnetSparrow", "BarnetSparrow")</f>
        <v>BarnetSparrow</v>
      </c>
      <c r="B1350" s="65"/>
    </row>
    <row r="1351" spans="1:2" x14ac:dyDescent="0.25">
      <c r="A1351" s="64" t="str">
        <f>HYPERLINK("http://www.twitter.com/lindafennessy", "lindafennessy")</f>
        <v>lindafennessy</v>
      </c>
      <c r="B1351" s="65" t="s">
        <v>4291</v>
      </c>
    </row>
    <row r="1352" spans="1:2" x14ac:dyDescent="0.25">
      <c r="A1352" s="64" t="str">
        <f>HYPERLINK("http://www.twitter.com/pussycat19", "pussycat19")</f>
        <v>pussycat19</v>
      </c>
      <c r="B1352" s="65" t="s">
        <v>4292</v>
      </c>
    </row>
    <row r="1353" spans="1:2" x14ac:dyDescent="0.25">
      <c r="A1353" s="64" t="str">
        <f>HYPERLINK("http://www.twitter.com/babadudu16", "babadudu16")</f>
        <v>babadudu16</v>
      </c>
      <c r="B1353" s="65"/>
    </row>
    <row r="1354" spans="1:2" x14ac:dyDescent="0.25">
      <c r="A1354" s="64" t="str">
        <f>HYPERLINK("http://www.twitter.com/Kerr1265", "Kerr1265")</f>
        <v>Kerr1265</v>
      </c>
      <c r="B1354" s="65" t="s">
        <v>4293</v>
      </c>
    </row>
    <row r="1355" spans="1:2" x14ac:dyDescent="0.25">
      <c r="A1355" s="64" t="str">
        <f>HYPERLINK("http://www.twitter.com/MeetMeAtKaspas", "MeetMeAtKaspas")</f>
        <v>MeetMeAtKaspas</v>
      </c>
      <c r="B1355" s="65" t="s">
        <v>477</v>
      </c>
    </row>
    <row r="1356" spans="1:2" x14ac:dyDescent="0.25">
      <c r="A1356" s="64" t="str">
        <f>HYPERLINK("http://www.twitter.com/YCavanagh", "YCavanagh")</f>
        <v>YCavanagh</v>
      </c>
      <c r="B1356" s="65" t="s">
        <v>4294</v>
      </c>
    </row>
    <row r="1357" spans="1:2" x14ac:dyDescent="0.25">
      <c r="A1357" s="64" t="str">
        <f>HYPERLINK("http://www.twitter.com/cathyahl", "cathyahl")</f>
        <v>cathyahl</v>
      </c>
      <c r="B1357" s="65"/>
    </row>
    <row r="1358" spans="1:2" x14ac:dyDescent="0.25">
      <c r="A1358" s="64" t="str">
        <f>HYPERLINK("http://www.twitter.com/emmajaneparsons", "emmajaneparsons")</f>
        <v>emmajaneparsons</v>
      </c>
      <c r="B1358" s="65" t="s">
        <v>4295</v>
      </c>
    </row>
    <row r="1359" spans="1:2" x14ac:dyDescent="0.25">
      <c r="A1359" s="64" t="str">
        <f>HYPERLINK("http://www.twitter.com/GarageInsider", "GarageInsider")</f>
        <v>GarageInsider</v>
      </c>
      <c r="B1359" s="65"/>
    </row>
    <row r="1360" spans="1:2" x14ac:dyDescent="0.25">
      <c r="A1360" s="64" t="str">
        <f>HYPERLINK("http://www.twitter.com/kimmoor65162843", "kimmoor65162843")</f>
        <v>kimmoor65162843</v>
      </c>
      <c r="B1360" s="65" t="s">
        <v>1698</v>
      </c>
    </row>
    <row r="1361" spans="1:2" x14ac:dyDescent="0.25">
      <c r="A1361" s="64" t="str">
        <f>HYPERLINK("http://www.twitter.com/FrancisStreetPO", "FrancisStreetPO")</f>
        <v>FrancisStreetPO</v>
      </c>
      <c r="B1361" s="65" t="s">
        <v>4296</v>
      </c>
    </row>
    <row r="1362" spans="1:2" x14ac:dyDescent="0.25">
      <c r="A1362" s="64" t="str">
        <f>HYPERLINK("http://www.twitter.com/MsMelancholy", "MsMelancholy")</f>
        <v>MsMelancholy</v>
      </c>
      <c r="B1362" s="65"/>
    </row>
    <row r="1363" spans="1:2" x14ac:dyDescent="0.25">
      <c r="A1363" s="64" t="str">
        <f>HYPERLINK("http://www.twitter.com/mulgrew_lesley", "mulgrew_lesley")</f>
        <v>mulgrew_lesley</v>
      </c>
      <c r="B1363" s="65" t="s">
        <v>808</v>
      </c>
    </row>
    <row r="1364" spans="1:2" x14ac:dyDescent="0.25">
      <c r="A1364" s="64" t="str">
        <f>HYPERLINK("http://www.twitter.com/jaybee20171", "jaybee20171")</f>
        <v>jaybee20171</v>
      </c>
      <c r="B1364" s="65" t="s">
        <v>4297</v>
      </c>
    </row>
    <row r="1365" spans="1:2" x14ac:dyDescent="0.25">
      <c r="A1365" s="64" t="str">
        <f>HYPERLINK("http://www.twitter.com/janetfreynolds", "janetfreynolds")</f>
        <v>janetfreynolds</v>
      </c>
      <c r="B1365" s="65" t="s">
        <v>4298</v>
      </c>
    </row>
    <row r="1366" spans="1:2" x14ac:dyDescent="0.25">
      <c r="A1366" s="64" t="str">
        <f>HYPERLINK("http://www.twitter.com/JulieHu59454323", "JulieHu59454323")</f>
        <v>JulieHu59454323</v>
      </c>
      <c r="B1366" s="65"/>
    </row>
    <row r="1367" spans="1:2" x14ac:dyDescent="0.25">
      <c r="A1367" s="64" t="str">
        <f>HYPERLINK("http://www.twitter.com/HAIPrinters", "HAIPrinters")</f>
        <v>HAIPrinters</v>
      </c>
      <c r="B1367" s="65" t="s">
        <v>70</v>
      </c>
    </row>
    <row r="1368" spans="1:2" x14ac:dyDescent="0.25">
      <c r="A1368" s="64" t="str">
        <f>HYPERLINK("http://www.twitter.com/carlintreco", "carlintreco")</f>
        <v>carlintreco</v>
      </c>
      <c r="B1368" s="65"/>
    </row>
    <row r="1369" spans="1:2" x14ac:dyDescent="0.25">
      <c r="A1369" s="64" t="str">
        <f>HYPERLINK("http://www.twitter.com/caramelhorses", "caramelhorses")</f>
        <v>caramelhorses</v>
      </c>
      <c r="B1369" s="65"/>
    </row>
    <row r="1370" spans="1:2" x14ac:dyDescent="0.25">
      <c r="A1370" s="64" t="str">
        <f>HYPERLINK("http://www.twitter.com/_Rafflez_", "_Rafflez_")</f>
        <v>_Rafflez_</v>
      </c>
      <c r="B1370" s="65"/>
    </row>
    <row r="1371" spans="1:2" x14ac:dyDescent="0.25">
      <c r="A1371" s="64" t="str">
        <f>HYPERLINK("http://www.twitter.com/youtuber_machi", "youtuber_machi")</f>
        <v>youtuber_machi</v>
      </c>
      <c r="B1371" s="65"/>
    </row>
    <row r="1372" spans="1:2" x14ac:dyDescent="0.25">
      <c r="A1372" s="64" t="str">
        <f>HYPERLINK("http://www.twitter.com/charlottesweb_2", "charlottesweb_2")</f>
        <v>charlottesweb_2</v>
      </c>
      <c r="B1372" s="65" t="s">
        <v>318</v>
      </c>
    </row>
    <row r="1373" spans="1:2" x14ac:dyDescent="0.25">
      <c r="A1373" s="64" t="str">
        <f>HYPERLINK("http://www.twitter.com/TheBeckDouglas", "TheBeckDouglas")</f>
        <v>TheBeckDouglas</v>
      </c>
      <c r="B1373" s="65"/>
    </row>
    <row r="1374" spans="1:2" x14ac:dyDescent="0.25">
      <c r="A1374" s="64" t="str">
        <f>HYPERLINK("http://www.twitter.com/JaneWeaver250", "JaneWeaver250")</f>
        <v>JaneWeaver250</v>
      </c>
      <c r="B1374" s="65" t="s">
        <v>4299</v>
      </c>
    </row>
    <row r="1375" spans="1:2" x14ac:dyDescent="0.25">
      <c r="A1375" s="64" t="str">
        <f>HYPERLINK("http://www.twitter.com/theburdtweets", "theburdtweets")</f>
        <v>theburdtweets</v>
      </c>
      <c r="B1375" s="65" t="s">
        <v>318</v>
      </c>
    </row>
    <row r="1376" spans="1:2" x14ac:dyDescent="0.25">
      <c r="A1376" s="64" t="str">
        <f>HYPERLINK("http://www.twitter.com/notsameplanet", "notsameplanet")</f>
        <v>notsameplanet</v>
      </c>
      <c r="B1376" s="65" t="s">
        <v>4300</v>
      </c>
    </row>
    <row r="1377" spans="1:2" x14ac:dyDescent="0.25">
      <c r="A1377" s="64" t="str">
        <f>HYPERLINK("http://www.twitter.com/hmmosaics", "hmmosaics")</f>
        <v>hmmosaics</v>
      </c>
      <c r="B1377" s="65" t="s">
        <v>4301</v>
      </c>
    </row>
    <row r="1378" spans="1:2" x14ac:dyDescent="0.25">
      <c r="A1378" s="64" t="str">
        <f>HYPERLINK("http://www.twitter.com/DavidCrickmer", "DavidCrickmer")</f>
        <v>DavidCrickmer</v>
      </c>
      <c r="B1378" s="65" t="s">
        <v>4302</v>
      </c>
    </row>
    <row r="1379" spans="1:2" x14ac:dyDescent="0.25">
      <c r="A1379" s="64" t="str">
        <f>HYPERLINK("http://www.twitter.com/BanningTheBurka", "BanningTheBurka")</f>
        <v>BanningTheBurka</v>
      </c>
      <c r="B1379" s="65" t="s">
        <v>296</v>
      </c>
    </row>
    <row r="1380" spans="1:2" x14ac:dyDescent="0.25">
      <c r="A1380" s="64" t="str">
        <f>HYPERLINK("http://www.twitter.com/jananapierski1", "jananapierski1")</f>
        <v>jananapierski1</v>
      </c>
      <c r="B1380" s="65" t="s">
        <v>4303</v>
      </c>
    </row>
    <row r="1381" spans="1:2" x14ac:dyDescent="0.25">
      <c r="A1381" s="64" t="str">
        <f>HYPERLINK("http://www.twitter.com/JadeMil21603045", "JadeMil21603045")</f>
        <v>JadeMil21603045</v>
      </c>
      <c r="B1381" s="65" t="s">
        <v>3762</v>
      </c>
    </row>
    <row r="1382" spans="1:2" x14ac:dyDescent="0.25">
      <c r="A1382" s="64" t="str">
        <f>HYPERLINK("http://www.twitter.com/eilsg", "eilsg")</f>
        <v>eilsg</v>
      </c>
      <c r="B1382" s="65"/>
    </row>
    <row r="1383" spans="1:2" x14ac:dyDescent="0.25">
      <c r="A1383" s="64" t="str">
        <f>HYPERLINK("http://www.twitter.com/RGU_ITBlog", "RGU_ITBlog")</f>
        <v>RGU_ITBlog</v>
      </c>
      <c r="B1383" s="65" t="s">
        <v>808</v>
      </c>
    </row>
    <row r="1384" spans="1:2" x14ac:dyDescent="0.25">
      <c r="A1384" s="64" t="str">
        <f>HYPERLINK("http://www.twitter.com/Michael22155445", "Michael22155445")</f>
        <v>Michael22155445</v>
      </c>
      <c r="B1384" s="65"/>
    </row>
    <row r="1385" spans="1:2" x14ac:dyDescent="0.25">
      <c r="A1385" s="64" t="str">
        <f>HYPERLINK("http://www.twitter.com/GoodJobForWork", "GoodJobForWork")</f>
        <v>GoodJobForWork</v>
      </c>
      <c r="B1385" s="65"/>
    </row>
    <row r="1386" spans="1:2" x14ac:dyDescent="0.25">
      <c r="A1386" s="64" t="str">
        <f>HYPERLINK("http://www.twitter.com/stuartjburnett", "stuartjburnett")</f>
        <v>stuartjburnett</v>
      </c>
      <c r="B1386" s="65" t="s">
        <v>477</v>
      </c>
    </row>
    <row r="1387" spans="1:2" x14ac:dyDescent="0.25">
      <c r="A1387" s="64" t="str">
        <f>HYPERLINK("http://www.twitter.com/RedSonia74", "RedSonia74")</f>
        <v>RedSonia74</v>
      </c>
      <c r="B1387" s="65"/>
    </row>
    <row r="1388" spans="1:2" x14ac:dyDescent="0.25">
      <c r="A1388" s="64" t="str">
        <f>HYPERLINK("http://www.twitter.com/biocelestial", "biocelestial")</f>
        <v>biocelestial</v>
      </c>
      <c r="B1388" s="65" t="s">
        <v>517</v>
      </c>
    </row>
    <row r="1389" spans="1:2" x14ac:dyDescent="0.25">
      <c r="A1389" s="64" t="str">
        <f>HYPERLINK("http://www.twitter.com/ToraWilliams1", "ToraWilliams1")</f>
        <v>ToraWilliams1</v>
      </c>
      <c r="B1389" s="65" t="s">
        <v>211</v>
      </c>
    </row>
    <row r="1390" spans="1:2" x14ac:dyDescent="0.25">
      <c r="A1390" s="64" t="str">
        <f>HYPERLINK("http://www.twitter.com/joannacourt12", "joannacourt12")</f>
        <v>joannacourt12</v>
      </c>
      <c r="B1390" s="65" t="s">
        <v>4304</v>
      </c>
    </row>
    <row r="1391" spans="1:2" x14ac:dyDescent="0.25">
      <c r="A1391" s="64" t="str">
        <f>HYPERLINK("http://www.twitter.com/CosyKiller", "CosyKiller")</f>
        <v>CosyKiller</v>
      </c>
      <c r="B1391" s="65" t="s">
        <v>4305</v>
      </c>
    </row>
    <row r="1392" spans="1:2" x14ac:dyDescent="0.25">
      <c r="A1392" s="64" t="str">
        <f>HYPERLINK("http://www.twitter.com/Art_equals_Life", "Art_equals_Life")</f>
        <v>Art_equals_Life</v>
      </c>
      <c r="B1392" s="65"/>
    </row>
    <row r="1393" spans="1:2" x14ac:dyDescent="0.25">
      <c r="A1393" s="64" t="str">
        <f>HYPERLINK("http://www.twitter.com/LancsM", "LancsM")</f>
        <v>LancsM</v>
      </c>
      <c r="B1393" s="65"/>
    </row>
    <row r="1394" spans="1:2" x14ac:dyDescent="0.25">
      <c r="A1394" s="64" t="str">
        <f>HYPERLINK("http://www.twitter.com/solwayce", "solwayce")</f>
        <v>solwayce</v>
      </c>
      <c r="B1394" s="65"/>
    </row>
    <row r="1395" spans="1:2" x14ac:dyDescent="0.25">
      <c r="A1395" s="64" t="str">
        <f>HYPERLINK("http://www.twitter.com/HildegerdH", "HildegerdH")</f>
        <v>HildegerdH</v>
      </c>
      <c r="B1395" s="65"/>
    </row>
    <row r="1396" spans="1:2" x14ac:dyDescent="0.25">
      <c r="A1396" s="64" t="str">
        <f>HYPERLINK("http://www.twitter.com/sep205", "sep205")</f>
        <v>sep205</v>
      </c>
      <c r="B1396" s="65" t="s">
        <v>4306</v>
      </c>
    </row>
    <row r="1397" spans="1:2" x14ac:dyDescent="0.25">
      <c r="A1397" s="64" t="str">
        <f>HYPERLINK("http://www.twitter.com/Staunton_James", "Staunton_James")</f>
        <v>Staunton_James</v>
      </c>
      <c r="B1397" s="65" t="s">
        <v>4307</v>
      </c>
    </row>
    <row r="1398" spans="1:2" x14ac:dyDescent="0.25">
      <c r="A1398" s="64" t="str">
        <f>HYPERLINK("http://www.twitter.com/AbieLongstaff", "AbieLongstaff")</f>
        <v>AbieLongstaff</v>
      </c>
      <c r="B1398" s="65"/>
    </row>
    <row r="1399" spans="1:2" x14ac:dyDescent="0.25">
      <c r="A1399" s="64" t="str">
        <f>HYPERLINK("http://www.twitter.com/nihilisttacos", "nihilisttacos")</f>
        <v>nihilisttacos</v>
      </c>
      <c r="B1399" s="65" t="s">
        <v>4308</v>
      </c>
    </row>
    <row r="1400" spans="1:2" x14ac:dyDescent="0.25">
      <c r="A1400" s="64" t="str">
        <f>HYPERLINK("http://www.twitter.com/pepper_jess", "pepper_jess")</f>
        <v>pepper_jess</v>
      </c>
      <c r="B1400" s="65" t="s">
        <v>517</v>
      </c>
    </row>
    <row r="1401" spans="1:2" x14ac:dyDescent="0.25">
      <c r="A1401" s="64" t="str">
        <f>HYPERLINK("http://www.twitter.com/DraganaPanteli5", "DraganaPanteli5")</f>
        <v>DraganaPanteli5</v>
      </c>
      <c r="B1401" s="65"/>
    </row>
    <row r="1402" spans="1:2" x14ac:dyDescent="0.25">
      <c r="A1402" s="64" t="str">
        <f>HYPERLINK("http://www.twitter.com/ameliekiefer", "ameliekiefer")</f>
        <v>ameliekiefer</v>
      </c>
      <c r="B1402" s="65"/>
    </row>
    <row r="1403" spans="1:2" x14ac:dyDescent="0.25">
      <c r="A1403" s="64" t="str">
        <f>HYPERLINK("http://www.twitter.com/josiahjcox", "josiahjcox")</f>
        <v>josiahjcox</v>
      </c>
      <c r="B1403" s="65" t="s">
        <v>4309</v>
      </c>
    </row>
    <row r="1404" spans="1:2" x14ac:dyDescent="0.25">
      <c r="A1404" s="64" t="str">
        <f>HYPERLINK("http://www.twitter.com/loolybluebell", "loolybluebell")</f>
        <v>loolybluebell</v>
      </c>
      <c r="B1404" s="65"/>
    </row>
    <row r="1405" spans="1:2" x14ac:dyDescent="0.25">
      <c r="A1405" s="64" t="str">
        <f>HYPERLINK("http://www.twitter.com/FHSschoolibrary", "FHSschoolibrary")</f>
        <v>FHSschoolibrary</v>
      </c>
      <c r="B1405" s="65" t="s">
        <v>3097</v>
      </c>
    </row>
    <row r="1406" spans="1:2" x14ac:dyDescent="0.25">
      <c r="A1406" s="64" t="str">
        <f>HYPERLINK("http://www.twitter.com/voyamagazine", "voyamagazine")</f>
        <v>voyamagazine</v>
      </c>
      <c r="B1406" s="65" t="s">
        <v>4310</v>
      </c>
    </row>
    <row r="1407" spans="1:2" x14ac:dyDescent="0.25">
      <c r="A1407" s="64" t="str">
        <f>HYPERLINK("http://www.twitter.com/thisgoldfleece", "thisgoldfleece")</f>
        <v>thisgoldfleece</v>
      </c>
      <c r="B1407" s="65" t="s">
        <v>2007</v>
      </c>
    </row>
    <row r="1408" spans="1:2" x14ac:dyDescent="0.25">
      <c r="A1408" s="64" t="str">
        <f>HYPERLINK("http://www.twitter.com/IanCooke13", "IanCooke13")</f>
        <v>IanCooke13</v>
      </c>
      <c r="B1408" s="65" t="s">
        <v>36</v>
      </c>
    </row>
    <row r="1409" spans="1:2" x14ac:dyDescent="0.25">
      <c r="A1409" s="64" t="str">
        <f>HYPERLINK("http://www.twitter.com/izzieeddard", "izzieeddard")</f>
        <v>izzieeddard</v>
      </c>
      <c r="B1409" s="65"/>
    </row>
    <row r="1410" spans="1:2" x14ac:dyDescent="0.25">
      <c r="A1410" s="64" t="str">
        <f>HYPERLINK("http://www.twitter.com/SirWiseGuy", "SirWiseGuy")</f>
        <v>SirWiseGuy</v>
      </c>
      <c r="B1410" s="65" t="s">
        <v>459</v>
      </c>
    </row>
    <row r="1411" spans="1:2" x14ac:dyDescent="0.25">
      <c r="A1411" s="64" t="str">
        <f>HYPERLINK("http://www.twitter.com/stacy_loper", "stacy_loper")</f>
        <v>stacy_loper</v>
      </c>
      <c r="B1411" s="65"/>
    </row>
    <row r="1412" spans="1:2" x14ac:dyDescent="0.25">
      <c r="A1412" s="64" t="str">
        <f>HYPERLINK("http://www.twitter.com/kingzola911", "kingzola911")</f>
        <v>kingzola911</v>
      </c>
      <c r="B1412" s="65"/>
    </row>
    <row r="1413" spans="1:2" x14ac:dyDescent="0.25">
      <c r="A1413" s="64" t="str">
        <f>HYPERLINK("http://www.twitter.com/Sarah260363", "Sarah260363")</f>
        <v>Sarah260363</v>
      </c>
      <c r="B1413" s="65" t="s">
        <v>3820</v>
      </c>
    </row>
    <row r="1414" spans="1:2" x14ac:dyDescent="0.25">
      <c r="A1414" s="64" t="str">
        <f>HYPERLINK("http://www.twitter.com/lesleymckie", "lesleymckie")</f>
        <v>lesleymckie</v>
      </c>
      <c r="B1414" s="65" t="s">
        <v>4311</v>
      </c>
    </row>
    <row r="1415" spans="1:2" x14ac:dyDescent="0.25">
      <c r="A1415" s="64" t="str">
        <f>HYPERLINK("http://www.twitter.com/debswebs2", "debswebs2")</f>
        <v>debswebs2</v>
      </c>
      <c r="B1415" s="65"/>
    </row>
    <row r="1416" spans="1:2" x14ac:dyDescent="0.25">
      <c r="A1416" s="64" t="str">
        <f>HYPERLINK("http://www.twitter.com/e_chappell", "e_chappell")</f>
        <v>e_chappell</v>
      </c>
      <c r="B1416" s="65" t="s">
        <v>318</v>
      </c>
    </row>
    <row r="1417" spans="1:2" x14ac:dyDescent="0.25">
      <c r="A1417" s="64" t="str">
        <f>HYPERLINK("http://www.twitter.com/GaryMeades1", "GaryMeades1")</f>
        <v>GaryMeades1</v>
      </c>
      <c r="B1417" s="65"/>
    </row>
    <row r="1418" spans="1:2" x14ac:dyDescent="0.25">
      <c r="A1418" s="64" t="str">
        <f>HYPERLINK("http://www.twitter.com/JackieMcColl1", "JackieMcColl1")</f>
        <v>JackieMcColl1</v>
      </c>
      <c r="B1418" s="65" t="s">
        <v>4312</v>
      </c>
    </row>
    <row r="1419" spans="1:2" x14ac:dyDescent="0.25">
      <c r="A1419" s="64" t="str">
        <f>HYPERLINK("http://www.twitter.com/Marwan_a88", "Marwan_a88")</f>
        <v>Marwan_a88</v>
      </c>
      <c r="B1419" s="65"/>
    </row>
    <row r="1420" spans="1:2" x14ac:dyDescent="0.25">
      <c r="A1420" s="64" t="str">
        <f>HYPERLINK("http://www.twitter.com/lightful", "lightful")</f>
        <v>lightful</v>
      </c>
      <c r="B1420" s="65" t="s">
        <v>36</v>
      </c>
    </row>
    <row r="1421" spans="1:2" x14ac:dyDescent="0.25">
      <c r="A1421" s="64" t="str">
        <f>HYPERLINK("http://www.twitter.com/sadie_clare", "sadie_clare")</f>
        <v>sadie_clare</v>
      </c>
      <c r="B1421" s="65"/>
    </row>
    <row r="1422" spans="1:2" x14ac:dyDescent="0.25">
      <c r="A1422" s="64" t="str">
        <f>HYPERLINK("http://www.twitter.com/DHCFTLibrary", "DHCFTLibrary")</f>
        <v>DHCFTLibrary</v>
      </c>
      <c r="B1422" s="65" t="s">
        <v>2997</v>
      </c>
    </row>
    <row r="1423" spans="1:2" x14ac:dyDescent="0.25">
      <c r="A1423" s="64" t="str">
        <f>HYPERLINK("http://www.twitter.com/KirkwallHotel", "KirkwallHotel")</f>
        <v>KirkwallHotel</v>
      </c>
      <c r="B1423" s="65"/>
    </row>
    <row r="1424" spans="1:2" x14ac:dyDescent="0.25">
      <c r="A1424" s="64" t="str">
        <f>HYPERLINK("http://www.twitter.com/TheKateHarbour", "TheKateHarbour")</f>
        <v>TheKateHarbour</v>
      </c>
      <c r="B1424" s="65" t="s">
        <v>857</v>
      </c>
    </row>
    <row r="1425" spans="1:2" x14ac:dyDescent="0.25">
      <c r="A1425" s="64" t="str">
        <f>HYPERLINK("http://www.twitter.com/LincolnCollLib", "LincolnCollLib")</f>
        <v>LincolnCollLib</v>
      </c>
      <c r="B1425" s="65" t="s">
        <v>3583</v>
      </c>
    </row>
    <row r="1426" spans="1:2" x14ac:dyDescent="0.25">
      <c r="A1426" s="64" t="str">
        <f>HYPERLINK("http://www.twitter.com/nociaio", "nociaio")</f>
        <v>nociaio</v>
      </c>
      <c r="B1426" s="65" t="s">
        <v>477</v>
      </c>
    </row>
    <row r="1427" spans="1:2" x14ac:dyDescent="0.25">
      <c r="A1427" s="64" t="str">
        <f>HYPERLINK("http://www.twitter.com/vidmarmatjaz", "vidmarmatjaz")</f>
        <v>vidmarmatjaz</v>
      </c>
      <c r="B1427" s="65" t="s">
        <v>4313</v>
      </c>
    </row>
    <row r="1428" spans="1:2" x14ac:dyDescent="0.25">
      <c r="A1428" s="64" t="str">
        <f>HYPERLINK("http://www.twitter.com/Scotchurchhist", "Scotchurchhist")</f>
        <v>Scotchurchhist</v>
      </c>
      <c r="B1428" s="65" t="s">
        <v>2007</v>
      </c>
    </row>
    <row r="1429" spans="1:2" x14ac:dyDescent="0.25">
      <c r="A1429" s="64" t="str">
        <f>HYPERLINK("http://www.twitter.com/JS_Stirling", "JS_Stirling")</f>
        <v>JS_Stirling</v>
      </c>
      <c r="B1429" s="65" t="s">
        <v>4314</v>
      </c>
    </row>
    <row r="1430" spans="1:2" x14ac:dyDescent="0.25">
      <c r="A1430" s="64" t="str">
        <f>HYPERLINK("http://www.twitter.com/Grussell93", "Grussell93")</f>
        <v>Grussell93</v>
      </c>
      <c r="B1430" s="65"/>
    </row>
    <row r="1431" spans="1:2" x14ac:dyDescent="0.25">
      <c r="A1431" s="64" t="str">
        <f>HYPERLINK("http://www.twitter.com/GlynRJones", "GlynRJones")</f>
        <v>GlynRJones</v>
      </c>
      <c r="B1431" s="65" t="s">
        <v>4315</v>
      </c>
    </row>
    <row r="1432" spans="1:2" x14ac:dyDescent="0.25">
      <c r="A1432" s="64" t="str">
        <f>HYPERLINK("http://www.twitter.com/tanjaplayner", "tanjaplayner")</f>
        <v>tanjaplayner</v>
      </c>
      <c r="B1432" s="65" t="s">
        <v>4316</v>
      </c>
    </row>
    <row r="1433" spans="1:2" x14ac:dyDescent="0.25">
      <c r="A1433" s="64" t="str">
        <f>HYPERLINK("http://www.twitter.com/ShannaMeunier", "ShannaMeunier")</f>
        <v>ShannaMeunier</v>
      </c>
      <c r="B1433" s="65" t="s">
        <v>4317</v>
      </c>
    </row>
    <row r="1434" spans="1:2" x14ac:dyDescent="0.25">
      <c r="A1434" s="64" t="str">
        <f>HYPERLINK("http://www.twitter.com/dpetschewark", "dpetschewark")</f>
        <v>dpetschewark</v>
      </c>
      <c r="B1434" s="65" t="s">
        <v>4318</v>
      </c>
    </row>
    <row r="1435" spans="1:2" x14ac:dyDescent="0.25">
      <c r="A1435" s="64" t="str">
        <f>HYPERLINK("http://www.twitter.com/fijma", "fijma")</f>
        <v>fijma</v>
      </c>
      <c r="B1435" s="65" t="s">
        <v>4319</v>
      </c>
    </row>
    <row r="1436" spans="1:2" x14ac:dyDescent="0.25">
      <c r="A1436" s="64" t="str">
        <f>HYPERLINK("http://www.twitter.com/benvwilkie", "benvwilkie")</f>
        <v>benvwilkie</v>
      </c>
      <c r="B1436" s="65" t="s">
        <v>4320</v>
      </c>
    </row>
    <row r="1437" spans="1:2" x14ac:dyDescent="0.25">
      <c r="A1437" s="64" t="str">
        <f>HYPERLINK("http://www.twitter.com/jll_archives", "jll_archives")</f>
        <v>jll_archives</v>
      </c>
      <c r="B1437" s="65"/>
    </row>
    <row r="1438" spans="1:2" x14ac:dyDescent="0.25">
      <c r="A1438" s="64" t="str">
        <f>HYPERLINK("http://www.twitter.com/beauty_utility", "beauty_utility")</f>
        <v>beauty_utility</v>
      </c>
      <c r="B1438" s="65" t="s">
        <v>4321</v>
      </c>
    </row>
    <row r="1439" spans="1:2" x14ac:dyDescent="0.25">
      <c r="A1439" s="64" t="str">
        <f>HYPERLINK("http://www.twitter.com/clairernewman", "clairernewman")</f>
        <v>clairernewman</v>
      </c>
      <c r="B1439" s="65"/>
    </row>
    <row r="1440" spans="1:2" x14ac:dyDescent="0.25">
      <c r="A1440" s="64" t="str">
        <f>HYPERLINK("http://www.twitter.com/lucymdudgeon", "lucymdudgeon")</f>
        <v>lucymdudgeon</v>
      </c>
      <c r="B1440" s="65" t="s">
        <v>4322</v>
      </c>
    </row>
    <row r="1441" spans="1:2" x14ac:dyDescent="0.25">
      <c r="A1441" s="64" t="str">
        <f>HYPERLINK("http://www.twitter.com/LibJRG", "LibJRG")</f>
        <v>LibJRG</v>
      </c>
      <c r="B1441" s="65" t="s">
        <v>4161</v>
      </c>
    </row>
    <row r="1442" spans="1:2" x14ac:dyDescent="0.25">
      <c r="A1442" s="64" t="str">
        <f>HYPERLINK("http://www.twitter.com/Branscombe", "Branscombe")</f>
        <v>Branscombe</v>
      </c>
      <c r="B1442" s="65"/>
    </row>
    <row r="1443" spans="1:2" x14ac:dyDescent="0.25">
      <c r="A1443" s="64" t="str">
        <f>HYPERLINK("http://www.twitter.com/keziah_milligan", "keziah_milligan")</f>
        <v>keziah_milligan</v>
      </c>
      <c r="B1443" s="65" t="s">
        <v>318</v>
      </c>
    </row>
    <row r="1444" spans="1:2" x14ac:dyDescent="0.25">
      <c r="A1444" s="64" t="str">
        <f>HYPERLINK("http://www.twitter.com/Arkady62", "Arkady62")</f>
        <v>Arkady62</v>
      </c>
      <c r="B1444" s="65" t="s">
        <v>4323</v>
      </c>
    </row>
    <row r="1445" spans="1:2" x14ac:dyDescent="0.25">
      <c r="A1445" s="64" t="str">
        <f>HYPERLINK("http://www.twitter.com/colinrsemple", "colinrsemple")</f>
        <v>colinrsemple</v>
      </c>
      <c r="B1445" s="65" t="s">
        <v>4324</v>
      </c>
    </row>
    <row r="1446" spans="1:2" x14ac:dyDescent="0.25">
      <c r="A1446" s="64" t="str">
        <f>HYPERLINK("http://www.twitter.com/meltwaterfalls", "meltwaterfalls")</f>
        <v>meltwaterfalls</v>
      </c>
      <c r="B1446" s="65"/>
    </row>
    <row r="1447" spans="1:2" x14ac:dyDescent="0.25">
      <c r="A1447" s="64" t="str">
        <f>HYPERLINK("http://www.twitter.com/pamelahall79", "pamelahall79")</f>
        <v>pamelahall79</v>
      </c>
      <c r="B1447" s="65" t="s">
        <v>4325</v>
      </c>
    </row>
    <row r="1448" spans="1:2" x14ac:dyDescent="0.25">
      <c r="A1448" s="64" t="str">
        <f>HYPERLINK("http://www.twitter.com/finlayhboyd", "finlayhboyd")</f>
        <v>finlayhboyd</v>
      </c>
      <c r="B1448" s="65" t="s">
        <v>24</v>
      </c>
    </row>
    <row r="1449" spans="1:2" x14ac:dyDescent="0.25">
      <c r="A1449" s="64" t="str">
        <f>HYPERLINK("http://www.twitter.com/desseinbd", "desseinbd")</f>
        <v>desseinbd</v>
      </c>
      <c r="B1449" s="65" t="s">
        <v>4326</v>
      </c>
    </row>
    <row r="1450" spans="1:2" x14ac:dyDescent="0.25">
      <c r="A1450" s="64" t="str">
        <f>HYPERLINK("http://www.twitter.com/mancbalc", "mancbalc")</f>
        <v>mancbalc</v>
      </c>
      <c r="B1450" s="65" t="s">
        <v>4327</v>
      </c>
    </row>
    <row r="1451" spans="1:2" x14ac:dyDescent="0.25">
      <c r="A1451" s="64" t="str">
        <f>HYPERLINK("http://www.twitter.com/ShetlandShell", "ShetlandShell")</f>
        <v>ShetlandShell</v>
      </c>
      <c r="B1451" s="65"/>
    </row>
    <row r="1452" spans="1:2" x14ac:dyDescent="0.25">
      <c r="A1452" s="64" t="str">
        <f>HYPERLINK("http://www.twitter.com/peeriepumpkin", "peeriepumpkin")</f>
        <v>peeriepumpkin</v>
      </c>
      <c r="B1452" s="65" t="s">
        <v>4328</v>
      </c>
    </row>
    <row r="1453" spans="1:2" x14ac:dyDescent="0.25">
      <c r="A1453" s="64" t="str">
        <f>HYPERLINK("http://www.twitter.com/NTSpekeHall", "NTSpekeHall")</f>
        <v>NTSpekeHall</v>
      </c>
      <c r="B1453" s="65" t="s">
        <v>102</v>
      </c>
    </row>
    <row r="1454" spans="1:2" x14ac:dyDescent="0.25">
      <c r="A1454" s="64" t="str">
        <f>HYPERLINK("http://www.twitter.com/amlibraries", "amlibraries")</f>
        <v>amlibraries</v>
      </c>
      <c r="B1454" s="65" t="s">
        <v>4329</v>
      </c>
    </row>
    <row r="1455" spans="1:2" x14ac:dyDescent="0.25">
      <c r="A1455" s="64" t="str">
        <f>HYPERLINK("http://www.twitter.com/DonaldCowey", "DonaldCowey")</f>
        <v>DonaldCowey</v>
      </c>
      <c r="B1455" s="65" t="s">
        <v>138</v>
      </c>
    </row>
    <row r="1456" spans="1:2" x14ac:dyDescent="0.25">
      <c r="A1456" s="64" t="str">
        <f>HYPERLINK("http://www.twitter.com/scintillen", "scintillen")</f>
        <v>scintillen</v>
      </c>
      <c r="B1456" s="65" t="s">
        <v>4095</v>
      </c>
    </row>
    <row r="1457" spans="1:2" x14ac:dyDescent="0.25">
      <c r="A1457" s="64" t="str">
        <f>HYPERLINK("http://www.twitter.com/DevonStepping", "DevonStepping")</f>
        <v>DevonStepping</v>
      </c>
      <c r="B1457" s="65" t="s">
        <v>4330</v>
      </c>
    </row>
    <row r="1458" spans="1:2" x14ac:dyDescent="0.25">
      <c r="A1458" s="64" t="str">
        <f>HYPERLINK("http://www.twitter.com/JTDO3", "JTDO3")</f>
        <v>JTDO3</v>
      </c>
      <c r="B1458" s="65"/>
    </row>
    <row r="1459" spans="1:2" x14ac:dyDescent="0.25">
      <c r="A1459" s="64" t="str">
        <f>HYPERLINK("http://www.twitter.com/bennett_mel", "bennett_mel")</f>
        <v>bennett_mel</v>
      </c>
      <c r="B1459" s="65" t="s">
        <v>4222</v>
      </c>
    </row>
    <row r="1460" spans="1:2" x14ac:dyDescent="0.25">
      <c r="A1460" s="64" t="str">
        <f>HYPERLINK("http://www.twitter.com/BailliestonBard", "BailliestonBard")</f>
        <v>BailliestonBard</v>
      </c>
      <c r="B1460" s="65" t="s">
        <v>4331</v>
      </c>
    </row>
    <row r="1461" spans="1:2" x14ac:dyDescent="0.25">
      <c r="A1461" s="64" t="str">
        <f>HYPERLINK("http://www.twitter.com/yjkkaiser", "yjkkaiser")</f>
        <v>yjkkaiser</v>
      </c>
      <c r="B1461" s="65"/>
    </row>
    <row r="1462" spans="1:2" x14ac:dyDescent="0.25">
      <c r="A1462" s="64" t="str">
        <f>HYPERLINK("http://www.twitter.com/alexandraloewen", "alexandraloewen")</f>
        <v>alexandraloewen</v>
      </c>
      <c r="B1462" s="65" t="s">
        <v>4332</v>
      </c>
    </row>
    <row r="1463" spans="1:2" x14ac:dyDescent="0.25">
      <c r="A1463" s="64" t="str">
        <f>HYPERLINK("http://www.twitter.com/MhairiTaylor1", "MhairiTaylor1")</f>
        <v>MhairiTaylor1</v>
      </c>
      <c r="B1463" s="65" t="s">
        <v>138</v>
      </c>
    </row>
    <row r="1464" spans="1:2" x14ac:dyDescent="0.25">
      <c r="A1464" s="64" t="str">
        <f>HYPERLINK("http://www.twitter.com/elinecoree", "elinecoree")</f>
        <v>elinecoree</v>
      </c>
      <c r="B1464" s="65" t="s">
        <v>4333</v>
      </c>
    </row>
    <row r="1465" spans="1:2" x14ac:dyDescent="0.25">
      <c r="A1465" s="64" t="str">
        <f>HYPERLINK("http://www.twitter.com/CadySadie", "CadySadie")</f>
        <v>CadySadie</v>
      </c>
      <c r="B1465" s="65"/>
    </row>
    <row r="1466" spans="1:2" x14ac:dyDescent="0.25">
      <c r="A1466" s="64" t="str">
        <f>HYPERLINK("http://www.twitter.com/Midgeridoo", "Midgeridoo")</f>
        <v>Midgeridoo</v>
      </c>
      <c r="B1466" s="65" t="s">
        <v>4334</v>
      </c>
    </row>
    <row r="1467" spans="1:2" x14ac:dyDescent="0.25">
      <c r="A1467" s="64" t="str">
        <f>HYPERLINK("http://www.twitter.com/suz1e57", "suz1e57")</f>
        <v>suz1e57</v>
      </c>
      <c r="B1467" s="65" t="s">
        <v>138</v>
      </c>
    </row>
    <row r="1468" spans="1:2" x14ac:dyDescent="0.25">
      <c r="A1468" s="64" t="str">
        <f>HYPERLINK("http://www.twitter.com/SueBtin", "SueBtin")</f>
        <v>SueBtin</v>
      </c>
      <c r="B1468" s="65"/>
    </row>
    <row r="1469" spans="1:2" x14ac:dyDescent="0.25">
      <c r="A1469" s="64" t="str">
        <f>HYPERLINK("http://www.twitter.com/askaboutbiz", "askaboutbiz")</f>
        <v>askaboutbiz</v>
      </c>
      <c r="B1469" s="65"/>
    </row>
    <row r="1470" spans="1:2" x14ac:dyDescent="0.25">
      <c r="A1470" s="64" t="str">
        <f>HYPERLINK("http://www.twitter.com/siskador", "siskador")</f>
        <v>siskador</v>
      </c>
      <c r="B1470" s="65"/>
    </row>
    <row r="1471" spans="1:2" x14ac:dyDescent="0.25">
      <c r="A1471" s="64" t="str">
        <f>HYPERLINK("http://www.twitter.com/ScotStreetPress", "ScotStreetPress")</f>
        <v>ScotStreetPress</v>
      </c>
      <c r="B1471" s="65" t="s">
        <v>487</v>
      </c>
    </row>
    <row r="1472" spans="1:2" x14ac:dyDescent="0.25">
      <c r="A1472" s="64" t="str">
        <f>HYPERLINK("http://www.twitter.com/dillydallyem", "dillydallyem")</f>
        <v>dillydallyem</v>
      </c>
      <c r="B1472" s="65" t="s">
        <v>1295</v>
      </c>
    </row>
    <row r="1473" spans="1:2" x14ac:dyDescent="0.25">
      <c r="A1473" s="64" t="str">
        <f>HYPERLINK("http://www.twitter.com/JuliaBoxer", "JuliaBoxer")</f>
        <v>JuliaBoxer</v>
      </c>
      <c r="B1473" s="65"/>
    </row>
    <row r="1474" spans="1:2" x14ac:dyDescent="0.25">
      <c r="A1474" s="64" t="str">
        <f>HYPERLINK("http://www.twitter.com/KateBro25595367", "KateBro25595367")</f>
        <v>KateBro25595367</v>
      </c>
      <c r="B1474" s="65"/>
    </row>
    <row r="1475" spans="1:2" x14ac:dyDescent="0.25">
      <c r="A1475" s="64" t="str">
        <f>HYPERLINK("http://www.twitter.com/JuliaSm74739287", "JuliaSm74739287")</f>
        <v>JuliaSm74739287</v>
      </c>
      <c r="B1475" s="65" t="s">
        <v>4335</v>
      </c>
    </row>
    <row r="1476" spans="1:2" x14ac:dyDescent="0.25">
      <c r="A1476" s="64" t="str">
        <f>HYPERLINK("http://www.twitter.com/EmiratesLitFest", "EmiratesLitFest")</f>
        <v>EmiratesLitFest</v>
      </c>
      <c r="B1476" s="65" t="s">
        <v>4336</v>
      </c>
    </row>
    <row r="1477" spans="1:2" x14ac:dyDescent="0.25">
      <c r="A1477" s="64" t="str">
        <f>HYPERLINK("http://www.twitter.com/Librarytech87", "Librarytech87")</f>
        <v>Librarytech87</v>
      </c>
      <c r="B1477" s="65" t="s">
        <v>4337</v>
      </c>
    </row>
    <row r="1478" spans="1:2" x14ac:dyDescent="0.25">
      <c r="A1478" s="64" t="str">
        <f>HYPERLINK("http://www.twitter.com/thepolitics__", "thepolitics__")</f>
        <v>thepolitics__</v>
      </c>
      <c r="B1478" s="65"/>
    </row>
    <row r="1479" spans="1:2" x14ac:dyDescent="0.25">
      <c r="A1479" s="64" t="str">
        <f>HYPERLINK("http://www.twitter.com/skater9191", "skater9191")</f>
        <v>skater9191</v>
      </c>
      <c r="B1479" s="65"/>
    </row>
    <row r="1480" spans="1:2" x14ac:dyDescent="0.25">
      <c r="A1480" s="64" t="str">
        <f>HYPERLINK("http://www.twitter.com/MogTessa", "MogTessa")</f>
        <v>MogTessa</v>
      </c>
      <c r="B1480" s="65" t="s">
        <v>4338</v>
      </c>
    </row>
    <row r="1481" spans="1:2" x14ac:dyDescent="0.25">
      <c r="A1481" s="64" t="str">
        <f>HYPERLINK("http://www.twitter.com/KirstieMathieso", "KirstieMathieso")</f>
        <v>KirstieMathieso</v>
      </c>
      <c r="B1481" s="65" t="s">
        <v>1765</v>
      </c>
    </row>
    <row r="1482" spans="1:2" x14ac:dyDescent="0.25">
      <c r="A1482" s="64" t="str">
        <f>HYPERLINK("http://www.twitter.com/WomensPrize", "WomensPrize")</f>
        <v>WomensPrize</v>
      </c>
      <c r="B1482" s="65" t="s">
        <v>36</v>
      </c>
    </row>
    <row r="1483" spans="1:2" x14ac:dyDescent="0.25">
      <c r="A1483" s="64" t="str">
        <f>HYPERLINK("http://www.twitter.com/Catally2", "Catally2")</f>
        <v>Catally2</v>
      </c>
      <c r="B1483" s="65" t="s">
        <v>3850</v>
      </c>
    </row>
    <row r="1484" spans="1:2" x14ac:dyDescent="0.25">
      <c r="A1484" s="64" t="str">
        <f>HYPERLINK("http://www.twitter.com/SempleSue", "SempleSue")</f>
        <v>SempleSue</v>
      </c>
      <c r="B1484" s="65"/>
    </row>
    <row r="1485" spans="1:2" x14ac:dyDescent="0.25">
      <c r="A1485" s="64" t="str">
        <f>HYPERLINK("http://www.twitter.com/AndromedaGrang1", "AndromedaGrang1")</f>
        <v>AndromedaGrang1</v>
      </c>
      <c r="B1485" s="65" t="s">
        <v>4339</v>
      </c>
    </row>
    <row r="1486" spans="1:2" x14ac:dyDescent="0.25">
      <c r="A1486" s="64" t="str">
        <f>HYPERLINK("http://www.twitter.com/haroldalfking", "haroldalfking")</f>
        <v>haroldalfking</v>
      </c>
      <c r="B1486" s="65"/>
    </row>
    <row r="1487" spans="1:2" x14ac:dyDescent="0.25">
      <c r="A1487" s="64" t="str">
        <f>HYPERLINK("http://www.twitter.com/tara5weeney555", "tara5weeney555")</f>
        <v>tara5weeney555</v>
      </c>
      <c r="B1487" s="65" t="s">
        <v>4340</v>
      </c>
    </row>
    <row r="1488" spans="1:2" x14ac:dyDescent="0.25">
      <c r="A1488" s="64" t="str">
        <f>HYPERLINK("http://www.twitter.com/gclib", "gclib")</f>
        <v>gclib</v>
      </c>
      <c r="B1488" s="65" t="s">
        <v>4341</v>
      </c>
    </row>
    <row r="1489" spans="1:2" x14ac:dyDescent="0.25">
      <c r="A1489" s="64" t="str">
        <f>HYPERLINK("http://www.twitter.com/WriterRozWarren", "WriterRozWarren")</f>
        <v>WriterRozWarren</v>
      </c>
      <c r="B1489" s="65"/>
    </row>
    <row r="1490" spans="1:2" x14ac:dyDescent="0.25">
      <c r="A1490" s="64" t="str">
        <f>HYPERLINK("http://www.twitter.com/EastfieldLibMTB", "EastfieldLibMTB")</f>
        <v>EastfieldLibMTB</v>
      </c>
      <c r="B1490" s="65" t="s">
        <v>4342</v>
      </c>
    </row>
    <row r="1491" spans="1:2" x14ac:dyDescent="0.25">
      <c r="A1491" s="64" t="str">
        <f>HYPERLINK("http://www.twitter.com/doonies97_muir", "doonies97_muir")</f>
        <v>doonies97_muir</v>
      </c>
      <c r="B1491" s="65" t="s">
        <v>3762</v>
      </c>
    </row>
    <row r="1492" spans="1:2" x14ac:dyDescent="0.25">
      <c r="A1492" s="64" t="str">
        <f>HYPERLINK("http://www.twitter.com/carlGoodram1", "carlGoodram1")</f>
        <v>carlGoodram1</v>
      </c>
      <c r="B1492" s="65"/>
    </row>
    <row r="1493" spans="1:2" x14ac:dyDescent="0.25">
      <c r="A1493" s="64" t="str">
        <f>HYPERLINK("http://www.twitter.com/PRCasey1983", "PRCasey1983")</f>
        <v>PRCasey1983</v>
      </c>
      <c r="B1493" s="65" t="s">
        <v>3762</v>
      </c>
    </row>
    <row r="1494" spans="1:2" x14ac:dyDescent="0.25">
      <c r="A1494" s="64" t="str">
        <f>HYPERLINK("http://www.twitter.com/ELDStore", "ELDStore")</f>
        <v>ELDStore</v>
      </c>
      <c r="B1494" s="65" t="s">
        <v>4343</v>
      </c>
    </row>
    <row r="1495" spans="1:2" x14ac:dyDescent="0.25">
      <c r="A1495" s="64" t="str">
        <f>HYPERLINK("http://www.twitter.com/HPAmerikos", "HPAmerikos")</f>
        <v>HPAmerikos</v>
      </c>
      <c r="B1495" s="65"/>
    </row>
    <row r="1496" spans="1:2" x14ac:dyDescent="0.25">
      <c r="A1496" s="64" t="str">
        <f>HYPERLINK("http://www.twitter.com/c_e_strachan", "c_e_strachan")</f>
        <v>c_e_strachan</v>
      </c>
      <c r="B1496" s="65" t="s">
        <v>2007</v>
      </c>
    </row>
    <row r="1497" spans="1:2" x14ac:dyDescent="0.25">
      <c r="A1497" s="64" t="str">
        <f>HYPERLINK("http://www.twitter.com/linseydrever3", "linseydrever3")</f>
        <v>linseydrever3</v>
      </c>
      <c r="B1497" s="65"/>
    </row>
    <row r="1498" spans="1:2" x14ac:dyDescent="0.25">
      <c r="A1498" s="64" t="str">
        <f>HYPERLINK("http://www.twitter.com/pea_value", "pea_value")</f>
        <v>pea_value</v>
      </c>
      <c r="B1498" s="65"/>
    </row>
    <row r="1499" spans="1:2" x14ac:dyDescent="0.25">
      <c r="A1499" s="64" t="str">
        <f>HYPERLINK("http://www.twitter.com/ObanHopeKitchen", "ObanHopeKitchen")</f>
        <v>ObanHopeKitchen</v>
      </c>
      <c r="B1499" s="65" t="s">
        <v>4344</v>
      </c>
    </row>
    <row r="1500" spans="1:2" x14ac:dyDescent="0.25">
      <c r="A1500" s="64" t="str">
        <f>HYPERLINK("http://www.twitter.com/Sophia__Grace", "Sophia__Grace")</f>
        <v>Sophia__Grace</v>
      </c>
      <c r="B1500" s="65" t="s">
        <v>4345</v>
      </c>
    </row>
    <row r="1501" spans="1:2" x14ac:dyDescent="0.25">
      <c r="A1501" s="64" t="str">
        <f>HYPERLINK("http://www.twitter.com/tinapape", "tinapape")</f>
        <v>tinapape</v>
      </c>
      <c r="B1501" s="65" t="s">
        <v>3798</v>
      </c>
    </row>
    <row r="1502" spans="1:2" x14ac:dyDescent="0.25">
      <c r="A1502" s="64" t="str">
        <f>HYPERLINK("http://www.twitter.com/Shiv_Mc_A", "Shiv_Mc_A")</f>
        <v>Shiv_Mc_A</v>
      </c>
      <c r="B1502" s="65" t="s">
        <v>4346</v>
      </c>
    </row>
    <row r="1503" spans="1:2" x14ac:dyDescent="0.25">
      <c r="A1503" s="64" t="str">
        <f>HYPERLINK("http://www.twitter.com/Eclair55", "Eclair55")</f>
        <v>Eclair55</v>
      </c>
      <c r="B1503" s="65" t="s">
        <v>4347</v>
      </c>
    </row>
    <row r="1504" spans="1:2" x14ac:dyDescent="0.25">
      <c r="A1504" s="64" t="str">
        <f>HYPERLINK("http://www.twitter.com/angusmaroon", "angusmaroon")</f>
        <v>angusmaroon</v>
      </c>
      <c r="B1504" s="65" t="s">
        <v>24</v>
      </c>
    </row>
    <row r="1505" spans="1:2" x14ac:dyDescent="0.25">
      <c r="A1505" s="64" t="str">
        <f>HYPERLINK("http://www.twitter.com/GinormousTales", "GinormousTales")</f>
        <v>GinormousTales</v>
      </c>
      <c r="B1505" s="65" t="s">
        <v>4348</v>
      </c>
    </row>
    <row r="1506" spans="1:2" x14ac:dyDescent="0.25">
      <c r="A1506" s="64" t="str">
        <f>HYPERLINK("http://www.twitter.com/PoetLyall", "PoetLyall")</f>
        <v>PoetLyall</v>
      </c>
      <c r="B1506" s="65"/>
    </row>
    <row r="1507" spans="1:2" x14ac:dyDescent="0.25">
      <c r="A1507" s="64" t="str">
        <f>HYPERLINK("http://www.twitter.com/LFOrkney", "LFOrkney")</f>
        <v>LFOrkney</v>
      </c>
      <c r="B1507" s="65" t="s">
        <v>2007</v>
      </c>
    </row>
    <row r="1508" spans="1:2" x14ac:dyDescent="0.25">
      <c r="A1508" s="64" t="str">
        <f>HYPERLINK("http://www.twitter.com/samkelpie1", "samkelpie1")</f>
        <v>samkelpie1</v>
      </c>
      <c r="B1508" s="65" t="s">
        <v>4349</v>
      </c>
    </row>
    <row r="1509" spans="1:2" x14ac:dyDescent="0.25">
      <c r="A1509" s="64" t="str">
        <f>HYPERLINK("http://www.twitter.com/jacquettamay3", "jacquettamay3")</f>
        <v>jacquettamay3</v>
      </c>
      <c r="B1509" s="65"/>
    </row>
    <row r="1510" spans="1:2" x14ac:dyDescent="0.25">
      <c r="A1510" s="64" t="str">
        <f>HYPERLINK("http://www.twitter.com/beccasharp2", "beccasharp2")</f>
        <v>beccasharp2</v>
      </c>
      <c r="B1510" s="65"/>
    </row>
    <row r="1511" spans="1:2" x14ac:dyDescent="0.25">
      <c r="A1511" s="64" t="str">
        <f>HYPERLINK("http://www.twitter.com/AurigaHen", "AurigaHen")</f>
        <v>AurigaHen</v>
      </c>
      <c r="B1511" s="65" t="s">
        <v>4350</v>
      </c>
    </row>
    <row r="1512" spans="1:2" x14ac:dyDescent="0.25">
      <c r="A1512" s="64" t="str">
        <f>HYPERLINK("http://www.twitter.com/QMULsed", "QMULsed")</f>
        <v>QMULsed</v>
      </c>
      <c r="B1512" s="65" t="s">
        <v>36</v>
      </c>
    </row>
    <row r="1513" spans="1:2" x14ac:dyDescent="0.25">
      <c r="A1513" s="64" t="str">
        <f>HYPERLINK("http://www.twitter.com/lawandbiz_PSP", "lawandbiz_PSP")</f>
        <v>lawandbiz_PSP</v>
      </c>
      <c r="B1513" s="65" t="s">
        <v>477</v>
      </c>
    </row>
    <row r="1514" spans="1:2" x14ac:dyDescent="0.25">
      <c r="A1514" s="64" t="str">
        <f>HYPERLINK("http://www.twitter.com/RLambertJones", "RLambertJones")</f>
        <v>RLambertJones</v>
      </c>
      <c r="B1514" s="65" t="s">
        <v>4351</v>
      </c>
    </row>
    <row r="1515" spans="1:2" x14ac:dyDescent="0.25">
      <c r="A1515" s="64" t="str">
        <f>HYPERLINK("http://www.twitter.com/Tq12Plastering", "Tq12Plastering")</f>
        <v>Tq12Plastering</v>
      </c>
      <c r="B1515" s="65"/>
    </row>
    <row r="1516" spans="1:2" x14ac:dyDescent="0.25">
      <c r="A1516" s="64" t="str">
        <f>HYPERLINK("http://www.twitter.com/jonathanfield", "jonathanfield")</f>
        <v>jonathanfield</v>
      </c>
      <c r="B1516" s="65" t="s">
        <v>830</v>
      </c>
    </row>
    <row r="1517" spans="1:2" x14ac:dyDescent="0.25">
      <c r="A1517" s="64" t="str">
        <f>HYPERLINK("http://www.twitter.com/wkrslunchtime", "wkrslunchtime")</f>
        <v>wkrslunchtime</v>
      </c>
      <c r="B1517" s="65"/>
    </row>
    <row r="1518" spans="1:2" x14ac:dyDescent="0.25">
      <c r="A1518" s="64" t="str">
        <f>HYPERLINK("http://www.twitter.com/FortuneAndCakes", "FortuneAndCakes")</f>
        <v>FortuneAndCakes</v>
      </c>
      <c r="B1518" s="65" t="s">
        <v>487</v>
      </c>
    </row>
    <row r="1519" spans="1:2" x14ac:dyDescent="0.25">
      <c r="A1519" s="64" t="str">
        <f>HYPERLINK("http://www.twitter.com/pollydoodledoi", "pollydoodledoi")</f>
        <v>pollydoodledoi</v>
      </c>
      <c r="B1519" s="65"/>
    </row>
    <row r="1520" spans="1:2" x14ac:dyDescent="0.25">
      <c r="A1520" s="64" t="str">
        <f>HYPERLINK("http://www.twitter.com/MillingtonSally", "MillingtonSally")</f>
        <v>MillingtonSally</v>
      </c>
      <c r="B1520" s="65"/>
    </row>
    <row r="1521" spans="1:2" x14ac:dyDescent="0.25">
      <c r="A1521" s="64" t="str">
        <f>HYPERLINK("http://www.twitter.com/koshertrx", "koshertrx")</f>
        <v>koshertrx</v>
      </c>
      <c r="B1521" s="65" t="s">
        <v>3998</v>
      </c>
    </row>
    <row r="1522" spans="1:2" x14ac:dyDescent="0.25">
      <c r="A1522" s="64" t="str">
        <f>HYPERLINK("http://www.twitter.com/hamiltonkerr1", "hamiltonkerr1")</f>
        <v>hamiltonkerr1</v>
      </c>
      <c r="B1522" s="65" t="s">
        <v>4352</v>
      </c>
    </row>
    <row r="1523" spans="1:2" x14ac:dyDescent="0.25">
      <c r="A1523" s="64" t="str">
        <f>HYPERLINK("http://www.twitter.com/ManskeLibrary", "ManskeLibrary")</f>
        <v>ManskeLibrary</v>
      </c>
      <c r="B1523" s="65" t="s">
        <v>4353</v>
      </c>
    </row>
    <row r="1524" spans="1:2" x14ac:dyDescent="0.25">
      <c r="A1524" s="64" t="str">
        <f>HYPERLINK("http://www.twitter.com/margaretbirchal", "margaretbirchal")</f>
        <v>margaretbirchal</v>
      </c>
      <c r="B1524" s="65" t="s">
        <v>4354</v>
      </c>
    </row>
    <row r="1525" spans="1:2" x14ac:dyDescent="0.25">
      <c r="A1525" s="64" t="str">
        <f>HYPERLINK("http://www.twitter.com/grethoffmann", "grethoffmann")</f>
        <v>grethoffmann</v>
      </c>
      <c r="B1525" s="65" t="s">
        <v>4355</v>
      </c>
    </row>
    <row r="1526" spans="1:2" x14ac:dyDescent="0.25">
      <c r="A1526" s="64" t="str">
        <f>HYPERLINK("http://www.twitter.com/Kat999", "Kat999")</f>
        <v>Kat999</v>
      </c>
      <c r="B1526" s="65" t="s">
        <v>4356</v>
      </c>
    </row>
    <row r="1527" spans="1:2" x14ac:dyDescent="0.25">
      <c r="A1527" s="64" t="str">
        <f>HYPERLINK("http://www.twitter.com/SafeerHyder1987", "SafeerHyder1987")</f>
        <v>SafeerHyder1987</v>
      </c>
      <c r="B1527" s="65"/>
    </row>
    <row r="1528" spans="1:2" x14ac:dyDescent="0.25">
      <c r="A1528" s="64" t="str">
        <f>HYPERLINK("http://www.twitter.com/Guzmankpkf", "Guzmankpkf")</f>
        <v>Guzmankpkf</v>
      </c>
      <c r="B1528" s="65"/>
    </row>
    <row r="1529" spans="1:2" x14ac:dyDescent="0.25">
      <c r="A1529" s="64" t="str">
        <f>HYPERLINK("http://www.twitter.com/bkbryce21", "bkbryce21")</f>
        <v>bkbryce21</v>
      </c>
      <c r="B1529" s="65" t="s">
        <v>20</v>
      </c>
    </row>
    <row r="1530" spans="1:2" x14ac:dyDescent="0.25">
      <c r="A1530" s="64" t="str">
        <f>HYPERLINK("http://www.twitter.com/ONatDCLG", "ONatDCLG")</f>
        <v>ONatDCLG</v>
      </c>
      <c r="B1530" s="65" t="s">
        <v>4044</v>
      </c>
    </row>
    <row r="1531" spans="1:2" x14ac:dyDescent="0.25">
      <c r="A1531" s="64" t="str">
        <f>HYPERLINK("http://www.twitter.com/philroberts93", "philroberts93")</f>
        <v>philroberts93</v>
      </c>
      <c r="B1531" s="65"/>
    </row>
    <row r="1532" spans="1:2" x14ac:dyDescent="0.25">
      <c r="A1532" s="64" t="str">
        <f>HYPERLINK("http://www.twitter.com/Anaheim_Library", "Anaheim_Library")</f>
        <v>Anaheim_Library</v>
      </c>
      <c r="B1532" s="65" t="s">
        <v>4357</v>
      </c>
    </row>
    <row r="1533" spans="1:2" x14ac:dyDescent="0.25">
      <c r="A1533" s="64" t="str">
        <f>HYPERLINK("http://www.twitter.com/AnnickPress", "AnnickPress")</f>
        <v>AnnickPress</v>
      </c>
      <c r="B1533" s="65"/>
    </row>
    <row r="1534" spans="1:2" x14ac:dyDescent="0.25">
      <c r="A1534" s="64" t="str">
        <f>HYPERLINK("http://www.twitter.com/yearsofreading", "yearsofreading")</f>
        <v>yearsofreading</v>
      </c>
      <c r="B1534" s="65" t="s">
        <v>3677</v>
      </c>
    </row>
    <row r="1535" spans="1:2" x14ac:dyDescent="0.25">
      <c r="A1535" s="64" t="str">
        <f>HYPERLINK("http://www.twitter.com/jm_paterson", "jm_paterson")</f>
        <v>jm_paterson</v>
      </c>
      <c r="B1535" s="65"/>
    </row>
    <row r="1536" spans="1:2" x14ac:dyDescent="0.25">
      <c r="A1536" s="64" t="str">
        <f>HYPERLINK("http://www.twitter.com/FAG_Synthesis", "FAG_Synthesis")</f>
        <v>FAG_Synthesis</v>
      </c>
      <c r="B1536" s="65" t="s">
        <v>4358</v>
      </c>
    </row>
    <row r="1537" spans="1:2" x14ac:dyDescent="0.25">
      <c r="A1537" s="64" t="str">
        <f>HYPERLINK("http://www.twitter.com/screejay", "screejay")</f>
        <v>screejay</v>
      </c>
      <c r="B1537" s="65" t="s">
        <v>4359</v>
      </c>
    </row>
    <row r="1538" spans="1:2" x14ac:dyDescent="0.25">
      <c r="A1538" s="64" t="str">
        <f>HYPERLINK("http://www.twitter.com/StorybonesBob", "StorybonesBob")</f>
        <v>StorybonesBob</v>
      </c>
      <c r="B1538" s="65" t="s">
        <v>4360</v>
      </c>
    </row>
    <row r="1539" spans="1:2" x14ac:dyDescent="0.25">
      <c r="A1539" s="64" t="str">
        <f>HYPERLINK("http://www.twitter.com/BestSellerSucce", "BestSellerSucce")</f>
        <v>BestSellerSucce</v>
      </c>
      <c r="B1539" s="65" t="s">
        <v>3988</v>
      </c>
    </row>
    <row r="1540" spans="1:2" x14ac:dyDescent="0.25">
      <c r="A1540" s="64" t="str">
        <f>HYPERLINK("http://www.twitter.com/VickieMiernicki", "VickieMiernicki")</f>
        <v>VickieMiernicki</v>
      </c>
      <c r="B1540" s="65" t="s">
        <v>663</v>
      </c>
    </row>
    <row r="1541" spans="1:2" x14ac:dyDescent="0.25">
      <c r="A1541" s="64" t="str">
        <f>HYPERLINK("http://www.twitter.com/AnnieGlue", "AnnieGlue")</f>
        <v>AnnieGlue</v>
      </c>
      <c r="B1541" s="65"/>
    </row>
    <row r="1542" spans="1:2" x14ac:dyDescent="0.25">
      <c r="A1542" s="64" t="str">
        <f>HYPERLINK("http://www.twitter.com/inesknauss", "inesknauss")</f>
        <v>inesknauss</v>
      </c>
      <c r="B1542" s="65"/>
    </row>
    <row r="1543" spans="1:2" x14ac:dyDescent="0.25">
      <c r="A1543" s="64" t="str">
        <f>HYPERLINK("http://www.twitter.com/LinenPressBooks", "LinenPressBooks")</f>
        <v>LinenPressBooks</v>
      </c>
      <c r="B1543" s="65" t="s">
        <v>477</v>
      </c>
    </row>
    <row r="1544" spans="1:2" x14ac:dyDescent="0.25">
      <c r="A1544" s="64" t="str">
        <f>HYPERLINK("http://www.twitter.com/sphilp2", "sphilp2")</f>
        <v>sphilp2</v>
      </c>
      <c r="B1544" s="65" t="s">
        <v>24</v>
      </c>
    </row>
    <row r="1545" spans="1:2" x14ac:dyDescent="0.25">
      <c r="A1545" s="64" t="str">
        <f>HYPERLINK("http://www.twitter.com/LukeHumberstone", "LukeHumberstone")</f>
        <v>LukeHumberstone</v>
      </c>
      <c r="B1545" s="65" t="s">
        <v>318</v>
      </c>
    </row>
    <row r="1546" spans="1:2" x14ac:dyDescent="0.25">
      <c r="A1546" s="64" t="str">
        <f>HYPERLINK("http://www.twitter.com/RevelBurroughes", "RevelBurroughes")</f>
        <v>RevelBurroughes</v>
      </c>
      <c r="B1546" s="65" t="s">
        <v>4361</v>
      </c>
    </row>
    <row r="1547" spans="1:2" x14ac:dyDescent="0.25">
      <c r="A1547" s="64" t="str">
        <f>HYPERLINK("http://www.twitter.com/scuba_lass", "scuba_lass")</f>
        <v>scuba_lass</v>
      </c>
      <c r="B1547" s="65" t="s">
        <v>4362</v>
      </c>
    </row>
    <row r="1548" spans="1:2" x14ac:dyDescent="0.25">
      <c r="A1548" s="64" t="str">
        <f>HYPERLINK("http://www.twitter.com/SusNeill", "SusNeill")</f>
        <v>SusNeill</v>
      </c>
      <c r="B1548" s="65" t="s">
        <v>4363</v>
      </c>
    </row>
    <row r="1549" spans="1:2" x14ac:dyDescent="0.25">
      <c r="A1549" s="64" t="str">
        <f>HYPERLINK("http://www.twitter.com/EKennedy77", "EKennedy77")</f>
        <v>EKennedy77</v>
      </c>
      <c r="B1549" s="65"/>
    </row>
    <row r="1550" spans="1:2" x14ac:dyDescent="0.25">
      <c r="A1550" s="64" t="str">
        <f>HYPERLINK("http://www.twitter.com/theachamb", "theachamb")</f>
        <v>theachamb</v>
      </c>
      <c r="B1550" s="65" t="s">
        <v>487</v>
      </c>
    </row>
    <row r="1551" spans="1:2" x14ac:dyDescent="0.25">
      <c r="A1551" s="64" t="str">
        <f>HYPERLINK("http://www.twitter.com/KristianReed_", "KristianReed_")</f>
        <v>KristianReed_</v>
      </c>
      <c r="B1551" s="65" t="s">
        <v>4364</v>
      </c>
    </row>
    <row r="1552" spans="1:2" x14ac:dyDescent="0.25">
      <c r="A1552" s="64" t="str">
        <f>HYPERLINK("http://www.twitter.com/PedroWilliamez", "PedroWilliamez")</f>
        <v>PedroWilliamez</v>
      </c>
      <c r="B1552" s="65" t="s">
        <v>36</v>
      </c>
    </row>
    <row r="1553" spans="1:2" x14ac:dyDescent="0.25">
      <c r="A1553" s="64" t="str">
        <f>HYPERLINK("http://www.twitter.com/carehomeapp", "carehomeapp")</f>
        <v>carehomeapp</v>
      </c>
      <c r="B1553" s="65" t="s">
        <v>487</v>
      </c>
    </row>
    <row r="1554" spans="1:2" x14ac:dyDescent="0.25">
      <c r="A1554" s="64" t="str">
        <f>HYPERLINK("http://www.twitter.com/howfdweller", "howfdweller")</f>
        <v>howfdweller</v>
      </c>
      <c r="B1554" s="65" t="s">
        <v>487</v>
      </c>
    </row>
    <row r="1555" spans="1:2" x14ac:dyDescent="0.25">
      <c r="A1555" s="64" t="str">
        <f>HYPERLINK("http://www.twitter.com/knatpat", "knatpat")</f>
        <v>knatpat</v>
      </c>
      <c r="B1555" s="65"/>
    </row>
    <row r="1556" spans="1:2" x14ac:dyDescent="0.25">
      <c r="A1556" s="64" t="str">
        <f>HYPERLINK("http://www.twitter.com/Bluuueeeeberry", "Bluuueeeeberry")</f>
        <v>Bluuueeeeberry</v>
      </c>
      <c r="B1556" s="65"/>
    </row>
    <row r="1557" spans="1:2" x14ac:dyDescent="0.25">
      <c r="A1557" s="64" t="str">
        <f>HYPERLINK("http://www.twitter.com/Patussssss", "Patussssss")</f>
        <v>Patussssss</v>
      </c>
      <c r="B1557" s="65" t="s">
        <v>4365</v>
      </c>
    </row>
    <row r="1558" spans="1:2" x14ac:dyDescent="0.25">
      <c r="A1558" s="64" t="str">
        <f>HYPERLINK("http://www.twitter.com/Gsjdb7", "Gsjdb7")</f>
        <v>Gsjdb7</v>
      </c>
      <c r="B1558" s="65"/>
    </row>
    <row r="1559" spans="1:2" x14ac:dyDescent="0.25">
      <c r="A1559" s="64" t="str">
        <f>HYPERLINK("http://www.twitter.com/Rachel_McGaw", "Rachel_McGaw")</f>
        <v>Rachel_McGaw</v>
      </c>
      <c r="B1559" s="65" t="s">
        <v>4366</v>
      </c>
    </row>
    <row r="1560" spans="1:2" x14ac:dyDescent="0.25">
      <c r="A1560" s="64" t="str">
        <f>HYPERLINK("http://www.twitter.com/janice_archives", "janice_archives")</f>
        <v>janice_archives</v>
      </c>
      <c r="B1560" s="65"/>
    </row>
    <row r="1561" spans="1:2" x14ac:dyDescent="0.25">
      <c r="A1561" s="64" t="str">
        <f>HYPERLINK("http://www.twitter.com/Martinm270795", "Martinm270795")</f>
        <v>Martinm270795</v>
      </c>
      <c r="B1561" s="65"/>
    </row>
    <row r="1562" spans="1:2" x14ac:dyDescent="0.25">
      <c r="A1562" s="64" t="str">
        <f>HYPERLINK("http://www.twitter.com/RationalistDad", "RationalistDad")</f>
        <v>RationalistDad</v>
      </c>
      <c r="B1562" s="65"/>
    </row>
    <row r="1563" spans="1:2" x14ac:dyDescent="0.25">
      <c r="A1563" s="64" t="str">
        <f>HYPERLINK("http://www.twitter.com/sarajcharles", "sarajcharles")</f>
        <v>sarajcharles</v>
      </c>
      <c r="B1563" s="65"/>
    </row>
    <row r="1564" spans="1:2" x14ac:dyDescent="0.25">
      <c r="A1564" s="64" t="str">
        <f>HYPERLINK("http://www.twitter.com/DerWeisseDorsch", "DerWeisseDorsch")</f>
        <v>DerWeisseDorsch</v>
      </c>
      <c r="B1564" s="65" t="s">
        <v>4367</v>
      </c>
    </row>
    <row r="1565" spans="1:2" x14ac:dyDescent="0.25">
      <c r="A1565" s="64" t="str">
        <f>HYPERLINK("http://www.twitter.com/GemChance", "GemChance")</f>
        <v>GemChance</v>
      </c>
      <c r="B1565" s="65" t="s">
        <v>36</v>
      </c>
    </row>
    <row r="1566" spans="1:2" x14ac:dyDescent="0.25">
      <c r="A1566" s="64" t="str">
        <f>HYPERLINK("http://www.twitter.com/Win_StudentLife", "Win_StudentLife")</f>
        <v>Win_StudentLife</v>
      </c>
      <c r="B1566" s="65"/>
    </row>
    <row r="1567" spans="1:2" x14ac:dyDescent="0.25">
      <c r="A1567" s="64" t="str">
        <f>HYPERLINK("http://www.twitter.com/RuthCarlyle", "RuthCarlyle")</f>
        <v>RuthCarlyle</v>
      </c>
      <c r="B1567" s="65" t="s">
        <v>4368</v>
      </c>
    </row>
    <row r="1568" spans="1:2" x14ac:dyDescent="0.25">
      <c r="A1568" s="64" t="str">
        <f>HYPERLINK("http://www.twitter.com/amy_pastre", "amy_pastre")</f>
        <v>amy_pastre</v>
      </c>
      <c r="B1568" s="65" t="s">
        <v>4369</v>
      </c>
    </row>
    <row r="1569" spans="1:2" x14ac:dyDescent="0.25">
      <c r="A1569" s="64" t="str">
        <f>HYPERLINK("http://www.twitter.com/DavidKnapp1117", "DavidKnapp1117")</f>
        <v>DavidKnapp1117</v>
      </c>
      <c r="B1569" s="65" t="s">
        <v>4370</v>
      </c>
    </row>
    <row r="1570" spans="1:2" x14ac:dyDescent="0.25">
      <c r="A1570" s="64" t="str">
        <f>HYPERLINK("http://www.twitter.com/fastblackdog", "fastblackdog")</f>
        <v>fastblackdog</v>
      </c>
      <c r="B1570" s="65" t="s">
        <v>36</v>
      </c>
    </row>
    <row r="1571" spans="1:2" x14ac:dyDescent="0.25">
      <c r="A1571" s="64" t="str">
        <f>HYPERLINK("http://www.twitter.com/audiobookSYNC", "audiobookSYNC")</f>
        <v>audiobookSYNC</v>
      </c>
      <c r="B1571" s="65"/>
    </row>
    <row r="1572" spans="1:2" x14ac:dyDescent="0.25">
      <c r="A1572" s="64" t="str">
        <f>HYPERLINK("http://www.twitter.com/nina373864", "nina373864")</f>
        <v>nina373864</v>
      </c>
      <c r="B1572" s="65"/>
    </row>
    <row r="1573" spans="1:2" x14ac:dyDescent="0.25">
      <c r="A1573" s="64" t="str">
        <f>HYPERLINK("http://www.twitter.com/Madeline4994", "Madeline4994")</f>
        <v>Madeline4994</v>
      </c>
      <c r="B1573" s="65" t="s">
        <v>4371</v>
      </c>
    </row>
    <row r="1574" spans="1:2" x14ac:dyDescent="0.25">
      <c r="A1574" s="64" t="str">
        <f>HYPERLINK("http://www.twitter.com/fluffyferrari", "fluffyferrari")</f>
        <v>fluffyferrari</v>
      </c>
      <c r="B1574" s="65" t="s">
        <v>4372</v>
      </c>
    </row>
    <row r="1575" spans="1:2" x14ac:dyDescent="0.25">
      <c r="A1575" s="64" t="str">
        <f>HYPERLINK("http://www.twitter.com/Jean1853", "Jean1853")</f>
        <v>Jean1853</v>
      </c>
      <c r="B1575" s="65"/>
    </row>
    <row r="1576" spans="1:2" x14ac:dyDescent="0.25">
      <c r="A1576" s="64" t="str">
        <f>HYPERLINK("http://www.twitter.com/fishface8", "fishface8")</f>
        <v>fishface8</v>
      </c>
      <c r="B1576" s="65"/>
    </row>
    <row r="1577" spans="1:2" x14ac:dyDescent="0.25">
      <c r="A1577" s="64" t="str">
        <f>HYPERLINK("http://www.twitter.com/hutchlevin", "hutchlevin")</f>
        <v>hutchlevin</v>
      </c>
      <c r="B1577" s="65"/>
    </row>
    <row r="1578" spans="1:2" x14ac:dyDescent="0.25">
      <c r="A1578" s="64" t="str">
        <f>HYPERLINK("http://www.twitter.com/XenaKnox", "XenaKnox")</f>
        <v>XenaKnox</v>
      </c>
      <c r="B1578" s="65" t="s">
        <v>381</v>
      </c>
    </row>
    <row r="1579" spans="1:2" x14ac:dyDescent="0.25">
      <c r="A1579" s="64" t="str">
        <f>HYPERLINK("http://www.twitter.com/kjmdenver", "kjmdenver")</f>
        <v>kjmdenver</v>
      </c>
      <c r="B1579" s="65"/>
    </row>
    <row r="1580" spans="1:2" x14ac:dyDescent="0.25">
      <c r="A1580" s="64" t="str">
        <f>HYPERLINK("http://www.twitter.com/amyeburnside", "amyeburnside")</f>
        <v>amyeburnside</v>
      </c>
      <c r="B1580" s="65" t="s">
        <v>2595</v>
      </c>
    </row>
    <row r="1581" spans="1:2" x14ac:dyDescent="0.25">
      <c r="A1581" s="64" t="str">
        <f>HYPERLINK("http://www.twitter.com/ruthelder2", "ruthelder2")</f>
        <v>ruthelder2</v>
      </c>
      <c r="B1581" s="65" t="s">
        <v>257</v>
      </c>
    </row>
    <row r="1582" spans="1:2" x14ac:dyDescent="0.25">
      <c r="A1582" s="64" t="str">
        <f>HYPERLINK("http://www.twitter.com/AstaGolfCourse", "AstaGolfCourse")</f>
        <v>AstaGolfCourse</v>
      </c>
      <c r="B1582" s="65" t="s">
        <v>296</v>
      </c>
    </row>
    <row r="1583" spans="1:2" x14ac:dyDescent="0.25">
      <c r="A1583" s="64" t="str">
        <f>HYPERLINK("http://www.twitter.com/JackDeeth", "JackDeeth")</f>
        <v>JackDeeth</v>
      </c>
      <c r="B1583" s="65" t="s">
        <v>1482</v>
      </c>
    </row>
    <row r="1584" spans="1:2" x14ac:dyDescent="0.25">
      <c r="A1584" s="64" t="str">
        <f>HYPERLINK("http://www.twitter.com/JoyTipping", "JoyTipping")</f>
        <v>JoyTipping</v>
      </c>
      <c r="B1584" s="65" t="s">
        <v>4373</v>
      </c>
    </row>
    <row r="1585" spans="1:2" x14ac:dyDescent="0.25">
      <c r="A1585" s="64" t="str">
        <f>HYPERLINK("http://www.twitter.com/CloverLane", "CloverLane")</f>
        <v>CloverLane</v>
      </c>
      <c r="B1585" s="65" t="s">
        <v>4374</v>
      </c>
    </row>
    <row r="1586" spans="1:2" x14ac:dyDescent="0.25">
      <c r="A1586" s="64" t="str">
        <f>HYPERLINK("http://www.twitter.com/insouciantaplus", "insouciantaplus")</f>
        <v>insouciantaplus</v>
      </c>
      <c r="B1586" s="65" t="s">
        <v>4375</v>
      </c>
    </row>
    <row r="1587" spans="1:2" x14ac:dyDescent="0.25">
      <c r="A1587" s="64" t="str">
        <f>HYPERLINK("http://www.twitter.com/thedailyref", "thedailyref")</f>
        <v>thedailyref</v>
      </c>
      <c r="B1587" s="65" t="s">
        <v>487</v>
      </c>
    </row>
    <row r="1588" spans="1:2" x14ac:dyDescent="0.25">
      <c r="A1588" s="64" t="str">
        <f>HYPERLINK("http://www.twitter.com/suemajor", "suemajor")</f>
        <v>suemajor</v>
      </c>
      <c r="B1588" s="65" t="s">
        <v>1537</v>
      </c>
    </row>
    <row r="1589" spans="1:2" x14ac:dyDescent="0.25">
      <c r="A1589" s="64" t="str">
        <f>HYPERLINK("http://www.twitter.com/ampaulin1", "ampaulin1")</f>
        <v>ampaulin1</v>
      </c>
      <c r="B1589" s="65"/>
    </row>
    <row r="1590" spans="1:2" x14ac:dyDescent="0.25">
      <c r="A1590" s="64" t="str">
        <f>HYPERLINK("http://www.twitter.com/spookily", "spookily")</f>
        <v>spookily</v>
      </c>
      <c r="B1590" s="65" t="s">
        <v>4376</v>
      </c>
    </row>
    <row r="1591" spans="1:2" x14ac:dyDescent="0.25">
      <c r="A1591" s="64" t="str">
        <f>HYPERLINK("http://www.twitter.com/KatharineT6", "KatharineT6")</f>
        <v>KatharineT6</v>
      </c>
      <c r="B1591" s="65"/>
    </row>
    <row r="1592" spans="1:2" x14ac:dyDescent="0.25">
      <c r="A1592" s="64" t="str">
        <f>HYPERLINK("http://www.twitter.com/sarcocornia", "sarcocornia")</f>
        <v>sarcocornia</v>
      </c>
      <c r="B1592" s="65" t="s">
        <v>4377</v>
      </c>
    </row>
    <row r="1593" spans="1:2" x14ac:dyDescent="0.25">
      <c r="A1593" s="64" t="str">
        <f>HYPERLINK("http://www.twitter.com/ljmacd25", "ljmacd25")</f>
        <v>ljmacd25</v>
      </c>
      <c r="B1593" s="65" t="s">
        <v>24</v>
      </c>
    </row>
    <row r="1594" spans="1:2" x14ac:dyDescent="0.25">
      <c r="A1594" s="64" t="str">
        <f>HYPERLINK("http://www.twitter.com/mothership1013", "mothership1013")</f>
        <v>mothership1013</v>
      </c>
      <c r="B1594" s="65" t="s">
        <v>4378</v>
      </c>
    </row>
    <row r="1595" spans="1:2" x14ac:dyDescent="0.25">
      <c r="A1595" s="64" t="str">
        <f>HYPERLINK("http://www.twitter.com/SuzeSchulz", "SuzeSchulz")</f>
        <v>SuzeSchulz</v>
      </c>
      <c r="B1595" s="65" t="s">
        <v>3988</v>
      </c>
    </row>
    <row r="1596" spans="1:2" x14ac:dyDescent="0.25">
      <c r="A1596" s="64" t="str">
        <f>HYPERLINK("http://www.twitter.com/jmarshall213", "jmarshall213")</f>
        <v>jmarshall213</v>
      </c>
      <c r="B1596" s="65" t="s">
        <v>4379</v>
      </c>
    </row>
    <row r="1597" spans="1:2" x14ac:dyDescent="0.25">
      <c r="A1597" s="64" t="str">
        <f>HYPERLINK("http://www.twitter.com/TCCurrie", "TCCurrie")</f>
        <v>TCCurrie</v>
      </c>
      <c r="B1597" s="65" t="s">
        <v>4380</v>
      </c>
    </row>
    <row r="1598" spans="1:2" x14ac:dyDescent="0.25">
      <c r="A1598" s="64" t="str">
        <f>HYPERLINK("http://www.twitter.com/lividlili", "lividlili")</f>
        <v>lividlili</v>
      </c>
      <c r="B1598" s="65" t="s">
        <v>4381</v>
      </c>
    </row>
    <row r="1599" spans="1:2" x14ac:dyDescent="0.25">
      <c r="A1599" s="64" t="str">
        <f>HYPERLINK("http://www.twitter.com/hweatherf", "hweatherf")</f>
        <v>hweatherf</v>
      </c>
      <c r="B1599" s="65" t="s">
        <v>138</v>
      </c>
    </row>
    <row r="1600" spans="1:2" x14ac:dyDescent="0.25">
      <c r="A1600" s="64" t="str">
        <f>HYPERLINK("http://www.twitter.com/spenley", "spenley")</f>
        <v>spenley</v>
      </c>
      <c r="B1600" s="65" t="s">
        <v>296</v>
      </c>
    </row>
    <row r="1601" spans="1:2" x14ac:dyDescent="0.25">
      <c r="A1601" s="64" t="str">
        <f>HYPERLINK("http://www.twitter.com/ReginaSH", "ReginaSH")</f>
        <v>ReginaSH</v>
      </c>
      <c r="B1601" s="65" t="s">
        <v>4382</v>
      </c>
    </row>
    <row r="1602" spans="1:2" x14ac:dyDescent="0.25">
      <c r="A1602" s="64" t="str">
        <f>HYPERLINK("http://www.twitter.com/Adsocheetie", "Adsocheetie")</f>
        <v>Adsocheetie</v>
      </c>
      <c r="B1602" s="65" t="s">
        <v>4383</v>
      </c>
    </row>
    <row r="1603" spans="1:2" x14ac:dyDescent="0.25">
      <c r="A1603" s="64" t="str">
        <f>HYPERLINK("http://www.twitter.com/lynettemcgreevy", "lynettemcgreevy")</f>
        <v>lynettemcgreevy</v>
      </c>
      <c r="B1603" s="65"/>
    </row>
    <row r="1604" spans="1:2" x14ac:dyDescent="0.25">
      <c r="A1604" s="64" t="str">
        <f>HYPERLINK("http://www.twitter.com/ShanronB", "ShanronB")</f>
        <v>ShanronB</v>
      </c>
      <c r="B1604" s="65"/>
    </row>
    <row r="1605" spans="1:2" x14ac:dyDescent="0.25">
      <c r="A1605" s="64" t="str">
        <f>HYPERLINK("http://www.twitter.com/kahlon_taj", "kahlon_taj")</f>
        <v>kahlon_taj</v>
      </c>
      <c r="B1605" s="65" t="s">
        <v>4384</v>
      </c>
    </row>
    <row r="1606" spans="1:2" x14ac:dyDescent="0.25">
      <c r="A1606" s="64" t="str">
        <f>HYPERLINK("http://www.twitter.com/MauserSolutions", "MauserSolutions")</f>
        <v>MauserSolutions</v>
      </c>
      <c r="B1606" s="65"/>
    </row>
    <row r="1607" spans="1:2" x14ac:dyDescent="0.25">
      <c r="A1607" s="64" t="str">
        <f>HYPERLINK("http://www.twitter.com/littledutchbird", "littledutchbird")</f>
        <v>littledutchbird</v>
      </c>
      <c r="B1607" s="65"/>
    </row>
    <row r="1608" spans="1:2" x14ac:dyDescent="0.25">
      <c r="A1608" s="64" t="str">
        <f>HYPERLINK("http://www.twitter.com/CollTrish", "CollTrish")</f>
        <v>CollTrish</v>
      </c>
      <c r="B1608" s="65" t="s">
        <v>93</v>
      </c>
    </row>
    <row r="1609" spans="1:2" x14ac:dyDescent="0.25">
      <c r="A1609" s="64" t="str">
        <f>HYPERLINK("http://www.twitter.com/co11eenmarsha11", "co11eenmarsha11")</f>
        <v>co11eenmarsha11</v>
      </c>
      <c r="B1609" s="65" t="s">
        <v>4385</v>
      </c>
    </row>
    <row r="1610" spans="1:2" x14ac:dyDescent="0.25">
      <c r="A1610" s="64" t="str">
        <f>HYPERLINK("http://www.twitter.com/vaughanpl", "vaughanpl")</f>
        <v>vaughanpl</v>
      </c>
      <c r="B1610" s="65" t="s">
        <v>4386</v>
      </c>
    </row>
    <row r="1611" spans="1:2" x14ac:dyDescent="0.25">
      <c r="A1611" s="64" t="str">
        <f>HYPERLINK("http://www.twitter.com/1988Rivka", "1988Rivka")</f>
        <v>1988Rivka</v>
      </c>
      <c r="B1611" s="65" t="s">
        <v>4387</v>
      </c>
    </row>
    <row r="1612" spans="1:2" x14ac:dyDescent="0.25">
      <c r="A1612" s="64" t="str">
        <f>HYPERLINK("http://www.twitter.com/JayWolfeAuthor", "JayWolfeAuthor")</f>
        <v>JayWolfeAuthor</v>
      </c>
      <c r="B1612" s="65" t="s">
        <v>70</v>
      </c>
    </row>
    <row r="1613" spans="1:2" x14ac:dyDescent="0.25">
      <c r="A1613" s="64" t="str">
        <f>HYPERLINK("http://www.twitter.com/loisireson", "loisireson")</f>
        <v>loisireson</v>
      </c>
      <c r="B1613" s="65" t="s">
        <v>110</v>
      </c>
    </row>
    <row r="1614" spans="1:2" x14ac:dyDescent="0.25">
      <c r="A1614" s="64" t="str">
        <f>HYPERLINK("http://www.twitter.com/GeorgeAnders", "GeorgeAnders")</f>
        <v>GeorgeAnders</v>
      </c>
      <c r="B1614" s="65" t="s">
        <v>4388</v>
      </c>
    </row>
    <row r="1615" spans="1:2" x14ac:dyDescent="0.25">
      <c r="A1615" s="64" t="str">
        <f>HYPERLINK("http://www.twitter.com/Buildabrarian", "Buildabrarian")</f>
        <v>Buildabrarian</v>
      </c>
      <c r="B1615" s="65" t="s">
        <v>93</v>
      </c>
    </row>
    <row r="1616" spans="1:2" x14ac:dyDescent="0.25">
      <c r="A1616" s="64" t="str">
        <f>HYPERLINK("http://www.twitter.com/aylesdot", "aylesdot")</f>
        <v>aylesdot</v>
      </c>
      <c r="B1616" s="65"/>
    </row>
    <row r="1617" spans="1:2" x14ac:dyDescent="0.25">
      <c r="A1617" s="64" t="str">
        <f>HYPERLINK("http://www.twitter.com/lou_mudge", "lou_mudge")</f>
        <v>lou_mudge</v>
      </c>
      <c r="B1617" s="65" t="s">
        <v>4389</v>
      </c>
    </row>
    <row r="1618" spans="1:2" x14ac:dyDescent="0.25">
      <c r="A1618" s="64" t="str">
        <f>HYPERLINK("http://www.twitter.com/ShropsFidgetpie", "ShropsFidgetpie")</f>
        <v>ShropsFidgetpie</v>
      </c>
      <c r="B1618" s="65" t="s">
        <v>2185</v>
      </c>
    </row>
    <row r="1619" spans="1:2" x14ac:dyDescent="0.25">
      <c r="A1619" s="64" t="str">
        <f>HYPERLINK("http://www.twitter.com/MadameOrrocks", "MadameOrrocks")</f>
        <v>MadameOrrocks</v>
      </c>
      <c r="B1619" s="65" t="s">
        <v>4161</v>
      </c>
    </row>
    <row r="1620" spans="1:2" x14ac:dyDescent="0.25">
      <c r="A1620" s="64" t="str">
        <f>HYPERLINK("http://www.twitter.com/Claireak11", "Claireak11")</f>
        <v>Claireak11</v>
      </c>
      <c r="B1620" s="65"/>
    </row>
    <row r="1621" spans="1:2" x14ac:dyDescent="0.25">
      <c r="A1621" s="64" t="str">
        <f>HYPERLINK("http://www.twitter.com/Hedgewitch66", "Hedgewitch66")</f>
        <v>Hedgewitch66</v>
      </c>
      <c r="B1621" s="65" t="s">
        <v>4390</v>
      </c>
    </row>
    <row r="1622" spans="1:2" x14ac:dyDescent="0.25">
      <c r="A1622" s="64" t="str">
        <f>HYPERLINK("http://www.twitter.com/TolliganMarms", "TolliganMarms")</f>
        <v>TolliganMarms</v>
      </c>
      <c r="B1622" s="65"/>
    </row>
    <row r="1623" spans="1:2" x14ac:dyDescent="0.25">
      <c r="A1623" s="64" t="str">
        <f>HYPERLINK("http://www.twitter.com/RahouFoufou", "RahouFoufou")</f>
        <v>RahouFoufou</v>
      </c>
      <c r="B1623" s="65" t="s">
        <v>4391</v>
      </c>
    </row>
    <row r="1624" spans="1:2" x14ac:dyDescent="0.25">
      <c r="A1624" s="64" t="str">
        <f>HYPERLINK("http://www.twitter.com/edufk", "edufk")</f>
        <v>edufk</v>
      </c>
      <c r="B1624" s="65" t="s">
        <v>4392</v>
      </c>
    </row>
    <row r="1625" spans="1:2" x14ac:dyDescent="0.25">
      <c r="A1625" s="64" t="str">
        <f>HYPERLINK("http://www.twitter.com/lorraineopua", "lorraineopua")</f>
        <v>lorraineopua</v>
      </c>
      <c r="B1625" s="65" t="s">
        <v>4393</v>
      </c>
    </row>
    <row r="1626" spans="1:2" x14ac:dyDescent="0.25">
      <c r="A1626" s="64" t="str">
        <f>HYPERLINK("http://www.twitter.com/greenoakes", "greenoakes")</f>
        <v>greenoakes</v>
      </c>
      <c r="B1626" s="65" t="s">
        <v>4394</v>
      </c>
    </row>
    <row r="1627" spans="1:2" x14ac:dyDescent="0.25">
      <c r="A1627" s="64" t="str">
        <f>HYPERLINK("http://www.twitter.com/cairnsrachel", "cairnsrachel")</f>
        <v>cairnsrachel</v>
      </c>
      <c r="B1627" s="65" t="s">
        <v>4395</v>
      </c>
    </row>
    <row r="1628" spans="1:2" x14ac:dyDescent="0.25">
      <c r="A1628" s="64" t="str">
        <f>HYPERLINK("http://www.twitter.com/kerryhowell", "kerryhowell")</f>
        <v>kerryhowell</v>
      </c>
      <c r="B1628" s="65" t="s">
        <v>4396</v>
      </c>
    </row>
    <row r="1629" spans="1:2" x14ac:dyDescent="0.25">
      <c r="A1629" s="64" t="str">
        <f>HYPERLINK("http://www.twitter.com/OldPrivy", "OldPrivy")</f>
        <v>OldPrivy</v>
      </c>
      <c r="B1629" s="65"/>
    </row>
    <row r="1630" spans="1:2" x14ac:dyDescent="0.25">
      <c r="A1630" s="64" t="str">
        <f>HYPERLINK("http://www.twitter.com/ctrly", "ctrly")</f>
        <v>ctrly</v>
      </c>
      <c r="B1630" s="65"/>
    </row>
    <row r="1631" spans="1:2" x14ac:dyDescent="0.25">
      <c r="A1631" s="64" t="str">
        <f>HYPERLINK("http://www.twitter.com/ouinne", "ouinne")</f>
        <v>ouinne</v>
      </c>
      <c r="B1631" s="65"/>
    </row>
    <row r="1632" spans="1:2" x14ac:dyDescent="0.25">
      <c r="A1632" s="64" t="str">
        <f>HYPERLINK("http://www.twitter.com/KarinAbbeyTours", "KarinAbbeyTours")</f>
        <v>KarinAbbeyTours</v>
      </c>
      <c r="B1632" s="65"/>
    </row>
    <row r="1633" spans="1:2" x14ac:dyDescent="0.25">
      <c r="A1633" s="64" t="str">
        <f>HYPERLINK("http://www.twitter.com/qRPubstomping", "qRPubstomping")</f>
        <v>qRPubstomping</v>
      </c>
      <c r="B1633" s="65" t="s">
        <v>70</v>
      </c>
    </row>
    <row r="1634" spans="1:2" x14ac:dyDescent="0.25">
      <c r="A1634" s="64" t="str">
        <f>HYPERLINK("http://www.twitter.com/pennapely", "pennapely")</f>
        <v>pennapely</v>
      </c>
      <c r="B1634" s="65" t="s">
        <v>24</v>
      </c>
    </row>
    <row r="1635" spans="1:2" x14ac:dyDescent="0.25">
      <c r="A1635" s="64" t="str">
        <f>HYPERLINK("http://www.twitter.com/nornabruce", "nornabruce")</f>
        <v>nornabruce</v>
      </c>
      <c r="B1635" s="65"/>
    </row>
    <row r="1636" spans="1:2" x14ac:dyDescent="0.25">
      <c r="A1636" s="64" t="str">
        <f>HYPERLINK("http://www.twitter.com/kilgour_robert", "kilgour_robert")</f>
        <v>kilgour_robert</v>
      </c>
      <c r="B1636" s="65"/>
    </row>
    <row r="1637" spans="1:2" x14ac:dyDescent="0.25">
      <c r="A1637" s="64" t="str">
        <f>HYPERLINK("http://www.twitter.com/graemekcook", "graemekcook")</f>
        <v>graemekcook</v>
      </c>
      <c r="B1637" s="65" t="s">
        <v>487</v>
      </c>
    </row>
    <row r="1638" spans="1:2" x14ac:dyDescent="0.25">
      <c r="A1638" s="64" t="str">
        <f>HYPERLINK("http://www.twitter.com/cameron1964", "cameron1964")</f>
        <v>cameron1964</v>
      </c>
      <c r="B1638" s="65" t="s">
        <v>4397</v>
      </c>
    </row>
    <row r="1639" spans="1:2" x14ac:dyDescent="0.25">
      <c r="A1639" s="64" t="str">
        <f>HYPERLINK("http://www.twitter.com/Cruithintuait", "Cruithintuait")</f>
        <v>Cruithintuait</v>
      </c>
      <c r="B1639" s="65" t="s">
        <v>4398</v>
      </c>
    </row>
    <row r="1640" spans="1:2" x14ac:dyDescent="0.25">
      <c r="A1640" s="64" t="str">
        <f>HYPERLINK("http://www.twitter.com/violinali82", "violinali82")</f>
        <v>violinali82</v>
      </c>
      <c r="B1640" s="65" t="s">
        <v>4355</v>
      </c>
    </row>
    <row r="1641" spans="1:2" x14ac:dyDescent="0.25">
      <c r="A1641" s="64" t="str">
        <f>HYPERLINK("http://www.twitter.com/duriyapakorn", "duriyapakorn")</f>
        <v>duriyapakorn</v>
      </c>
      <c r="B1641" s="65" t="s">
        <v>4399</v>
      </c>
    </row>
    <row r="1642" spans="1:2" x14ac:dyDescent="0.25">
      <c r="A1642" s="64" t="str">
        <f>HYPERLINK("http://www.twitter.com/3DPrintWorks", "3DPrintWorks")</f>
        <v>3DPrintWorks</v>
      </c>
      <c r="B1642" s="65" t="s">
        <v>517</v>
      </c>
    </row>
    <row r="1643" spans="1:2" x14ac:dyDescent="0.25">
      <c r="A1643" s="64" t="str">
        <f>HYPERLINK("http://www.twitter.com/JeremyCorbynnnn", "JeremyCorbynnnn")</f>
        <v>JeremyCorbynnnn</v>
      </c>
      <c r="B1643" s="65" t="s">
        <v>70</v>
      </c>
    </row>
    <row r="1644" spans="1:2" x14ac:dyDescent="0.25">
      <c r="A1644" s="64" t="str">
        <f>HYPERLINK("http://www.twitter.com/ThamesLibrarian", "ThamesLibrarian")</f>
        <v>ThamesLibrarian</v>
      </c>
      <c r="B1644" s="65" t="s">
        <v>36</v>
      </c>
    </row>
    <row r="1645" spans="1:2" x14ac:dyDescent="0.25">
      <c r="A1645" s="64" t="str">
        <f>HYPERLINK("http://www.twitter.com/booksnbackpack", "booksnbackpack")</f>
        <v>booksnbackpack</v>
      </c>
      <c r="B1645" s="65" t="s">
        <v>36</v>
      </c>
    </row>
    <row r="1646" spans="1:2" x14ac:dyDescent="0.25">
      <c r="A1646" s="64" t="str">
        <f>HYPERLINK("http://www.twitter.com/Watts6Helen", "Watts6Helen")</f>
        <v>Watts6Helen</v>
      </c>
      <c r="B1646" s="65"/>
    </row>
    <row r="1647" spans="1:2" x14ac:dyDescent="0.25">
      <c r="A1647" s="64" t="str">
        <f>HYPERLINK("http://www.twitter.com/Oban70", "Oban70")</f>
        <v>Oban70</v>
      </c>
      <c r="B1647" s="65"/>
    </row>
    <row r="1648" spans="1:2" x14ac:dyDescent="0.25">
      <c r="A1648" s="64" t="str">
        <f>HYPERLINK("http://www.twitter.com/FyffeNic", "FyffeNic")</f>
        <v>FyffeNic</v>
      </c>
      <c r="B1648" s="65"/>
    </row>
    <row r="1649" spans="1:2" x14ac:dyDescent="0.25">
      <c r="A1649" s="64" t="str">
        <f>HYPERLINK("http://www.twitter.com/vacp83", "vacp83")</f>
        <v>vacp83</v>
      </c>
      <c r="B1649" s="65" t="s">
        <v>477</v>
      </c>
    </row>
    <row r="1650" spans="1:2" x14ac:dyDescent="0.25">
      <c r="A1650" s="64" t="str">
        <f>HYPERLINK("http://www.twitter.com/BarryDonaldson7", "BarryDonaldson7")</f>
        <v>BarryDonaldson7</v>
      </c>
      <c r="B1650" s="65" t="s">
        <v>4400</v>
      </c>
    </row>
    <row r="1651" spans="1:2" x14ac:dyDescent="0.25">
      <c r="A1651" s="64" t="str">
        <f>HYPERLINK("http://www.twitter.com/Highlandholler", "Highlandholler")</f>
        <v>Highlandholler</v>
      </c>
      <c r="B1651" s="65" t="s">
        <v>4401</v>
      </c>
    </row>
    <row r="1652" spans="1:2" x14ac:dyDescent="0.25">
      <c r="A1652" s="64" t="str">
        <f>HYPERLINK("http://www.twitter.com/BillsFeedsLogic", "BillsFeedsLogic")</f>
        <v>BillsFeedsLogic</v>
      </c>
      <c r="B1652" s="65" t="s">
        <v>2007</v>
      </c>
    </row>
    <row r="1653" spans="1:2" x14ac:dyDescent="0.25">
      <c r="A1653" s="64" t="str">
        <f>HYPERLINK("http://www.twitter.com/lizzywebb65", "lizzywebb65")</f>
        <v>lizzywebb65</v>
      </c>
      <c r="B1653" s="65" t="s">
        <v>2679</v>
      </c>
    </row>
    <row r="1654" spans="1:2" x14ac:dyDescent="0.25">
      <c r="A1654" s="64" t="str">
        <f>HYPERLINK("http://www.twitter.com/suffolklass", "suffolklass")</f>
        <v>suffolklass</v>
      </c>
      <c r="B1654" s="65"/>
    </row>
    <row r="1655" spans="1:2" x14ac:dyDescent="0.25">
      <c r="A1655" s="64" t="str">
        <f>HYPERLINK("http://www.twitter.com/Derek_Douglas50", "Derek_Douglas50")</f>
        <v>Derek_Douglas50</v>
      </c>
      <c r="B1655" s="65" t="s">
        <v>4402</v>
      </c>
    </row>
    <row r="1656" spans="1:2" x14ac:dyDescent="0.25">
      <c r="A1656" s="64" t="str">
        <f>HYPERLINK("http://www.twitter.com/distilleryhouse", "distilleryhouse")</f>
        <v>distilleryhouse</v>
      </c>
      <c r="B1656" s="65" t="s">
        <v>4403</v>
      </c>
    </row>
    <row r="1657" spans="1:2" x14ac:dyDescent="0.25">
      <c r="A1657" s="64" t="str">
        <f>HYPERLINK("http://www.twitter.com/redragdolly", "redragdolly")</f>
        <v>redragdolly</v>
      </c>
      <c r="B1657" s="65" t="s">
        <v>4210</v>
      </c>
    </row>
    <row r="1658" spans="1:2" x14ac:dyDescent="0.25">
      <c r="A1658" s="64" t="str">
        <f>HYPERLINK("http://www.twitter.com/Tahira1982", "Tahira1982")</f>
        <v>Tahira1982</v>
      </c>
      <c r="B1658" s="65" t="s">
        <v>2381</v>
      </c>
    </row>
    <row r="1659" spans="1:2" x14ac:dyDescent="0.25">
      <c r="A1659" s="64" t="str">
        <f>HYPERLINK("http://www.twitter.com/mbregan8448", "mbregan8448")</f>
        <v>mbregan8448</v>
      </c>
      <c r="B1659" s="65"/>
    </row>
    <row r="1660" spans="1:2" x14ac:dyDescent="0.25">
      <c r="A1660" s="64" t="str">
        <f>HYPERLINK("http://www.twitter.com/Gobolink", "Gobolink")</f>
        <v>Gobolink</v>
      </c>
      <c r="B1660" s="65" t="s">
        <v>4404</v>
      </c>
    </row>
    <row r="1661" spans="1:2" x14ac:dyDescent="0.25">
      <c r="A1661" s="64" t="str">
        <f>HYPERLINK("http://www.twitter.com/philip_graham", "philip_graham")</f>
        <v>philip_graham</v>
      </c>
      <c r="B1661" s="65" t="s">
        <v>4405</v>
      </c>
    </row>
    <row r="1662" spans="1:2" x14ac:dyDescent="0.25">
      <c r="A1662" s="64" t="str">
        <f>HYPERLINK("http://www.twitter.com/sivlesivlesivle", "sivlesivlesivle")</f>
        <v>sivlesivlesivle</v>
      </c>
      <c r="B1662" s="65" t="s">
        <v>4406</v>
      </c>
    </row>
    <row r="1663" spans="1:2" x14ac:dyDescent="0.25">
      <c r="A1663" s="64" t="str">
        <f>HYPERLINK("http://www.twitter.com/jenntaylor888", "jenntaylor888")</f>
        <v>jenntaylor888</v>
      </c>
      <c r="B1663" s="65"/>
    </row>
    <row r="1664" spans="1:2" x14ac:dyDescent="0.25">
      <c r="A1664" s="64" t="str">
        <f>HYPERLINK("http://www.twitter.com/allbooksnoheart", "allbooksnoheart")</f>
        <v>allbooksnoheart</v>
      </c>
      <c r="B1664" s="65"/>
    </row>
    <row r="1665" spans="1:2" x14ac:dyDescent="0.25">
      <c r="A1665" s="64" t="str">
        <f>HYPERLINK("http://www.twitter.com/liberkiely", "liberkiely")</f>
        <v>liberkiely</v>
      </c>
      <c r="B1665" s="65" t="s">
        <v>3040</v>
      </c>
    </row>
    <row r="1666" spans="1:2" x14ac:dyDescent="0.25">
      <c r="A1666" s="64" t="str">
        <f>HYPERLINK("http://www.twitter.com/AndyDobson18", "AndyDobson18")</f>
        <v>AndyDobson18</v>
      </c>
      <c r="B1666" s="65"/>
    </row>
    <row r="1667" spans="1:2" x14ac:dyDescent="0.25">
      <c r="A1667" s="64" t="str">
        <f>HYPERLINK("http://www.twitter.com/Kirsinkirjanurk", "Kirsinkirjanurk")</f>
        <v>Kirsinkirjanurk</v>
      </c>
      <c r="B1667" s="65" t="s">
        <v>4407</v>
      </c>
    </row>
    <row r="1668" spans="1:2" x14ac:dyDescent="0.25">
      <c r="A1668" s="64" t="str">
        <f>HYPERLINK("http://www.twitter.com/Elghalgh", "Elghalgh")</f>
        <v>Elghalgh</v>
      </c>
      <c r="B1668" s="65"/>
    </row>
    <row r="1669" spans="1:2" x14ac:dyDescent="0.25">
      <c r="A1669" s="64" t="str">
        <f>HYPERLINK("http://www.twitter.com/BikerT", "BikerT")</f>
        <v>BikerT</v>
      </c>
      <c r="B1669" s="65" t="s">
        <v>4408</v>
      </c>
    </row>
    <row r="1670" spans="1:2" x14ac:dyDescent="0.25">
      <c r="A1670" s="64" t="str">
        <f>HYPERLINK("http://www.twitter.com/katherinehelen_", "katherinehelen_")</f>
        <v>katherinehelen_</v>
      </c>
      <c r="B1670" s="65" t="s">
        <v>508</v>
      </c>
    </row>
    <row r="1671" spans="1:2" x14ac:dyDescent="0.25">
      <c r="A1671" s="64" t="str">
        <f>HYPERLINK("http://www.twitter.com/m0mse", "m0mse")</f>
        <v>m0mse</v>
      </c>
      <c r="B1671" s="65"/>
    </row>
    <row r="1672" spans="1:2" x14ac:dyDescent="0.25">
      <c r="A1672" s="64" t="str">
        <f>HYPERLINK("http://www.twitter.com/sallyletman", "sallyletman")</f>
        <v>sallyletman</v>
      </c>
      <c r="B1672" s="65" t="s">
        <v>4409</v>
      </c>
    </row>
    <row r="1673" spans="1:2" x14ac:dyDescent="0.25">
      <c r="A1673" s="64" t="str">
        <f>HYPERLINK("http://www.twitter.com/the_adverb", "the_adverb")</f>
        <v>the_adverb</v>
      </c>
      <c r="B1673" s="65" t="s">
        <v>24</v>
      </c>
    </row>
    <row r="1674" spans="1:2" x14ac:dyDescent="0.25">
      <c r="A1674" s="64" t="str">
        <f>HYPERLINK("http://www.twitter.com/MichaelMcKimm", "MichaelMcKimm")</f>
        <v>MichaelMcKimm</v>
      </c>
      <c r="B1674" s="65" t="s">
        <v>4410</v>
      </c>
    </row>
    <row r="1675" spans="1:2" x14ac:dyDescent="0.25">
      <c r="A1675" s="64" t="str">
        <f>HYPERLINK("http://www.twitter.com/AmnestyBuikshop", "AmnestyBuikshop")</f>
        <v>AmnestyBuikshop</v>
      </c>
      <c r="B1675" s="65" t="s">
        <v>4411</v>
      </c>
    </row>
    <row r="1676" spans="1:2" x14ac:dyDescent="0.25">
      <c r="A1676" s="64" t="str">
        <f>HYPERLINK("http://www.twitter.com/SwinemoorSchool", "SwinemoorSchool")</f>
        <v>SwinemoorSchool</v>
      </c>
      <c r="B1676" s="65" t="s">
        <v>4412</v>
      </c>
    </row>
    <row r="1677" spans="1:2" x14ac:dyDescent="0.25">
      <c r="A1677" s="64" t="str">
        <f>HYPERLINK("http://www.twitter.com/JenThomas4", "JenThomas4")</f>
        <v>JenThomas4</v>
      </c>
      <c r="B1677" s="65" t="s">
        <v>4413</v>
      </c>
    </row>
    <row r="1678" spans="1:2" x14ac:dyDescent="0.25">
      <c r="A1678" s="64" t="str">
        <f>HYPERLINK("http://www.twitter.com/wblumf", "wblumf")</f>
        <v>wblumf</v>
      </c>
      <c r="B1678" s="65"/>
    </row>
    <row r="1679" spans="1:2" x14ac:dyDescent="0.25">
      <c r="A1679" s="64" t="str">
        <f>HYPERLINK("http://www.twitter.com/BellwetherFlock", "BellwetherFlock")</f>
        <v>BellwetherFlock</v>
      </c>
      <c r="B1679" s="65" t="s">
        <v>4309</v>
      </c>
    </row>
    <row r="1680" spans="1:2" x14ac:dyDescent="0.25">
      <c r="A1680" s="64" t="str">
        <f>HYPERLINK("http://www.twitter.com/rodmit", "rodmit")</f>
        <v>rodmit</v>
      </c>
      <c r="B1680" s="65" t="s">
        <v>517</v>
      </c>
    </row>
    <row r="1681" spans="1:2" x14ac:dyDescent="0.25">
      <c r="A1681" s="64" t="str">
        <f>HYPERLINK("http://www.twitter.com/FiMackinnon", "FiMackinnon")</f>
        <v>FiMackinnon</v>
      </c>
      <c r="B1681" s="65" t="s">
        <v>4324</v>
      </c>
    </row>
    <row r="1682" spans="1:2" x14ac:dyDescent="0.25">
      <c r="A1682" s="64" t="str">
        <f>HYPERLINK("http://www.twitter.com/Jennie_53", "Jennie_53")</f>
        <v>Jennie_53</v>
      </c>
      <c r="B1682" s="65"/>
    </row>
    <row r="1683" spans="1:2" x14ac:dyDescent="0.25">
      <c r="A1683" s="64" t="str">
        <f>HYPERLINK("http://www.twitter.com/alice_moloney18", "alice_moloney18")</f>
        <v>alice_moloney18</v>
      </c>
      <c r="B1683" s="65"/>
    </row>
    <row r="1684" spans="1:2" x14ac:dyDescent="0.25">
      <c r="A1684" s="64" t="str">
        <f>HYPERLINK("http://www.twitter.com/calummforbes", "calummforbes")</f>
        <v>calummforbes</v>
      </c>
      <c r="B1684" s="65" t="s">
        <v>477</v>
      </c>
    </row>
    <row r="1685" spans="1:2" x14ac:dyDescent="0.25">
      <c r="A1685" s="64" t="str">
        <f>HYPERLINK("http://www.twitter.com/InvestorOpp", "InvestorOpp")</f>
        <v>InvestorOpp</v>
      </c>
      <c r="B1685" s="65" t="s">
        <v>2289</v>
      </c>
    </row>
    <row r="1686" spans="1:2" x14ac:dyDescent="0.25">
      <c r="A1686" s="64" t="str">
        <f>HYPERLINK("http://www.twitter.com/06rasel", "06rasel")</f>
        <v>06rasel</v>
      </c>
      <c r="B1686" s="65" t="s">
        <v>4414</v>
      </c>
    </row>
    <row r="1687" spans="1:2" x14ac:dyDescent="0.25">
      <c r="A1687" s="64" t="str">
        <f>HYPERLINK("http://www.twitter.com/Suzanne35444441", "Suzanne35444441")</f>
        <v>Suzanne35444441</v>
      </c>
      <c r="B1687" s="65"/>
    </row>
    <row r="1688" spans="1:2" x14ac:dyDescent="0.25">
      <c r="A1688" s="64" t="str">
        <f>HYPERLINK("http://www.twitter.com/FlindersECWAS", "FlindersECWAS")</f>
        <v>FlindersECWAS</v>
      </c>
      <c r="B1688" s="65" t="s">
        <v>3919</v>
      </c>
    </row>
    <row r="1689" spans="1:2" x14ac:dyDescent="0.25">
      <c r="A1689" s="64" t="str">
        <f>HYPERLINK("http://www.twitter.com/Lib_Assn_AB", "Lib_Assn_AB")</f>
        <v>Lib_Assn_AB</v>
      </c>
      <c r="B1689" s="65" t="s">
        <v>4415</v>
      </c>
    </row>
    <row r="1690" spans="1:2" x14ac:dyDescent="0.25">
      <c r="A1690" s="64" t="str">
        <f>HYPERLINK("http://www.twitter.com/OfficeDrudge", "OfficeDrudge")</f>
        <v>OfficeDrudge</v>
      </c>
      <c r="B1690" s="65" t="s">
        <v>2595</v>
      </c>
    </row>
    <row r="1691" spans="1:2" x14ac:dyDescent="0.25">
      <c r="A1691" s="64" t="str">
        <f>HYPERLINK("http://www.twitter.com/TheJourneyNCL", "TheJourneyNCL")</f>
        <v>TheJourneyNCL</v>
      </c>
      <c r="B1691" s="65" t="s">
        <v>96</v>
      </c>
    </row>
    <row r="1692" spans="1:2" x14ac:dyDescent="0.25">
      <c r="A1692" s="64" t="str">
        <f>HYPERLINK("http://www.twitter.com/janetsylveste10", "janetsylveste10")</f>
        <v>janetsylveste10</v>
      </c>
      <c r="B1692" s="65" t="s">
        <v>487</v>
      </c>
    </row>
    <row r="1693" spans="1:2" x14ac:dyDescent="0.25">
      <c r="A1693" s="64" t="str">
        <f>HYPERLINK("http://www.twitter.com/dennisrscott1", "dennisrscott1")</f>
        <v>dennisrscott1</v>
      </c>
      <c r="B1693" s="65" t="s">
        <v>2007</v>
      </c>
    </row>
    <row r="1694" spans="1:2" x14ac:dyDescent="0.25">
      <c r="A1694" s="64" t="str">
        <f>HYPERLINK("http://www.twitter.com/pennysims", "pennysims")</f>
        <v>pennysims</v>
      </c>
      <c r="B1694" s="65" t="s">
        <v>36</v>
      </c>
    </row>
    <row r="1695" spans="1:2" x14ac:dyDescent="0.25">
      <c r="A1695" s="64" t="str">
        <f>HYPERLINK("http://www.twitter.com/LornaSimes", "LornaSimes")</f>
        <v>LornaSimes</v>
      </c>
      <c r="B1695" s="65" t="s">
        <v>4416</v>
      </c>
    </row>
    <row r="1696" spans="1:2" x14ac:dyDescent="0.25">
      <c r="A1696" s="64" t="str">
        <f>HYPERLINK("http://www.twitter.com/Ashleigh5966", "Ashleigh5966")</f>
        <v>Ashleigh5966</v>
      </c>
      <c r="B1696" s="65" t="s">
        <v>24</v>
      </c>
    </row>
    <row r="1697" spans="1:2" x14ac:dyDescent="0.25">
      <c r="A1697" s="64" t="str">
        <f>HYPERLINK("http://www.twitter.com/TeretTeret", "TeretTeret")</f>
        <v>TeretTeret</v>
      </c>
      <c r="B1697" s="65"/>
    </row>
    <row r="1698" spans="1:2" x14ac:dyDescent="0.25">
      <c r="A1698" s="64" t="str">
        <f>HYPERLINK("http://www.twitter.com/Mrs_Eds7", "Mrs_Eds7")</f>
        <v>Mrs_Eds7</v>
      </c>
      <c r="B1698" s="65" t="s">
        <v>4417</v>
      </c>
    </row>
    <row r="1699" spans="1:2" x14ac:dyDescent="0.25">
      <c r="A1699" s="64" t="str">
        <f>HYPERLINK("http://www.twitter.com/CJMLCLibrary", "CJMLCLibrary")</f>
        <v>CJMLCLibrary</v>
      </c>
      <c r="B1699" s="65" t="s">
        <v>477</v>
      </c>
    </row>
    <row r="1700" spans="1:2" x14ac:dyDescent="0.25">
      <c r="A1700" s="64" t="str">
        <f>HYPERLINK("http://www.twitter.com/1GlennThomas", "1GlennThomas")</f>
        <v>1GlennThomas</v>
      </c>
      <c r="B1700" s="65" t="s">
        <v>96</v>
      </c>
    </row>
    <row r="1701" spans="1:2" x14ac:dyDescent="0.25">
      <c r="A1701" s="64" t="str">
        <f>HYPERLINK("http://www.twitter.com/robblair", "robblair")</f>
        <v>robblair</v>
      </c>
      <c r="B1701" s="65" t="s">
        <v>36</v>
      </c>
    </row>
    <row r="1702" spans="1:2" x14ac:dyDescent="0.25">
      <c r="A1702" s="64" t="str">
        <f>HYPERLINK("http://www.twitter.com/robynlaw", "robynlaw")</f>
        <v>robynlaw</v>
      </c>
      <c r="B1702" s="65"/>
    </row>
    <row r="1703" spans="1:2" x14ac:dyDescent="0.25">
      <c r="A1703" s="64" t="str">
        <f>HYPERLINK("http://www.twitter.com/batcat365", "batcat365")</f>
        <v>batcat365</v>
      </c>
      <c r="B1703" s="65"/>
    </row>
    <row r="1704" spans="1:2" x14ac:dyDescent="0.25">
      <c r="A1704" s="64" t="str">
        <f>HYPERLINK("http://www.twitter.com/MLarrijs", "MLarrijs")</f>
        <v>MLarrijs</v>
      </c>
      <c r="B1704" s="65"/>
    </row>
    <row r="1705" spans="1:2" x14ac:dyDescent="0.25">
      <c r="A1705" s="64" t="str">
        <f>HYPERLINK("http://www.twitter.com/DanCurless", "DanCurless")</f>
        <v>DanCurless</v>
      </c>
      <c r="B1705" s="65"/>
    </row>
    <row r="1706" spans="1:2" x14ac:dyDescent="0.25">
      <c r="A1706" s="64" t="str">
        <f>HYPERLINK("http://www.twitter.com/connal99", "connal99")</f>
        <v>connal99</v>
      </c>
      <c r="B1706" s="65" t="s">
        <v>24</v>
      </c>
    </row>
    <row r="1707" spans="1:2" x14ac:dyDescent="0.25">
      <c r="A1707" s="64" t="str">
        <f>HYPERLINK("http://www.twitter.com/catrionahelen", "catrionahelen")</f>
        <v>catrionahelen</v>
      </c>
      <c r="B1707" s="65" t="s">
        <v>4418</v>
      </c>
    </row>
    <row r="1708" spans="1:2" x14ac:dyDescent="0.25">
      <c r="A1708" s="64" t="str">
        <f>HYPERLINK("http://www.twitter.com/RaintownBees", "RaintownBees")</f>
        <v>RaintownBees</v>
      </c>
      <c r="B1708" s="65" t="s">
        <v>4317</v>
      </c>
    </row>
    <row r="1709" spans="1:2" x14ac:dyDescent="0.25">
      <c r="A1709" s="64" t="str">
        <f>HYPERLINK("http://www.twitter.com/catiezecher", "catiezecher")</f>
        <v>catiezecher</v>
      </c>
      <c r="B1709" s="65" t="s">
        <v>4419</v>
      </c>
    </row>
    <row r="1710" spans="1:2" x14ac:dyDescent="0.25">
      <c r="A1710" s="64" t="str">
        <f>HYPERLINK("http://www.twitter.com/pavementoyster", "pavementoyster")</f>
        <v>pavementoyster</v>
      </c>
      <c r="B1710" s="65" t="s">
        <v>4420</v>
      </c>
    </row>
    <row r="1711" spans="1:2" x14ac:dyDescent="0.25">
      <c r="A1711" s="64" t="str">
        <f>HYPERLINK("http://www.twitter.com/Tatterdermalion", "Tatterdermalion")</f>
        <v>Tatterdermalion</v>
      </c>
      <c r="B1711" s="65"/>
    </row>
    <row r="1712" spans="1:2" x14ac:dyDescent="0.25">
      <c r="A1712" s="64" t="str">
        <f>HYPERLINK("http://www.twitter.com/madnanapam1", "madnanapam1")</f>
        <v>madnanapam1</v>
      </c>
      <c r="B1712" s="65"/>
    </row>
    <row r="1713" spans="1:2" x14ac:dyDescent="0.25">
      <c r="A1713" s="64" t="str">
        <f>HYPERLINK("http://www.twitter.com/mrsbanksmp", "mrsbanksmp")</f>
        <v>mrsbanksmp</v>
      </c>
      <c r="B1713" s="65" t="s">
        <v>569</v>
      </c>
    </row>
    <row r="1714" spans="1:2" x14ac:dyDescent="0.25">
      <c r="A1714" s="64" t="str">
        <f>HYPERLINK("http://www.twitter.com/reading_woman", "reading_woman")</f>
        <v>reading_woman</v>
      </c>
      <c r="B1714" s="65"/>
    </row>
    <row r="1715" spans="1:2" x14ac:dyDescent="0.25">
      <c r="A1715" s="64" t="str">
        <f>HYPERLINK("http://www.twitter.com/markryansmith66", "markryansmith66")</f>
        <v>markryansmith66</v>
      </c>
      <c r="B1715" s="65" t="s">
        <v>4421</v>
      </c>
    </row>
    <row r="1716" spans="1:2" x14ac:dyDescent="0.25">
      <c r="A1716" s="64" t="str">
        <f>HYPERLINK("http://www.twitter.com/cafebookbean", "cafebookbean")</f>
        <v>cafebookbean</v>
      </c>
      <c r="B1716" s="65" t="s">
        <v>3872</v>
      </c>
    </row>
    <row r="1717" spans="1:2" x14ac:dyDescent="0.25">
      <c r="A1717" s="64" t="str">
        <f>HYPERLINK("http://www.twitter.com/ibrahimocll", "ibrahimocll")</f>
        <v>ibrahimocll</v>
      </c>
      <c r="B1717" s="65" t="s">
        <v>4422</v>
      </c>
    </row>
    <row r="1718" spans="1:2" x14ac:dyDescent="0.25">
      <c r="A1718" s="64" t="str">
        <f>HYPERLINK("http://www.twitter.com/NicolaWigmore1", "NicolaWigmore1")</f>
        <v>NicolaWigmore1</v>
      </c>
      <c r="B1718" s="65" t="s">
        <v>3787</v>
      </c>
    </row>
    <row r="1719" spans="1:2" x14ac:dyDescent="0.25">
      <c r="A1719" s="64" t="str">
        <f>HYPERLINK("http://www.twitter.com/IanBlair77", "IanBlair77")</f>
        <v>IanBlair77</v>
      </c>
      <c r="B1719" s="65"/>
    </row>
    <row r="1720" spans="1:2" x14ac:dyDescent="0.25">
      <c r="A1720" s="64" t="str">
        <f>HYPERLINK("http://www.twitter.com/ICPL", "ICPL")</f>
        <v>ICPL</v>
      </c>
      <c r="B1720" s="65" t="s">
        <v>4423</v>
      </c>
    </row>
    <row r="1721" spans="1:2" x14ac:dyDescent="0.25">
      <c r="A1721" s="64" t="str">
        <f>HYPERLINK("http://www.twitter.com/StewartMcCarro1", "StewartMcCarro1")</f>
        <v>StewartMcCarro1</v>
      </c>
      <c r="B1721" s="65" t="s">
        <v>4424</v>
      </c>
    </row>
    <row r="1722" spans="1:2" x14ac:dyDescent="0.25">
      <c r="A1722" s="64" t="str">
        <f>HYPERLINK("http://www.twitter.com/kasia37285", "kasia37285")</f>
        <v>kasia37285</v>
      </c>
      <c r="B1722" s="65"/>
    </row>
    <row r="1723" spans="1:2" x14ac:dyDescent="0.25">
      <c r="A1723" s="64" t="str">
        <f>HYPERLINK("http://www.twitter.com/mariettarosetta", "mariettarosetta")</f>
        <v>mariettarosetta</v>
      </c>
      <c r="B1723" s="65" t="s">
        <v>232</v>
      </c>
    </row>
    <row r="1724" spans="1:2" x14ac:dyDescent="0.25">
      <c r="A1724" s="64" t="str">
        <f>HYPERLINK("http://www.twitter.com/herstory_today", "herstory_today")</f>
        <v>herstory_today</v>
      </c>
      <c r="B1724" s="65" t="s">
        <v>70</v>
      </c>
    </row>
    <row r="1725" spans="1:2" x14ac:dyDescent="0.25">
      <c r="A1725" s="64" t="str">
        <f>HYPERLINK("http://www.twitter.com/gpwigglesworth", "gpwigglesworth")</f>
        <v>gpwigglesworth</v>
      </c>
      <c r="B1725" s="65"/>
    </row>
    <row r="1726" spans="1:2" x14ac:dyDescent="0.25">
      <c r="A1726" s="64" t="str">
        <f>HYPERLINK("http://www.twitter.com/EnglishLavanda", "EnglishLavanda")</f>
        <v>EnglishLavanda</v>
      </c>
      <c r="B1726" s="65" t="s">
        <v>2185</v>
      </c>
    </row>
    <row r="1727" spans="1:2" x14ac:dyDescent="0.25">
      <c r="A1727" s="64" t="str">
        <f>HYPERLINK("http://www.twitter.com/MalakArun", "MalakArun")</f>
        <v>MalakArun</v>
      </c>
      <c r="B1727" s="65"/>
    </row>
    <row r="1728" spans="1:2" x14ac:dyDescent="0.25">
      <c r="A1728" s="64" t="str">
        <f>HYPERLINK("http://www.twitter.com/tcmhs_library", "tcmhs_library")</f>
        <v>tcmhs_library</v>
      </c>
      <c r="B1728" s="65" t="s">
        <v>4425</v>
      </c>
    </row>
    <row r="1729" spans="1:2" x14ac:dyDescent="0.25">
      <c r="A1729" s="64" t="str">
        <f>HYPERLINK("http://www.twitter.com/NMacdonald_LAC", "NMacdonald_LAC")</f>
        <v>NMacdonald_LAC</v>
      </c>
      <c r="B1729" s="65" t="s">
        <v>4426</v>
      </c>
    </row>
    <row r="1730" spans="1:2" x14ac:dyDescent="0.25">
      <c r="A1730" s="64" t="str">
        <f>HYPERLINK("http://www.twitter.com/irisi_magazine", "irisi_magazine")</f>
        <v>irisi_magazine</v>
      </c>
      <c r="B1730" s="65" t="s">
        <v>4427</v>
      </c>
    </row>
    <row r="1731" spans="1:2" x14ac:dyDescent="0.25">
      <c r="A1731" s="64" t="str">
        <f>HYPERLINK("http://www.twitter.com/Artlover_art", "Artlover_art")</f>
        <v>Artlover_art</v>
      </c>
      <c r="B1731" s="65" t="s">
        <v>4428</v>
      </c>
    </row>
    <row r="1732" spans="1:2" x14ac:dyDescent="0.25">
      <c r="A1732" s="64" t="str">
        <f>HYPERLINK("http://www.twitter.com/stitchhound", "stitchhound")</f>
        <v>stitchhound</v>
      </c>
      <c r="B1732" s="65" t="s">
        <v>1377</v>
      </c>
    </row>
    <row r="1733" spans="1:2" x14ac:dyDescent="0.25">
      <c r="A1733" s="64" t="str">
        <f>HYPERLINK("http://www.twitter.com/WGS_LRC", "WGS_LRC")</f>
        <v>WGS_LRC</v>
      </c>
      <c r="B1733" s="65" t="s">
        <v>3279</v>
      </c>
    </row>
    <row r="1734" spans="1:2" x14ac:dyDescent="0.25">
      <c r="A1734" s="64" t="str">
        <f>HYPERLINK("http://www.twitter.com/zoe_garrioch", "zoe_garrioch")</f>
        <v>zoe_garrioch</v>
      </c>
      <c r="B1734" s="65"/>
    </row>
    <row r="1735" spans="1:2" x14ac:dyDescent="0.25">
      <c r="A1735" s="64" t="str">
        <f>HYPERLINK("http://www.twitter.com/MikeKaneMP", "MikeKaneMP")</f>
        <v>MikeKaneMP</v>
      </c>
      <c r="B1735" s="65" t="s">
        <v>33</v>
      </c>
    </row>
    <row r="1736" spans="1:2" x14ac:dyDescent="0.25">
      <c r="A1736" s="64" t="str">
        <f>HYPERLINK("http://www.twitter.com/HelenCBurke1", "HelenCBurke1")</f>
        <v>HelenCBurke1</v>
      </c>
      <c r="B1736" s="65" t="s">
        <v>4429</v>
      </c>
    </row>
    <row r="1737" spans="1:2" x14ac:dyDescent="0.25">
      <c r="A1737" s="64" t="str">
        <f>HYPERLINK("http://www.twitter.com/virtuallibraryi", "virtuallibraryi")</f>
        <v>virtuallibraryi</v>
      </c>
      <c r="B1737" s="65" t="s">
        <v>4430</v>
      </c>
    </row>
    <row r="1738" spans="1:2" x14ac:dyDescent="0.25">
      <c r="A1738" s="64" t="str">
        <f>HYPERLINK("http://www.twitter.com/twittvitriol", "twittvitriol")</f>
        <v>twittvitriol</v>
      </c>
      <c r="B1738" s="65"/>
    </row>
    <row r="1739" spans="1:2" x14ac:dyDescent="0.25">
      <c r="A1739" s="64" t="str">
        <f>HYPERLINK("http://www.twitter.com/KatyPreen", "KatyPreen")</f>
        <v>KatyPreen</v>
      </c>
      <c r="B1739" s="65" t="s">
        <v>4040</v>
      </c>
    </row>
    <row r="1740" spans="1:2" x14ac:dyDescent="0.25">
      <c r="A1740" s="64" t="str">
        <f>HYPERLINK("http://www.twitter.com/yarnstruck", "yarnstruck")</f>
        <v>yarnstruck</v>
      </c>
      <c r="B1740" s="65" t="s">
        <v>4431</v>
      </c>
    </row>
    <row r="1741" spans="1:2" x14ac:dyDescent="0.25">
      <c r="A1741" s="64" t="str">
        <f>HYPERLINK("http://www.twitter.com/leslie_ratter", "leslie_ratter")</f>
        <v>leslie_ratter</v>
      </c>
      <c r="B1741" s="65" t="s">
        <v>2007</v>
      </c>
    </row>
    <row r="1742" spans="1:2" x14ac:dyDescent="0.25">
      <c r="A1742" s="64" t="str">
        <f>HYPERLINK("http://www.twitter.com/LargoLibFife", "LargoLibFife")</f>
        <v>LargoLibFife</v>
      </c>
      <c r="B1742" s="65" t="s">
        <v>4432</v>
      </c>
    </row>
    <row r="1743" spans="1:2" x14ac:dyDescent="0.25">
      <c r="A1743" s="64" t="str">
        <f>HYPERLINK("http://www.twitter.com/OertlCoaching", "OertlCoaching")</f>
        <v>OertlCoaching</v>
      </c>
      <c r="B1743" s="65" t="s">
        <v>4153</v>
      </c>
    </row>
    <row r="1744" spans="1:2" x14ac:dyDescent="0.25">
      <c r="A1744" s="64" t="str">
        <f>HYPERLINK("http://www.twitter.com/S0NALSINGH", "S0NALSINGH")</f>
        <v>S0NALSINGH</v>
      </c>
      <c r="B1744" s="65" t="s">
        <v>4433</v>
      </c>
    </row>
    <row r="1745" spans="1:2" x14ac:dyDescent="0.25">
      <c r="A1745" s="64" t="str">
        <f>HYPERLINK("http://www.twitter.com/Joesphi17810993", "Joesphi17810993")</f>
        <v>Joesphi17810993</v>
      </c>
      <c r="B1745" s="65"/>
    </row>
    <row r="1746" spans="1:2" x14ac:dyDescent="0.25">
      <c r="A1746" s="64" t="str">
        <f>HYPERLINK("http://www.twitter.com/GKM77X", "GKM77X")</f>
        <v>GKM77X</v>
      </c>
      <c r="B1746" s="65" t="s">
        <v>4434</v>
      </c>
    </row>
    <row r="1747" spans="1:2" x14ac:dyDescent="0.25">
      <c r="A1747" s="64" t="str">
        <f>HYPERLINK("http://www.twitter.com/SujithFantastic", "SujithFantastic")</f>
        <v>SujithFantastic</v>
      </c>
      <c r="B1747" s="65"/>
    </row>
    <row r="1748" spans="1:2" x14ac:dyDescent="0.25">
      <c r="A1748" s="64" t="str">
        <f>HYPERLINK("http://www.twitter.com/Joeaphine1", "Joeaphine1")</f>
        <v>Joeaphine1</v>
      </c>
      <c r="B1748" s="65"/>
    </row>
    <row r="1749" spans="1:2" x14ac:dyDescent="0.25">
      <c r="A1749" s="64" t="str">
        <f>HYPERLINK("http://www.twitter.com/goste70", "goste70")</f>
        <v>goste70</v>
      </c>
      <c r="B1749" s="65"/>
    </row>
    <row r="1750" spans="1:2" x14ac:dyDescent="0.25">
      <c r="A1750" s="64" t="str">
        <f>HYPERLINK("http://www.twitter.com/JustinPollard", "JustinPollard")</f>
        <v>JustinPollard</v>
      </c>
      <c r="B1750" s="65" t="s">
        <v>3262</v>
      </c>
    </row>
    <row r="1751" spans="1:2" x14ac:dyDescent="0.25">
      <c r="A1751" s="64" t="str">
        <f>HYPERLINK("http://www.twitter.com/paperpicket", "paperpicket")</f>
        <v>paperpicket</v>
      </c>
      <c r="B1751" s="65" t="s">
        <v>318</v>
      </c>
    </row>
    <row r="1752" spans="1:2" x14ac:dyDescent="0.25">
      <c r="A1752" s="64" t="str">
        <f>HYPERLINK("http://www.twitter.com/LordLittleBear", "LordLittleBear")</f>
        <v>LordLittleBear</v>
      </c>
      <c r="B1752" s="65" t="s">
        <v>135</v>
      </c>
    </row>
    <row r="1753" spans="1:2" x14ac:dyDescent="0.25">
      <c r="A1753" s="64" t="str">
        <f>HYPERLINK("http://www.twitter.com/LouiseTAIT6", "LouiseTAIT6")</f>
        <v>LouiseTAIT6</v>
      </c>
      <c r="B1753" s="65"/>
    </row>
    <row r="1754" spans="1:2" x14ac:dyDescent="0.25">
      <c r="A1754" s="64" t="str">
        <f>HYPERLINK("http://www.twitter.com/DCTrojan", "DCTrojan")</f>
        <v>DCTrojan</v>
      </c>
      <c r="B1754" s="65" t="s">
        <v>4435</v>
      </c>
    </row>
    <row r="1755" spans="1:2" x14ac:dyDescent="0.25">
      <c r="A1755" s="64" t="str">
        <f>HYPERLINK("http://www.twitter.com/MorganaCreely", "MorganaCreely")</f>
        <v>MorganaCreely</v>
      </c>
      <c r="B1755" s="65"/>
    </row>
    <row r="1756" spans="1:2" x14ac:dyDescent="0.25">
      <c r="A1756" s="64" t="str">
        <f>HYPERLINK("http://www.twitter.com/benjaminrabe", "benjaminrabe")</f>
        <v>benjaminrabe</v>
      </c>
      <c r="B1756" s="65"/>
    </row>
    <row r="1757" spans="1:2" x14ac:dyDescent="0.25">
      <c r="A1757" s="64" t="str">
        <f>HYPERLINK("http://www.twitter.com/PeriHoskins", "PeriHoskins")</f>
        <v>PeriHoskins</v>
      </c>
      <c r="B1757" s="65" t="s">
        <v>4436</v>
      </c>
    </row>
    <row r="1758" spans="1:2" x14ac:dyDescent="0.25">
      <c r="A1758" s="64" t="str">
        <f>HYPERLINK("http://www.twitter.com/kgbarcham", "kgbarcham")</f>
        <v>kgbarcham</v>
      </c>
      <c r="B1758" s="65" t="s">
        <v>4247</v>
      </c>
    </row>
    <row r="1759" spans="1:2" x14ac:dyDescent="0.25">
      <c r="A1759" s="64" t="str">
        <f>HYPERLINK("http://www.twitter.com/Daen_Dorazio", "Daen_Dorazio")</f>
        <v>Daen_Dorazio</v>
      </c>
      <c r="B1759" s="65"/>
    </row>
    <row r="1760" spans="1:2" x14ac:dyDescent="0.25">
      <c r="A1760" s="64" t="str">
        <f>HYPERLINK("http://www.twitter.com/wexlibraries", "wexlibraries")</f>
        <v>wexlibraries</v>
      </c>
      <c r="B1760" s="65" t="s">
        <v>1799</v>
      </c>
    </row>
    <row r="1761" spans="1:2" x14ac:dyDescent="0.25">
      <c r="A1761" s="64" t="str">
        <f>HYPERLINK("http://www.twitter.com/1983Leona", "1983Leona")</f>
        <v>1983Leona</v>
      </c>
      <c r="B1761" s="65" t="s">
        <v>4437</v>
      </c>
    </row>
    <row r="1762" spans="1:2" x14ac:dyDescent="0.25">
      <c r="A1762" s="64" t="str">
        <f>HYPERLINK("http://www.twitter.com/MariaMarshalll", "MariaMarshalll")</f>
        <v>MariaMarshalll</v>
      </c>
      <c r="B1762" s="65"/>
    </row>
    <row r="1763" spans="1:2" x14ac:dyDescent="0.25">
      <c r="A1763" s="64" t="str">
        <f>HYPERLINK("http://www.twitter.com/jaytith", "jaytith")</f>
        <v>jaytith</v>
      </c>
      <c r="B1763" s="65"/>
    </row>
    <row r="1764" spans="1:2" x14ac:dyDescent="0.25">
      <c r="A1764" s="64" t="str">
        <f>HYPERLINK("http://www.twitter.com/ArreyaDigital", "ArreyaDigital")</f>
        <v>ArreyaDigital</v>
      </c>
      <c r="B1764" s="65" t="s">
        <v>3797</v>
      </c>
    </row>
    <row r="1765" spans="1:2" x14ac:dyDescent="0.25">
      <c r="A1765" s="64" t="str">
        <f>HYPERLINK("http://www.twitter.com/WicklowLibs", "WicklowLibs")</f>
        <v>WicklowLibs</v>
      </c>
      <c r="B1765" s="65" t="s">
        <v>4438</v>
      </c>
    </row>
    <row r="1766" spans="1:2" x14ac:dyDescent="0.25">
      <c r="A1766" s="64" t="str">
        <f>HYPERLINK("http://www.twitter.com/CAPCAberdeen", "CAPCAberdeen")</f>
        <v>CAPCAberdeen</v>
      </c>
      <c r="B1766" s="65" t="s">
        <v>569</v>
      </c>
    </row>
    <row r="1767" spans="1:2" x14ac:dyDescent="0.25">
      <c r="A1767" s="64" t="str">
        <f>HYPERLINK("http://www.twitter.com/taradolby", "taradolby")</f>
        <v>taradolby</v>
      </c>
      <c r="B1767" s="65" t="s">
        <v>4439</v>
      </c>
    </row>
    <row r="1768" spans="1:2" x14ac:dyDescent="0.25">
      <c r="A1768" s="64" t="str">
        <f>HYPERLINK("http://www.twitter.com/HeppenstallJen", "HeppenstallJen")</f>
        <v>HeppenstallJen</v>
      </c>
      <c r="B1768" s="65"/>
    </row>
    <row r="1769" spans="1:2" x14ac:dyDescent="0.25">
      <c r="A1769" s="64" t="str">
        <f>HYPERLINK("http://www.twitter.com/j_m_stark", "j_m_stark")</f>
        <v>j_m_stark</v>
      </c>
      <c r="B1769" s="65" t="s">
        <v>4210</v>
      </c>
    </row>
    <row r="1770" spans="1:2" x14ac:dyDescent="0.25">
      <c r="A1770" s="64" t="str">
        <f>HYPERLINK("http://www.twitter.com/memes12121", "memes12121")</f>
        <v>memes12121</v>
      </c>
      <c r="B1770" s="65" t="s">
        <v>4440</v>
      </c>
    </row>
    <row r="1771" spans="1:2" x14ac:dyDescent="0.25">
      <c r="A1771" s="64" t="str">
        <f>HYPERLINK("http://www.twitter.com/iamvicfarmer", "iamvicfarmer")</f>
        <v>iamvicfarmer</v>
      </c>
      <c r="B1771" s="65" t="s">
        <v>569</v>
      </c>
    </row>
    <row r="1772" spans="1:2" x14ac:dyDescent="0.25">
      <c r="A1772" s="64" t="str">
        <f>HYPERLINK("http://www.twitter.com/lebosirekk_kerr", "lebosirekk_kerr")</f>
        <v>lebosirekk_kerr</v>
      </c>
      <c r="B1772" s="65" t="s">
        <v>613</v>
      </c>
    </row>
    <row r="1773" spans="1:2" x14ac:dyDescent="0.25">
      <c r="A1773" s="64" t="str">
        <f>HYPERLINK("http://www.twitter.com/rosiecocopops", "rosiecocopops")</f>
        <v>rosiecocopops</v>
      </c>
      <c r="B1773" s="65" t="s">
        <v>4441</v>
      </c>
    </row>
    <row r="1774" spans="1:2" x14ac:dyDescent="0.25">
      <c r="A1774" s="64" t="str">
        <f>HYPERLINK("http://www.twitter.com/heikeroegler", "heikeroegler")</f>
        <v>heikeroegler</v>
      </c>
      <c r="B1774" s="65" t="s">
        <v>4442</v>
      </c>
    </row>
    <row r="1775" spans="1:2" x14ac:dyDescent="0.25">
      <c r="A1775" s="64" t="str">
        <f>HYPERLINK("http://www.twitter.com/MadameKreis", "MadameKreis")</f>
        <v>MadameKreis</v>
      </c>
      <c r="B1775" s="65" t="s">
        <v>4443</v>
      </c>
    </row>
    <row r="1776" spans="1:2" x14ac:dyDescent="0.25">
      <c r="A1776" s="64" t="str">
        <f>HYPERLINK("http://www.twitter.com/mm_ssssshh", "mm_ssssshh")</f>
        <v>mm_ssssshh</v>
      </c>
      <c r="B1776" s="65"/>
    </row>
    <row r="1777" spans="1:2" x14ac:dyDescent="0.25">
      <c r="A1777" s="64" t="str">
        <f>HYPERLINK("http://www.twitter.com/nomadbooks", "nomadbooks")</f>
        <v>nomadbooks</v>
      </c>
      <c r="B1777" s="65" t="s">
        <v>4444</v>
      </c>
    </row>
    <row r="1778" spans="1:2" x14ac:dyDescent="0.25">
      <c r="A1778" s="64" t="str">
        <f>HYPERLINK("http://www.twitter.com/LisaAdamswrites", "LisaAdamswrites")</f>
        <v>LisaAdamswrites</v>
      </c>
      <c r="B1778" s="65" t="s">
        <v>138</v>
      </c>
    </row>
    <row r="1779" spans="1:2" x14ac:dyDescent="0.25">
      <c r="A1779" s="64" t="str">
        <f>HYPERLINK("http://www.twitter.com/RachaelPrime", "RachaelPrime")</f>
        <v>RachaelPrime</v>
      </c>
      <c r="B1779" s="65" t="s">
        <v>4445</v>
      </c>
    </row>
    <row r="1780" spans="1:2" x14ac:dyDescent="0.25">
      <c r="A1780" s="64" t="str">
        <f>HYPERLINK("http://www.twitter.com/blacksladder", "blacksladder")</f>
        <v>blacksladder</v>
      </c>
      <c r="B1780" s="65" t="s">
        <v>3137</v>
      </c>
    </row>
    <row r="1781" spans="1:2" x14ac:dyDescent="0.25">
      <c r="A1781" s="64" t="str">
        <f>HYPERLINK("http://www.twitter.com/BairstowLiam", "BairstowLiam")</f>
        <v>BairstowLiam</v>
      </c>
      <c r="B1781" s="65" t="s">
        <v>4446</v>
      </c>
    </row>
    <row r="1782" spans="1:2" x14ac:dyDescent="0.25">
      <c r="A1782" s="64" t="str">
        <f>HYPERLINK("http://www.twitter.com/highlandlilly", "highlandlilly")</f>
        <v>highlandlilly</v>
      </c>
      <c r="B1782" s="65"/>
    </row>
    <row r="1783" spans="1:2" x14ac:dyDescent="0.25">
      <c r="A1783" s="64" t="str">
        <f>HYPERLINK("http://www.twitter.com/ChristinaHIMac", "ChristinaHIMac")</f>
        <v>ChristinaHIMac</v>
      </c>
      <c r="B1783" s="65" t="s">
        <v>4447</v>
      </c>
    </row>
    <row r="1784" spans="1:2" x14ac:dyDescent="0.25">
      <c r="A1784" s="64" t="str">
        <f>HYPERLINK("http://www.twitter.com/amycneil", "amycneil")</f>
        <v>amycneil</v>
      </c>
      <c r="B1784" s="65"/>
    </row>
    <row r="1785" spans="1:2" x14ac:dyDescent="0.25">
      <c r="A1785" s="64" t="str">
        <f>HYPERLINK("http://www.twitter.com/sallywillihunt", "sallywillihunt")</f>
        <v>sallywillihunt</v>
      </c>
      <c r="B1785" s="65"/>
    </row>
    <row r="1786" spans="1:2" x14ac:dyDescent="0.25">
      <c r="A1786" s="64" t="str">
        <f>HYPERLINK("http://www.twitter.com/arslan_matin", "arslan_matin")</f>
        <v>arslan_matin</v>
      </c>
      <c r="B1786" s="65"/>
    </row>
    <row r="1787" spans="1:2" x14ac:dyDescent="0.25">
      <c r="A1787" s="64" t="str">
        <f>HYPERLINK("http://www.twitter.com/VishwasMH9", "VishwasMH9")</f>
        <v>VishwasMH9</v>
      </c>
      <c r="B1787" s="65" t="s">
        <v>4448</v>
      </c>
    </row>
    <row r="1788" spans="1:2" x14ac:dyDescent="0.25">
      <c r="A1788" s="64" t="str">
        <f>HYPERLINK("http://www.twitter.com/BasilandBarns", "BasilandBarns")</f>
        <v>BasilandBarns</v>
      </c>
      <c r="B1788" s="65" t="s">
        <v>4449</v>
      </c>
    </row>
    <row r="1789" spans="1:2" x14ac:dyDescent="0.25">
      <c r="A1789" s="64" t="str">
        <f>HYPERLINK("http://www.twitter.com/kagsie25", "kagsie25")</f>
        <v>kagsie25</v>
      </c>
      <c r="B1789" s="65"/>
    </row>
    <row r="1790" spans="1:2" x14ac:dyDescent="0.25">
      <c r="A1790" s="64" t="str">
        <f>HYPERLINK("http://www.twitter.com/FoWHLNW6", "FoWHLNW6")</f>
        <v>FoWHLNW6</v>
      </c>
      <c r="B1790" s="65" t="s">
        <v>4450</v>
      </c>
    </row>
    <row r="1791" spans="1:2" x14ac:dyDescent="0.25">
      <c r="A1791" s="64" t="str">
        <f>HYPERLINK("http://www.twitter.com/NathanA1199", "NathanA1199")</f>
        <v>NathanA1199</v>
      </c>
      <c r="B1791" s="65" t="s">
        <v>4026</v>
      </c>
    </row>
    <row r="1792" spans="1:2" x14ac:dyDescent="0.25">
      <c r="A1792" s="64" t="str">
        <f>HYPERLINK("http://www.twitter.com/ALIAVic", "ALIAVic")</f>
        <v>ALIAVic</v>
      </c>
      <c r="B1792" s="65" t="s">
        <v>4451</v>
      </c>
    </row>
    <row r="1793" spans="1:2" x14ac:dyDescent="0.25">
      <c r="A1793" s="64" t="str">
        <f>HYPERLINK("http://www.twitter.com/pegasusforkids", "pegasusforkids")</f>
        <v>pegasusforkids</v>
      </c>
      <c r="B1793" s="65" t="s">
        <v>4452</v>
      </c>
    </row>
    <row r="1794" spans="1:2" x14ac:dyDescent="0.25">
      <c r="A1794" s="64" t="str">
        <f>HYPERLINK("http://www.twitter.com/tabkat88", "tabkat88")</f>
        <v>tabkat88</v>
      </c>
      <c r="B1794" s="65" t="s">
        <v>4453</v>
      </c>
    </row>
    <row r="1795" spans="1:2" x14ac:dyDescent="0.25">
      <c r="A1795" s="64" t="str">
        <f>HYPERLINK("http://www.twitter.com/Ukmarqueehire", "Ukmarqueehire")</f>
        <v>Ukmarqueehire</v>
      </c>
      <c r="B1795" s="65" t="s">
        <v>2580</v>
      </c>
    </row>
    <row r="1796" spans="1:2" x14ac:dyDescent="0.25">
      <c r="A1796" s="64" t="str">
        <f>HYPERLINK("http://www.twitter.com/toteroe", "toteroe")</f>
        <v>toteroe</v>
      </c>
      <c r="B1796" s="65" t="s">
        <v>1482</v>
      </c>
    </row>
    <row r="1797" spans="1:2" x14ac:dyDescent="0.25">
      <c r="A1797" s="64" t="str">
        <f>HYPERLINK("http://www.twitter.com/Katie__Eden", "Katie__Eden")</f>
        <v>Katie__Eden</v>
      </c>
      <c r="B1797" s="65" t="s">
        <v>4454</v>
      </c>
    </row>
    <row r="1798" spans="1:2" x14ac:dyDescent="0.25">
      <c r="A1798" s="64" t="str">
        <f>HYPERLINK("http://www.twitter.com/1979Petersen", "1979Petersen")</f>
        <v>1979Petersen</v>
      </c>
      <c r="B1798" s="65" t="s">
        <v>4455</v>
      </c>
    </row>
    <row r="1799" spans="1:2" x14ac:dyDescent="0.25">
      <c r="A1799" s="64" t="str">
        <f>HYPERLINK("http://www.twitter.com/CoopGillian", "CoopGillian")</f>
        <v>CoopGillian</v>
      </c>
      <c r="B1799" s="65"/>
    </row>
    <row r="1800" spans="1:2" x14ac:dyDescent="0.25">
      <c r="A1800" s="64" t="str">
        <f>HYPERLINK("http://www.twitter.com/KatVonRoo", "KatVonRoo")</f>
        <v>KatVonRoo</v>
      </c>
      <c r="B1800" s="65" t="s">
        <v>4456</v>
      </c>
    </row>
    <row r="1801" spans="1:2" x14ac:dyDescent="0.25">
      <c r="A1801" s="64" t="str">
        <f>HYPERLINK("http://www.twitter.com/Haz_Joseph", "Haz_Joseph")</f>
        <v>Haz_Joseph</v>
      </c>
      <c r="B1801" s="65"/>
    </row>
    <row r="1802" spans="1:2" x14ac:dyDescent="0.25">
      <c r="A1802" s="64" t="str">
        <f>HYPERLINK("http://www.twitter.com/RoseKPearson", "RoseKPearson")</f>
        <v>RoseKPearson</v>
      </c>
      <c r="B1802" s="65"/>
    </row>
    <row r="1803" spans="1:2" x14ac:dyDescent="0.25">
      <c r="A1803" s="64" t="str">
        <f>HYPERLINK("http://www.twitter.com/voteouttories", "voteouttories")</f>
        <v>voteouttories</v>
      </c>
      <c r="B1803" s="65" t="s">
        <v>1377</v>
      </c>
    </row>
    <row r="1804" spans="1:2" x14ac:dyDescent="0.25">
      <c r="A1804" s="64" t="str">
        <f>HYPERLINK("http://www.twitter.com/HeartofHawick", "HeartofHawick")</f>
        <v>HeartofHawick</v>
      </c>
      <c r="B1804" s="65" t="s">
        <v>4457</v>
      </c>
    </row>
    <row r="1805" spans="1:2" x14ac:dyDescent="0.25">
      <c r="A1805" s="64" t="str">
        <f>HYPERLINK("http://www.twitter.com/ergibson", "ergibson")</f>
        <v>ergibson</v>
      </c>
      <c r="B1805" s="65" t="s">
        <v>4458</v>
      </c>
    </row>
    <row r="1806" spans="1:2" x14ac:dyDescent="0.25">
      <c r="A1806" s="64" t="str">
        <f>HYPERLINK("http://www.twitter.com/alwade02114261", "alwade02114261")</f>
        <v>alwade02114261</v>
      </c>
      <c r="B1806" s="65"/>
    </row>
    <row r="1807" spans="1:2" x14ac:dyDescent="0.25">
      <c r="A1807" s="64" t="str">
        <f>HYPERLINK("http://www.twitter.com/Joesphine1999", "Joesphine1999")</f>
        <v>Joesphine1999</v>
      </c>
      <c r="B1807" s="65"/>
    </row>
    <row r="1808" spans="1:2" x14ac:dyDescent="0.25">
      <c r="A1808" s="64" t="str">
        <f>HYPERLINK("http://www.twitter.com/shona_felsman", "shona_felsman")</f>
        <v>shona_felsman</v>
      </c>
      <c r="B1808" s="65" t="s">
        <v>4222</v>
      </c>
    </row>
    <row r="1809" spans="1:2" x14ac:dyDescent="0.25">
      <c r="A1809" s="64" t="str">
        <f>HYPERLINK("http://www.twitter.com/Dinamartz", "Dinamartz")</f>
        <v>Dinamartz</v>
      </c>
      <c r="B1809" s="65" t="s">
        <v>808</v>
      </c>
    </row>
    <row r="1810" spans="1:2" x14ac:dyDescent="0.25">
      <c r="A1810" s="64" t="str">
        <f>HYPERLINK("http://www.twitter.com/Business_OC", "Business_OC")</f>
        <v>Business_OC</v>
      </c>
      <c r="B1810" s="65" t="s">
        <v>4459</v>
      </c>
    </row>
    <row r="1811" spans="1:2" x14ac:dyDescent="0.25">
      <c r="A1811" s="64" t="str">
        <f>HYPERLINK("http://www.twitter.com/jones_kirstine", "jones_kirstine")</f>
        <v>jones_kirstine</v>
      </c>
      <c r="B1811" s="65"/>
    </row>
    <row r="1812" spans="1:2" x14ac:dyDescent="0.25">
      <c r="A1812" s="64" t="str">
        <f>HYPERLINK("http://www.twitter.com/DonnaLKay", "DonnaLKay")</f>
        <v>DonnaLKay</v>
      </c>
      <c r="B1812" s="65" t="s">
        <v>477</v>
      </c>
    </row>
    <row r="1813" spans="1:2" x14ac:dyDescent="0.25">
      <c r="A1813" s="64" t="str">
        <f>HYPERLINK("http://www.twitter.com/murraystraining", "murraystraining")</f>
        <v>murraystraining</v>
      </c>
      <c r="B1813" s="65"/>
    </row>
    <row r="1814" spans="1:2" x14ac:dyDescent="0.25">
      <c r="A1814" s="64" t="str">
        <f>HYPERLINK("http://www.twitter.com/ratemyfalafel", "ratemyfalafel")</f>
        <v>ratemyfalafel</v>
      </c>
      <c r="B1814" s="65" t="s">
        <v>514</v>
      </c>
    </row>
    <row r="1815" spans="1:2" x14ac:dyDescent="0.25">
      <c r="A1815" s="64" t="str">
        <f>HYPERLINK("http://www.twitter.com/MeganTurney94", "MeganTurney94")</f>
        <v>MeganTurney94</v>
      </c>
      <c r="B1815" s="65" t="s">
        <v>4460</v>
      </c>
    </row>
    <row r="1816" spans="1:2" x14ac:dyDescent="0.25">
      <c r="A1816" s="64" t="str">
        <f>HYPERLINK("http://www.twitter.com/ScottishSun", "ScottishSun")</f>
        <v>ScottishSun</v>
      </c>
      <c r="B1816" s="65" t="s">
        <v>74</v>
      </c>
    </row>
    <row r="1817" spans="1:2" x14ac:dyDescent="0.25">
      <c r="A1817" s="64" t="str">
        <f>HYPERLINK("http://www.twitter.com/jennylish", "jennylish")</f>
        <v>jennylish</v>
      </c>
      <c r="B1817" s="65" t="s">
        <v>4461</v>
      </c>
    </row>
    <row r="1818" spans="1:2" x14ac:dyDescent="0.25">
      <c r="A1818" s="64" t="str">
        <f>HYPERLINK("http://www.twitter.com/theforgesanvil", "theforgesanvil")</f>
        <v>theforgesanvil</v>
      </c>
      <c r="B1818" s="65" t="s">
        <v>4462</v>
      </c>
    </row>
    <row r="1819" spans="1:2" x14ac:dyDescent="0.25">
      <c r="A1819" s="64" t="str">
        <f>HYPERLINK("http://www.twitter.com/rachel12tyf", "rachel12tyf")</f>
        <v>rachel12tyf</v>
      </c>
      <c r="B1819" s="65"/>
    </row>
    <row r="1820" spans="1:2" x14ac:dyDescent="0.25">
      <c r="A1820" s="64" t="str">
        <f>HYPERLINK("http://www.twitter.com/TheWardLaw", "TheWardLaw")</f>
        <v>TheWardLaw</v>
      </c>
      <c r="B1820" s="65" t="s">
        <v>487</v>
      </c>
    </row>
    <row r="1821" spans="1:2" x14ac:dyDescent="0.25">
      <c r="A1821" s="64" t="str">
        <f>HYPERLINK("http://www.twitter.com/sallyburruk", "sallyburruk")</f>
        <v>sallyburruk</v>
      </c>
      <c r="B1821" s="65" t="s">
        <v>4463</v>
      </c>
    </row>
    <row r="1822" spans="1:2" x14ac:dyDescent="0.25">
      <c r="A1822" s="64" t="str">
        <f>HYPERLINK("http://www.twitter.com/LiveBorders", "LiveBorders")</f>
        <v>LiveBorders</v>
      </c>
      <c r="B1822" s="65" t="s">
        <v>4324</v>
      </c>
    </row>
    <row r="1823" spans="1:2" x14ac:dyDescent="0.25">
      <c r="A1823" s="64" t="str">
        <f>HYPERLINK("http://www.twitter.com/HeleneGautier3", "HeleneGautier3")</f>
        <v>HeleneGautier3</v>
      </c>
      <c r="B1823" s="65" t="s">
        <v>4464</v>
      </c>
    </row>
    <row r="1824" spans="1:2" x14ac:dyDescent="0.25">
      <c r="A1824" s="64" t="str">
        <f>HYPERLINK("http://www.twitter.com/beardbrarian", "beardbrarian")</f>
        <v>beardbrarian</v>
      </c>
      <c r="B1824" s="65"/>
    </row>
    <row r="1825" spans="1:2" x14ac:dyDescent="0.25">
      <c r="A1825" s="64" t="str">
        <f>HYPERLINK("http://www.twitter.com/hopewino", "hopewino")</f>
        <v>hopewino</v>
      </c>
      <c r="B1825" s="65" t="s">
        <v>4050</v>
      </c>
    </row>
    <row r="1826" spans="1:2" x14ac:dyDescent="0.25">
      <c r="A1826" s="64" t="str">
        <f>HYPERLINK("http://www.twitter.com/CeceliaMckisso1", "CeceliaMckisso1")</f>
        <v>CeceliaMckisso1</v>
      </c>
      <c r="B1826" s="65" t="s">
        <v>4465</v>
      </c>
    </row>
    <row r="1827" spans="1:2" x14ac:dyDescent="0.25">
      <c r="A1827" s="64" t="str">
        <f>HYPERLINK("http://www.twitter.com/john_corall", "john_corall")</f>
        <v>john_corall</v>
      </c>
      <c r="B1827" s="65" t="s">
        <v>569</v>
      </c>
    </row>
    <row r="1828" spans="1:2" x14ac:dyDescent="0.25">
      <c r="A1828" s="64" t="str">
        <f>HYPERLINK("http://www.twitter.com/donnamack62", "donnamack62")</f>
        <v>donnamack62</v>
      </c>
      <c r="B1828" s="65"/>
    </row>
    <row r="1829" spans="1:2" x14ac:dyDescent="0.25">
      <c r="A1829" s="64" t="str">
        <f>HYPERLINK("http://www.twitter.com/Slamlib", "Slamlib")</f>
        <v>Slamlib</v>
      </c>
      <c r="B1829" s="65" t="s">
        <v>1582</v>
      </c>
    </row>
    <row r="1830" spans="1:2" x14ac:dyDescent="0.25">
      <c r="A1830" s="64" t="str">
        <f>HYPERLINK("http://www.twitter.com/chriswr54421788", "chriswr54421788")</f>
        <v>chriswr54421788</v>
      </c>
      <c r="B1830" s="65" t="s">
        <v>477</v>
      </c>
    </row>
    <row r="1831" spans="1:2" x14ac:dyDescent="0.25">
      <c r="A1831" s="64" t="str">
        <f>HYPERLINK("http://www.twitter.com/RitaD2ay", "RitaD2ay")</f>
        <v>RitaD2ay</v>
      </c>
      <c r="B1831" s="65"/>
    </row>
    <row r="1832" spans="1:2" x14ac:dyDescent="0.25">
      <c r="A1832" s="64" t="str">
        <f>HYPERLINK("http://www.twitter.com/derrick_penny", "derrick_penny")</f>
        <v>derrick_penny</v>
      </c>
      <c r="B1832" s="65"/>
    </row>
    <row r="1833" spans="1:2" x14ac:dyDescent="0.25">
      <c r="A1833" s="64" t="str">
        <f>HYPERLINK("http://www.twitter.com/janiceprice3", "janiceprice3")</f>
        <v>janiceprice3</v>
      </c>
      <c r="B1833" s="65"/>
    </row>
    <row r="1834" spans="1:2" x14ac:dyDescent="0.25">
      <c r="A1834" s="64" t="str">
        <f>HYPERLINK("http://www.twitter.com/NoirBristol", "NoirBristol")</f>
        <v>NoirBristol</v>
      </c>
      <c r="B1834" s="65" t="s">
        <v>514</v>
      </c>
    </row>
    <row r="1835" spans="1:2" x14ac:dyDescent="0.25">
      <c r="A1835" s="64" t="str">
        <f>HYPERLINK("http://www.twitter.com/Janeca75", "Janeca75")</f>
        <v>Janeca75</v>
      </c>
      <c r="B1835" s="65" t="s">
        <v>4466</v>
      </c>
    </row>
    <row r="1836" spans="1:2" x14ac:dyDescent="0.25">
      <c r="A1836" s="64" t="str">
        <f>HYPERLINK("http://www.twitter.com/heleninfife", "heleninfife")</f>
        <v>heleninfife</v>
      </c>
      <c r="B1836" s="65" t="s">
        <v>4467</v>
      </c>
    </row>
    <row r="1837" spans="1:2" x14ac:dyDescent="0.25">
      <c r="A1837" s="64" t="str">
        <f>HYPERLINK("http://www.twitter.com/kateakeys", "kateakeys")</f>
        <v>kateakeys</v>
      </c>
      <c r="B1837" s="65" t="s">
        <v>4468</v>
      </c>
    </row>
    <row r="1838" spans="1:2" x14ac:dyDescent="0.25">
      <c r="A1838" s="64" t="str">
        <f>HYPERLINK("http://www.twitter.com/shehir853", "shehir853")</f>
        <v>shehir853</v>
      </c>
      <c r="B1838" s="65" t="s">
        <v>4469</v>
      </c>
    </row>
    <row r="1839" spans="1:2" x14ac:dyDescent="0.25">
      <c r="A1839" s="64" t="str">
        <f>HYPERLINK("http://www.twitter.com/cocteautriplets", "cocteautriplets")</f>
        <v>cocteautriplets</v>
      </c>
      <c r="B1839" s="65" t="s">
        <v>4470</v>
      </c>
    </row>
    <row r="1840" spans="1:2" x14ac:dyDescent="0.25">
      <c r="A1840" s="64" t="str">
        <f>HYPERLINK("http://www.twitter.com/booklustREAD", "booklustREAD")</f>
        <v>booklustREAD</v>
      </c>
      <c r="B1840" s="65"/>
    </row>
    <row r="1841" spans="1:2" x14ac:dyDescent="0.25">
      <c r="A1841" s="64" t="str">
        <f>HYPERLINK("http://www.twitter.com/BooksInHandbag", "BooksInHandbag")</f>
        <v>BooksInHandbag</v>
      </c>
      <c r="B1841" s="65" t="s">
        <v>70</v>
      </c>
    </row>
    <row r="1842" spans="1:2" x14ac:dyDescent="0.25">
      <c r="A1842" s="64" t="str">
        <f>HYPERLINK("http://www.twitter.com/alianza_ed", "alianza_ed")</f>
        <v>alianza_ed</v>
      </c>
      <c r="B1842" s="65" t="s">
        <v>4471</v>
      </c>
    </row>
    <row r="1843" spans="1:2" x14ac:dyDescent="0.25">
      <c r="A1843" s="64" t="str">
        <f>HYPERLINK("http://www.twitter.com/nlsarchives", "nlsarchives")</f>
        <v>nlsarchives</v>
      </c>
      <c r="B1843" s="65" t="s">
        <v>24</v>
      </c>
    </row>
    <row r="1844" spans="1:2" x14ac:dyDescent="0.25">
      <c r="A1844" s="64" t="str">
        <f>HYPERLINK("http://www.twitter.com/ScottJmcgscott", "ScottJmcgscott")</f>
        <v>ScottJmcgscott</v>
      </c>
      <c r="B1844" s="65" t="s">
        <v>4472</v>
      </c>
    </row>
    <row r="1845" spans="1:2" x14ac:dyDescent="0.25">
      <c r="A1845" s="64" t="str">
        <f>HYPERLINK("http://www.twitter.com/rudemecs", "rudemecs")</f>
        <v>rudemecs</v>
      </c>
      <c r="B1845" s="65" t="s">
        <v>3678</v>
      </c>
    </row>
    <row r="1846" spans="1:2" x14ac:dyDescent="0.25">
      <c r="A1846" s="64" t="str">
        <f>HYPERLINK("http://www.twitter.com/redsunbeam", "redsunbeam")</f>
        <v>redsunbeam</v>
      </c>
      <c r="B1846" s="65" t="s">
        <v>4062</v>
      </c>
    </row>
    <row r="1847" spans="1:2" x14ac:dyDescent="0.25">
      <c r="A1847" s="64" t="str">
        <f>HYPERLINK("http://www.twitter.com/LBCityLibrary", "LBCityLibrary")</f>
        <v>LBCityLibrary</v>
      </c>
      <c r="B1847" s="65" t="s">
        <v>4473</v>
      </c>
    </row>
    <row r="1848" spans="1:2" x14ac:dyDescent="0.25">
      <c r="A1848" s="64" t="str">
        <f>HYPERLINK("http://www.twitter.com/travit", "travit")</f>
        <v>travit</v>
      </c>
      <c r="B1848" s="65" t="s">
        <v>4474</v>
      </c>
    </row>
    <row r="1849" spans="1:2" x14ac:dyDescent="0.25">
      <c r="A1849" s="64" t="str">
        <f>HYPERLINK("http://www.twitter.com/NIBookClub", "NIBookClub")</f>
        <v>NIBookClub</v>
      </c>
      <c r="B1849" s="65" t="s">
        <v>248</v>
      </c>
    </row>
    <row r="1850" spans="1:2" x14ac:dyDescent="0.25">
      <c r="A1850" s="64" t="str">
        <f>HYPERLINK("http://www.twitter.com/WalthamstOT", "WalthamstOT")</f>
        <v>WalthamstOT</v>
      </c>
      <c r="B1850" s="65"/>
    </row>
    <row r="1851" spans="1:2" x14ac:dyDescent="0.25">
      <c r="A1851" s="64" t="str">
        <f>HYPERLINK("http://www.twitter.com/DurningLibrary", "DurningLibrary")</f>
        <v>DurningLibrary</v>
      </c>
      <c r="B1851" s="65" t="s">
        <v>1733</v>
      </c>
    </row>
    <row r="1852" spans="1:2" x14ac:dyDescent="0.25">
      <c r="A1852" s="64" t="str">
        <f>HYPERLINK("http://www.twitter.com/writingkart", "writingkart")</f>
        <v>writingkart</v>
      </c>
      <c r="B1852" s="65" t="s">
        <v>3998</v>
      </c>
    </row>
    <row r="1853" spans="1:2" x14ac:dyDescent="0.25">
      <c r="A1853" s="64" t="str">
        <f>HYPERLINK("http://www.twitter.com/NordicNarrative", "NordicNarrative")</f>
        <v>NordicNarrative</v>
      </c>
      <c r="B1853" s="65"/>
    </row>
    <row r="1854" spans="1:2" x14ac:dyDescent="0.25">
      <c r="A1854" s="64" t="str">
        <f>HYPERLINK("http://www.twitter.com/Nikita77955577", "Nikita77955577")</f>
        <v>Nikita77955577</v>
      </c>
      <c r="B1854" s="65" t="s">
        <v>4475</v>
      </c>
    </row>
    <row r="1855" spans="1:2" x14ac:dyDescent="0.25">
      <c r="A1855" s="64" t="str">
        <f>HYPERLINK("http://www.twitter.com/MDickson_WM", "MDickson_WM")</f>
        <v>MDickson_WM</v>
      </c>
      <c r="B1855" s="65" t="s">
        <v>487</v>
      </c>
    </row>
    <row r="1856" spans="1:2" x14ac:dyDescent="0.25">
      <c r="A1856" s="64" t="str">
        <f>HYPERLINK("http://www.twitter.com/markrstirling", "markrstirling")</f>
        <v>markrstirling</v>
      </c>
      <c r="B1856" s="65"/>
    </row>
    <row r="1857" spans="1:2" x14ac:dyDescent="0.25">
      <c r="A1857" s="64" t="str">
        <f>HYPERLINK("http://www.twitter.com/DollyFixtures", "DollyFixtures")</f>
        <v>DollyFixtures</v>
      </c>
      <c r="B1857" s="65" t="s">
        <v>1739</v>
      </c>
    </row>
    <row r="1858" spans="1:2" x14ac:dyDescent="0.25">
      <c r="A1858" s="64" t="str">
        <f>HYPERLINK("http://www.twitter.com/GemmasmithPr", "GemmasmithPr")</f>
        <v>GemmasmithPr</v>
      </c>
      <c r="B1858" s="65" t="s">
        <v>487</v>
      </c>
    </row>
    <row r="1859" spans="1:2" x14ac:dyDescent="0.25">
      <c r="A1859" s="64" t="str">
        <f>HYPERLINK("http://www.twitter.com/18deuce", "18deuce")</f>
        <v>18deuce</v>
      </c>
      <c r="B1859" s="65" t="s">
        <v>3797</v>
      </c>
    </row>
    <row r="1860" spans="1:2" x14ac:dyDescent="0.25">
      <c r="A1860" s="64" t="str">
        <f>HYPERLINK("http://www.twitter.com/BenrRiddari", "BenrRiddari")</f>
        <v>BenrRiddari</v>
      </c>
      <c r="B1860" s="65" t="s">
        <v>4476</v>
      </c>
    </row>
    <row r="1861" spans="1:2" x14ac:dyDescent="0.25">
      <c r="A1861" s="64" t="str">
        <f>HYPERLINK("http://www.twitter.com/HollyParfoot", "HollyParfoot")</f>
        <v>HollyParfoot</v>
      </c>
      <c r="B1861" s="65" t="s">
        <v>1490</v>
      </c>
    </row>
    <row r="1862" spans="1:2" x14ac:dyDescent="0.25">
      <c r="A1862" s="64" t="str">
        <f>HYPERLINK("http://www.twitter.com/RamaraPL", "RamaraPL")</f>
        <v>RamaraPL</v>
      </c>
      <c r="B1862" s="65" t="s">
        <v>4477</v>
      </c>
    </row>
    <row r="1863" spans="1:2" x14ac:dyDescent="0.25">
      <c r="A1863" s="64" t="str">
        <f>HYPERLINK("http://www.twitter.com/SGTRonaldSmith", "SGTRonaldSmith")</f>
        <v>SGTRonaldSmith</v>
      </c>
      <c r="B1863" s="65" t="s">
        <v>4478</v>
      </c>
    </row>
    <row r="1864" spans="1:2" x14ac:dyDescent="0.25">
      <c r="A1864" s="64" t="str">
        <f>HYPERLINK("http://www.twitter.com/colindshepherd", "colindshepherd")</f>
        <v>colindshepherd</v>
      </c>
      <c r="B1864" s="65"/>
    </row>
    <row r="1865" spans="1:2" x14ac:dyDescent="0.25">
      <c r="A1865" s="64" t="str">
        <f>HYPERLINK("http://www.twitter.com/CJThompson32", "CJThompson32")</f>
        <v>CJThompson32</v>
      </c>
      <c r="B1865" s="65" t="s">
        <v>4479</v>
      </c>
    </row>
    <row r="1866" spans="1:2" x14ac:dyDescent="0.25">
      <c r="A1866" s="64" t="str">
        <f>HYPERLINK("http://www.twitter.com/JULIUSBUKUCD", "JULIUSBUKUCD")</f>
        <v>JULIUSBUKUCD</v>
      </c>
      <c r="B1866" s="65" t="s">
        <v>4480</v>
      </c>
    </row>
    <row r="1867" spans="1:2" x14ac:dyDescent="0.25">
      <c r="A1867" s="64" t="str">
        <f>HYPERLINK("http://www.twitter.com/lwb_uwo", "lwb_uwo")</f>
        <v>lwb_uwo</v>
      </c>
      <c r="B1867" s="65" t="s">
        <v>4230</v>
      </c>
    </row>
    <row r="1868" spans="1:2" x14ac:dyDescent="0.25">
      <c r="A1868" s="64" t="str">
        <f>HYPERLINK("http://www.twitter.com/RealTimMcBain", "RealTimMcBain")</f>
        <v>RealTimMcBain</v>
      </c>
      <c r="B1868" s="65"/>
    </row>
    <row r="1869" spans="1:2" x14ac:dyDescent="0.25">
      <c r="A1869" s="64" t="str">
        <f>HYPERLINK("http://www.twitter.com/JillThiry", "JillThiry")</f>
        <v>JillThiry</v>
      </c>
      <c r="B1869" s="65" t="s">
        <v>4229</v>
      </c>
    </row>
    <row r="1870" spans="1:2" x14ac:dyDescent="0.25">
      <c r="A1870" s="64" t="str">
        <f>HYPERLINK("http://www.twitter.com/librarhi", "librarhi")</f>
        <v>librarhi</v>
      </c>
      <c r="B1870" s="65" t="s">
        <v>2636</v>
      </c>
    </row>
    <row r="1871" spans="1:2" x14ac:dyDescent="0.25">
      <c r="A1871" s="64" t="str">
        <f>HYPERLINK("http://www.twitter.com/TheBotanics", "TheBotanics")</f>
        <v>TheBotanics</v>
      </c>
      <c r="B1871" s="65"/>
    </row>
    <row r="1872" spans="1:2" x14ac:dyDescent="0.25">
      <c r="A1872" s="64" t="str">
        <f>HYPERLINK("http://www.twitter.com/emlizcla", "emlizcla")</f>
        <v>emlizcla</v>
      </c>
      <c r="B1872" s="65" t="s">
        <v>2557</v>
      </c>
    </row>
    <row r="1873" spans="1:2" x14ac:dyDescent="0.25">
      <c r="A1873" s="64" t="str">
        <f>HYPERLINK("http://www.twitter.com/YogeshS68908872", "YogeshS68908872")</f>
        <v>YogeshS68908872</v>
      </c>
      <c r="B1873" s="65"/>
    </row>
    <row r="1874" spans="1:2" x14ac:dyDescent="0.25">
      <c r="A1874" s="64" t="str">
        <f>HYPERLINK("http://www.twitter.com/rupak7791", "rupak7791")</f>
        <v>rupak7791</v>
      </c>
      <c r="B1874" s="65" t="s">
        <v>4481</v>
      </c>
    </row>
    <row r="1875" spans="1:2" x14ac:dyDescent="0.25">
      <c r="A1875" s="64" t="str">
        <f>HYPERLINK("http://www.twitter.com/ResanJapanShelf", "ResanJapanShelf")</f>
        <v>ResanJapanShelf</v>
      </c>
      <c r="B1875" s="65" t="s">
        <v>4482</v>
      </c>
    </row>
    <row r="1876" spans="1:2" x14ac:dyDescent="0.25">
      <c r="A1876" s="64" t="str">
        <f>HYPERLINK("http://www.twitter.com/caroline_luci", "caroline_luci")</f>
        <v>caroline_luci</v>
      </c>
      <c r="B1876" s="65"/>
    </row>
    <row r="1877" spans="1:2" x14ac:dyDescent="0.25">
      <c r="A1877" s="64" t="str">
        <f>HYPERLINK("http://www.twitter.com/akubisapenerbit", "akubisapenerbit")</f>
        <v>akubisapenerbit</v>
      </c>
      <c r="B1877" s="65" t="s">
        <v>4483</v>
      </c>
    </row>
    <row r="1878" spans="1:2" x14ac:dyDescent="0.25">
      <c r="A1878" s="64" t="str">
        <f>HYPERLINK("http://www.twitter.com/AdrianGHilder", "AdrianGHilder")</f>
        <v>AdrianGHilder</v>
      </c>
      <c r="B1878" s="65" t="s">
        <v>1790</v>
      </c>
    </row>
    <row r="1879" spans="1:2" x14ac:dyDescent="0.25">
      <c r="A1879" s="64" t="str">
        <f>HYPERLINK("http://www.twitter.com/VeryFineLibrary", "VeryFineLibrary")</f>
        <v>VeryFineLibrary</v>
      </c>
      <c r="B1879" s="65" t="s">
        <v>4484</v>
      </c>
    </row>
    <row r="1880" spans="1:2" x14ac:dyDescent="0.25">
      <c r="A1880" s="64" t="str">
        <f>HYPERLINK("http://www.twitter.com/DescentThePlay", "DescentThePlay")</f>
        <v>DescentThePlay</v>
      </c>
      <c r="B1880" s="65" t="s">
        <v>517</v>
      </c>
    </row>
    <row r="1881" spans="1:2" x14ac:dyDescent="0.25">
      <c r="A1881" s="64" t="str">
        <f>HYPERLINK("http://www.twitter.com/Lucyslonecki", "Lucyslonecki")</f>
        <v>Lucyslonecki</v>
      </c>
      <c r="B1881" s="65"/>
    </row>
    <row r="1882" spans="1:2" x14ac:dyDescent="0.25">
      <c r="A1882" s="64" t="str">
        <f>HYPERLINK("http://www.twitter.com/Evie_tweeting", "Evie_tweeting")</f>
        <v>Evie_tweeting</v>
      </c>
      <c r="B1882" s="65" t="s">
        <v>36</v>
      </c>
    </row>
    <row r="1883" spans="1:2" x14ac:dyDescent="0.25">
      <c r="A1883" s="64" t="str">
        <f>HYPERLINK("http://www.twitter.com/Gilleasbuig1", "Gilleasbuig1")</f>
        <v>Gilleasbuig1</v>
      </c>
      <c r="B1883" s="65" t="s">
        <v>4485</v>
      </c>
    </row>
    <row r="1884" spans="1:2" x14ac:dyDescent="0.25">
      <c r="A1884" s="64" t="str">
        <f>HYPERLINK("http://www.twitter.com/00FairyGirl", "00FairyGirl")</f>
        <v>00FairyGirl</v>
      </c>
      <c r="B1884" s="65" t="s">
        <v>2007</v>
      </c>
    </row>
    <row r="1885" spans="1:2" x14ac:dyDescent="0.25">
      <c r="A1885" s="64" t="str">
        <f>HYPERLINK("http://www.twitter.com/cam_beul", "cam_beul")</f>
        <v>cam_beul</v>
      </c>
      <c r="B1885" s="65" t="s">
        <v>487</v>
      </c>
    </row>
    <row r="1886" spans="1:2" x14ac:dyDescent="0.25">
      <c r="A1886" s="64" t="str">
        <f>HYPERLINK("http://www.twitter.com/jennymeakin", "jennymeakin")</f>
        <v>jennymeakin</v>
      </c>
      <c r="B1886" s="65"/>
    </row>
    <row r="1887" spans="1:2" x14ac:dyDescent="0.25">
      <c r="A1887" s="64" t="str">
        <f>HYPERLINK("http://www.twitter.com/clcalverley", "clcalverley")</f>
        <v>clcalverley</v>
      </c>
      <c r="B1887" s="65"/>
    </row>
    <row r="1888" spans="1:2" x14ac:dyDescent="0.25">
      <c r="A1888" s="64" t="str">
        <f>HYPERLINK("http://www.twitter.com/jujutu", "jujutu")</f>
        <v>jujutu</v>
      </c>
      <c r="B1888" s="65" t="s">
        <v>788</v>
      </c>
    </row>
    <row r="1889" spans="1:2" x14ac:dyDescent="0.25">
      <c r="A1889" s="64" t="str">
        <f>HYPERLINK("http://www.twitter.com/JasonJMurdoch", "JasonJMurdoch")</f>
        <v>JasonJMurdoch</v>
      </c>
      <c r="B1889" s="65" t="s">
        <v>4486</v>
      </c>
    </row>
    <row r="1890" spans="1:2" x14ac:dyDescent="0.25">
      <c r="A1890" s="64" t="str">
        <f>HYPERLINK("http://www.twitter.com/shavai2k", "shavai2k")</f>
        <v>shavai2k</v>
      </c>
      <c r="B1890" s="65"/>
    </row>
    <row r="1891" spans="1:2" x14ac:dyDescent="0.25">
      <c r="A1891" s="64" t="str">
        <f>HYPERLINK("http://www.twitter.com/RikkiLidderdale", "RikkiLidderdale")</f>
        <v>RikkiLidderdale</v>
      </c>
      <c r="B1891" s="65" t="s">
        <v>4487</v>
      </c>
    </row>
    <row r="1892" spans="1:2" x14ac:dyDescent="0.25">
      <c r="A1892" s="64" t="str">
        <f>HYPERLINK("http://www.twitter.com/charlibull", "charlibull")</f>
        <v>charlibull</v>
      </c>
      <c r="B1892" s="65"/>
    </row>
    <row r="1893" spans="1:2" x14ac:dyDescent="0.25">
      <c r="A1893" s="64" t="str">
        <f>HYPERLINK("http://www.twitter.com/deakin_moira", "deakin_moira")</f>
        <v>deakin_moira</v>
      </c>
      <c r="B1893" s="65"/>
    </row>
    <row r="1894" spans="1:2" x14ac:dyDescent="0.25">
      <c r="A1894" s="64" t="str">
        <f>HYPERLINK("http://www.twitter.com/HowMichael", "HowMichael")</f>
        <v>HowMichael</v>
      </c>
      <c r="B1894" s="65" t="s">
        <v>36</v>
      </c>
    </row>
    <row r="1895" spans="1:2" x14ac:dyDescent="0.25">
      <c r="A1895" s="64" t="str">
        <f>HYPERLINK("http://www.twitter.com/Joebrownbj", "Joebrownbj")</f>
        <v>Joebrownbj</v>
      </c>
      <c r="B1895" s="65"/>
    </row>
    <row r="1896" spans="1:2" x14ac:dyDescent="0.25">
      <c r="A1896" s="64" t="str">
        <f>HYPERLINK("http://www.twitter.com/BiblioTribe", "BiblioTribe")</f>
        <v>BiblioTribe</v>
      </c>
      <c r="B1896" s="65"/>
    </row>
    <row r="1897" spans="1:2" x14ac:dyDescent="0.25">
      <c r="A1897" s="64" t="str">
        <f>HYPERLINK("http://www.twitter.com/legendsofthefox", "legendsofthefox")</f>
        <v>legendsofthefox</v>
      </c>
      <c r="B1897" s="65" t="s">
        <v>4488</v>
      </c>
    </row>
    <row r="1898" spans="1:2" x14ac:dyDescent="0.25">
      <c r="A1898" s="64" t="str">
        <f>HYPERLINK("http://www.twitter.com/ReginJoensen", "ReginJoensen")</f>
        <v>ReginJoensen</v>
      </c>
      <c r="B1898" s="65"/>
    </row>
    <row r="1899" spans="1:2" x14ac:dyDescent="0.25">
      <c r="A1899" s="64" t="str">
        <f>HYPERLINK("http://www.twitter.com/Poli_OG", "Poli_OG")</f>
        <v>Poli_OG</v>
      </c>
      <c r="B1899" s="65" t="s">
        <v>2007</v>
      </c>
    </row>
    <row r="1900" spans="1:2" x14ac:dyDescent="0.25">
      <c r="A1900" s="64" t="str">
        <f>HYPERLINK("http://www.twitter.com/SALEEMHMOUZ", "SALEEMHMOUZ")</f>
        <v>SALEEMHMOUZ</v>
      </c>
      <c r="B1900" s="65" t="s">
        <v>4489</v>
      </c>
    </row>
    <row r="1901" spans="1:2" x14ac:dyDescent="0.25">
      <c r="A1901" s="64" t="str">
        <f>HYPERLINK("http://www.twitter.com/miss_jude_b", "miss_jude_b")</f>
        <v>miss_jude_b</v>
      </c>
      <c r="B1901" s="65" t="s">
        <v>3781</v>
      </c>
    </row>
    <row r="1902" spans="1:2" x14ac:dyDescent="0.25">
      <c r="A1902" s="64" t="str">
        <f>HYPERLINK("http://www.twitter.com/carol_palmer57", "carol_palmer57")</f>
        <v>carol_palmer57</v>
      </c>
      <c r="B1902" s="65"/>
    </row>
    <row r="1903" spans="1:2" x14ac:dyDescent="0.25">
      <c r="A1903" s="64" t="str">
        <f>HYPERLINK("http://www.twitter.com/Mattdelmar", "Mattdelmar")</f>
        <v>Mattdelmar</v>
      </c>
      <c r="B1903" s="65" t="s">
        <v>4490</v>
      </c>
    </row>
    <row r="1904" spans="1:2" x14ac:dyDescent="0.25">
      <c r="A1904" s="64" t="str">
        <f>HYPERLINK("http://www.twitter.com/eurokeith", "eurokeith")</f>
        <v>eurokeith</v>
      </c>
      <c r="B1904" s="65" t="s">
        <v>4491</v>
      </c>
    </row>
    <row r="1905" spans="1:2" x14ac:dyDescent="0.25">
      <c r="A1905" s="64" t="str">
        <f>HYPERLINK("http://www.twitter.com/DenbyBottom", "DenbyBottom")</f>
        <v>DenbyBottom</v>
      </c>
      <c r="B1905" s="65" t="s">
        <v>2007</v>
      </c>
    </row>
    <row r="1906" spans="1:2" x14ac:dyDescent="0.25">
      <c r="A1906" s="64" t="str">
        <f>HYPERLINK("http://www.twitter.com/GMDuncan84", "GMDuncan84")</f>
        <v>GMDuncan84</v>
      </c>
      <c r="B1906" s="65" t="s">
        <v>487</v>
      </c>
    </row>
    <row r="1907" spans="1:2" x14ac:dyDescent="0.25">
      <c r="A1907" s="64" t="str">
        <f>HYPERLINK("http://www.twitter.com/LJagatsingh", "LJagatsingh")</f>
        <v>LJagatsingh</v>
      </c>
      <c r="B1907" s="65" t="s">
        <v>2289</v>
      </c>
    </row>
    <row r="1908" spans="1:2" x14ac:dyDescent="0.25">
      <c r="A1908" s="64" t="str">
        <f>HYPERLINK("http://www.twitter.com/Luqzone", "Luqzone")</f>
        <v>Luqzone</v>
      </c>
      <c r="B1908" s="65" t="s">
        <v>4492</v>
      </c>
    </row>
    <row r="1909" spans="1:2" x14ac:dyDescent="0.25">
      <c r="A1909" s="64" t="str">
        <f>HYPERLINK("http://www.twitter.com/1978Francina", "1978Francina")</f>
        <v>1978Francina</v>
      </c>
      <c r="B1909" s="65" t="s">
        <v>4493</v>
      </c>
    </row>
    <row r="1910" spans="1:2" x14ac:dyDescent="0.25">
      <c r="A1910" s="64" t="str">
        <f>HYPERLINK("http://www.twitter.com/tash_armstrong", "tash_armstrong")</f>
        <v>tash_armstrong</v>
      </c>
      <c r="B1910" s="65" t="s">
        <v>477</v>
      </c>
    </row>
    <row r="1911" spans="1:2" x14ac:dyDescent="0.25">
      <c r="A1911" s="64" t="str">
        <f>HYPERLINK("http://www.twitter.com/JohnLewis1165", "JohnLewis1165")</f>
        <v>JohnLewis1165</v>
      </c>
      <c r="B1911" s="65" t="s">
        <v>4494</v>
      </c>
    </row>
    <row r="1912" spans="1:2" x14ac:dyDescent="0.25">
      <c r="A1912" s="64" t="str">
        <f>HYPERLINK("http://www.twitter.com/restlessderek", "restlessderek")</f>
        <v>restlessderek</v>
      </c>
      <c r="B1912" s="65" t="s">
        <v>1377</v>
      </c>
    </row>
    <row r="1913" spans="1:2" x14ac:dyDescent="0.25">
      <c r="A1913" s="64" t="str">
        <f>HYPERLINK("http://www.twitter.com/owengriff03", "owengriff03")</f>
        <v>owengriff03</v>
      </c>
      <c r="B1913" s="65"/>
    </row>
    <row r="1914" spans="1:2" x14ac:dyDescent="0.25">
      <c r="A1914" s="64" t="str">
        <f>HYPERLINK("http://www.twitter.com/trenabiescafe", "trenabiescafe")</f>
        <v>trenabiescafe</v>
      </c>
      <c r="B1914" s="65" t="s">
        <v>3762</v>
      </c>
    </row>
    <row r="1915" spans="1:2" x14ac:dyDescent="0.25">
      <c r="A1915" s="64" t="str">
        <f>HYPERLINK("http://www.twitter.com/Selahsings", "Selahsings")</f>
        <v>Selahsings</v>
      </c>
      <c r="B1915" s="65" t="s">
        <v>4495</v>
      </c>
    </row>
    <row r="1916" spans="1:2" x14ac:dyDescent="0.25">
      <c r="A1916" s="64" t="str">
        <f>HYPERLINK("http://www.twitter.com/_alexglasgow", "_alexglasgow")</f>
        <v>_alexglasgow</v>
      </c>
      <c r="B1916" s="65" t="s">
        <v>4496</v>
      </c>
    </row>
    <row r="1917" spans="1:2" x14ac:dyDescent="0.25">
      <c r="A1917" s="64" t="str">
        <f>HYPERLINK("http://www.twitter.com/AngelaRobb44", "AngelaRobb44")</f>
        <v>AngelaRobb44</v>
      </c>
      <c r="B1917" s="65" t="s">
        <v>517</v>
      </c>
    </row>
    <row r="1918" spans="1:2" x14ac:dyDescent="0.25">
      <c r="A1918" s="64" t="str">
        <f>HYPERLINK("http://www.twitter.com/rootbeerphoto", "rootbeerphoto")</f>
        <v>rootbeerphoto</v>
      </c>
      <c r="B1918" s="65" t="s">
        <v>4497</v>
      </c>
    </row>
    <row r="1919" spans="1:2" x14ac:dyDescent="0.25">
      <c r="A1919" s="64" t="str">
        <f>HYPERLINK("http://www.twitter.com/arnebrink_s", "arnebrink_s")</f>
        <v>arnebrink_s</v>
      </c>
      <c r="B1919" s="65" t="s">
        <v>4498</v>
      </c>
    </row>
    <row r="1920" spans="1:2" x14ac:dyDescent="0.25">
      <c r="A1920" s="64" t="str">
        <f>HYPERLINK("http://www.twitter.com/Fluffiebumble", "Fluffiebumble")</f>
        <v>Fluffiebumble</v>
      </c>
      <c r="B1920" s="65"/>
    </row>
    <row r="1921" spans="1:2" x14ac:dyDescent="0.25">
      <c r="A1921" s="64" t="str">
        <f>HYPERLINK("http://www.twitter.com/MacmillanScot", "MacmillanScot")</f>
        <v>MacmillanScot</v>
      </c>
      <c r="B1921" s="65" t="s">
        <v>2007</v>
      </c>
    </row>
    <row r="1922" spans="1:2" x14ac:dyDescent="0.25">
      <c r="A1922" s="64" t="str">
        <f>HYPERLINK("http://www.twitter.com/pgr502", "pgr502")</f>
        <v>pgr502</v>
      </c>
      <c r="B1922" s="65" t="s">
        <v>4499</v>
      </c>
    </row>
    <row r="1923" spans="1:2" x14ac:dyDescent="0.25">
      <c r="A1923" s="64" t="str">
        <f>HYPERLINK("http://www.twitter.com/PGerrard72", "PGerrard72")</f>
        <v>PGerrard72</v>
      </c>
      <c r="B1923" s="65" t="s">
        <v>24</v>
      </c>
    </row>
    <row r="1924" spans="1:2" x14ac:dyDescent="0.25">
      <c r="A1924" s="64" t="str">
        <f>HYPERLINK("http://www.twitter.com/MaireadBrodie", "MaireadBrodie")</f>
        <v>MaireadBrodie</v>
      </c>
      <c r="B1924" s="65" t="s">
        <v>4500</v>
      </c>
    </row>
    <row r="1925" spans="1:2" x14ac:dyDescent="0.25">
      <c r="A1925" s="64" t="str">
        <f>HYPERLINK("http://www.twitter.com/alasdairu1", "alasdairu1")</f>
        <v>alasdairu1</v>
      </c>
      <c r="B1925" s="65" t="s">
        <v>2325</v>
      </c>
    </row>
    <row r="1926" spans="1:2" x14ac:dyDescent="0.25">
      <c r="A1926" s="64" t="str">
        <f>HYPERLINK("http://www.twitter.com/mrs_sarah_child", "mrs_sarah_child")</f>
        <v>mrs_sarah_child</v>
      </c>
      <c r="B1926" s="65" t="s">
        <v>4501</v>
      </c>
    </row>
    <row r="1927" spans="1:2" x14ac:dyDescent="0.25">
      <c r="A1927" s="64" t="str">
        <f>HYPERLINK("http://www.twitter.com/SanjidAnwar", "SanjidAnwar")</f>
        <v>SanjidAnwar</v>
      </c>
      <c r="B1927" s="65"/>
    </row>
    <row r="1928" spans="1:2" x14ac:dyDescent="0.25">
      <c r="A1928" s="64" t="str">
        <f>HYPERLINK("http://www.twitter.com/johnandtonic", "johnandtonic")</f>
        <v>johnandtonic</v>
      </c>
      <c r="B1928" s="65" t="s">
        <v>477</v>
      </c>
    </row>
    <row r="1929" spans="1:2" x14ac:dyDescent="0.25">
      <c r="A1929" s="64" t="str">
        <f>HYPERLINK("http://www.twitter.com/EmR_Myers", "EmR_Myers")</f>
        <v>EmR_Myers</v>
      </c>
      <c r="B1929" s="65"/>
    </row>
    <row r="1930" spans="1:2" x14ac:dyDescent="0.25">
      <c r="A1930" s="64" t="str">
        <f>HYPERLINK("http://www.twitter.com/ReraPops", "ReraPops")</f>
        <v>ReraPops</v>
      </c>
      <c r="B1930" s="65" t="s">
        <v>110</v>
      </c>
    </row>
    <row r="1931" spans="1:2" x14ac:dyDescent="0.25">
      <c r="A1931" s="64" t="str">
        <f>HYPERLINK("http://www.twitter.com/emilyjanehughes", "emilyjanehughes")</f>
        <v>emilyjanehughes</v>
      </c>
      <c r="B1931" s="65"/>
    </row>
    <row r="1932" spans="1:2" x14ac:dyDescent="0.25">
      <c r="A1932" s="64" t="str">
        <f>HYPERLINK("http://www.twitter.com/vgwoods", "vgwoods")</f>
        <v>vgwoods</v>
      </c>
      <c r="B1932" s="65" t="s">
        <v>110</v>
      </c>
    </row>
    <row r="1933" spans="1:2" x14ac:dyDescent="0.25">
      <c r="A1933" s="64" t="str">
        <f>HYPERLINK("http://www.twitter.com/yellamundie", "yellamundie")</f>
        <v>yellamundie</v>
      </c>
      <c r="B1933" s="65" t="s">
        <v>477</v>
      </c>
    </row>
    <row r="1934" spans="1:2" x14ac:dyDescent="0.25">
      <c r="A1934" s="64" t="str">
        <f>HYPERLINK("http://www.twitter.com/AliceTownSays", "AliceTownSays")</f>
        <v>AliceTownSays</v>
      </c>
      <c r="B1934" s="65" t="s">
        <v>70</v>
      </c>
    </row>
    <row r="1935" spans="1:2" x14ac:dyDescent="0.25">
      <c r="A1935" s="64" t="str">
        <f>HYPERLINK("http://www.twitter.com/anyonefollow72", "anyonefollow72")</f>
        <v>anyonefollow72</v>
      </c>
      <c r="B1935" s="65"/>
    </row>
    <row r="1936" spans="1:2" x14ac:dyDescent="0.25">
      <c r="A1936" s="64" t="str">
        <f>HYPERLINK("http://www.twitter.com/paratextual", "paratextual")</f>
        <v>paratextual</v>
      </c>
      <c r="B1936" s="65" t="s">
        <v>4502</v>
      </c>
    </row>
    <row r="1937" spans="1:2" x14ac:dyDescent="0.25">
      <c r="A1937" s="64" t="str">
        <f>HYPERLINK("http://www.twitter.com/pilgrim_med_Ire", "pilgrim_med_Ire")</f>
        <v>pilgrim_med_Ire</v>
      </c>
      <c r="B1937" s="65" t="s">
        <v>4062</v>
      </c>
    </row>
    <row r="1938" spans="1:2" x14ac:dyDescent="0.25">
      <c r="A1938" s="64" t="str">
        <f>HYPERLINK("http://www.twitter.com/fgoldsmith", "fgoldsmith")</f>
        <v>fgoldsmith</v>
      </c>
      <c r="B1938" s="65" t="s">
        <v>4503</v>
      </c>
    </row>
    <row r="1939" spans="1:2" x14ac:dyDescent="0.25">
      <c r="A1939" s="64" t="str">
        <f>HYPERLINK("http://www.twitter.com/carolcurran", "carolcurran")</f>
        <v>carolcurran</v>
      </c>
      <c r="B1939" s="65"/>
    </row>
    <row r="1940" spans="1:2" x14ac:dyDescent="0.25">
      <c r="A1940" s="64" t="str">
        <f>HYPERLINK("http://www.twitter.com/jazink", "jazink")</f>
        <v>jazink</v>
      </c>
      <c r="B1940" s="65" t="s">
        <v>508</v>
      </c>
    </row>
    <row r="1941" spans="1:2" x14ac:dyDescent="0.25">
      <c r="A1941" s="64" t="str">
        <f>HYPERLINK("http://www.twitter.com/emmadrum", "emmadrum")</f>
        <v>emmadrum</v>
      </c>
      <c r="B1941" s="65" t="s">
        <v>4504</v>
      </c>
    </row>
    <row r="1942" spans="1:2" x14ac:dyDescent="0.25">
      <c r="A1942" s="64" t="str">
        <f>HYPERLINK("http://www.twitter.com/ruthhagan44", "ruthhagan44")</f>
        <v>ruthhagan44</v>
      </c>
      <c r="B1942" s="65" t="s">
        <v>4505</v>
      </c>
    </row>
    <row r="1943" spans="1:2" x14ac:dyDescent="0.25">
      <c r="A1943" s="64" t="str">
        <f>HYPERLINK("http://www.twitter.com/sammillsauthor", "sammillsauthor")</f>
        <v>sammillsauthor</v>
      </c>
      <c r="B1943" s="65" t="s">
        <v>33</v>
      </c>
    </row>
    <row r="1944" spans="1:2" x14ac:dyDescent="0.25">
      <c r="A1944" s="64" t="str">
        <f>HYPERLINK("http://www.twitter.com/neoheatherism", "neoheatherism")</f>
        <v>neoheatherism</v>
      </c>
      <c r="B1944" s="65" t="s">
        <v>477</v>
      </c>
    </row>
    <row r="1945" spans="1:2" x14ac:dyDescent="0.25">
      <c r="A1945" s="64" t="str">
        <f>HYPERLINK("http://www.twitter.com/Ryanpfreeman", "Ryanpfreeman")</f>
        <v>Ryanpfreeman</v>
      </c>
      <c r="B1945" s="65" t="s">
        <v>4506</v>
      </c>
    </row>
    <row r="1946" spans="1:2" x14ac:dyDescent="0.25">
      <c r="A1946" s="64" t="str">
        <f>HYPERLINK("http://www.twitter.com/TidmanTidman", "TidmanTidman")</f>
        <v>TidmanTidman</v>
      </c>
      <c r="B1946" s="65"/>
    </row>
    <row r="1947" spans="1:2" x14ac:dyDescent="0.25">
      <c r="A1947" s="64" t="str">
        <f>HYPERLINK("http://www.twitter.com/ParkLivesDundee", "ParkLivesDundee")</f>
        <v>ParkLivesDundee</v>
      </c>
      <c r="B1947" s="65" t="s">
        <v>232</v>
      </c>
    </row>
    <row r="1948" spans="1:2" x14ac:dyDescent="0.25">
      <c r="A1948" s="64" t="str">
        <f>HYPERLINK("http://www.twitter.com/78magpie", "78magpie")</f>
        <v>78magpie</v>
      </c>
      <c r="B1948" s="65"/>
    </row>
    <row r="1949" spans="1:2" x14ac:dyDescent="0.25">
      <c r="A1949" s="64" t="str">
        <f>HYPERLINK("http://www.twitter.com/theweereview", "theweereview")</f>
        <v>theweereview</v>
      </c>
      <c r="B1949" s="65" t="s">
        <v>517</v>
      </c>
    </row>
    <row r="1950" spans="1:2" x14ac:dyDescent="0.25">
      <c r="A1950" s="64" t="str">
        <f>HYPERLINK("http://www.twitter.com/MandeMatimba", "MandeMatimba")</f>
        <v>MandeMatimba</v>
      </c>
      <c r="B1950" s="65" t="s">
        <v>4507</v>
      </c>
    </row>
    <row r="1951" spans="1:2" x14ac:dyDescent="0.25">
      <c r="A1951" s="64" t="str">
        <f>HYPERLINK("http://www.twitter.com/Emilykhf", "Emilykhf")</f>
        <v>Emilykhf</v>
      </c>
      <c r="B1951" s="65" t="s">
        <v>4508</v>
      </c>
    </row>
    <row r="1952" spans="1:2" x14ac:dyDescent="0.25">
      <c r="A1952" s="64" t="str">
        <f>HYPERLINK("http://www.twitter.com/kmsfromanywhere", "kmsfromanywhere")</f>
        <v>kmsfromanywhere</v>
      </c>
      <c r="B1952" s="65" t="s">
        <v>4509</v>
      </c>
    </row>
    <row r="1953" spans="1:2" x14ac:dyDescent="0.25">
      <c r="A1953" s="64" t="str">
        <f>HYPERLINK("http://www.twitter.com/Al_Heg", "Al_Heg")</f>
        <v>Al_Heg</v>
      </c>
      <c r="B1953" s="65"/>
    </row>
    <row r="1954" spans="1:2" x14ac:dyDescent="0.25">
      <c r="A1954" s="64" t="str">
        <f>HYPERLINK("http://www.twitter.com/AtaraxiaSuA", "AtaraxiaSuA")</f>
        <v>AtaraxiaSuA</v>
      </c>
      <c r="B1954" s="65" t="s">
        <v>4510</v>
      </c>
    </row>
    <row r="1955" spans="1:2" x14ac:dyDescent="0.25">
      <c r="A1955" s="64" t="str">
        <f>HYPERLINK("http://www.twitter.com/edgarsutcliffe", "edgarsutcliffe")</f>
        <v>edgarsutcliffe</v>
      </c>
      <c r="B1955" s="65" t="s">
        <v>4511</v>
      </c>
    </row>
    <row r="1956" spans="1:2" x14ac:dyDescent="0.25">
      <c r="A1956" s="64" t="str">
        <f>HYPERLINK("http://www.twitter.com/MrRayNewman", "MrRayNewman")</f>
        <v>MrRayNewman</v>
      </c>
      <c r="B1956" s="65" t="s">
        <v>4512</v>
      </c>
    </row>
    <row r="1957" spans="1:2" x14ac:dyDescent="0.25">
      <c r="A1957" s="64" t="str">
        <f>HYPERLINK("http://www.twitter.com/HayleyGreenOIC", "HayleyGreenOIC")</f>
        <v>HayleyGreenOIC</v>
      </c>
      <c r="B1957" s="65"/>
    </row>
    <row r="1958" spans="1:2" x14ac:dyDescent="0.25">
      <c r="A1958" s="64" t="str">
        <f>HYPERLINK("http://www.twitter.com/xenopoesis3", "xenopoesis3")</f>
        <v>xenopoesis3</v>
      </c>
      <c r="B1958" s="65" t="s">
        <v>33</v>
      </c>
    </row>
    <row r="1959" spans="1:2" x14ac:dyDescent="0.25">
      <c r="A1959" s="64" t="str">
        <f>HYPERLINK("http://www.twitter.com/EmilyTricco", "EmilyTricco")</f>
        <v>EmilyTricco</v>
      </c>
      <c r="B1959" s="65"/>
    </row>
    <row r="1960" spans="1:2" x14ac:dyDescent="0.25">
      <c r="A1960" s="64" t="str">
        <f>HYPERLINK("http://www.twitter.com/jyutting", "jyutting")</f>
        <v>jyutting</v>
      </c>
      <c r="B1960" s="65"/>
    </row>
    <row r="1961" spans="1:2" x14ac:dyDescent="0.25">
      <c r="A1961" s="64" t="str">
        <f>HYPERLINK("http://www.twitter.com/julia51grace", "julia51grace")</f>
        <v>julia51grace</v>
      </c>
      <c r="B1961" s="65"/>
    </row>
    <row r="1962" spans="1:2" x14ac:dyDescent="0.25">
      <c r="A1962" s="64" t="str">
        <f>HYPERLINK("http://www.twitter.com/GC_Archives", "GC_Archives")</f>
        <v>GC_Archives</v>
      </c>
      <c r="B1962" s="65" t="s">
        <v>318</v>
      </c>
    </row>
    <row r="1963" spans="1:2" x14ac:dyDescent="0.25">
      <c r="A1963" s="64" t="str">
        <f>HYPERLINK("http://www.twitter.com/writingwilder", "writingwilder")</f>
        <v>writingwilder</v>
      </c>
      <c r="B1963" s="65" t="s">
        <v>4513</v>
      </c>
    </row>
    <row r="1964" spans="1:2" x14ac:dyDescent="0.25">
      <c r="A1964" s="64" t="str">
        <f>HYPERLINK("http://www.twitter.com/lttln", "lttln")</f>
        <v>lttln</v>
      </c>
      <c r="B1964" s="65" t="s">
        <v>318</v>
      </c>
    </row>
    <row r="1965" spans="1:2" x14ac:dyDescent="0.25">
      <c r="A1965" s="64" t="str">
        <f>HYPERLINK("http://www.twitter.com/DgFunkyfaces", "DgFunkyfaces")</f>
        <v>DgFunkyfaces</v>
      </c>
      <c r="B1965" s="65" t="s">
        <v>4514</v>
      </c>
    </row>
    <row r="1966" spans="1:2" x14ac:dyDescent="0.25">
      <c r="A1966" s="64" t="str">
        <f>HYPERLINK("http://www.twitter.com/Haajimmy", "Haajimmy")</f>
        <v>Haajimmy</v>
      </c>
      <c r="B1966" s="65"/>
    </row>
    <row r="1967" spans="1:2" x14ac:dyDescent="0.25">
      <c r="A1967" s="64" t="str">
        <f>HYPERLINK("http://www.twitter.com/FunPalacesScot", "FunPalacesScot")</f>
        <v>FunPalacesScot</v>
      </c>
      <c r="B1967" s="65" t="s">
        <v>2007</v>
      </c>
    </row>
    <row r="1968" spans="1:2" x14ac:dyDescent="0.25">
      <c r="A1968" s="64" t="str">
        <f>HYPERLINK("http://www.twitter.com/ScarlettRickard", "ScarlettRickard")</f>
        <v>ScarlettRickard</v>
      </c>
      <c r="B1968" s="65" t="s">
        <v>70</v>
      </c>
    </row>
    <row r="1969" spans="1:2" x14ac:dyDescent="0.25">
      <c r="A1969" s="64" t="str">
        <f>HYPERLINK("http://www.twitter.com/JasminPerle", "JasminPerle")</f>
        <v>JasminPerle</v>
      </c>
      <c r="B1969" s="65"/>
    </row>
    <row r="1970" spans="1:2" x14ac:dyDescent="0.25">
      <c r="A1970" s="64" t="str">
        <f>HYPERLINK("http://www.twitter.com/BethNAFC", "BethNAFC")</f>
        <v>BethNAFC</v>
      </c>
      <c r="B1970" s="65" t="s">
        <v>115</v>
      </c>
    </row>
    <row r="1971" spans="1:2" x14ac:dyDescent="0.25">
      <c r="A1971" s="64" t="str">
        <f>HYPERLINK("http://www.twitter.com/KatyOB934", "KatyOB934")</f>
        <v>KatyOB934</v>
      </c>
      <c r="B1971" s="65" t="s">
        <v>4515</v>
      </c>
    </row>
    <row r="1972" spans="1:2" x14ac:dyDescent="0.25">
      <c r="A1972" s="64" t="str">
        <f>HYPERLINK("http://www.twitter.com/Occams_Beard", "Occams_Beard")</f>
        <v>Occams_Beard</v>
      </c>
      <c r="B1972" s="65" t="s">
        <v>4517</v>
      </c>
    </row>
    <row r="1973" spans="1:2" x14ac:dyDescent="0.25">
      <c r="A1973" s="64" t="str">
        <f>HYPERLINK("http://www.twitter.com/HutchinsonDave", "HutchinsonDave")</f>
        <v>HutchinsonDave</v>
      </c>
      <c r="B1973" s="65"/>
    </row>
    <row r="1974" spans="1:2" x14ac:dyDescent="0.25">
      <c r="A1974" s="64" t="str">
        <f>HYPERLINK("http://www.twitter.com/momofoscott", "momofoscott")</f>
        <v>momofoscott</v>
      </c>
      <c r="B1974" s="65"/>
    </row>
    <row r="1975" spans="1:2" x14ac:dyDescent="0.25">
      <c r="A1975" s="64" t="str">
        <f>HYPERLINK("http://www.twitter.com/MedhandApps", "MedhandApps")</f>
        <v>MedhandApps</v>
      </c>
      <c r="B1975" s="65" t="s">
        <v>4518</v>
      </c>
    </row>
    <row r="1976" spans="1:2" x14ac:dyDescent="0.25">
      <c r="A1976" s="64" t="str">
        <f>HYPERLINK("http://www.twitter.com/jaym184", "jaym184")</f>
        <v>jaym184</v>
      </c>
      <c r="B1976" s="65" t="s">
        <v>4519</v>
      </c>
    </row>
    <row r="1977" spans="1:2" x14ac:dyDescent="0.25">
      <c r="A1977" s="64" t="str">
        <f>HYPERLINK("http://www.twitter.com/positiveoak", "positiveoak")</f>
        <v>positiveoak</v>
      </c>
      <c r="B1977" s="65" t="s">
        <v>4520</v>
      </c>
    </row>
    <row r="1978" spans="1:2" x14ac:dyDescent="0.25">
      <c r="A1978" s="64" t="str">
        <f>HYPERLINK("http://www.twitter.com/ProfTomMole", "ProfTomMole")</f>
        <v>ProfTomMole</v>
      </c>
      <c r="B1978" s="65" t="s">
        <v>24</v>
      </c>
    </row>
    <row r="1979" spans="1:2" x14ac:dyDescent="0.25">
      <c r="A1979" s="64" t="str">
        <f>HYPERLINK("http://www.twitter.com/Gunzie64", "Gunzie64")</f>
        <v>Gunzie64</v>
      </c>
      <c r="B1979" s="65"/>
    </row>
    <row r="1980" spans="1:2" x14ac:dyDescent="0.25">
      <c r="A1980" s="64" t="str">
        <f>HYPERLINK("http://www.twitter.com/RivetedLit", "RivetedLit")</f>
        <v>RivetedLit</v>
      </c>
      <c r="B1980" s="65" t="s">
        <v>4521</v>
      </c>
    </row>
    <row r="1981" spans="1:2" x14ac:dyDescent="0.25">
      <c r="A1981" s="64" t="str">
        <f>HYPERLINK("http://www.twitter.com/InAPandaSuit", "InAPandaSuit")</f>
        <v>InAPandaSuit</v>
      </c>
      <c r="B1981" s="65" t="s">
        <v>4522</v>
      </c>
    </row>
    <row r="1982" spans="1:2" x14ac:dyDescent="0.25">
      <c r="A1982" s="64" t="str">
        <f>HYPERLINK("http://www.twitter.com/MessengerAndrew", "MessengerAndrew")</f>
        <v>MessengerAndrew</v>
      </c>
      <c r="B1982" s="65" t="s">
        <v>4273</v>
      </c>
    </row>
    <row r="1983" spans="1:2" x14ac:dyDescent="0.25">
      <c r="A1983" s="64" t="str">
        <f>HYPERLINK("http://www.twitter.com/FiClarkson", "FiClarkson")</f>
        <v>FiClarkson</v>
      </c>
      <c r="B1983" s="65"/>
    </row>
    <row r="1984" spans="1:2" x14ac:dyDescent="0.25">
      <c r="A1984" s="64" t="str">
        <f>HYPERLINK("http://www.twitter.com/GillyMcWitch", "GillyMcWitch")</f>
        <v>GillyMcWitch</v>
      </c>
      <c r="B1984" s="65"/>
    </row>
    <row r="1985" spans="1:2" x14ac:dyDescent="0.25">
      <c r="A1985" s="64" t="str">
        <f>HYPERLINK("http://www.twitter.com/Davinaauthor", "Davinaauthor")</f>
        <v>Davinaauthor</v>
      </c>
      <c r="B1985" s="65" t="s">
        <v>4523</v>
      </c>
    </row>
    <row r="1986" spans="1:2" x14ac:dyDescent="0.25">
      <c r="A1986" s="64" t="str">
        <f>HYPERLINK("http://www.twitter.com/the_cwa", "the_cwa")</f>
        <v>the_cwa</v>
      </c>
      <c r="B1986" s="65" t="s">
        <v>296</v>
      </c>
    </row>
    <row r="1987" spans="1:2" x14ac:dyDescent="0.25">
      <c r="A1987" s="64" t="str">
        <f>HYPERLINK("http://www.twitter.com/kaymaguire541", "kaymaguire541")</f>
        <v>kaymaguire541</v>
      </c>
      <c r="B1987" s="65"/>
    </row>
    <row r="1988" spans="1:2" x14ac:dyDescent="0.25">
      <c r="A1988" s="64" t="str">
        <f>HYPERLINK("http://www.twitter.com/SleepyJoe7", "SleepyJoe7")</f>
        <v>SleepyJoe7</v>
      </c>
      <c r="B1988" s="65" t="s">
        <v>4524</v>
      </c>
    </row>
    <row r="1989" spans="1:2" x14ac:dyDescent="0.25">
      <c r="A1989" s="64" t="str">
        <f>HYPERLINK("http://www.twitter.com/Meegosh_", "Meegosh_")</f>
        <v>Meegosh_</v>
      </c>
      <c r="B1989" s="65"/>
    </row>
    <row r="1990" spans="1:2" x14ac:dyDescent="0.25">
      <c r="A1990" s="64" t="str">
        <f>HYPERLINK("http://www.twitter.com/burraoutdoors", "burraoutdoors")</f>
        <v>burraoutdoors</v>
      </c>
      <c r="B1990" s="65" t="s">
        <v>4525</v>
      </c>
    </row>
    <row r="1991" spans="1:2" x14ac:dyDescent="0.25">
      <c r="A1991" s="64" t="str">
        <f>HYPERLINK("http://www.twitter.com/geofflemon", "geofflemon")</f>
        <v>geofflemon</v>
      </c>
      <c r="B1991" s="65" t="s">
        <v>4526</v>
      </c>
    </row>
    <row r="1992" spans="1:2" x14ac:dyDescent="0.25">
      <c r="A1992" s="64" t="str">
        <f>HYPERLINK("http://www.twitter.com/benraue", "benraue")</f>
        <v>benraue</v>
      </c>
      <c r="B1992" s="65" t="s">
        <v>4527</v>
      </c>
    </row>
    <row r="1993" spans="1:2" x14ac:dyDescent="0.25">
      <c r="A1993" s="64" t="str">
        <f>HYPERLINK("http://www.twitter.com/smrkyy", "smrkyy")</f>
        <v>smrkyy</v>
      </c>
      <c r="B1993" s="65"/>
    </row>
    <row r="1994" spans="1:2" x14ac:dyDescent="0.25">
      <c r="A1994" s="64" t="str">
        <f>HYPERLINK("http://www.twitter.com/BrighouseHI", "BrighouseHI")</f>
        <v>BrighouseHI</v>
      </c>
      <c r="B1994" s="65" t="s">
        <v>4528</v>
      </c>
    </row>
    <row r="1995" spans="1:2" x14ac:dyDescent="0.25">
      <c r="A1995" s="64" t="str">
        <f>HYPERLINK("http://www.twitter.com/AndyJenderson", "AndyJenderson")</f>
        <v>AndyJenderson</v>
      </c>
      <c r="B1995" s="65" t="s">
        <v>4529</v>
      </c>
    </row>
    <row r="1996" spans="1:2" x14ac:dyDescent="0.25">
      <c r="A1996" s="64" t="str">
        <f>HYPERLINK("http://www.twitter.com/NicoleNeolithic", "NicoleNeolithic")</f>
        <v>NicoleNeolithic</v>
      </c>
      <c r="B1996" s="65" t="s">
        <v>4530</v>
      </c>
    </row>
    <row r="1997" spans="1:2" x14ac:dyDescent="0.25">
      <c r="A1997" s="64" t="str">
        <f>HYPERLINK("http://www.twitter.com/madamegalloise", "madamegalloise")</f>
        <v>madamegalloise</v>
      </c>
      <c r="B1997" s="65" t="s">
        <v>1218</v>
      </c>
    </row>
    <row r="1998" spans="1:2" x14ac:dyDescent="0.25">
      <c r="A1998" s="64" t="str">
        <f>HYPERLINK("http://www.twitter.com/crowman13", "crowman13")</f>
        <v>crowman13</v>
      </c>
      <c r="B1998" s="65" t="s">
        <v>1479</v>
      </c>
    </row>
    <row r="1999" spans="1:2" x14ac:dyDescent="0.25">
      <c r="A1999" s="64" t="str">
        <f>HYPERLINK("http://www.twitter.com/grannypolo", "grannypolo")</f>
        <v>grannypolo</v>
      </c>
      <c r="B1999" s="65"/>
    </row>
    <row r="2000" spans="1:2" x14ac:dyDescent="0.25">
      <c r="A2000" s="64" t="str">
        <f>HYPERLINK("http://www.twitter.com/twit_grim", "twit_grim")</f>
        <v>twit_grim</v>
      </c>
      <c r="B2000" s="65"/>
    </row>
    <row r="2001" spans="1:2" x14ac:dyDescent="0.25">
      <c r="A2001" s="64" t="str">
        <f>HYPERLINK("http://www.twitter.com/smid01", "smid01")</f>
        <v>smid01</v>
      </c>
      <c r="B2001" s="65" t="s">
        <v>3762</v>
      </c>
    </row>
    <row r="2002" spans="1:2" x14ac:dyDescent="0.25">
      <c r="A2002" s="64" t="str">
        <f>HYPERLINK("http://www.twitter.com/snoopyhill", "snoopyhill")</f>
        <v>snoopyhill</v>
      </c>
      <c r="B2002" s="65"/>
    </row>
    <row r="2003" spans="1:2" x14ac:dyDescent="0.25">
      <c r="A2003" s="64" t="str">
        <f>HYPERLINK("http://www.twitter.com/DeborahParr", "DeborahParr")</f>
        <v>DeborahParr</v>
      </c>
      <c r="B2003" s="65" t="s">
        <v>788</v>
      </c>
    </row>
    <row r="2004" spans="1:2" x14ac:dyDescent="0.25">
      <c r="A2004" s="64" t="str">
        <f>HYPERLINK("http://www.twitter.com/ckcarron", "ckcarron")</f>
        <v>ckcarron</v>
      </c>
      <c r="B2004" s="65"/>
    </row>
    <row r="2005" spans="1:2" x14ac:dyDescent="0.25">
      <c r="A2005" s="64" t="str">
        <f>HYPERLINK("http://www.twitter.com/georgemacinnes", "georgemacinnes")</f>
        <v>georgemacinnes</v>
      </c>
      <c r="B2005" s="65" t="s">
        <v>4050</v>
      </c>
    </row>
    <row r="2006" spans="1:2" x14ac:dyDescent="0.25">
      <c r="A2006" s="64" t="str">
        <f>HYPERLINK("http://www.twitter.com/sandramillssnp", "sandramillssnp")</f>
        <v>sandramillssnp</v>
      </c>
      <c r="B2006" s="65" t="s">
        <v>4531</v>
      </c>
    </row>
    <row r="2007" spans="1:2" x14ac:dyDescent="0.25">
      <c r="A2007" s="64" t="str">
        <f>HYPERLINK("http://www.twitter.com/MikeDiamond2", "MikeDiamond2")</f>
        <v>MikeDiamond2</v>
      </c>
      <c r="B2007" s="65"/>
    </row>
    <row r="2008" spans="1:2" x14ac:dyDescent="0.25">
      <c r="A2008" s="64" t="str">
        <f>HYPERLINK("http://www.twitter.com/puke_st", "puke_st")</f>
        <v>puke_st</v>
      </c>
      <c r="B2008" s="65" t="s">
        <v>4532</v>
      </c>
    </row>
    <row r="2009" spans="1:2" x14ac:dyDescent="0.25">
      <c r="A2009" s="64" t="str">
        <f>HYPERLINK("http://www.twitter.com/Davekidd_58", "Davekidd_58")</f>
        <v>Davekidd_58</v>
      </c>
      <c r="B2009" s="65" t="s">
        <v>569</v>
      </c>
    </row>
    <row r="2010" spans="1:2" x14ac:dyDescent="0.25">
      <c r="A2010" s="64" t="str">
        <f>HYPERLINK("http://www.twitter.com/SpainInTheArse", "SpainInTheArse")</f>
        <v>SpainInTheArse</v>
      </c>
      <c r="B2010" s="65" t="s">
        <v>4533</v>
      </c>
    </row>
    <row r="2011" spans="1:2" x14ac:dyDescent="0.25">
      <c r="A2011" s="64" t="str">
        <f>HYPERLINK("http://www.twitter.com/colinb70", "colinb70")</f>
        <v>colinb70</v>
      </c>
      <c r="B2011" s="65"/>
    </row>
    <row r="2012" spans="1:2" x14ac:dyDescent="0.25">
      <c r="A2012" s="64" t="str">
        <f>HYPERLINK("http://www.twitter.com/MurdoMurdochj", "MurdoMurdochj")</f>
        <v>MurdoMurdochj</v>
      </c>
      <c r="B2012" s="65" t="s">
        <v>4447</v>
      </c>
    </row>
    <row r="2013" spans="1:2" x14ac:dyDescent="0.25">
      <c r="A2013" s="64" t="str">
        <f>HYPERLINK("http://www.twitter.com/TwinglingStar1", "TwinglingStar1")</f>
        <v>TwinglingStar1</v>
      </c>
      <c r="B2013" s="65"/>
    </row>
    <row r="2014" spans="1:2" x14ac:dyDescent="0.25">
      <c r="A2014" s="64" t="str">
        <f>HYPERLINK("http://www.twitter.com/BegsyMac", "BegsyMac")</f>
        <v>BegsyMac</v>
      </c>
      <c r="B2014" s="65"/>
    </row>
    <row r="2015" spans="1:2" x14ac:dyDescent="0.25">
      <c r="A2015" s="64" t="str">
        <f>HYPERLINK("http://www.twitter.com/m4ttsenior", "m4ttsenior")</f>
        <v>m4ttsenior</v>
      </c>
      <c r="B2015" s="65" t="s">
        <v>4534</v>
      </c>
    </row>
    <row r="2016" spans="1:2" x14ac:dyDescent="0.25">
      <c r="A2016" s="64" t="str">
        <f>HYPERLINK("http://www.twitter.com/Cllr_McVitie", "Cllr_McVitie")</f>
        <v>Cllr_McVitie</v>
      </c>
      <c r="B2016" s="65" t="s">
        <v>4535</v>
      </c>
    </row>
    <row r="2017" spans="1:2" x14ac:dyDescent="0.25">
      <c r="A2017" s="64" t="str">
        <f>HYPERLINK("http://www.twitter.com/Cairnocheuch", "Cairnocheuch")</f>
        <v>Cairnocheuch</v>
      </c>
      <c r="B2017" s="65"/>
    </row>
    <row r="2018" spans="1:2" x14ac:dyDescent="0.25">
      <c r="A2018" s="64" t="str">
        <f>HYPERLINK("http://www.twitter.com/arbroathjessie", "arbroathjessie")</f>
        <v>arbroathjessie</v>
      </c>
      <c r="B2018" s="65"/>
    </row>
    <row r="2019" spans="1:2" x14ac:dyDescent="0.25">
      <c r="A2019" s="64" t="str">
        <f>HYPERLINK("http://www.twitter.com/tompater_tom", "tompater_tom")</f>
        <v>tompater_tom</v>
      </c>
      <c r="B2019" s="65" t="s">
        <v>4536</v>
      </c>
    </row>
    <row r="2020" spans="1:2" x14ac:dyDescent="0.25">
      <c r="A2020" s="64" t="str">
        <f>HYPERLINK("http://www.twitter.com/cheeseechips", "cheeseechips")</f>
        <v>cheeseechips</v>
      </c>
      <c r="B2020" s="65"/>
    </row>
    <row r="2021" spans="1:2" x14ac:dyDescent="0.25">
      <c r="A2021" s="64" t="str">
        <f>HYPERLINK("http://www.twitter.com/makingclayblog", "makingclayblog")</f>
        <v>makingclayblog</v>
      </c>
      <c r="B2021" s="65"/>
    </row>
    <row r="2022" spans="1:2" x14ac:dyDescent="0.25">
      <c r="A2022" s="64" t="str">
        <f>HYPERLINK("http://www.twitter.com/glasgow_1968", "glasgow_1968")</f>
        <v>glasgow_1968</v>
      </c>
      <c r="B2022" s="65"/>
    </row>
    <row r="2023" spans="1:2" x14ac:dyDescent="0.25">
      <c r="A2023" s="64" t="str">
        <f>HYPERLINK("http://www.twitter.com/davehPars", "davehPars")</f>
        <v>davehPars</v>
      </c>
      <c r="B2023" s="65" t="s">
        <v>4537</v>
      </c>
    </row>
    <row r="2024" spans="1:2" x14ac:dyDescent="0.25">
      <c r="A2024" s="64" t="str">
        <f>HYPERLINK("http://www.twitter.com/MICKLE_M", "MICKLE_M")</f>
        <v>MICKLE_M</v>
      </c>
      <c r="B2024" s="65" t="s">
        <v>4215</v>
      </c>
    </row>
    <row r="2025" spans="1:2" x14ac:dyDescent="0.25">
      <c r="A2025" s="64" t="str">
        <f>HYPERLINK("http://www.twitter.com/MdotMdotM", "MdotMdotM")</f>
        <v>MdotMdotM</v>
      </c>
      <c r="B2025" s="65" t="s">
        <v>4538</v>
      </c>
    </row>
    <row r="2026" spans="1:2" x14ac:dyDescent="0.25">
      <c r="A2026" s="64" t="str">
        <f>HYPERLINK("http://www.twitter.com/MariaRossall", "MariaRossall")</f>
        <v>MariaRossall</v>
      </c>
      <c r="B2026" s="65"/>
    </row>
    <row r="2027" spans="1:2" x14ac:dyDescent="0.25">
      <c r="A2027" s="64" t="str">
        <f>HYPERLINK("http://www.twitter.com/OliveSneddon", "OliveSneddon")</f>
        <v>OliveSneddon</v>
      </c>
      <c r="B2027" s="65"/>
    </row>
    <row r="2028" spans="1:2" x14ac:dyDescent="0.25">
      <c r="A2028" s="64" t="str">
        <f>HYPERLINK("http://www.twitter.com/egorgackiods", "egorgackiods")</f>
        <v>egorgackiods</v>
      </c>
      <c r="B2028" s="65" t="s">
        <v>4539</v>
      </c>
    </row>
    <row r="2029" spans="1:2" x14ac:dyDescent="0.25">
      <c r="A2029" s="64" t="str">
        <f>HYPERLINK("http://www.twitter.com/pouringlizards", "pouringlizards")</f>
        <v>pouringlizards</v>
      </c>
      <c r="B2029" s="65" t="s">
        <v>487</v>
      </c>
    </row>
    <row r="2030" spans="1:2" x14ac:dyDescent="0.25">
      <c r="A2030" s="64" t="str">
        <f>HYPERLINK("http://www.twitter.com/el_tenebroso_vi", "el_tenebroso_vi")</f>
        <v>el_tenebroso_vi</v>
      </c>
      <c r="B2030" s="65" t="s">
        <v>4540</v>
      </c>
    </row>
    <row r="2031" spans="1:2" x14ac:dyDescent="0.25">
      <c r="A2031" s="64" t="str">
        <f>HYPERLINK("http://www.twitter.com/GrahamSmith4", "GrahamSmith4")</f>
        <v>GrahamSmith4</v>
      </c>
      <c r="B2031" s="65" t="s">
        <v>4541</v>
      </c>
    </row>
    <row r="2032" spans="1:2" x14ac:dyDescent="0.25">
      <c r="A2032" s="64" t="str">
        <f>HYPERLINK("http://www.twitter.com/freddie_plant", "freddie_plant")</f>
        <v>freddie_plant</v>
      </c>
      <c r="B2032" s="65" t="s">
        <v>36</v>
      </c>
    </row>
    <row r="2033" spans="1:2" x14ac:dyDescent="0.25">
      <c r="A2033" s="64" t="str">
        <f>HYPERLINK("http://www.twitter.com/thomasmeyerdop", "thomasmeyerdop")</f>
        <v>thomasmeyerdop</v>
      </c>
      <c r="B2033" s="65"/>
    </row>
    <row r="2034" spans="1:2" x14ac:dyDescent="0.25">
      <c r="A2034" s="64" t="str">
        <f>HYPERLINK("http://www.twitter.com/monaventures", "monaventures")</f>
        <v>monaventures</v>
      </c>
      <c r="B2034" s="65" t="s">
        <v>4542</v>
      </c>
    </row>
    <row r="2035" spans="1:2" x14ac:dyDescent="0.25">
      <c r="A2035" s="64" t="str">
        <f>HYPERLINK("http://www.twitter.com/RosalindMcLean4", "RosalindMcLean4")</f>
        <v>RosalindMcLean4</v>
      </c>
      <c r="B2035" s="65"/>
    </row>
    <row r="2036" spans="1:2" x14ac:dyDescent="0.25">
      <c r="A2036" s="64" t="str">
        <f>HYPERLINK("http://www.twitter.com/jamesmiller_", "jamesmiller_")</f>
        <v>jamesmiller_</v>
      </c>
      <c r="B2036" s="65" t="s">
        <v>487</v>
      </c>
    </row>
    <row r="2037" spans="1:2" x14ac:dyDescent="0.25">
      <c r="A2037" s="64" t="str">
        <f>HYPERLINK("http://www.twitter.com/francesweetman", "francesweetman")</f>
        <v>francesweetman</v>
      </c>
      <c r="B2037" s="65" t="s">
        <v>96</v>
      </c>
    </row>
    <row r="2038" spans="1:2" x14ac:dyDescent="0.25">
      <c r="A2038" s="64" t="str">
        <f>HYPERLINK("http://www.twitter.com/chrisjkelly1", "chrisjkelly1")</f>
        <v>chrisjkelly1</v>
      </c>
      <c r="B2038" s="65" t="s">
        <v>517</v>
      </c>
    </row>
    <row r="2039" spans="1:2" x14ac:dyDescent="0.25">
      <c r="A2039" s="64" t="str">
        <f>HYPERLINK("http://www.twitter.com/reader1066", "reader1066")</f>
        <v>reader1066</v>
      </c>
      <c r="B2039" s="65" t="s">
        <v>4543</v>
      </c>
    </row>
    <row r="2040" spans="1:2" x14ac:dyDescent="0.25">
      <c r="A2040" s="64" t="str">
        <f>HYPERLINK("http://www.twitter.com/hellolovecrumbs", "hellolovecrumbs")</f>
        <v>hellolovecrumbs</v>
      </c>
      <c r="B2040" s="65" t="s">
        <v>24</v>
      </c>
    </row>
    <row r="2041" spans="1:2" x14ac:dyDescent="0.25">
      <c r="A2041" s="64" t="str">
        <f>HYPERLINK("http://www.twitter.com/chrisoff", "chrisoff")</f>
        <v>chrisoff</v>
      </c>
      <c r="B2041" s="65" t="s">
        <v>4544</v>
      </c>
    </row>
    <row r="2042" spans="1:2" x14ac:dyDescent="0.25">
      <c r="A2042" s="64" t="str">
        <f>HYPERLINK("http://www.twitter.com/NorthDevonDan", "NorthDevonDan")</f>
        <v>NorthDevonDan</v>
      </c>
      <c r="B2042" s="65" t="s">
        <v>4545</v>
      </c>
    </row>
    <row r="2043" spans="1:2" x14ac:dyDescent="0.25">
      <c r="A2043" s="64" t="str">
        <f>HYPERLINK("http://www.twitter.com/JerryCraft", "JerryCraft")</f>
        <v>JerryCraft</v>
      </c>
      <c r="B2043" s="65" t="s">
        <v>4546</v>
      </c>
    </row>
    <row r="2044" spans="1:2" x14ac:dyDescent="0.25">
      <c r="A2044" s="64" t="str">
        <f>HYPERLINK("http://www.twitter.com/baird_christine", "baird_christine")</f>
        <v>baird_christine</v>
      </c>
      <c r="B2044" s="65" t="s">
        <v>138</v>
      </c>
    </row>
    <row r="2045" spans="1:2" x14ac:dyDescent="0.25">
      <c r="A2045" s="64" t="str">
        <f>HYPERLINK("http://www.twitter.com/duckfundee", "duckfundee")</f>
        <v>duckfundee</v>
      </c>
      <c r="B2045" s="65" t="s">
        <v>4547</v>
      </c>
    </row>
    <row r="2046" spans="1:2" x14ac:dyDescent="0.25">
      <c r="A2046" s="64" t="str">
        <f>HYPERLINK("http://www.twitter.com/craftyprimrose", "craftyprimrose")</f>
        <v>craftyprimrose</v>
      </c>
      <c r="B2046" s="65"/>
    </row>
    <row r="2047" spans="1:2" x14ac:dyDescent="0.25">
      <c r="A2047" s="64" t="str">
        <f>HYPERLINK("http://www.twitter.com/cinemor77", "cinemor77")</f>
        <v>cinemor77</v>
      </c>
      <c r="B2047" s="65" t="s">
        <v>318</v>
      </c>
    </row>
    <row r="2048" spans="1:2" x14ac:dyDescent="0.25">
      <c r="A2048" s="64" t="str">
        <f>HYPERLINK("http://www.twitter.com/BongoBhan", "BongoBhan")</f>
        <v>BongoBhan</v>
      </c>
      <c r="B2048" s="65"/>
    </row>
    <row r="2049" spans="1:2" x14ac:dyDescent="0.25">
      <c r="A2049" s="64" t="str">
        <f>HYPERLINK("http://www.twitter.com/elainegalla", "elainegalla")</f>
        <v>elainegalla</v>
      </c>
      <c r="B2049" s="65"/>
    </row>
    <row r="2050" spans="1:2" x14ac:dyDescent="0.25">
      <c r="A2050" s="64" t="str">
        <f>HYPERLINK("http://www.twitter.com/i_on_food_drink", "i_on_food_drink")</f>
        <v>i_on_food_drink</v>
      </c>
      <c r="B2050" s="65" t="s">
        <v>4548</v>
      </c>
    </row>
    <row r="2051" spans="1:2" x14ac:dyDescent="0.25">
      <c r="A2051" s="64" t="str">
        <f>HYPERLINK("http://www.twitter.com/IanOuterside", "IanOuterside")</f>
        <v>IanOuterside</v>
      </c>
      <c r="B2051" s="65" t="s">
        <v>517</v>
      </c>
    </row>
    <row r="2052" spans="1:2" x14ac:dyDescent="0.25">
      <c r="A2052" s="64" t="str">
        <f>HYPERLINK("http://www.twitter.com/Ronikhan1234", "Ronikhan1234")</f>
        <v>Ronikhan1234</v>
      </c>
      <c r="B2052" s="65" t="s">
        <v>4549</v>
      </c>
    </row>
    <row r="2053" spans="1:2" x14ac:dyDescent="0.25">
      <c r="A2053" s="64" t="str">
        <f>HYPERLINK("http://www.twitter.com/doriannep", "doriannep")</f>
        <v>doriannep</v>
      </c>
      <c r="B2053" s="65" t="s">
        <v>4550</v>
      </c>
    </row>
    <row r="2054" spans="1:2" x14ac:dyDescent="0.25">
      <c r="A2054" s="64" t="str">
        <f>HYPERLINK("http://www.twitter.com/AquilaLtd", "AquilaLtd")</f>
        <v>AquilaLtd</v>
      </c>
      <c r="B2054" s="65" t="s">
        <v>2007</v>
      </c>
    </row>
    <row r="2055" spans="1:2" x14ac:dyDescent="0.25">
      <c r="A2055" s="64" t="str">
        <f>HYPERLINK("http://www.twitter.com/KaramKitchen", "KaramKitchen")</f>
        <v>KaramKitchen</v>
      </c>
      <c r="B2055" s="65" t="s">
        <v>4551</v>
      </c>
    </row>
    <row r="2056" spans="1:2" x14ac:dyDescent="0.25">
      <c r="A2056" s="64" t="str">
        <f>HYPERLINK("http://www.twitter.com/Stephen74033021", "Stephen74033021")</f>
        <v>Stephen74033021</v>
      </c>
      <c r="B2056" s="65"/>
    </row>
    <row r="2057" spans="1:2" x14ac:dyDescent="0.25">
      <c r="A2057" s="64" t="str">
        <f>HYPERLINK("http://www.twitter.com/MsDawnStanley", "MsDawnStanley")</f>
        <v>MsDawnStanley</v>
      </c>
      <c r="B2057" s="65"/>
    </row>
    <row r="2058" spans="1:2" x14ac:dyDescent="0.25">
      <c r="A2058" s="64" t="str">
        <f>HYPERLINK("http://www.twitter.com/bookwormselkirk", "bookwormselkirk")</f>
        <v>bookwormselkirk</v>
      </c>
      <c r="B2058" s="65" t="s">
        <v>4552</v>
      </c>
    </row>
    <row r="2059" spans="1:2" x14ac:dyDescent="0.25">
      <c r="A2059" s="64" t="str">
        <f>HYPERLINK("http://www.twitter.com/PKFairtrade", "PKFairtrade")</f>
        <v>PKFairtrade</v>
      </c>
      <c r="B2059" s="65"/>
    </row>
    <row r="2060" spans="1:2" x14ac:dyDescent="0.25">
      <c r="A2060" s="64" t="str">
        <f>HYPERLINK("http://www.twitter.com/jamesgracey", "jamesgracey")</f>
        <v>jamesgracey</v>
      </c>
      <c r="B2060" s="65" t="s">
        <v>135</v>
      </c>
    </row>
    <row r="2061" spans="1:2" x14ac:dyDescent="0.25">
      <c r="A2061" s="64" t="str">
        <f>HYPERLINK("http://www.twitter.com/HighPrintStudio", "HighPrintStudio")</f>
        <v>HighPrintStudio</v>
      </c>
      <c r="B2061" s="65" t="s">
        <v>4447</v>
      </c>
    </row>
    <row r="2062" spans="1:2" x14ac:dyDescent="0.25">
      <c r="A2062" s="64" t="str">
        <f>HYPERLINK("http://www.twitter.com/RadleyRachie225", "RadleyRachie225")</f>
        <v>RadleyRachie225</v>
      </c>
      <c r="B2062" s="65" t="s">
        <v>4553</v>
      </c>
    </row>
    <row r="2063" spans="1:2" x14ac:dyDescent="0.25">
      <c r="A2063" s="64" t="str">
        <f>HYPERLINK("http://www.twitter.com/MandyDavies5", "MandyDavies5")</f>
        <v>MandyDavies5</v>
      </c>
      <c r="B2063" s="65"/>
    </row>
    <row r="2064" spans="1:2" x14ac:dyDescent="0.25">
      <c r="A2064" s="64" t="str">
        <f>HYPERLINK("http://www.twitter.com/JackieBarringer", "JackieBarringer")</f>
        <v>JackieBarringer</v>
      </c>
      <c r="B2064" s="65" t="s">
        <v>4554</v>
      </c>
    </row>
    <row r="2065" spans="1:2" x14ac:dyDescent="0.25">
      <c r="A2065" s="64" t="str">
        <f>HYPERLINK("http://www.twitter.com/JillyBirdCC", "JillyBirdCC")</f>
        <v>JillyBirdCC</v>
      </c>
      <c r="B2065" s="65" t="s">
        <v>4447</v>
      </c>
    </row>
    <row r="2066" spans="1:2" x14ac:dyDescent="0.25">
      <c r="A2066" s="64" t="str">
        <f>HYPERLINK("http://www.twitter.com/msjowolfe", "msjowolfe")</f>
        <v>msjowolfe</v>
      </c>
      <c r="B2066" s="65" t="s">
        <v>4555</v>
      </c>
    </row>
    <row r="2067" spans="1:2" x14ac:dyDescent="0.25">
      <c r="A2067" s="64" t="str">
        <f>HYPERLINK("http://www.twitter.com/clairedevlin", "clairedevlin")</f>
        <v>clairedevlin</v>
      </c>
      <c r="B2067" s="65"/>
    </row>
    <row r="2068" spans="1:2" x14ac:dyDescent="0.25">
      <c r="A2068" s="64" t="str">
        <f>HYPERLINK("http://www.twitter.com/iamARDIE", "iamARDIE")</f>
        <v>iamARDIE</v>
      </c>
      <c r="B2068" s="65" t="s">
        <v>477</v>
      </c>
    </row>
    <row r="2069" spans="1:2" x14ac:dyDescent="0.25">
      <c r="A2069" s="64" t="str">
        <f>HYPERLINK("http://www.twitter.com/EastleighLib", "EastleighLib")</f>
        <v>EastleighLib</v>
      </c>
      <c r="B2069" s="65" t="s">
        <v>1817</v>
      </c>
    </row>
    <row r="2070" spans="1:2" x14ac:dyDescent="0.25">
      <c r="A2070" s="64" t="str">
        <f>HYPERLINK("http://www.twitter.com/k8teshee", "k8teshee")</f>
        <v>k8teshee</v>
      </c>
      <c r="B2070" s="65"/>
    </row>
    <row r="2071" spans="1:2" x14ac:dyDescent="0.25">
      <c r="A2071" s="64" t="str">
        <f>HYPERLINK("http://www.twitter.com/1982_tarra", "1982_tarra")</f>
        <v>1982_tarra</v>
      </c>
      <c r="B2071" s="65" t="s">
        <v>4556</v>
      </c>
    </row>
    <row r="2072" spans="1:2" x14ac:dyDescent="0.25">
      <c r="A2072" s="64" t="str">
        <f>HYPERLINK("http://www.twitter.com/warksypl17", "warksypl17")</f>
        <v>warksypl17</v>
      </c>
      <c r="B2072" s="65" t="s">
        <v>4557</v>
      </c>
    </row>
    <row r="2073" spans="1:2" x14ac:dyDescent="0.25">
      <c r="A2073" s="64" t="str">
        <f>HYPERLINK("http://www.twitter.com/DylanKemal", "DylanKemal")</f>
        <v>DylanKemal</v>
      </c>
      <c r="B2073" s="65" t="s">
        <v>296</v>
      </c>
    </row>
    <row r="2074" spans="1:2" x14ac:dyDescent="0.25">
      <c r="A2074" s="64" t="str">
        <f>HYPERLINK("http://www.twitter.com/_LeighKennedy", "_LeighKennedy")</f>
        <v>_LeighKennedy</v>
      </c>
      <c r="B2074" s="65" t="s">
        <v>3762</v>
      </c>
    </row>
    <row r="2075" spans="1:2" x14ac:dyDescent="0.25">
      <c r="A2075" s="64" t="str">
        <f>HYPERLINK("http://www.twitter.com/jburglibrary", "jburglibrary")</f>
        <v>jburglibrary</v>
      </c>
      <c r="B2075" s="65" t="s">
        <v>4558</v>
      </c>
    </row>
    <row r="2076" spans="1:2" x14ac:dyDescent="0.25">
      <c r="A2076" s="64" t="str">
        <f>HYPERLINK("http://www.twitter.com/AndyGelleburn", "AndyGelleburn")</f>
        <v>AndyGelleburn</v>
      </c>
      <c r="B2076" s="65"/>
    </row>
    <row r="2077" spans="1:2" x14ac:dyDescent="0.25">
      <c r="A2077" s="64" t="str">
        <f>HYPERLINK("http://www.twitter.com/MikeDrever1", "MikeDrever1")</f>
        <v>MikeDrever1</v>
      </c>
      <c r="B2077" s="65"/>
    </row>
    <row r="2078" spans="1:2" x14ac:dyDescent="0.25">
      <c r="A2078" s="64" t="str">
        <f>HYPERLINK("http://www.twitter.com/MJSWoodward", "MJSWoodward")</f>
        <v>MJSWoodward</v>
      </c>
      <c r="B2078" s="65" t="s">
        <v>4559</v>
      </c>
    </row>
    <row r="2079" spans="1:2" x14ac:dyDescent="0.25">
      <c r="A2079" s="64" t="str">
        <f>HYPERLINK("http://www.twitter.com/jimmiesoph", "jimmiesoph")</f>
        <v>jimmiesoph</v>
      </c>
      <c r="B2079" s="65" t="s">
        <v>4560</v>
      </c>
    </row>
    <row r="2080" spans="1:2" x14ac:dyDescent="0.25">
      <c r="A2080" s="64" t="str">
        <f>HYPERLINK("http://www.twitter.com/loondoob", "loondoob")</f>
        <v>loondoob</v>
      </c>
      <c r="B2080" s="65"/>
    </row>
    <row r="2081" spans="1:2" x14ac:dyDescent="0.25">
      <c r="A2081" s="64" t="str">
        <f>HYPERLINK("http://www.twitter.com/mjdg79", "mjdg79")</f>
        <v>mjdg79</v>
      </c>
      <c r="B2081" s="65" t="s">
        <v>4561</v>
      </c>
    </row>
    <row r="2082" spans="1:2" x14ac:dyDescent="0.25">
      <c r="A2082" s="64" t="str">
        <f>HYPERLINK("http://www.twitter.com/AliEW11", "AliEW11")</f>
        <v>AliEW11</v>
      </c>
      <c r="B2082" s="65"/>
    </row>
    <row r="2083" spans="1:2" x14ac:dyDescent="0.25">
      <c r="A2083" s="64" t="str">
        <f>HYPERLINK("http://www.twitter.com/NLWExhibition", "NLWExhibition")</f>
        <v>NLWExhibition</v>
      </c>
      <c r="B2083" s="65" t="s">
        <v>4562</v>
      </c>
    </row>
    <row r="2084" spans="1:2" x14ac:dyDescent="0.25">
      <c r="A2084" s="64" t="str">
        <f>HYPERLINK("http://www.twitter.com/Hope_Library", "Hope_Library")</f>
        <v>Hope_Library</v>
      </c>
      <c r="B2084" s="65" t="s">
        <v>1520</v>
      </c>
    </row>
    <row r="2085" spans="1:2" x14ac:dyDescent="0.25">
      <c r="A2085" s="64" t="str">
        <f>HYPERLINK("http://www.twitter.com/EilidhLawrence", "EilidhLawrence")</f>
        <v>EilidhLawrence</v>
      </c>
      <c r="B2085" s="65" t="s">
        <v>318</v>
      </c>
    </row>
    <row r="2086" spans="1:2" x14ac:dyDescent="0.25">
      <c r="A2086" s="64" t="str">
        <f>HYPERLINK("http://www.twitter.com/RochdaleLitFest", "RochdaleLitFest")</f>
        <v>RochdaleLitFest</v>
      </c>
      <c r="B2086" s="65" t="s">
        <v>4563</v>
      </c>
    </row>
    <row r="2087" spans="1:2" x14ac:dyDescent="0.25">
      <c r="A2087" s="64" t="str">
        <f>HYPERLINK("http://www.twitter.com/roymaxwell", "roymaxwell")</f>
        <v>roymaxwell</v>
      </c>
      <c r="B2087" s="65"/>
    </row>
    <row r="2088" spans="1:2" x14ac:dyDescent="0.25">
      <c r="A2088" s="64" t="str">
        <f>HYPERLINK("http://www.twitter.com/LibrariesLC", "LibrariesLC")</f>
        <v>LibrariesLC</v>
      </c>
      <c r="B2088" s="65" t="s">
        <v>3559</v>
      </c>
    </row>
    <row r="2089" spans="1:2" x14ac:dyDescent="0.25">
      <c r="A2089" s="64" t="str">
        <f>HYPERLINK("http://www.twitter.com/janmoran", "janmoran")</f>
        <v>janmoran</v>
      </c>
      <c r="B2089" s="65" t="s">
        <v>4383</v>
      </c>
    </row>
    <row r="2090" spans="1:2" x14ac:dyDescent="0.25">
      <c r="A2090" s="64" t="str">
        <f>HYPERLINK("http://www.twitter.com/JenHTAFC", "JenHTAFC")</f>
        <v>JenHTAFC</v>
      </c>
      <c r="B2090" s="65" t="s">
        <v>2369</v>
      </c>
    </row>
    <row r="2091" spans="1:2" x14ac:dyDescent="0.25">
      <c r="A2091" s="64" t="str">
        <f>HYPERLINK("http://www.twitter.com/gavws5", "gavws5")</f>
        <v>gavws5</v>
      </c>
      <c r="B2091" s="65" t="s">
        <v>24</v>
      </c>
    </row>
    <row r="2092" spans="1:2" x14ac:dyDescent="0.25">
      <c r="A2092" s="64" t="str">
        <f>HYPERLINK("http://www.twitter.com/ptla2016", "ptla2016")</f>
        <v>ptla2016</v>
      </c>
      <c r="B2092" s="65" t="s">
        <v>4564</v>
      </c>
    </row>
    <row r="2093" spans="1:2" x14ac:dyDescent="0.25">
      <c r="A2093" s="64" t="str">
        <f>HYPERLINK("http://www.twitter.com/SalCross", "SalCross")</f>
        <v>SalCross</v>
      </c>
      <c r="B2093" s="65" t="s">
        <v>2631</v>
      </c>
    </row>
    <row r="2094" spans="1:2" x14ac:dyDescent="0.25">
      <c r="A2094" s="64" t="str">
        <f>HYPERLINK("http://www.twitter.com/kizletwiggle", "kizletwiggle")</f>
        <v>kizletwiggle</v>
      </c>
      <c r="B2094" s="65" t="s">
        <v>4565</v>
      </c>
    </row>
    <row r="2095" spans="1:2" x14ac:dyDescent="0.25">
      <c r="A2095" s="64" t="str">
        <f>HYPERLINK("http://www.twitter.com/brian_blackcat", "brian_blackcat")</f>
        <v>brian_blackcat</v>
      </c>
      <c r="B2095" s="65" t="s">
        <v>3040</v>
      </c>
    </row>
    <row r="2096" spans="1:2" x14ac:dyDescent="0.25">
      <c r="A2096" s="64" t="str">
        <f>HYPERLINK("http://www.twitter.com/PherNicolson", "PherNicolson")</f>
        <v>PherNicolson</v>
      </c>
      <c r="B2096" s="65" t="s">
        <v>487</v>
      </c>
    </row>
    <row r="2097" spans="1:2" x14ac:dyDescent="0.25">
      <c r="A2097" s="64" t="str">
        <f>HYPERLINK("http://www.twitter.com/Words_Edinburgh", "Words_Edinburgh")</f>
        <v>Words_Edinburgh</v>
      </c>
      <c r="B2097" s="65" t="s">
        <v>24</v>
      </c>
    </row>
    <row r="2098" spans="1:2" x14ac:dyDescent="0.25">
      <c r="A2098" s="64" t="str">
        <f>HYPERLINK("http://www.twitter.com/playpieces", "playpieces")</f>
        <v>playpieces</v>
      </c>
      <c r="B2098" s="65" t="s">
        <v>4050</v>
      </c>
    </row>
    <row r="2099" spans="1:2" x14ac:dyDescent="0.25">
      <c r="A2099" s="64" t="str">
        <f>HYPERLINK("http://www.twitter.com/artysparkly", "artysparkly")</f>
        <v>artysparkly</v>
      </c>
      <c r="B2099" s="65" t="s">
        <v>4566</v>
      </c>
    </row>
    <row r="2100" spans="1:2" x14ac:dyDescent="0.25">
      <c r="A2100" s="64" t="str">
        <f>HYPERLINK("http://www.twitter.com/trendystudent_c", "trendystudent_c")</f>
        <v>trendystudent_c</v>
      </c>
      <c r="B2100" s="65" t="s">
        <v>4567</v>
      </c>
    </row>
    <row r="2101" spans="1:2" x14ac:dyDescent="0.25">
      <c r="A2101" s="64" t="str">
        <f>HYPERLINK("http://www.twitter.com/Short_Scratch", "Short_Scratch")</f>
        <v>Short_Scratch</v>
      </c>
      <c r="B2101" s="65" t="s">
        <v>2102</v>
      </c>
    </row>
    <row r="2102" spans="1:2" x14ac:dyDescent="0.25">
      <c r="A2102" s="64" t="str">
        <f>HYPERLINK("http://www.twitter.com/breadcrumbsgame", "breadcrumbsgame")</f>
        <v>breadcrumbsgame</v>
      </c>
      <c r="B2102" s="65" t="s">
        <v>70</v>
      </c>
    </row>
    <row r="2103" spans="1:2" x14ac:dyDescent="0.25">
      <c r="A2103" s="64" t="str">
        <f>HYPERLINK("http://www.twitter.com/ladyred2912", "ladyred2912")</f>
        <v>ladyred2912</v>
      </c>
      <c r="B2103" s="65"/>
    </row>
    <row r="2104" spans="1:2" x14ac:dyDescent="0.25">
      <c r="A2104" s="64" t="str">
        <f>HYPERLINK("http://www.twitter.com/plateclub_co_uk", "plateclub_co_uk")</f>
        <v>plateclub_co_uk</v>
      </c>
      <c r="B2104" s="65"/>
    </row>
    <row r="2105" spans="1:2" x14ac:dyDescent="0.25">
      <c r="A2105" s="64" t="str">
        <f>HYPERLINK("http://www.twitter.com/Storm703", "Storm703")</f>
        <v>Storm703</v>
      </c>
      <c r="B2105" s="65"/>
    </row>
    <row r="2106" spans="1:2" x14ac:dyDescent="0.25">
      <c r="A2106" s="64" t="str">
        <f>HYPERLINK("http://www.twitter.com/rehanashanks", "rehanashanks")</f>
        <v>rehanashanks</v>
      </c>
      <c r="B2106" s="65"/>
    </row>
    <row r="2107" spans="1:2" x14ac:dyDescent="0.25">
      <c r="A2107" s="64" t="str">
        <f>HYPERLINK("http://www.twitter.com/Liamnumber8", "Liamnumber8")</f>
        <v>Liamnumber8</v>
      </c>
      <c r="B2107" s="65"/>
    </row>
    <row r="2108" spans="1:2" x14ac:dyDescent="0.25">
      <c r="A2108" s="64" t="str">
        <f>HYPERLINK("http://www.twitter.com/hottoddiexx", "hottoddiexx")</f>
        <v>hottoddiexx</v>
      </c>
      <c r="B2108" s="65"/>
    </row>
    <row r="2109" spans="1:2" x14ac:dyDescent="0.25">
      <c r="A2109" s="64" t="str">
        <f>HYPERLINK("http://www.twitter.com/dogstar56", "dogstar56")</f>
        <v>dogstar56</v>
      </c>
      <c r="B2109" s="65"/>
    </row>
    <row r="2110" spans="1:2" x14ac:dyDescent="0.25">
      <c r="A2110" s="64" t="str">
        <f>HYPERLINK("http://www.twitter.com/Alayanabeth", "Alayanabeth")</f>
        <v>Alayanabeth</v>
      </c>
      <c r="B2110" s="65" t="s">
        <v>4568</v>
      </c>
    </row>
    <row r="2111" spans="1:2" x14ac:dyDescent="0.25">
      <c r="A2111" s="64" t="str">
        <f>HYPERLINK("http://www.twitter.com/macinnes_fiona", "macinnes_fiona")</f>
        <v>macinnes_fiona</v>
      </c>
      <c r="B2111" s="65" t="s">
        <v>4223</v>
      </c>
    </row>
    <row r="2112" spans="1:2" x14ac:dyDescent="0.25">
      <c r="A2112" s="64" t="str">
        <f>HYPERLINK("http://www.twitter.com/UoS_Students", "UoS_Students")</f>
        <v>UoS_Students</v>
      </c>
      <c r="B2112" s="65" t="s">
        <v>4569</v>
      </c>
    </row>
    <row r="2113" spans="1:2" x14ac:dyDescent="0.25">
      <c r="A2113" s="64" t="str">
        <f>HYPERLINK("http://www.twitter.com/sarah_alford_s", "sarah_alford_s")</f>
        <v>sarah_alford_s</v>
      </c>
      <c r="B2113" s="65"/>
    </row>
    <row r="2114" spans="1:2" x14ac:dyDescent="0.25">
      <c r="A2114" s="64" t="str">
        <f>HYPERLINK("http://www.twitter.com/zenanisibanyoni", "zenanisibanyoni")</f>
        <v>zenanisibanyoni</v>
      </c>
      <c r="B2114" s="65" t="s">
        <v>4570</v>
      </c>
    </row>
    <row r="2115" spans="1:2" x14ac:dyDescent="0.25">
      <c r="A2115" s="64" t="str">
        <f>HYPERLINK("http://www.twitter.com/ReadingWise", "ReadingWise")</f>
        <v>ReadingWise</v>
      </c>
      <c r="B2115" s="65" t="s">
        <v>296</v>
      </c>
    </row>
    <row r="2116" spans="1:2" x14ac:dyDescent="0.25">
      <c r="A2116" s="64" t="str">
        <f>HYPERLINK("http://www.twitter.com/traceypindolia", "traceypindolia")</f>
        <v>traceypindolia</v>
      </c>
      <c r="B2116" s="65" t="s">
        <v>4571</v>
      </c>
    </row>
    <row r="2117" spans="1:2" x14ac:dyDescent="0.25">
      <c r="A2117" s="64" t="str">
        <f>HYPERLINK("http://www.twitter.com/_aoife_c", "_aoife_c")</f>
        <v>_aoife_c</v>
      </c>
      <c r="B2117" s="65" t="s">
        <v>2007</v>
      </c>
    </row>
    <row r="2118" spans="1:2" x14ac:dyDescent="0.25">
      <c r="A2118" s="64" t="str">
        <f>HYPERLINK("http://www.twitter.com/WhitFindsBooks", "WhitFindsBooks")</f>
        <v>WhitFindsBooks</v>
      </c>
      <c r="B2118" s="65" t="s">
        <v>3804</v>
      </c>
    </row>
    <row r="2119" spans="1:2" x14ac:dyDescent="0.25">
      <c r="A2119" s="64" t="str">
        <f>HYPERLINK("http://www.twitter.com/laura_far_away", "laura_far_away")</f>
        <v>laura_far_away</v>
      </c>
      <c r="B2119" s="65"/>
    </row>
    <row r="2120" spans="1:2" x14ac:dyDescent="0.25">
      <c r="A2120" s="64" t="str">
        <f>HYPERLINK("http://www.twitter.com/eastofthesun87", "eastofthesun87")</f>
        <v>eastofthesun87</v>
      </c>
      <c r="B2120" s="65" t="s">
        <v>4229</v>
      </c>
    </row>
    <row r="2121" spans="1:2" x14ac:dyDescent="0.25">
      <c r="A2121" s="64" t="str">
        <f>HYPERLINK("http://www.twitter.com/trnsitionalform", "trnsitionalform")</f>
        <v>trnsitionalform</v>
      </c>
      <c r="B2121" s="65" t="s">
        <v>2289</v>
      </c>
    </row>
    <row r="2122" spans="1:2" x14ac:dyDescent="0.25">
      <c r="A2122" s="64" t="str">
        <f>HYPERLINK("http://www.twitter.com/Muhamma74160460", "Muhamma74160460")</f>
        <v>Muhamma74160460</v>
      </c>
      <c r="B2122" s="65" t="s">
        <v>4572</v>
      </c>
    </row>
    <row r="2123" spans="1:2" x14ac:dyDescent="0.25">
      <c r="A2123" s="64" t="str">
        <f>HYPERLINK("http://www.twitter.com/AlisonsDiary", "AlisonsDiary")</f>
        <v>AlisonsDiary</v>
      </c>
      <c r="B2123" s="65" t="s">
        <v>4573</v>
      </c>
    </row>
    <row r="2124" spans="1:2" x14ac:dyDescent="0.25">
      <c r="A2124" s="64" t="str">
        <f>HYPERLINK("http://www.twitter.com/hensandfluff", "hensandfluff")</f>
        <v>hensandfluff</v>
      </c>
      <c r="B2124" s="65"/>
    </row>
    <row r="2125" spans="1:2" x14ac:dyDescent="0.25">
      <c r="A2125" s="64" t="str">
        <f>HYPERLINK("http://www.twitter.com/Karen79660819", "Karen79660819")</f>
        <v>Karen79660819</v>
      </c>
      <c r="B2125" s="65" t="s">
        <v>4574</v>
      </c>
    </row>
    <row r="2126" spans="1:2" x14ac:dyDescent="0.25">
      <c r="A2126" s="64" t="str">
        <f>HYPERLINK("http://www.twitter.com/SandayTech", "SandayTech")</f>
        <v>SandayTech</v>
      </c>
      <c r="B2126" s="65" t="s">
        <v>4575</v>
      </c>
    </row>
    <row r="2127" spans="1:2" x14ac:dyDescent="0.25">
      <c r="A2127" s="64" t="str">
        <f>HYPERLINK("http://www.twitter.com/lequyen1978hn", "lequyen1978hn")</f>
        <v>lequyen1978hn</v>
      </c>
      <c r="B2127" s="65"/>
    </row>
    <row r="2128" spans="1:2" x14ac:dyDescent="0.25">
      <c r="A2128" s="64" t="str">
        <f>HYPERLINK("http://www.twitter.com/KellyRappuchi", "KellyRappuchi")</f>
        <v>KellyRappuchi</v>
      </c>
      <c r="B2128" s="65"/>
    </row>
    <row r="2129" spans="1:2" x14ac:dyDescent="0.25">
      <c r="A2129" s="64" t="str">
        <f>HYPERLINK("http://www.twitter.com/dolzabhoy", "dolzabhoy")</f>
        <v>dolzabhoy</v>
      </c>
      <c r="B2129" s="65"/>
    </row>
    <row r="2130" spans="1:2" x14ac:dyDescent="0.25">
      <c r="A2130" s="64" t="str">
        <f>HYPERLINK("http://www.twitter.com/crazydruid", "crazydruid")</f>
        <v>crazydruid</v>
      </c>
      <c r="B2130" s="65" t="s">
        <v>4576</v>
      </c>
    </row>
    <row r="2131" spans="1:2" x14ac:dyDescent="0.25">
      <c r="A2131" s="64" t="str">
        <f>HYPERLINK("http://www.twitter.com/NordahlKim", "NordahlKim")</f>
        <v>NordahlKim</v>
      </c>
      <c r="B2131" s="65"/>
    </row>
    <row r="2132" spans="1:2" x14ac:dyDescent="0.25">
      <c r="A2132" s="64" t="str">
        <f>HYPERLINK("http://www.twitter.com/bentoth", "bentoth")</f>
        <v>bentoth</v>
      </c>
      <c r="B2132" s="65" t="s">
        <v>4577</v>
      </c>
    </row>
    <row r="2133" spans="1:2" x14ac:dyDescent="0.25">
      <c r="A2133" s="64" t="str">
        <f>HYPERLINK("http://www.twitter.com/KelleyThibodeau", "KelleyThibodeau")</f>
        <v>KelleyThibodeau</v>
      </c>
      <c r="B2133" s="65" t="s">
        <v>4578</v>
      </c>
    </row>
    <row r="2134" spans="1:2" x14ac:dyDescent="0.25">
      <c r="A2134" s="64" t="str">
        <f>HYPERLINK("http://www.twitter.com/RealMinecraftP", "RealMinecraftP")</f>
        <v>RealMinecraftP</v>
      </c>
      <c r="B2134" s="65" t="s">
        <v>4222</v>
      </c>
    </row>
    <row r="2135" spans="1:2" x14ac:dyDescent="0.25">
      <c r="A2135" s="64" t="str">
        <f>HYPERLINK("http://www.twitter.com/nickybusybee", "nickybusybee")</f>
        <v>nickybusybee</v>
      </c>
      <c r="B2135" s="65"/>
    </row>
    <row r="2136" spans="1:2" x14ac:dyDescent="0.25">
      <c r="A2136" s="64" t="str">
        <f>HYPERLINK("http://www.twitter.com/PaigeMillikin", "PaigeMillikin")</f>
        <v>PaigeMillikin</v>
      </c>
      <c r="B2136" s="65" t="s">
        <v>4579</v>
      </c>
    </row>
    <row r="2137" spans="1:2" x14ac:dyDescent="0.25">
      <c r="A2137" s="64" t="str">
        <f>HYPERLINK("http://www.twitter.com/Virtually_Laura", "Virtually_Laura")</f>
        <v>Virtually_Laura</v>
      </c>
      <c r="B2137" s="65" t="s">
        <v>2007</v>
      </c>
    </row>
    <row r="2138" spans="1:2" x14ac:dyDescent="0.25">
      <c r="A2138" s="64" t="str">
        <f>HYPERLINK("http://www.twitter.com/_holysnakes", "_holysnakes")</f>
        <v>_holysnakes</v>
      </c>
      <c r="B2138" s="65" t="s">
        <v>232</v>
      </c>
    </row>
    <row r="2139" spans="1:2" x14ac:dyDescent="0.25">
      <c r="A2139" s="64" t="str">
        <f>HYPERLINK("http://www.twitter.com/WaFa_RashidS", "WaFa_RashidS")</f>
        <v>WaFa_RashidS</v>
      </c>
      <c r="B2139" s="65"/>
    </row>
    <row r="2140" spans="1:2" x14ac:dyDescent="0.25">
      <c r="A2140" s="64" t="str">
        <f>HYPERLINK("http://www.twitter.com/peediemac76", "peediemac76")</f>
        <v>peediemac76</v>
      </c>
      <c r="B2140" s="65" t="s">
        <v>4580</v>
      </c>
    </row>
    <row r="2141" spans="1:2" x14ac:dyDescent="0.25">
      <c r="A2141" s="64" t="str">
        <f>HYPERLINK("http://www.twitter.com/nickisinatwist", "nickisinatwist")</f>
        <v>nickisinatwist</v>
      </c>
      <c r="B2141" s="65" t="s">
        <v>4233</v>
      </c>
    </row>
    <row r="2142" spans="1:2" x14ac:dyDescent="0.25">
      <c r="A2142" s="64" t="str">
        <f>HYPERLINK("http://www.twitter.com/glastonbury2018", "glastonbury2018")</f>
        <v>glastonbury2018</v>
      </c>
      <c r="B2142" s="65" t="s">
        <v>4567</v>
      </c>
    </row>
    <row r="2143" spans="1:2" x14ac:dyDescent="0.25">
      <c r="A2143" s="64" t="str">
        <f>HYPERLINK("http://www.twitter.com/princepk2010", "princepk2010")</f>
        <v>princepk2010</v>
      </c>
      <c r="B2143" s="65" t="s">
        <v>4581</v>
      </c>
    </row>
    <row r="2144" spans="1:2" x14ac:dyDescent="0.25">
      <c r="A2144" s="64" t="str">
        <f>HYPERLINK("http://www.twitter.com/MediaMucho", "MediaMucho")</f>
        <v>MediaMucho</v>
      </c>
      <c r="B2144" s="65"/>
    </row>
    <row r="2145" spans="1:2" x14ac:dyDescent="0.25">
      <c r="A2145" s="64" t="str">
        <f>HYPERLINK("http://www.twitter.com/BCupkovic", "BCupkovic")</f>
        <v>BCupkovic</v>
      </c>
      <c r="B2145" s="65"/>
    </row>
    <row r="2146" spans="1:2" x14ac:dyDescent="0.25">
      <c r="A2146" s="64" t="str">
        <f>HYPERLINK("http://www.twitter.com/ElizabethD77", "ElizabethD77")</f>
        <v>ElizabethD77</v>
      </c>
      <c r="B2146" s="65" t="s">
        <v>4582</v>
      </c>
    </row>
    <row r="2147" spans="1:2" x14ac:dyDescent="0.25">
      <c r="A2147" s="64" t="str">
        <f>HYPERLINK("http://www.twitter.com/ChrisKyddSings", "ChrisKyddSings")</f>
        <v>ChrisKyddSings</v>
      </c>
      <c r="B2147" s="65" t="s">
        <v>517</v>
      </c>
    </row>
    <row r="2148" spans="1:2" x14ac:dyDescent="0.25">
      <c r="A2148" s="64" t="str">
        <f>HYPERLINK("http://www.twitter.com/johannalerche", "johannalerche")</f>
        <v>johannalerche</v>
      </c>
      <c r="B2148" s="65" t="s">
        <v>4583</v>
      </c>
    </row>
    <row r="2149" spans="1:2" x14ac:dyDescent="0.25">
      <c r="A2149" s="64" t="str">
        <f>HYPERLINK("http://www.twitter.com/Hobph1", "Hobph1")</f>
        <v>Hobph1</v>
      </c>
      <c r="B2149" s="65"/>
    </row>
    <row r="2150" spans="1:2" x14ac:dyDescent="0.25">
      <c r="A2150" s="64" t="str">
        <f>HYPERLINK("http://www.twitter.com/BishopRJM", "BishopRJM")</f>
        <v>BishopRJM</v>
      </c>
      <c r="B2150" s="65"/>
    </row>
    <row r="2151" spans="1:2" x14ac:dyDescent="0.25">
      <c r="A2151" s="64" t="str">
        <f>HYPERLINK("http://www.twitter.com/Erika_Hendra", "Erika_Hendra")</f>
        <v>Erika_Hendra</v>
      </c>
      <c r="B2151" s="65" t="s">
        <v>4584</v>
      </c>
    </row>
    <row r="2152" spans="1:2" x14ac:dyDescent="0.25">
      <c r="A2152" s="64" t="str">
        <f>HYPERLINK("http://www.twitter.com/UCYLibrary", "UCYLibrary")</f>
        <v>UCYLibrary</v>
      </c>
      <c r="B2152" s="65" t="s">
        <v>4585</v>
      </c>
    </row>
    <row r="2153" spans="1:2" x14ac:dyDescent="0.25">
      <c r="A2153" s="64" t="str">
        <f>HYPERLINK("http://www.twitter.com/kaiteoreilly", "kaiteoreilly")</f>
        <v>kaiteoreilly</v>
      </c>
      <c r="B2153" s="65" t="s">
        <v>4586</v>
      </c>
    </row>
    <row r="2154" spans="1:2" x14ac:dyDescent="0.25">
      <c r="A2154" s="64" t="str">
        <f>HYPERLINK("http://www.twitter.com/a_last_air", "a_last_air")</f>
        <v>a_last_air</v>
      </c>
      <c r="B2154" s="65" t="s">
        <v>296</v>
      </c>
    </row>
    <row r="2155" spans="1:2" x14ac:dyDescent="0.25">
      <c r="A2155" s="64" t="str">
        <f>HYPERLINK("http://www.twitter.com/muskoxdee", "muskoxdee")</f>
        <v>muskoxdee</v>
      </c>
      <c r="B2155" s="65"/>
    </row>
    <row r="2156" spans="1:2" x14ac:dyDescent="0.25">
      <c r="A2156" s="64" t="str">
        <f>HYPERLINK("http://www.twitter.com/mfcavanagh", "mfcavanagh")</f>
        <v>mfcavanagh</v>
      </c>
      <c r="B2156" s="65" t="s">
        <v>4587</v>
      </c>
    </row>
    <row r="2157" spans="1:2" x14ac:dyDescent="0.25">
      <c r="A2157" s="64" t="str">
        <f>HYPERLINK("http://www.twitter.com/DianeGosling2", "DianeGosling2")</f>
        <v>DianeGosling2</v>
      </c>
      <c r="B2157" s="65"/>
    </row>
    <row r="2158" spans="1:2" x14ac:dyDescent="0.25">
      <c r="A2158" s="64" t="str">
        <f>HYPERLINK("http://www.twitter.com/ail_sa", "ail_sa")</f>
        <v>ail_sa</v>
      </c>
      <c r="B2158" s="65" t="s">
        <v>4588</v>
      </c>
    </row>
    <row r="2159" spans="1:2" x14ac:dyDescent="0.25">
      <c r="A2159" s="64" t="str">
        <f>HYPERLINK("http://www.twitter.com/KarenWaring7", "KarenWaring7")</f>
        <v>KarenWaring7</v>
      </c>
      <c r="B2159" s="65"/>
    </row>
    <row r="2160" spans="1:2" x14ac:dyDescent="0.25">
      <c r="A2160" s="64" t="str">
        <f>HYPERLINK("http://www.twitter.com/springbluebirds", "springbluebirds")</f>
        <v>springbluebirds</v>
      </c>
      <c r="B2160" s="65" t="s">
        <v>4589</v>
      </c>
    </row>
    <row r="2161" spans="1:2" x14ac:dyDescent="0.25">
      <c r="A2161" s="64" t="str">
        <f>HYPERLINK("http://www.twitter.com/WilkLibrary", "WilkLibrary")</f>
        <v>WilkLibrary</v>
      </c>
      <c r="B2161" s="65" t="s">
        <v>4590</v>
      </c>
    </row>
    <row r="2162" spans="1:2" x14ac:dyDescent="0.25">
      <c r="A2162" s="64" t="str">
        <f>HYPERLINK("http://www.twitter.com/Katy_Allison", "Katy_Allison")</f>
        <v>Katy_Allison</v>
      </c>
      <c r="B2162" s="65" t="s">
        <v>24</v>
      </c>
    </row>
    <row r="2163" spans="1:2" x14ac:dyDescent="0.25">
      <c r="A2163" s="64" t="str">
        <f>HYPERLINK("http://www.twitter.com/rowingwabbit", "rowingwabbit")</f>
        <v>rowingwabbit</v>
      </c>
      <c r="B2163" s="65"/>
    </row>
    <row r="2164" spans="1:2" x14ac:dyDescent="0.25">
      <c r="A2164" s="64" t="str">
        <f>HYPERLINK("http://www.twitter.com/LiisaHeiskanen", "LiisaHeiskanen")</f>
        <v>LiisaHeiskanen</v>
      </c>
      <c r="B2164" s="65" t="s">
        <v>4591</v>
      </c>
    </row>
    <row r="2165" spans="1:2" x14ac:dyDescent="0.25">
      <c r="A2165" s="64" t="str">
        <f>HYPERLINK("http://www.twitter.com/RumSlattern", "RumSlattern")</f>
        <v>RumSlattern</v>
      </c>
      <c r="B2165" s="65" t="s">
        <v>4592</v>
      </c>
    </row>
    <row r="2166" spans="1:2" x14ac:dyDescent="0.25">
      <c r="A2166" s="64" t="str">
        <f>HYPERLINK("http://www.twitter.com/WaywardSoup", "WaywardSoup")</f>
        <v>WaywardSoup</v>
      </c>
      <c r="B2166" s="65"/>
    </row>
    <row r="2167" spans="1:2" x14ac:dyDescent="0.25">
      <c r="A2167" s="64" t="str">
        <f>HYPERLINK("http://www.twitter.com/Cookeisobel", "Cookeisobel")</f>
        <v>Cookeisobel</v>
      </c>
      <c r="B2167" s="65"/>
    </row>
    <row r="2168" spans="1:2" x14ac:dyDescent="0.25">
      <c r="A2168" s="64" t="str">
        <f>HYPERLINK("http://www.twitter.com/LizBkrLib4lyf", "LizBkrLib4lyf")</f>
        <v>LizBkrLib4lyf</v>
      </c>
      <c r="B2168" s="65" t="s">
        <v>4593</v>
      </c>
    </row>
    <row r="2169" spans="1:2" x14ac:dyDescent="0.25">
      <c r="A2169" s="64" t="str">
        <f>HYPERLINK("http://www.twitter.com/northcitypress", "northcitypress")</f>
        <v>northcitypress</v>
      </c>
      <c r="B2169" s="65" t="s">
        <v>2213</v>
      </c>
    </row>
    <row r="2170" spans="1:2" x14ac:dyDescent="0.25">
      <c r="A2170" s="64" t="str">
        <f>HYPERLINK("http://www.twitter.com/Mary_Stella94", "Mary_Stella94")</f>
        <v>Mary_Stella94</v>
      </c>
      <c r="B2170" s="65" t="s">
        <v>508</v>
      </c>
    </row>
    <row r="2171" spans="1:2" x14ac:dyDescent="0.25">
      <c r="A2171" s="64" t="str">
        <f>HYPERLINK("http://www.twitter.com/miyaokaemi", "miyaokaemi")</f>
        <v>miyaokaemi</v>
      </c>
      <c r="B2171" s="65" t="s">
        <v>4594</v>
      </c>
    </row>
    <row r="2172" spans="1:2" x14ac:dyDescent="0.25">
      <c r="A2172" s="64" t="str">
        <f>HYPERLINK("http://www.twitter.com/CmtTraining3", "CmtTraining3")</f>
        <v>CmtTraining3</v>
      </c>
      <c r="B2172" s="65"/>
    </row>
    <row r="2173" spans="1:2" x14ac:dyDescent="0.25">
      <c r="A2173" s="64" t="str">
        <f>HYPERLINK("http://www.twitter.com/bretonne58", "bretonne58")</f>
        <v>bretonne58</v>
      </c>
      <c r="B2173" s="65" t="s">
        <v>3988</v>
      </c>
    </row>
    <row r="2174" spans="1:2" x14ac:dyDescent="0.25">
      <c r="A2174" s="64" t="str">
        <f>HYPERLINK("http://www.twitter.com/Kieronpoole4", "Kieronpoole4")</f>
        <v>Kieronpoole4</v>
      </c>
      <c r="B2174" s="65"/>
    </row>
    <row r="2175" spans="1:2" x14ac:dyDescent="0.25">
      <c r="A2175" s="64" t="str">
        <f>HYPERLINK("http://www.twitter.com/mtechler1", "mtechler1")</f>
        <v>mtechler1</v>
      </c>
      <c r="B2175" s="65"/>
    </row>
    <row r="2176" spans="1:2" x14ac:dyDescent="0.25">
      <c r="A2176" s="64" t="str">
        <f>HYPERLINK("http://www.twitter.com/keen_history", "keen_history")</f>
        <v>keen_history</v>
      </c>
      <c r="B2176" s="65"/>
    </row>
    <row r="2177" spans="1:2" x14ac:dyDescent="0.25">
      <c r="A2177" s="64" t="str">
        <f>HYPERLINK("http://www.twitter.com/HappyBritScot", "HappyBritScot")</f>
        <v>HappyBritScot</v>
      </c>
      <c r="B2177" s="65" t="s">
        <v>24</v>
      </c>
    </row>
    <row r="2178" spans="1:2" x14ac:dyDescent="0.25">
      <c r="A2178" s="64" t="str">
        <f>HYPERLINK("http://www.twitter.com/simsek_eliff", "simsek_eliff")</f>
        <v>simsek_eliff</v>
      </c>
      <c r="B2178" s="65" t="s">
        <v>4595</v>
      </c>
    </row>
    <row r="2179" spans="1:2" x14ac:dyDescent="0.25">
      <c r="A2179" s="64" t="str">
        <f>HYPERLINK("http://www.twitter.com/rachaelfkx", "rachaelfkx")</f>
        <v>rachaelfkx</v>
      </c>
      <c r="B2179" s="65" t="s">
        <v>517</v>
      </c>
    </row>
    <row r="2180" spans="1:2" x14ac:dyDescent="0.25">
      <c r="A2180" s="64" t="str">
        <f>HYPERLINK("http://www.twitter.com/Not_Fade__Away", "Not_Fade__Away")</f>
        <v>Not_Fade__Away</v>
      </c>
      <c r="B2180" s="65" t="s">
        <v>4596</v>
      </c>
    </row>
    <row r="2181" spans="1:2" x14ac:dyDescent="0.25">
      <c r="A2181" s="64" t="str">
        <f>HYPERLINK("http://www.twitter.com/SueHardyDawson", "SueHardyDawson")</f>
        <v>SueHardyDawson</v>
      </c>
      <c r="B2181" s="65" t="s">
        <v>4501</v>
      </c>
    </row>
    <row r="2182" spans="1:2" x14ac:dyDescent="0.25">
      <c r="A2182" s="64" t="str">
        <f>HYPERLINK("http://www.twitter.com/Christi25C", "Christi25C")</f>
        <v>Christi25C</v>
      </c>
      <c r="B2182" s="65"/>
    </row>
    <row r="2183" spans="1:2" x14ac:dyDescent="0.25">
      <c r="A2183" s="64" t="str">
        <f>HYPERLINK("http://www.twitter.com/ElizabethPirrie", "ElizabethPirrie")</f>
        <v>ElizabethPirrie</v>
      </c>
      <c r="B2183" s="65" t="s">
        <v>808</v>
      </c>
    </row>
    <row r="2184" spans="1:2" x14ac:dyDescent="0.25">
      <c r="A2184" s="64" t="str">
        <f>HYPERLINK("http://www.twitter.com/GLAMackintosh", "GLAMackintosh")</f>
        <v>GLAMackintosh</v>
      </c>
      <c r="B2184" s="65" t="s">
        <v>138</v>
      </c>
    </row>
    <row r="2185" spans="1:2" x14ac:dyDescent="0.25">
      <c r="A2185" s="64" t="str">
        <f>HYPERLINK("http://www.twitter.com/lukaspodhrazky", "lukaspodhrazky")</f>
        <v>lukaspodhrazky</v>
      </c>
      <c r="B2185" s="65" t="s">
        <v>808</v>
      </c>
    </row>
    <row r="2186" spans="1:2" x14ac:dyDescent="0.25">
      <c r="A2186" s="64" t="str">
        <f>HYPERLINK("http://www.twitter.com/pritchard_sara", "pritchard_sara")</f>
        <v>pritchard_sara</v>
      </c>
      <c r="B2186" s="65" t="s">
        <v>4597</v>
      </c>
    </row>
    <row r="2187" spans="1:2" x14ac:dyDescent="0.25">
      <c r="A2187" s="64" t="str">
        <f>HYPERLINK("http://www.twitter.com/Karolingva", "Karolingva")</f>
        <v>Karolingva</v>
      </c>
      <c r="B2187" s="65" t="s">
        <v>4598</v>
      </c>
    </row>
    <row r="2188" spans="1:2" x14ac:dyDescent="0.25">
      <c r="A2188" s="64" t="str">
        <f>HYPERLINK("http://www.twitter.com/Aliceinfinance", "Aliceinfinance")</f>
        <v>Aliceinfinance</v>
      </c>
      <c r="B2188" s="65" t="s">
        <v>4599</v>
      </c>
    </row>
    <row r="2189" spans="1:2" x14ac:dyDescent="0.25">
      <c r="A2189" s="64" t="str">
        <f>HYPERLINK("http://www.twitter.com/jchrisallen", "jchrisallen")</f>
        <v>jchrisallen</v>
      </c>
      <c r="B2189" s="65" t="s">
        <v>4600</v>
      </c>
    </row>
    <row r="2190" spans="1:2" x14ac:dyDescent="0.25">
      <c r="A2190" s="64" t="str">
        <f>HYPERLINK("http://www.twitter.com/Nirmal_v23", "Nirmal_v23")</f>
        <v>Nirmal_v23</v>
      </c>
      <c r="B2190" s="65" t="s">
        <v>4601</v>
      </c>
    </row>
    <row r="2191" spans="1:2" x14ac:dyDescent="0.25">
      <c r="A2191" s="64" t="str">
        <f>HYPERLINK("http://www.twitter.com/ScribePedersen", "ScribePedersen")</f>
        <v>ScribePedersen</v>
      </c>
      <c r="B2191" s="65" t="s">
        <v>487</v>
      </c>
    </row>
    <row r="2192" spans="1:2" x14ac:dyDescent="0.25">
      <c r="A2192" s="64" t="str">
        <f>HYPERLINK("http://www.twitter.com/CheriJacques_16", "CheriJacques_16")</f>
        <v>CheriJacques_16</v>
      </c>
      <c r="B2192" s="65" t="s">
        <v>4602</v>
      </c>
    </row>
    <row r="2193" spans="1:2" x14ac:dyDescent="0.25">
      <c r="A2193" s="64" t="str">
        <f>HYPERLINK("http://www.twitter.com/CarlWood7", "CarlWood7")</f>
        <v>CarlWood7</v>
      </c>
      <c r="B2193" s="65" t="s">
        <v>1542</v>
      </c>
    </row>
    <row r="2194" spans="1:2" x14ac:dyDescent="0.25">
      <c r="A2194" s="64" t="str">
        <f>HYPERLINK("http://www.twitter.com/jahumphries1", "jahumphries1")</f>
        <v>jahumphries1</v>
      </c>
      <c r="B2194" s="65" t="s">
        <v>4603</v>
      </c>
    </row>
    <row r="2195" spans="1:2" x14ac:dyDescent="0.25">
      <c r="A2195" s="64" t="str">
        <f>HYPERLINK("http://www.twitter.com/uniquorn92", "uniquorn92")</f>
        <v>uniquorn92</v>
      </c>
      <c r="B2195" s="65" t="s">
        <v>3762</v>
      </c>
    </row>
    <row r="2196" spans="1:2" x14ac:dyDescent="0.25">
      <c r="A2196" s="64" t="str">
        <f>HYPERLINK("http://www.twitter.com/reso11", "reso11")</f>
        <v>reso11</v>
      </c>
      <c r="B2196" s="65"/>
    </row>
    <row r="2197" spans="1:2" x14ac:dyDescent="0.25">
      <c r="A2197" s="64" t="str">
        <f>HYPERLINK("http://www.twitter.com/USCLibraries", "USCLibraries")</f>
        <v>USCLibraries</v>
      </c>
      <c r="B2197" s="65" t="s">
        <v>4604</v>
      </c>
    </row>
    <row r="2198" spans="1:2" x14ac:dyDescent="0.25">
      <c r="A2198" s="64" t="str">
        <f>HYPERLINK("http://www.twitter.com/stevestevens15", "stevestevens15")</f>
        <v>stevestevens15</v>
      </c>
      <c r="B2198" s="65"/>
    </row>
    <row r="2199" spans="1:2" x14ac:dyDescent="0.25">
      <c r="A2199" s="64" t="str">
        <f>HYPERLINK("http://www.twitter.com/AamosDesigns", "AamosDesigns")</f>
        <v>AamosDesigns</v>
      </c>
      <c r="B2199" s="65" t="s">
        <v>115</v>
      </c>
    </row>
    <row r="2200" spans="1:2" x14ac:dyDescent="0.25">
      <c r="A2200" s="64" t="str">
        <f>HYPERLINK("http://www.twitter.com/HermannvonSalza", "HermannvonSalza")</f>
        <v>HermannvonSalza</v>
      </c>
      <c r="B2200" s="65" t="s">
        <v>4605</v>
      </c>
    </row>
    <row r="2201" spans="1:2" x14ac:dyDescent="0.25">
      <c r="A2201" s="64" t="str">
        <f>HYPERLINK("http://www.twitter.com/James68306902", "James68306902")</f>
        <v>James68306902</v>
      </c>
      <c r="B2201" s="65"/>
    </row>
    <row r="2202" spans="1:2" x14ac:dyDescent="0.25">
      <c r="A2202" s="64" t="str">
        <f>HYPERLINK("http://www.twitter.com/rabnicol", "rabnicol")</f>
        <v>rabnicol</v>
      </c>
      <c r="B2202" s="65"/>
    </row>
    <row r="2203" spans="1:2" x14ac:dyDescent="0.25">
      <c r="A2203" s="64" t="str">
        <f>HYPERLINK("http://www.twitter.com/LeducLibrary", "LeducLibrary")</f>
        <v>LeducLibrary</v>
      </c>
      <c r="B2203" s="65" t="s">
        <v>4606</v>
      </c>
    </row>
    <row r="2204" spans="1:2" x14ac:dyDescent="0.25">
      <c r="A2204" s="64" t="str">
        <f>HYPERLINK("http://www.twitter.com/Rosiesthome", "Rosiesthome")</f>
        <v>Rosiesthome</v>
      </c>
      <c r="B2204" s="65"/>
    </row>
    <row r="2205" spans="1:2" x14ac:dyDescent="0.25">
      <c r="A2205" s="64" t="str">
        <f>HYPERLINK("http://www.twitter.com/YrLibraryStory", "YrLibraryStory")</f>
        <v>YrLibraryStory</v>
      </c>
      <c r="B2205" s="65"/>
    </row>
    <row r="2206" spans="1:2" x14ac:dyDescent="0.25">
      <c r="A2206" s="64" t="str">
        <f>HYPERLINK("http://www.twitter.com/Sassy_Brit", "Sassy_Brit")</f>
        <v>Sassy_Brit</v>
      </c>
      <c r="B2206" s="65" t="s">
        <v>4607</v>
      </c>
    </row>
    <row r="2207" spans="1:2" x14ac:dyDescent="0.25">
      <c r="A2207" s="64" t="str">
        <f>HYPERLINK("http://www.twitter.com/gailbblog", "gailbblog")</f>
        <v>gailbblog</v>
      </c>
      <c r="B2207" s="65"/>
    </row>
    <row r="2208" spans="1:2" x14ac:dyDescent="0.25">
      <c r="A2208" s="64" t="str">
        <f>HYPERLINK("http://www.twitter.com/wurrbit", "wurrbit")</f>
        <v>wurrbit</v>
      </c>
      <c r="B2208" s="65"/>
    </row>
    <row r="2209" spans="1:2" x14ac:dyDescent="0.25">
      <c r="A2209" s="64" t="str">
        <f>HYPERLINK("http://www.twitter.com/writingonmyrock", "writingonmyrock")</f>
        <v>writingonmyrock</v>
      </c>
      <c r="B2209" s="65" t="s">
        <v>4608</v>
      </c>
    </row>
    <row r="2210" spans="1:2" x14ac:dyDescent="0.25">
      <c r="A2210" s="64" t="str">
        <f>HYPERLINK("http://www.twitter.com/Walk_Fife", "Walk_Fife")</f>
        <v>Walk_Fife</v>
      </c>
      <c r="B2210" s="65" t="s">
        <v>2007</v>
      </c>
    </row>
    <row r="2211" spans="1:2" x14ac:dyDescent="0.25">
      <c r="A2211" s="64" t="str">
        <f>HYPERLINK("http://www.twitter.com/Alexis_Evans33", "Alexis_Evans33")</f>
        <v>Alexis_Evans33</v>
      </c>
      <c r="B2211" s="65" t="s">
        <v>4609</v>
      </c>
    </row>
    <row r="2212" spans="1:2" x14ac:dyDescent="0.25">
      <c r="A2212" s="64" t="str">
        <f>HYPERLINK("http://www.twitter.com/fergusjohnstone", "fergusjohnstone")</f>
        <v>fergusjohnstone</v>
      </c>
      <c r="B2212" s="65"/>
    </row>
    <row r="2213" spans="1:2" x14ac:dyDescent="0.25">
      <c r="A2213" s="64" t="str">
        <f>HYPERLINK("http://www.twitter.com/mattbrownauthor", "mattbrownauthor")</f>
        <v>mattbrownauthor</v>
      </c>
      <c r="B2213" s="65" t="s">
        <v>4610</v>
      </c>
    </row>
    <row r="2214" spans="1:2" x14ac:dyDescent="0.25">
      <c r="A2214" s="64" t="str">
        <f>HYPERLINK("http://www.twitter.com/Cirellan", "Cirellan")</f>
        <v>Cirellan</v>
      </c>
      <c r="B2214" s="65" t="s">
        <v>4611</v>
      </c>
    </row>
    <row r="2215" spans="1:2" x14ac:dyDescent="0.25">
      <c r="A2215" s="64" t="str">
        <f>HYPERLINK("http://www.twitter.com/mancbookclub", "mancbookclub")</f>
        <v>mancbookclub</v>
      </c>
      <c r="B2215" s="65" t="s">
        <v>4040</v>
      </c>
    </row>
    <row r="2216" spans="1:2" x14ac:dyDescent="0.25">
      <c r="A2216" s="64" t="str">
        <f>HYPERLINK("http://www.twitter.com/ColleenDearborn", "ColleenDearborn")</f>
        <v>ColleenDearborn</v>
      </c>
      <c r="B2216" s="65" t="s">
        <v>4612</v>
      </c>
    </row>
    <row r="2217" spans="1:2" x14ac:dyDescent="0.25">
      <c r="A2217" s="64" t="str">
        <f>HYPERLINK("http://www.twitter.com/LibraryWeekly", "LibraryWeekly")</f>
        <v>LibraryWeekly</v>
      </c>
      <c r="B2217" s="65" t="s">
        <v>2270</v>
      </c>
    </row>
    <row r="2218" spans="1:2" x14ac:dyDescent="0.25">
      <c r="A2218" s="64" t="str">
        <f>HYPERLINK("http://www.twitter.com/DouglasSkelton1", "DouglasSkelton1")</f>
        <v>DouglasSkelton1</v>
      </c>
      <c r="B2218" s="65" t="s">
        <v>517</v>
      </c>
    </row>
    <row r="2219" spans="1:2" x14ac:dyDescent="0.25">
      <c r="A2219" s="64" t="str">
        <f>HYPERLINK("http://www.twitter.com/RajKuma49221194", "RajKuma49221194")</f>
        <v>RajKuma49221194</v>
      </c>
      <c r="B2219" s="65" t="s">
        <v>4613</v>
      </c>
    </row>
    <row r="2220" spans="1:2" x14ac:dyDescent="0.25">
      <c r="A2220" s="64" t="str">
        <f>HYPERLINK("http://www.twitter.com/JackieJamxx", "JackieJamxx")</f>
        <v>JackieJamxx</v>
      </c>
      <c r="B2220" s="65" t="s">
        <v>318</v>
      </c>
    </row>
    <row r="2221" spans="1:2" x14ac:dyDescent="0.25">
      <c r="A2221" s="64" t="str">
        <f>HYPERLINK("http://www.twitter.com/AJ_Gray1", "AJ_Gray1")</f>
        <v>AJ_Gray1</v>
      </c>
      <c r="B2221" s="65"/>
    </row>
    <row r="2222" spans="1:2" x14ac:dyDescent="0.25">
      <c r="A2222" s="64" t="str">
        <f>HYPERLINK("http://www.twitter.com/MaryJWilson2", "MaryJWilson2")</f>
        <v>MaryJWilson2</v>
      </c>
      <c r="B2222" s="65"/>
    </row>
    <row r="2223" spans="1:2" x14ac:dyDescent="0.25">
      <c r="A2223" s="64" t="str">
        <f>HYPERLINK("http://www.twitter.com/keryn_brown", "keryn_brown")</f>
        <v>keryn_brown</v>
      </c>
      <c r="B2223" s="65" t="s">
        <v>2007</v>
      </c>
    </row>
    <row r="2224" spans="1:2" x14ac:dyDescent="0.25">
      <c r="A2224" s="64" t="str">
        <f>HYPERLINK("http://www.twitter.com/DaveShelton", "DaveShelton")</f>
        <v>DaveShelton</v>
      </c>
      <c r="B2224" s="65" t="s">
        <v>508</v>
      </c>
    </row>
    <row r="2225" spans="1:2" x14ac:dyDescent="0.25">
      <c r="A2225" s="64" t="str">
        <f>HYPERLINK("http://www.twitter.com/danidanibobani1", "danidanibobani1")</f>
        <v>danidanibobani1</v>
      </c>
      <c r="B2225" s="65"/>
    </row>
    <row r="2226" spans="1:2" x14ac:dyDescent="0.25">
      <c r="A2226" s="64" t="str">
        <f>HYPERLINK("http://www.twitter.com/moellersina2704", "moellersina2704")</f>
        <v>moellersina2704</v>
      </c>
      <c r="B2226" s="65" t="s">
        <v>4614</v>
      </c>
    </row>
    <row r="2227" spans="1:2" x14ac:dyDescent="0.25">
      <c r="A2227" s="64" t="str">
        <f>HYPERLINK("http://www.twitter.com/RachDrever", "RachDrever")</f>
        <v>RachDrever</v>
      </c>
      <c r="B2227" s="65" t="s">
        <v>569</v>
      </c>
    </row>
    <row r="2228" spans="1:2" x14ac:dyDescent="0.25">
      <c r="A2228" s="64" t="str">
        <f>HYPERLINK("http://www.twitter.com/Caribouster", "Caribouster")</f>
        <v>Caribouster</v>
      </c>
      <c r="B2228" s="65"/>
    </row>
    <row r="2229" spans="1:2" x14ac:dyDescent="0.25">
      <c r="A2229" s="64" t="str">
        <f>HYPERLINK("http://www.twitter.com/greyfriars_kirk", "greyfriars_kirk")</f>
        <v>greyfriars_kirk</v>
      </c>
      <c r="B2229" s="65" t="s">
        <v>487</v>
      </c>
    </row>
    <row r="2230" spans="1:2" x14ac:dyDescent="0.25">
      <c r="A2230" s="64" t="str">
        <f>HYPERLINK("http://www.twitter.com/GreenScrnwriter", "GreenScrnwriter")</f>
        <v>GreenScrnwriter</v>
      </c>
      <c r="B2230" s="65"/>
    </row>
    <row r="2231" spans="1:2" x14ac:dyDescent="0.25">
      <c r="A2231" s="64" t="str">
        <f>HYPERLINK("http://www.twitter.com/aemcinulty", "aemcinulty")</f>
        <v>aemcinulty</v>
      </c>
      <c r="B2231" s="65" t="s">
        <v>318</v>
      </c>
    </row>
    <row r="2232" spans="1:2" x14ac:dyDescent="0.25">
      <c r="A2232" s="64" t="str">
        <f>HYPERLINK("http://www.twitter.com/InDI_GSA", "InDI_GSA")</f>
        <v>InDI_GSA</v>
      </c>
      <c r="B2232" s="65" t="s">
        <v>4615</v>
      </c>
    </row>
    <row r="2233" spans="1:2" x14ac:dyDescent="0.25">
      <c r="A2233" s="64" t="str">
        <f>HYPERLINK("http://www.twitter.com/stbibpankow", "stbibpankow")</f>
        <v>stbibpankow</v>
      </c>
      <c r="B2233" s="65" t="s">
        <v>4443</v>
      </c>
    </row>
    <row r="2234" spans="1:2" x14ac:dyDescent="0.25">
      <c r="A2234" s="64" t="str">
        <f>HYPERLINK("http://www.twitter.com/into_the_stackz", "into_the_stackz")</f>
        <v>into_the_stackz</v>
      </c>
      <c r="B2234" s="65" t="s">
        <v>4616</v>
      </c>
    </row>
    <row r="2235" spans="1:2" x14ac:dyDescent="0.25">
      <c r="A2235" s="64" t="str">
        <f>HYPERLINK("http://www.twitter.com/Sammi_Gemini", "Sammi_Gemini")</f>
        <v>Sammi_Gemini</v>
      </c>
      <c r="B2235" s="65" t="s">
        <v>4617</v>
      </c>
    </row>
    <row r="2236" spans="1:2" x14ac:dyDescent="0.25">
      <c r="A2236" s="64" t="str">
        <f>HYPERLINK("http://www.twitter.com/neil1pat", "neil1pat")</f>
        <v>neil1pat</v>
      </c>
      <c r="B2236" s="65" t="s">
        <v>517</v>
      </c>
    </row>
    <row r="2237" spans="1:2" x14ac:dyDescent="0.25">
      <c r="A2237" s="64" t="str">
        <f>HYPERLINK("http://www.twitter.com/ShapinsayPie", "ShapinsayPie")</f>
        <v>ShapinsayPie</v>
      </c>
      <c r="B2237" s="65" t="s">
        <v>20</v>
      </c>
    </row>
    <row r="2238" spans="1:2" x14ac:dyDescent="0.25">
      <c r="A2238" s="64" t="str">
        <f>HYPERLINK("http://www.twitter.com/Jo_To_The_C", "Jo_To_The_C")</f>
        <v>Jo_To_The_C</v>
      </c>
      <c r="B2238" s="65" t="s">
        <v>808</v>
      </c>
    </row>
    <row r="2239" spans="1:2" x14ac:dyDescent="0.25">
      <c r="A2239" s="64" t="str">
        <f>HYPERLINK("http://www.twitter.com/windywine", "windywine")</f>
        <v>windywine</v>
      </c>
      <c r="B2239" s="65" t="s">
        <v>4618</v>
      </c>
    </row>
    <row r="2240" spans="1:2" x14ac:dyDescent="0.25">
      <c r="A2240" s="64" t="str">
        <f>HYPERLINK("http://www.twitter.com/beckett_nancy", "beckett_nancy")</f>
        <v>beckett_nancy</v>
      </c>
      <c r="B2240" s="65" t="s">
        <v>877</v>
      </c>
    </row>
    <row r="2241" spans="1:2" x14ac:dyDescent="0.25">
      <c r="A2241" s="64" t="str">
        <f>HYPERLINK("http://www.twitter.com/andevers", "andevers")</f>
        <v>andevers</v>
      </c>
      <c r="B2241" s="65" t="s">
        <v>4619</v>
      </c>
    </row>
    <row r="2242" spans="1:2" x14ac:dyDescent="0.25">
      <c r="A2242" s="64" t="str">
        <f>HYPERLINK("http://www.twitter.com/lisanorm1976", "lisanorm1976")</f>
        <v>lisanorm1976</v>
      </c>
      <c r="B2242" s="65" t="s">
        <v>4620</v>
      </c>
    </row>
    <row r="2243" spans="1:2" x14ac:dyDescent="0.25">
      <c r="A2243" s="64" t="str">
        <f>HYPERLINK("http://www.twitter.com/Danielle_Beck_", "Danielle_Beck_")</f>
        <v>Danielle_Beck_</v>
      </c>
      <c r="B2243" s="65" t="s">
        <v>3373</v>
      </c>
    </row>
    <row r="2244" spans="1:2" x14ac:dyDescent="0.25">
      <c r="A2244" s="64" t="str">
        <f>HYPERLINK("http://www.twitter.com/LornaCtE", "LornaCtE")</f>
        <v>LornaCtE</v>
      </c>
      <c r="B2244" s="65" t="s">
        <v>517</v>
      </c>
    </row>
    <row r="2245" spans="1:2" x14ac:dyDescent="0.25">
      <c r="A2245" s="64" t="str">
        <f>HYPERLINK("http://www.twitter.com/JenniferCtE", "JenniferCtE")</f>
        <v>JenniferCtE</v>
      </c>
      <c r="B2245" s="65" t="s">
        <v>2007</v>
      </c>
    </row>
    <row r="2246" spans="1:2" x14ac:dyDescent="0.25">
      <c r="A2246" s="64" t="str">
        <f>HYPERLINK("http://www.twitter.com/westcoastteas", "westcoastteas")</f>
        <v>westcoastteas</v>
      </c>
      <c r="B2246" s="65" t="s">
        <v>318</v>
      </c>
    </row>
    <row r="2247" spans="1:2" x14ac:dyDescent="0.25">
      <c r="A2247" s="64" t="str">
        <f>HYPERLINK("http://www.twitter.com/mcginlay1", "mcginlay1")</f>
        <v>mcginlay1</v>
      </c>
      <c r="B2247" s="65"/>
    </row>
    <row r="2248" spans="1:2" x14ac:dyDescent="0.25">
      <c r="A2248" s="64" t="str">
        <f>HYPERLINK("http://www.twitter.com/Darthvulture", "Darthvulture")</f>
        <v>Darthvulture</v>
      </c>
      <c r="B2248" s="65" t="s">
        <v>2366</v>
      </c>
    </row>
    <row r="2249" spans="1:2" x14ac:dyDescent="0.25">
      <c r="A2249" s="64" t="str">
        <f>HYPERLINK("http://www.twitter.com/KarenLOC", "KarenLOC")</f>
        <v>KarenLOC</v>
      </c>
      <c r="B2249" s="65" t="s">
        <v>4621</v>
      </c>
    </row>
    <row r="2250" spans="1:2" x14ac:dyDescent="0.25">
      <c r="A2250" s="64" t="str">
        <f>HYPERLINK("http://www.twitter.com/Mousehole1", "Mousehole1")</f>
        <v>Mousehole1</v>
      </c>
      <c r="B2250" s="65" t="s">
        <v>4622</v>
      </c>
    </row>
    <row r="2251" spans="1:2" x14ac:dyDescent="0.25">
      <c r="A2251" s="64" t="str">
        <f>HYPERLINK("http://www.twitter.com/NickDeyanov", "NickDeyanov")</f>
        <v>NickDeyanov</v>
      </c>
      <c r="B2251" s="65" t="s">
        <v>3762</v>
      </c>
    </row>
    <row r="2252" spans="1:2" x14ac:dyDescent="0.25">
      <c r="A2252" s="64" t="str">
        <f>HYPERLINK("http://www.twitter.com/ChrisDunhill22", "ChrisDunhill22")</f>
        <v>ChrisDunhill22</v>
      </c>
      <c r="B2252" s="65" t="s">
        <v>569</v>
      </c>
    </row>
    <row r="2253" spans="1:2" x14ac:dyDescent="0.25">
      <c r="A2253" s="64" t="str">
        <f>HYPERLINK("http://www.twitter.com/Roboepicguy", "Roboepicguy")</f>
        <v>Roboepicguy</v>
      </c>
      <c r="B2253" s="65" t="s">
        <v>477</v>
      </c>
    </row>
    <row r="2254" spans="1:2" x14ac:dyDescent="0.25">
      <c r="A2254" s="64" t="str">
        <f>HYPERLINK("http://www.twitter.com/davisonandrew3", "davisonandrew3")</f>
        <v>davisonandrew3</v>
      </c>
      <c r="B2254" s="65"/>
    </row>
    <row r="2255" spans="1:2" x14ac:dyDescent="0.25">
      <c r="A2255" s="64" t="str">
        <f>HYPERLINK("http://www.twitter.com/rrrajmo", "rrrajmo")</f>
        <v>rrrajmo</v>
      </c>
      <c r="B2255" s="65" t="s">
        <v>487</v>
      </c>
    </row>
    <row r="2256" spans="1:2" x14ac:dyDescent="0.25">
      <c r="A2256" s="64" t="str">
        <f>HYPERLINK("http://www.twitter.com/LongewayBryan", "LongewayBryan")</f>
        <v>LongewayBryan</v>
      </c>
      <c r="B2256" s="65" t="s">
        <v>4623</v>
      </c>
    </row>
    <row r="2257" spans="1:2" x14ac:dyDescent="0.25">
      <c r="A2257" s="64" t="str">
        <f>HYPERLINK("http://www.twitter.com/IWTTBFPod", "IWTTBFPod")</f>
        <v>IWTTBFPod</v>
      </c>
      <c r="B2257" s="65" t="s">
        <v>3797</v>
      </c>
    </row>
    <row r="2258" spans="1:2" x14ac:dyDescent="0.25">
      <c r="A2258" s="64" t="str">
        <f>HYPERLINK("http://www.twitter.com/witafrap", "witafrap")</f>
        <v>witafrap</v>
      </c>
      <c r="B2258" s="65"/>
    </row>
    <row r="2259" spans="1:2" x14ac:dyDescent="0.25">
      <c r="A2259" s="64" t="str">
        <f>HYPERLINK("http://www.twitter.com/Proseccopalace", "Proseccopalace")</f>
        <v>Proseccopalace</v>
      </c>
      <c r="B2259" s="65" t="s">
        <v>4624</v>
      </c>
    </row>
    <row r="2260" spans="1:2" x14ac:dyDescent="0.25">
      <c r="A2260" s="64" t="str">
        <f>HYPERLINK("http://www.twitter.com/TheGodfatherBig", "TheGodfatherBig")</f>
        <v>TheGodfatherBig</v>
      </c>
      <c r="B2260" s="65"/>
    </row>
    <row r="2261" spans="1:2" x14ac:dyDescent="0.25">
      <c r="A2261" s="64" t="str">
        <f>HYPERLINK("http://www.twitter.com/DivyaNarula21", "DivyaNarula21")</f>
        <v>DivyaNarula21</v>
      </c>
      <c r="B2261" s="65" t="s">
        <v>4625</v>
      </c>
    </row>
    <row r="2262" spans="1:2" x14ac:dyDescent="0.25">
      <c r="A2262" s="64" t="str">
        <f>HYPERLINK("http://www.twitter.com/BloomsburyL", "BloomsburyL")</f>
        <v>BloomsburyL</v>
      </c>
      <c r="B2262" s="65" t="s">
        <v>1946</v>
      </c>
    </row>
    <row r="2263" spans="1:2" x14ac:dyDescent="0.25">
      <c r="A2263" s="64" t="str">
        <f>HYPERLINK("http://www.twitter.com/slawlerlib", "slawlerlib")</f>
        <v>slawlerlib</v>
      </c>
      <c r="B2263" s="65" t="s">
        <v>318</v>
      </c>
    </row>
    <row r="2264" spans="1:2" x14ac:dyDescent="0.25">
      <c r="A2264" s="64" t="str">
        <f>HYPERLINK("http://www.twitter.com/BIPCHull", "BIPCHull")</f>
        <v>BIPCHull</v>
      </c>
      <c r="B2264" s="65" t="s">
        <v>2492</v>
      </c>
    </row>
    <row r="2265" spans="1:2" x14ac:dyDescent="0.25">
      <c r="A2265" s="64" t="str">
        <f>HYPERLINK("http://www.twitter.com/hcorneliadean", "hcorneliadean")</f>
        <v>hcorneliadean</v>
      </c>
      <c r="B2265" s="65" t="s">
        <v>4308</v>
      </c>
    </row>
    <row r="2266" spans="1:2" x14ac:dyDescent="0.25">
      <c r="A2266" s="64" t="str">
        <f>HYPERLINK("http://www.twitter.com/msteele071", "msteele071")</f>
        <v>msteele071</v>
      </c>
      <c r="B2266" s="65" t="s">
        <v>135</v>
      </c>
    </row>
    <row r="2267" spans="1:2" x14ac:dyDescent="0.25">
      <c r="A2267" s="64" t="str">
        <f>HYPERLINK("http://www.twitter.com/richardclack", "richardclack")</f>
        <v>richardclack</v>
      </c>
      <c r="B2267" s="65"/>
    </row>
    <row r="2268" spans="1:2" x14ac:dyDescent="0.25">
      <c r="A2268" s="64" t="str">
        <f>HYPERLINK("http://www.twitter.com/JasminLatimer1", "JasminLatimer1")</f>
        <v>JasminLatimer1</v>
      </c>
      <c r="B2268" s="65"/>
    </row>
    <row r="2269" spans="1:2" x14ac:dyDescent="0.25">
      <c r="A2269" s="64" t="str">
        <f>HYPERLINK("http://www.twitter.com/theweewriter", "theweewriter")</f>
        <v>theweewriter</v>
      </c>
      <c r="B2269" s="65" t="s">
        <v>2007</v>
      </c>
    </row>
    <row r="2270" spans="1:2" x14ac:dyDescent="0.25">
      <c r="A2270" s="64" t="str">
        <f>HYPERLINK("http://www.twitter.com/sarah78502033", "sarah78502033")</f>
        <v>sarah78502033</v>
      </c>
      <c r="B2270" s="65"/>
    </row>
    <row r="2271" spans="1:2" x14ac:dyDescent="0.25">
      <c r="A2271" s="64" t="str">
        <f>HYPERLINK("http://www.twitter.com/AraDoriaForFun", "AraDoriaForFun")</f>
        <v>AraDoriaForFun</v>
      </c>
      <c r="B2271" s="65" t="s">
        <v>3804</v>
      </c>
    </row>
    <row r="2272" spans="1:2" x14ac:dyDescent="0.25">
      <c r="A2272" s="64" t="str">
        <f>HYPERLINK("http://www.twitter.com/fireboysmum", "fireboysmum")</f>
        <v>fireboysmum</v>
      </c>
      <c r="B2272" s="65"/>
    </row>
    <row r="2273" spans="1:2" x14ac:dyDescent="0.25">
      <c r="A2273" s="64" t="str">
        <f>HYPERLINK("http://www.twitter.com/weetassie22", "weetassie22")</f>
        <v>weetassie22</v>
      </c>
      <c r="B2273" s="65"/>
    </row>
    <row r="2274" spans="1:2" x14ac:dyDescent="0.25">
      <c r="A2274" s="64" t="str">
        <f>HYPERLINK("http://www.twitter.com/catangus", "catangus")</f>
        <v>catangus</v>
      </c>
      <c r="B2274" s="65" t="s">
        <v>318</v>
      </c>
    </row>
    <row r="2275" spans="1:2" x14ac:dyDescent="0.25">
      <c r="A2275" s="64" t="str">
        <f>HYPERLINK("http://www.twitter.com/PerthAdvocacy", "PerthAdvocacy")</f>
        <v>PerthAdvocacy</v>
      </c>
      <c r="B2275" s="65" t="s">
        <v>3773</v>
      </c>
    </row>
    <row r="2276" spans="1:2" x14ac:dyDescent="0.25">
      <c r="A2276" s="64" t="str">
        <f>HYPERLINK("http://www.twitter.com/Right2Books", "Right2Books")</f>
        <v>Right2Books</v>
      </c>
      <c r="B2276" s="65" t="s">
        <v>477</v>
      </c>
    </row>
    <row r="2277" spans="1:2" x14ac:dyDescent="0.25">
      <c r="A2277" s="64" t="str">
        <f>HYPERLINK("http://www.twitter.com/theA9guy", "theA9guy")</f>
        <v>theA9guy</v>
      </c>
      <c r="B2277" s="65" t="s">
        <v>3773</v>
      </c>
    </row>
    <row r="2278" spans="1:2" x14ac:dyDescent="0.25">
      <c r="A2278" s="64" t="str">
        <f>HYPERLINK("http://www.twitter.com/freshbridgeco", "freshbridgeco")</f>
        <v>freshbridgeco</v>
      </c>
      <c r="B2278" s="65" t="s">
        <v>569</v>
      </c>
    </row>
    <row r="2279" spans="1:2" x14ac:dyDescent="0.25">
      <c r="A2279" s="64" t="str">
        <f>HYPERLINK("http://www.twitter.com/dewlapsdrool", "dewlapsdrool")</f>
        <v>dewlapsdrool</v>
      </c>
      <c r="B2279" s="65"/>
    </row>
    <row r="2280" spans="1:2" x14ac:dyDescent="0.25">
      <c r="A2280" s="64" t="str">
        <f>HYPERLINK("http://www.twitter.com/murton_trust", "murton_trust")</f>
        <v>murton_trust</v>
      </c>
      <c r="B2280" s="65" t="s">
        <v>1905</v>
      </c>
    </row>
    <row r="2281" spans="1:2" x14ac:dyDescent="0.25">
      <c r="A2281" s="64" t="str">
        <f>HYPERLINK("http://www.twitter.com/ruthpeace10", "ruthpeace10")</f>
        <v>ruthpeace10</v>
      </c>
      <c r="B2281" s="65" t="s">
        <v>3762</v>
      </c>
    </row>
    <row r="2282" spans="1:2" x14ac:dyDescent="0.25">
      <c r="A2282" s="64" t="str">
        <f>HYPERLINK("http://www.twitter.com/ic_uhi_research", "ic_uhi_research")</f>
        <v>ic_uhi_research</v>
      </c>
      <c r="B2282" s="65" t="s">
        <v>4447</v>
      </c>
    </row>
    <row r="2283" spans="1:2" x14ac:dyDescent="0.25">
      <c r="A2283" s="64" t="str">
        <f>HYPERLINK("http://www.twitter.com/slscarth", "slscarth")</f>
        <v>slscarth</v>
      </c>
      <c r="B2283" s="65"/>
    </row>
    <row r="2284" spans="1:2" x14ac:dyDescent="0.25">
      <c r="A2284" s="64" t="str">
        <f>HYPERLINK("http://www.twitter.com/Flora2590", "Flora2590")</f>
        <v>Flora2590</v>
      </c>
      <c r="B2284" s="65" t="s">
        <v>138</v>
      </c>
    </row>
    <row r="2285" spans="1:2" x14ac:dyDescent="0.25">
      <c r="A2285" s="64" t="str">
        <f>HYPERLINK("http://www.twitter.com/grigg_nicola", "grigg_nicola")</f>
        <v>grigg_nicola</v>
      </c>
      <c r="B2285" s="65"/>
    </row>
    <row r="2286" spans="1:2" x14ac:dyDescent="0.25">
      <c r="A2286" s="64" t="str">
        <f>HYPERLINK("http://www.twitter.com/kevinpalbrecht", "kevinpalbrecht")</f>
        <v>kevinpalbrecht</v>
      </c>
      <c r="B2286" s="65" t="s">
        <v>4210</v>
      </c>
    </row>
    <row r="2287" spans="1:2" x14ac:dyDescent="0.25">
      <c r="A2287" s="64" t="str">
        <f>HYPERLINK("http://www.twitter.com/cosaschistosasH", "cosaschistosasH")</f>
        <v>cosaschistosasH</v>
      </c>
      <c r="B2287" s="65"/>
    </row>
    <row r="2288" spans="1:2" x14ac:dyDescent="0.25">
      <c r="A2288" s="64" t="str">
        <f>HYPERLINK("http://www.twitter.com/librarygirllife", "librarygirllife")</f>
        <v>librarygirllife</v>
      </c>
      <c r="B2288" s="65"/>
    </row>
    <row r="2289" spans="1:2" x14ac:dyDescent="0.25">
      <c r="A2289" s="64" t="str">
        <f>HYPERLINK("http://www.twitter.com/stangebye_r", "stangebye_r")</f>
        <v>stangebye_r</v>
      </c>
      <c r="B2289" s="65" t="s">
        <v>4626</v>
      </c>
    </row>
    <row r="2290" spans="1:2" x14ac:dyDescent="0.25">
      <c r="A2290" s="64" t="str">
        <f>HYPERLINK("http://www.twitter.com/BirajII1", "BirajII1")</f>
        <v>BirajII1</v>
      </c>
      <c r="B2290" s="65"/>
    </row>
    <row r="2291" spans="1:2" x14ac:dyDescent="0.25">
      <c r="A2291" s="64" t="str">
        <f>HYPERLINK("http://www.twitter.com/MargChaz", "MargChaz")</f>
        <v>MargChaz</v>
      </c>
      <c r="B2291" s="65" t="s">
        <v>4627</v>
      </c>
    </row>
    <row r="2292" spans="1:2" x14ac:dyDescent="0.25">
      <c r="A2292" s="64" t="str">
        <f>HYPERLINK("http://www.twitter.com/J_Sheekey", "J_Sheekey")</f>
        <v>J_Sheekey</v>
      </c>
      <c r="B2292" s="65"/>
    </row>
    <row r="2293" spans="1:2" x14ac:dyDescent="0.25">
      <c r="A2293" s="64" t="str">
        <f>HYPERLINK("http://www.twitter.com/mypamperedlife", "mypamperedlife")</f>
        <v>mypamperedlife</v>
      </c>
      <c r="B2293" s="65" t="s">
        <v>4276</v>
      </c>
    </row>
    <row r="2294" spans="1:2" x14ac:dyDescent="0.25">
      <c r="A2294" s="64" t="str">
        <f>HYPERLINK("http://www.twitter.com/Raghav0224", "Raghav0224")</f>
        <v>Raghav0224</v>
      </c>
      <c r="B2294" s="65" t="s">
        <v>4628</v>
      </c>
    </row>
    <row r="2295" spans="1:2" x14ac:dyDescent="0.25">
      <c r="A2295" s="64" t="str">
        <f>HYPERLINK("http://www.twitter.com/SGSCollegeLRC", "SGSCollegeLRC")</f>
        <v>SGSCollegeLRC</v>
      </c>
      <c r="B2295" s="65" t="s">
        <v>2645</v>
      </c>
    </row>
    <row r="2296" spans="1:2" x14ac:dyDescent="0.25">
      <c r="A2296" s="64" t="str">
        <f>HYPERLINK("http://www.twitter.com/iMPOWERHelen", "iMPOWERHelen")</f>
        <v>iMPOWERHelen</v>
      </c>
      <c r="B2296" s="65" t="s">
        <v>4629</v>
      </c>
    </row>
    <row r="2297" spans="1:2" x14ac:dyDescent="0.25">
      <c r="A2297" s="64" t="str">
        <f>HYPERLINK("http://www.twitter.com/rowbaker30", "rowbaker30")</f>
        <v>rowbaker30</v>
      </c>
      <c r="B2297" s="65"/>
    </row>
    <row r="2298" spans="1:2" x14ac:dyDescent="0.25">
      <c r="A2298" s="64" t="str">
        <f>HYPERLINK("http://www.twitter.com/resipiscence", "resipiscence")</f>
        <v>resipiscence</v>
      </c>
      <c r="B2298" s="65" t="s">
        <v>2595</v>
      </c>
    </row>
    <row r="2299" spans="1:2" x14ac:dyDescent="0.25">
      <c r="A2299" s="64" t="str">
        <f>HYPERLINK("http://www.twitter.com/bitter_amanda", "bitter_amanda")</f>
        <v>bitter_amanda</v>
      </c>
      <c r="B2299" s="65" t="s">
        <v>4255</v>
      </c>
    </row>
    <row r="2300" spans="1:2" x14ac:dyDescent="0.25">
      <c r="A2300" s="64" t="str">
        <f>HYPERLINK("http://www.twitter.com/DudleyButt", "DudleyButt")</f>
        <v>DudleyButt</v>
      </c>
      <c r="B2300" s="65"/>
    </row>
    <row r="2301" spans="1:2" x14ac:dyDescent="0.25">
      <c r="A2301" s="64" t="str">
        <f>HYPERLINK("http://www.twitter.com/sidmouthlitfest", "sidmouthlitfest")</f>
        <v>sidmouthlitfest</v>
      </c>
      <c r="B2301" s="65" t="s">
        <v>4630</v>
      </c>
    </row>
    <row r="2302" spans="1:2" x14ac:dyDescent="0.25">
      <c r="A2302" s="64" t="str">
        <f>HYPERLINK("http://www.twitter.com/tweetsbystebo", "tweetsbystebo")</f>
        <v>tweetsbystebo</v>
      </c>
      <c r="B2302" s="65"/>
    </row>
    <row r="2303" spans="1:2" x14ac:dyDescent="0.25">
      <c r="A2303" s="64" t="str">
        <f>HYPERLINK("http://www.twitter.com/wattenwendy", "wattenwendy")</f>
        <v>wattenwendy</v>
      </c>
      <c r="B2303" s="65" t="s">
        <v>4631</v>
      </c>
    </row>
    <row r="2304" spans="1:2" x14ac:dyDescent="0.25">
      <c r="A2304" s="64" t="str">
        <f>HYPERLINK("http://www.twitter.com/RNOCOrkney", "RNOCOrkney")</f>
        <v>RNOCOrkney</v>
      </c>
      <c r="B2304" s="65" t="s">
        <v>3762</v>
      </c>
    </row>
    <row r="2305" spans="1:2" x14ac:dyDescent="0.25">
      <c r="A2305" s="64" t="str">
        <f>HYPERLINK("http://www.twitter.com/clairetwin", "clairetwin")</f>
        <v>clairetwin</v>
      </c>
      <c r="B2305" s="65" t="s">
        <v>477</v>
      </c>
    </row>
    <row r="2306" spans="1:2" x14ac:dyDescent="0.25">
      <c r="A2306" s="64" t="str">
        <f>HYPERLINK("http://www.twitter.com/TahirMe54048920", "TahirMe54048920")</f>
        <v>TahirMe54048920</v>
      </c>
      <c r="B2306" s="65"/>
    </row>
    <row r="2307" spans="1:2" x14ac:dyDescent="0.25">
      <c r="A2307" s="64" t="str">
        <f>HYPERLINK("http://www.twitter.com/reneemargossian", "reneemargossian")</f>
        <v>reneemargossian</v>
      </c>
      <c r="B2307" s="65" t="s">
        <v>4632</v>
      </c>
    </row>
    <row r="2308" spans="1:2" x14ac:dyDescent="0.25">
      <c r="A2308" s="64" t="str">
        <f>HYPERLINK("http://www.twitter.com/XoMongo", "XoMongo")</f>
        <v>XoMongo</v>
      </c>
      <c r="B2308" s="65"/>
    </row>
    <row r="2309" spans="1:2" x14ac:dyDescent="0.25">
      <c r="A2309" s="64" t="str">
        <f>HYPERLINK("http://www.twitter.com/dannielachance", "dannielachance")</f>
        <v>dannielachance</v>
      </c>
      <c r="B2309" s="65" t="s">
        <v>4039</v>
      </c>
    </row>
    <row r="2310" spans="1:2" x14ac:dyDescent="0.25">
      <c r="A2310" s="64" t="str">
        <f>HYPERLINK("http://www.twitter.com/SilviaHagmayer", "SilviaHagmayer")</f>
        <v>SilviaHagmayer</v>
      </c>
      <c r="B2310" s="65"/>
    </row>
    <row r="2311" spans="1:2" x14ac:dyDescent="0.25">
      <c r="A2311" s="64" t="str">
        <f>HYPERLINK("http://www.twitter.com/presenterlouise", "presenterlouise")</f>
        <v>presenterlouise</v>
      </c>
      <c r="B2311" s="65" t="s">
        <v>4633</v>
      </c>
    </row>
    <row r="2312" spans="1:2" x14ac:dyDescent="0.25">
      <c r="A2312" s="64" t="str">
        <f>HYPERLINK("http://www.twitter.com/darkrennyb", "darkrennyb")</f>
        <v>darkrennyb</v>
      </c>
      <c r="B2312" s="65"/>
    </row>
    <row r="2313" spans="1:2" x14ac:dyDescent="0.25">
      <c r="A2313" s="64" t="str">
        <f>HYPERLINK("http://www.twitter.com/SuzieQWhite", "SuzieQWhite")</f>
        <v>SuzieQWhite</v>
      </c>
      <c r="B2313" s="65" t="s">
        <v>4634</v>
      </c>
    </row>
    <row r="2314" spans="1:2" x14ac:dyDescent="0.25">
      <c r="A2314" s="64" t="str">
        <f>HYPERLINK("http://www.twitter.com/MobileSoftSol", "MobileSoftSol")</f>
        <v>MobileSoftSol</v>
      </c>
      <c r="B2314" s="65" t="s">
        <v>296</v>
      </c>
    </row>
    <row r="2315" spans="1:2" x14ac:dyDescent="0.25">
      <c r="A2315" s="64" t="str">
        <f>HYPERLINK("http://www.twitter.com/vmeghraj9", "vmeghraj9")</f>
        <v>vmeghraj9</v>
      </c>
      <c r="B2315" s="65" t="s">
        <v>4635</v>
      </c>
    </row>
    <row r="2316" spans="1:2" x14ac:dyDescent="0.25">
      <c r="A2316" s="64" t="str">
        <f>HYPERLINK("http://www.twitter.com/confessed", "confessed")</f>
        <v>confessed</v>
      </c>
      <c r="B2316" s="65"/>
    </row>
    <row r="2317" spans="1:2" x14ac:dyDescent="0.25">
      <c r="A2317" s="64" t="str">
        <f>HYPERLINK("http://www.twitter.com/AmyxJean", "AmyxJean")</f>
        <v>AmyxJean</v>
      </c>
      <c r="B2317" s="65"/>
    </row>
    <row r="2318" spans="1:2" x14ac:dyDescent="0.25">
      <c r="A2318" s="64" t="str">
        <f>HYPERLINK("http://www.twitter.com/DianSinclair", "DianSinclair")</f>
        <v>DianSinclair</v>
      </c>
      <c r="B2318" s="65" t="s">
        <v>36</v>
      </c>
    </row>
    <row r="2319" spans="1:2" x14ac:dyDescent="0.25">
      <c r="A2319" s="64" t="str">
        <f>HYPERLINK("http://www.twitter.com/JanJoostBouwman", "JanJoostBouwman")</f>
        <v>JanJoostBouwman</v>
      </c>
      <c r="B2319" s="65" t="s">
        <v>4636</v>
      </c>
    </row>
    <row r="2320" spans="1:2" x14ac:dyDescent="0.25">
      <c r="A2320" s="64" t="str">
        <f>HYPERLINK("http://www.twitter.com/KaranGarcha", "KaranGarcha")</f>
        <v>KaranGarcha</v>
      </c>
      <c r="B2320" s="65" t="s">
        <v>36</v>
      </c>
    </row>
    <row r="2321" spans="1:2" x14ac:dyDescent="0.25">
      <c r="A2321" s="64" t="str">
        <f>HYPERLINK("http://www.twitter.com/SJHatzi", "SJHatzi")</f>
        <v>SJHatzi</v>
      </c>
      <c r="B2321" s="65" t="s">
        <v>4637</v>
      </c>
    </row>
    <row r="2322" spans="1:2" x14ac:dyDescent="0.25">
      <c r="A2322" s="64" t="str">
        <f>HYPERLINK("http://www.twitter.com/MikeBerg666", "MikeBerg666")</f>
        <v>MikeBerg666</v>
      </c>
      <c r="B2322" s="65"/>
    </row>
    <row r="2323" spans="1:2" x14ac:dyDescent="0.25">
      <c r="A2323" s="64" t="str">
        <f>HYPERLINK("http://www.twitter.com/UltScrutiny", "UltScrutiny")</f>
        <v>UltScrutiny</v>
      </c>
      <c r="B2323" s="65" t="s">
        <v>2102</v>
      </c>
    </row>
    <row r="2324" spans="1:2" x14ac:dyDescent="0.25">
      <c r="A2324" s="64" t="str">
        <f>HYPERLINK("http://www.twitter.com/jomack83", "jomack83")</f>
        <v>jomack83</v>
      </c>
      <c r="B2324" s="65" t="s">
        <v>4447</v>
      </c>
    </row>
    <row r="2325" spans="1:2" x14ac:dyDescent="0.25">
      <c r="A2325" s="64" t="str">
        <f>HYPERLINK("http://www.twitter.com/alicurrie26", "alicurrie26")</f>
        <v>alicurrie26</v>
      </c>
      <c r="B2325" s="65"/>
    </row>
    <row r="2326" spans="1:2" x14ac:dyDescent="0.25">
      <c r="A2326" s="64" t="str">
        <f>HYPERLINK("http://www.twitter.com/Mariot_Leslie", "Mariot_Leslie")</f>
        <v>Mariot_Leslie</v>
      </c>
      <c r="B2326" s="65"/>
    </row>
    <row r="2327" spans="1:2" x14ac:dyDescent="0.25">
      <c r="A2327" s="64" t="str">
        <f>HYPERLINK("http://www.twitter.com/NewsOrkney", "NewsOrkney")</f>
        <v>NewsOrkney</v>
      </c>
      <c r="B2327" s="65" t="s">
        <v>4638</v>
      </c>
    </row>
    <row r="2328" spans="1:2" x14ac:dyDescent="0.25">
      <c r="A2328" s="64" t="str">
        <f>HYPERLINK("http://www.twitter.com/Dorothy_Aidulis", "Dorothy_Aidulis")</f>
        <v>Dorothy_Aidulis</v>
      </c>
      <c r="B2328" s="65"/>
    </row>
    <row r="2329" spans="1:2" x14ac:dyDescent="0.25">
      <c r="A2329" s="64" t="str">
        <f>HYPERLINK("http://www.twitter.com/Jim_Moor", "Jim_Moor")</f>
        <v>Jim_Moor</v>
      </c>
      <c r="B2329" s="65" t="s">
        <v>4639</v>
      </c>
    </row>
    <row r="2330" spans="1:2" x14ac:dyDescent="0.25">
      <c r="A2330" s="64" t="str">
        <f>HYPERLINK("http://www.twitter.com/jennie_patt", "jennie_patt")</f>
        <v>jennie_patt</v>
      </c>
      <c r="B2330" s="65" t="s">
        <v>4640</v>
      </c>
    </row>
    <row r="2331" spans="1:2" x14ac:dyDescent="0.25">
      <c r="A2331" s="64" t="str">
        <f>HYPERLINK("http://www.twitter.com/RuthaSymes", "RuthaSymes")</f>
        <v>RuthaSymes</v>
      </c>
      <c r="B2331" s="65" t="s">
        <v>4641</v>
      </c>
    </row>
    <row r="2332" spans="1:2" x14ac:dyDescent="0.25">
      <c r="A2332" s="64" t="str">
        <f>HYPERLINK("http://www.twitter.com/N7EJA", "N7EJA")</f>
        <v>N7EJA</v>
      </c>
      <c r="B2332" s="65" t="s">
        <v>4642</v>
      </c>
    </row>
    <row r="2333" spans="1:2" x14ac:dyDescent="0.25">
      <c r="A2333" s="64" t="str">
        <f>HYPERLINK("http://www.twitter.com/BC_ALA", "BC_ALA")</f>
        <v>BC_ALA</v>
      </c>
      <c r="B2333" s="65" t="s">
        <v>3863</v>
      </c>
    </row>
    <row r="2334" spans="1:2" x14ac:dyDescent="0.25">
      <c r="A2334" s="64" t="str">
        <f>HYPERLINK("http://www.twitter.com/designrecycle", "designrecycle")</f>
        <v>designrecycle</v>
      </c>
      <c r="B2334" s="65" t="s">
        <v>2007</v>
      </c>
    </row>
    <row r="2335" spans="1:2" x14ac:dyDescent="0.25">
      <c r="A2335" s="64" t="str">
        <f>HYPERLINK("http://www.twitter.com/IanCaltech", "IanCaltech")</f>
        <v>IanCaltech</v>
      </c>
      <c r="B2335" s="65"/>
    </row>
    <row r="2336" spans="1:2" x14ac:dyDescent="0.25">
      <c r="A2336" s="64" t="str">
        <f>HYPERLINK("http://www.twitter.com/EllenHarling", "EllenHarling")</f>
        <v>EllenHarling</v>
      </c>
      <c r="B2336" s="65"/>
    </row>
    <row r="2337" spans="1:2" x14ac:dyDescent="0.25">
      <c r="A2337" s="64" t="str">
        <f>HYPERLINK("http://www.twitter.com/kidflash1102", "kidflash1102")</f>
        <v>kidflash1102</v>
      </c>
      <c r="B2337" s="65" t="s">
        <v>4643</v>
      </c>
    </row>
    <row r="2338" spans="1:2" x14ac:dyDescent="0.25">
      <c r="A2338" s="64" t="str">
        <f>HYPERLINK("http://www.twitter.com/RoziRoo", "RoziRoo")</f>
        <v>RoziRoo</v>
      </c>
      <c r="B2338" s="65" t="s">
        <v>4040</v>
      </c>
    </row>
    <row r="2339" spans="1:2" x14ac:dyDescent="0.25">
      <c r="A2339" s="64" t="str">
        <f>HYPERLINK("http://www.twitter.com/AndyGraham2001", "AndyGraham2001")</f>
        <v>AndyGraham2001</v>
      </c>
      <c r="B2339" s="65" t="s">
        <v>4644</v>
      </c>
    </row>
    <row r="2340" spans="1:2" x14ac:dyDescent="0.25">
      <c r="A2340" s="64" t="str">
        <f>HYPERLINK("http://www.twitter.com/CivicLilly1", "CivicLilly1")</f>
        <v>CivicLilly1</v>
      </c>
      <c r="B2340" s="65" t="s">
        <v>517</v>
      </c>
    </row>
    <row r="2341" spans="1:2" x14ac:dyDescent="0.25">
      <c r="A2341" s="64" t="str">
        <f>HYPERLINK("http://www.twitter.com/ThigArLatha", "ThigArLatha")</f>
        <v>ThigArLatha</v>
      </c>
      <c r="B2341" s="65" t="s">
        <v>4645</v>
      </c>
    </row>
    <row r="2342" spans="1:2" x14ac:dyDescent="0.25">
      <c r="A2342" s="64" t="str">
        <f>HYPERLINK("http://www.twitter.com/JillWhitelock", "JillWhitelock")</f>
        <v>JillWhitelock</v>
      </c>
      <c r="B2342" s="65" t="s">
        <v>4646</v>
      </c>
    </row>
    <row r="2343" spans="1:2" x14ac:dyDescent="0.25">
      <c r="A2343" s="64" t="str">
        <f>HYPERLINK("http://www.twitter.com/caitmellow", "caitmellow")</f>
        <v>caitmellow</v>
      </c>
      <c r="B2343" s="65" t="s">
        <v>36</v>
      </c>
    </row>
    <row r="2344" spans="1:2" x14ac:dyDescent="0.25">
      <c r="A2344" s="64" t="str">
        <f>HYPERLINK("http://www.twitter.com/harpersoasis", "harpersoasis")</f>
        <v>harpersoasis</v>
      </c>
      <c r="B2344" s="65" t="s">
        <v>4647</v>
      </c>
    </row>
    <row r="2345" spans="1:2" x14ac:dyDescent="0.25">
      <c r="A2345" s="64" t="str">
        <f>HYPERLINK("http://www.twitter.com/chiuminatto", "chiuminatto")</f>
        <v>chiuminatto</v>
      </c>
      <c r="B2345" s="65" t="s">
        <v>4648</v>
      </c>
    </row>
    <row r="2346" spans="1:2" x14ac:dyDescent="0.25">
      <c r="A2346" s="64" t="str">
        <f>HYPERLINK("http://www.twitter.com/LauraNetmums", "LauraNetmums")</f>
        <v>LauraNetmums</v>
      </c>
      <c r="B2346" s="65" t="s">
        <v>318</v>
      </c>
    </row>
    <row r="2347" spans="1:2" x14ac:dyDescent="0.25">
      <c r="A2347" s="64" t="str">
        <f>HYPERLINK("http://www.twitter.com/jenunexpected", "jenunexpected")</f>
        <v>jenunexpected</v>
      </c>
      <c r="B2347" s="65" t="s">
        <v>4649</v>
      </c>
    </row>
    <row r="2348" spans="1:2" x14ac:dyDescent="0.25">
      <c r="A2348" s="64" t="str">
        <f>HYPERLINK("http://www.twitter.com/monkeydavid", "monkeydavid")</f>
        <v>monkeydavid</v>
      </c>
      <c r="B2348" s="65" t="s">
        <v>4229</v>
      </c>
    </row>
    <row r="2349" spans="1:2" x14ac:dyDescent="0.25">
      <c r="A2349" s="64" t="str">
        <f>HYPERLINK("http://www.twitter.com/DMasursky", "DMasursky")</f>
        <v>DMasursky</v>
      </c>
      <c r="B2349" s="65" t="s">
        <v>4650</v>
      </c>
    </row>
    <row r="2350" spans="1:2" x14ac:dyDescent="0.25">
      <c r="A2350" s="64" t="str">
        <f>HYPERLINK("http://www.twitter.com/Londra1977", "Londra1977")</f>
        <v>Londra1977</v>
      </c>
      <c r="B2350" s="65"/>
    </row>
    <row r="2351" spans="1:2" x14ac:dyDescent="0.25">
      <c r="A2351" s="64" t="str">
        <f>HYPERLINK("http://www.twitter.com/11Pens", "11Pens")</f>
        <v>11Pens</v>
      </c>
      <c r="B2351" s="65" t="s">
        <v>4651</v>
      </c>
    </row>
    <row r="2352" spans="1:2" x14ac:dyDescent="0.25">
      <c r="A2352" s="64" t="str">
        <f>HYPERLINK("http://www.twitter.com/Brian_Cooney", "Brian_Cooney")</f>
        <v>Brian_Cooney</v>
      </c>
      <c r="B2352" s="65"/>
    </row>
    <row r="2353" spans="1:2" x14ac:dyDescent="0.25">
      <c r="A2353" s="64" t="str">
        <f>HYPERLINK("http://www.twitter.com/szikratigris", "szikratigris")</f>
        <v>szikratigris</v>
      </c>
      <c r="B2353" s="65" t="s">
        <v>4652</v>
      </c>
    </row>
    <row r="2354" spans="1:2" x14ac:dyDescent="0.25">
      <c r="A2354" s="64" t="str">
        <f>HYPERLINK("http://www.twitter.com/oskym02", "oskym02")</f>
        <v>oskym02</v>
      </c>
      <c r="B2354" s="65" t="s">
        <v>3762</v>
      </c>
    </row>
    <row r="2355" spans="1:2" x14ac:dyDescent="0.25">
      <c r="A2355" s="64" t="str">
        <f>HYPERLINK("http://www.twitter.com/JackieKirkham", "JackieKirkham")</f>
        <v>JackieKirkham</v>
      </c>
      <c r="B2355" s="65" t="s">
        <v>3875</v>
      </c>
    </row>
    <row r="2356" spans="1:2" x14ac:dyDescent="0.25">
      <c r="A2356" s="64" t="str">
        <f>HYPERLINK("http://www.twitter.com/cgarner100", "cgarner100")</f>
        <v>cgarner100</v>
      </c>
      <c r="B2356" s="65" t="s">
        <v>4653</v>
      </c>
    </row>
    <row r="2357" spans="1:2" x14ac:dyDescent="0.25">
      <c r="A2357" s="64" t="str">
        <f>HYPERLINK("http://www.twitter.com/PerryWrites", "PerryWrites")</f>
        <v>PerryWrites</v>
      </c>
      <c r="B2357" s="65"/>
    </row>
    <row r="2358" spans="1:2" x14ac:dyDescent="0.25">
      <c r="A2358" s="64" t="str">
        <f>HYPERLINK("http://www.twitter.com/jecca2302", "jecca2302")</f>
        <v>jecca2302</v>
      </c>
      <c r="B2358" s="65" t="s">
        <v>4654</v>
      </c>
    </row>
    <row r="2359" spans="1:2" x14ac:dyDescent="0.25">
      <c r="A2359" s="64" t="str">
        <f>HYPERLINK("http://www.twitter.com/katie_sheehk", "katie_sheehk")</f>
        <v>katie_sheehk</v>
      </c>
      <c r="B2359" s="65" t="s">
        <v>4655</v>
      </c>
    </row>
    <row r="2360" spans="1:2" x14ac:dyDescent="0.25">
      <c r="A2360" s="64" t="str">
        <f>HYPERLINK("http://www.twitter.com/Shonza10", "Shonza10")</f>
        <v>Shonza10</v>
      </c>
      <c r="B2360" s="65" t="s">
        <v>4656</v>
      </c>
    </row>
    <row r="2361" spans="1:2" x14ac:dyDescent="0.25">
      <c r="A2361" s="64" t="str">
        <f>HYPERLINK("http://www.twitter.com/BipolarScotland", "BipolarScotland")</f>
        <v>BipolarScotland</v>
      </c>
      <c r="B2361" s="65" t="s">
        <v>517</v>
      </c>
    </row>
    <row r="2362" spans="1:2" x14ac:dyDescent="0.25">
      <c r="A2362" s="64" t="str">
        <f>HYPERLINK("http://www.twitter.com/fundacionTyPA", "fundacionTyPA")</f>
        <v>fundacionTyPA</v>
      </c>
      <c r="B2362" s="65" t="s">
        <v>4365</v>
      </c>
    </row>
    <row r="2363" spans="1:2" x14ac:dyDescent="0.25">
      <c r="A2363" s="64" t="str">
        <f>HYPERLINK("http://www.twitter.com/janclements64", "janclements64")</f>
        <v>janclements64</v>
      </c>
      <c r="B2363" s="65"/>
    </row>
    <row r="2364" spans="1:2" x14ac:dyDescent="0.25">
      <c r="A2364" s="64" t="str">
        <f>HYPERLINK("http://www.twitter.com/Deborah089", "Deborah089")</f>
        <v>Deborah089</v>
      </c>
      <c r="B2364" s="65"/>
    </row>
    <row r="2365" spans="1:2" x14ac:dyDescent="0.25">
      <c r="A2365" s="64" t="str">
        <f>HYPERLINK("http://www.twitter.com/anitaxrae", "anitaxrae")</f>
        <v>anitaxrae</v>
      </c>
      <c r="B2365" s="65" t="s">
        <v>4657</v>
      </c>
    </row>
    <row r="2366" spans="1:2" x14ac:dyDescent="0.25">
      <c r="A2366" s="64" t="str">
        <f>HYPERLINK("http://www.twitter.com/OfPurpleRadios", "OfPurpleRadios")</f>
        <v>OfPurpleRadios</v>
      </c>
      <c r="B2366" s="65" t="s">
        <v>318</v>
      </c>
    </row>
    <row r="2367" spans="1:2" x14ac:dyDescent="0.25">
      <c r="A2367" s="64" t="str">
        <f>HYPERLINK("http://www.twitter.com/ShakeyLeaves", "ShakeyLeaves")</f>
        <v>ShakeyLeaves</v>
      </c>
      <c r="B2367" s="65" t="s">
        <v>4658</v>
      </c>
    </row>
    <row r="2368" spans="1:2" x14ac:dyDescent="0.25">
      <c r="A2368" s="64" t="str">
        <f>HYPERLINK("http://www.twitter.com/orkneyguiding", "orkneyguiding")</f>
        <v>orkneyguiding</v>
      </c>
      <c r="B2368" s="65" t="s">
        <v>20</v>
      </c>
    </row>
    <row r="2369" spans="1:2" x14ac:dyDescent="0.25">
      <c r="A2369" s="64" t="str">
        <f>HYPERLINK("http://www.twitter.com/SvenStrasen", "SvenStrasen")</f>
        <v>SvenStrasen</v>
      </c>
      <c r="B2369" s="65" t="s">
        <v>4659</v>
      </c>
    </row>
    <row r="2370" spans="1:2" x14ac:dyDescent="0.25">
      <c r="A2370" s="64" t="str">
        <f>HYPERLINK("http://www.twitter.com/ArenaFlowers", "ArenaFlowers")</f>
        <v>ArenaFlowers</v>
      </c>
      <c r="B2370" s="65" t="s">
        <v>4660</v>
      </c>
    </row>
    <row r="2371" spans="1:2" x14ac:dyDescent="0.25">
      <c r="A2371" s="64" t="str">
        <f>HYPERLINK("http://www.twitter.com/iblewakiss", "iblewakiss")</f>
        <v>iblewakiss</v>
      </c>
      <c r="B2371" s="65"/>
    </row>
    <row r="2372" spans="1:2" x14ac:dyDescent="0.25">
      <c r="A2372" s="64" t="str">
        <f>HYPERLINK("http://www.twitter.com/motherhoodhaiku", "motherhoodhaiku")</f>
        <v>motherhoodhaiku</v>
      </c>
      <c r="B2372" s="65" t="s">
        <v>2007</v>
      </c>
    </row>
    <row r="2373" spans="1:2" x14ac:dyDescent="0.25">
      <c r="A2373" s="64" t="str">
        <f>HYPERLINK("http://www.twitter.com/stuart_haggett", "stuart_haggett")</f>
        <v>stuart_haggett</v>
      </c>
      <c r="B2373" s="65" t="s">
        <v>883</v>
      </c>
    </row>
    <row r="2374" spans="1:2" x14ac:dyDescent="0.25">
      <c r="A2374" s="64" t="str">
        <f>HYPERLINK("http://www.twitter.com/Q2Education", "Q2Education")</f>
        <v>Q2Education</v>
      </c>
      <c r="B2374" s="65" t="s">
        <v>4661</v>
      </c>
    </row>
    <row r="2375" spans="1:2" x14ac:dyDescent="0.25">
      <c r="A2375" s="64" t="str">
        <f>HYPERLINK("http://www.twitter.com/luciaaleblanc", "luciaaleblanc")</f>
        <v>luciaaleblanc</v>
      </c>
      <c r="B2375" s="65"/>
    </row>
    <row r="2376" spans="1:2" x14ac:dyDescent="0.25">
      <c r="A2376" s="64" t="str">
        <f>HYPERLINK("http://www.twitter.com/Carla1234554321", "Carla1234554321")</f>
        <v>Carla1234554321</v>
      </c>
      <c r="B2376" s="65"/>
    </row>
    <row r="2377" spans="1:2" x14ac:dyDescent="0.25">
      <c r="A2377" s="64" t="str">
        <f>HYPERLINK("http://www.twitter.com/TalynMDR", "TalynMDR")</f>
        <v>TalynMDR</v>
      </c>
      <c r="B2377" s="65" t="s">
        <v>4662</v>
      </c>
    </row>
    <row r="2378" spans="1:2" x14ac:dyDescent="0.25">
      <c r="A2378" s="64" t="str">
        <f>HYPERLINK("http://www.twitter.com/GBKY", "GBKY")</f>
        <v>GBKY</v>
      </c>
      <c r="B2378" s="65" t="s">
        <v>4663</v>
      </c>
    </row>
    <row r="2379" spans="1:2" x14ac:dyDescent="0.25">
      <c r="A2379" s="64" t="str">
        <f>HYPERLINK("http://www.twitter.com/CILIP_Reporter", "CILIP_Reporter")</f>
        <v>CILIP_Reporter</v>
      </c>
      <c r="B2379" s="65" t="s">
        <v>4500</v>
      </c>
    </row>
    <row r="2380" spans="1:2" x14ac:dyDescent="0.25">
      <c r="A2380" s="64" t="str">
        <f>HYPERLINK("http://www.twitter.com/malcolmjrussell", "malcolmjrussell")</f>
        <v>malcolmjrussell</v>
      </c>
      <c r="B2380" s="65" t="s">
        <v>4664</v>
      </c>
    </row>
    <row r="2381" spans="1:2" x14ac:dyDescent="0.25">
      <c r="A2381" s="64" t="str">
        <f>HYPERLINK("http://www.twitter.com/librariansL2L", "librariansL2L")</f>
        <v>librariansL2L</v>
      </c>
      <c r="B2381" s="65" t="s">
        <v>4062</v>
      </c>
    </row>
    <row r="2382" spans="1:2" x14ac:dyDescent="0.25">
      <c r="A2382" s="64" t="str">
        <f>HYPERLINK("http://www.twitter.com/boobygraffoe", "boobygraffoe")</f>
        <v>boobygraffoe</v>
      </c>
      <c r="B2382" s="65" t="s">
        <v>4665</v>
      </c>
    </row>
    <row r="2383" spans="1:2" x14ac:dyDescent="0.25">
      <c r="A2383" s="64" t="str">
        <f>HYPERLINK("http://www.twitter.com/MizMoxey", "MizMoxey")</f>
        <v>MizMoxey</v>
      </c>
      <c r="B2383" s="65" t="s">
        <v>24</v>
      </c>
    </row>
    <row r="2384" spans="1:2" x14ac:dyDescent="0.25">
      <c r="A2384" s="64" t="str">
        <f>HYPERLINK("http://www.twitter.com/DonaldWin_", "DonaldWin_")</f>
        <v>DonaldWin_</v>
      </c>
      <c r="B2384" s="65" t="s">
        <v>36</v>
      </c>
    </row>
    <row r="2385" spans="1:2" x14ac:dyDescent="0.25">
      <c r="A2385" s="64" t="str">
        <f>HYPERLINK("http://www.twitter.com/OrkneyFishShop", "OrkneyFishShop")</f>
        <v>OrkneyFishShop</v>
      </c>
      <c r="B2385" s="65" t="s">
        <v>4223</v>
      </c>
    </row>
    <row r="2386" spans="1:2" x14ac:dyDescent="0.25">
      <c r="A2386" s="64" t="str">
        <f>HYPERLINK("http://www.twitter.com/Jenni4reid", "Jenni4reid")</f>
        <v>Jenni4reid</v>
      </c>
      <c r="B2386" s="65"/>
    </row>
    <row r="2387" spans="1:2" x14ac:dyDescent="0.25">
      <c r="A2387" s="64" t="str">
        <f>HYPERLINK("http://www.twitter.com/whatsontheatre", "whatsontheatre")</f>
        <v>whatsontheatre</v>
      </c>
      <c r="B2387" s="65"/>
    </row>
    <row r="2388" spans="1:2" x14ac:dyDescent="0.25">
      <c r="A2388" s="64" t="str">
        <f>HYPERLINK("http://www.twitter.com/Jaymedicmobile", "Jaymedicmobile")</f>
        <v>Jaymedicmobile</v>
      </c>
      <c r="B2388" s="65" t="s">
        <v>4666</v>
      </c>
    </row>
    <row r="2389" spans="1:2" x14ac:dyDescent="0.25">
      <c r="A2389" s="64" t="str">
        <f>HYPERLINK("http://www.twitter.com/jalamac99", "jalamac99")</f>
        <v>jalamac99</v>
      </c>
      <c r="B2389" s="65" t="s">
        <v>4667</v>
      </c>
    </row>
    <row r="2390" spans="1:2" x14ac:dyDescent="0.25">
      <c r="A2390" s="64" t="str">
        <f>HYPERLINK("http://www.twitter.com/PhatRoryP", "PhatRoryP")</f>
        <v>PhatRoryP</v>
      </c>
      <c r="B2390" s="65" t="s">
        <v>4668</v>
      </c>
    </row>
    <row r="2391" spans="1:2" x14ac:dyDescent="0.25">
      <c r="A2391" s="64" t="str">
        <f>HYPERLINK("http://www.twitter.com/ellesmere4", "ellesmere4")</f>
        <v>ellesmere4</v>
      </c>
      <c r="B2391" s="65"/>
    </row>
    <row r="2392" spans="1:2" x14ac:dyDescent="0.25">
      <c r="A2392" s="64" t="str">
        <f>HYPERLINK("http://www.twitter.com/Cassandrology", "Cassandrology")</f>
        <v>Cassandrology</v>
      </c>
      <c r="B2392" s="65"/>
    </row>
    <row r="2393" spans="1:2" x14ac:dyDescent="0.25">
      <c r="A2393" s="64" t="str">
        <f>HYPERLINK("http://www.twitter.com/katacosmic", "katacosmic")</f>
        <v>katacosmic</v>
      </c>
      <c r="B2393" s="65" t="s">
        <v>3988</v>
      </c>
    </row>
    <row r="2394" spans="1:2" x14ac:dyDescent="0.25">
      <c r="A2394" s="64" t="str">
        <f>HYPERLINK("http://www.twitter.com/MVschoollibrary", "MVschoollibrary")</f>
        <v>MVschoollibrary</v>
      </c>
      <c r="B2394" s="65"/>
    </row>
    <row r="2395" spans="1:2" x14ac:dyDescent="0.25">
      <c r="A2395" s="64" t="str">
        <f>HYPERLINK("http://www.twitter.com/lornaofarabia", "lornaofarabia")</f>
        <v>lornaofarabia</v>
      </c>
      <c r="B2395" s="65" t="s">
        <v>4669</v>
      </c>
    </row>
    <row r="2396" spans="1:2" x14ac:dyDescent="0.25">
      <c r="A2396" s="64" t="str">
        <f>HYPERLINK("http://www.twitter.com/NewMakarsSearch", "NewMakarsSearch")</f>
        <v>NewMakarsSearch</v>
      </c>
      <c r="B2396" s="65" t="s">
        <v>487</v>
      </c>
    </row>
    <row r="2397" spans="1:2" x14ac:dyDescent="0.25">
      <c r="A2397" s="64" t="str">
        <f>HYPERLINK("http://www.twitter.com/Raemss", "Raemss")</f>
        <v>Raemss</v>
      </c>
      <c r="B2397" s="65"/>
    </row>
    <row r="2398" spans="1:2" x14ac:dyDescent="0.25">
      <c r="A2398" s="64" t="str">
        <f>HYPERLINK("http://www.twitter.com/JaqGal", "JaqGal")</f>
        <v>JaqGal</v>
      </c>
      <c r="B2398" s="65"/>
    </row>
    <row r="2399" spans="1:2" x14ac:dyDescent="0.25">
      <c r="A2399" s="64" t="str">
        <f>HYPERLINK("http://www.twitter.com/finebalance13", "finebalance13")</f>
        <v>finebalance13</v>
      </c>
      <c r="B2399" s="65"/>
    </row>
    <row r="2400" spans="1:2" x14ac:dyDescent="0.25">
      <c r="A2400" s="64" t="str">
        <f>HYPERLINK("http://www.twitter.com/DMPWannabeInVB", "DMPWannabeInVB")</f>
        <v>DMPWannabeInVB</v>
      </c>
      <c r="B2400" s="65"/>
    </row>
    <row r="2401" spans="1:2" x14ac:dyDescent="0.25">
      <c r="A2401" s="64" t="str">
        <f>HYPERLINK("http://www.twitter.com/aas_elisabeth", "aas_elisabeth")</f>
        <v>aas_elisabeth</v>
      </c>
      <c r="B2401" s="65"/>
    </row>
    <row r="2402" spans="1:2" x14ac:dyDescent="0.25">
      <c r="A2402" s="64" t="str">
        <f>HYPERLINK("http://www.twitter.com/word2art", "word2art")</f>
        <v>word2art</v>
      </c>
      <c r="B2402" s="65" t="s">
        <v>4670</v>
      </c>
    </row>
    <row r="2403" spans="1:2" x14ac:dyDescent="0.25">
      <c r="A2403" s="64" t="str">
        <f>HYPERLINK("http://www.twitter.com/MayteFernande17", "MayteFernande17")</f>
        <v>MayteFernande17</v>
      </c>
      <c r="B2403" s="65"/>
    </row>
    <row r="2404" spans="1:2" x14ac:dyDescent="0.25">
      <c r="A2404" s="64" t="str">
        <f>HYPERLINK("http://www.twitter.com/ttsiegel", "ttsiegel")</f>
        <v>ttsiegel</v>
      </c>
      <c r="B2404" s="65"/>
    </row>
    <row r="2405" spans="1:2" x14ac:dyDescent="0.25">
      <c r="A2405" s="64" t="str">
        <f>HYPERLINK("http://www.twitter.com/gshawisme", "gshawisme")</f>
        <v>gshawisme</v>
      </c>
      <c r="B2405" s="65" t="s">
        <v>4671</v>
      </c>
    </row>
    <row r="2406" spans="1:2" x14ac:dyDescent="0.25">
      <c r="A2406" s="64" t="str">
        <f>HYPERLINK("http://www.twitter.com/OmniHomework", "OmniHomework")</f>
        <v>OmniHomework</v>
      </c>
      <c r="B2406" s="65" t="s">
        <v>70</v>
      </c>
    </row>
    <row r="2407" spans="1:2" x14ac:dyDescent="0.25">
      <c r="A2407" s="64" t="str">
        <f>HYPERLINK("http://www.twitter.com/geraldineditta1", "geraldineditta1")</f>
        <v>geraldineditta1</v>
      </c>
      <c r="B2407" s="65" t="s">
        <v>4672</v>
      </c>
    </row>
    <row r="2408" spans="1:2" x14ac:dyDescent="0.25">
      <c r="A2408" s="64" t="str">
        <f>HYPERLINK("http://www.twitter.com/nellie1812dean", "nellie1812dean")</f>
        <v>nellie1812dean</v>
      </c>
      <c r="B2408" s="65"/>
    </row>
    <row r="2409" spans="1:2" x14ac:dyDescent="0.25">
      <c r="A2409" s="64" t="str">
        <f>HYPERLINK("http://www.twitter.com/BigBluePen", "BigBluePen")</f>
        <v>BigBluePen</v>
      </c>
      <c r="B2409" s="65" t="s">
        <v>4147</v>
      </c>
    </row>
    <row r="2410" spans="1:2" x14ac:dyDescent="0.25">
      <c r="A2410" s="64" t="str">
        <f>HYPERLINK("http://www.twitter.com/tfpl_Ltd", "tfpl_Ltd")</f>
        <v>tfpl_Ltd</v>
      </c>
      <c r="B2410" s="65" t="s">
        <v>4673</v>
      </c>
    </row>
    <row r="2411" spans="1:2" x14ac:dyDescent="0.25">
      <c r="A2411" s="64" t="str">
        <f>HYPERLINK("http://www.twitter.com/thebeatcroft", "thebeatcroft")</f>
        <v>thebeatcroft</v>
      </c>
      <c r="B2411" s="65" t="s">
        <v>4674</v>
      </c>
    </row>
    <row r="2412" spans="1:2" x14ac:dyDescent="0.25">
      <c r="A2412" s="64" t="str">
        <f>HYPERLINK("http://www.twitter.com/ClaudiaHusbands", "ClaudiaHusbands")</f>
        <v>ClaudiaHusbands</v>
      </c>
      <c r="B2412" s="65"/>
    </row>
    <row r="2413" spans="1:2" x14ac:dyDescent="0.25">
      <c r="A2413" s="64" t="str">
        <f>HYPERLINK("http://www.twitter.com/shidaenainglisx", "shidaenainglisx")</f>
        <v>shidaenainglisx</v>
      </c>
      <c r="B2413" s="65"/>
    </row>
    <row r="2414" spans="1:2" x14ac:dyDescent="0.25">
      <c r="A2414" s="64" t="str">
        <f>HYPERLINK("http://www.twitter.com/iversayy", "iversayy")</f>
        <v>iversayy</v>
      </c>
      <c r="B2414" s="65" t="s">
        <v>4675</v>
      </c>
    </row>
    <row r="2415" spans="1:2" x14ac:dyDescent="0.25">
      <c r="A2415" s="64" t="str">
        <f>HYPERLINK("http://www.twitter.com/GillSmith55", "GillSmith55")</f>
        <v>GillSmith55</v>
      </c>
      <c r="B2415" s="65"/>
    </row>
    <row r="2416" spans="1:2" x14ac:dyDescent="0.25">
      <c r="A2416" s="64" t="str">
        <f>HYPERLINK("http://www.twitter.com/LibMarketer", "LibMarketer")</f>
        <v>LibMarketer</v>
      </c>
      <c r="B2416" s="65" t="s">
        <v>4116</v>
      </c>
    </row>
    <row r="2417" spans="1:2" x14ac:dyDescent="0.25">
      <c r="A2417" s="64" t="str">
        <f>HYPERLINK("http://www.twitter.com/RosenzweigBooks", "RosenzweigBooks")</f>
        <v>RosenzweigBooks</v>
      </c>
      <c r="B2417" s="65"/>
    </row>
    <row r="2418" spans="1:2" x14ac:dyDescent="0.25">
      <c r="A2418" s="64" t="str">
        <f>HYPERLINK("http://www.twitter.com/lozpublishing", "lozpublishing")</f>
        <v>lozpublishing</v>
      </c>
      <c r="B2418" s="65"/>
    </row>
    <row r="2419" spans="1:2" x14ac:dyDescent="0.25">
      <c r="A2419" s="64" t="str">
        <f>HYPERLINK("http://www.twitter.com/lynsey1889", "lynsey1889")</f>
        <v>lynsey1889</v>
      </c>
      <c r="B2419" s="65" t="s">
        <v>2007</v>
      </c>
    </row>
    <row r="2420" spans="1:2" x14ac:dyDescent="0.25">
      <c r="A2420" s="64" t="str">
        <f>HYPERLINK("http://www.twitter.com/MarianneBungo", "MarianneBungo")</f>
        <v>MarianneBungo</v>
      </c>
      <c r="B2420" s="65" t="s">
        <v>138</v>
      </c>
    </row>
    <row r="2421" spans="1:2" x14ac:dyDescent="0.25">
      <c r="A2421" s="64" t="str">
        <f>HYPERLINK("http://www.twitter.com/library_love", "library_love")</f>
        <v>library_love</v>
      </c>
      <c r="B2421" s="65" t="s">
        <v>4676</v>
      </c>
    </row>
    <row r="2422" spans="1:2" x14ac:dyDescent="0.25">
      <c r="A2422" s="64" t="str">
        <f>HYPERLINK("http://www.twitter.com/CarolineMcDerm1", "CarolineMcDerm1")</f>
        <v>CarolineMcDerm1</v>
      </c>
      <c r="B2422" s="65"/>
    </row>
    <row r="2423" spans="1:2" x14ac:dyDescent="0.25">
      <c r="A2423" s="64" t="str">
        <f>HYPERLINK("http://www.twitter.com/cdif1fan", "cdif1fan")</f>
        <v>cdif1fan</v>
      </c>
      <c r="B2423" s="65" t="s">
        <v>4580</v>
      </c>
    </row>
    <row r="2424" spans="1:2" x14ac:dyDescent="0.25">
      <c r="A2424" s="64" t="str">
        <f>HYPERLINK("http://www.twitter.com/writingruth", "writingruth")</f>
        <v>writingruth</v>
      </c>
      <c r="B2424" s="65"/>
    </row>
    <row r="2425" spans="1:2" x14ac:dyDescent="0.25">
      <c r="A2425" s="64" t="str">
        <f>HYPERLINK("http://www.twitter.com/MoonCatsRecords", "MoonCatsRecords")</f>
        <v>MoonCatsRecords</v>
      </c>
      <c r="B2425" s="65" t="s">
        <v>487</v>
      </c>
    </row>
    <row r="2426" spans="1:2" x14ac:dyDescent="0.25">
      <c r="A2426" s="64" t="str">
        <f>HYPERLINK("http://www.twitter.com/AbiCollingwood", "AbiCollingwood")</f>
        <v>AbiCollingwood</v>
      </c>
      <c r="B2426" s="65" t="s">
        <v>1115</v>
      </c>
    </row>
    <row r="2427" spans="1:2" x14ac:dyDescent="0.25">
      <c r="A2427" s="64" t="str">
        <f>HYPERLINK("http://www.twitter.com/lauradatno6", "lauradatno6")</f>
        <v>lauradatno6</v>
      </c>
      <c r="B2427" s="65"/>
    </row>
    <row r="2428" spans="1:2" x14ac:dyDescent="0.25">
      <c r="A2428" s="64" t="str">
        <f>HYPERLINK("http://www.twitter.com/JohnDonoghue64", "JohnDonoghue64")</f>
        <v>JohnDonoghue64</v>
      </c>
      <c r="B2428" s="65" t="s">
        <v>4677</v>
      </c>
    </row>
    <row r="2429" spans="1:2" x14ac:dyDescent="0.25">
      <c r="A2429" s="64" t="str">
        <f>HYPERLINK("http://www.twitter.com/MaryTheGreat3", "MaryTheGreat3")</f>
        <v>MaryTheGreat3</v>
      </c>
      <c r="B2429" s="65"/>
    </row>
    <row r="2430" spans="1:2" x14ac:dyDescent="0.25">
      <c r="A2430" s="64" t="str">
        <f>HYPERLINK("http://www.twitter.com/CityLIS", "CityLIS")</f>
        <v>CityLIS</v>
      </c>
      <c r="B2430" s="65" t="s">
        <v>110</v>
      </c>
    </row>
    <row r="2431" spans="1:2" x14ac:dyDescent="0.25">
      <c r="A2431" s="64" t="str">
        <f>HYPERLINK("http://www.twitter.com/lynrobinson", "lynrobinson")</f>
        <v>lynrobinson</v>
      </c>
      <c r="B2431" s="65" t="s">
        <v>36</v>
      </c>
    </row>
    <row r="2432" spans="1:2" x14ac:dyDescent="0.25">
      <c r="A2432" s="64" t="str">
        <f>HYPERLINK("http://www.twitter.com/AlexCam71516905", "AlexCam71516905")</f>
        <v>AlexCam71516905</v>
      </c>
      <c r="B2432" s="65"/>
    </row>
    <row r="2433" spans="1:2" x14ac:dyDescent="0.25">
      <c r="A2433" s="64" t="str">
        <f>HYPERLINK("http://www.twitter.com/SafdarHusain145", "SafdarHusain145")</f>
        <v>SafdarHusain145</v>
      </c>
      <c r="B2433" s="65" t="s">
        <v>4572</v>
      </c>
    </row>
    <row r="2434" spans="1:2" x14ac:dyDescent="0.25">
      <c r="A2434" s="64" t="str">
        <f>HYPERLINK("http://www.twitter.com/MsdotCarriere", "MsdotCarriere")</f>
        <v>MsdotCarriere</v>
      </c>
      <c r="B2434" s="65" t="s">
        <v>4678</v>
      </c>
    </row>
    <row r="2435" spans="1:2" x14ac:dyDescent="0.25">
      <c r="A2435" s="64" t="str">
        <f>HYPERLINK("http://www.twitter.com/TEDxYDL", "TEDxYDL")</f>
        <v>TEDxYDL</v>
      </c>
      <c r="B2435" s="65" t="s">
        <v>4679</v>
      </c>
    </row>
    <row r="2436" spans="1:2" x14ac:dyDescent="0.25">
      <c r="A2436" s="64" t="str">
        <f>HYPERLINK("http://www.twitter.com/FullBookSearch", "FullBookSearch")</f>
        <v>FullBookSearch</v>
      </c>
      <c r="B2436" s="65" t="s">
        <v>4680</v>
      </c>
    </row>
    <row r="2437" spans="1:2" x14ac:dyDescent="0.25">
      <c r="A2437" s="64" t="str">
        <f>HYPERLINK("http://www.twitter.com/selkie_x", "selkie_x")</f>
        <v>selkie_x</v>
      </c>
      <c r="B2437" s="65"/>
    </row>
    <row r="2438" spans="1:2" x14ac:dyDescent="0.25">
      <c r="A2438" s="64" t="str">
        <f>HYPERLINK("http://www.twitter.com/jendimmick", "jendimmick")</f>
        <v>jendimmick</v>
      </c>
      <c r="B2438" s="65" t="s">
        <v>4174</v>
      </c>
    </row>
    <row r="2439" spans="1:2" x14ac:dyDescent="0.25">
      <c r="A2439" s="64" t="str">
        <f>HYPERLINK("http://www.twitter.com/happy_hendricks", "happy_hendricks")</f>
        <v>happy_hendricks</v>
      </c>
      <c r="B2439" s="65"/>
    </row>
    <row r="2440" spans="1:2" x14ac:dyDescent="0.25">
      <c r="A2440" s="64" t="str">
        <f>HYPERLINK("http://www.twitter.com/js_graham", "js_graham")</f>
        <v>js_graham</v>
      </c>
      <c r="B2440" s="65" t="s">
        <v>4681</v>
      </c>
    </row>
    <row r="2441" spans="1:2" x14ac:dyDescent="0.25">
      <c r="A2441" s="64" t="str">
        <f>HYPERLINK("http://www.twitter.com/nicolemessier32", "nicolemessier32")</f>
        <v>nicolemessier32</v>
      </c>
      <c r="B2441" s="65" t="s">
        <v>4503</v>
      </c>
    </row>
    <row r="2442" spans="1:2" x14ac:dyDescent="0.25">
      <c r="A2442" s="64" t="str">
        <f>HYPERLINK("http://www.twitter.com/rpetralia", "rpetralia")</f>
        <v>rpetralia</v>
      </c>
      <c r="B2442" s="65" t="s">
        <v>4682</v>
      </c>
    </row>
    <row r="2443" spans="1:2" x14ac:dyDescent="0.25">
      <c r="A2443" s="64" t="str">
        <f>HYPERLINK("http://www.twitter.com/DawesJo", "DawesJo")</f>
        <v>DawesJo</v>
      </c>
      <c r="B2443" s="65"/>
    </row>
    <row r="2444" spans="1:2" x14ac:dyDescent="0.25">
      <c r="A2444" s="64" t="str">
        <f>HYPERLINK("http://www.twitter.com/Vics2273", "Vics2273")</f>
        <v>Vics2273</v>
      </c>
      <c r="B2444" s="65" t="s">
        <v>883</v>
      </c>
    </row>
    <row r="2445" spans="1:2" x14ac:dyDescent="0.25">
      <c r="A2445" s="64" t="str">
        <f>HYPERLINK("http://www.twitter.com/TheBookbag", "TheBookbag")</f>
        <v>TheBookbag</v>
      </c>
      <c r="B2445" s="65" t="s">
        <v>296</v>
      </c>
    </row>
    <row r="2446" spans="1:2" x14ac:dyDescent="0.25">
      <c r="A2446" s="64" t="str">
        <f>HYPERLINK("http://www.twitter.com/JKFD1969", "JKFD1969")</f>
        <v>JKFD1969</v>
      </c>
      <c r="B2446" s="65" t="s">
        <v>4683</v>
      </c>
    </row>
    <row r="2447" spans="1:2" x14ac:dyDescent="0.25">
      <c r="A2447" s="64" t="str">
        <f>HYPERLINK("http://www.twitter.com/partheepansiva", "partheepansiva")</f>
        <v>partheepansiva</v>
      </c>
      <c r="B2447" s="65"/>
    </row>
    <row r="2448" spans="1:2" x14ac:dyDescent="0.25">
      <c r="A2448" s="64" t="str">
        <f>HYPERLINK("http://www.twitter.com/sajidkh95304559", "sajidkh95304559")</f>
        <v>sajidkh95304559</v>
      </c>
      <c r="B2448" s="65" t="s">
        <v>4684</v>
      </c>
    </row>
    <row r="2449" spans="1:2" x14ac:dyDescent="0.25">
      <c r="A2449" s="64" t="str">
        <f>HYPERLINK("http://www.twitter.com/helenrmarsh", "helenrmarsh")</f>
        <v>helenrmarsh</v>
      </c>
      <c r="B2449" s="65"/>
    </row>
    <row r="2450" spans="1:2" x14ac:dyDescent="0.25">
      <c r="A2450" s="64" t="str">
        <f>HYPERLINK("http://www.twitter.com/lamb_sherry", "lamb_sherry")</f>
        <v>lamb_sherry</v>
      </c>
      <c r="B2450" s="65"/>
    </row>
    <row r="2451" spans="1:2" x14ac:dyDescent="0.25">
      <c r="A2451" s="64" t="str">
        <f>HYPERLINK("http://www.twitter.com/JaniceMuir5", "JaniceMuir5")</f>
        <v>JaniceMuir5</v>
      </c>
      <c r="B2451" s="65"/>
    </row>
    <row r="2452" spans="1:2" x14ac:dyDescent="0.25">
      <c r="A2452" s="64" t="str">
        <f>HYPERLINK("http://www.twitter.com/rht72", "rht72")</f>
        <v>rht72</v>
      </c>
      <c r="B2452" s="65"/>
    </row>
    <row r="2453" spans="1:2" x14ac:dyDescent="0.25">
      <c r="A2453" s="64" t="str">
        <f>HYPERLINK("http://www.twitter.com/AzizAbd75303892", "AzizAbd75303892")</f>
        <v>AzizAbd75303892</v>
      </c>
      <c r="B2453" s="65"/>
    </row>
    <row r="2454" spans="1:2" x14ac:dyDescent="0.25">
      <c r="A2454" s="64" t="str">
        <f>HYPERLINK("http://www.twitter.com/KateStephenHLD", "KateStephenHLD")</f>
        <v>KateStephenHLD</v>
      </c>
      <c r="B2454" s="65" t="s">
        <v>4685</v>
      </c>
    </row>
    <row r="2455" spans="1:2" x14ac:dyDescent="0.25">
      <c r="A2455" s="64" t="str">
        <f>HYPERLINK("http://www.twitter.com/LittleHistoryof", "LittleHistoryof")</f>
        <v>LittleHistoryof</v>
      </c>
      <c r="B2455" s="65" t="s">
        <v>477</v>
      </c>
    </row>
    <row r="2456" spans="1:2" x14ac:dyDescent="0.25">
      <c r="A2456" s="64" t="str">
        <f>HYPERLINK("http://www.twitter.com/cst59", "cst59")</f>
        <v>cst59</v>
      </c>
      <c r="B2456" s="65" t="s">
        <v>4686</v>
      </c>
    </row>
    <row r="2457" spans="1:2" x14ac:dyDescent="0.25">
      <c r="A2457" s="64" t="str">
        <f>HYPERLINK("http://www.twitter.com/ThatChattyGirl", "ThatChattyGirl")</f>
        <v>ThatChattyGirl</v>
      </c>
      <c r="B2457" s="65"/>
    </row>
    <row r="2458" spans="1:2" x14ac:dyDescent="0.25">
      <c r="A2458" s="64" t="str">
        <f>HYPERLINK("http://www.twitter.com/Enviroken", "Enviroken")</f>
        <v>Enviroken</v>
      </c>
      <c r="B2458" s="65" t="s">
        <v>232</v>
      </c>
    </row>
    <row r="2459" spans="1:2" x14ac:dyDescent="0.25">
      <c r="A2459" s="64" t="str">
        <f>HYPERLINK("http://www.twitter.com/SRUCStudents", "SRUCStudents")</f>
        <v>SRUCStudents</v>
      </c>
      <c r="B2459" s="65" t="s">
        <v>517</v>
      </c>
    </row>
    <row r="2460" spans="1:2" x14ac:dyDescent="0.25">
      <c r="A2460" s="64" t="str">
        <f>HYPERLINK("http://www.twitter.com/LaurenEveSarah", "LaurenEveSarah")</f>
        <v>LaurenEveSarah</v>
      </c>
      <c r="B2460" s="65" t="s">
        <v>36</v>
      </c>
    </row>
    <row r="2461" spans="1:2" x14ac:dyDescent="0.25">
      <c r="A2461" s="64" t="str">
        <f>HYPERLINK("http://www.twitter.com/UofMPress", "UofMPress")</f>
        <v>UofMPress</v>
      </c>
      <c r="B2461" s="65" t="s">
        <v>4687</v>
      </c>
    </row>
    <row r="2462" spans="1:2" x14ac:dyDescent="0.25">
      <c r="A2462" s="64" t="str">
        <f>HYPERLINK("http://www.twitter.com/Foltaire", "Foltaire")</f>
        <v>Foltaire</v>
      </c>
      <c r="B2462" s="65" t="s">
        <v>4688</v>
      </c>
    </row>
    <row r="2463" spans="1:2" x14ac:dyDescent="0.25">
      <c r="A2463" s="64" t="str">
        <f>HYPERLINK("http://www.twitter.com/TaraRossEvents", "TaraRossEvents")</f>
        <v>TaraRossEvents</v>
      </c>
      <c r="B2463" s="65" t="s">
        <v>487</v>
      </c>
    </row>
    <row r="2464" spans="1:2" x14ac:dyDescent="0.25">
      <c r="A2464" s="64" t="str">
        <f>HYPERLINK("http://www.twitter.com/ciardubhan", "ciardubhan")</f>
        <v>ciardubhan</v>
      </c>
      <c r="B2464" s="65" t="s">
        <v>4291</v>
      </c>
    </row>
    <row r="2465" spans="1:2" x14ac:dyDescent="0.25">
      <c r="A2465" s="64" t="str">
        <f>HYPERLINK("http://www.twitter.com/Bruizer", "Bruizer")</f>
        <v>Bruizer</v>
      </c>
      <c r="B2465" s="65" t="s">
        <v>4409</v>
      </c>
    </row>
    <row r="2466" spans="1:2" x14ac:dyDescent="0.25">
      <c r="A2466" s="64" t="str">
        <f>HYPERLINK("http://www.twitter.com/IamJamieSmith91", "IamJamieSmith91")</f>
        <v>IamJamieSmith91</v>
      </c>
      <c r="B2466" s="65" t="s">
        <v>808</v>
      </c>
    </row>
    <row r="2467" spans="1:2" x14ac:dyDescent="0.25">
      <c r="A2467" s="64" t="str">
        <f>HYPERLINK("http://www.twitter.com/TweetLarisa", "TweetLarisa")</f>
        <v>TweetLarisa</v>
      </c>
      <c r="B2467" s="65" t="s">
        <v>4689</v>
      </c>
    </row>
    <row r="2468" spans="1:2" x14ac:dyDescent="0.25">
      <c r="A2468" s="64" t="str">
        <f>HYPERLINK("http://www.twitter.com/TypeAndForme", "TypeAndForme")</f>
        <v>TypeAndForme</v>
      </c>
      <c r="B2468" s="65" t="s">
        <v>318</v>
      </c>
    </row>
    <row r="2469" spans="1:2" x14ac:dyDescent="0.25">
      <c r="A2469" s="64" t="str">
        <f>HYPERLINK("http://www.twitter.com/grpcptn", "grpcptn")</f>
        <v>grpcptn</v>
      </c>
      <c r="B2469" s="65" t="s">
        <v>4690</v>
      </c>
    </row>
    <row r="2470" spans="1:2" x14ac:dyDescent="0.25">
      <c r="A2470" s="64" t="str">
        <f>HYPERLINK("http://www.twitter.com/jenniferstorey", "jenniferstorey")</f>
        <v>jenniferstorey</v>
      </c>
      <c r="B2470" s="65"/>
    </row>
    <row r="2471" spans="1:2" x14ac:dyDescent="0.25">
      <c r="A2471" s="64" t="str">
        <f>HYPERLINK("http://www.twitter.com/KellyAnneCutter", "KellyAnneCutter")</f>
        <v>KellyAnneCutter</v>
      </c>
      <c r="B2471" s="65" t="s">
        <v>4691</v>
      </c>
    </row>
    <row r="2472" spans="1:2" x14ac:dyDescent="0.25">
      <c r="A2472" s="64" t="str">
        <f>HYPERLINK("http://www.twitter.com/Ass_Pilot_Vindu", "Ass_Pilot_Vindu")</f>
        <v>Ass_Pilot_Vindu</v>
      </c>
      <c r="B2472" s="65" t="s">
        <v>4692</v>
      </c>
    </row>
    <row r="2473" spans="1:2" x14ac:dyDescent="0.25">
      <c r="A2473" s="64" t="str">
        <f>HYPERLINK("http://www.twitter.com/eilidh_atkins", "eilidh_atkins")</f>
        <v>eilidh_atkins</v>
      </c>
      <c r="B2473" s="65" t="s">
        <v>517</v>
      </c>
    </row>
    <row r="2474" spans="1:2" x14ac:dyDescent="0.25">
      <c r="A2474" s="64" t="str">
        <f>HYPERLINK("http://www.twitter.com/urbangazelle1", "urbangazelle1")</f>
        <v>urbangazelle1</v>
      </c>
      <c r="B2474" s="65" t="s">
        <v>4693</v>
      </c>
    </row>
    <row r="2475" spans="1:2" x14ac:dyDescent="0.25">
      <c r="A2475" s="64" t="str">
        <f>HYPERLINK("http://www.twitter.com/GinAndCuriosity", "GinAndCuriosity")</f>
        <v>GinAndCuriosity</v>
      </c>
      <c r="B2475" s="65" t="s">
        <v>24</v>
      </c>
    </row>
    <row r="2476" spans="1:2" x14ac:dyDescent="0.25">
      <c r="A2476" s="64" t="str">
        <f>HYPERLINK("http://www.twitter.com/KailaShepherd17", "KailaShepherd17")</f>
        <v>KailaShepherd17</v>
      </c>
      <c r="B2476" s="65"/>
    </row>
    <row r="2477" spans="1:2" x14ac:dyDescent="0.25">
      <c r="A2477" s="64" t="str">
        <f>HYPERLINK("http://www.twitter.com/GuelphLibrary", "GuelphLibrary")</f>
        <v>GuelphLibrary</v>
      </c>
      <c r="B2477" s="65" t="s">
        <v>4694</v>
      </c>
    </row>
    <row r="2478" spans="1:2" x14ac:dyDescent="0.25">
      <c r="A2478" s="64" t="str">
        <f>HYPERLINK("http://www.twitter.com/Shannon27599533", "Shannon27599533")</f>
        <v>Shannon27599533</v>
      </c>
      <c r="B2478" s="65"/>
    </row>
    <row r="2479" spans="1:2" x14ac:dyDescent="0.25">
      <c r="A2479" s="64" t="str">
        <f>HYPERLINK("http://www.twitter.com/Sparr0wUk3", "Sparr0wUk3")</f>
        <v>Sparr0wUk3</v>
      </c>
      <c r="B2479" s="65"/>
    </row>
    <row r="2480" spans="1:2" x14ac:dyDescent="0.25">
      <c r="A2480" s="64" t="str">
        <f>HYPERLINK("http://www.twitter.com/fordebirds", "fordebirds")</f>
        <v>fordebirds</v>
      </c>
      <c r="B2480" s="65"/>
    </row>
    <row r="2481" spans="1:2" x14ac:dyDescent="0.25">
      <c r="A2481" s="64" t="str">
        <f>HYPERLINK("http://www.twitter.com/LeukemiaMD", "LeukemiaMD")</f>
        <v>LeukemiaMD</v>
      </c>
      <c r="B2481" s="65" t="s">
        <v>3971</v>
      </c>
    </row>
    <row r="2482" spans="1:2" x14ac:dyDescent="0.25">
      <c r="A2482" s="64" t="str">
        <f>HYPERLINK("http://www.twitter.com/frankielevi", "frankielevi")</f>
        <v>frankielevi</v>
      </c>
      <c r="B2482" s="65"/>
    </row>
    <row r="2483" spans="1:2" x14ac:dyDescent="0.25">
      <c r="A2483" s="64" t="str">
        <f>HYPERLINK("http://www.twitter.com/judithpfanning", "judithpfanning")</f>
        <v>judithpfanning</v>
      </c>
      <c r="B2483" s="65"/>
    </row>
    <row r="2484" spans="1:2" x14ac:dyDescent="0.25">
      <c r="A2484" s="64" t="str">
        <f>HYPERLINK("http://www.twitter.com/RCSILibrary", "RCSILibrary")</f>
        <v>RCSILibrary</v>
      </c>
      <c r="B2484" s="65" t="s">
        <v>4254</v>
      </c>
    </row>
    <row r="2485" spans="1:2" x14ac:dyDescent="0.25">
      <c r="A2485" s="64" t="str">
        <f>HYPERLINK("http://www.twitter.com/Sarahtopcat", "Sarahtopcat")</f>
        <v>Sarahtopcat</v>
      </c>
      <c r="B2485" s="65" t="s">
        <v>70</v>
      </c>
    </row>
    <row r="2486" spans="1:2" x14ac:dyDescent="0.25">
      <c r="A2486" s="64" t="str">
        <f>HYPERLINK("http://www.twitter.com/Veronicavvivi", "Veronicavvivi")</f>
        <v>Veronicavvivi</v>
      </c>
      <c r="B2486" s="65" t="s">
        <v>487</v>
      </c>
    </row>
    <row r="2487" spans="1:2" x14ac:dyDescent="0.25">
      <c r="A2487" s="64" t="str">
        <f>HYPERLINK("http://www.twitter.com/Anette_Hooeen", "Anette_Hooeen")</f>
        <v>Anette_Hooeen</v>
      </c>
      <c r="B2487" s="65" t="s">
        <v>4274</v>
      </c>
    </row>
    <row r="2488" spans="1:2" x14ac:dyDescent="0.25">
      <c r="A2488" s="64" t="str">
        <f>HYPERLINK("http://www.twitter.com/ReadRemark", "ReadRemark")</f>
        <v>ReadRemark</v>
      </c>
      <c r="B2488" s="65" t="s">
        <v>4695</v>
      </c>
    </row>
    <row r="2489" spans="1:2" x14ac:dyDescent="0.25">
      <c r="A2489" s="64" t="str">
        <f>HYPERLINK("http://www.twitter.com/kanzasquirrell", "kanzasquirrell")</f>
        <v>kanzasquirrell</v>
      </c>
      <c r="B2489" s="65" t="s">
        <v>4696</v>
      </c>
    </row>
    <row r="2490" spans="1:2" x14ac:dyDescent="0.25">
      <c r="A2490" s="64" t="str">
        <f>HYPERLINK("http://www.twitter.com/GordonAplin", "GordonAplin")</f>
        <v>GordonAplin</v>
      </c>
      <c r="B2490" s="65" t="s">
        <v>4697</v>
      </c>
    </row>
    <row r="2491" spans="1:2" x14ac:dyDescent="0.25">
      <c r="A2491" s="64" t="str">
        <f>HYPERLINK("http://www.twitter.com/Archinfo59", "Archinfo59")</f>
        <v>Archinfo59</v>
      </c>
      <c r="B2491" s="65" t="s">
        <v>4698</v>
      </c>
    </row>
    <row r="2492" spans="1:2" x14ac:dyDescent="0.25">
      <c r="A2492" s="64" t="str">
        <f>HYPERLINK("http://www.twitter.com/oxcreativecoach", "oxcreativecoach")</f>
        <v>oxcreativecoach</v>
      </c>
      <c r="B2492" s="65" t="s">
        <v>4699</v>
      </c>
    </row>
    <row r="2493" spans="1:2" x14ac:dyDescent="0.25">
      <c r="A2493" s="64" t="str">
        <f>HYPERLINK("http://www.twitter.com/cissova", "cissova")</f>
        <v>cissova</v>
      </c>
      <c r="B2493" s="65" t="s">
        <v>4700</v>
      </c>
    </row>
    <row r="2494" spans="1:2" x14ac:dyDescent="0.25">
      <c r="A2494" s="64" t="str">
        <f>HYPERLINK("http://www.twitter.com/HildyinCT", "HildyinCT")</f>
        <v>HildyinCT</v>
      </c>
      <c r="B2494" s="65" t="s">
        <v>4098</v>
      </c>
    </row>
    <row r="2495" spans="1:2" x14ac:dyDescent="0.25">
      <c r="A2495" s="64" t="str">
        <f>HYPERLINK("http://www.twitter.com/keith_rosson", "keith_rosson")</f>
        <v>keith_rosson</v>
      </c>
      <c r="B2495" s="65" t="s">
        <v>3872</v>
      </c>
    </row>
    <row r="2496" spans="1:2" x14ac:dyDescent="0.25">
      <c r="A2496" s="64" t="str">
        <f>HYPERLINK("http://www.twitter.com/maddyjrichard", "maddyjrichard")</f>
        <v>maddyjrichard</v>
      </c>
      <c r="B2496" s="65" t="s">
        <v>4701</v>
      </c>
    </row>
    <row r="2497" spans="1:2" x14ac:dyDescent="0.25">
      <c r="A2497" s="64" t="str">
        <f>HYPERLINK("http://www.twitter.com/Machandelboom", "Machandelboom")</f>
        <v>Machandelboom</v>
      </c>
      <c r="B2497" s="65"/>
    </row>
    <row r="2498" spans="1:2" x14ac:dyDescent="0.25">
      <c r="A2498" s="64" t="str">
        <f>HYPERLINK("http://www.twitter.com/JasonMohler3", "JasonMohler3")</f>
        <v>JasonMohler3</v>
      </c>
      <c r="B2498" s="65"/>
    </row>
    <row r="2499" spans="1:2" x14ac:dyDescent="0.25">
      <c r="A2499" s="64" t="str">
        <f>HYPERLINK("http://www.twitter.com/skyledavis", "skyledavis")</f>
        <v>skyledavis</v>
      </c>
      <c r="B2499" s="65" t="s">
        <v>4702</v>
      </c>
    </row>
    <row r="2500" spans="1:2" x14ac:dyDescent="0.25">
      <c r="A2500" s="64" t="str">
        <f>HYPERLINK("http://www.twitter.com/periwinklelaura", "periwinklelaura")</f>
        <v>periwinklelaura</v>
      </c>
      <c r="B2500" s="65"/>
    </row>
    <row r="2501" spans="1:2" x14ac:dyDescent="0.25">
      <c r="A2501" s="64" t="str">
        <f>HYPERLINK("http://www.twitter.com/katherinemw11", "katherinemw11")</f>
        <v>katherinemw11</v>
      </c>
      <c r="B2501" s="65"/>
    </row>
    <row r="2502" spans="1:2" x14ac:dyDescent="0.25">
      <c r="A2502" s="64" t="str">
        <f>HYPERLINK("http://www.twitter.com/EMC_Maine", "EMC_Maine")</f>
        <v>EMC_Maine</v>
      </c>
      <c r="B2502" s="65"/>
    </row>
    <row r="2503" spans="1:2" x14ac:dyDescent="0.25">
      <c r="A2503" s="64" t="str">
        <f>HYPERLINK("http://www.twitter.com/SaraRoedl", "SaraRoedl")</f>
        <v>SaraRoedl</v>
      </c>
      <c r="B2503" s="65" t="s">
        <v>4703</v>
      </c>
    </row>
    <row r="2504" spans="1:2" x14ac:dyDescent="0.25">
      <c r="A2504" s="64" t="str">
        <f>HYPERLINK("http://www.twitter.com/SheridanM333", "SheridanM333")</f>
        <v>SheridanM333</v>
      </c>
      <c r="B2504" s="65" t="s">
        <v>3798</v>
      </c>
    </row>
    <row r="2505" spans="1:2" x14ac:dyDescent="0.25">
      <c r="A2505" s="64" t="str">
        <f>HYPERLINK("http://www.twitter.com/nessmr", "nessmr")</f>
        <v>nessmr</v>
      </c>
      <c r="B2505" s="65"/>
    </row>
    <row r="2506" spans="1:2" x14ac:dyDescent="0.25">
      <c r="A2506" s="64" t="str">
        <f>HYPERLINK("http://www.twitter.com/jraygeo10", "jraygeo10")</f>
        <v>jraygeo10</v>
      </c>
      <c r="B2506" s="65" t="s">
        <v>3785</v>
      </c>
    </row>
    <row r="2507" spans="1:2" x14ac:dyDescent="0.25">
      <c r="A2507" s="64" t="str">
        <f>HYPERLINK("http://www.twitter.com/librarykelpie", "librarykelpie")</f>
        <v>librarykelpie</v>
      </c>
      <c r="B2507" s="65"/>
    </row>
    <row r="2508" spans="1:2" x14ac:dyDescent="0.25">
      <c r="A2508" s="64" t="str">
        <f>HYPERLINK("http://www.twitter.com/genya17", "genya17")</f>
        <v>genya17</v>
      </c>
      <c r="B2508" s="65" t="s">
        <v>4704</v>
      </c>
    </row>
    <row r="2509" spans="1:2" x14ac:dyDescent="0.25">
      <c r="A2509" s="64" t="str">
        <f>HYPERLINK("http://www.twitter.com/Sparepart", "Sparepart")</f>
        <v>Sparepart</v>
      </c>
      <c r="B2509" s="65"/>
    </row>
    <row r="2510" spans="1:2" x14ac:dyDescent="0.25">
      <c r="A2510" s="64" t="str">
        <f>HYPERLINK("http://www.twitter.com/TTesdall", "TTesdall")</f>
        <v>TTesdall</v>
      </c>
      <c r="B2510" s="65" t="s">
        <v>4705</v>
      </c>
    </row>
    <row r="2511" spans="1:2" x14ac:dyDescent="0.25">
      <c r="A2511" s="64" t="str">
        <f>HYPERLINK("http://www.twitter.com/moedesu", "moedesu")</f>
        <v>moedesu</v>
      </c>
      <c r="B2511" s="65"/>
    </row>
    <row r="2512" spans="1:2" x14ac:dyDescent="0.25">
      <c r="A2512" s="64" t="str">
        <f>HYPERLINK("http://www.twitter.com/REALBONBONMAS", "REALBONBONMAS")</f>
        <v>REALBONBONMAS</v>
      </c>
      <c r="B2512" s="65" t="s">
        <v>4706</v>
      </c>
    </row>
    <row r="2513" spans="1:2" x14ac:dyDescent="0.25">
      <c r="A2513" s="64" t="str">
        <f>HYPERLINK("http://www.twitter.com/IndubitablyAcky", "IndubitablyAcky")</f>
        <v>IndubitablyAcky</v>
      </c>
      <c r="B2513" s="65"/>
    </row>
    <row r="2514" spans="1:2" x14ac:dyDescent="0.25">
      <c r="A2514" s="64" t="str">
        <f>HYPERLINK("http://www.twitter.com/skrossa", "skrossa")</f>
        <v>skrossa</v>
      </c>
      <c r="B2514" s="65" t="s">
        <v>4707</v>
      </c>
    </row>
    <row r="2515" spans="1:2" x14ac:dyDescent="0.25">
      <c r="A2515" s="64" t="str">
        <f>HYPERLINK("http://www.twitter.com/Thinkzinc", "Thinkzinc")</f>
        <v>Thinkzinc</v>
      </c>
      <c r="B2515" s="65" t="s">
        <v>4019</v>
      </c>
    </row>
    <row r="2516" spans="1:2" x14ac:dyDescent="0.25">
      <c r="A2516" s="64" t="str">
        <f>HYPERLINK("http://www.twitter.com/cubby56", "cubby56")</f>
        <v>cubby56</v>
      </c>
      <c r="B2516" s="65"/>
    </row>
    <row r="2517" spans="1:2" x14ac:dyDescent="0.25">
      <c r="A2517" s="64" t="str">
        <f>HYPERLINK("http://www.twitter.com/Louisepearce829", "Louisepearce829")</f>
        <v>Louisepearce829</v>
      </c>
      <c r="B2517" s="65" t="s">
        <v>4708</v>
      </c>
    </row>
    <row r="2518" spans="1:2" x14ac:dyDescent="0.25">
      <c r="A2518" s="64" t="str">
        <f>HYPERLINK("http://www.twitter.com/isabelking", "isabelking")</f>
        <v>isabelking</v>
      </c>
      <c r="B2518" s="65" t="s">
        <v>4709</v>
      </c>
    </row>
    <row r="2519" spans="1:2" x14ac:dyDescent="0.25">
      <c r="A2519" s="64" t="str">
        <f>HYPERLINK("http://www.twitter.com/MasonJarTours", "MasonJarTours")</f>
        <v>MasonJarTours</v>
      </c>
      <c r="B2519" s="65"/>
    </row>
    <row r="2520" spans="1:2" x14ac:dyDescent="0.25">
      <c r="A2520" s="64" t="str">
        <f>HYPERLINK("http://www.twitter.com/MoneIsaia", "MoneIsaia")</f>
        <v>MoneIsaia</v>
      </c>
      <c r="B2520" s="65" t="s">
        <v>4579</v>
      </c>
    </row>
    <row r="2521" spans="1:2" x14ac:dyDescent="0.25">
      <c r="A2521" s="64" t="str">
        <f>HYPERLINK("http://www.twitter.com/kathrynB1991", "kathrynB1991")</f>
        <v>kathrynB1991</v>
      </c>
      <c r="B2521" s="65" t="s">
        <v>517</v>
      </c>
    </row>
    <row r="2522" spans="1:2" x14ac:dyDescent="0.25">
      <c r="A2522" s="64" t="str">
        <f>HYPERLINK("http://www.twitter.com/Mich___MB", "Mich___MB")</f>
        <v>Mich___MB</v>
      </c>
      <c r="B2522" s="65" t="s">
        <v>4157</v>
      </c>
    </row>
    <row r="2523" spans="1:2" x14ac:dyDescent="0.25">
      <c r="A2523" s="64" t="str">
        <f>HYPERLINK("http://www.twitter.com/ga_aak", "ga_aak")</f>
        <v>ga_aak</v>
      </c>
      <c r="B2523" s="65"/>
    </row>
    <row r="2524" spans="1:2" x14ac:dyDescent="0.25">
      <c r="A2524" s="64" t="str">
        <f>HYPERLINK("http://www.twitter.com/grannythreeboys", "grannythreeboys")</f>
        <v>grannythreeboys</v>
      </c>
      <c r="B2524" s="65"/>
    </row>
    <row r="2525" spans="1:2" x14ac:dyDescent="0.25">
      <c r="A2525" s="64" t="str">
        <f>HYPERLINK("http://www.twitter.com/NormFry2013", "NormFry2013")</f>
        <v>NormFry2013</v>
      </c>
      <c r="B2525" s="65" t="s">
        <v>1377</v>
      </c>
    </row>
    <row r="2526" spans="1:2" x14ac:dyDescent="0.25">
      <c r="A2526" s="64" t="str">
        <f>HYPERLINK("http://www.twitter.com/MichelleRae_7", "MichelleRae_7")</f>
        <v>MichelleRae_7</v>
      </c>
      <c r="B2526" s="65" t="s">
        <v>4710</v>
      </c>
    </row>
    <row r="2527" spans="1:2" x14ac:dyDescent="0.25">
      <c r="A2527" s="64" t="str">
        <f>HYPERLINK("http://www.twitter.com/VisitTorshavn", "VisitTorshavn")</f>
        <v>VisitTorshavn</v>
      </c>
      <c r="B2527" s="65" t="s">
        <v>4711</v>
      </c>
    </row>
    <row r="2528" spans="1:2" x14ac:dyDescent="0.25">
      <c r="A2528" s="64" t="str">
        <f>HYPERLINK("http://www.twitter.com/MaryJaneM", "MaryJaneM")</f>
        <v>MaryJaneM</v>
      </c>
      <c r="B2528" s="65" t="s">
        <v>4712</v>
      </c>
    </row>
    <row r="2529" spans="1:2" x14ac:dyDescent="0.25">
      <c r="A2529" s="64" t="str">
        <f>HYPERLINK("http://www.twitter.com/grumpstress", "grumpstress")</f>
        <v>grumpstress</v>
      </c>
      <c r="B2529" s="65"/>
    </row>
    <row r="2530" spans="1:2" x14ac:dyDescent="0.25">
      <c r="A2530" s="64" t="str">
        <f>HYPERLINK("http://www.twitter.com/flyingfoodie68", "flyingfoodie68")</f>
        <v>flyingfoodie68</v>
      </c>
      <c r="B2530" s="65" t="s">
        <v>4713</v>
      </c>
    </row>
    <row r="2531" spans="1:2" x14ac:dyDescent="0.25">
      <c r="A2531" s="64" t="str">
        <f>HYPERLINK("http://www.twitter.com/nutmeg", "nutmeg")</f>
        <v>nutmeg</v>
      </c>
      <c r="B2531" s="65" t="s">
        <v>4714</v>
      </c>
    </row>
    <row r="2532" spans="1:2" x14ac:dyDescent="0.25">
      <c r="A2532" s="64" t="str">
        <f>HYPERLINK("http://www.twitter.com/BreakNewsBubble", "BreakNewsBubble")</f>
        <v>BreakNewsBubble</v>
      </c>
      <c r="B2532" s="65"/>
    </row>
    <row r="2533" spans="1:2" x14ac:dyDescent="0.25">
      <c r="A2533" s="64" t="str">
        <f>HYPERLINK("http://www.twitter.com/ErikaHamden", "ErikaHamden")</f>
        <v>ErikaHamden</v>
      </c>
      <c r="B2533" s="65" t="s">
        <v>4715</v>
      </c>
    </row>
    <row r="2534" spans="1:2" x14ac:dyDescent="0.25">
      <c r="A2534" s="64" t="str">
        <f>HYPERLINK("http://www.twitter.com/JudyHeff", "JudyHeff")</f>
        <v>JudyHeff</v>
      </c>
      <c r="B2534" s="65"/>
    </row>
    <row r="2535" spans="1:2" x14ac:dyDescent="0.25">
      <c r="A2535" s="64" t="str">
        <f>HYPERLINK("http://www.twitter.com/MiamiCoLtd", "MiamiCoLtd")</f>
        <v>MiamiCoLtd</v>
      </c>
      <c r="B2535" s="65"/>
    </row>
    <row r="2536" spans="1:2" x14ac:dyDescent="0.25">
      <c r="A2536" s="64" t="str">
        <f>HYPERLINK("http://www.twitter.com/PadihamKnitter", "PadihamKnitter")</f>
        <v>PadihamKnitter</v>
      </c>
      <c r="B2536" s="65"/>
    </row>
    <row r="2537" spans="1:2" x14ac:dyDescent="0.25">
      <c r="A2537" s="64" t="str">
        <f>HYPERLINK("http://www.twitter.com/ALShore5", "ALShore5")</f>
        <v>ALShore5</v>
      </c>
      <c r="B2537" s="65"/>
    </row>
    <row r="2538" spans="1:2" x14ac:dyDescent="0.25">
      <c r="A2538" s="64" t="str">
        <f>HYPERLINK("http://www.twitter.com/AbiBurlingham", "AbiBurlingham")</f>
        <v>AbiBurlingham</v>
      </c>
      <c r="B2538" s="65"/>
    </row>
    <row r="2539" spans="1:2" x14ac:dyDescent="0.25">
      <c r="A2539" s="64" t="str">
        <f>HYPERLINK("http://www.twitter.com/JakeLingwood", "JakeLingwood")</f>
        <v>JakeLingwood</v>
      </c>
      <c r="B2539" s="65" t="s">
        <v>4716</v>
      </c>
    </row>
    <row r="2540" spans="1:2" x14ac:dyDescent="0.25">
      <c r="A2540" s="64" t="str">
        <f>HYPERLINK("http://www.twitter.com/SmallInhaler", "SmallInhaler")</f>
        <v>SmallInhaler</v>
      </c>
      <c r="B2540" s="65" t="s">
        <v>4717</v>
      </c>
    </row>
    <row r="2541" spans="1:2" x14ac:dyDescent="0.25">
      <c r="A2541" s="64" t="str">
        <f>HYPERLINK("http://www.twitter.com/derekgglen", "derekgglen")</f>
        <v>derekgglen</v>
      </c>
      <c r="B2541" s="65" t="s">
        <v>4718</v>
      </c>
    </row>
    <row r="2542" spans="1:2" x14ac:dyDescent="0.25">
      <c r="A2542" s="64" t="str">
        <f>HYPERLINK("http://www.twitter.com/SeftonParkLib", "SeftonParkLib")</f>
        <v>SeftonParkLib</v>
      </c>
      <c r="B2542" s="65" t="s">
        <v>2864</v>
      </c>
    </row>
    <row r="2543" spans="1:2" x14ac:dyDescent="0.25">
      <c r="A2543" s="64" t="str">
        <f>HYPERLINK("http://www.twitter.com/w_senft", "w_senft")</f>
        <v>w_senft</v>
      </c>
      <c r="B2543" s="65" t="s">
        <v>4719</v>
      </c>
    </row>
    <row r="2544" spans="1:2" x14ac:dyDescent="0.25">
      <c r="A2544" s="64" t="str">
        <f>HYPERLINK("http://www.twitter.com/NishaBh41953239", "NishaBh41953239")</f>
        <v>NishaBh41953239</v>
      </c>
      <c r="B2544" s="65" t="s">
        <v>4720</v>
      </c>
    </row>
    <row r="2545" spans="1:2" x14ac:dyDescent="0.25">
      <c r="A2545" s="64" t="str">
        <f>HYPERLINK("http://www.twitter.com/Funkycow64", "Funkycow64")</f>
        <v>Funkycow64</v>
      </c>
      <c r="B2545" s="65" t="s">
        <v>4721</v>
      </c>
    </row>
    <row r="2546" spans="1:2" x14ac:dyDescent="0.25">
      <c r="A2546" s="64" t="str">
        <f>HYPERLINK("http://www.twitter.com/C4CJ", "C4CJ")</f>
        <v>C4CJ</v>
      </c>
      <c r="B2546" s="65" t="s">
        <v>2913</v>
      </c>
    </row>
    <row r="2547" spans="1:2" x14ac:dyDescent="0.25">
      <c r="A2547" s="64" t="str">
        <f>HYPERLINK("http://www.twitter.com/braindedwarrior", "braindedwarrior")</f>
        <v>braindedwarrior</v>
      </c>
      <c r="B2547" s="65"/>
    </row>
    <row r="2548" spans="1:2" x14ac:dyDescent="0.25">
      <c r="A2548" s="64" t="str">
        <f>HYPERLINK("http://www.twitter.com/sumunu45", "sumunu45")</f>
        <v>sumunu45</v>
      </c>
      <c r="B2548" s="65" t="s">
        <v>4722</v>
      </c>
    </row>
    <row r="2549" spans="1:2" x14ac:dyDescent="0.25">
      <c r="A2549" s="64" t="str">
        <f>HYPERLINK("http://www.twitter.com/uoclibrary", "uoclibrary")</f>
        <v>uoclibrary</v>
      </c>
      <c r="B2549" s="65" t="s">
        <v>3802</v>
      </c>
    </row>
    <row r="2550" spans="1:2" x14ac:dyDescent="0.25">
      <c r="A2550" s="64" t="str">
        <f>HYPERLINK("http://www.twitter.com/BI_Library", "BI_Library")</f>
        <v>BI_Library</v>
      </c>
      <c r="B2550" s="65" t="s">
        <v>4723</v>
      </c>
    </row>
    <row r="2551" spans="1:2" x14ac:dyDescent="0.25">
      <c r="A2551" s="64" t="str">
        <f>HYPERLINK("http://www.twitter.com/relawrence76", "relawrence76")</f>
        <v>relawrence76</v>
      </c>
      <c r="B2551" s="65" t="s">
        <v>1649</v>
      </c>
    </row>
    <row r="2552" spans="1:2" x14ac:dyDescent="0.25">
      <c r="A2552" s="64" t="str">
        <f>HYPERLINK("http://www.twitter.com/devonabbott", "devonabbott")</f>
        <v>devonabbott</v>
      </c>
      <c r="B2552" s="65"/>
    </row>
    <row r="2553" spans="1:2" x14ac:dyDescent="0.25">
      <c r="A2553" s="64" t="str">
        <f>HYPERLINK("http://www.twitter.com/ambervic11", "ambervic11")</f>
        <v>ambervic11</v>
      </c>
      <c r="B2553" s="65"/>
    </row>
    <row r="2554" spans="1:2" x14ac:dyDescent="0.25">
      <c r="A2554" s="64" t="str">
        <f>HYPERLINK("http://www.twitter.com/kenmccoll", "kenmccoll")</f>
        <v>kenmccoll</v>
      </c>
      <c r="B2554" s="65" t="s">
        <v>4724</v>
      </c>
    </row>
    <row r="2555" spans="1:2" x14ac:dyDescent="0.25">
      <c r="A2555" s="64" t="str">
        <f>HYPERLINK("http://www.twitter.com/KitsapLibrary", "KitsapLibrary")</f>
        <v>KitsapLibrary</v>
      </c>
      <c r="B2555" s="65" t="s">
        <v>4725</v>
      </c>
    </row>
    <row r="2556" spans="1:2" x14ac:dyDescent="0.25">
      <c r="A2556" s="64" t="str">
        <f>HYPERLINK("http://www.twitter.com/Saracam58410209", "Saracam58410209")</f>
        <v>Saracam58410209</v>
      </c>
      <c r="B2556" s="65"/>
    </row>
    <row r="2557" spans="1:2" x14ac:dyDescent="0.25">
      <c r="A2557" s="64" t="str">
        <f>HYPERLINK("http://www.twitter.com/DotDotDotUK", "DotDotDotUK")</f>
        <v>DotDotDotUK</v>
      </c>
      <c r="B2557" s="65"/>
    </row>
    <row r="2558" spans="1:2" x14ac:dyDescent="0.25">
      <c r="A2558" s="64" t="str">
        <f>HYPERLINK("http://www.twitter.com/BurlingtonPL", "BurlingtonPL")</f>
        <v>BurlingtonPL</v>
      </c>
      <c r="B2558" s="65" t="s">
        <v>4726</v>
      </c>
    </row>
    <row r="2559" spans="1:2" x14ac:dyDescent="0.25">
      <c r="A2559" s="64" t="str">
        <f>HYPERLINK("http://www.twitter.com/TseMingWai", "TseMingWai")</f>
        <v>TseMingWai</v>
      </c>
      <c r="B2559" s="65"/>
    </row>
    <row r="2560" spans="1:2" x14ac:dyDescent="0.25">
      <c r="A2560" s="64" t="str">
        <f>HYPERLINK("http://www.twitter.com/RuthRJW", "RuthRJW")</f>
        <v>RuthRJW</v>
      </c>
      <c r="B2560" s="65"/>
    </row>
    <row r="2561" spans="1:2" x14ac:dyDescent="0.25">
      <c r="A2561" s="64" t="str">
        <f>HYPERLINK("http://www.twitter.com/neilwalkerwrote", "neilwalkerwrote")</f>
        <v>neilwalkerwrote</v>
      </c>
      <c r="B2561" s="65" t="s">
        <v>135</v>
      </c>
    </row>
    <row r="2562" spans="1:2" x14ac:dyDescent="0.25">
      <c r="A2562" s="64" t="str">
        <f>HYPERLINK("http://www.twitter.com/tomcatmam", "tomcatmam")</f>
        <v>tomcatmam</v>
      </c>
      <c r="B2562" s="65" t="s">
        <v>4727</v>
      </c>
    </row>
    <row r="2563" spans="1:2" x14ac:dyDescent="0.25">
      <c r="A2563" s="64" t="str">
        <f>HYPERLINK("http://www.twitter.com/MariaSylvia", "MariaSylvia")</f>
        <v>MariaSylvia</v>
      </c>
      <c r="B2563" s="65"/>
    </row>
    <row r="2564" spans="1:2" x14ac:dyDescent="0.25">
      <c r="A2564" s="64" t="str">
        <f>HYPERLINK("http://www.twitter.com/Jegerugle", "Jegerugle")</f>
        <v>Jegerugle</v>
      </c>
      <c r="B2564" s="65" t="s">
        <v>2007</v>
      </c>
    </row>
    <row r="2565" spans="1:2" x14ac:dyDescent="0.25">
      <c r="A2565" s="64" t="str">
        <f>HYPERLINK("http://www.twitter.com/Scribberlings", "Scribberlings")</f>
        <v>Scribberlings</v>
      </c>
      <c r="B2565" s="65" t="s">
        <v>926</v>
      </c>
    </row>
    <row r="2566" spans="1:2" x14ac:dyDescent="0.25">
      <c r="A2566" s="64" t="str">
        <f>HYPERLINK("http://www.twitter.com/RosieCoanVCVC", "RosieCoanVCVC")</f>
        <v>RosieCoanVCVC</v>
      </c>
      <c r="B2566" s="65" t="s">
        <v>4728</v>
      </c>
    </row>
    <row r="2567" spans="1:2" x14ac:dyDescent="0.25">
      <c r="A2567" s="64" t="str">
        <f>HYPERLINK("http://www.twitter.com/ailiecrerar", "ailiecrerar")</f>
        <v>ailiecrerar</v>
      </c>
      <c r="B2567" s="65" t="s">
        <v>318</v>
      </c>
    </row>
    <row r="2568" spans="1:2" x14ac:dyDescent="0.25">
      <c r="A2568" s="64" t="str">
        <f>HYPERLINK("http://www.twitter.com/RSM_Library", "RSM_Library")</f>
        <v>RSM_Library</v>
      </c>
      <c r="B2568" s="65" t="s">
        <v>1444</v>
      </c>
    </row>
    <row r="2569" spans="1:2" x14ac:dyDescent="0.25">
      <c r="A2569" s="64" t="str">
        <f>HYPERLINK("http://www.twitter.com/M_C_Arthur", "M_C_Arthur")</f>
        <v>M_C_Arthur</v>
      </c>
      <c r="B2569" s="65"/>
    </row>
    <row r="2570" spans="1:2" x14ac:dyDescent="0.25">
      <c r="A2570" s="64" t="str">
        <f>HYPERLINK("http://www.twitter.com/ClaireBroccoli", "ClaireBroccoli")</f>
        <v>ClaireBroccoli</v>
      </c>
      <c r="B2570" s="65"/>
    </row>
    <row r="2571" spans="1:2" x14ac:dyDescent="0.25">
      <c r="A2571" s="64" t="str">
        <f>HYPERLINK("http://www.twitter.com/tanithmarron", "tanithmarron")</f>
        <v>tanithmarron</v>
      </c>
      <c r="B2571" s="65"/>
    </row>
    <row r="2572" spans="1:2" x14ac:dyDescent="0.25">
      <c r="A2572" s="64" t="str">
        <f>HYPERLINK("http://www.twitter.com/fidanyouseef", "fidanyouseef")</f>
        <v>fidanyouseef</v>
      </c>
      <c r="B2572" s="65"/>
    </row>
    <row r="2573" spans="1:2" x14ac:dyDescent="0.25">
      <c r="A2573" s="64" t="str">
        <f>HYPERLINK("http://www.twitter.com/CuparArts", "CuparArts")</f>
        <v>CuparArts</v>
      </c>
      <c r="B2573" s="65" t="s">
        <v>4729</v>
      </c>
    </row>
    <row r="2574" spans="1:2" x14ac:dyDescent="0.25">
      <c r="A2574" s="64" t="str">
        <f>HYPERLINK("http://www.twitter.com/davidbrora", "davidbrora")</f>
        <v>davidbrora</v>
      </c>
      <c r="B2574" s="65"/>
    </row>
    <row r="2575" spans="1:2" x14ac:dyDescent="0.25">
      <c r="A2575" s="64" t="str">
        <f>HYPERLINK("http://www.twitter.com/bookwormedwards", "bookwormedwards")</f>
        <v>bookwormedwards</v>
      </c>
      <c r="B2575" s="65" t="s">
        <v>4730</v>
      </c>
    </row>
    <row r="2576" spans="1:2" x14ac:dyDescent="0.25">
      <c r="A2576" s="64" t="str">
        <f>HYPERLINK("http://www.twitter.com/CathK14", "CathK14")</f>
        <v>CathK14</v>
      </c>
      <c r="B2576" s="65"/>
    </row>
    <row r="2577" spans="1:2" x14ac:dyDescent="0.25">
      <c r="A2577" s="64" t="str">
        <f>HYPERLINK("http://www.twitter.com/purplespotsocks", "purplespotsocks")</f>
        <v>purplespotsocks</v>
      </c>
      <c r="B2577" s="65" t="s">
        <v>257</v>
      </c>
    </row>
    <row r="2578" spans="1:2" x14ac:dyDescent="0.25">
      <c r="A2578" s="64" t="str">
        <f>HYPERLINK("http://www.twitter.com/Shorty97Kcpalx", "Shorty97Kcpalx")</f>
        <v>Shorty97Kcpalx</v>
      </c>
      <c r="B2578" s="65" t="s">
        <v>2007</v>
      </c>
    </row>
    <row r="2579" spans="1:2" x14ac:dyDescent="0.25">
      <c r="A2579" s="64" t="str">
        <f>HYPERLINK("http://www.twitter.com/MagazineHous786", "MagazineHous786")</f>
        <v>MagazineHous786</v>
      </c>
      <c r="B2579" s="65" t="s">
        <v>4039</v>
      </c>
    </row>
    <row r="2580" spans="1:2" x14ac:dyDescent="0.25">
      <c r="A2580" s="64" t="str">
        <f>HYPERLINK("http://www.twitter.com/MToumayan", "MToumayan")</f>
        <v>MToumayan</v>
      </c>
      <c r="B2580" s="65"/>
    </row>
    <row r="2581" spans="1:2" x14ac:dyDescent="0.25">
      <c r="A2581" s="64" t="str">
        <f>HYPERLINK("http://www.twitter.com/SamM01325", "SamM01325")</f>
        <v>SamM01325</v>
      </c>
      <c r="B2581" s="65" t="s">
        <v>477</v>
      </c>
    </row>
    <row r="2582" spans="1:2" x14ac:dyDescent="0.25">
      <c r="A2582" s="64" t="str">
        <f>HYPERLINK("http://www.twitter.com/Siva007Ks", "Siva007Ks")</f>
        <v>Siva007Ks</v>
      </c>
      <c r="B2582" s="65" t="s">
        <v>4731</v>
      </c>
    </row>
    <row r="2583" spans="1:2" x14ac:dyDescent="0.25">
      <c r="A2583" s="64" t="str">
        <f>HYPERLINK("http://www.twitter.com/yraj64", "yraj64")</f>
        <v>yraj64</v>
      </c>
      <c r="B2583" s="65"/>
    </row>
    <row r="2584" spans="1:2" x14ac:dyDescent="0.25">
      <c r="A2584" s="64" t="str">
        <f>HYPERLINK("http://www.twitter.com/hl_maliphant", "hl_maliphant")</f>
        <v>hl_maliphant</v>
      </c>
      <c r="B2584" s="65" t="s">
        <v>4732</v>
      </c>
    </row>
    <row r="2585" spans="1:2" x14ac:dyDescent="0.25">
      <c r="A2585" s="64" t="str">
        <f>HYPERLINK("http://www.twitter.com/PopcornFury", "PopcornFury")</f>
        <v>PopcornFury</v>
      </c>
      <c r="B2585" s="65" t="s">
        <v>4733</v>
      </c>
    </row>
    <row r="2586" spans="1:2" x14ac:dyDescent="0.25">
      <c r="A2586" s="64" t="str">
        <f>HYPERLINK("http://www.twitter.com/whichcord", "whichcord")</f>
        <v>whichcord</v>
      </c>
      <c r="B2586" s="65"/>
    </row>
    <row r="2587" spans="1:2" x14ac:dyDescent="0.25">
      <c r="A2587" s="64" t="str">
        <f>HYPERLINK("http://www.twitter.com/Sammysmommy2010", "Sammysmommy2010")</f>
        <v>Sammysmommy2010</v>
      </c>
      <c r="B2587" s="65"/>
    </row>
    <row r="2588" spans="1:2" x14ac:dyDescent="0.25">
      <c r="A2588" s="64" t="str">
        <f>HYPERLINK("http://www.twitter.com/kroepfchen", "kroepfchen")</f>
        <v>kroepfchen</v>
      </c>
      <c r="B2588" s="65"/>
    </row>
    <row r="2589" spans="1:2" x14ac:dyDescent="0.25">
      <c r="A2589" s="64" t="str">
        <f>HYPERLINK("http://www.twitter.com/CheeseeP", "CheeseeP")</f>
        <v>CheeseeP</v>
      </c>
      <c r="B2589" s="65"/>
    </row>
    <row r="2590" spans="1:2" x14ac:dyDescent="0.25">
      <c r="A2590" s="64" t="str">
        <f>HYPERLINK("http://www.twitter.com/thereminfan", "thereminfan")</f>
        <v>thereminfan</v>
      </c>
      <c r="B2590" s="65"/>
    </row>
    <row r="2591" spans="1:2" x14ac:dyDescent="0.25">
      <c r="A2591" s="64" t="str">
        <f>HYPERLINK("http://www.twitter.com/fazer711", "fazer711")</f>
        <v>fazer711</v>
      </c>
      <c r="B2591" s="65"/>
    </row>
    <row r="2592" spans="1:2" x14ac:dyDescent="0.25">
      <c r="A2592" s="64" t="str">
        <f>HYPERLINK("http://www.twitter.com/KellyLuisa", "KellyLuisa")</f>
        <v>KellyLuisa</v>
      </c>
      <c r="B2592" s="65" t="s">
        <v>4734</v>
      </c>
    </row>
    <row r="2593" spans="1:2" x14ac:dyDescent="0.25">
      <c r="A2593" s="64" t="str">
        <f>HYPERLINK("http://www.twitter.com/Cabmerlot", "Cabmerlot")</f>
        <v>Cabmerlot</v>
      </c>
      <c r="B2593" s="65" t="s">
        <v>296</v>
      </c>
    </row>
    <row r="2594" spans="1:2" x14ac:dyDescent="0.25">
      <c r="A2594" s="64" t="str">
        <f>HYPERLINK("http://www.twitter.com/PatersonHelena", "PatersonHelena")</f>
        <v>PatersonHelena</v>
      </c>
      <c r="B2594" s="65" t="s">
        <v>4735</v>
      </c>
    </row>
    <row r="2595" spans="1:2" x14ac:dyDescent="0.25">
      <c r="A2595" s="64" t="str">
        <f>HYPERLINK("http://www.twitter.com/combinedlocums", "combinedlocums")</f>
        <v>combinedlocums</v>
      </c>
      <c r="B2595" s="65" t="s">
        <v>3612</v>
      </c>
    </row>
    <row r="2596" spans="1:2" x14ac:dyDescent="0.25">
      <c r="A2596" s="64" t="str">
        <f>HYPERLINK("http://www.twitter.com/ekyucircle", "ekyucircle")</f>
        <v>ekyucircle</v>
      </c>
      <c r="B2596" s="65" t="s">
        <v>4736</v>
      </c>
    </row>
    <row r="2597" spans="1:2" x14ac:dyDescent="0.25">
      <c r="A2597" s="64" t="str">
        <f>HYPERLINK("http://www.twitter.com/acquasalli", "acquasalli")</f>
        <v>acquasalli</v>
      </c>
      <c r="B2597" s="65" t="s">
        <v>4062</v>
      </c>
    </row>
    <row r="2598" spans="1:2" x14ac:dyDescent="0.25">
      <c r="A2598" s="64" t="str">
        <f>HYPERLINK("http://www.twitter.com/DasfaeOrk", "DasfaeOrk")</f>
        <v>DasfaeOrk</v>
      </c>
      <c r="B2598" s="65" t="s">
        <v>569</v>
      </c>
    </row>
    <row r="2599" spans="1:2" x14ac:dyDescent="0.25">
      <c r="A2599" s="64" t="str">
        <f>HYPERLINK("http://www.twitter.com/bookquist", "bookquist")</f>
        <v>bookquist</v>
      </c>
      <c r="B2599" s="65"/>
    </row>
    <row r="2600" spans="1:2" x14ac:dyDescent="0.25">
      <c r="A2600" s="64" t="str">
        <f>HYPERLINK("http://www.twitter.com/For_the_Wynn", "For_the_Wynn")</f>
        <v>For_the_Wynn</v>
      </c>
      <c r="B2600" s="65" t="s">
        <v>346</v>
      </c>
    </row>
    <row r="2601" spans="1:2" x14ac:dyDescent="0.25">
      <c r="A2601" s="64" t="str">
        <f>HYPERLINK("http://www.twitter.com/cuckoojustine", "cuckoojustine")</f>
        <v>cuckoojustine</v>
      </c>
      <c r="B2601" s="65" t="s">
        <v>4737</v>
      </c>
    </row>
    <row r="2602" spans="1:2" x14ac:dyDescent="0.25">
      <c r="A2602" s="64" t="str">
        <f>HYPERLINK("http://www.twitter.com/TPLForestHill", "TPLForestHill")</f>
        <v>TPLForestHill</v>
      </c>
      <c r="B2602" s="65" t="s">
        <v>4738</v>
      </c>
    </row>
    <row r="2603" spans="1:2" x14ac:dyDescent="0.25">
      <c r="A2603" s="64" t="str">
        <f>HYPERLINK("http://www.twitter.com/MaryWal41853599", "MaryWal41853599")</f>
        <v>MaryWal41853599</v>
      </c>
      <c r="B2603" s="65"/>
    </row>
    <row r="2604" spans="1:2" x14ac:dyDescent="0.25">
      <c r="A2604" s="64" t="str">
        <f>HYPERLINK("http://www.twitter.com/AnneAschenbrenn", "AnneAschenbrenn")</f>
        <v>AnneAschenbrenn</v>
      </c>
      <c r="B2604" s="65"/>
    </row>
    <row r="2605" spans="1:2" x14ac:dyDescent="0.25">
      <c r="A2605" s="64" t="str">
        <f>HYPERLINK("http://www.twitter.com/Library_AMS", "Library_AMS")</f>
        <v>Library_AMS</v>
      </c>
      <c r="B2605" s="65"/>
    </row>
    <row r="2606" spans="1:2" x14ac:dyDescent="0.25">
      <c r="A2606" s="64" t="str">
        <f>HYPERLINK("http://www.twitter.com/islaybookfest", "islaybookfest")</f>
        <v>islaybookfest</v>
      </c>
      <c r="B2606" s="65" t="s">
        <v>4739</v>
      </c>
    </row>
    <row r="2607" spans="1:2" x14ac:dyDescent="0.25">
      <c r="A2607" s="64" t="str">
        <f>HYPERLINK("http://www.twitter.com/anjum12121", "anjum12121")</f>
        <v>anjum12121</v>
      </c>
      <c r="B2607" s="65" t="s">
        <v>3962</v>
      </c>
    </row>
    <row r="2608" spans="1:2" x14ac:dyDescent="0.25">
      <c r="A2608" s="64" t="str">
        <f>HYPERLINK("http://www.twitter.com/UnitedWayUK", "UnitedWayUK")</f>
        <v>UnitedWayUK</v>
      </c>
      <c r="B2608" s="65" t="s">
        <v>70</v>
      </c>
    </row>
    <row r="2609" spans="1:2" x14ac:dyDescent="0.25">
      <c r="A2609" s="64" t="str">
        <f>HYPERLINK("http://www.twitter.com/EmilyIlettGWL", "EmilyIlettGWL")</f>
        <v>EmilyIlettGWL</v>
      </c>
      <c r="B2609" s="65" t="s">
        <v>318</v>
      </c>
    </row>
    <row r="2610" spans="1:2" x14ac:dyDescent="0.25">
      <c r="A2610" s="64" t="str">
        <f>HYPERLINK("http://www.twitter.com/whimsicalnotion", "whimsicalnotion")</f>
        <v>whimsicalnotion</v>
      </c>
      <c r="B2610" s="65" t="s">
        <v>1226</v>
      </c>
    </row>
    <row r="2611" spans="1:2" x14ac:dyDescent="0.25">
      <c r="A2611" s="64" t="str">
        <f>HYPERLINK("http://www.twitter.com/Julia_Jennings", "Julia_Jennings")</f>
        <v>Julia_Jennings</v>
      </c>
      <c r="B2611" s="65"/>
    </row>
    <row r="2612" spans="1:2" x14ac:dyDescent="0.25">
      <c r="A2612" s="64" t="str">
        <f>HYPERLINK("http://www.twitter.com/mhdisasterplan", "mhdisasterplan")</f>
        <v>mhdisasterplan</v>
      </c>
      <c r="B2612" s="65" t="s">
        <v>4230</v>
      </c>
    </row>
    <row r="2613" spans="1:2" x14ac:dyDescent="0.25">
      <c r="A2613" s="64" t="str">
        <f>HYPERLINK("http://www.twitter.com/library_rmit", "library_rmit")</f>
        <v>library_rmit</v>
      </c>
      <c r="B2613" s="65" t="s">
        <v>4147</v>
      </c>
    </row>
    <row r="2614" spans="1:2" x14ac:dyDescent="0.25">
      <c r="A2614" s="64" t="str">
        <f>HYPERLINK("http://www.twitter.com/CraigOrkney", "CraigOrkney")</f>
        <v>CraigOrkney</v>
      </c>
      <c r="B2614" s="65"/>
    </row>
    <row r="2615" spans="1:2" x14ac:dyDescent="0.25">
      <c r="A2615" s="64" t="str">
        <f>HYPERLINK("http://www.twitter.com/MullinsAuthor", "MullinsAuthor")</f>
        <v>MullinsAuthor</v>
      </c>
      <c r="B2615" s="65" t="s">
        <v>1295</v>
      </c>
    </row>
    <row r="2616" spans="1:2" x14ac:dyDescent="0.25">
      <c r="A2616" s="64" t="str">
        <f>HYPERLINK("http://www.twitter.com/NovaRaePoetry", "NovaRaePoetry")</f>
        <v>NovaRaePoetry</v>
      </c>
      <c r="B2616" s="65" t="s">
        <v>4740</v>
      </c>
    </row>
    <row r="2617" spans="1:2" x14ac:dyDescent="0.25">
      <c r="A2617" s="64" t="str">
        <f>HYPERLINK("http://www.twitter.com/DaveShaw48", "DaveShaw48")</f>
        <v>DaveShaw48</v>
      </c>
      <c r="B2617" s="65"/>
    </row>
    <row r="2618" spans="1:2" x14ac:dyDescent="0.25">
      <c r="A2618" s="64" t="str">
        <f>HYPERLINK("http://www.twitter.com/UKChristian_uk", "UKChristian_uk")</f>
        <v>UKChristian_uk</v>
      </c>
      <c r="B2618" s="65"/>
    </row>
    <row r="2619" spans="1:2" x14ac:dyDescent="0.25">
      <c r="A2619" s="64" t="str">
        <f>HYPERLINK("http://www.twitter.com/rachaelawing", "rachaelawing")</f>
        <v>rachaelawing</v>
      </c>
      <c r="B2619" s="65"/>
    </row>
    <row r="2620" spans="1:2" x14ac:dyDescent="0.25">
      <c r="A2620" s="64" t="str">
        <f>HYPERLINK("http://www.twitter.com/caitrionahughes", "caitrionahughes")</f>
        <v>caitrionahughes</v>
      </c>
      <c r="B2620" s="65" t="s">
        <v>4741</v>
      </c>
    </row>
    <row r="2621" spans="1:2" x14ac:dyDescent="0.25">
      <c r="A2621" s="64" t="str">
        <f>HYPERLINK("http://www.twitter.com/DawnJBaird", "DawnJBaird")</f>
        <v>DawnJBaird</v>
      </c>
      <c r="B2621" s="65" t="s">
        <v>138</v>
      </c>
    </row>
    <row r="2622" spans="1:2" x14ac:dyDescent="0.25">
      <c r="A2622" s="64" t="str">
        <f>HYPERLINK("http://www.twitter.com/holroz", "holroz")</f>
        <v>holroz</v>
      </c>
      <c r="B2622" s="65"/>
    </row>
    <row r="2623" spans="1:2" x14ac:dyDescent="0.25">
      <c r="A2623" s="64" t="str">
        <f>HYPERLINK("http://www.twitter.com/Fionasstalker", "Fionasstalker")</f>
        <v>Fionasstalker</v>
      </c>
      <c r="B2623" s="65" t="s">
        <v>808</v>
      </c>
    </row>
    <row r="2624" spans="1:2" x14ac:dyDescent="0.25">
      <c r="A2624" s="64" t="str">
        <f>HYPERLINK("http://www.twitter.com/craven_natalie", "craven_natalie")</f>
        <v>craven_natalie</v>
      </c>
      <c r="B2624" s="65" t="s">
        <v>477</v>
      </c>
    </row>
    <row r="2625" spans="1:2" x14ac:dyDescent="0.25">
      <c r="A2625" s="64" t="str">
        <f>HYPERLINK("http://www.twitter.com/Henry_Hepburn", "Henry_Hepburn")</f>
        <v>Henry_Hepburn</v>
      </c>
      <c r="B2625" s="65" t="s">
        <v>355</v>
      </c>
    </row>
    <row r="2626" spans="1:2" x14ac:dyDescent="0.25">
      <c r="A2626" s="64" t="str">
        <f>HYPERLINK("http://www.twitter.com/siddiq11gratte", "siddiq11gratte")</f>
        <v>siddiq11gratte</v>
      </c>
      <c r="B2626" s="65" t="s">
        <v>4742</v>
      </c>
    </row>
    <row r="2627" spans="1:2" x14ac:dyDescent="0.25">
      <c r="A2627" s="64" t="str">
        <f>HYPERLINK("http://www.twitter.com/UofGSciEngGrads", "UofGSciEngGrads")</f>
        <v>UofGSciEngGrads</v>
      </c>
      <c r="B2627" s="65" t="s">
        <v>4743</v>
      </c>
    </row>
    <row r="2628" spans="1:2" x14ac:dyDescent="0.25">
      <c r="A2628" s="64" t="str">
        <f>HYPERLINK("http://www.twitter.com/DwarakaPraneet1", "DwarakaPraneet1")</f>
        <v>DwarakaPraneet1</v>
      </c>
      <c r="B2628" s="65" t="s">
        <v>4628</v>
      </c>
    </row>
    <row r="2629" spans="1:2" x14ac:dyDescent="0.25">
      <c r="A2629" s="64" t="str">
        <f>HYPERLINK("http://www.twitter.com/vieriswish", "vieriswish")</f>
        <v>vieriswish</v>
      </c>
      <c r="B2629" s="65"/>
    </row>
    <row r="2630" spans="1:2" x14ac:dyDescent="0.25">
      <c r="A2630" s="64" t="str">
        <f>HYPERLINK("http://www.twitter.com/TheCallumBlack", "TheCallumBlack")</f>
        <v>TheCallumBlack</v>
      </c>
      <c r="B2630" s="65" t="s">
        <v>4744</v>
      </c>
    </row>
    <row r="2631" spans="1:2" x14ac:dyDescent="0.25">
      <c r="A2631" s="64" t="str">
        <f>HYPERLINK("http://www.twitter.com/LRCjacqui", "LRCjacqui")</f>
        <v>LRCjacqui</v>
      </c>
      <c r="B2631" s="65" t="s">
        <v>4745</v>
      </c>
    </row>
    <row r="2632" spans="1:2" x14ac:dyDescent="0.25">
      <c r="A2632" s="64" t="str">
        <f>HYPERLINK("http://www.twitter.com/MS_a_hicks", "MS_a_hicks")</f>
        <v>MS_a_hicks</v>
      </c>
      <c r="B2632" s="65"/>
    </row>
    <row r="2633" spans="1:2" x14ac:dyDescent="0.25">
      <c r="A2633" s="64" t="str">
        <f>HYPERLINK("http://www.twitter.com/barry2tone", "barry2tone")</f>
        <v>barry2tone</v>
      </c>
      <c r="B2633" s="65" t="s">
        <v>67</v>
      </c>
    </row>
    <row r="2634" spans="1:2" x14ac:dyDescent="0.25">
      <c r="A2634" s="64" t="str">
        <f>HYPERLINK("http://www.twitter.com/Halfknit", "Halfknit")</f>
        <v>Halfknit</v>
      </c>
      <c r="B2634" s="65"/>
    </row>
    <row r="2635" spans="1:2" x14ac:dyDescent="0.25">
      <c r="A2635" s="64" t="str">
        <f>HYPERLINK("http://www.twitter.com/eghjfjsla", "eghjfjsla")</f>
        <v>eghjfjsla</v>
      </c>
      <c r="B2635" s="65"/>
    </row>
    <row r="2636" spans="1:2" x14ac:dyDescent="0.25">
      <c r="A2636" s="64" t="str">
        <f>HYPERLINK("http://www.twitter.com/SeamabScotland", "SeamabScotland")</f>
        <v>SeamabScotland</v>
      </c>
      <c r="B2636" s="65" t="s">
        <v>3773</v>
      </c>
    </row>
    <row r="2637" spans="1:2" x14ac:dyDescent="0.25">
      <c r="A2637" s="64" t="str">
        <f>HYPERLINK("http://www.twitter.com/MeiShoots", "MeiShoots")</f>
        <v>MeiShoots</v>
      </c>
      <c r="B2637" s="65" t="s">
        <v>4746</v>
      </c>
    </row>
    <row r="2638" spans="1:2" x14ac:dyDescent="0.25">
      <c r="A2638" s="64" t="str">
        <f>HYPERLINK("http://www.twitter.com/DeriLibrary", "DeriLibrary")</f>
        <v>DeriLibrary</v>
      </c>
      <c r="B2638" s="65" t="s">
        <v>1221</v>
      </c>
    </row>
    <row r="2639" spans="1:2" x14ac:dyDescent="0.25">
      <c r="A2639" s="64" t="str">
        <f>HYPERLINK("http://www.twitter.com/lindsaymward", "lindsaymward")</f>
        <v>lindsaymward</v>
      </c>
      <c r="B2639" s="65" t="s">
        <v>4747</v>
      </c>
    </row>
    <row r="2640" spans="1:2" x14ac:dyDescent="0.25">
      <c r="A2640" s="64" t="str">
        <f>HYPERLINK("http://www.twitter.com/itsdannybrown", "itsdannybrown")</f>
        <v>itsdannybrown</v>
      </c>
      <c r="B2640" s="65" t="s">
        <v>4748</v>
      </c>
    </row>
    <row r="2641" spans="1:2" x14ac:dyDescent="0.25">
      <c r="A2641" s="64" t="str">
        <f>HYPERLINK("http://www.twitter.com/BookspeedSinead", "BookspeedSinead")</f>
        <v>BookspeedSinead</v>
      </c>
      <c r="B2641" s="65" t="s">
        <v>487</v>
      </c>
    </row>
    <row r="2642" spans="1:2" x14ac:dyDescent="0.25">
      <c r="A2642" s="64" t="str">
        <f>HYPERLINK("http://www.twitter.com/senordelcorbett", "senordelcorbett")</f>
        <v>senordelcorbett</v>
      </c>
      <c r="B2642" s="65"/>
    </row>
    <row r="2643" spans="1:2" x14ac:dyDescent="0.25">
      <c r="A2643" s="64" t="str">
        <f>HYPERLINK("http://www.twitter.com/SarahHLib", "SarahHLib")</f>
        <v>SarahHLib</v>
      </c>
      <c r="B2643" s="65" t="s">
        <v>1739</v>
      </c>
    </row>
    <row r="2644" spans="1:2" x14ac:dyDescent="0.25">
      <c r="A2644" s="64" t="str">
        <f>HYPERLINK("http://www.twitter.com/ValFrankiesFish", "ValFrankiesFish")</f>
        <v>ValFrankiesFish</v>
      </c>
      <c r="B2644" s="65" t="s">
        <v>4749</v>
      </c>
    </row>
    <row r="2645" spans="1:2" x14ac:dyDescent="0.25">
      <c r="A2645" s="64" t="str">
        <f>HYPERLINK("http://www.twitter.com/rhymeswithmaria", "rhymeswithmaria")</f>
        <v>rhymeswithmaria</v>
      </c>
      <c r="B2645" s="65" t="s">
        <v>4209</v>
      </c>
    </row>
    <row r="2646" spans="1:2" x14ac:dyDescent="0.25">
      <c r="A2646" s="64" t="str">
        <f>HYPERLINK("http://www.twitter.com/boldarch_tra", "boldarch_tra")</f>
        <v>boldarch_tra</v>
      </c>
      <c r="B2646" s="65"/>
    </row>
    <row r="2647" spans="1:2" x14ac:dyDescent="0.25">
      <c r="A2647" s="64" t="str">
        <f>HYPERLINK("http://www.twitter.com/lejrussell", "lejrussell")</f>
        <v>lejrussell</v>
      </c>
      <c r="B2647" s="65"/>
    </row>
    <row r="2648" spans="1:2" x14ac:dyDescent="0.25">
      <c r="A2648" s="64" t="str">
        <f>HYPERLINK("http://www.twitter.com/AdeleMarketing", "AdeleMarketing")</f>
        <v>AdeleMarketing</v>
      </c>
      <c r="B2648" s="65"/>
    </row>
    <row r="2649" spans="1:2" x14ac:dyDescent="0.25">
      <c r="A2649" s="64" t="str">
        <f>HYPERLINK("http://www.twitter.com/HeidtKatherine", "HeidtKatherine")</f>
        <v>HeidtKatherine</v>
      </c>
      <c r="B2649" s="65"/>
    </row>
    <row r="2650" spans="1:2" x14ac:dyDescent="0.25">
      <c r="A2650" s="64" t="str">
        <f>HYPERLINK("http://www.twitter.com/ALIASA_Group", "ALIASA_Group")</f>
        <v>ALIASA_Group</v>
      </c>
      <c r="B2650" s="65" t="s">
        <v>3919</v>
      </c>
    </row>
    <row r="2651" spans="1:2" x14ac:dyDescent="0.25">
      <c r="A2651" s="64" t="str">
        <f>HYPERLINK("http://www.twitter.com/CarrieCornell", "CarrieCornell")</f>
        <v>CarrieCornell</v>
      </c>
      <c r="B2651" s="65" t="s">
        <v>4750</v>
      </c>
    </row>
    <row r="2652" spans="1:2" x14ac:dyDescent="0.25">
      <c r="A2652" s="64" t="str">
        <f>HYPERLINK("http://www.twitter.com/kennedycm1", "kennedycm1")</f>
        <v>kennedycm1</v>
      </c>
      <c r="B2652" s="65" t="s">
        <v>4751</v>
      </c>
    </row>
    <row r="2653" spans="1:2" x14ac:dyDescent="0.25">
      <c r="A2653" s="64" t="str">
        <f>HYPERLINK("http://www.twitter.com/Suska5", "Suska5")</f>
        <v>Suska5</v>
      </c>
      <c r="B2653" s="65" t="s">
        <v>4447</v>
      </c>
    </row>
    <row r="2654" spans="1:2" x14ac:dyDescent="0.25">
      <c r="A2654" s="64" t="str">
        <f>HYPERLINK("http://www.twitter.com/Selkiewifey", "Selkiewifey")</f>
        <v>Selkiewifey</v>
      </c>
      <c r="B2654" s="65" t="s">
        <v>2007</v>
      </c>
    </row>
    <row r="2655" spans="1:2" x14ac:dyDescent="0.25">
      <c r="A2655" s="64" t="str">
        <f>HYPERLINK("http://www.twitter.com/lizeeroyle", "lizeeroyle")</f>
        <v>lizeeroyle</v>
      </c>
      <c r="B2655" s="65"/>
    </row>
    <row r="2656" spans="1:2" x14ac:dyDescent="0.25">
      <c r="A2656" s="64" t="str">
        <f>HYPERLINK("http://www.twitter.com/evangelinecluck", "evangelinecluck")</f>
        <v>evangelinecluck</v>
      </c>
      <c r="B2656" s="65" t="s">
        <v>517</v>
      </c>
    </row>
    <row r="2657" spans="1:2" x14ac:dyDescent="0.25">
      <c r="A2657" s="64" t="str">
        <f>HYPERLINK("http://www.twitter.com/Marthakearney", "Marthakearney")</f>
        <v>Marthakearney</v>
      </c>
      <c r="B2657" s="65"/>
    </row>
    <row r="2658" spans="1:2" x14ac:dyDescent="0.25">
      <c r="A2658" s="64" t="str">
        <f>HYPERLINK("http://www.twitter.com/mr_monotreme", "mr_monotreme")</f>
        <v>mr_monotreme</v>
      </c>
      <c r="B2658" s="65" t="s">
        <v>4752</v>
      </c>
    </row>
    <row r="2659" spans="1:2" x14ac:dyDescent="0.25">
      <c r="A2659" s="64" t="str">
        <f>HYPERLINK("http://www.twitter.com/siancollins1", "siancollins1")</f>
        <v>siancollins1</v>
      </c>
      <c r="B2659" s="65" t="s">
        <v>4753</v>
      </c>
    </row>
    <row r="2660" spans="1:2" x14ac:dyDescent="0.25">
      <c r="A2660" s="64" t="str">
        <f>HYPERLINK("http://www.twitter.com/Regina_Saba", "Regina_Saba")</f>
        <v>Regina_Saba</v>
      </c>
      <c r="B2660" s="65"/>
    </row>
    <row r="2661" spans="1:2" x14ac:dyDescent="0.25">
      <c r="A2661" s="64" t="str">
        <f>HYPERLINK("http://www.twitter.com/NewhamBookGirl", "NewhamBookGirl")</f>
        <v>NewhamBookGirl</v>
      </c>
      <c r="B2661" s="65" t="s">
        <v>4754</v>
      </c>
    </row>
    <row r="2662" spans="1:2" x14ac:dyDescent="0.25">
      <c r="A2662" s="64" t="str">
        <f>HYPERLINK("http://www.twitter.com/skjenkins", "skjenkins")</f>
        <v>skjenkins</v>
      </c>
      <c r="B2662" s="65"/>
    </row>
    <row r="2663" spans="1:2" x14ac:dyDescent="0.25">
      <c r="A2663" s="64" t="str">
        <f>HYPERLINK("http://www.twitter.com/RCStweets", "RCStweets")</f>
        <v>RCStweets</v>
      </c>
      <c r="B2663" s="65" t="s">
        <v>138</v>
      </c>
    </row>
    <row r="2664" spans="1:2" x14ac:dyDescent="0.25">
      <c r="A2664" s="64" t="str">
        <f>HYPERLINK("http://www.twitter.com/Odellia", "Odellia")</f>
        <v>Odellia</v>
      </c>
      <c r="B2664" s="65" t="s">
        <v>4755</v>
      </c>
    </row>
    <row r="2665" spans="1:2" x14ac:dyDescent="0.25">
      <c r="A2665" s="64" t="str">
        <f>HYPERLINK("http://www.twitter.com/artmuseums", "artmuseums")</f>
        <v>artmuseums</v>
      </c>
      <c r="B2665" s="65" t="s">
        <v>4756</v>
      </c>
    </row>
    <row r="2666" spans="1:2" x14ac:dyDescent="0.25">
      <c r="A2666" s="64" t="str">
        <f>HYPERLINK("http://www.twitter.com/Wtoday_today", "Wtoday_today")</f>
        <v>Wtoday_today</v>
      </c>
      <c r="B2666" s="65" t="s">
        <v>3998</v>
      </c>
    </row>
    <row r="2667" spans="1:2" x14ac:dyDescent="0.25">
      <c r="A2667" s="64" t="str">
        <f>HYPERLINK("http://www.twitter.com/i_am_not_eva", "i_am_not_eva")</f>
        <v>i_am_not_eva</v>
      </c>
      <c r="B2667" s="65" t="s">
        <v>4757</v>
      </c>
    </row>
    <row r="2668" spans="1:2" x14ac:dyDescent="0.25">
      <c r="A2668" s="64" t="str">
        <f>HYPERLINK("http://www.twitter.com/yourbasictweety", "yourbasictweety")</f>
        <v>yourbasictweety</v>
      </c>
      <c r="B2668" s="65"/>
    </row>
    <row r="2669" spans="1:2" x14ac:dyDescent="0.25">
      <c r="A2669" s="64" t="str">
        <f>HYPERLINK("http://www.twitter.com/hazelbookseller", "hazelbookseller")</f>
        <v>hazelbookseller</v>
      </c>
      <c r="B2669" s="65" t="s">
        <v>4758</v>
      </c>
    </row>
    <row r="2670" spans="1:2" x14ac:dyDescent="0.25">
      <c r="A2670" s="64" t="str">
        <f>HYPERLINK("http://www.twitter.com/d_gunmalm", "d_gunmalm")</f>
        <v>d_gunmalm</v>
      </c>
      <c r="B2670" s="65"/>
    </row>
    <row r="2671" spans="1:2" x14ac:dyDescent="0.25">
      <c r="A2671" s="64" t="str">
        <f>HYPERLINK("http://www.twitter.com/PhyllidaJacobs", "PhyllidaJacobs")</f>
        <v>PhyllidaJacobs</v>
      </c>
      <c r="B2671" s="65" t="s">
        <v>36</v>
      </c>
    </row>
    <row r="2672" spans="1:2" x14ac:dyDescent="0.25">
      <c r="A2672" s="64" t="str">
        <f>HYPERLINK("http://www.twitter.com/MechyMooMoo", "MechyMooMoo")</f>
        <v>MechyMooMoo</v>
      </c>
      <c r="B2672" s="65"/>
    </row>
    <row r="2673" spans="1:2" x14ac:dyDescent="0.25">
      <c r="A2673" s="64" t="str">
        <f>HYPERLINK("http://www.twitter.com/therealjok", "therealjok")</f>
        <v>therealjok</v>
      </c>
      <c r="B2673" s="65" t="s">
        <v>517</v>
      </c>
    </row>
    <row r="2674" spans="1:2" x14ac:dyDescent="0.25">
      <c r="A2674" s="64" t="str">
        <f>HYPERLINK("http://www.twitter.com/McGrathBarrett", "McGrathBarrett")</f>
        <v>McGrathBarrett</v>
      </c>
      <c r="B2674" s="65" t="s">
        <v>3760</v>
      </c>
    </row>
    <row r="2675" spans="1:2" x14ac:dyDescent="0.25">
      <c r="A2675" s="64" t="str">
        <f>HYPERLINK("http://www.twitter.com/Saffiesarah", "Saffiesarah")</f>
        <v>Saffiesarah</v>
      </c>
      <c r="B2675" s="65" t="s">
        <v>3262</v>
      </c>
    </row>
    <row r="2676" spans="1:2" x14ac:dyDescent="0.25">
      <c r="A2676" s="64" t="str">
        <f>HYPERLINK("http://www.twitter.com/stwLRC", "stwLRC")</f>
        <v>stwLRC</v>
      </c>
      <c r="B2676" s="65"/>
    </row>
    <row r="2677" spans="1:2" x14ac:dyDescent="0.25">
      <c r="A2677" s="64" t="str">
        <f>HYPERLINK("http://www.twitter.com/RPlenty15", "RPlenty15")</f>
        <v>RPlenty15</v>
      </c>
      <c r="B2677" s="65" t="s">
        <v>883</v>
      </c>
    </row>
    <row r="2678" spans="1:2" x14ac:dyDescent="0.25">
      <c r="A2678" s="64" t="str">
        <f>HYPERLINK("http://www.twitter.com/Mdunlop91", "Mdunlop91")</f>
        <v>Mdunlop91</v>
      </c>
      <c r="B2678" s="65" t="s">
        <v>20</v>
      </c>
    </row>
    <row r="2679" spans="1:2" x14ac:dyDescent="0.25">
      <c r="A2679" s="64" t="str">
        <f>HYPERLINK("http://www.twitter.com/hoonani1726", "hoonani1726")</f>
        <v>hoonani1726</v>
      </c>
      <c r="B2679" s="65" t="s">
        <v>4759</v>
      </c>
    </row>
    <row r="2680" spans="1:2" x14ac:dyDescent="0.25">
      <c r="A2680" s="64" t="str">
        <f>HYPERLINK("http://www.twitter.com/bex_muir", "bex_muir")</f>
        <v>bex_muir</v>
      </c>
      <c r="B2680" s="65" t="s">
        <v>4760</v>
      </c>
    </row>
    <row r="2681" spans="1:2" x14ac:dyDescent="0.25">
      <c r="A2681" s="64" t="str">
        <f>HYPERLINK("http://www.twitter.com/LibrarianLoser", "LibrarianLoser")</f>
        <v>LibrarianLoser</v>
      </c>
      <c r="B2681" s="65" t="s">
        <v>4761</v>
      </c>
    </row>
    <row r="2682" spans="1:2" x14ac:dyDescent="0.25">
      <c r="A2682" s="64" t="str">
        <f>HYPERLINK("http://www.twitter.com/hopperpy", "hopperpy")</f>
        <v>hopperpy</v>
      </c>
      <c r="B2682" s="65" t="s">
        <v>4762</v>
      </c>
    </row>
    <row r="2683" spans="1:2" x14ac:dyDescent="0.25">
      <c r="A2683" s="64" t="str">
        <f>HYPERLINK("http://www.twitter.com/r_gravenhurst", "r_gravenhurst")</f>
        <v>r_gravenhurst</v>
      </c>
      <c r="B2683" s="65" t="s">
        <v>4763</v>
      </c>
    </row>
    <row r="2684" spans="1:2" x14ac:dyDescent="0.25">
      <c r="A2684" s="64" t="str">
        <f>HYPERLINK("http://www.twitter.com/Black0rkney", "Black0rkney")</f>
        <v>Black0rkney</v>
      </c>
      <c r="B2684" s="65"/>
    </row>
    <row r="2685" spans="1:2" x14ac:dyDescent="0.25">
      <c r="A2685" s="64" t="str">
        <f>HYPERLINK("http://www.twitter.com/Conwep", "Conwep")</f>
        <v>Conwep</v>
      </c>
      <c r="B2685" s="65"/>
    </row>
    <row r="2686" spans="1:2" x14ac:dyDescent="0.25">
      <c r="A2686" s="64" t="str">
        <f>HYPERLINK("http://www.twitter.com/LynRhiPea", "LynRhiPea")</f>
        <v>LynRhiPea</v>
      </c>
      <c r="B2686" s="65" t="s">
        <v>135</v>
      </c>
    </row>
    <row r="2687" spans="1:2" x14ac:dyDescent="0.25">
      <c r="A2687" s="64" t="str">
        <f>HYPERLINK("http://www.twitter.com/teasyjet", "teasyjet")</f>
        <v>teasyjet</v>
      </c>
      <c r="B2687" s="65" t="s">
        <v>4764</v>
      </c>
    </row>
    <row r="2688" spans="1:2" x14ac:dyDescent="0.25">
      <c r="A2688" s="64" t="str">
        <f>HYPERLINK("http://www.twitter.com/mymarkup", "mymarkup")</f>
        <v>mymarkup</v>
      </c>
      <c r="B2688" s="65" t="s">
        <v>4765</v>
      </c>
    </row>
    <row r="2689" spans="1:2" x14ac:dyDescent="0.25">
      <c r="A2689" s="64" t="str">
        <f>HYPERLINK("http://www.twitter.com/omid9", "omid9")</f>
        <v>omid9</v>
      </c>
      <c r="B2689" s="65" t="s">
        <v>4766</v>
      </c>
    </row>
    <row r="2690" spans="1:2" x14ac:dyDescent="0.25">
      <c r="A2690" s="64" t="str">
        <f>HYPERLINK("http://www.twitter.com/pete_wack", "pete_wack")</f>
        <v>pete_wack</v>
      </c>
      <c r="B2690" s="65" t="s">
        <v>2631</v>
      </c>
    </row>
    <row r="2691" spans="1:2" x14ac:dyDescent="0.25">
      <c r="A2691" s="64" t="str">
        <f>HYPERLINK("http://www.twitter.com/garyevans139", "garyevans139")</f>
        <v>garyevans139</v>
      </c>
      <c r="B2691" s="65"/>
    </row>
    <row r="2692" spans="1:2" x14ac:dyDescent="0.25">
      <c r="A2692" s="64" t="str">
        <f>HYPERLINK("http://www.twitter.com/DINA93450092", "DINA93450092")</f>
        <v>DINA93450092</v>
      </c>
      <c r="B2692" s="65" t="s">
        <v>4669</v>
      </c>
    </row>
    <row r="2693" spans="1:2" x14ac:dyDescent="0.25">
      <c r="A2693" s="64" t="str">
        <f>HYPERLINK("http://www.twitter.com/FrancisPujols03", "FrancisPujols03")</f>
        <v>FrancisPujols03</v>
      </c>
      <c r="B2693" s="65" t="s">
        <v>4767</v>
      </c>
    </row>
    <row r="2694" spans="1:2" x14ac:dyDescent="0.25">
      <c r="A2694" s="64" t="str">
        <f>HYPERLINK("http://www.twitter.com/anniesue68", "anniesue68")</f>
        <v>anniesue68</v>
      </c>
      <c r="B2694" s="65"/>
    </row>
    <row r="2695" spans="1:2" x14ac:dyDescent="0.25">
      <c r="A2695" s="64" t="str">
        <f>HYPERLINK("http://www.twitter.com/Lundavra", "Lundavra")</f>
        <v>Lundavra</v>
      </c>
      <c r="B2695" s="65"/>
    </row>
    <row r="2696" spans="1:2" x14ac:dyDescent="0.25">
      <c r="A2696" s="64" t="str">
        <f>HYPERLINK("http://www.twitter.com/FlytingNWriting", "FlytingNWriting")</f>
        <v>FlytingNWriting</v>
      </c>
      <c r="B2696" s="65" t="s">
        <v>4768</v>
      </c>
    </row>
    <row r="2697" spans="1:2" x14ac:dyDescent="0.25">
      <c r="A2697" s="64" t="str">
        <f>HYPERLINK("http://www.twitter.com/jimjohnstonork", "jimjohnstonork")</f>
        <v>jimjohnstonork</v>
      </c>
      <c r="B2697" s="65"/>
    </row>
    <row r="2698" spans="1:2" x14ac:dyDescent="0.25">
      <c r="A2698" s="64" t="str">
        <f>HYPERLINK("http://www.twitter.com/silverknotz", "silverknotz")</f>
        <v>silverknotz</v>
      </c>
      <c r="B2698" s="65"/>
    </row>
    <row r="2699" spans="1:2" x14ac:dyDescent="0.25">
      <c r="A2699" s="64" t="str">
        <f>HYPERLINK("http://www.twitter.com/MIKEandALI33", "MIKEandALI33")</f>
        <v>MIKEandALI33</v>
      </c>
      <c r="B2699" s="65" t="s">
        <v>487</v>
      </c>
    </row>
    <row r="2700" spans="1:2" x14ac:dyDescent="0.25">
      <c r="A2700" s="64" t="str">
        <f>HYPERLINK("http://www.twitter.com/Michael66755526", "Michael66755526")</f>
        <v>Michael66755526</v>
      </c>
      <c r="B2700" s="65"/>
    </row>
    <row r="2701" spans="1:2" x14ac:dyDescent="0.25">
      <c r="A2701" s="64" t="str">
        <f>HYPERLINK("http://www.twitter.com/beverynohime", "beverynohime")</f>
        <v>beverynohime</v>
      </c>
      <c r="B2701" s="65"/>
    </row>
    <row r="2702" spans="1:2" x14ac:dyDescent="0.25">
      <c r="A2702" s="64" t="str">
        <f>HYPERLINK("http://www.twitter.com/seaubytheshore", "seaubytheshore")</f>
        <v>seaubytheshore</v>
      </c>
      <c r="B2702" s="65" t="s">
        <v>2007</v>
      </c>
    </row>
    <row r="2703" spans="1:2" x14ac:dyDescent="0.25">
      <c r="A2703" s="64" t="str">
        <f>HYPERLINK("http://www.twitter.com/McIntyreKmci", "McIntyreKmci")</f>
        <v>McIntyreKmci</v>
      </c>
      <c r="B2703" s="65" t="s">
        <v>4769</v>
      </c>
    </row>
    <row r="2704" spans="1:2" x14ac:dyDescent="0.25">
      <c r="A2704" s="64" t="str">
        <f>HYPERLINK("http://www.twitter.com/mustardpotm", "mustardpotm")</f>
        <v>mustardpotm</v>
      </c>
      <c r="B2704" s="65" t="s">
        <v>1537</v>
      </c>
    </row>
    <row r="2705" spans="1:2" x14ac:dyDescent="0.25">
      <c r="A2705" s="64" t="str">
        <f>HYPERLINK("http://www.twitter.com/CallumMacinnes1", "CallumMacinnes1")</f>
        <v>CallumMacinnes1</v>
      </c>
      <c r="B2705" s="65" t="s">
        <v>4223</v>
      </c>
    </row>
    <row r="2706" spans="1:2" x14ac:dyDescent="0.25">
      <c r="A2706" s="64" t="str">
        <f>HYPERLINK("http://www.twitter.com/EnglishPhs", "EnglishPhs")</f>
        <v>EnglishPhs</v>
      </c>
      <c r="B2706" s="65" t="s">
        <v>3773</v>
      </c>
    </row>
    <row r="2707" spans="1:2" x14ac:dyDescent="0.25">
      <c r="A2707" s="64" t="str">
        <f>HYPERLINK("http://www.twitter.com/gaylie_r", "gaylie_r")</f>
        <v>gaylie_r</v>
      </c>
      <c r="B2707" s="65"/>
    </row>
    <row r="2708" spans="1:2" x14ac:dyDescent="0.25">
      <c r="A2708" s="64" t="str">
        <f>HYPERLINK("http://www.twitter.com/xclaire84x", "xclaire84x")</f>
        <v>xclaire84x</v>
      </c>
      <c r="B2708" s="65" t="s">
        <v>4770</v>
      </c>
    </row>
    <row r="2709" spans="1:2" x14ac:dyDescent="0.25">
      <c r="A2709" s="64" t="str">
        <f>HYPERLINK("http://www.twitter.com/AdventurousAnce", "AdventurousAnce")</f>
        <v>AdventurousAnce</v>
      </c>
      <c r="B2709" s="65"/>
    </row>
    <row r="2710" spans="1:2" x14ac:dyDescent="0.25">
      <c r="A2710" s="64" t="str">
        <f>HYPERLINK("http://www.twitter.com/coupdetalia", "coupdetalia")</f>
        <v>coupdetalia</v>
      </c>
      <c r="B2710" s="65" t="s">
        <v>4771</v>
      </c>
    </row>
    <row r="2711" spans="1:2" x14ac:dyDescent="0.25">
      <c r="A2711" s="64" t="str">
        <f>HYPERLINK("http://www.twitter.com/janeyoneill", "janeyoneill")</f>
        <v>janeyoneill</v>
      </c>
      <c r="B2711" s="65" t="s">
        <v>4772</v>
      </c>
    </row>
    <row r="2712" spans="1:2" x14ac:dyDescent="0.25">
      <c r="A2712" s="64" t="str">
        <f>HYPERLINK("http://www.twitter.com/asexylibrarian", "asexylibrarian")</f>
        <v>asexylibrarian</v>
      </c>
      <c r="B2712" s="65" t="s">
        <v>318</v>
      </c>
    </row>
    <row r="2713" spans="1:2" x14ac:dyDescent="0.25">
      <c r="A2713" s="64" t="str">
        <f>HYPERLINK("http://www.twitter.com/Gabi88837204", "Gabi88837204")</f>
        <v>Gabi88837204</v>
      </c>
      <c r="B2713" s="65"/>
    </row>
    <row r="2714" spans="1:2" x14ac:dyDescent="0.25">
      <c r="A2714" s="64" t="str">
        <f>HYPERLINK("http://www.twitter.com/BeastieBUK", "BeastieBUK")</f>
        <v>BeastieBUK</v>
      </c>
      <c r="B2714" s="65" t="s">
        <v>4773</v>
      </c>
    </row>
    <row r="2715" spans="1:2" x14ac:dyDescent="0.25">
      <c r="A2715" s="64" t="str">
        <f>HYPERLINK("http://www.twitter.com/Graham197781849", "Graham197781849")</f>
        <v>Graham197781849</v>
      </c>
      <c r="B2715" s="65"/>
    </row>
    <row r="2716" spans="1:2" x14ac:dyDescent="0.25">
      <c r="A2716" s="64" t="str">
        <f>HYPERLINK("http://www.twitter.com/Corrosion_Kid", "Corrosion_Kid")</f>
        <v>Corrosion_Kid</v>
      </c>
      <c r="B2716" s="65" t="s">
        <v>3762</v>
      </c>
    </row>
    <row r="2717" spans="1:2" x14ac:dyDescent="0.25">
      <c r="A2717" s="64" t="str">
        <f>HYPERLINK("http://www.twitter.com/Jessica_Bates", "Jessica_Bates")</f>
        <v>Jessica_Bates</v>
      </c>
      <c r="B2717" s="65" t="s">
        <v>4774</v>
      </c>
    </row>
    <row r="2718" spans="1:2" x14ac:dyDescent="0.25">
      <c r="A2718" s="64" t="str">
        <f>HYPERLINK("http://www.twitter.com/nnneeeiiilllsss", "nnneeeiiilllsss")</f>
        <v>nnneeeiiilllsss</v>
      </c>
      <c r="B2718" s="65" t="s">
        <v>318</v>
      </c>
    </row>
    <row r="2719" spans="1:2" x14ac:dyDescent="0.25">
      <c r="A2719" s="64" t="str">
        <f>HYPERLINK("http://www.twitter.com/mhordern1", "mhordern1")</f>
        <v>mhordern1</v>
      </c>
      <c r="B2719" s="65"/>
    </row>
    <row r="2720" spans="1:2" x14ac:dyDescent="0.25">
      <c r="A2720" s="64" t="str">
        <f>HYPERLINK("http://www.twitter.com/imanwcpl", "imanwcpl")</f>
        <v>imanwcpl</v>
      </c>
      <c r="B2720" s="65" t="s">
        <v>4572</v>
      </c>
    </row>
    <row r="2721" spans="1:2" x14ac:dyDescent="0.25">
      <c r="A2721" s="64" t="str">
        <f>HYPERLINK("http://www.twitter.com/TaitsTruth", "TaitsTruth")</f>
        <v>TaitsTruth</v>
      </c>
      <c r="B2721" s="65" t="s">
        <v>4775</v>
      </c>
    </row>
    <row r="2722" spans="1:2" x14ac:dyDescent="0.25">
      <c r="A2722" s="64" t="str">
        <f>HYPERLINK("http://www.twitter.com/iamwrathleen", "iamwrathleen")</f>
        <v>iamwrathleen</v>
      </c>
      <c r="B2722" s="65" t="s">
        <v>4776</v>
      </c>
    </row>
    <row r="2723" spans="1:2" x14ac:dyDescent="0.25">
      <c r="A2723" s="64" t="str">
        <f>HYPERLINK("http://www.twitter.com/stiarabhal", "stiarabhal")</f>
        <v>stiarabhal</v>
      </c>
      <c r="B2723" s="65"/>
    </row>
    <row r="2724" spans="1:2" x14ac:dyDescent="0.25">
      <c r="A2724" s="64" t="str">
        <f>HYPERLINK("http://www.twitter.com/LindsayIsaacs2", "LindsayIsaacs2")</f>
        <v>LindsayIsaacs2</v>
      </c>
      <c r="B2724" s="65" t="s">
        <v>1377</v>
      </c>
    </row>
    <row r="2725" spans="1:2" x14ac:dyDescent="0.25">
      <c r="A2725" s="64" t="str">
        <f>HYPERLINK("http://www.twitter.com/spazhousellc", "spazhousellc")</f>
        <v>spazhousellc</v>
      </c>
      <c r="B2725" s="65" t="s">
        <v>4579</v>
      </c>
    </row>
    <row r="2726" spans="1:2" x14ac:dyDescent="0.25">
      <c r="A2726" s="64" t="str">
        <f>HYPERLINK("http://www.twitter.com/the_happy_bus_", "the_happy_bus_")</f>
        <v>the_happy_bus_</v>
      </c>
      <c r="B2726" s="65" t="s">
        <v>1739</v>
      </c>
    </row>
    <row r="2727" spans="1:2" x14ac:dyDescent="0.25">
      <c r="A2727" s="64" t="str">
        <f>HYPERLINK("http://www.twitter.com/laurabr38475575", "laurabr38475575")</f>
        <v>laurabr38475575</v>
      </c>
      <c r="B2727" s="65" t="s">
        <v>3893</v>
      </c>
    </row>
    <row r="2728" spans="1:2" x14ac:dyDescent="0.25">
      <c r="A2728" s="64" t="str">
        <f>HYPERLINK("http://www.twitter.com/DionVerisureUk", "DionVerisureUk")</f>
        <v>DionVerisureUk</v>
      </c>
      <c r="B2728" s="65" t="s">
        <v>477</v>
      </c>
    </row>
    <row r="2729" spans="1:2" x14ac:dyDescent="0.25">
      <c r="A2729" s="64" t="str">
        <f>HYPERLINK("http://www.twitter.com/Sue_Korman", "Sue_Korman")</f>
        <v>Sue_Korman</v>
      </c>
      <c r="B2729" s="65"/>
    </row>
    <row r="2730" spans="1:2" x14ac:dyDescent="0.25">
      <c r="A2730" s="64" t="str">
        <f>HYPERLINK("http://www.twitter.com/HabibKh98520372", "HabibKh98520372")</f>
        <v>HabibKh98520372</v>
      </c>
      <c r="B2730" s="65" t="s">
        <v>4777</v>
      </c>
    </row>
    <row r="2731" spans="1:2" x14ac:dyDescent="0.25">
      <c r="A2731" s="64" t="str">
        <f>HYPERLINK("http://www.twitter.com/r25jlt", "r25jlt")</f>
        <v>r25jlt</v>
      </c>
      <c r="B2731" s="65"/>
    </row>
    <row r="2732" spans="1:2" x14ac:dyDescent="0.25">
      <c r="A2732" s="64" t="str">
        <f>HYPERLINK("http://www.twitter.com/birthework", "birthework")</f>
        <v>birthework</v>
      </c>
      <c r="B2732" s="65" t="s">
        <v>318</v>
      </c>
    </row>
    <row r="2733" spans="1:2" x14ac:dyDescent="0.25">
      <c r="A2733" s="64" t="str">
        <f>HYPERLINK("http://www.twitter.com/Sazzleoj", "Sazzleoj")</f>
        <v>Sazzleoj</v>
      </c>
      <c r="B2733" s="65"/>
    </row>
    <row r="2734" spans="1:2" x14ac:dyDescent="0.25">
      <c r="A2734" s="64" t="str">
        <f>HYPERLINK("http://www.twitter.com/kimmygraa", "kimmygraa")</f>
        <v>kimmygraa</v>
      </c>
      <c r="B2734" s="65" t="s">
        <v>33</v>
      </c>
    </row>
    <row r="2735" spans="1:2" x14ac:dyDescent="0.25">
      <c r="A2735" s="64" t="str">
        <f>HYPERLINK("http://www.twitter.com/LasMusicDance", "LasMusicDance")</f>
        <v>LasMusicDance</v>
      </c>
      <c r="B2735" s="65" t="s">
        <v>4778</v>
      </c>
    </row>
    <row r="2736" spans="1:2" x14ac:dyDescent="0.25">
      <c r="A2736" s="64" t="str">
        <f>HYPERLINK("http://www.twitter.com/jamiemcc123", "jamiemcc123")</f>
        <v>jamiemcc123</v>
      </c>
      <c r="B2736" s="65" t="s">
        <v>1377</v>
      </c>
    </row>
    <row r="2737" spans="1:2" x14ac:dyDescent="0.25">
      <c r="A2737" s="64" t="str">
        <f>HYPERLINK("http://www.twitter.com/meponthemove", "meponthemove")</f>
        <v>meponthemove</v>
      </c>
      <c r="B2737" s="65" t="s">
        <v>4623</v>
      </c>
    </row>
    <row r="2738" spans="1:2" x14ac:dyDescent="0.25">
      <c r="A2738" s="64" t="str">
        <f>HYPERLINK("http://www.twitter.com/solomonsalome2", "solomonsalome2")</f>
        <v>solomonsalome2</v>
      </c>
      <c r="B2738" s="65" t="s">
        <v>4015</v>
      </c>
    </row>
    <row r="2739" spans="1:2" x14ac:dyDescent="0.25">
      <c r="A2739" s="64" t="str">
        <f>HYPERLINK("http://www.twitter.com/KavitaGajera", "KavitaGajera")</f>
        <v>KavitaGajera</v>
      </c>
      <c r="B2739" s="65" t="s">
        <v>4779</v>
      </c>
    </row>
    <row r="2740" spans="1:2" x14ac:dyDescent="0.25">
      <c r="A2740" s="64" t="str">
        <f>HYPERLINK("http://www.twitter.com/L1braries", "L1braries")</f>
        <v>L1braries</v>
      </c>
      <c r="B2740" s="65" t="s">
        <v>477</v>
      </c>
    </row>
    <row r="2741" spans="1:2" x14ac:dyDescent="0.25">
      <c r="A2741" s="64" t="str">
        <f>HYPERLINK("http://www.twitter.com/GeorgieRuth1989", "GeorgieRuth1989")</f>
        <v>GeorgieRuth1989</v>
      </c>
      <c r="B2741" s="65" t="s">
        <v>2007</v>
      </c>
    </row>
    <row r="2742" spans="1:2" x14ac:dyDescent="0.25">
      <c r="A2742" s="64" t="str">
        <f>HYPERLINK("http://www.twitter.com/tess_riley", "tess_riley")</f>
        <v>tess_riley</v>
      </c>
      <c r="B2742" s="65" t="s">
        <v>36</v>
      </c>
    </row>
    <row r="2743" spans="1:2" x14ac:dyDescent="0.25">
      <c r="A2743" s="64" t="str">
        <f>HYPERLINK("http://www.twitter.com/victoriafinlay", "victoriafinlay")</f>
        <v>victoriafinlay</v>
      </c>
      <c r="B2743" s="65" t="s">
        <v>296</v>
      </c>
    </row>
    <row r="2744" spans="1:2" x14ac:dyDescent="0.25">
      <c r="A2744" s="64" t="str">
        <f>HYPERLINK("http://www.twitter.com/The_Prototyper", "The_Prototyper")</f>
        <v>The_Prototyper</v>
      </c>
      <c r="B2744" s="65" t="s">
        <v>3779</v>
      </c>
    </row>
    <row r="2745" spans="1:2" x14ac:dyDescent="0.25">
      <c r="A2745" s="64" t="str">
        <f>HYPERLINK("http://www.twitter.com/smclrk", "smclrk")</f>
        <v>smclrk</v>
      </c>
      <c r="B2745" s="65"/>
    </row>
    <row r="2746" spans="1:2" x14ac:dyDescent="0.25">
      <c r="A2746" s="64" t="str">
        <f>HYPERLINK("http://www.twitter.com/WaterDoc3", "WaterDoc3")</f>
        <v>WaterDoc3</v>
      </c>
      <c r="B2746" s="65" t="s">
        <v>4780</v>
      </c>
    </row>
    <row r="2747" spans="1:2" x14ac:dyDescent="0.25">
      <c r="A2747" s="64" t="str">
        <f>HYPERLINK("http://www.twitter.com/BB_Artist", "BB_Artist")</f>
        <v>BB_Artist</v>
      </c>
      <c r="B2747" s="65" t="s">
        <v>1790</v>
      </c>
    </row>
    <row r="2748" spans="1:2" x14ac:dyDescent="0.25">
      <c r="A2748" s="64" t="str">
        <f>HYPERLINK("http://www.twitter.com/tanzania8", "tanzania8")</f>
        <v>tanzania8</v>
      </c>
      <c r="B2748" s="65"/>
    </row>
    <row r="2749" spans="1:2" x14ac:dyDescent="0.25">
      <c r="A2749" s="64" t="str">
        <f>HYPERLINK("http://www.twitter.com/GWGMN", "GWGMN")</f>
        <v>GWGMN</v>
      </c>
      <c r="B2749" s="65" t="s">
        <v>4781</v>
      </c>
    </row>
    <row r="2750" spans="1:2" x14ac:dyDescent="0.25">
      <c r="A2750" s="64" t="str">
        <f>HYPERLINK("http://www.twitter.com/avijeetkhaitan", "avijeetkhaitan")</f>
        <v>avijeetkhaitan</v>
      </c>
      <c r="B2750" s="65" t="s">
        <v>4720</v>
      </c>
    </row>
    <row r="2751" spans="1:2" x14ac:dyDescent="0.25">
      <c r="A2751" s="64" t="str">
        <f>HYPERLINK("http://www.twitter.com/jdham137", "jdham137")</f>
        <v>jdham137</v>
      </c>
      <c r="B2751" s="65"/>
    </row>
    <row r="2752" spans="1:2" x14ac:dyDescent="0.25">
      <c r="A2752" s="64" t="str">
        <f>HYPERLINK("http://www.twitter.com/LizannBonnar", "LizannBonnar")</f>
        <v>LizannBonnar</v>
      </c>
      <c r="B2752" s="65" t="s">
        <v>138</v>
      </c>
    </row>
    <row r="2753" spans="1:2" x14ac:dyDescent="0.25">
      <c r="A2753" s="64" t="str">
        <f>HYPERLINK("http://www.twitter.com/Roger_vonL", "Roger_vonL")</f>
        <v>Roger_vonL</v>
      </c>
      <c r="B2753" s="65" t="s">
        <v>4782</v>
      </c>
    </row>
    <row r="2754" spans="1:2" x14ac:dyDescent="0.25">
      <c r="A2754" s="64" t="str">
        <f>HYPERLINK("http://www.twitter.com/blonvonmurpy", "blonvonmurpy")</f>
        <v>blonvonmurpy</v>
      </c>
      <c r="B2754" s="65" t="s">
        <v>487</v>
      </c>
    </row>
    <row r="2755" spans="1:2" x14ac:dyDescent="0.25">
      <c r="A2755" s="64" t="str">
        <f>HYPERLINK("http://www.twitter.com/PaulaShapinsay", "PaulaShapinsay")</f>
        <v>PaulaShapinsay</v>
      </c>
      <c r="B2755" s="65" t="s">
        <v>4783</v>
      </c>
    </row>
    <row r="2756" spans="1:2" x14ac:dyDescent="0.25">
      <c r="A2756" s="64" t="str">
        <f>HYPERLINK("http://www.twitter.com/rivercrest777", "rivercrest777")</f>
        <v>rivercrest777</v>
      </c>
      <c r="B2756" s="65"/>
    </row>
    <row r="2757" spans="1:2" x14ac:dyDescent="0.25">
      <c r="A2757" s="64" t="str">
        <f>HYPERLINK("http://www.twitter.com/Elyse_Coleman", "Elyse_Coleman")</f>
        <v>Elyse_Coleman</v>
      </c>
      <c r="B2757" s="65" t="s">
        <v>4785</v>
      </c>
    </row>
    <row r="2758" spans="1:2" x14ac:dyDescent="0.25">
      <c r="A2758" s="64" t="str">
        <f>HYPERLINK("http://www.twitter.com/JohnLilley_WLon", "JohnLilley_WLon")</f>
        <v>JohnLilley_WLon</v>
      </c>
      <c r="B2758" s="65"/>
    </row>
    <row r="2759" spans="1:2" x14ac:dyDescent="0.25">
      <c r="A2759" s="64" t="str">
        <f>HYPERLINK("http://www.twitter.com/tanya_izzard", "tanya_izzard")</f>
        <v>tanya_izzard</v>
      </c>
      <c r="B2759" s="65" t="s">
        <v>1980</v>
      </c>
    </row>
    <row r="2760" spans="1:2" x14ac:dyDescent="0.25">
      <c r="A2760" s="64" t="str">
        <f>HYPERLINK("http://www.twitter.com/RZSS_Education", "RZSS_Education")</f>
        <v>RZSS_Education</v>
      </c>
      <c r="B2760" s="65" t="s">
        <v>517</v>
      </c>
    </row>
    <row r="2761" spans="1:2" x14ac:dyDescent="0.25">
      <c r="A2761" s="64" t="str">
        <f>HYPERLINK("http://www.twitter.com/DamianRabbitt", "DamianRabbitt")</f>
        <v>DamianRabbitt</v>
      </c>
      <c r="B2761" s="65" t="s">
        <v>4786</v>
      </c>
    </row>
    <row r="2762" spans="1:2" x14ac:dyDescent="0.25">
      <c r="A2762" s="64" t="str">
        <f>HYPERLINK("http://www.twitter.com/weloveaccents", "weloveaccents")</f>
        <v>weloveaccents</v>
      </c>
      <c r="B2762" s="65" t="s">
        <v>4787</v>
      </c>
    </row>
    <row r="2763" spans="1:2" x14ac:dyDescent="0.25">
      <c r="A2763" s="64" t="str">
        <f>HYPERLINK("http://www.twitter.com/nataliemason", "nataliemason")</f>
        <v>nataliemason</v>
      </c>
      <c r="B2763" s="65" t="s">
        <v>4788</v>
      </c>
    </row>
    <row r="2764" spans="1:2" x14ac:dyDescent="0.25">
      <c r="A2764" s="64" t="str">
        <f>HYPERLINK("http://www.twitter.com/gratjeffress", "gratjeffress")</f>
        <v>gratjeffress</v>
      </c>
      <c r="B2764" s="65"/>
    </row>
    <row r="2765" spans="1:2" x14ac:dyDescent="0.25">
      <c r="A2765" s="64" t="str">
        <f>HYPERLINK("http://www.twitter.com/Lugsy51", "Lugsy51")</f>
        <v>Lugsy51</v>
      </c>
      <c r="B2765" s="65" t="s">
        <v>299</v>
      </c>
    </row>
    <row r="2766" spans="1:2" x14ac:dyDescent="0.25">
      <c r="A2766" s="64" t="str">
        <f>HYPERLINK("http://www.twitter.com/Mairi_Mc", "Mairi_Mc")</f>
        <v>Mairi_Mc</v>
      </c>
      <c r="B2766" s="65" t="s">
        <v>517</v>
      </c>
    </row>
    <row r="2767" spans="1:2" x14ac:dyDescent="0.25">
      <c r="A2767" s="64" t="str">
        <f>HYPERLINK("http://www.twitter.com/benoliver999", "benoliver999")</f>
        <v>benoliver999</v>
      </c>
      <c r="B2767" s="65" t="s">
        <v>4234</v>
      </c>
    </row>
    <row r="2768" spans="1:2" x14ac:dyDescent="0.25">
      <c r="A2768" s="64" t="str">
        <f>HYPERLINK("http://www.twitter.com/i_benjicus", "i_benjicus")</f>
        <v>i_benjicus</v>
      </c>
      <c r="B2768" s="65" t="s">
        <v>4789</v>
      </c>
    </row>
    <row r="2769" spans="1:2" x14ac:dyDescent="0.25">
      <c r="A2769" s="64" t="str">
        <f>HYPERLINK("http://www.twitter.com/maxusart", "maxusart")</f>
        <v>maxusart</v>
      </c>
      <c r="B2769" s="65" t="s">
        <v>4790</v>
      </c>
    </row>
    <row r="2770" spans="1:2" x14ac:dyDescent="0.25">
      <c r="A2770" s="64" t="str">
        <f>HYPERLINK("http://www.twitter.com/em_cathryn", "em_cathryn")</f>
        <v>em_cathryn</v>
      </c>
      <c r="B2770" s="65" t="s">
        <v>4791</v>
      </c>
    </row>
    <row r="2771" spans="1:2" x14ac:dyDescent="0.25">
      <c r="A2771" s="64" t="str">
        <f>HYPERLINK("http://www.twitter.com/vinylwitch", "vinylwitch")</f>
        <v>vinylwitch</v>
      </c>
      <c r="B2771" s="65" t="s">
        <v>3936</v>
      </c>
    </row>
    <row r="2772" spans="1:2" x14ac:dyDescent="0.25">
      <c r="A2772" s="64" t="str">
        <f>HYPERLINK("http://www.twitter.com/trifectapublish", "trifectapublish")</f>
        <v>trifectapublish</v>
      </c>
      <c r="B2772" s="65" t="s">
        <v>3804</v>
      </c>
    </row>
    <row r="2773" spans="1:2" x14ac:dyDescent="0.25">
      <c r="A2773" s="64" t="str">
        <f>HYPERLINK("http://www.twitter.com/EeviGirl", "EeviGirl")</f>
        <v>EeviGirl</v>
      </c>
      <c r="B2773" s="65" t="s">
        <v>4792</v>
      </c>
    </row>
    <row r="2774" spans="1:2" x14ac:dyDescent="0.25">
      <c r="A2774" s="64" t="str">
        <f>HYPERLINK("http://www.twitter.com/kimscelticart", "kimscelticart")</f>
        <v>kimscelticart</v>
      </c>
      <c r="B2774" s="65" t="s">
        <v>4793</v>
      </c>
    </row>
    <row r="2775" spans="1:2" x14ac:dyDescent="0.25">
      <c r="A2775" s="64" t="str">
        <f>HYPERLINK("http://www.twitter.com/hannahdavis172", "hannahdavis172")</f>
        <v>hannahdavis172</v>
      </c>
      <c r="B2775" s="65"/>
    </row>
    <row r="2776" spans="1:2" x14ac:dyDescent="0.25">
      <c r="A2776" s="64" t="str">
        <f>HYPERLINK("http://www.twitter.com/ZuninoFrancesca", "ZuninoFrancesca")</f>
        <v>ZuninoFrancesca</v>
      </c>
      <c r="B2776" s="65" t="s">
        <v>4794</v>
      </c>
    </row>
    <row r="2777" spans="1:2" x14ac:dyDescent="0.25">
      <c r="A2777" s="64" t="str">
        <f>HYPERLINK("http://www.twitter.com/SusanSturrock", "SusanSturrock")</f>
        <v>SusanSturrock</v>
      </c>
      <c r="B2777" s="65" t="s">
        <v>1482</v>
      </c>
    </row>
    <row r="2778" spans="1:2" x14ac:dyDescent="0.25">
      <c r="A2778" s="64" t="str">
        <f>HYPERLINK("http://www.twitter.com/AWfest", "AWfest")</f>
        <v>AWfest</v>
      </c>
      <c r="B2778" s="65" t="s">
        <v>487</v>
      </c>
    </row>
    <row r="2779" spans="1:2" x14ac:dyDescent="0.25">
      <c r="A2779" s="64" t="str">
        <f>HYPERLINK("http://www.twitter.com/peeganpj", "peeganpj")</f>
        <v>peeganpj</v>
      </c>
      <c r="B2779" s="65"/>
    </row>
    <row r="2780" spans="1:2" x14ac:dyDescent="0.25">
      <c r="A2780" s="64" t="str">
        <f>HYPERLINK("http://www.twitter.com/UVicLib", "UVicLib")</f>
        <v>UVicLib</v>
      </c>
      <c r="B2780" s="65" t="s">
        <v>4795</v>
      </c>
    </row>
    <row r="2781" spans="1:2" x14ac:dyDescent="0.25">
      <c r="A2781" s="64" t="str">
        <f>HYPERLINK("http://www.twitter.com/CalumMacleod07", "CalumMacleod07")</f>
        <v>CalumMacleod07</v>
      </c>
      <c r="B2781" s="65" t="s">
        <v>4796</v>
      </c>
    </row>
    <row r="2782" spans="1:2" x14ac:dyDescent="0.25">
      <c r="A2782" s="64" t="str">
        <f>HYPERLINK("http://www.twitter.com/Shetnews", "Shetnews")</f>
        <v>Shetnews</v>
      </c>
      <c r="B2782" s="65" t="s">
        <v>4797</v>
      </c>
    </row>
    <row r="2783" spans="1:2" x14ac:dyDescent="0.25">
      <c r="A2783" s="64" t="str">
        <f>HYPERLINK("http://www.twitter.com/LolaHopkins12", "LolaHopkins12")</f>
        <v>LolaHopkins12</v>
      </c>
      <c r="B2783" s="65" t="s">
        <v>70</v>
      </c>
    </row>
    <row r="2784" spans="1:2" x14ac:dyDescent="0.25">
      <c r="A2784" s="64" t="str">
        <f>HYPERLINK("http://www.twitter.com/jennamarketing", "jennamarketing")</f>
        <v>jennamarketing</v>
      </c>
      <c r="B2784" s="65" t="s">
        <v>2007</v>
      </c>
    </row>
    <row r="2785" spans="1:2" x14ac:dyDescent="0.25">
      <c r="A2785" s="64" t="str">
        <f>HYPERLINK("http://www.twitter.com/Coral_Marketing", "Coral_Marketing")</f>
        <v>Coral_Marketing</v>
      </c>
      <c r="B2785" s="65"/>
    </row>
    <row r="2786" spans="1:2" x14ac:dyDescent="0.25">
      <c r="A2786" s="64" t="str">
        <f>HYPERLINK("http://www.twitter.com/eckeyes", "eckeyes")</f>
        <v>eckeyes</v>
      </c>
      <c r="B2786" s="65" t="s">
        <v>93</v>
      </c>
    </row>
    <row r="2787" spans="1:2" x14ac:dyDescent="0.25">
      <c r="A2787" s="64" t="str">
        <f>HYPERLINK("http://www.twitter.com/YashuGo46942979", "YashuGo46942979")</f>
        <v>YashuGo46942979</v>
      </c>
      <c r="B2787" s="65" t="s">
        <v>4798</v>
      </c>
    </row>
    <row r="2788" spans="1:2" x14ac:dyDescent="0.25">
      <c r="A2788" s="64" t="str">
        <f>HYPERLINK("http://www.twitter.com/SpeysideLRC", "SpeysideLRC")</f>
        <v>SpeysideLRC</v>
      </c>
      <c r="B2788" s="65" t="s">
        <v>2496</v>
      </c>
    </row>
    <row r="2789" spans="1:2" x14ac:dyDescent="0.25">
      <c r="A2789" s="64" t="str">
        <f>HYPERLINK("http://www.twitter.com/adotinkler", "adotinkler")</f>
        <v>adotinkler</v>
      </c>
      <c r="B2789" s="65"/>
    </row>
    <row r="2790" spans="1:2" x14ac:dyDescent="0.25">
      <c r="A2790" s="64" t="str">
        <f>HYPERLINK("http://www.twitter.com/KarenStandley2", "KarenStandley2")</f>
        <v>KarenStandley2</v>
      </c>
      <c r="B2790" s="65"/>
    </row>
    <row r="2791" spans="1:2" x14ac:dyDescent="0.25">
      <c r="A2791" s="64" t="str">
        <f>HYPERLINK("http://www.twitter.com/JCLILIBRARY", "JCLILIBRARY")</f>
        <v>JCLILIBRARY</v>
      </c>
      <c r="B2791" s="65" t="s">
        <v>4799</v>
      </c>
    </row>
    <row r="2792" spans="1:2" x14ac:dyDescent="0.25">
      <c r="A2792" s="64" t="str">
        <f>HYPERLINK("http://www.twitter.com/ScotlandClaim", "ScotlandClaim")</f>
        <v>ScotlandClaim</v>
      </c>
      <c r="B2792" s="65" t="s">
        <v>318</v>
      </c>
    </row>
    <row r="2793" spans="1:2" x14ac:dyDescent="0.25">
      <c r="A2793" s="64" t="str">
        <f>HYPERLINK("http://www.twitter.com/Liss_R_F", "Liss_R_F")</f>
        <v>Liss_R_F</v>
      </c>
      <c r="B2793" s="65"/>
    </row>
    <row r="2794" spans="1:2" x14ac:dyDescent="0.25">
      <c r="A2794" s="64" t="str">
        <f>HYPERLINK("http://www.twitter.com/sandwichvanman", "sandwichvanman")</f>
        <v>sandwichvanman</v>
      </c>
      <c r="B2794" s="65" t="s">
        <v>4800</v>
      </c>
    </row>
    <row r="2795" spans="1:2" x14ac:dyDescent="0.25">
      <c r="A2795" s="64" t="str">
        <f>HYPERLINK("http://www.twitter.com/jomacmouse", "jomacmouse")</f>
        <v>jomacmouse</v>
      </c>
      <c r="B2795" s="65" t="s">
        <v>4250</v>
      </c>
    </row>
    <row r="2796" spans="1:2" x14ac:dyDescent="0.25">
      <c r="A2796" s="64" t="str">
        <f>HYPERLINK("http://www.twitter.com/BarbertonReads", "BarbertonReads")</f>
        <v>BarbertonReads</v>
      </c>
      <c r="B2796" s="65" t="s">
        <v>4801</v>
      </c>
    </row>
    <row r="2797" spans="1:2" x14ac:dyDescent="0.25">
      <c r="A2797" s="64" t="str">
        <f>HYPERLINK("http://www.twitter.com/Colin_A_Fisher", "Colin_A_Fisher")</f>
        <v>Colin_A_Fisher</v>
      </c>
      <c r="B2797" s="65" t="s">
        <v>4533</v>
      </c>
    </row>
    <row r="2798" spans="1:2" x14ac:dyDescent="0.25">
      <c r="A2798" s="64" t="str">
        <f>HYPERLINK("http://www.twitter.com/DigitalMark03", "DigitalMark03")</f>
        <v>DigitalMark03</v>
      </c>
      <c r="B2798" s="65"/>
    </row>
    <row r="2799" spans="1:2" x14ac:dyDescent="0.25">
      <c r="A2799" s="64" t="str">
        <f>HYPERLINK("http://www.twitter.com/BrianSL7", "BrianSL7")</f>
        <v>BrianSL7</v>
      </c>
      <c r="B2799" s="65" t="s">
        <v>3395</v>
      </c>
    </row>
    <row r="2800" spans="1:2" x14ac:dyDescent="0.25">
      <c r="A2800" s="64" t="str">
        <f>HYPERLINK("http://www.twitter.com/librarymaureen", "librarymaureen")</f>
        <v>librarymaureen</v>
      </c>
      <c r="B2800" s="65" t="s">
        <v>4802</v>
      </c>
    </row>
    <row r="2801" spans="1:2" x14ac:dyDescent="0.25">
      <c r="A2801" s="64" t="str">
        <f>HYPERLINK("http://www.twitter.com/CallieBesant", "CallieBesant")</f>
        <v>CallieBesant</v>
      </c>
      <c r="B2801" s="65" t="s">
        <v>20</v>
      </c>
    </row>
    <row r="2802" spans="1:2" x14ac:dyDescent="0.25">
      <c r="A2802" s="64" t="str">
        <f>HYPERLINK("http://www.twitter.com/Ianbradshaw", "Ianbradshaw")</f>
        <v>Ianbradshaw</v>
      </c>
      <c r="B2802" s="65" t="s">
        <v>4803</v>
      </c>
    </row>
    <row r="2803" spans="1:2" x14ac:dyDescent="0.25">
      <c r="A2803" s="64" t="str">
        <f>HYPERLINK("http://www.twitter.com/iansmcc", "iansmcc")</f>
        <v>iansmcc</v>
      </c>
      <c r="B2803" s="65" t="s">
        <v>4291</v>
      </c>
    </row>
    <row r="2804" spans="1:2" x14ac:dyDescent="0.25">
      <c r="A2804" s="64" t="str">
        <f>HYPERLINK("http://www.twitter.com/Berenyi60", "Berenyi60")</f>
        <v>Berenyi60</v>
      </c>
      <c r="B2804" s="65"/>
    </row>
    <row r="2805" spans="1:2" x14ac:dyDescent="0.25">
      <c r="A2805" s="64" t="str">
        <f>HYPERLINK("http://www.twitter.com/CaterinaBeebee", "CaterinaBeebee")</f>
        <v>CaterinaBeebee</v>
      </c>
      <c r="B2805" s="65" t="s">
        <v>517</v>
      </c>
    </row>
    <row r="2806" spans="1:2" x14ac:dyDescent="0.25">
      <c r="A2806" s="64" t="str">
        <f>HYPERLINK("http://www.twitter.com/Lazaru420", "Lazaru420")</f>
        <v>Lazaru420</v>
      </c>
      <c r="B2806" s="65" t="s">
        <v>33</v>
      </c>
    </row>
    <row r="2807" spans="1:2" x14ac:dyDescent="0.25">
      <c r="A2807" s="64" t="str">
        <f>HYPERLINK("http://www.twitter.com/Zoe_DMarketing", "Zoe_DMarketing")</f>
        <v>Zoe_DMarketing</v>
      </c>
      <c r="B2807" s="65" t="s">
        <v>3762</v>
      </c>
    </row>
    <row r="2808" spans="1:2" x14ac:dyDescent="0.25">
      <c r="A2808" s="64" t="str">
        <f>HYPERLINK("http://www.twitter.com/UnlistedVideos", "UnlistedVideos")</f>
        <v>UnlistedVideos</v>
      </c>
      <c r="B2808" s="65"/>
    </row>
    <row r="2809" spans="1:2" x14ac:dyDescent="0.25">
      <c r="A2809" s="64" t="str">
        <f>HYPERLINK("http://www.twitter.com/ku_prashanth", "ku_prashanth")</f>
        <v>ku_prashanth</v>
      </c>
      <c r="B2809" s="65"/>
    </row>
    <row r="2810" spans="1:2" x14ac:dyDescent="0.25">
      <c r="A2810" s="64" t="str">
        <f>HYPERLINK("http://www.twitter.com/chrisoak73", "chrisoak73")</f>
        <v>chrisoak73</v>
      </c>
      <c r="B2810" s="65"/>
    </row>
    <row r="2811" spans="1:2" x14ac:dyDescent="0.25">
      <c r="A2811" s="64" t="str">
        <f>HYPERLINK("http://www.twitter.com/BrenderLibrary", "BrenderLibrary")</f>
        <v>BrenderLibrary</v>
      </c>
      <c r="B2811" s="65" t="s">
        <v>4804</v>
      </c>
    </row>
    <row r="2812" spans="1:2" x14ac:dyDescent="0.25">
      <c r="A2812" s="64" t="str">
        <f>HYPERLINK("http://www.twitter.com/D_Dellow", "D_Dellow")</f>
        <v>D_Dellow</v>
      </c>
      <c r="B2812" s="65"/>
    </row>
    <row r="2813" spans="1:2" x14ac:dyDescent="0.25">
      <c r="A2813" s="64" t="str">
        <f>HYPERLINK("http://www.twitter.com/LoisCox87", "LoisCox87")</f>
        <v>LoisCox87</v>
      </c>
      <c r="B2813" s="65" t="s">
        <v>3762</v>
      </c>
    </row>
    <row r="2814" spans="1:2" x14ac:dyDescent="0.25">
      <c r="A2814" s="64" t="str">
        <f>HYPERLINK("http://www.twitter.com/EdgeyBono", "EdgeyBono")</f>
        <v>EdgeyBono</v>
      </c>
      <c r="B2814" s="65"/>
    </row>
    <row r="2815" spans="1:2" x14ac:dyDescent="0.25">
      <c r="A2815" s="64" t="str">
        <f>HYPERLINK("http://www.twitter.com/md4jewellery", "md4jewellery")</f>
        <v>md4jewellery</v>
      </c>
      <c r="B2815" s="65"/>
    </row>
    <row r="2816" spans="1:2" x14ac:dyDescent="0.25">
      <c r="A2816" s="64" t="str">
        <f>HYPERLINK("http://www.twitter.com/lauracaterinaco", "lauracaterinaco")</f>
        <v>lauracaterinaco</v>
      </c>
      <c r="B2816" s="65" t="s">
        <v>526</v>
      </c>
    </row>
    <row r="2817" spans="1:2" x14ac:dyDescent="0.25">
      <c r="A2817" s="64" t="str">
        <f>HYPERLINK("http://www.twitter.com/emilysaysgo", "emilysaysgo")</f>
        <v>emilysaysgo</v>
      </c>
      <c r="B2817" s="65" t="s">
        <v>3872</v>
      </c>
    </row>
    <row r="2818" spans="1:2" x14ac:dyDescent="0.25">
      <c r="A2818" s="64" t="str">
        <f>HYPERLINK("http://www.twitter.com/cainntear", "cainntear")</f>
        <v>cainntear</v>
      </c>
      <c r="B2818" s="65" t="s">
        <v>4805</v>
      </c>
    </row>
    <row r="2819" spans="1:2" x14ac:dyDescent="0.25">
      <c r="A2819" s="64" t="str">
        <f>HYPERLINK("http://www.twitter.com/Matthew_J_Tebb", "Matthew_J_Tebb")</f>
        <v>Matthew_J_Tebb</v>
      </c>
      <c r="B2819" s="65" t="s">
        <v>4806</v>
      </c>
    </row>
    <row r="2820" spans="1:2" x14ac:dyDescent="0.25">
      <c r="A2820" s="64" t="str">
        <f>HYPERLINK("http://www.twitter.com/RossJamieson5", "RossJamieson5")</f>
        <v>RossJamieson5</v>
      </c>
      <c r="B2820" s="65" t="s">
        <v>4807</v>
      </c>
    </row>
    <row r="2821" spans="1:2" x14ac:dyDescent="0.25">
      <c r="A2821" s="64" t="str">
        <f>HYPERLINK("http://www.twitter.com/JudithRosalind", "JudithRosalind")</f>
        <v>JudithRosalind</v>
      </c>
      <c r="B2821" s="65" t="s">
        <v>4808</v>
      </c>
    </row>
    <row r="2822" spans="1:2" x14ac:dyDescent="0.25">
      <c r="A2822" s="64" t="str">
        <f>HYPERLINK("http://www.twitter.com/ninatweets", "ninatweets")</f>
        <v>ninatweets</v>
      </c>
      <c r="B2822" s="65" t="s">
        <v>4809</v>
      </c>
    </row>
    <row r="2823" spans="1:2" x14ac:dyDescent="0.25">
      <c r="A2823" s="64" t="str">
        <f>HYPERLINK("http://www.twitter.com/IFINDOUBTREAD", "IFINDOUBTREAD")</f>
        <v>IFINDOUBTREAD</v>
      </c>
      <c r="B2823" s="65" t="s">
        <v>4810</v>
      </c>
    </row>
    <row r="2824" spans="1:2" x14ac:dyDescent="0.25">
      <c r="A2824" s="64" t="str">
        <f>HYPERLINK("http://www.twitter.com/TeethingBeastie", "TeethingBeastie")</f>
        <v>TeethingBeastie</v>
      </c>
      <c r="B2824" s="65" t="s">
        <v>4811</v>
      </c>
    </row>
    <row r="2825" spans="1:2" x14ac:dyDescent="0.25">
      <c r="A2825" s="64" t="str">
        <f>HYPERLINK("http://www.twitter.com/EndelEmery", "EndelEmery")</f>
        <v>EndelEmery</v>
      </c>
      <c r="B2825" s="65"/>
    </row>
    <row r="2826" spans="1:2" x14ac:dyDescent="0.25">
      <c r="A2826" s="64" t="str">
        <f>HYPERLINK("http://www.twitter.com/WelshEngineer", "WelshEngineer")</f>
        <v>WelshEngineer</v>
      </c>
      <c r="B2826" s="65" t="s">
        <v>4812</v>
      </c>
    </row>
    <row r="2827" spans="1:2" x14ac:dyDescent="0.25">
      <c r="A2827" s="64" t="str">
        <f>HYPERLINK("http://www.twitter.com/empowered_by", "empowered_by")</f>
        <v>empowered_by</v>
      </c>
      <c r="B2827" s="65" t="s">
        <v>3797</v>
      </c>
    </row>
    <row r="2828" spans="1:2" x14ac:dyDescent="0.25">
      <c r="A2828" s="64" t="str">
        <f>HYPERLINK("http://www.twitter.com/hodgey_podgy", "hodgey_podgy")</f>
        <v>hodgey_podgy</v>
      </c>
      <c r="B2828" s="65" t="s">
        <v>4813</v>
      </c>
    </row>
    <row r="2829" spans="1:2" x14ac:dyDescent="0.25">
      <c r="A2829" s="64" t="str">
        <f>HYPERLINK("http://www.twitter.com/nikiphil82", "nikiphil82")</f>
        <v>nikiphil82</v>
      </c>
      <c r="B2829" s="65" t="s">
        <v>4814</v>
      </c>
    </row>
    <row r="2830" spans="1:2" x14ac:dyDescent="0.25">
      <c r="A2830" s="64" t="str">
        <f>HYPERLINK("http://www.twitter.com/Mithranstar", "Mithranstar")</f>
        <v>Mithranstar</v>
      </c>
      <c r="B2830" s="65"/>
    </row>
    <row r="2831" spans="1:2" x14ac:dyDescent="0.25">
      <c r="A2831" s="64" t="str">
        <f>HYPERLINK("http://www.twitter.com/Moonismine1", "Moonismine1")</f>
        <v>Moonismine1</v>
      </c>
      <c r="B2831" s="65" t="s">
        <v>1790</v>
      </c>
    </row>
    <row r="2832" spans="1:2" x14ac:dyDescent="0.25">
      <c r="A2832" s="64" t="str">
        <f>HYPERLINK("http://www.twitter.com/sandrabbrown23", "sandrabbrown23")</f>
        <v>sandrabbrown23</v>
      </c>
      <c r="B2832" s="65"/>
    </row>
    <row r="2833" spans="1:2" x14ac:dyDescent="0.25">
      <c r="A2833" s="64" t="str">
        <f>HYPERLINK("http://www.twitter.com/froggensays", "froggensays")</f>
        <v>froggensays</v>
      </c>
      <c r="B2833" s="65" t="s">
        <v>110</v>
      </c>
    </row>
    <row r="2834" spans="1:2" x14ac:dyDescent="0.25">
      <c r="A2834" s="64" t="str">
        <f>HYPERLINK("http://www.twitter.com/asherah_mk", "asherah_mk")</f>
        <v>asherah_mk</v>
      </c>
      <c r="B2834" s="65" t="s">
        <v>110</v>
      </c>
    </row>
    <row r="2835" spans="1:2" x14ac:dyDescent="0.25">
      <c r="A2835" s="64" t="str">
        <f>HYPERLINK("http://www.twitter.com/iwannabetheguy6", "iwannabetheguy6")</f>
        <v>iwannabetheguy6</v>
      </c>
      <c r="B2835" s="65"/>
    </row>
    <row r="2836" spans="1:2" x14ac:dyDescent="0.25">
      <c r="A2836" s="64" t="str">
        <f>HYPERLINK("http://www.twitter.com/tommortonsmith", "tommortonsmith")</f>
        <v>tommortonsmith</v>
      </c>
      <c r="B2836" s="65" t="s">
        <v>36</v>
      </c>
    </row>
    <row r="2837" spans="1:2" x14ac:dyDescent="0.25">
      <c r="A2837" s="64" t="str">
        <f>HYPERLINK("http://www.twitter.com/halfmanhalfb00k", "halfmanhalfb00k")</f>
        <v>halfmanhalfb00k</v>
      </c>
      <c r="B2837" s="65" t="s">
        <v>4815</v>
      </c>
    </row>
    <row r="2838" spans="1:2" x14ac:dyDescent="0.25">
      <c r="A2838" s="64" t="str">
        <f>HYPERLINK("http://www.twitter.com/CarolineAgent", "CarolineAgent")</f>
        <v>CarolineAgent</v>
      </c>
      <c r="B2838" s="65" t="s">
        <v>36</v>
      </c>
    </row>
    <row r="2839" spans="1:2" x14ac:dyDescent="0.25">
      <c r="A2839" s="64" t="str">
        <f>HYPERLINK("http://www.twitter.com/StefPandakovic", "StefPandakovic")</f>
        <v>StefPandakovic</v>
      </c>
      <c r="B2839" s="65" t="s">
        <v>4816</v>
      </c>
    </row>
    <row r="2840" spans="1:2" x14ac:dyDescent="0.25">
      <c r="A2840" s="64" t="str">
        <f>HYPERLINK("http://www.twitter.com/philsfrolics", "philsfrolics")</f>
        <v>philsfrolics</v>
      </c>
      <c r="B2840" s="65" t="s">
        <v>4817</v>
      </c>
    </row>
    <row r="2841" spans="1:2" x14ac:dyDescent="0.25">
      <c r="A2841" s="64" t="str">
        <f>HYPERLINK("http://www.twitter.com/CahonasScotland", "CahonasScotland")</f>
        <v>CahonasScotland</v>
      </c>
      <c r="B2841" s="65" t="s">
        <v>517</v>
      </c>
    </row>
    <row r="2842" spans="1:2" x14ac:dyDescent="0.25">
      <c r="A2842" s="64" t="str">
        <f>HYPERLINK("http://www.twitter.com/TrumpBookTweets", "TrumpBookTweets")</f>
        <v>TrumpBookTweets</v>
      </c>
      <c r="B2842" s="65"/>
    </row>
    <row r="2843" spans="1:2" x14ac:dyDescent="0.25">
      <c r="A2843" s="64" t="str">
        <f>HYPERLINK("http://www.twitter.com/swohara1", "swohara1")</f>
        <v>swohara1</v>
      </c>
      <c r="B2843" s="65"/>
    </row>
    <row r="2844" spans="1:2" x14ac:dyDescent="0.25">
      <c r="A2844" s="64" t="str">
        <f>HYPERLINK("http://www.twitter.com/Ms_Eleanora", "Ms_Eleanora")</f>
        <v>Ms_Eleanora</v>
      </c>
      <c r="B2844" s="65" t="s">
        <v>4818</v>
      </c>
    </row>
    <row r="2845" spans="1:2" x14ac:dyDescent="0.25">
      <c r="A2845" s="64" t="str">
        <f>HYPERLINK("http://www.twitter.com/hulahooplahoo", "hulahooplahoo")</f>
        <v>hulahooplahoo</v>
      </c>
      <c r="B2845" s="65"/>
    </row>
    <row r="2846" spans="1:2" x14ac:dyDescent="0.25">
      <c r="A2846" s="64" t="str">
        <f>HYPERLINK("http://www.twitter.com/CarolEv99608866", "CarolEv99608866")</f>
        <v>CarolEv99608866</v>
      </c>
      <c r="B2846" s="65"/>
    </row>
    <row r="2847" spans="1:2" x14ac:dyDescent="0.25">
      <c r="A2847" s="64" t="str">
        <f>HYPERLINK("http://www.twitter.com/AdityaRajKushw4", "AdityaRajKushw4")</f>
        <v>AdityaRajKushw4</v>
      </c>
      <c r="B2847" s="65" t="s">
        <v>4819</v>
      </c>
    </row>
    <row r="2848" spans="1:2" x14ac:dyDescent="0.25">
      <c r="A2848" s="64" t="str">
        <f>HYPERLINK("http://www.twitter.com/SciSpamWatch", "SciSpamWatch")</f>
        <v>SciSpamWatch</v>
      </c>
      <c r="B2848" s="65" t="s">
        <v>4820</v>
      </c>
    </row>
    <row r="2849" spans="1:2" x14ac:dyDescent="0.25">
      <c r="A2849" s="64" t="str">
        <f>HYPERLINK("http://www.twitter.com/darrelparlier", "darrelparlier")</f>
        <v>darrelparlier</v>
      </c>
      <c r="B2849" s="65" t="s">
        <v>4821</v>
      </c>
    </row>
    <row r="2850" spans="1:2" x14ac:dyDescent="0.25">
      <c r="A2850" s="64" t="str">
        <f>HYPERLINK("http://www.twitter.com/MrDrem", "MrDrem")</f>
        <v>MrDrem</v>
      </c>
      <c r="B2850" s="65" t="s">
        <v>36</v>
      </c>
    </row>
    <row r="2851" spans="1:2" x14ac:dyDescent="0.25">
      <c r="A2851" s="64" t="str">
        <f>HYPERLINK("http://www.twitter.com/jenf2001", "jenf2001")</f>
        <v>jenf2001</v>
      </c>
      <c r="B2851" s="65"/>
    </row>
    <row r="2852" spans="1:2" x14ac:dyDescent="0.25">
      <c r="A2852" s="64" t="str">
        <f>HYPERLINK("http://www.twitter.com/QSAK22", "QSAK22")</f>
        <v>QSAK22</v>
      </c>
      <c r="B2852" s="65" t="s">
        <v>2007</v>
      </c>
    </row>
    <row r="2853" spans="1:2" x14ac:dyDescent="0.25">
      <c r="A2853" s="64" t="str">
        <f>HYPERLINK("http://www.twitter.com/clivemitchell1", "clivemitchell1")</f>
        <v>clivemitchell1</v>
      </c>
      <c r="B2853" s="65" t="s">
        <v>639</v>
      </c>
    </row>
    <row r="2854" spans="1:2" x14ac:dyDescent="0.25">
      <c r="A2854" s="64" t="str">
        <f>HYPERLINK("http://www.twitter.com/JamesNorman", "JamesNorman")</f>
        <v>JamesNorman</v>
      </c>
      <c r="B2854" s="65"/>
    </row>
    <row r="2855" spans="1:2" x14ac:dyDescent="0.25">
      <c r="A2855" s="64" t="str">
        <f>HYPERLINK("http://www.twitter.com/TSmokery", "TSmokery")</f>
        <v>TSmokery</v>
      </c>
      <c r="B2855" s="65" t="s">
        <v>4223</v>
      </c>
    </row>
    <row r="2856" spans="1:2" x14ac:dyDescent="0.25">
      <c r="A2856" s="64" t="str">
        <f>HYPERLINK("http://www.twitter.com/noggin7", "noggin7")</f>
        <v>noggin7</v>
      </c>
      <c r="B2856" s="65"/>
    </row>
    <row r="2857" spans="1:2" x14ac:dyDescent="0.25">
      <c r="A2857" s="64" t="str">
        <f>HYPERLINK("http://www.twitter.com/alexjmagyar", "alexjmagyar")</f>
        <v>alexjmagyar</v>
      </c>
      <c r="B2857" s="65" t="s">
        <v>4822</v>
      </c>
    </row>
    <row r="2858" spans="1:2" x14ac:dyDescent="0.25">
      <c r="A2858" s="64" t="str">
        <f>HYPERLINK("http://www.twitter.com/JosephsonJP", "JosephsonJP")</f>
        <v>JosephsonJP</v>
      </c>
      <c r="B2858" s="65"/>
    </row>
    <row r="2859" spans="1:2" x14ac:dyDescent="0.25">
      <c r="A2859" s="64" t="str">
        <f>HYPERLINK("http://www.twitter.com/adele54321", "adele54321")</f>
        <v>adele54321</v>
      </c>
      <c r="B2859" s="65"/>
    </row>
    <row r="2860" spans="1:2" x14ac:dyDescent="0.25">
      <c r="A2860" s="64" t="str">
        <f>HYPERLINK("http://www.twitter.com/invaderdan", "invaderdan")</f>
        <v>invaderdan</v>
      </c>
      <c r="B2860" s="65" t="s">
        <v>477</v>
      </c>
    </row>
    <row r="2861" spans="1:2" x14ac:dyDescent="0.25">
      <c r="A2861" s="64" t="str">
        <f>HYPERLINK("http://www.twitter.com/SandSharks2005", "SandSharks2005")</f>
        <v>SandSharks2005</v>
      </c>
      <c r="B2861" s="65" t="s">
        <v>4823</v>
      </c>
    </row>
    <row r="2862" spans="1:2" x14ac:dyDescent="0.25">
      <c r="A2862" s="64" t="str">
        <f>HYPERLINK("http://www.twitter.com/trucemoose", "trucemoose")</f>
        <v>trucemoose</v>
      </c>
      <c r="B2862" s="65" t="s">
        <v>487</v>
      </c>
    </row>
    <row r="2863" spans="1:2" x14ac:dyDescent="0.25">
      <c r="A2863" s="64" t="str">
        <f>HYPERLINK("http://www.twitter.com/LluisEstevez", "LluisEstevez")</f>
        <v>LluisEstevez</v>
      </c>
      <c r="B2863" s="65" t="s">
        <v>4824</v>
      </c>
    </row>
    <row r="2864" spans="1:2" x14ac:dyDescent="0.25">
      <c r="A2864" s="64" t="str">
        <f>HYPERLINK("http://www.twitter.com/Kimba85", "Kimba85")</f>
        <v>Kimba85</v>
      </c>
      <c r="B2864" s="65" t="s">
        <v>4825</v>
      </c>
    </row>
    <row r="2865" spans="1:2" x14ac:dyDescent="0.25">
      <c r="A2865" s="64" t="str">
        <f>HYPERLINK("http://www.twitter.com/aurorabor5", "aurorabor5")</f>
        <v>aurorabor5</v>
      </c>
      <c r="B2865" s="65"/>
    </row>
    <row r="2866" spans="1:2" x14ac:dyDescent="0.25">
      <c r="A2866" s="64" t="str">
        <f>HYPERLINK("http://www.twitter.com/Rachelhore", "Rachelhore")</f>
        <v>Rachelhore</v>
      </c>
      <c r="B2866" s="65" t="s">
        <v>4826</v>
      </c>
    </row>
    <row r="2867" spans="1:2" x14ac:dyDescent="0.25">
      <c r="A2867" s="64" t="str">
        <f>HYPERLINK("http://www.twitter.com/Christie_TBF", "Christie_TBF")</f>
        <v>Christie_TBF</v>
      </c>
      <c r="B2867" s="65" t="s">
        <v>4369</v>
      </c>
    </row>
    <row r="2868" spans="1:2" x14ac:dyDescent="0.25">
      <c r="A2868" s="64" t="str">
        <f>HYPERLINK("http://www.twitter.com/Kripalisoni", "Kripalisoni")</f>
        <v>Kripalisoni</v>
      </c>
      <c r="B2868" s="65"/>
    </row>
    <row r="2869" spans="1:2" x14ac:dyDescent="0.25">
      <c r="A2869" s="64" t="str">
        <f>HYPERLINK("http://www.twitter.com/EilidhMCQ", "EilidhMCQ")</f>
        <v>EilidhMCQ</v>
      </c>
      <c r="B2869" s="65" t="s">
        <v>318</v>
      </c>
    </row>
    <row r="2870" spans="1:2" x14ac:dyDescent="0.25">
      <c r="A2870" s="64" t="str">
        <f>HYPERLINK("http://www.twitter.com/LisaReadsBooks", "LisaReadsBooks")</f>
        <v>LisaReadsBooks</v>
      </c>
      <c r="B2870" s="65" t="s">
        <v>4827</v>
      </c>
    </row>
    <row r="2871" spans="1:2" x14ac:dyDescent="0.25">
      <c r="A2871" s="64" t="str">
        <f>HYPERLINK("http://www.twitter.com/Zippalu", "Zippalu")</f>
        <v>Zippalu</v>
      </c>
      <c r="B2871" s="65" t="s">
        <v>3778</v>
      </c>
    </row>
    <row r="2872" spans="1:2" x14ac:dyDescent="0.25">
      <c r="A2872" s="64" t="str">
        <f>HYPERLINK("http://www.twitter.com/Godz_delight", "Godz_delight")</f>
        <v>Godz_delight</v>
      </c>
      <c r="B2872" s="65" t="s">
        <v>4828</v>
      </c>
    </row>
    <row r="2873" spans="1:2" x14ac:dyDescent="0.25">
      <c r="A2873" s="64" t="str">
        <f>HYPERLINK("http://www.twitter.com/ChrissyM234", "ChrissyM234")</f>
        <v>ChrissyM234</v>
      </c>
      <c r="B2873" s="65" t="s">
        <v>318</v>
      </c>
    </row>
    <row r="2874" spans="1:2" x14ac:dyDescent="0.25">
      <c r="A2874" s="64" t="str">
        <f>HYPERLINK("http://www.twitter.com/LuceSinclair1", "LuceSinclair1")</f>
        <v>LuceSinclair1</v>
      </c>
      <c r="B2874" s="65"/>
    </row>
    <row r="2875" spans="1:2" x14ac:dyDescent="0.25">
      <c r="A2875" s="64" t="str">
        <f>HYPERLINK("http://www.twitter.com/BarbRenaux", "BarbRenaux")</f>
        <v>BarbRenaux</v>
      </c>
      <c r="B2875" s="65" t="s">
        <v>4829</v>
      </c>
    </row>
    <row r="2876" spans="1:2" x14ac:dyDescent="0.25">
      <c r="A2876" s="64" t="str">
        <f>HYPERLINK("http://www.twitter.com/Warburg_News", "Warburg_News")</f>
        <v>Warburg_News</v>
      </c>
      <c r="B2876" s="65" t="s">
        <v>4830</v>
      </c>
    </row>
    <row r="2877" spans="1:2" x14ac:dyDescent="0.25">
      <c r="A2877" s="64" t="str">
        <f>HYPERLINK("http://www.twitter.com/HariomS00357392", "HariomS00357392")</f>
        <v>HariomS00357392</v>
      </c>
      <c r="B2877" s="65" t="s">
        <v>4831</v>
      </c>
    </row>
    <row r="2878" spans="1:2" x14ac:dyDescent="0.25">
      <c r="A2878" s="64" t="str">
        <f>HYPERLINK("http://www.twitter.com/Bronte9", "Bronte9")</f>
        <v>Bronte9</v>
      </c>
      <c r="B2878" s="65"/>
    </row>
    <row r="2879" spans="1:2" x14ac:dyDescent="0.25">
      <c r="A2879" s="64" t="str">
        <f>HYPERLINK("http://www.twitter.com/writeday", "writeday")</f>
        <v>writeday</v>
      </c>
      <c r="B2879" s="65" t="s">
        <v>70</v>
      </c>
    </row>
    <row r="2880" spans="1:2" x14ac:dyDescent="0.25">
      <c r="A2880" s="64" t="str">
        <f>HYPERLINK("http://www.twitter.com/paulsalome2", "paulsalome2")</f>
        <v>paulsalome2</v>
      </c>
      <c r="B2880" s="65" t="s">
        <v>4015</v>
      </c>
    </row>
    <row r="2881" spans="1:2" x14ac:dyDescent="0.25">
      <c r="A2881" s="64" t="str">
        <f>HYPERLINK("http://www.twitter.com/grase_mary", "grase_mary")</f>
        <v>grase_mary</v>
      </c>
      <c r="B2881" s="65" t="s">
        <v>4832</v>
      </c>
    </row>
    <row r="2882" spans="1:2" x14ac:dyDescent="0.25">
      <c r="A2882" s="64" t="str">
        <f>HYPERLINK("http://www.twitter.com/shawdyice21", "shawdyice21")</f>
        <v>shawdyice21</v>
      </c>
      <c r="B2882" s="65" t="s">
        <v>4833</v>
      </c>
    </row>
    <row r="2883" spans="1:2" x14ac:dyDescent="0.25">
      <c r="A2883" s="64" t="str">
        <f>HYPERLINK("http://www.twitter.com/stensamler", "stensamler")</f>
        <v>stensamler</v>
      </c>
      <c r="B2883" s="65" t="s">
        <v>4834</v>
      </c>
    </row>
    <row r="2884" spans="1:2" x14ac:dyDescent="0.25">
      <c r="A2884" s="64" t="str">
        <f>HYPERLINK("http://www.twitter.com/No32_Edinburgh", "No32_Edinburgh")</f>
        <v>No32_Edinburgh</v>
      </c>
      <c r="B2884" s="65" t="s">
        <v>24</v>
      </c>
    </row>
    <row r="2885" spans="1:2" x14ac:dyDescent="0.25">
      <c r="A2885" s="64" t="str">
        <f>HYPERLINK("http://www.twitter.com/kathleen_drever", "kathleen_drever")</f>
        <v>kathleen_drever</v>
      </c>
      <c r="B2885" s="65" t="s">
        <v>3762</v>
      </c>
    </row>
    <row r="2886" spans="1:2" x14ac:dyDescent="0.25">
      <c r="A2886" s="64" t="str">
        <f>HYPERLINK("http://www.twitter.com/McleodIrene", "McleodIrene")</f>
        <v>McleodIrene</v>
      </c>
      <c r="B2886" s="65"/>
    </row>
    <row r="2887" spans="1:2" x14ac:dyDescent="0.25">
      <c r="A2887" s="64" t="str">
        <f>HYPERLINK("http://www.twitter.com/VillaniQuartet", "VillaniQuartet")</f>
        <v>VillaniQuartet</v>
      </c>
      <c r="B2887" s="65" t="s">
        <v>3816</v>
      </c>
    </row>
    <row r="2888" spans="1:2" x14ac:dyDescent="0.25">
      <c r="A2888" s="64" t="str">
        <f>HYPERLINK("http://www.twitter.com/CraigieJemma", "CraigieJemma")</f>
        <v>CraigieJemma</v>
      </c>
      <c r="B2888" s="65"/>
    </row>
    <row r="2889" spans="1:2" x14ac:dyDescent="0.25">
      <c r="A2889" s="64" t="str">
        <f>HYPERLINK("http://www.twitter.com/SandyRo63680913", "SandyRo63680913")</f>
        <v>SandyRo63680913</v>
      </c>
      <c r="B2889" s="65"/>
    </row>
    <row r="2890" spans="1:2" x14ac:dyDescent="0.25">
      <c r="A2890" s="64" t="str">
        <f>HYPERLINK("http://www.twitter.com/macdubhsith", "macdubhsith")</f>
        <v>macdubhsith</v>
      </c>
      <c r="B2890" s="65" t="s">
        <v>4835</v>
      </c>
    </row>
    <row r="2891" spans="1:2" x14ac:dyDescent="0.25">
      <c r="A2891" s="64" t="str">
        <f>HYPERLINK("http://www.twitter.com/johnhay307", "johnhay307")</f>
        <v>johnhay307</v>
      </c>
      <c r="B2891" s="65"/>
    </row>
    <row r="2892" spans="1:2" x14ac:dyDescent="0.25">
      <c r="A2892" s="64" t="str">
        <f>HYPERLINK("http://www.twitter.com/jm080881", "jm080881")</f>
        <v>jm080881</v>
      </c>
      <c r="B2892" s="65"/>
    </row>
    <row r="2893" spans="1:2" x14ac:dyDescent="0.25">
      <c r="A2893" s="64" t="str">
        <f>HYPERLINK("http://www.twitter.com/KateyBoal", "KateyBoal")</f>
        <v>KateyBoal</v>
      </c>
      <c r="B2893" s="65" t="s">
        <v>4050</v>
      </c>
    </row>
    <row r="2894" spans="1:2" x14ac:dyDescent="0.25">
      <c r="A2894" s="64" t="str">
        <f>HYPERLINK("http://www.twitter.com/GillianBoll", "GillianBoll")</f>
        <v>GillianBoll</v>
      </c>
      <c r="B2894" s="65" t="s">
        <v>4836</v>
      </c>
    </row>
    <row r="2895" spans="1:2" x14ac:dyDescent="0.25">
      <c r="A2895" s="64" t="str">
        <f>HYPERLINK("http://www.twitter.com/wellsbones", "wellsbones")</f>
        <v>wellsbones</v>
      </c>
      <c r="B2895" s="65" t="s">
        <v>4837</v>
      </c>
    </row>
    <row r="2896" spans="1:2" x14ac:dyDescent="0.25">
      <c r="A2896" s="64" t="str">
        <f>HYPERLINK("http://www.twitter.com/OwlScarlet", "OwlScarlet")</f>
        <v>OwlScarlet</v>
      </c>
      <c r="B2896" s="65" t="s">
        <v>1490</v>
      </c>
    </row>
    <row r="2897" spans="1:2" x14ac:dyDescent="0.25">
      <c r="A2897" s="64" t="str">
        <f>HYPERLINK("http://www.twitter.com/lizziedunthorne", "lizziedunthorne")</f>
        <v>lizziedunthorne</v>
      </c>
      <c r="B2897" s="65" t="s">
        <v>1189</v>
      </c>
    </row>
    <row r="2898" spans="1:2" x14ac:dyDescent="0.25">
      <c r="A2898" s="64" t="str">
        <f>HYPERLINK("http://www.twitter.com/DarrenConway16", "DarrenConway16")</f>
        <v>DarrenConway16</v>
      </c>
      <c r="B2898" s="65"/>
    </row>
    <row r="2899" spans="1:2" x14ac:dyDescent="0.25">
      <c r="A2899" s="64" t="str">
        <f>HYPERLINK("http://www.twitter.com/CarolePaton", "CarolePaton")</f>
        <v>CarolePaton</v>
      </c>
      <c r="B2899" s="65" t="s">
        <v>4838</v>
      </c>
    </row>
    <row r="2900" spans="1:2" x14ac:dyDescent="0.25">
      <c r="A2900" s="64" t="str">
        <f>HYPERLINK("http://www.twitter.com/GillianWRoberts", "GillianWRoberts")</f>
        <v>GillianWRoberts</v>
      </c>
      <c r="B2900" s="65" t="s">
        <v>4839</v>
      </c>
    </row>
    <row r="2901" spans="1:2" x14ac:dyDescent="0.25">
      <c r="A2901" s="64" t="str">
        <f>HYPERLINK("http://www.twitter.com/JackiJones17", "JackiJones17")</f>
        <v>JackiJones17</v>
      </c>
      <c r="B2901" s="65"/>
    </row>
    <row r="2902" spans="1:2" x14ac:dyDescent="0.25">
      <c r="A2902" s="64" t="str">
        <f>HYPERLINK("http://www.twitter.com/lets_organise", "lets_organise")</f>
        <v>lets_organise</v>
      </c>
      <c r="B2902" s="65" t="s">
        <v>4840</v>
      </c>
    </row>
    <row r="2903" spans="1:2" x14ac:dyDescent="0.25">
      <c r="A2903" s="64" t="str">
        <f>HYPERLINK("http://www.twitter.com/Jakobiah", "Jakobiah")</f>
        <v>Jakobiah</v>
      </c>
      <c r="B2903" s="65"/>
    </row>
    <row r="2904" spans="1:2" x14ac:dyDescent="0.25">
      <c r="A2904" s="64" t="str">
        <f>HYPERLINK("http://www.twitter.com/rocky_rockto", "rocky_rockto")</f>
        <v>rocky_rockto</v>
      </c>
      <c r="B2904" s="65"/>
    </row>
    <row r="2905" spans="1:2" x14ac:dyDescent="0.25">
      <c r="A2905" s="64" t="str">
        <f>HYPERLINK("http://www.twitter.com/G_Bowie", "G_Bowie")</f>
        <v>G_Bowie</v>
      </c>
      <c r="B2905" s="65" t="s">
        <v>24</v>
      </c>
    </row>
    <row r="2906" spans="1:2" x14ac:dyDescent="0.25">
      <c r="A2906" s="64" t="str">
        <f>HYPERLINK("http://www.twitter.com/Pete121Evans", "Pete121Evans")</f>
        <v>Pete121Evans</v>
      </c>
      <c r="B2906" s="65" t="s">
        <v>70</v>
      </c>
    </row>
    <row r="2907" spans="1:2" x14ac:dyDescent="0.25">
      <c r="A2907" s="64" t="str">
        <f>HYPERLINK("http://www.twitter.com/MrsBurnsey", "MrsBurnsey")</f>
        <v>MrsBurnsey</v>
      </c>
      <c r="B2907" s="65"/>
    </row>
    <row r="2908" spans="1:2" x14ac:dyDescent="0.25">
      <c r="A2908" s="64" t="str">
        <f>HYPERLINK("http://www.twitter.com/jamiewalkerjw", "jamiewalkerjw")</f>
        <v>jamiewalkerjw</v>
      </c>
      <c r="B2908" s="65"/>
    </row>
    <row r="2909" spans="1:2" x14ac:dyDescent="0.25">
      <c r="A2909" s="64" t="str">
        <f>HYPERLINK("http://www.twitter.com/Bufkinite", "Bufkinite")</f>
        <v>Bufkinite</v>
      </c>
      <c r="B2909" s="65" t="s">
        <v>4841</v>
      </c>
    </row>
    <row r="2910" spans="1:2" x14ac:dyDescent="0.25">
      <c r="A2910" s="64" t="str">
        <f>HYPERLINK("http://www.twitter.com/edgechristopher", "edgechristopher")</f>
        <v>edgechristopher</v>
      </c>
      <c r="B2910" s="65" t="s">
        <v>1490</v>
      </c>
    </row>
    <row r="2911" spans="1:2" x14ac:dyDescent="0.25">
      <c r="A2911" s="64" t="str">
        <f>HYPERLINK("http://www.twitter.com/AndrewWi1son", "AndrewWi1son")</f>
        <v>AndrewWi1son</v>
      </c>
      <c r="B2911" s="65" t="s">
        <v>318</v>
      </c>
    </row>
    <row r="2912" spans="1:2" x14ac:dyDescent="0.25">
      <c r="A2912" s="64" t="str">
        <f>HYPERLINK("http://www.twitter.com/PartTimedreams", "PartTimedreams")</f>
        <v>PartTimedreams</v>
      </c>
      <c r="B2912" s="65" t="s">
        <v>4842</v>
      </c>
    </row>
    <row r="2913" spans="1:2" x14ac:dyDescent="0.25">
      <c r="A2913" s="64" t="str">
        <f>HYPERLINK("http://www.twitter.com/lukemp", "lukemp")</f>
        <v>lukemp</v>
      </c>
      <c r="B2913" s="65"/>
    </row>
    <row r="2914" spans="1:2" x14ac:dyDescent="0.25">
      <c r="A2914" s="64" t="str">
        <f>HYPERLINK("http://www.twitter.com/MeadOlivia", "MeadOlivia")</f>
        <v>MeadOlivia</v>
      </c>
      <c r="B2914" s="65" t="s">
        <v>36</v>
      </c>
    </row>
    <row r="2915" spans="1:2" x14ac:dyDescent="0.25">
      <c r="A2915" s="64" t="str">
        <f>HYPERLINK("http://www.twitter.com/RubyRedLips11", "RubyRedLips11")</f>
        <v>RubyRedLips11</v>
      </c>
      <c r="B2915" s="65"/>
    </row>
    <row r="2916" spans="1:2" x14ac:dyDescent="0.25">
      <c r="A2916" s="64" t="str">
        <f>HYPERLINK("http://www.twitter.com/edsattaindo1", "edsattaindo1")</f>
        <v>edsattaindo1</v>
      </c>
      <c r="B2916" s="65" t="s">
        <v>2007</v>
      </c>
    </row>
    <row r="2917" spans="1:2" x14ac:dyDescent="0.25">
      <c r="A2917" s="64" t="str">
        <f>HYPERLINK("http://www.twitter.com/veljkosuzic", "veljkosuzic")</f>
        <v>veljkosuzic</v>
      </c>
      <c r="B2917" s="65"/>
    </row>
    <row r="2918" spans="1:2" x14ac:dyDescent="0.25">
      <c r="A2918" s="64" t="str">
        <f>HYPERLINK("http://www.twitter.com/breatherhook", "breatherhook")</f>
        <v>breatherhook</v>
      </c>
      <c r="B2918" s="65"/>
    </row>
    <row r="2919" spans="1:2" x14ac:dyDescent="0.25">
      <c r="A2919" s="64" t="str">
        <f>HYPERLINK("http://www.twitter.com/HowToSpeakMoney", "HowToSpeakMoney")</f>
        <v>HowToSpeakMoney</v>
      </c>
      <c r="B2919" s="65"/>
    </row>
    <row r="2920" spans="1:2" x14ac:dyDescent="0.25">
      <c r="A2920" s="64" t="str">
        <f>HYPERLINK("http://www.twitter.com/ScotRevBks", "ScotRevBks")</f>
        <v>ScotRevBks</v>
      </c>
      <c r="B2920" s="65" t="s">
        <v>24</v>
      </c>
    </row>
    <row r="2921" spans="1:2" x14ac:dyDescent="0.25">
      <c r="A2921" s="64" t="str">
        <f>HYPERLINK("http://www.twitter.com/ImogenHopes", "ImogenHopes")</f>
        <v>ImogenHopes</v>
      </c>
      <c r="B2921" s="65" t="s">
        <v>4843</v>
      </c>
    </row>
    <row r="2922" spans="1:2" x14ac:dyDescent="0.25">
      <c r="A2922" s="64" t="str">
        <f>HYPERLINK("http://www.twitter.com/maddie_999", "maddie_999")</f>
        <v>maddie_999</v>
      </c>
      <c r="B2922" s="65"/>
    </row>
    <row r="2923" spans="1:2" x14ac:dyDescent="0.25">
      <c r="A2923" s="64" t="str">
        <f>HYPERLINK("http://www.twitter.com/RPG_Edwards", "RPG_Edwards")</f>
        <v>RPG_Edwards</v>
      </c>
      <c r="B2923" s="65" t="s">
        <v>4844</v>
      </c>
    </row>
    <row r="2924" spans="1:2" x14ac:dyDescent="0.25">
      <c r="A2924" s="64" t="str">
        <f>HYPERLINK("http://www.twitter.com/Surfergal_101", "Surfergal_101")</f>
        <v>Surfergal_101</v>
      </c>
      <c r="B2924" s="65"/>
    </row>
    <row r="2925" spans="1:2" x14ac:dyDescent="0.25">
      <c r="A2925" s="64" t="str">
        <f>HYPERLINK("http://www.twitter.com/MarsaliTaylor", "MarsaliTaylor")</f>
        <v>MarsaliTaylor</v>
      </c>
      <c r="B2925" s="65"/>
    </row>
    <row r="2926" spans="1:2" x14ac:dyDescent="0.25">
      <c r="A2926" s="64" t="str">
        <f>HYPERLINK("http://www.twitter.com/RickDeck", "RickDeck")</f>
        <v>RickDeck</v>
      </c>
      <c r="B2926" s="65" t="s">
        <v>4845</v>
      </c>
    </row>
    <row r="2927" spans="1:2" x14ac:dyDescent="0.25">
      <c r="A2927" s="64" t="str">
        <f>HYPERLINK("http://www.twitter.com/yellowstone2", "yellowstone2")</f>
        <v>yellowstone2</v>
      </c>
      <c r="B2927" s="65" t="s">
        <v>4846</v>
      </c>
    </row>
    <row r="2928" spans="1:2" x14ac:dyDescent="0.25">
      <c r="A2928" s="64" t="str">
        <f>HYPERLINK("http://www.twitter.com/ellygriffiths", "ellygriffiths")</f>
        <v>ellygriffiths</v>
      </c>
      <c r="B2928" s="65" t="s">
        <v>1980</v>
      </c>
    </row>
    <row r="2929" spans="1:2" x14ac:dyDescent="0.25">
      <c r="A2929" s="64" t="str">
        <f>HYPERLINK("http://www.twitter.com/FFMRecruitment", "FFMRecruitment")</f>
        <v>FFMRecruitment</v>
      </c>
      <c r="B2929" s="65" t="s">
        <v>70</v>
      </c>
    </row>
    <row r="2930" spans="1:2" x14ac:dyDescent="0.25">
      <c r="A2930" s="64" t="str">
        <f>HYPERLINK("http://www.twitter.com/piper6264", "piper6264")</f>
        <v>piper6264</v>
      </c>
      <c r="B2930" s="65"/>
    </row>
    <row r="2931" spans="1:2" x14ac:dyDescent="0.25">
      <c r="A2931" s="64" t="str">
        <f>HYPERLINK("http://www.twitter.com/oatso303", "oatso303")</f>
        <v>oatso303</v>
      </c>
      <c r="B2931" s="65"/>
    </row>
    <row r="2932" spans="1:2" x14ac:dyDescent="0.25">
      <c r="A2932" s="64" t="str">
        <f>HYPERLINK("http://www.twitter.com/albertpasquini", "albertpasquini")</f>
        <v>albertpasquini</v>
      </c>
      <c r="B2932" s="65"/>
    </row>
    <row r="2933" spans="1:2" x14ac:dyDescent="0.25">
      <c r="A2933" s="64" t="str">
        <f>HYPERLINK("http://www.twitter.com/Saravan33422160", "Saravan33422160")</f>
        <v>Saravan33422160</v>
      </c>
      <c r="B2933" s="65"/>
    </row>
    <row r="2934" spans="1:2" x14ac:dyDescent="0.25">
      <c r="A2934" s="64" t="str">
        <f>HYPERLINK("http://www.twitter.com/fractalzx", "fractalzx")</f>
        <v>fractalzx</v>
      </c>
      <c r="B2934" s="65" t="s">
        <v>1046</v>
      </c>
    </row>
    <row r="2935" spans="1:2" x14ac:dyDescent="0.25">
      <c r="A2935" s="64" t="str">
        <f>HYPERLINK("http://www.twitter.com/bentruslove", "bentruslove")</f>
        <v>bentruslove</v>
      </c>
      <c r="B2935" s="65" t="s">
        <v>526</v>
      </c>
    </row>
    <row r="2936" spans="1:2" x14ac:dyDescent="0.25">
      <c r="A2936" s="64" t="str">
        <f>HYPERLINK("http://www.twitter.com/toadhubble", "toadhubble")</f>
        <v>toadhubble</v>
      </c>
      <c r="B2936" s="65"/>
    </row>
    <row r="2937" spans="1:2" x14ac:dyDescent="0.25">
      <c r="A2937" s="64" t="str">
        <f>HYPERLINK("http://www.twitter.com/georgegbj", "georgegbj")</f>
        <v>georgegbj</v>
      </c>
      <c r="B2937" s="65"/>
    </row>
    <row r="2938" spans="1:2" x14ac:dyDescent="0.25">
      <c r="A2938" s="64" t="str">
        <f>HYPERLINK("http://www.twitter.com/maryenglish", "maryenglish")</f>
        <v>maryenglish</v>
      </c>
      <c r="B2938" s="65" t="s">
        <v>1098</v>
      </c>
    </row>
    <row r="2939" spans="1:2" x14ac:dyDescent="0.25">
      <c r="A2939" s="64" t="str">
        <f>HYPERLINK("http://www.twitter.com/Allaneleslie8", "Allaneleslie8")</f>
        <v>Allaneleslie8</v>
      </c>
      <c r="B2939" s="65"/>
    </row>
    <row r="2940" spans="1:2" x14ac:dyDescent="0.25">
      <c r="A2940" s="64" t="str">
        <f>HYPERLINK("http://www.twitter.com/grousepergola", "grousepergola")</f>
        <v>grousepergola</v>
      </c>
      <c r="B2940" s="65" t="s">
        <v>318</v>
      </c>
    </row>
    <row r="2941" spans="1:2" x14ac:dyDescent="0.25">
      <c r="A2941" s="64" t="str">
        <f>HYPERLINK("http://www.twitter.com/HelentheRev", "HelentheRev")</f>
        <v>HelentheRev</v>
      </c>
      <c r="B2941" s="65" t="s">
        <v>2007</v>
      </c>
    </row>
    <row r="2942" spans="1:2" x14ac:dyDescent="0.25">
      <c r="A2942" s="64" t="str">
        <f>HYPERLINK("http://www.twitter.com/Workers_Theatre", "Workers_Theatre")</f>
        <v>Workers_Theatre</v>
      </c>
      <c r="B2942" s="65" t="s">
        <v>318</v>
      </c>
    </row>
    <row r="2943" spans="1:2" x14ac:dyDescent="0.25">
      <c r="A2943" s="64" t="str">
        <f>HYPERLINK("http://www.twitter.com/MyndieP", "MyndieP")</f>
        <v>MyndieP</v>
      </c>
      <c r="B2943" s="65"/>
    </row>
    <row r="2944" spans="1:2" x14ac:dyDescent="0.25">
      <c r="A2944" s="64" t="str">
        <f>HYPERLINK("http://www.twitter.com/JoyaDRoyal", "JoyaDRoyal")</f>
        <v>JoyaDRoyal</v>
      </c>
      <c r="B2944" s="65"/>
    </row>
    <row r="2945" spans="1:2" x14ac:dyDescent="0.25">
      <c r="A2945" s="64" t="str">
        <f>HYPERLINK("http://www.twitter.com/inveresregan", "inveresregan")</f>
        <v>inveresregan</v>
      </c>
      <c r="B2945" s="65" t="s">
        <v>4847</v>
      </c>
    </row>
    <row r="2946" spans="1:2" x14ac:dyDescent="0.25">
      <c r="A2946" s="64" t="str">
        <f>HYPERLINK("http://www.twitter.com/mandyrigby89", "mandyrigby89")</f>
        <v>mandyrigby89</v>
      </c>
      <c r="B2946" s="65"/>
    </row>
    <row r="2947" spans="1:2" x14ac:dyDescent="0.25">
      <c r="A2947" s="64" t="str">
        <f>HYPERLINK("http://www.twitter.com/claudiac903", "claudiac903")</f>
        <v>claudiac903</v>
      </c>
      <c r="B2947" s="65" t="s">
        <v>4848</v>
      </c>
    </row>
    <row r="2948" spans="1:2" x14ac:dyDescent="0.25">
      <c r="A2948" s="64" t="str">
        <f>HYPERLINK("http://www.twitter.com/alexrossmusic", "alexrossmusic")</f>
        <v>alexrossmusic</v>
      </c>
      <c r="B2948" s="65"/>
    </row>
    <row r="2949" spans="1:2" x14ac:dyDescent="0.25">
      <c r="A2949" s="64" t="str">
        <f>HYPERLINK("http://www.twitter.com/LisaIronTongue", "LisaIronTongue")</f>
        <v>LisaIronTongue</v>
      </c>
      <c r="B2949" s="65" t="s">
        <v>4848</v>
      </c>
    </row>
    <row r="2950" spans="1:2" x14ac:dyDescent="0.25">
      <c r="A2950" s="64" t="str">
        <f>HYPERLINK("http://www.twitter.com/rachwray", "rachwray")</f>
        <v>rachwray</v>
      </c>
      <c r="B2950" s="65" t="s">
        <v>4273</v>
      </c>
    </row>
    <row r="2951" spans="1:2" x14ac:dyDescent="0.25">
      <c r="A2951" s="64" t="str">
        <f>HYPERLINK("http://www.twitter.com/efleischer", "efleischer")</f>
        <v>efleischer</v>
      </c>
      <c r="B2951" s="65"/>
    </row>
    <row r="2952" spans="1:2" x14ac:dyDescent="0.25">
      <c r="A2952" s="64" t="str">
        <f>HYPERLINK("http://www.twitter.com/WOTOrkneys", "WOTOrkneys")</f>
        <v>WOTOrkneys</v>
      </c>
      <c r="B2952" s="65" t="s">
        <v>70</v>
      </c>
    </row>
    <row r="2953" spans="1:2" x14ac:dyDescent="0.25">
      <c r="A2953" s="64" t="str">
        <f>HYPERLINK("http://www.twitter.com/frananderson123", "frananderson123")</f>
        <v>frananderson123</v>
      </c>
      <c r="B2953" s="65" t="s">
        <v>36</v>
      </c>
    </row>
    <row r="2954" spans="1:2" x14ac:dyDescent="0.25">
      <c r="A2954" s="64" t="str">
        <f>HYPERLINK("http://www.twitter.com/CharYouds", "CharYouds")</f>
        <v>CharYouds</v>
      </c>
      <c r="B2954" s="65" t="s">
        <v>147</v>
      </c>
    </row>
    <row r="2955" spans="1:2" x14ac:dyDescent="0.25">
      <c r="A2955" s="64" t="str">
        <f>HYPERLINK("http://www.twitter.com/mrs_gkm", "mrs_gkm")</f>
        <v>mrs_gkm</v>
      </c>
      <c r="B2955" s="65" t="s">
        <v>477</v>
      </c>
    </row>
    <row r="2956" spans="1:2" x14ac:dyDescent="0.25">
      <c r="A2956" s="64" t="str">
        <f>HYPERLINK("http://www.twitter.com/ANTONYCLIVE1", "ANTONYCLIVE1")</f>
        <v>ANTONYCLIVE1</v>
      </c>
      <c r="B2956" s="65"/>
    </row>
    <row r="2957" spans="1:2" x14ac:dyDescent="0.25">
      <c r="A2957" s="64" t="str">
        <f>HYPERLINK("http://www.twitter.com/fionachorus", "fionachorus")</f>
        <v>fionachorus</v>
      </c>
      <c r="B2957" s="65" t="s">
        <v>514</v>
      </c>
    </row>
    <row r="2958" spans="1:2" x14ac:dyDescent="0.25">
      <c r="A2958" s="64" t="str">
        <f>HYPERLINK("http://www.twitter.com/IainLJ", "IainLJ")</f>
        <v>IainLJ</v>
      </c>
      <c r="B2958" s="65" t="s">
        <v>517</v>
      </c>
    </row>
    <row r="2959" spans="1:2" x14ac:dyDescent="0.25">
      <c r="A2959" s="64" t="str">
        <f>HYPERLINK("http://www.twitter.com/TampaHillsLib", "TampaHillsLib")</f>
        <v>TampaHillsLib</v>
      </c>
      <c r="B2959" s="65" t="s">
        <v>4849</v>
      </c>
    </row>
    <row r="2960" spans="1:2" x14ac:dyDescent="0.25">
      <c r="A2960" s="64" t="str">
        <f>HYPERLINK("http://www.twitter.com/Blondiesez", "Blondiesez")</f>
        <v>Blondiesez</v>
      </c>
      <c r="B2960" s="65" t="s">
        <v>517</v>
      </c>
    </row>
    <row r="2961" spans="1:2" x14ac:dyDescent="0.25">
      <c r="A2961" s="64" t="str">
        <f>HYPERLINK("http://www.twitter.com/julesgreen0804", "julesgreen0804")</f>
        <v>julesgreen0804</v>
      </c>
      <c r="B2961" s="65" t="s">
        <v>24</v>
      </c>
    </row>
    <row r="2962" spans="1:2" x14ac:dyDescent="0.25">
      <c r="A2962" s="64" t="str">
        <f>HYPERLINK("http://www.twitter.com/platzmania", "platzmania")</f>
        <v>platzmania</v>
      </c>
      <c r="B2962" s="65" t="s">
        <v>4850</v>
      </c>
    </row>
    <row r="2963" spans="1:2" x14ac:dyDescent="0.25">
      <c r="A2963" s="64" t="str">
        <f>HYPERLINK("http://www.twitter.com/Melissa_Dav", "Melissa_Dav")</f>
        <v>Melissa_Dav</v>
      </c>
      <c r="B2963" s="65" t="s">
        <v>4148</v>
      </c>
    </row>
    <row r="2964" spans="1:2" x14ac:dyDescent="0.25">
      <c r="A2964" s="64" t="str">
        <f>HYPERLINK("http://www.twitter.com/WattieWhitelaw", "WattieWhitelaw")</f>
        <v>WattieWhitelaw</v>
      </c>
      <c r="B2964" s="65"/>
    </row>
    <row r="2965" spans="1:2" x14ac:dyDescent="0.25">
      <c r="A2965" s="64" t="str">
        <f>HYPERLINK("http://www.twitter.com/BdaleGibbo", "BdaleGibbo")</f>
        <v>BdaleGibbo</v>
      </c>
      <c r="B2965" s="65"/>
    </row>
    <row r="2966" spans="1:2" x14ac:dyDescent="0.25">
      <c r="A2966" s="64" t="str">
        <f>HYPERLINK("http://www.twitter.com/LibRusheyMead", "LibRusheyMead")</f>
        <v>LibRusheyMead</v>
      </c>
      <c r="B2966" s="65" t="s">
        <v>1226</v>
      </c>
    </row>
    <row r="2967" spans="1:2" x14ac:dyDescent="0.25">
      <c r="A2967" s="64" t="str">
        <f>HYPERLINK("http://www.twitter.com/JDThirkettle", "JDThirkettle")</f>
        <v>JDThirkettle</v>
      </c>
      <c r="B2967" s="65"/>
    </row>
    <row r="2968" spans="1:2" x14ac:dyDescent="0.25">
      <c r="A2968" s="64" t="str">
        <f>HYPERLINK("http://www.twitter.com/sunset_hunt", "sunset_hunt")</f>
        <v>sunset_hunt</v>
      </c>
      <c r="B2968" s="65"/>
    </row>
    <row r="2969" spans="1:2" x14ac:dyDescent="0.25">
      <c r="A2969" s="64" t="str">
        <f>HYPERLINK("http://www.twitter.com/PGS_library", "PGS_library")</f>
        <v>PGS_library</v>
      </c>
      <c r="B2969" s="65" t="s">
        <v>3773</v>
      </c>
    </row>
    <row r="2970" spans="1:2" x14ac:dyDescent="0.25">
      <c r="A2970" s="64" t="str">
        <f>HYPERLINK("http://www.twitter.com/_tootsy", "_tootsy")</f>
        <v>_tootsy</v>
      </c>
      <c r="B2970" s="65"/>
    </row>
    <row r="2971" spans="1:2" x14ac:dyDescent="0.25">
      <c r="A2971" s="64" t="str">
        <f>HYPERLINK("http://www.twitter.com/DanaSlaven", "DanaSlaven")</f>
        <v>DanaSlaven</v>
      </c>
      <c r="B2971" s="65" t="s">
        <v>4275</v>
      </c>
    </row>
    <row r="2972" spans="1:2" x14ac:dyDescent="0.25">
      <c r="A2972" s="64" t="str">
        <f>HYPERLINK("http://www.twitter.com/maddie_mcderm", "maddie_mcderm")</f>
        <v>maddie_mcderm</v>
      </c>
      <c r="B2972" s="65" t="s">
        <v>4851</v>
      </c>
    </row>
    <row r="2973" spans="1:2" x14ac:dyDescent="0.25">
      <c r="A2973" s="64" t="str">
        <f>HYPERLINK("http://www.twitter.com/MOlibraries", "MOlibraries")</f>
        <v>MOlibraries</v>
      </c>
      <c r="B2973" s="65" t="s">
        <v>4852</v>
      </c>
    </row>
    <row r="2974" spans="1:2" x14ac:dyDescent="0.25">
      <c r="A2974" s="64" t="str">
        <f>HYPERLINK("http://www.twitter.com/FullColourCards", "FullColourCards")</f>
        <v>FullColourCards</v>
      </c>
      <c r="B2974" s="65" t="s">
        <v>3858</v>
      </c>
    </row>
    <row r="2975" spans="1:2" x14ac:dyDescent="0.25">
      <c r="A2975" s="64" t="str">
        <f>HYPERLINK("http://www.twitter.com/JackRickman4", "JackRickman4")</f>
        <v>JackRickman4</v>
      </c>
      <c r="B2975" s="65"/>
    </row>
    <row r="2976" spans="1:2" x14ac:dyDescent="0.25">
      <c r="A2976" s="64" t="str">
        <f>HYPERLINK("http://www.twitter.com/duffus_alan", "duffus_alan")</f>
        <v>duffus_alan</v>
      </c>
      <c r="B2976" s="65" t="s">
        <v>4853</v>
      </c>
    </row>
    <row r="2977" spans="1:2" x14ac:dyDescent="0.25">
      <c r="A2977" s="64" t="str">
        <f>HYPERLINK("http://www.twitter.com/crappyliving", "crappyliving")</f>
        <v>crappyliving</v>
      </c>
      <c r="B2977" s="65" t="s">
        <v>4854</v>
      </c>
    </row>
    <row r="2978" spans="1:2" x14ac:dyDescent="0.25">
      <c r="A2978" s="64" t="str">
        <f>HYPERLINK("http://www.twitter.com/gaelic67", "gaelic67")</f>
        <v>gaelic67</v>
      </c>
      <c r="B2978" s="65" t="s">
        <v>4855</v>
      </c>
    </row>
    <row r="2979" spans="1:2" x14ac:dyDescent="0.25">
      <c r="A2979" s="64" t="str">
        <f>HYPERLINK("http://www.twitter.com/alsforzini", "alsforzini")</f>
        <v>alsforzini</v>
      </c>
      <c r="B2979" s="65" t="s">
        <v>4517</v>
      </c>
    </row>
    <row r="2980" spans="1:2" x14ac:dyDescent="0.25">
      <c r="A2980" s="64" t="str">
        <f>HYPERLINK("http://www.twitter.com/lyndabuck404", "lyndabuck404")</f>
        <v>lyndabuck404</v>
      </c>
      <c r="B2980" s="65" t="s">
        <v>4856</v>
      </c>
    </row>
    <row r="2981" spans="1:2" x14ac:dyDescent="0.25">
      <c r="A2981" s="64" t="str">
        <f>HYPERLINK("http://www.twitter.com/Rohitsi84096456", "Rohitsi84096456")</f>
        <v>Rohitsi84096456</v>
      </c>
      <c r="B2981" s="65"/>
    </row>
    <row r="2982" spans="1:2" x14ac:dyDescent="0.25">
      <c r="A2982" s="64" t="str">
        <f>HYPERLINK("http://www.twitter.com/JoRedmond", "JoRedmond")</f>
        <v>JoRedmond</v>
      </c>
      <c r="B2982" s="65" t="s">
        <v>4857</v>
      </c>
    </row>
    <row r="2983" spans="1:2" x14ac:dyDescent="0.25">
      <c r="A2983" s="64" t="str">
        <f>HYPERLINK("http://www.twitter.com/Johnson68Bj", "Johnson68Bj")</f>
        <v>Johnson68Bj</v>
      </c>
      <c r="B2983" s="65" t="s">
        <v>2289</v>
      </c>
    </row>
    <row r="2984" spans="1:2" x14ac:dyDescent="0.25">
      <c r="A2984" s="64" t="str">
        <f>HYPERLINK("http://www.twitter.com/JamesGarry7", "JamesGarry7")</f>
        <v>JamesGarry7</v>
      </c>
      <c r="B2984" s="65" t="s">
        <v>3149</v>
      </c>
    </row>
    <row r="2985" spans="1:2" x14ac:dyDescent="0.25">
      <c r="A2985" s="64" t="str">
        <f>HYPERLINK("http://www.twitter.com/kyliem02", "kyliem02")</f>
        <v>kyliem02</v>
      </c>
      <c r="B2985" s="65"/>
    </row>
    <row r="2986" spans="1:2" x14ac:dyDescent="0.25">
      <c r="A2986" s="64" t="str">
        <f>HYPERLINK("http://www.twitter.com/bluyee53", "bluyee53")</f>
        <v>bluyee53</v>
      </c>
      <c r="B2986" s="65"/>
    </row>
    <row r="2987" spans="1:2" x14ac:dyDescent="0.25">
      <c r="A2987" s="64" t="str">
        <f>HYPERLINK("http://www.twitter.com/HumanOfficial_", "HumanOfficial_")</f>
        <v>HumanOfficial_</v>
      </c>
      <c r="B2987" s="65" t="s">
        <v>4858</v>
      </c>
    </row>
    <row r="2988" spans="1:2" x14ac:dyDescent="0.25">
      <c r="A2988" s="64" t="str">
        <f>HYPERLINK("http://www.twitter.com/Wordspacer", "Wordspacer")</f>
        <v>Wordspacer</v>
      </c>
      <c r="B2988" s="65" t="s">
        <v>4118</v>
      </c>
    </row>
    <row r="2989" spans="1:2" x14ac:dyDescent="0.25">
      <c r="A2989" s="64" t="str">
        <f>HYPERLINK("http://www.twitter.com/mmsbalan10595", "mmsbalan10595")</f>
        <v>mmsbalan10595</v>
      </c>
      <c r="B2989" s="65"/>
    </row>
    <row r="2990" spans="1:2" x14ac:dyDescent="0.25">
      <c r="A2990" s="64" t="str">
        <f>HYPERLINK("http://www.twitter.com/AaronMarkMcG", "AaronMarkMcG")</f>
        <v>AaronMarkMcG</v>
      </c>
      <c r="B2990" s="65" t="s">
        <v>138</v>
      </c>
    </row>
    <row r="2991" spans="1:2" x14ac:dyDescent="0.25">
      <c r="A2991" s="64" t="str">
        <f>HYPERLINK("http://www.twitter.com/_WeAreScotland_", "_WeAreScotland_")</f>
        <v>_WeAreScotland_</v>
      </c>
      <c r="B2991" s="65" t="s">
        <v>4859</v>
      </c>
    </row>
    <row r="2992" spans="1:2" x14ac:dyDescent="0.25">
      <c r="A2992" s="64" t="str">
        <f>HYPERLINK("http://www.twitter.com/Jeffreyralph", "Jeffreyralph")</f>
        <v>Jeffreyralph</v>
      </c>
      <c r="B2992" s="65"/>
    </row>
    <row r="2993" spans="1:2" x14ac:dyDescent="0.25">
      <c r="A2993" s="64" t="str">
        <f>HYPERLINK("http://www.twitter.com/Jacquic20", "Jacquic20")</f>
        <v>Jacquic20</v>
      </c>
      <c r="B2993" s="65"/>
    </row>
    <row r="2994" spans="1:2" x14ac:dyDescent="0.25">
      <c r="A2994" s="64" t="str">
        <f>HYPERLINK("http://www.twitter.com/TJTerrin", "TJTerrin")</f>
        <v>TJTerrin</v>
      </c>
      <c r="B2994" s="65"/>
    </row>
    <row r="2995" spans="1:2" x14ac:dyDescent="0.25">
      <c r="A2995" s="64" t="str">
        <f>HYPERLINK("http://www.twitter.com/suejolow", "suejolow")</f>
        <v>suejolow</v>
      </c>
      <c r="B2995" s="65" t="s">
        <v>4500</v>
      </c>
    </row>
    <row r="2996" spans="1:2" x14ac:dyDescent="0.25">
      <c r="A2996" s="64" t="str">
        <f>HYPERLINK("http://www.twitter.com/MandyBerriman", "MandyBerriman")</f>
        <v>MandyBerriman</v>
      </c>
      <c r="B2996" s="65" t="s">
        <v>4860</v>
      </c>
    </row>
    <row r="2997" spans="1:2" x14ac:dyDescent="0.25">
      <c r="A2997" s="64" t="str">
        <f>HYPERLINK("http://www.twitter.com/annwoodholyshop", "annwoodholyshop")</f>
        <v>annwoodholyshop</v>
      </c>
      <c r="B2997" s="65" t="s">
        <v>4861</v>
      </c>
    </row>
    <row r="2998" spans="1:2" x14ac:dyDescent="0.25">
      <c r="A2998" s="64" t="str">
        <f>HYPERLINK("http://www.twitter.com/Georgehebbie", "Georgehebbie")</f>
        <v>Georgehebbie</v>
      </c>
      <c r="B2998" s="65"/>
    </row>
    <row r="2999" spans="1:2" x14ac:dyDescent="0.25">
      <c r="A2999" s="64" t="str">
        <f>HYPERLINK("http://www.twitter.com/JimConnolly", "JimConnolly")</f>
        <v>JimConnolly</v>
      </c>
      <c r="B2999" s="65" t="s">
        <v>4149</v>
      </c>
    </row>
    <row r="3000" spans="1:2" x14ac:dyDescent="0.25">
      <c r="A3000" s="64" t="str">
        <f>HYPERLINK("http://www.twitter.com/librarieshacked", "librarieshacked")</f>
        <v>librarieshacked</v>
      </c>
      <c r="B3000" s="65" t="s">
        <v>296</v>
      </c>
    </row>
    <row r="3001" spans="1:2" x14ac:dyDescent="0.25">
      <c r="A3001" s="64" t="str">
        <f>HYPERLINK("http://www.twitter.com/BBwinch", "BBwinch")</f>
        <v>BBwinch</v>
      </c>
      <c r="B3001" s="65" t="s">
        <v>4862</v>
      </c>
    </row>
    <row r="3002" spans="1:2" x14ac:dyDescent="0.25">
      <c r="A3002" s="64" t="str">
        <f>HYPERLINK("http://www.twitter.com/Feexby23", "Feexby23")</f>
        <v>Feexby23</v>
      </c>
      <c r="B3002" s="65" t="s">
        <v>4447</v>
      </c>
    </row>
    <row r="3003" spans="1:2" x14ac:dyDescent="0.25">
      <c r="A3003" s="64" t="str">
        <f>HYPERLINK("http://www.twitter.com/liffeycat", "liffeycat")</f>
        <v>liffeycat</v>
      </c>
      <c r="B3003" s="65"/>
    </row>
    <row r="3004" spans="1:2" x14ac:dyDescent="0.25">
      <c r="A3004" s="64" t="str">
        <f>HYPERLINK("http://www.twitter.com/siandart", "siandart")</f>
        <v>siandart</v>
      </c>
      <c r="B3004" s="65" t="s">
        <v>3779</v>
      </c>
    </row>
    <row r="3005" spans="1:2" x14ac:dyDescent="0.25">
      <c r="A3005" s="64" t="str">
        <f>HYPERLINK("http://www.twitter.com/BotanicalBe", "BotanicalBe")</f>
        <v>BotanicalBe</v>
      </c>
      <c r="B3005" s="65" t="s">
        <v>1810</v>
      </c>
    </row>
    <row r="3006" spans="1:2" x14ac:dyDescent="0.25">
      <c r="A3006" s="64" t="str">
        <f>HYPERLINK("http://www.twitter.com/LydiaAZed", "LydiaAZed")</f>
        <v>LydiaAZed</v>
      </c>
      <c r="B3006" s="65"/>
    </row>
    <row r="3007" spans="1:2" x14ac:dyDescent="0.25">
      <c r="A3007" s="64" t="str">
        <f>HYPERLINK("http://www.twitter.com/InspiralGraham", "InspiralGraham")</f>
        <v>InspiralGraham</v>
      </c>
      <c r="B3007" s="65"/>
    </row>
    <row r="3008" spans="1:2" x14ac:dyDescent="0.25">
      <c r="A3008" s="64" t="str">
        <f>HYPERLINK("http://www.twitter.com/JohnsonLelewis", "JohnsonLelewis")</f>
        <v>JohnsonLelewis</v>
      </c>
      <c r="B3008" s="65"/>
    </row>
    <row r="3009" spans="1:2" x14ac:dyDescent="0.25">
      <c r="A3009" s="64" t="str">
        <f>HYPERLINK("http://www.twitter.com/HelloHoolet", "HelloHoolet")</f>
        <v>HelloHoolet</v>
      </c>
      <c r="B3009" s="65" t="s">
        <v>517</v>
      </c>
    </row>
    <row r="3010" spans="1:2" x14ac:dyDescent="0.25">
      <c r="A3010" s="64" t="str">
        <f>HYPERLINK("http://www.twitter.com/its_valg", "its_valg")</f>
        <v>its_valg</v>
      </c>
      <c r="B3010" s="65"/>
    </row>
    <row r="3011" spans="1:2" x14ac:dyDescent="0.25">
      <c r="A3011" s="64" t="str">
        <f>HYPERLINK("http://www.twitter.com/rainbow73", "rainbow73")</f>
        <v>rainbow73</v>
      </c>
      <c r="B3011" s="65" t="s">
        <v>3762</v>
      </c>
    </row>
    <row r="3012" spans="1:2" x14ac:dyDescent="0.25">
      <c r="A3012" s="64" t="str">
        <f>HYPERLINK("http://www.twitter.com/Kian78172033", "Kian78172033")</f>
        <v>Kian78172033</v>
      </c>
      <c r="B3012" s="65"/>
    </row>
    <row r="3013" spans="1:2" x14ac:dyDescent="0.25">
      <c r="A3013" s="64" t="str">
        <f>HYPERLINK("http://www.twitter.com/Xperiencescot", "Xperiencescot")</f>
        <v>Xperiencescot</v>
      </c>
      <c r="B3013" s="65" t="s">
        <v>4863</v>
      </c>
    </row>
    <row r="3014" spans="1:2" x14ac:dyDescent="0.25">
      <c r="A3014" s="64" t="str">
        <f>HYPERLINK("http://www.twitter.com/james_minter", "james_minter")</f>
        <v>james_minter</v>
      </c>
      <c r="B3014" s="65" t="s">
        <v>4864</v>
      </c>
    </row>
    <row r="3015" spans="1:2" x14ac:dyDescent="0.25">
      <c r="A3015" s="64" t="str">
        <f>HYPERLINK("http://www.twitter.com/stratosf1", "stratosf1")</f>
        <v>stratosf1</v>
      </c>
      <c r="B3015" s="65" t="s">
        <v>487</v>
      </c>
    </row>
    <row r="3016" spans="1:2" x14ac:dyDescent="0.25">
      <c r="A3016" s="64" t="str">
        <f>HYPERLINK("http://www.twitter.com/Ghostinthehost", "Ghostinthehost")</f>
        <v>Ghostinthehost</v>
      </c>
      <c r="B3016" s="65"/>
    </row>
    <row r="3017" spans="1:2" x14ac:dyDescent="0.25">
      <c r="A3017" s="64" t="str">
        <f>HYPERLINK("http://www.twitter.com/lifeofriley45", "lifeofriley45")</f>
        <v>lifeofriley45</v>
      </c>
      <c r="B3017" s="65"/>
    </row>
    <row r="3018" spans="1:2" x14ac:dyDescent="0.25">
      <c r="A3018" s="64" t="str">
        <f>HYPERLINK("http://www.twitter.com/Pitt_Stores", "Pitt_Stores")</f>
        <v>Pitt_Stores</v>
      </c>
      <c r="B3018" s="65" t="s">
        <v>1189</v>
      </c>
    </row>
    <row r="3019" spans="1:2" x14ac:dyDescent="0.25">
      <c r="A3019" s="64" t="str">
        <f>HYPERLINK("http://www.twitter.com/Gala0_1", "Gala0_1")</f>
        <v>Gala0_1</v>
      </c>
      <c r="B3019" s="65" t="s">
        <v>3872</v>
      </c>
    </row>
    <row r="3020" spans="1:2" x14ac:dyDescent="0.25">
      <c r="A3020" s="64" t="str">
        <f>HYPERLINK("http://www.twitter.com/potato9156", "potato9156")</f>
        <v>potato9156</v>
      </c>
      <c r="B3020" s="65"/>
    </row>
    <row r="3021" spans="1:2" x14ac:dyDescent="0.25">
      <c r="A3021" s="64" t="str">
        <f>HYPERLINK("http://www.twitter.com/rosselsewhere", "rosselsewhere")</f>
        <v>rosselsewhere</v>
      </c>
      <c r="B3021" s="65" t="s">
        <v>24</v>
      </c>
    </row>
    <row r="3022" spans="1:2" x14ac:dyDescent="0.25">
      <c r="A3022" s="64" t="str">
        <f>HYPERLINK("http://www.twitter.com/elainesmith202", "elainesmith202")</f>
        <v>elainesmith202</v>
      </c>
      <c r="B3022" s="65"/>
    </row>
    <row r="3023" spans="1:2" x14ac:dyDescent="0.25">
      <c r="A3023" s="64" t="str">
        <f>HYPERLINK("http://www.twitter.com/MaryFrances110", "MaryFrances110")</f>
        <v>MaryFrances110</v>
      </c>
      <c r="B3023" s="65" t="s">
        <v>3974</v>
      </c>
    </row>
    <row r="3024" spans="1:2" x14ac:dyDescent="0.25">
      <c r="A3024" s="64" t="str">
        <f>HYPERLINK("http://www.twitter.com/Caldennis5973", "Caldennis5973")</f>
        <v>Caldennis5973</v>
      </c>
      <c r="B3024" s="65"/>
    </row>
    <row r="3025" spans="1:2" x14ac:dyDescent="0.25">
      <c r="A3025" s="64" t="str">
        <f>HYPERLINK("http://www.twitter.com/liammck", "liammck")</f>
        <v>liammck</v>
      </c>
      <c r="B3025" s="65" t="s">
        <v>517</v>
      </c>
    </row>
    <row r="3026" spans="1:2" x14ac:dyDescent="0.25">
      <c r="A3026" s="64" t="str">
        <f>HYPERLINK("http://www.twitter.com/mvaiulumuli", "mvaiulumuli")</f>
        <v>mvaiulumuli</v>
      </c>
      <c r="B3026" s="65" t="s">
        <v>318</v>
      </c>
    </row>
    <row r="3027" spans="1:2" x14ac:dyDescent="0.25">
      <c r="A3027" s="64" t="str">
        <f>HYPERLINK("http://www.twitter.com/Ksquared56", "Ksquared56")</f>
        <v>Ksquared56</v>
      </c>
      <c r="B3027" s="65" t="s">
        <v>4161</v>
      </c>
    </row>
    <row r="3028" spans="1:2" x14ac:dyDescent="0.25">
      <c r="A3028" s="64" t="str">
        <f>HYPERLINK("http://www.twitter.com/pippa_orr", "pippa_orr")</f>
        <v>pippa_orr</v>
      </c>
      <c r="B3028" s="65" t="s">
        <v>1417</v>
      </c>
    </row>
    <row r="3029" spans="1:2" x14ac:dyDescent="0.25">
      <c r="A3029" s="64" t="str">
        <f>HYPERLINK("http://www.twitter.com/helenbonnick", "helenbonnick")</f>
        <v>helenbonnick</v>
      </c>
      <c r="B3029" s="65" t="s">
        <v>36</v>
      </c>
    </row>
    <row r="3030" spans="1:2" x14ac:dyDescent="0.25">
      <c r="A3030" s="64" t="str">
        <f>HYPERLINK("http://www.twitter.com/Tryfanstone", "Tryfanstone")</f>
        <v>Tryfanstone</v>
      </c>
      <c r="B3030" s="65" t="s">
        <v>24</v>
      </c>
    </row>
    <row r="3031" spans="1:2" x14ac:dyDescent="0.25">
      <c r="A3031" s="64" t="str">
        <f>HYPERLINK("http://www.twitter.com/MariaMcMichael", "MariaMcMichael")</f>
        <v>MariaMcMichael</v>
      </c>
      <c r="B3031" s="65" t="s">
        <v>4865</v>
      </c>
    </row>
    <row r="3032" spans="1:2" x14ac:dyDescent="0.25">
      <c r="A3032" s="64" t="str">
        <f>HYPERLINK("http://www.twitter.com/MICROTV2017", "MICROTV2017")</f>
        <v>MICROTV2017</v>
      </c>
      <c r="B3032" s="65"/>
    </row>
    <row r="3033" spans="1:2" x14ac:dyDescent="0.25">
      <c r="A3033" s="64" t="str">
        <f>HYPERLINK("http://www.twitter.com/achenail", "achenail")</f>
        <v>achenail</v>
      </c>
      <c r="B3033" s="65" t="s">
        <v>4866</v>
      </c>
    </row>
    <row r="3034" spans="1:2" x14ac:dyDescent="0.25">
      <c r="A3034" s="64" t="str">
        <f>HYPERLINK("http://www.twitter.com/teachingsusan", "teachingsusan")</f>
        <v>teachingsusan</v>
      </c>
      <c r="B3034" s="65" t="s">
        <v>3948</v>
      </c>
    </row>
    <row r="3035" spans="1:2" x14ac:dyDescent="0.25">
      <c r="A3035" s="64" t="str">
        <f>HYPERLINK("http://www.twitter.com/GraceMaCall", "GraceMaCall")</f>
        <v>GraceMaCall</v>
      </c>
      <c r="B3035" s="65"/>
    </row>
    <row r="3036" spans="1:2" x14ac:dyDescent="0.25">
      <c r="A3036" s="64" t="str">
        <f>HYPERLINK("http://www.twitter.com/RJMHM", "RJMHM")</f>
        <v>RJMHM</v>
      </c>
      <c r="B3036" s="65" t="s">
        <v>3317</v>
      </c>
    </row>
    <row r="3037" spans="1:2" x14ac:dyDescent="0.25">
      <c r="A3037" s="64" t="str">
        <f>HYPERLINK("http://www.twitter.com/jajohnson51", "jajohnson51")</f>
        <v>jajohnson51</v>
      </c>
      <c r="B3037" s="65"/>
    </row>
    <row r="3038" spans="1:2" x14ac:dyDescent="0.25">
      <c r="A3038" s="64" t="str">
        <f>HYPERLINK("http://www.twitter.com/AnthonyMcCarron", "AnthonyMcCarron")</f>
        <v>AnthonyMcCarron</v>
      </c>
      <c r="B3038" s="65" t="s">
        <v>4867</v>
      </c>
    </row>
    <row r="3039" spans="1:2" x14ac:dyDescent="0.25">
      <c r="A3039" s="64" t="str">
        <f>HYPERLINK("http://www.twitter.com/KarenKelly93", "KarenKelly93")</f>
        <v>KarenKelly93</v>
      </c>
      <c r="B3039" s="65" t="s">
        <v>4868</v>
      </c>
    </row>
    <row r="3040" spans="1:2" x14ac:dyDescent="0.25">
      <c r="A3040" s="64" t="str">
        <f>HYPERLINK("http://www.twitter.com/Novatechset", "Novatechset")</f>
        <v>Novatechset</v>
      </c>
      <c r="B3040" s="65" t="s">
        <v>4628</v>
      </c>
    </row>
    <row r="3041" spans="1:2" x14ac:dyDescent="0.25">
      <c r="A3041" s="64" t="str">
        <f>HYPERLINK("http://www.twitter.com/warwicklass20", "warwicklass20")</f>
        <v>warwicklass20</v>
      </c>
      <c r="B3041" s="65"/>
    </row>
    <row r="3042" spans="1:2" x14ac:dyDescent="0.25">
      <c r="A3042" s="64" t="str">
        <f>HYPERLINK("http://www.twitter.com/Elchivero73", "Elchivero73")</f>
        <v>Elchivero73</v>
      </c>
      <c r="B3042" s="65" t="s">
        <v>4869</v>
      </c>
    </row>
    <row r="3043" spans="1:2" x14ac:dyDescent="0.25">
      <c r="A3043" s="64" t="str">
        <f>HYPERLINK("http://www.twitter.com/26Suicides", "26Suicides")</f>
        <v>26Suicides</v>
      </c>
      <c r="B3043" s="65" t="s">
        <v>4870</v>
      </c>
    </row>
    <row r="3044" spans="1:2" x14ac:dyDescent="0.25">
      <c r="A3044" s="64" t="str">
        <f>HYPERLINK("http://www.twitter.com/bryanwhe", "bryanwhe")</f>
        <v>bryanwhe</v>
      </c>
      <c r="B3044" s="65" t="s">
        <v>3760</v>
      </c>
    </row>
    <row r="3045" spans="1:2" x14ac:dyDescent="0.25">
      <c r="A3045" s="64" t="str">
        <f>HYPERLINK("http://www.twitter.com/archaeo_sneds", "archaeo_sneds")</f>
        <v>archaeo_sneds</v>
      </c>
      <c r="B3045" s="65" t="s">
        <v>517</v>
      </c>
    </row>
    <row r="3046" spans="1:2" x14ac:dyDescent="0.25">
      <c r="A3046" s="64" t="str">
        <f>HYPERLINK("http://www.twitter.com/patchwood17", "patchwood17")</f>
        <v>patchwood17</v>
      </c>
      <c r="B3046" s="65"/>
    </row>
    <row r="3047" spans="1:2" x14ac:dyDescent="0.25">
      <c r="A3047" s="64" t="str">
        <f>HYPERLINK("http://www.twitter.com/aphidcatcher", "aphidcatcher")</f>
        <v>aphidcatcher</v>
      </c>
      <c r="B3047" s="65" t="s">
        <v>4871</v>
      </c>
    </row>
    <row r="3048" spans="1:2" x14ac:dyDescent="0.25">
      <c r="A3048" s="64" t="str">
        <f>HYPERLINK("http://www.twitter.com/TishTash_86", "TishTash_86")</f>
        <v>TishTash_86</v>
      </c>
      <c r="B3048" s="65"/>
    </row>
    <row r="3049" spans="1:2" x14ac:dyDescent="0.25">
      <c r="A3049" s="64" t="str">
        <f>HYPERLINK("http://www.twitter.com/unicornsrfun", "unicornsrfun")</f>
        <v>unicornsrfun</v>
      </c>
      <c r="B3049" s="65" t="s">
        <v>4503</v>
      </c>
    </row>
    <row r="3050" spans="1:2" x14ac:dyDescent="0.25">
      <c r="A3050" s="64" t="str">
        <f>HYPERLINK("http://www.twitter.com/TheEmmaPress", "TheEmmaPress")</f>
        <v>TheEmmaPress</v>
      </c>
      <c r="B3050" s="65" t="s">
        <v>4872</v>
      </c>
    </row>
    <row r="3051" spans="1:2" x14ac:dyDescent="0.25">
      <c r="A3051" s="64" t="str">
        <f>HYPERLINK("http://www.twitter.com/FramPub", "FramPub")</f>
        <v>FramPub</v>
      </c>
      <c r="B3051" s="65" t="s">
        <v>4873</v>
      </c>
    </row>
    <row r="3052" spans="1:2" x14ac:dyDescent="0.25">
      <c r="A3052" s="64" t="str">
        <f>HYPERLINK("http://www.twitter.com/Ignacia23636562", "Ignacia23636562")</f>
        <v>Ignacia23636562</v>
      </c>
      <c r="B3052" s="65" t="s">
        <v>4874</v>
      </c>
    </row>
    <row r="3053" spans="1:2" x14ac:dyDescent="0.25">
      <c r="A3053" s="64" t="str">
        <f>HYPERLINK("http://www.twitter.com/Ailsa11", "Ailsa11")</f>
        <v>Ailsa11</v>
      </c>
      <c r="B3053" s="65"/>
    </row>
    <row r="3054" spans="1:2" x14ac:dyDescent="0.25">
      <c r="A3054" s="64" t="str">
        <f>HYPERLINK("http://www.twitter.com/tammy_wakeford", "tammy_wakeford")</f>
        <v>tammy_wakeford</v>
      </c>
      <c r="B3054" s="65" t="s">
        <v>70</v>
      </c>
    </row>
    <row r="3055" spans="1:2" x14ac:dyDescent="0.25">
      <c r="A3055" s="64" t="str">
        <f>HYPERLINK("http://www.twitter.com/shu_library", "shu_library")</f>
        <v>shu_library</v>
      </c>
      <c r="B3055" s="65" t="s">
        <v>459</v>
      </c>
    </row>
    <row r="3056" spans="1:2" x14ac:dyDescent="0.25">
      <c r="A3056" s="64" t="str">
        <f>HYPERLINK("http://www.twitter.com/steffy_cameron", "steffy_cameron")</f>
        <v>steffy_cameron</v>
      </c>
      <c r="B3056" s="65" t="s">
        <v>3773</v>
      </c>
    </row>
    <row r="3057" spans="1:2" x14ac:dyDescent="0.25">
      <c r="A3057" s="64" t="str">
        <f>HYPERLINK("http://www.twitter.com/GlenOldershaw", "GlenOldershaw")</f>
        <v>GlenOldershaw</v>
      </c>
      <c r="B3057" s="65"/>
    </row>
    <row r="3058" spans="1:2" x14ac:dyDescent="0.25">
      <c r="A3058" s="64" t="str">
        <f>HYPERLINK("http://www.twitter.com/cogitoergolego", "cogitoergolego")</f>
        <v>cogitoergolego</v>
      </c>
      <c r="B3058" s="65"/>
    </row>
    <row r="3059" spans="1:2" x14ac:dyDescent="0.25">
      <c r="A3059" s="64" t="str">
        <f>HYPERLINK("http://www.twitter.com/Katie_Oldfield_", "Katie_Oldfield_")</f>
        <v>Katie_Oldfield_</v>
      </c>
      <c r="B3059" s="65"/>
    </row>
    <row r="3060" spans="1:2" x14ac:dyDescent="0.25">
      <c r="A3060" s="64" t="str">
        <f>HYPERLINK("http://www.twitter.com/ellyannab", "ellyannab")</f>
        <v>ellyannab</v>
      </c>
      <c r="B3060" s="65" t="s">
        <v>4875</v>
      </c>
    </row>
    <row r="3061" spans="1:2" x14ac:dyDescent="0.25">
      <c r="A3061" s="64" t="str">
        <f>HYPERLINK("http://www.twitter.com/ameretet", "ameretet")</f>
        <v>ameretet</v>
      </c>
      <c r="B3061" s="65" t="s">
        <v>4876</v>
      </c>
    </row>
    <row r="3062" spans="1:2" x14ac:dyDescent="0.25">
      <c r="A3062" s="64" t="str">
        <f>HYPERLINK("http://www.twitter.com/morrisongrah", "morrisongrah")</f>
        <v>morrisongrah</v>
      </c>
      <c r="B3062" s="65"/>
    </row>
    <row r="3063" spans="1:2" x14ac:dyDescent="0.25">
      <c r="A3063" s="64" t="str">
        <f>HYPERLINK("http://www.twitter.com/michaeljmunro1", "michaeljmunro1")</f>
        <v>michaeljmunro1</v>
      </c>
      <c r="B3063" s="65"/>
    </row>
    <row r="3064" spans="1:2" x14ac:dyDescent="0.25">
      <c r="A3064" s="64" t="str">
        <f>HYPERLINK("http://www.twitter.com/glamisstation", "glamisstation")</f>
        <v>glamisstation</v>
      </c>
      <c r="B3064" s="65"/>
    </row>
    <row r="3065" spans="1:2" x14ac:dyDescent="0.25">
      <c r="A3065" s="64" t="str">
        <f>HYPERLINK("http://www.twitter.com/Ulrike_TW", "Ulrike_TW")</f>
        <v>Ulrike_TW</v>
      </c>
      <c r="B3065" s="65" t="s">
        <v>4877</v>
      </c>
    </row>
    <row r="3066" spans="1:2" x14ac:dyDescent="0.25">
      <c r="A3066" s="64" t="str">
        <f>HYPERLINK("http://www.twitter.com/andrewfords", "andrewfords")</f>
        <v>andrewfords</v>
      </c>
      <c r="B3066" s="65"/>
    </row>
    <row r="3067" spans="1:2" x14ac:dyDescent="0.25">
      <c r="A3067" s="64" t="str">
        <f>HYPERLINK("http://www.twitter.com/LukeShort1978", "LukeShort1978")</f>
        <v>LukeShort1978</v>
      </c>
      <c r="B3067" s="65" t="s">
        <v>1479</v>
      </c>
    </row>
    <row r="3068" spans="1:2" x14ac:dyDescent="0.25">
      <c r="A3068" s="64" t="str">
        <f>HYPERLINK("http://www.twitter.com/Christo_Online", "Christo_Online")</f>
        <v>Christo_Online</v>
      </c>
      <c r="B3068" s="65" t="s">
        <v>4146</v>
      </c>
    </row>
    <row r="3069" spans="1:2" x14ac:dyDescent="0.25">
      <c r="A3069" s="64" t="str">
        <f>HYPERLINK("http://www.twitter.com/narrowneck", "narrowneck")</f>
        <v>narrowneck</v>
      </c>
      <c r="B3069" s="65"/>
    </row>
    <row r="3070" spans="1:2" x14ac:dyDescent="0.25">
      <c r="A3070" s="64" t="str">
        <f>HYPERLINK("http://www.twitter.com/SurvivorSmiles1", "SurvivorSmiles1")</f>
        <v>SurvivorSmiles1</v>
      </c>
      <c r="B3070" s="65" t="s">
        <v>4529</v>
      </c>
    </row>
    <row r="3071" spans="1:2" x14ac:dyDescent="0.25">
      <c r="A3071" s="64" t="str">
        <f>HYPERLINK("http://www.twitter.com/SteelAndCo_UK", "SteelAndCo_UK")</f>
        <v>SteelAndCo_UK</v>
      </c>
      <c r="B3071" s="65" t="s">
        <v>4878</v>
      </c>
    </row>
    <row r="3072" spans="1:2" x14ac:dyDescent="0.25">
      <c r="A3072" s="64" t="str">
        <f>HYPERLINK("http://www.twitter.com/boltonted", "boltonted")</f>
        <v>boltonted</v>
      </c>
      <c r="B3072" s="65"/>
    </row>
    <row r="3073" spans="1:2" x14ac:dyDescent="0.25">
      <c r="A3073" s="64" t="str">
        <f>HYPERLINK("http://www.twitter.com/TheDailyZack", "TheDailyZack")</f>
        <v>TheDailyZack</v>
      </c>
      <c r="B3073" s="65" t="s">
        <v>3778</v>
      </c>
    </row>
    <row r="3074" spans="1:2" x14ac:dyDescent="0.25">
      <c r="A3074" s="64" t="str">
        <f>HYPERLINK("http://www.twitter.com/davidadare", "davidadare")</f>
        <v>davidadare</v>
      </c>
      <c r="B3074" s="65" t="s">
        <v>4522</v>
      </c>
    </row>
    <row r="3075" spans="1:2" x14ac:dyDescent="0.25">
      <c r="A3075" s="64" t="str">
        <f>HYPERLINK("http://www.twitter.com/JeffersEdmund", "JeffersEdmund")</f>
        <v>JeffersEdmund</v>
      </c>
      <c r="B3075" s="65"/>
    </row>
    <row r="3076" spans="1:2" x14ac:dyDescent="0.25">
      <c r="A3076" s="64" t="str">
        <f>HYPERLINK("http://www.twitter.com/craccl_nyorks", "craccl_nyorks")</f>
        <v>craccl_nyorks</v>
      </c>
      <c r="B3076" s="65" t="s">
        <v>4879</v>
      </c>
    </row>
    <row r="3077" spans="1:2" x14ac:dyDescent="0.25">
      <c r="A3077" s="64" t="str">
        <f>HYPERLINK("http://www.twitter.com/MoBighead", "MoBighead")</f>
        <v>MoBighead</v>
      </c>
      <c r="B3077" s="65" t="s">
        <v>3777</v>
      </c>
    </row>
    <row r="3078" spans="1:2" x14ac:dyDescent="0.25">
      <c r="A3078" s="64" t="str">
        <f>HYPERLINK("http://www.twitter.com/suhloane", "suhloane")</f>
        <v>suhloane</v>
      </c>
      <c r="B3078" s="65" t="s">
        <v>4880</v>
      </c>
    </row>
    <row r="3079" spans="1:2" x14ac:dyDescent="0.25">
      <c r="A3079" s="64" t="str">
        <f>HYPERLINK("http://www.twitter.com/Clare_Catherall", "Clare_Catherall")</f>
        <v>Clare_Catherall</v>
      </c>
      <c r="B3079" s="65"/>
    </row>
    <row r="3080" spans="1:2" x14ac:dyDescent="0.25">
      <c r="A3080" s="64" t="str">
        <f>HYPERLINK("http://www.twitter.com/MrAndrew_A", "MrAndrew_A")</f>
        <v>MrAndrew_A</v>
      </c>
      <c r="B3080" s="65" t="s">
        <v>61</v>
      </c>
    </row>
    <row r="3081" spans="1:2" x14ac:dyDescent="0.25">
      <c r="A3081" s="64" t="str">
        <f>HYPERLINK("http://www.twitter.com/ericjoverton", "ericjoverton")</f>
        <v>ericjoverton</v>
      </c>
      <c r="B3081" s="65"/>
    </row>
    <row r="3082" spans="1:2" x14ac:dyDescent="0.25">
      <c r="A3082" s="64" t="str">
        <f>HYPERLINK("http://www.twitter.com/ClareMulhall", "ClareMulhall")</f>
        <v>ClareMulhall</v>
      </c>
      <c r="B3082" s="65" t="s">
        <v>296</v>
      </c>
    </row>
    <row r="3083" spans="1:2" x14ac:dyDescent="0.25">
      <c r="A3083" s="64" t="str">
        <f>HYPERLINK("http://www.twitter.com/ellyssa", "ellyssa")</f>
        <v>ellyssa</v>
      </c>
      <c r="B3083" s="65" t="s">
        <v>4881</v>
      </c>
    </row>
    <row r="3084" spans="1:2" x14ac:dyDescent="0.25">
      <c r="A3084" s="64" t="str">
        <f>HYPERLINK("http://www.twitter.com/serenaeryan", "serenaeryan")</f>
        <v>serenaeryan</v>
      </c>
      <c r="B3084" s="65" t="s">
        <v>3988</v>
      </c>
    </row>
    <row r="3085" spans="1:2" x14ac:dyDescent="0.25">
      <c r="A3085" s="64" t="str">
        <f>HYPERLINK("http://www.twitter.com/JosephA42566797", "JosephA42566797")</f>
        <v>JosephA42566797</v>
      </c>
      <c r="B3085" s="65"/>
    </row>
    <row r="3086" spans="1:2" x14ac:dyDescent="0.25">
      <c r="A3086" s="64" t="str">
        <f>HYPERLINK("http://www.twitter.com/Tomnaverrie", "Tomnaverrie")</f>
        <v>Tomnaverrie</v>
      </c>
      <c r="B3086" s="65"/>
    </row>
    <row r="3087" spans="1:2" x14ac:dyDescent="0.25">
      <c r="A3087" s="64" t="str">
        <f>HYPERLINK("http://www.twitter.com/DrdrcottamDavid", "DrdrcottamDavid")</f>
        <v>DrdrcottamDavid</v>
      </c>
      <c r="B3087" s="65"/>
    </row>
    <row r="3088" spans="1:2" x14ac:dyDescent="0.25">
      <c r="A3088" s="64" t="str">
        <f>HYPERLINK("http://www.twitter.com/janemas18882304", "janemas18882304")</f>
        <v>janemas18882304</v>
      </c>
      <c r="B3088" s="65"/>
    </row>
    <row r="3089" spans="1:2" x14ac:dyDescent="0.25">
      <c r="A3089" s="64" t="str">
        <f>HYPERLINK("http://www.twitter.com/Anderson4Evelyn", "Anderson4Evelyn")</f>
        <v>Anderson4Evelyn</v>
      </c>
      <c r="B3089" s="65" t="s">
        <v>4882</v>
      </c>
    </row>
    <row r="3090" spans="1:2" x14ac:dyDescent="0.25">
      <c r="A3090" s="64" t="str">
        <f>HYPERLINK("http://www.twitter.com/crimeworm1", "crimeworm1")</f>
        <v>crimeworm1</v>
      </c>
      <c r="B3090" s="65" t="s">
        <v>4404</v>
      </c>
    </row>
    <row r="3091" spans="1:2" x14ac:dyDescent="0.25">
      <c r="A3091" s="64" t="str">
        <f>HYPERLINK("http://www.twitter.com/ang49", "ang49")</f>
        <v>ang49</v>
      </c>
      <c r="B3091" s="65"/>
    </row>
    <row r="3092" spans="1:2" x14ac:dyDescent="0.25">
      <c r="A3092" s="64" t="str">
        <f>HYPERLINK("http://www.twitter.com/spoudel_18", "spoudel_18")</f>
        <v>spoudel_18</v>
      </c>
      <c r="B3092" s="65"/>
    </row>
    <row r="3093" spans="1:2" x14ac:dyDescent="0.25">
      <c r="A3093" s="64" t="str">
        <f>HYPERLINK("http://www.twitter.com/ozlojo", "ozlojo")</f>
        <v>ozlojo</v>
      </c>
      <c r="B3093" s="65" t="s">
        <v>36</v>
      </c>
    </row>
    <row r="3094" spans="1:2" x14ac:dyDescent="0.25">
      <c r="A3094" s="64" t="str">
        <f>HYPERLINK("http://www.twitter.com/KarenJBassett", "KarenJBassett")</f>
        <v>KarenJBassett</v>
      </c>
      <c r="B3094" s="65" t="s">
        <v>517</v>
      </c>
    </row>
    <row r="3095" spans="1:2" x14ac:dyDescent="0.25">
      <c r="A3095" s="64" t="str">
        <f>HYPERLINK("http://www.twitter.com/postpatsy", "postpatsy")</f>
        <v>postpatsy</v>
      </c>
      <c r="B3095" s="65" t="s">
        <v>4883</v>
      </c>
    </row>
    <row r="3096" spans="1:2" x14ac:dyDescent="0.25">
      <c r="A3096" s="64" t="str">
        <f>HYPERLINK("http://www.twitter.com/ScottishCHC", "ScottishCHC")</f>
        <v>ScottishCHC</v>
      </c>
      <c r="B3096" s="65" t="s">
        <v>2007</v>
      </c>
    </row>
    <row r="3097" spans="1:2" x14ac:dyDescent="0.25">
      <c r="A3097" s="64" t="str">
        <f>HYPERLINK("http://www.twitter.com/NewCBRLibrary", "NewCBRLibrary")</f>
        <v>NewCBRLibrary</v>
      </c>
      <c r="B3097" s="65" t="s">
        <v>4884</v>
      </c>
    </row>
    <row r="3098" spans="1:2" x14ac:dyDescent="0.25">
      <c r="A3098" s="64" t="str">
        <f>HYPERLINK("http://www.twitter.com/cathythegreen", "cathythegreen")</f>
        <v>cathythegreen</v>
      </c>
      <c r="B3098" s="65" t="s">
        <v>1810</v>
      </c>
    </row>
    <row r="3099" spans="1:2" x14ac:dyDescent="0.25">
      <c r="A3099" s="64" t="str">
        <f>HYPERLINK("http://www.twitter.com/IlPonteLibri", "IlPonteLibri")</f>
        <v>IlPonteLibri</v>
      </c>
      <c r="B3099" s="65"/>
    </row>
    <row r="3100" spans="1:2" x14ac:dyDescent="0.25">
      <c r="A3100" s="64" t="str">
        <f>HYPERLINK("http://www.twitter.com/just3paul", "just3paul")</f>
        <v>just3paul</v>
      </c>
      <c r="B3100" s="65"/>
    </row>
    <row r="3101" spans="1:2" x14ac:dyDescent="0.25">
      <c r="A3101" s="64" t="str">
        <f>HYPERLINK("http://www.twitter.com/SjoerdBeelen", "SjoerdBeelen")</f>
        <v>SjoerdBeelen</v>
      </c>
      <c r="B3101" s="65"/>
    </row>
    <row r="3102" spans="1:2" x14ac:dyDescent="0.25">
      <c r="A3102" s="64" t="str">
        <f>HYPERLINK("http://www.twitter.com/breadmower", "breadmower")</f>
        <v>breadmower</v>
      </c>
      <c r="B3102" s="65" t="s">
        <v>639</v>
      </c>
    </row>
    <row r="3103" spans="1:2" x14ac:dyDescent="0.25">
      <c r="A3103" s="64" t="str">
        <f>HYPERLINK("http://www.twitter.com/FTEmporium", "FTEmporium")</f>
        <v>FTEmporium</v>
      </c>
      <c r="B3103" s="65"/>
    </row>
    <row r="3104" spans="1:2" x14ac:dyDescent="0.25">
      <c r="A3104" s="64" t="str">
        <f>HYPERLINK("http://www.twitter.com/italianhallion", "italianhallion")</f>
        <v>italianhallion</v>
      </c>
      <c r="B3104" s="65" t="s">
        <v>4885</v>
      </c>
    </row>
    <row r="3105" spans="1:2" x14ac:dyDescent="0.25">
      <c r="A3105" s="64" t="str">
        <f>HYPERLINK("http://www.twitter.com/Olivercocker", "Olivercocker")</f>
        <v>Olivercocker</v>
      </c>
      <c r="B3105" s="65" t="s">
        <v>4886</v>
      </c>
    </row>
    <row r="3106" spans="1:2" x14ac:dyDescent="0.25">
      <c r="A3106" s="64" t="str">
        <f>HYPERLINK("http://www.twitter.com/iamkatyg", "iamkatyg")</f>
        <v>iamkatyg</v>
      </c>
      <c r="B3106" s="65" t="s">
        <v>4887</v>
      </c>
    </row>
    <row r="3107" spans="1:2" x14ac:dyDescent="0.25">
      <c r="A3107" s="64" t="str">
        <f>HYPERLINK("http://www.twitter.com/Realmacy", "Realmacy")</f>
        <v>Realmacy</v>
      </c>
      <c r="B3107" s="65" t="s">
        <v>24</v>
      </c>
    </row>
    <row r="3108" spans="1:2" x14ac:dyDescent="0.25">
      <c r="A3108" s="64" t="str">
        <f>HYPERLINK("http://www.twitter.com/swishstarr", "swishstarr")</f>
        <v>swishstarr</v>
      </c>
      <c r="B3108" s="65"/>
    </row>
    <row r="3109" spans="1:2" x14ac:dyDescent="0.25">
      <c r="A3109" s="64" t="str">
        <f>HYPERLINK("http://www.twitter.com/OrkneyLtd", "OrkneyLtd")</f>
        <v>OrkneyLtd</v>
      </c>
      <c r="B3109" s="65"/>
    </row>
    <row r="3110" spans="1:2" x14ac:dyDescent="0.25">
      <c r="A3110" s="64" t="str">
        <f>HYPERLINK("http://www.twitter.com/Freedom_to_Read", "Freedom_to_Read")</f>
        <v>Freedom_to_Read</v>
      </c>
      <c r="B3110" s="65" t="s">
        <v>4888</v>
      </c>
    </row>
    <row r="3111" spans="1:2" x14ac:dyDescent="0.25">
      <c r="A3111" s="64" t="str">
        <f>HYPERLINK("http://www.twitter.com/PeaceCompassOrg", "PeaceCompassOrg")</f>
        <v>PeaceCompassOrg</v>
      </c>
      <c r="B3111" s="65" t="s">
        <v>4616</v>
      </c>
    </row>
    <row r="3112" spans="1:2" x14ac:dyDescent="0.25">
      <c r="A3112" s="64" t="str">
        <f>HYPERLINK("http://www.twitter.com/pamelaabbott271", "pamelaabbott271")</f>
        <v>pamelaabbott271</v>
      </c>
      <c r="B3112" s="65" t="s">
        <v>4889</v>
      </c>
    </row>
    <row r="3113" spans="1:2" x14ac:dyDescent="0.25">
      <c r="A3113" s="64" t="str">
        <f>HYPERLINK("http://www.twitter.com/nicky394", "nicky394")</f>
        <v>nicky394</v>
      </c>
      <c r="B3113" s="65"/>
    </row>
    <row r="3114" spans="1:2" x14ac:dyDescent="0.25">
      <c r="A3114" s="64" t="str">
        <f>HYPERLINK("http://www.twitter.com/CoachZThistles", "CoachZThistles")</f>
        <v>CoachZThistles</v>
      </c>
      <c r="B3114" s="65" t="s">
        <v>487</v>
      </c>
    </row>
    <row r="3115" spans="1:2" x14ac:dyDescent="0.25">
      <c r="A3115" s="64" t="str">
        <f>HYPERLINK("http://www.twitter.com/Stevezodiac3", "Stevezodiac3")</f>
        <v>Stevezodiac3</v>
      </c>
      <c r="B3115" s="65"/>
    </row>
    <row r="3116" spans="1:2" x14ac:dyDescent="0.25">
      <c r="A3116" s="64" t="str">
        <f>HYPERLINK("http://www.twitter.com/EasyAnatomy", "EasyAnatomy")</f>
        <v>EasyAnatomy</v>
      </c>
      <c r="B3116" s="65" t="s">
        <v>36</v>
      </c>
    </row>
    <row r="3117" spans="1:2" x14ac:dyDescent="0.25">
      <c r="A3117" s="64" t="str">
        <f>HYPERLINK("http://www.twitter.com/TwinklScotland", "TwinklScotland")</f>
        <v>TwinklScotland</v>
      </c>
      <c r="B3117" s="65" t="s">
        <v>2007</v>
      </c>
    </row>
    <row r="3118" spans="1:2" x14ac:dyDescent="0.25">
      <c r="A3118" s="64" t="str">
        <f>HYPERLINK("http://www.twitter.com/loreanachronism", "loreanachronism")</f>
        <v>loreanachronism</v>
      </c>
      <c r="B3118" s="65" t="s">
        <v>4890</v>
      </c>
    </row>
    <row r="3119" spans="1:2" x14ac:dyDescent="0.25">
      <c r="A3119" s="64" t="str">
        <f>HYPERLINK("http://www.twitter.com/chrisyfarrell22", "chrisyfarrell22")</f>
        <v>chrisyfarrell22</v>
      </c>
      <c r="B3119" s="65" t="s">
        <v>4891</v>
      </c>
    </row>
    <row r="3120" spans="1:2" x14ac:dyDescent="0.25">
      <c r="A3120" s="64" t="str">
        <f>HYPERLINK("http://www.twitter.com/ldambrosia", "ldambrosia")</f>
        <v>ldambrosia</v>
      </c>
      <c r="B3120" s="65"/>
    </row>
    <row r="3121" spans="1:2" x14ac:dyDescent="0.25">
      <c r="A3121" s="64" t="str">
        <f>HYPERLINK("http://www.twitter.com/LoveDisfigure", "LoveDisfigure")</f>
        <v>LoveDisfigure</v>
      </c>
      <c r="B3121" s="65" t="s">
        <v>477</v>
      </c>
    </row>
    <row r="3122" spans="1:2" x14ac:dyDescent="0.25">
      <c r="A3122" s="64" t="str">
        <f>HYPERLINK("http://www.twitter.com/MartinBell1966", "MartinBell1966")</f>
        <v>MartinBell1966</v>
      </c>
      <c r="B3122" s="65" t="s">
        <v>4892</v>
      </c>
    </row>
    <row r="3123" spans="1:2" x14ac:dyDescent="0.25">
      <c r="A3123" s="64" t="str">
        <f>HYPERLINK("http://www.twitter.com/TregaskisKate", "TregaskisKate")</f>
        <v>TregaskisKate</v>
      </c>
      <c r="B3123" s="65" t="s">
        <v>487</v>
      </c>
    </row>
    <row r="3124" spans="1:2" x14ac:dyDescent="0.25">
      <c r="A3124" s="64" t="str">
        <f>HYPERLINK("http://www.twitter.com/weecat86", "weecat86")</f>
        <v>weecat86</v>
      </c>
      <c r="B3124" s="65" t="s">
        <v>318</v>
      </c>
    </row>
    <row r="3125" spans="1:2" x14ac:dyDescent="0.25">
      <c r="A3125" s="64" t="str">
        <f>HYPERLINK("http://www.twitter.com/InMCR", "InMCR")</f>
        <v>InMCR</v>
      </c>
      <c r="B3125" s="65" t="s">
        <v>33</v>
      </c>
    </row>
    <row r="3126" spans="1:2" x14ac:dyDescent="0.25">
      <c r="A3126" s="64" t="str">
        <f>HYPERLINK("http://www.twitter.com/Veronic31192534", "Veronic31192534")</f>
        <v>Veronic31192534</v>
      </c>
      <c r="B3126" s="65" t="s">
        <v>4893</v>
      </c>
    </row>
    <row r="3127" spans="1:2" x14ac:dyDescent="0.25">
      <c r="A3127" s="64" t="str">
        <f>HYPERLINK("http://www.twitter.com/markminto", "markminto")</f>
        <v>markminto</v>
      </c>
      <c r="B3127" s="65" t="s">
        <v>318</v>
      </c>
    </row>
    <row r="3128" spans="1:2" x14ac:dyDescent="0.25">
      <c r="A3128" s="64" t="str">
        <f>HYPERLINK("http://www.twitter.com/CGfromAKR", "CGfromAKR")</f>
        <v>CGfromAKR</v>
      </c>
      <c r="B3128" s="65" t="s">
        <v>4894</v>
      </c>
    </row>
    <row r="3129" spans="1:2" x14ac:dyDescent="0.25">
      <c r="A3129" s="64" t="str">
        <f>HYPERLINK("http://www.twitter.com/deejayveto", "deejayveto")</f>
        <v>deejayveto</v>
      </c>
      <c r="B3129" s="65" t="s">
        <v>1221</v>
      </c>
    </row>
    <row r="3130" spans="1:2" x14ac:dyDescent="0.25">
      <c r="A3130" s="64" t="str">
        <f>HYPERLINK("http://www.twitter.com/reka13", "reka13")</f>
        <v>reka13</v>
      </c>
      <c r="B3130" s="65" t="s">
        <v>318</v>
      </c>
    </row>
    <row r="3131" spans="1:2" x14ac:dyDescent="0.25">
      <c r="A3131" s="64" t="str">
        <f>HYPERLINK("http://www.twitter.com/ktrwly", "ktrwly")</f>
        <v>ktrwly</v>
      </c>
      <c r="B3131" s="65"/>
    </row>
    <row r="3132" spans="1:2" x14ac:dyDescent="0.25">
      <c r="A3132" s="64" t="str">
        <f>HYPERLINK("http://www.twitter.com/_The3oclockclub", "_The3oclockclub")</f>
        <v>_The3oclockclub</v>
      </c>
      <c r="B3132" s="65" t="s">
        <v>1377</v>
      </c>
    </row>
    <row r="3133" spans="1:2" x14ac:dyDescent="0.25">
      <c r="A3133" s="64" t="str">
        <f>HYPERLINK("http://www.twitter.com/AshishDaga6", "AshishDaga6")</f>
        <v>AshishDaga6</v>
      </c>
      <c r="B3133" s="65"/>
    </row>
    <row r="3134" spans="1:2" x14ac:dyDescent="0.25">
      <c r="A3134" s="64" t="str">
        <f>HYPERLINK("http://www.twitter.com/VCrossHoSCD", "VCrossHoSCD")</f>
        <v>VCrossHoSCD</v>
      </c>
      <c r="B3134" s="65" t="s">
        <v>4895</v>
      </c>
    </row>
    <row r="3135" spans="1:2" x14ac:dyDescent="0.25">
      <c r="A3135" s="64" t="str">
        <f>HYPERLINK("http://www.twitter.com/word_horde", "word_horde")</f>
        <v>word_horde</v>
      </c>
      <c r="B3135" s="65" t="s">
        <v>4896</v>
      </c>
    </row>
    <row r="3136" spans="1:2" x14ac:dyDescent="0.25">
      <c r="A3136" s="64" t="str">
        <f>HYPERLINK("http://www.twitter.com/frozenlibrarian", "frozenlibrarian")</f>
        <v>frozenlibrarian</v>
      </c>
      <c r="B3136" s="65" t="s">
        <v>4897</v>
      </c>
    </row>
    <row r="3137" spans="1:2" x14ac:dyDescent="0.25">
      <c r="A3137" s="64" t="str">
        <f>HYPERLINK("http://www.twitter.com/foxfriendly17", "foxfriendly17")</f>
        <v>foxfriendly17</v>
      </c>
      <c r="B3137" s="65"/>
    </row>
    <row r="3138" spans="1:2" x14ac:dyDescent="0.25">
      <c r="A3138" s="64" t="str">
        <f>HYPERLINK("http://www.twitter.com/sarahurwinjones", "sarahurwinjones")</f>
        <v>sarahurwinjones</v>
      </c>
      <c r="B3138" s="65"/>
    </row>
    <row r="3139" spans="1:2" x14ac:dyDescent="0.25">
      <c r="A3139" s="64" t="str">
        <f>HYPERLINK("http://www.twitter.com/kharashov", "kharashov")</f>
        <v>kharashov</v>
      </c>
      <c r="B3139" s="65"/>
    </row>
    <row r="3140" spans="1:2" x14ac:dyDescent="0.25">
      <c r="A3140" s="64" t="str">
        <f>HYPERLINK("http://www.twitter.com/whatlarkspip", "whatlarkspip")</f>
        <v>whatlarkspip</v>
      </c>
      <c r="B3140" s="65"/>
    </row>
    <row r="3141" spans="1:2" x14ac:dyDescent="0.25">
      <c r="A3141" s="64" t="str">
        <f>HYPERLINK("http://www.twitter.com/maggiejholland", "maggiejholland")</f>
        <v>maggiejholland</v>
      </c>
      <c r="B3141" s="65"/>
    </row>
    <row r="3142" spans="1:2" x14ac:dyDescent="0.25">
      <c r="A3142" s="64" t="str">
        <f>HYPERLINK("http://www.twitter.com/Aldochlay", "Aldochlay")</f>
        <v>Aldochlay</v>
      </c>
      <c r="B3142" s="65" t="s">
        <v>2007</v>
      </c>
    </row>
    <row r="3143" spans="1:2" x14ac:dyDescent="0.25">
      <c r="A3143" s="64" t="str">
        <f>HYPERLINK("http://www.twitter.com/consjames", "consjames")</f>
        <v>consjames</v>
      </c>
      <c r="B3143" s="65" t="s">
        <v>477</v>
      </c>
    </row>
    <row r="3144" spans="1:2" x14ac:dyDescent="0.25">
      <c r="A3144" s="64" t="str">
        <f>HYPERLINK("http://www.twitter.com/Marnie814", "Marnie814")</f>
        <v>Marnie814</v>
      </c>
      <c r="B3144" s="65"/>
    </row>
    <row r="3145" spans="1:2" x14ac:dyDescent="0.25">
      <c r="A3145" s="64" t="str">
        <f>HYPERLINK("http://www.twitter.com/SianRenwick", "SianRenwick")</f>
        <v>SianRenwick</v>
      </c>
      <c r="B3145" s="65" t="s">
        <v>4898</v>
      </c>
    </row>
    <row r="3146" spans="1:2" x14ac:dyDescent="0.25">
      <c r="A3146" s="64" t="str">
        <f>HYPERLINK("http://www.twitter.com/Dawne13", "Dawne13")</f>
        <v>Dawne13</v>
      </c>
      <c r="B3146" s="65" t="s">
        <v>93</v>
      </c>
    </row>
    <row r="3147" spans="1:2" x14ac:dyDescent="0.25">
      <c r="A3147" s="64" t="str">
        <f>HYPERLINK("http://www.twitter.com/JSTownend", "JSTownend")</f>
        <v>JSTownend</v>
      </c>
      <c r="B3147" s="65"/>
    </row>
    <row r="3148" spans="1:2" x14ac:dyDescent="0.25">
      <c r="A3148" s="64" t="str">
        <f>HYPERLINK("http://www.twitter.com/missblack1506", "missblack1506")</f>
        <v>missblack1506</v>
      </c>
      <c r="B3148" s="65"/>
    </row>
    <row r="3149" spans="1:2" x14ac:dyDescent="0.25">
      <c r="A3149" s="64" t="str">
        <f>HYPERLINK("http://www.twitter.com/EtherWednesday", "EtherWednesday")</f>
        <v>EtherWednesday</v>
      </c>
      <c r="B3149" s="65"/>
    </row>
    <row r="3150" spans="1:2" x14ac:dyDescent="0.25">
      <c r="A3150" s="64" t="str">
        <f>HYPERLINK("http://www.twitter.com/tmurraytg", "tmurraytg")</f>
        <v>tmurraytg</v>
      </c>
      <c r="B3150" s="65"/>
    </row>
    <row r="3151" spans="1:2" x14ac:dyDescent="0.25">
      <c r="A3151" s="64" t="str">
        <f>HYPERLINK("http://www.twitter.com/silverscotland", "silverscotland")</f>
        <v>silverscotland</v>
      </c>
      <c r="B3151" s="65" t="s">
        <v>487</v>
      </c>
    </row>
    <row r="3152" spans="1:2" x14ac:dyDescent="0.25">
      <c r="A3152" s="64" t="str">
        <f>HYPERLINK("http://www.twitter.com/starbunkhouse", "starbunkhouse")</f>
        <v>starbunkhouse</v>
      </c>
      <c r="B3152" s="65" t="s">
        <v>4899</v>
      </c>
    </row>
    <row r="3153" spans="1:2" x14ac:dyDescent="0.25">
      <c r="A3153" s="64" t="str">
        <f>HYPERLINK("http://www.twitter.com/suestobart", "suestobart")</f>
        <v>suestobart</v>
      </c>
      <c r="B3153" s="65" t="s">
        <v>4627</v>
      </c>
    </row>
    <row r="3154" spans="1:2" x14ac:dyDescent="0.25">
      <c r="A3154" s="64" t="str">
        <f>HYPERLINK("http://www.twitter.com/NewcastleCA_RC", "NewcastleCA_RC")</f>
        <v>NewcastleCA_RC</v>
      </c>
      <c r="B3154" s="65" t="s">
        <v>96</v>
      </c>
    </row>
    <row r="3155" spans="1:2" x14ac:dyDescent="0.25">
      <c r="A3155" s="64" t="str">
        <f>HYPERLINK("http://www.twitter.com/fionakperry", "fionakperry")</f>
        <v>fionakperry</v>
      </c>
      <c r="B3155" s="65" t="s">
        <v>2007</v>
      </c>
    </row>
    <row r="3156" spans="1:2" x14ac:dyDescent="0.25">
      <c r="A3156" s="64" t="str">
        <f>HYPERLINK("http://www.twitter.com/Sathurshan978", "Sathurshan978")</f>
        <v>Sathurshan978</v>
      </c>
      <c r="B3156" s="65" t="s">
        <v>4900</v>
      </c>
    </row>
    <row r="3157" spans="1:2" x14ac:dyDescent="0.25">
      <c r="A3157" s="64" t="str">
        <f>HYPERLINK("http://www.twitter.com/eviedalecottage", "eviedalecottage")</f>
        <v>eviedalecottage</v>
      </c>
      <c r="B3157" s="65" t="s">
        <v>4901</v>
      </c>
    </row>
    <row r="3158" spans="1:2" x14ac:dyDescent="0.25">
      <c r="A3158" s="64" t="str">
        <f>HYPERLINK("http://www.twitter.com/shazbain", "shazbain")</f>
        <v>shazbain</v>
      </c>
      <c r="B3158" s="65" t="s">
        <v>4902</v>
      </c>
    </row>
    <row r="3159" spans="1:2" x14ac:dyDescent="0.25">
      <c r="A3159" s="64" t="str">
        <f>HYPERLINK("http://www.twitter.com/Streamtectv", "Streamtectv")</f>
        <v>Streamtectv</v>
      </c>
      <c r="B3159" s="65" t="s">
        <v>517</v>
      </c>
    </row>
    <row r="3160" spans="1:2" x14ac:dyDescent="0.25">
      <c r="A3160" s="64" t="str">
        <f>HYPERLINK("http://www.twitter.com/kairakau50", "kairakau50")</f>
        <v>kairakau50</v>
      </c>
      <c r="B3160" s="65" t="s">
        <v>4436</v>
      </c>
    </row>
    <row r="3161" spans="1:2" x14ac:dyDescent="0.25">
      <c r="A3161" s="64" t="str">
        <f>HYPERLINK("http://www.twitter.com/Union1707", "Union1707")</f>
        <v>Union1707</v>
      </c>
      <c r="B3161" s="65" t="s">
        <v>477</v>
      </c>
    </row>
    <row r="3162" spans="1:2" x14ac:dyDescent="0.25">
      <c r="A3162" s="64" t="str">
        <f>HYPERLINK("http://www.twitter.com/LabourStartCanF", "LabourStartCanF")</f>
        <v>LabourStartCanF</v>
      </c>
      <c r="B3162" s="65" t="s">
        <v>3948</v>
      </c>
    </row>
    <row r="3163" spans="1:2" x14ac:dyDescent="0.25">
      <c r="A3163" s="64" t="str">
        <f>HYPERLINK("http://www.twitter.com/JMacG11", "JMacG11")</f>
        <v>JMacG11</v>
      </c>
      <c r="B3163" s="65" t="s">
        <v>2007</v>
      </c>
    </row>
    <row r="3164" spans="1:2" x14ac:dyDescent="0.25">
      <c r="A3164" s="64" t="str">
        <f>HYPERLINK("http://www.twitter.com/Carla67145666", "Carla67145666")</f>
        <v>Carla67145666</v>
      </c>
      <c r="B3164" s="65"/>
    </row>
    <row r="3165" spans="1:2" x14ac:dyDescent="0.25">
      <c r="A3165" s="64" t="str">
        <f>HYPERLINK("http://www.twitter.com/GG_Ageha", "GG_Ageha")</f>
        <v>GG_Ageha</v>
      </c>
      <c r="B3165" s="65" t="s">
        <v>2007</v>
      </c>
    </row>
    <row r="3166" spans="1:2" x14ac:dyDescent="0.25">
      <c r="A3166" s="64" t="str">
        <f>HYPERLINK("http://www.twitter.com/e_halmac", "e_halmac")</f>
        <v>e_halmac</v>
      </c>
      <c r="B3166" s="65" t="s">
        <v>4903</v>
      </c>
    </row>
    <row r="3167" spans="1:2" x14ac:dyDescent="0.25">
      <c r="A3167" s="64" t="str">
        <f>HYPERLINK("http://www.twitter.com/londonmetlib", "londonmetlib")</f>
        <v>londonmetlib</v>
      </c>
      <c r="B3167" s="65" t="s">
        <v>520</v>
      </c>
    </row>
    <row r="3168" spans="1:2" x14ac:dyDescent="0.25">
      <c r="A3168" s="64" t="str">
        <f>HYPERLINK("http://www.twitter.com/memozillaa", "memozillaa")</f>
        <v>memozillaa</v>
      </c>
      <c r="B3168" s="65" t="s">
        <v>4904</v>
      </c>
    </row>
    <row r="3169" spans="1:2" x14ac:dyDescent="0.25">
      <c r="A3169" s="64" t="str">
        <f>HYPERLINK("http://www.twitter.com/EBPLibrary", "EBPLibrary")</f>
        <v>EBPLibrary</v>
      </c>
      <c r="B3169" s="65" t="s">
        <v>4905</v>
      </c>
    </row>
    <row r="3170" spans="1:2" x14ac:dyDescent="0.25">
      <c r="A3170" s="64" t="str">
        <f>HYPERLINK("http://www.twitter.com/CamEngLib", "CamEngLib")</f>
        <v>CamEngLib</v>
      </c>
      <c r="B3170" s="65" t="s">
        <v>788</v>
      </c>
    </row>
    <row r="3171" spans="1:2" x14ac:dyDescent="0.25">
      <c r="A3171" s="64" t="str">
        <f>HYPERLINK("http://www.twitter.com/Abdalla70476111", "Abdalla70476111")</f>
        <v>Abdalla70476111</v>
      </c>
      <c r="B3171" s="65" t="s">
        <v>4906</v>
      </c>
    </row>
    <row r="3172" spans="1:2" x14ac:dyDescent="0.25">
      <c r="A3172" s="64" t="str">
        <f>HYPERLINK("http://www.twitter.com/FinlayGeddes", "FinlayGeddes")</f>
        <v>FinlayGeddes</v>
      </c>
      <c r="B3172" s="65" t="s">
        <v>318</v>
      </c>
    </row>
    <row r="3173" spans="1:2" x14ac:dyDescent="0.25">
      <c r="A3173" s="64" t="str">
        <f>HYPERLINK("http://www.twitter.com/UlrichJvV", "UlrichJvV")</f>
        <v>UlrichJvV</v>
      </c>
      <c r="B3173" s="65" t="s">
        <v>4570</v>
      </c>
    </row>
    <row r="3174" spans="1:2" x14ac:dyDescent="0.25">
      <c r="A3174" s="64" t="str">
        <f>HYPERLINK("http://www.twitter.com/scotconfed", "scotconfed")</f>
        <v>scotconfed</v>
      </c>
      <c r="B3174" s="65"/>
    </row>
    <row r="3175" spans="1:2" x14ac:dyDescent="0.25">
      <c r="A3175" s="64" t="str">
        <f>HYPERLINK("http://www.twitter.com/Lolesh5", "Lolesh5")</f>
        <v>Lolesh5</v>
      </c>
      <c r="B3175" s="65"/>
    </row>
    <row r="3176" spans="1:2" x14ac:dyDescent="0.25">
      <c r="A3176" s="64" t="str">
        <f>HYPERLINK("http://www.twitter.com/BreakheartBooks", "BreakheartBooks")</f>
        <v>BreakheartBooks</v>
      </c>
      <c r="B3176" s="65" t="s">
        <v>2679</v>
      </c>
    </row>
    <row r="3177" spans="1:2" x14ac:dyDescent="0.25">
      <c r="A3177" s="64" t="str">
        <f>HYPERLINK("http://www.twitter.com/EvaLomski", "EvaLomski")</f>
        <v>EvaLomski</v>
      </c>
      <c r="B3177" s="65" t="s">
        <v>4147</v>
      </c>
    </row>
    <row r="3178" spans="1:2" x14ac:dyDescent="0.25">
      <c r="A3178" s="64" t="str">
        <f>HYPERLINK("http://www.twitter.com/BigSkySound", "BigSkySound")</f>
        <v>BigSkySound</v>
      </c>
      <c r="B3178" s="65" t="s">
        <v>70</v>
      </c>
    </row>
    <row r="3179" spans="1:2" x14ac:dyDescent="0.25">
      <c r="A3179" s="64" t="str">
        <f>HYPERLINK("http://www.twitter.com/westcoastcroft", "westcoastcroft")</f>
        <v>westcoastcroft</v>
      </c>
      <c r="B3179" s="65"/>
    </row>
    <row r="3180" spans="1:2" x14ac:dyDescent="0.25">
      <c r="A3180" s="64" t="str">
        <f>HYPERLINK("http://www.twitter.com/DuffyNicholas", "DuffyNicholas")</f>
        <v>DuffyNicholas</v>
      </c>
      <c r="B3180" s="65"/>
    </row>
    <row r="3181" spans="1:2" x14ac:dyDescent="0.25">
      <c r="A3181" s="64" t="str">
        <f>HYPERLINK("http://www.twitter.com/Montefalco16", "Montefalco16")</f>
        <v>Montefalco16</v>
      </c>
      <c r="B3181" s="65" t="s">
        <v>4907</v>
      </c>
    </row>
    <row r="3182" spans="1:2" x14ac:dyDescent="0.25">
      <c r="A3182" s="64" t="str">
        <f>HYPERLINK("http://www.twitter.com/KayleighEdun", "KayleighEdun")</f>
        <v>KayleighEdun</v>
      </c>
      <c r="B3182" s="65"/>
    </row>
    <row r="3183" spans="1:2" x14ac:dyDescent="0.25">
      <c r="A3183" s="64" t="str">
        <f>HYPERLINK("http://www.twitter.com/katiealexandram", "katiealexandram")</f>
        <v>katiealexandram</v>
      </c>
      <c r="B3183" s="65" t="s">
        <v>4908</v>
      </c>
    </row>
    <row r="3184" spans="1:2" x14ac:dyDescent="0.25">
      <c r="A3184" s="64" t="str">
        <f>HYPERLINK("http://www.twitter.com/DrHoppers", "DrHoppers")</f>
        <v>DrHoppers</v>
      </c>
      <c r="B3184" s="65"/>
    </row>
    <row r="3185" spans="1:2" x14ac:dyDescent="0.25">
      <c r="A3185" s="64" t="str">
        <f>HYPERLINK("http://www.twitter.com/Mawkuz", "Mawkuz")</f>
        <v>Mawkuz</v>
      </c>
      <c r="B3185" s="65" t="s">
        <v>4909</v>
      </c>
    </row>
    <row r="3186" spans="1:2" x14ac:dyDescent="0.25">
      <c r="A3186" s="64" t="str">
        <f>HYPERLINK("http://www.twitter.com/gslaing", "gslaing")</f>
        <v>gslaing</v>
      </c>
      <c r="B3186" s="65" t="s">
        <v>4910</v>
      </c>
    </row>
    <row r="3187" spans="1:2" x14ac:dyDescent="0.25">
      <c r="A3187" s="64" t="str">
        <f>HYPERLINK("http://www.twitter.com/HWGA_Library", "HWGA_Library")</f>
        <v>HWGA_Library</v>
      </c>
      <c r="B3187" s="65" t="s">
        <v>926</v>
      </c>
    </row>
    <row r="3188" spans="1:2" x14ac:dyDescent="0.25">
      <c r="A3188" s="64" t="str">
        <f>HYPERLINK("http://www.twitter.com/AndrewBooton", "AndrewBooton")</f>
        <v>AndrewBooton</v>
      </c>
      <c r="B3188" s="65" t="s">
        <v>4721</v>
      </c>
    </row>
    <row r="3189" spans="1:2" x14ac:dyDescent="0.25">
      <c r="A3189" s="64" t="str">
        <f>HYPERLINK("http://www.twitter.com/knotsinmyknits", "knotsinmyknits")</f>
        <v>knotsinmyknits</v>
      </c>
      <c r="B3189" s="65" t="s">
        <v>1189</v>
      </c>
    </row>
    <row r="3190" spans="1:2" x14ac:dyDescent="0.25">
      <c r="A3190" s="64" t="str">
        <f>HYPERLINK("http://www.twitter.com/Kayvia13", "Kayvia13")</f>
        <v>Kayvia13</v>
      </c>
      <c r="B3190" s="65" t="s">
        <v>4911</v>
      </c>
    </row>
    <row r="3191" spans="1:2" x14ac:dyDescent="0.25">
      <c r="A3191" s="64" t="str">
        <f>HYPERLINK("http://www.twitter.com/HathernLibrary", "HathernLibrary")</f>
        <v>HathernLibrary</v>
      </c>
      <c r="B3191" s="65" t="s">
        <v>4912</v>
      </c>
    </row>
    <row r="3192" spans="1:2" x14ac:dyDescent="0.25">
      <c r="A3192" s="64" t="str">
        <f>HYPERLINK("http://www.twitter.com/emmaliiiiine", "emmaliiiiine")</f>
        <v>emmaliiiiine</v>
      </c>
      <c r="B3192" s="65" t="s">
        <v>4913</v>
      </c>
    </row>
    <row r="3193" spans="1:2" x14ac:dyDescent="0.25">
      <c r="A3193" s="64" t="str">
        <f>HYPERLINK("http://www.twitter.com/silvan1810", "silvan1810")</f>
        <v>silvan1810</v>
      </c>
      <c r="B3193" s="65"/>
    </row>
    <row r="3194" spans="1:2" x14ac:dyDescent="0.25">
      <c r="A3194" s="64" t="str">
        <f>HYPERLINK("http://www.twitter.com/Bogstavsamleren", "Bogstavsamleren")</f>
        <v>Bogstavsamleren</v>
      </c>
      <c r="B3194" s="65"/>
    </row>
    <row r="3195" spans="1:2" x14ac:dyDescent="0.25">
      <c r="A3195" s="64" t="str">
        <f>HYPERLINK("http://www.twitter.com/CCLRCS", "CCLRCS")</f>
        <v>CCLRCS</v>
      </c>
      <c r="B3195" s="65" t="s">
        <v>1958</v>
      </c>
    </row>
    <row r="3196" spans="1:2" x14ac:dyDescent="0.25">
      <c r="A3196" s="64" t="str">
        <f>HYPERLINK("http://www.twitter.com/DintApp", "DintApp")</f>
        <v>DintApp</v>
      </c>
      <c r="B3196" s="65" t="s">
        <v>4193</v>
      </c>
    </row>
    <row r="3197" spans="1:2" x14ac:dyDescent="0.25">
      <c r="A3197" s="64" t="str">
        <f>HYPERLINK("http://www.twitter.com/Triciabigtricia", "Triciabigtricia")</f>
        <v>Triciabigtricia</v>
      </c>
      <c r="B3197" s="65"/>
    </row>
    <row r="3198" spans="1:2" x14ac:dyDescent="0.25">
      <c r="A3198" s="64" t="str">
        <f>HYPERLINK("http://www.twitter.com/HWWilsoninPrint", "HWWilsoninPrint")</f>
        <v>HWWilsoninPrint</v>
      </c>
      <c r="B3198" s="65" t="s">
        <v>4914</v>
      </c>
    </row>
    <row r="3199" spans="1:2" x14ac:dyDescent="0.25">
      <c r="A3199" s="64" t="str">
        <f>HYPERLINK("http://www.twitter.com/WilfWeir", "WilfWeir")</f>
        <v>WilfWeir</v>
      </c>
      <c r="B3199" s="65" t="s">
        <v>20</v>
      </c>
    </row>
    <row r="3200" spans="1:2" x14ac:dyDescent="0.25">
      <c r="A3200" s="64" t="str">
        <f>HYPERLINK("http://www.twitter.com/ChocLituk", "ChocLituk")</f>
        <v>ChocLituk</v>
      </c>
      <c r="B3200" s="65" t="s">
        <v>296</v>
      </c>
    </row>
    <row r="3201" spans="1:2" x14ac:dyDescent="0.25">
      <c r="A3201" s="64" t="str">
        <f>HYPERLINK("http://www.twitter.com/RadleyLibrary", "RadleyLibrary")</f>
        <v>RadleyLibrary</v>
      </c>
      <c r="B3201" s="65" t="s">
        <v>2918</v>
      </c>
    </row>
    <row r="3202" spans="1:2" x14ac:dyDescent="0.25">
      <c r="A3202" s="64" t="str">
        <f>HYPERLINK("http://www.twitter.com/slic_codeclubs", "slic_codeclubs")</f>
        <v>slic_codeclubs</v>
      </c>
      <c r="B3202" s="65" t="s">
        <v>517</v>
      </c>
    </row>
    <row r="3203" spans="1:2" x14ac:dyDescent="0.25">
      <c r="A3203" s="64" t="str">
        <f>HYPERLINK("http://www.twitter.com/appletreebath", "appletreebath")</f>
        <v>appletreebath</v>
      </c>
      <c r="B3203" s="65" t="s">
        <v>4915</v>
      </c>
    </row>
    <row r="3204" spans="1:2" x14ac:dyDescent="0.25">
      <c r="A3204" s="64" t="str">
        <f>HYPERLINK("http://www.twitter.com/HSOrkney", "HSOrkney")</f>
        <v>HSOrkney</v>
      </c>
      <c r="B3204" s="65" t="s">
        <v>3762</v>
      </c>
    </row>
    <row r="3205" spans="1:2" x14ac:dyDescent="0.25">
      <c r="A3205" s="64" t="str">
        <f>HYPERLINK("http://www.twitter.com/hazelaim", "hazelaim")</f>
        <v>hazelaim</v>
      </c>
      <c r="B3205" s="65"/>
    </row>
    <row r="3206" spans="1:2" x14ac:dyDescent="0.25">
      <c r="A3206" s="64" t="str">
        <f>HYPERLINK("http://www.twitter.com/BccsLibrary", "BccsLibrary")</f>
        <v>BccsLibrary</v>
      </c>
      <c r="B3206" s="65" t="s">
        <v>514</v>
      </c>
    </row>
    <row r="3207" spans="1:2" x14ac:dyDescent="0.25">
      <c r="A3207" s="64" t="str">
        <f>HYPERLINK("http://www.twitter.com/gingeraldog", "gingeraldog")</f>
        <v>gingeraldog</v>
      </c>
      <c r="B3207" s="65"/>
    </row>
    <row r="3208" spans="1:2" x14ac:dyDescent="0.25">
      <c r="A3208" s="64" t="str">
        <f>HYPERLINK("http://www.twitter.com/abhinov66", "abhinov66")</f>
        <v>abhinov66</v>
      </c>
      <c r="B3208" s="65" t="s">
        <v>4916</v>
      </c>
    </row>
    <row r="3209" spans="1:2" x14ac:dyDescent="0.25">
      <c r="A3209" s="64" t="str">
        <f>HYPERLINK("http://www.twitter.com/akheio", "akheio")</f>
        <v>akheio</v>
      </c>
      <c r="B3209" s="65" t="s">
        <v>4917</v>
      </c>
    </row>
    <row r="3210" spans="1:2" x14ac:dyDescent="0.25">
      <c r="A3210" s="64" t="str">
        <f>HYPERLINK("http://www.twitter.com/JessieMichael27", "JessieMichael27")</f>
        <v>JessieMichael27</v>
      </c>
      <c r="B3210" s="65" t="s">
        <v>3978</v>
      </c>
    </row>
    <row r="3211" spans="1:2" x14ac:dyDescent="0.25">
      <c r="A3211" s="64" t="str">
        <f>HYPERLINK("http://www.twitter.com/UNK0RN", "UNK0RN")</f>
        <v>UNK0RN</v>
      </c>
      <c r="B3211" s="65" t="s">
        <v>4918</v>
      </c>
    </row>
    <row r="3212" spans="1:2" x14ac:dyDescent="0.25">
      <c r="A3212" s="64" t="str">
        <f>HYPERLINK("http://www.twitter.com/dipendudas957", "dipendudas957")</f>
        <v>dipendudas957</v>
      </c>
      <c r="B3212" s="65" t="s">
        <v>4919</v>
      </c>
    </row>
    <row r="3213" spans="1:2" x14ac:dyDescent="0.25">
      <c r="A3213" s="64" t="str">
        <f>HYPERLINK("http://www.twitter.com/htthbchbbv", "htthbchbbv")</f>
        <v>htthbchbbv</v>
      </c>
      <c r="B3213" s="65"/>
    </row>
    <row r="3214" spans="1:2" x14ac:dyDescent="0.25">
      <c r="A3214" s="64" t="str">
        <f>HYPERLINK("http://www.twitter.com/SEED_YE", "SEED_YE")</f>
        <v>SEED_YE</v>
      </c>
      <c r="B3214" s="65" t="s">
        <v>4920</v>
      </c>
    </row>
    <row r="3215" spans="1:2" x14ac:dyDescent="0.25">
      <c r="A3215" s="64" t="str">
        <f>HYPERLINK("http://www.twitter.com/kiraadavidson", "kiraadavidson")</f>
        <v>kiraadavidson</v>
      </c>
      <c r="B3215" s="65"/>
    </row>
    <row r="3216" spans="1:2" x14ac:dyDescent="0.25">
      <c r="A3216" s="64" t="str">
        <f>HYPERLINK("http://www.twitter.com/Bobcatsss2017", "Bobcatsss2017")</f>
        <v>Bobcatsss2017</v>
      </c>
      <c r="B3216" s="65" t="s">
        <v>4921</v>
      </c>
    </row>
    <row r="3217" spans="1:2" x14ac:dyDescent="0.25">
      <c r="A3217" s="64" t="str">
        <f>HYPERLINK("http://www.twitter.com/MattWatt20", "MattWatt20")</f>
        <v>MattWatt20</v>
      </c>
      <c r="B3217" s="65"/>
    </row>
    <row r="3218" spans="1:2" x14ac:dyDescent="0.25">
      <c r="A3218" s="64" t="str">
        <f>HYPERLINK("http://www.twitter.com/LisaRedlinski", "LisaRedlinski")</f>
        <v>LisaRedlinski</v>
      </c>
      <c r="B3218" s="65" t="s">
        <v>4922</v>
      </c>
    </row>
    <row r="3219" spans="1:2" x14ac:dyDescent="0.25">
      <c r="A3219" s="64" t="str">
        <f>HYPERLINK("http://www.twitter.com/sjurdur", "sjurdur")</f>
        <v>sjurdur</v>
      </c>
      <c r="B3219" s="65" t="s">
        <v>232</v>
      </c>
    </row>
    <row r="3220" spans="1:2" x14ac:dyDescent="0.25">
      <c r="A3220" s="64" t="str">
        <f>HYPERLINK("http://www.twitter.com/gimrie13", "gimrie13")</f>
        <v>gimrie13</v>
      </c>
      <c r="B3220" s="65" t="s">
        <v>808</v>
      </c>
    </row>
    <row r="3221" spans="1:2" x14ac:dyDescent="0.25">
      <c r="A3221" s="64" t="str">
        <f>HYPERLINK("http://www.twitter.com/JCotton89", "JCotton89")</f>
        <v>JCotton89</v>
      </c>
      <c r="B3221" s="65"/>
    </row>
    <row r="3222" spans="1:2" x14ac:dyDescent="0.25">
      <c r="A3222" s="64" t="str">
        <f>HYPERLINK("http://www.twitter.com/MediaVitow", "MediaVitow")</f>
        <v>MediaVitow</v>
      </c>
      <c r="B3222" s="65" t="s">
        <v>477</v>
      </c>
    </row>
    <row r="3223" spans="1:2" x14ac:dyDescent="0.25">
      <c r="A3223" s="64" t="str">
        <f>HYPERLINK("http://www.twitter.com/TiksPacUK", "TiksPacUK")</f>
        <v>TiksPacUK</v>
      </c>
      <c r="B3223" s="65" t="s">
        <v>4923</v>
      </c>
    </row>
    <row r="3224" spans="1:2" x14ac:dyDescent="0.25">
      <c r="A3224" s="64" t="str">
        <f>HYPERLINK("http://www.twitter.com/alidowns", "alidowns")</f>
        <v>alidowns</v>
      </c>
      <c r="B3224" s="65" t="s">
        <v>138</v>
      </c>
    </row>
    <row r="3225" spans="1:2" x14ac:dyDescent="0.25">
      <c r="A3225" s="64" t="str">
        <f>HYPERLINK("http://www.twitter.com/DantesInvention", "DantesInvention")</f>
        <v>DantesInvention</v>
      </c>
      <c r="B3225" s="65" t="s">
        <v>36</v>
      </c>
    </row>
    <row r="3226" spans="1:2" x14ac:dyDescent="0.25">
      <c r="A3226" s="64" t="str">
        <f>HYPERLINK("http://www.twitter.com/ruth_drever", "ruth_drever")</f>
        <v>ruth_drever</v>
      </c>
      <c r="B3226" s="65"/>
    </row>
    <row r="3227" spans="1:2" x14ac:dyDescent="0.25">
      <c r="A3227" s="64" t="str">
        <f>HYPERLINK("http://www.twitter.com/Gorgiana3", "Gorgiana3")</f>
        <v>Gorgiana3</v>
      </c>
      <c r="B3227" s="65" t="s">
        <v>3998</v>
      </c>
    </row>
    <row r="3228" spans="1:2" x14ac:dyDescent="0.25">
      <c r="A3228" s="64" t="str">
        <f>HYPERLINK("http://www.twitter.com/a_musing88", "a_musing88")</f>
        <v>a_musing88</v>
      </c>
      <c r="B3228" s="65" t="s">
        <v>36</v>
      </c>
    </row>
    <row r="3229" spans="1:2" x14ac:dyDescent="0.25">
      <c r="A3229" s="64" t="str">
        <f>HYPERLINK("http://www.twitter.com/12distilleries", "12distilleries")</f>
        <v>12distilleries</v>
      </c>
      <c r="B3229" s="65" t="s">
        <v>517</v>
      </c>
    </row>
    <row r="3230" spans="1:2" x14ac:dyDescent="0.25">
      <c r="A3230" s="64" t="str">
        <f>HYPERLINK("http://www.twitter.com/DrDanaBrenklin", "DrDanaBrenklin")</f>
        <v>DrDanaBrenklin</v>
      </c>
      <c r="B3230" s="65" t="s">
        <v>4924</v>
      </c>
    </row>
    <row r="3231" spans="1:2" x14ac:dyDescent="0.25">
      <c r="A3231" s="64" t="str">
        <f>HYPERLINK("http://www.twitter.com/HideYourMilk", "HideYourMilk")</f>
        <v>HideYourMilk</v>
      </c>
      <c r="B3231" s="65" t="s">
        <v>3997</v>
      </c>
    </row>
    <row r="3232" spans="1:2" x14ac:dyDescent="0.25">
      <c r="A3232" s="64" t="str">
        <f>HYPERLINK("http://www.twitter.com/SquireMediocre", "SquireMediocre")</f>
        <v>SquireMediocre</v>
      </c>
      <c r="B3232" s="65" t="s">
        <v>4925</v>
      </c>
    </row>
    <row r="3233" spans="1:2" x14ac:dyDescent="0.25">
      <c r="A3233" s="64" t="str">
        <f>HYPERLINK("http://www.twitter.com/KatyKelman", "KatyKelman")</f>
        <v>KatyKelman</v>
      </c>
      <c r="B3233" s="65"/>
    </row>
    <row r="3234" spans="1:2" x14ac:dyDescent="0.25">
      <c r="A3234" s="64" t="str">
        <f>HYPERLINK("http://www.twitter.com/ZurchersBestOne", "ZurchersBestOne")</f>
        <v>ZurchersBestOne</v>
      </c>
      <c r="B3234" s="65" t="s">
        <v>4926</v>
      </c>
    </row>
    <row r="3235" spans="1:2" x14ac:dyDescent="0.25">
      <c r="A3235" s="64" t="str">
        <f>HYPERLINK("http://www.twitter.com/ellenwiles", "ellenwiles")</f>
        <v>ellenwiles</v>
      </c>
      <c r="B3235" s="65" t="s">
        <v>70</v>
      </c>
    </row>
    <row r="3236" spans="1:2" x14ac:dyDescent="0.25">
      <c r="A3236" s="64" t="str">
        <f>HYPERLINK("http://www.twitter.com/akaedin", "akaedin")</f>
        <v>akaedin</v>
      </c>
      <c r="B3236" s="65" t="s">
        <v>487</v>
      </c>
    </row>
    <row r="3237" spans="1:2" x14ac:dyDescent="0.25">
      <c r="A3237" s="64" t="str">
        <f>HYPERLINK("http://www.twitter.com/Kellyg_54", "Kellyg_54")</f>
        <v>Kellyg_54</v>
      </c>
      <c r="B3237" s="65" t="s">
        <v>3875</v>
      </c>
    </row>
    <row r="3238" spans="1:2" x14ac:dyDescent="0.25">
      <c r="A3238" s="64" t="str">
        <f>HYPERLINK("http://www.twitter.com/helena_markou", "helena_markou")</f>
        <v>helena_markou</v>
      </c>
      <c r="B3238" s="65" t="s">
        <v>318</v>
      </c>
    </row>
    <row r="3239" spans="1:2" x14ac:dyDescent="0.25">
      <c r="A3239" s="64" t="str">
        <f>HYPERLINK("http://www.twitter.com/VinodSa30764304", "VinodSa30764304")</f>
        <v>VinodSa30764304</v>
      </c>
      <c r="B3239" s="65" t="s">
        <v>4927</v>
      </c>
    </row>
    <row r="3240" spans="1:2" x14ac:dyDescent="0.25">
      <c r="A3240" s="64" t="str">
        <f>HYPERLINK("http://www.twitter.com/ak_peciak", "ak_peciak")</f>
        <v>ak_peciak</v>
      </c>
      <c r="B3240" s="65" t="s">
        <v>3875</v>
      </c>
    </row>
    <row r="3241" spans="1:2" x14ac:dyDescent="0.25">
      <c r="A3241" s="64" t="str">
        <f>HYPERLINK("http://www.twitter.com/clairejfurey", "clairejfurey")</f>
        <v>clairejfurey</v>
      </c>
      <c r="B3241" s="65" t="s">
        <v>3875</v>
      </c>
    </row>
    <row r="3242" spans="1:2" x14ac:dyDescent="0.25">
      <c r="A3242" s="64" t="str">
        <f>HYPERLINK("http://www.twitter.com/HaoYun02572152", "HaoYun02572152")</f>
        <v>HaoYun02572152</v>
      </c>
      <c r="B3242" s="65"/>
    </row>
    <row r="3243" spans="1:2" x14ac:dyDescent="0.25">
      <c r="A3243" s="64" t="str">
        <f>HYPERLINK("http://www.twitter.com/OxfordConted", "OxfordConted")</f>
        <v>OxfordConted</v>
      </c>
      <c r="B3243" s="65" t="s">
        <v>845</v>
      </c>
    </row>
    <row r="3244" spans="1:2" x14ac:dyDescent="0.25">
      <c r="A3244" s="64" t="str">
        <f>HYPERLINK("http://www.twitter.com/libbywalkup", "libbywalkup")</f>
        <v>libbywalkup</v>
      </c>
      <c r="B3244" s="65" t="s">
        <v>4423</v>
      </c>
    </row>
    <row r="3245" spans="1:2" x14ac:dyDescent="0.25">
      <c r="A3245" s="64" t="str">
        <f>HYPERLINK("http://www.twitter.com/SunnivaHaynes", "SunnivaHaynes")</f>
        <v>SunnivaHaynes</v>
      </c>
      <c r="B3245" s="65"/>
    </row>
    <row r="3246" spans="1:2" x14ac:dyDescent="0.25">
      <c r="A3246" s="64" t="str">
        <f>HYPERLINK("http://www.twitter.com/SatelliteTracy", "SatelliteTracy")</f>
        <v>SatelliteTracy</v>
      </c>
      <c r="B3246" s="65" t="s">
        <v>4928</v>
      </c>
    </row>
    <row r="3247" spans="1:2" x14ac:dyDescent="0.25">
      <c r="A3247" s="64" t="str">
        <f>HYPERLINK("http://www.twitter.com/SethMould", "SethMould")</f>
        <v>SethMould</v>
      </c>
      <c r="B3247" s="65" t="s">
        <v>4524</v>
      </c>
    </row>
    <row r="3248" spans="1:2" x14ac:dyDescent="0.25">
      <c r="A3248" s="64" t="str">
        <f>HYPERLINK("http://www.twitter.com/JackWasTaken3", "JackWasTaken3")</f>
        <v>JackWasTaken3</v>
      </c>
      <c r="B3248" s="65" t="s">
        <v>102</v>
      </c>
    </row>
    <row r="3249" spans="1:2" x14ac:dyDescent="0.25">
      <c r="A3249" s="64" t="str">
        <f>HYPERLINK("http://www.twitter.com/LilyLonglegs3", "LilyLonglegs3")</f>
        <v>LilyLonglegs3</v>
      </c>
      <c r="B3249" s="65" t="s">
        <v>4929</v>
      </c>
    </row>
    <row r="3250" spans="1:2" x14ac:dyDescent="0.25">
      <c r="A3250" s="64" t="str">
        <f>HYPERLINK("http://www.twitter.com/Kaushikrajbong1", "Kaushikrajbong1")</f>
        <v>Kaushikrajbong1</v>
      </c>
      <c r="B3250" s="65" t="s">
        <v>3823</v>
      </c>
    </row>
    <row r="3251" spans="1:2" x14ac:dyDescent="0.25">
      <c r="A3251" s="64" t="str">
        <f>HYPERLINK("http://www.twitter.com/TheFlyingChef1", "TheFlyingChef1")</f>
        <v>TheFlyingChef1</v>
      </c>
      <c r="B3251" s="65" t="s">
        <v>4930</v>
      </c>
    </row>
    <row r="3252" spans="1:2" x14ac:dyDescent="0.25">
      <c r="A3252" s="64" t="str">
        <f>HYPERLINK("http://www.twitter.com/karlakoalastory", "karlakoalastory")</f>
        <v>karlakoalastory</v>
      </c>
      <c r="B3252" s="65" t="s">
        <v>3988</v>
      </c>
    </row>
    <row r="3253" spans="1:2" x14ac:dyDescent="0.25">
      <c r="A3253" s="64" t="str">
        <f>HYPERLINK("http://www.twitter.com/RuthMclaughlan", "RuthMclaughlan")</f>
        <v>RuthMclaughlan</v>
      </c>
      <c r="B3253" s="65"/>
    </row>
    <row r="3254" spans="1:2" x14ac:dyDescent="0.25">
      <c r="A3254" s="64" t="str">
        <f>HYPERLINK("http://www.twitter.com/mmbuelow", "mmbuelow")</f>
        <v>mmbuelow</v>
      </c>
      <c r="B3254" s="65" t="s">
        <v>4443</v>
      </c>
    </row>
    <row r="3255" spans="1:2" x14ac:dyDescent="0.25">
      <c r="A3255" s="64" t="str">
        <f>HYPERLINK("http://www.twitter.com/MarkSvaasand", "MarkSvaasand")</f>
        <v>MarkSvaasand</v>
      </c>
      <c r="B3255" s="65" t="s">
        <v>4931</v>
      </c>
    </row>
    <row r="3256" spans="1:2" x14ac:dyDescent="0.25">
      <c r="A3256" s="64" t="str">
        <f>HYPERLINK("http://www.twitter.com/UnexpectedPod", "UnexpectedPod")</f>
        <v>UnexpectedPod</v>
      </c>
      <c r="B3256" s="65"/>
    </row>
    <row r="3257" spans="1:2" x14ac:dyDescent="0.25">
      <c r="A3257" s="64" t="str">
        <f>HYPERLINK("http://www.twitter.com/CeciliaPropato1", "CeciliaPropato1")</f>
        <v>CeciliaPropato1</v>
      </c>
      <c r="B3257" s="65"/>
    </row>
    <row r="3258" spans="1:2" x14ac:dyDescent="0.25">
      <c r="A3258" s="64" t="str">
        <f>HYPERLINK("http://www.twitter.com/PokrasMiller", "PokrasMiller")</f>
        <v>PokrasMiller</v>
      </c>
      <c r="B3258" s="65" t="s">
        <v>4932</v>
      </c>
    </row>
    <row r="3259" spans="1:2" x14ac:dyDescent="0.25">
      <c r="A3259" s="64" t="str">
        <f>HYPERLINK("http://www.twitter.com/SilviaChialli", "SilviaChialli")</f>
        <v>SilviaChialli</v>
      </c>
      <c r="B3259" s="65" t="s">
        <v>4933</v>
      </c>
    </row>
    <row r="3260" spans="1:2" x14ac:dyDescent="0.25">
      <c r="A3260" s="64" t="str">
        <f>HYPERLINK("http://www.twitter.com/EddyStrange", "EddyStrange")</f>
        <v>EddyStrange</v>
      </c>
      <c r="B3260" s="65" t="s">
        <v>427</v>
      </c>
    </row>
    <row r="3261" spans="1:2" x14ac:dyDescent="0.25">
      <c r="A3261" s="64" t="str">
        <f>HYPERLINK("http://www.twitter.com/mainhousehold", "mainhousehold")</f>
        <v>mainhousehold</v>
      </c>
      <c r="B3261" s="65" t="s">
        <v>4934</v>
      </c>
    </row>
    <row r="3262" spans="1:2" x14ac:dyDescent="0.25">
      <c r="A3262" s="64" t="str">
        <f>HYPERLINK("http://www.twitter.com/RNLIStromness", "RNLIStromness")</f>
        <v>RNLIStromness</v>
      </c>
      <c r="B3262" s="65" t="s">
        <v>4935</v>
      </c>
    </row>
    <row r="3263" spans="1:2" x14ac:dyDescent="0.25">
      <c r="A3263" s="64" t="str">
        <f>HYPERLINK("http://www.twitter.com/daviesboy", "daviesboy")</f>
        <v>daviesboy</v>
      </c>
      <c r="B3263" s="65"/>
    </row>
    <row r="3264" spans="1:2" x14ac:dyDescent="0.25">
      <c r="A3264" s="64" t="str">
        <f>HYPERLINK("http://www.twitter.com/amongthehills60", "amongthehills60")</f>
        <v>amongthehills60</v>
      </c>
      <c r="B3264" s="65" t="s">
        <v>4936</v>
      </c>
    </row>
    <row r="3265" spans="1:2" x14ac:dyDescent="0.25">
      <c r="A3265" s="64" t="str">
        <f>HYPERLINK("http://www.twitter.com/Rizwan01230505", "Rizwan01230505")</f>
        <v>Rizwan01230505</v>
      </c>
      <c r="B3265" s="65" t="s">
        <v>4492</v>
      </c>
    </row>
    <row r="3266" spans="1:2" x14ac:dyDescent="0.25">
      <c r="A3266" s="64" t="str">
        <f>HYPERLINK("http://www.twitter.com/AnmolSaraf6", "AnmolSaraf6")</f>
        <v>AnmolSaraf6</v>
      </c>
      <c r="B3266" s="65" t="s">
        <v>4937</v>
      </c>
    </row>
    <row r="3267" spans="1:2" x14ac:dyDescent="0.25">
      <c r="A3267" s="64" t="str">
        <f>HYPERLINK("http://www.twitter.com/Benjamin_Scott", "Benjamin_Scott")</f>
        <v>Benjamin_Scott</v>
      </c>
      <c r="B3267" s="65" t="s">
        <v>4292</v>
      </c>
    </row>
    <row r="3268" spans="1:2" x14ac:dyDescent="0.25">
      <c r="A3268" s="64" t="str">
        <f>HYPERLINK("http://www.twitter.com/KatePantoula", "KatePantoula")</f>
        <v>KatePantoula</v>
      </c>
      <c r="B3268" s="65" t="s">
        <v>487</v>
      </c>
    </row>
    <row r="3269" spans="1:2" x14ac:dyDescent="0.25">
      <c r="A3269" s="64" t="str">
        <f>HYPERLINK("http://www.twitter.com/Samuel_Fick", "Samuel_Fick")</f>
        <v>Samuel_Fick</v>
      </c>
      <c r="B3269" s="65"/>
    </row>
    <row r="3270" spans="1:2" x14ac:dyDescent="0.25">
      <c r="A3270" s="64" t="str">
        <f>HYPERLINK("http://www.twitter.com/sarahannemunoz", "sarahannemunoz")</f>
        <v>sarahannemunoz</v>
      </c>
      <c r="B3270" s="65" t="s">
        <v>4938</v>
      </c>
    </row>
    <row r="3271" spans="1:2" x14ac:dyDescent="0.25">
      <c r="A3271" s="64" t="str">
        <f>HYPERLINK("http://www.twitter.com/EmilyJamesAuth", "EmilyJamesAuth")</f>
        <v>EmilyJamesAuth</v>
      </c>
      <c r="B3271" s="65"/>
    </row>
    <row r="3272" spans="1:2" x14ac:dyDescent="0.25">
      <c r="A3272" s="64" t="str">
        <f>HYPERLINK("http://www.twitter.com/v2norris", "v2norris")</f>
        <v>v2norris</v>
      </c>
      <c r="B3272" s="65" t="s">
        <v>4939</v>
      </c>
    </row>
    <row r="3273" spans="1:2" x14ac:dyDescent="0.25">
      <c r="A3273" s="64" t="str">
        <f>HYPERLINK("http://www.twitter.com/janemcgarry7", "janemcgarry7")</f>
        <v>janemcgarry7</v>
      </c>
      <c r="B3273" s="65"/>
    </row>
    <row r="3274" spans="1:2" x14ac:dyDescent="0.25">
      <c r="A3274" s="64" t="str">
        <f>HYPERLINK("http://www.twitter.com/karen170388", "karen170388")</f>
        <v>karen170388</v>
      </c>
      <c r="B3274" s="65" t="s">
        <v>3762</v>
      </c>
    </row>
    <row r="3275" spans="1:2" x14ac:dyDescent="0.25">
      <c r="A3275" s="64" t="str">
        <f>HYPERLINK("http://www.twitter.com/SharifKhanUK", "SharifKhanUK")</f>
        <v>SharifKhanUK</v>
      </c>
      <c r="B3275" s="65" t="s">
        <v>36</v>
      </c>
    </row>
    <row r="3276" spans="1:2" x14ac:dyDescent="0.25">
      <c r="A3276" s="64" t="str">
        <f>HYPERLINK("http://www.twitter.com/6BillionPeople", "6BillionPeople")</f>
        <v>6BillionPeople</v>
      </c>
      <c r="B3276" s="65" t="s">
        <v>4940</v>
      </c>
    </row>
    <row r="3277" spans="1:2" x14ac:dyDescent="0.25">
      <c r="A3277" s="64" t="str">
        <f>HYPERLINK("http://www.twitter.com/PaulAtk52540619", "PaulAtk52540619")</f>
        <v>PaulAtk52540619</v>
      </c>
      <c r="B3277" s="65" t="s">
        <v>4941</v>
      </c>
    </row>
    <row r="3278" spans="1:2" x14ac:dyDescent="0.25">
      <c r="A3278" s="64" t="str">
        <f>HYPERLINK("http://www.twitter.com/tregolfhistoric", "tregolfhistoric")</f>
        <v>tregolfhistoric</v>
      </c>
      <c r="B3278" s="65" t="s">
        <v>2007</v>
      </c>
    </row>
    <row r="3279" spans="1:2" x14ac:dyDescent="0.25">
      <c r="A3279" s="64" t="str">
        <f>HYPERLINK("http://www.twitter.com/PetaCampbell", "PetaCampbell")</f>
        <v>PetaCampbell</v>
      </c>
      <c r="B3279" s="65" t="s">
        <v>3817</v>
      </c>
    </row>
    <row r="3280" spans="1:2" x14ac:dyDescent="0.25">
      <c r="A3280" s="64" t="str">
        <f>HYPERLINK("http://www.twitter.com/moog2", "moog2")</f>
        <v>moog2</v>
      </c>
      <c r="B3280" s="65"/>
    </row>
    <row r="3281" spans="1:2" x14ac:dyDescent="0.25">
      <c r="A3281" s="64" t="str">
        <f>HYPERLINK("http://www.twitter.com/EdwardCoker6", "EdwardCoker6")</f>
        <v>EdwardCoker6</v>
      </c>
      <c r="B3281" s="65"/>
    </row>
    <row r="3282" spans="1:2" x14ac:dyDescent="0.25">
      <c r="A3282" s="64" t="str">
        <f>HYPERLINK("http://www.twitter.com/msjuju8", "msjuju8")</f>
        <v>msjuju8</v>
      </c>
      <c r="B3282" s="65" t="s">
        <v>4942</v>
      </c>
    </row>
    <row r="3283" spans="1:2" x14ac:dyDescent="0.25">
      <c r="A3283" s="64" t="str">
        <f>HYPERLINK("http://www.twitter.com/theorkneyec", "theorkneyec")</f>
        <v>theorkneyec</v>
      </c>
      <c r="B3283" s="65"/>
    </row>
    <row r="3284" spans="1:2" x14ac:dyDescent="0.25">
      <c r="A3284" s="64" t="str">
        <f>HYPERLINK("http://www.twitter.com/Vedprka78653241", "Vedprka78653241")</f>
        <v>Vedprka78653241</v>
      </c>
      <c r="B3284" s="65"/>
    </row>
    <row r="3285" spans="1:2" x14ac:dyDescent="0.25">
      <c r="A3285" s="64" t="str">
        <f>HYPERLINK("http://www.twitter.com/PRFilms_Kim", "PRFilms_Kim")</f>
        <v>PRFilms_Kim</v>
      </c>
      <c r="B3285" s="65" t="s">
        <v>4943</v>
      </c>
    </row>
    <row r="3286" spans="1:2" x14ac:dyDescent="0.25">
      <c r="A3286" s="64" t="str">
        <f>HYPERLINK("http://www.twitter.com/infogamerist", "infogamerist")</f>
        <v>infogamerist</v>
      </c>
      <c r="B3286" s="65" t="s">
        <v>318</v>
      </c>
    </row>
    <row r="3287" spans="1:2" x14ac:dyDescent="0.25">
      <c r="A3287" s="64" t="str">
        <f>HYPERLINK("http://www.twitter.com/oosa_johanna", "oosa_johanna")</f>
        <v>oosa_johanna</v>
      </c>
      <c r="B3287" s="65" t="s">
        <v>4944</v>
      </c>
    </row>
    <row r="3288" spans="1:2" x14ac:dyDescent="0.25">
      <c r="A3288" s="64" t="str">
        <f>HYPERLINK("http://www.twitter.com/charliebeef1", "charliebeef1")</f>
        <v>charliebeef1</v>
      </c>
      <c r="B3288" s="65" t="s">
        <v>4945</v>
      </c>
    </row>
    <row r="3289" spans="1:2" x14ac:dyDescent="0.25">
      <c r="A3289" s="64" t="str">
        <f>HYPERLINK("http://www.twitter.com/janecontardo", "janecontardo")</f>
        <v>janecontardo</v>
      </c>
      <c r="B3289" s="65"/>
    </row>
    <row r="3290" spans="1:2" x14ac:dyDescent="0.25">
      <c r="A3290" s="64" t="str">
        <f>HYPERLINK("http://www.twitter.com/Naveedyousuf17", "Naveedyousuf17")</f>
        <v>Naveedyousuf17</v>
      </c>
      <c r="B3290" s="65"/>
    </row>
    <row r="3291" spans="1:2" x14ac:dyDescent="0.25">
      <c r="A3291" s="64" t="str">
        <f>HYPERLINK("http://www.twitter.com/MinorityLang", "MinorityLang")</f>
        <v>MinorityLang</v>
      </c>
      <c r="B3291" s="65" t="s">
        <v>4946</v>
      </c>
    </row>
    <row r="3292" spans="1:2" x14ac:dyDescent="0.25">
      <c r="A3292" s="64" t="str">
        <f>HYPERLINK("http://www.twitter.com/ab2amess", "ab2amess")</f>
        <v>ab2amess</v>
      </c>
      <c r="B3292" s="65" t="s">
        <v>4947</v>
      </c>
    </row>
    <row r="3293" spans="1:2" x14ac:dyDescent="0.25">
      <c r="A3293" s="64" t="str">
        <f>HYPERLINK("http://www.twitter.com/isla_macfarlane", "isla_macfarlane")</f>
        <v>isla_macfarlane</v>
      </c>
      <c r="B3293" s="65" t="s">
        <v>517</v>
      </c>
    </row>
    <row r="3294" spans="1:2" x14ac:dyDescent="0.25">
      <c r="A3294" s="64" t="str">
        <f>HYPERLINK("http://www.twitter.com/SocialInAtlanta", "SocialInAtlanta")</f>
        <v>SocialInAtlanta</v>
      </c>
      <c r="B3294" s="65" t="s">
        <v>4948</v>
      </c>
    </row>
    <row r="3295" spans="1:2" x14ac:dyDescent="0.25">
      <c r="A3295" s="64" t="str">
        <f>HYPERLINK("http://www.twitter.com/Rachel_Blair_", "Rachel_Blair_")</f>
        <v>Rachel_Blair_</v>
      </c>
      <c r="B3295" s="65" t="s">
        <v>24</v>
      </c>
    </row>
    <row r="3296" spans="1:2" x14ac:dyDescent="0.25">
      <c r="A3296" s="64" t="str">
        <f>HYPERLINK("http://www.twitter.com/peachycunanan", "peachycunanan")</f>
        <v>peachycunanan</v>
      </c>
      <c r="B3296" s="65" t="s">
        <v>4339</v>
      </c>
    </row>
    <row r="3297" spans="1:2" x14ac:dyDescent="0.25">
      <c r="A3297" s="64" t="str">
        <f>HYPERLINK("http://www.twitter.com/Jbunny1023", "Jbunny1023")</f>
        <v>Jbunny1023</v>
      </c>
      <c r="B3297" s="65" t="s">
        <v>4949</v>
      </c>
    </row>
    <row r="3298" spans="1:2" x14ac:dyDescent="0.25">
      <c r="A3298" s="64" t="str">
        <f>HYPERLINK("http://www.twitter.com/mlismarykate", "mlismarykate")</f>
        <v>mlismarykate</v>
      </c>
      <c r="B3298" s="65" t="s">
        <v>4950</v>
      </c>
    </row>
    <row r="3299" spans="1:2" x14ac:dyDescent="0.25">
      <c r="A3299" s="64" t="str">
        <f>HYPERLINK("http://www.twitter.com/neillebeter", "neillebeter")</f>
        <v>neillebeter</v>
      </c>
      <c r="B3299" s="65" t="s">
        <v>24</v>
      </c>
    </row>
    <row r="3300" spans="1:2" x14ac:dyDescent="0.25">
      <c r="A3300" s="64" t="str">
        <f>HYPERLINK("http://www.twitter.com/rmuschamp", "rmuschamp")</f>
        <v>rmuschamp</v>
      </c>
      <c r="B3300" s="65"/>
    </row>
    <row r="3301" spans="1:2" x14ac:dyDescent="0.25">
      <c r="A3301" s="64" t="str">
        <f>HYPERLINK("http://www.twitter.com/AidanMc50032537", "AidanMc50032537")</f>
        <v>AidanMc50032537</v>
      </c>
      <c r="B3301" s="65"/>
    </row>
    <row r="3302" spans="1:2" x14ac:dyDescent="0.25">
      <c r="A3302" s="64" t="str">
        <f>HYPERLINK("http://www.twitter.com/wordsandjim", "wordsandjim")</f>
        <v>wordsandjim</v>
      </c>
      <c r="B3302" s="65" t="s">
        <v>318</v>
      </c>
    </row>
    <row r="3303" spans="1:2" x14ac:dyDescent="0.25">
      <c r="A3303" s="64" t="str">
        <f>HYPERLINK("http://www.twitter.com/hannahwritesHT", "hannahwritesHT")</f>
        <v>hannahwritesHT</v>
      </c>
      <c r="B3303" s="65" t="s">
        <v>74</v>
      </c>
    </row>
    <row r="3304" spans="1:2" x14ac:dyDescent="0.25">
      <c r="A3304" s="64" t="str">
        <f>HYPERLINK("http://www.twitter.com/EssiPry", "EssiPry")</f>
        <v>EssiPry</v>
      </c>
      <c r="B3304" s="65"/>
    </row>
    <row r="3305" spans="1:2" x14ac:dyDescent="0.25">
      <c r="A3305" s="64" t="str">
        <f>HYPERLINK("http://www.twitter.com/Calvinandhal", "Calvinandhal")</f>
        <v>Calvinandhal</v>
      </c>
      <c r="B3305" s="65"/>
    </row>
    <row r="3306" spans="1:2" x14ac:dyDescent="0.25">
      <c r="A3306" s="64" t="str">
        <f>HYPERLINK("http://www.twitter.com/gaelicmonk", "gaelicmonk")</f>
        <v>gaelicmonk</v>
      </c>
      <c r="B3306" s="65" t="s">
        <v>4951</v>
      </c>
    </row>
    <row r="3307" spans="1:2" x14ac:dyDescent="0.25">
      <c r="A3307" s="64" t="str">
        <f>HYPERLINK("http://www.twitter.com/EddieGramson", "EddieGramson")</f>
        <v>EddieGramson</v>
      </c>
      <c r="B3307" s="65"/>
    </row>
    <row r="3308" spans="1:2" x14ac:dyDescent="0.25">
      <c r="A3308" s="64" t="str">
        <f>HYPERLINK("http://www.twitter.com/ShittasEmpire", "ShittasEmpire")</f>
        <v>ShittasEmpire</v>
      </c>
      <c r="B3308" s="65" t="s">
        <v>4952</v>
      </c>
    </row>
    <row r="3309" spans="1:2" x14ac:dyDescent="0.25">
      <c r="A3309" s="64" t="str">
        <f>HYPERLINK("http://www.twitter.com/natalieb100", "natalieb100")</f>
        <v>natalieb100</v>
      </c>
      <c r="B3309" s="65" t="s">
        <v>487</v>
      </c>
    </row>
    <row r="3310" spans="1:2" x14ac:dyDescent="0.25">
      <c r="A3310" s="64" t="str">
        <f>HYPERLINK("http://www.twitter.com/PAS_tweets", "PAS_tweets")</f>
        <v>PAS_tweets</v>
      </c>
      <c r="B3310" s="65" t="s">
        <v>2007</v>
      </c>
    </row>
    <row r="3311" spans="1:2" x14ac:dyDescent="0.25">
      <c r="A3311" s="64" t="str">
        <f>HYPERLINK("http://www.twitter.com/Dancelink_", "Dancelink_")</f>
        <v>Dancelink_</v>
      </c>
      <c r="B3311" s="65"/>
    </row>
    <row r="3312" spans="1:2" x14ac:dyDescent="0.25">
      <c r="A3312" s="64" t="str">
        <f>HYPERLINK("http://www.twitter.com/Bell1Morag", "Bell1Morag")</f>
        <v>Bell1Morag</v>
      </c>
      <c r="B3312" s="65" t="s">
        <v>3787</v>
      </c>
    </row>
    <row r="3313" spans="1:2" x14ac:dyDescent="0.25">
      <c r="A3313" s="64" t="str">
        <f>HYPERLINK("http://www.twitter.com/MrsOftenAnnoyed", "MrsOftenAnnoyed")</f>
        <v>MrsOftenAnnoyed</v>
      </c>
      <c r="B3313" s="65"/>
    </row>
    <row r="3314" spans="1:2" x14ac:dyDescent="0.25">
      <c r="A3314" s="64" t="str">
        <f>HYPERLINK("http://www.twitter.com/deborahpeck23", "deborahpeck23")</f>
        <v>deborahpeck23</v>
      </c>
      <c r="B3314" s="65" t="s">
        <v>4953</v>
      </c>
    </row>
    <row r="3315" spans="1:2" x14ac:dyDescent="0.25">
      <c r="A3315" s="64" t="str">
        <f>HYPERLINK("http://www.twitter.com/MishantBagariya", "MishantBagariya")</f>
        <v>MishantBagariya</v>
      </c>
      <c r="B3315" s="65"/>
    </row>
    <row r="3316" spans="1:2" x14ac:dyDescent="0.25">
      <c r="A3316" s="64" t="str">
        <f>HYPERLINK("http://www.twitter.com/StoreChamp", "StoreChamp")</f>
        <v>StoreChamp</v>
      </c>
      <c r="B3316" s="65"/>
    </row>
    <row r="3317" spans="1:2" x14ac:dyDescent="0.25">
      <c r="A3317" s="64" t="str">
        <f>HYPERLINK("http://www.twitter.com/memulcrone", "memulcrone")</f>
        <v>memulcrone</v>
      </c>
      <c r="B3317" s="65"/>
    </row>
    <row r="3318" spans="1:2" x14ac:dyDescent="0.25">
      <c r="A3318" s="64" t="str">
        <f>HYPERLINK("http://www.twitter.com/fifetaxis1", "fifetaxis1")</f>
        <v>fifetaxis1</v>
      </c>
      <c r="B3318" s="65" t="s">
        <v>487</v>
      </c>
    </row>
    <row r="3319" spans="1:2" x14ac:dyDescent="0.25">
      <c r="A3319" s="64" t="str">
        <f>HYPERLINK("http://www.twitter.com/Dakween2012", "Dakween2012")</f>
        <v>Dakween2012</v>
      </c>
      <c r="B3319" s="65"/>
    </row>
    <row r="3320" spans="1:2" x14ac:dyDescent="0.25">
      <c r="A3320" s="64" t="str">
        <f>HYPERLINK("http://www.twitter.com/mythri92", "mythri92")</f>
        <v>mythri92</v>
      </c>
      <c r="B3320" s="65"/>
    </row>
    <row r="3321" spans="1:2" x14ac:dyDescent="0.25">
      <c r="A3321" s="64" t="str">
        <f>HYPERLINK("http://www.twitter.com/serundal", "serundal")</f>
        <v>serundal</v>
      </c>
      <c r="B3321" s="65" t="s">
        <v>4954</v>
      </c>
    </row>
    <row r="3322" spans="1:2" x14ac:dyDescent="0.25">
      <c r="A3322" s="64" t="str">
        <f>HYPERLINK("http://www.twitter.com/mocacymru", "mocacymru")</f>
        <v>mocacymru</v>
      </c>
      <c r="B3322" s="65" t="s">
        <v>4955</v>
      </c>
    </row>
    <row r="3323" spans="1:2" x14ac:dyDescent="0.25">
      <c r="A3323" s="64" t="str">
        <f>HYPERLINK("http://www.twitter.com/GabriellaS24", "GabriellaS24")</f>
        <v>GabriellaS24</v>
      </c>
      <c r="B3323" s="65" t="s">
        <v>4089</v>
      </c>
    </row>
    <row r="3324" spans="1:2" x14ac:dyDescent="0.25">
      <c r="A3324" s="64" t="str">
        <f>HYPERLINK("http://www.twitter.com/FerrimanLib", "FerrimanLib")</f>
        <v>FerrimanLib</v>
      </c>
      <c r="B3324" s="65" t="s">
        <v>3236</v>
      </c>
    </row>
    <row r="3325" spans="1:2" x14ac:dyDescent="0.25">
      <c r="A3325" s="64" t="str">
        <f>HYPERLINK("http://www.twitter.com/louiselo_", "louiselo_")</f>
        <v>louiselo_</v>
      </c>
      <c r="B3325" s="65" t="s">
        <v>318</v>
      </c>
    </row>
    <row r="3326" spans="1:2" x14ac:dyDescent="0.25">
      <c r="A3326" s="64" t="str">
        <f>HYPERLINK("http://www.twitter.com/Raincoat_", "Raincoat_")</f>
        <v>Raincoat_</v>
      </c>
      <c r="B3326" s="65" t="s">
        <v>24</v>
      </c>
    </row>
    <row r="3327" spans="1:2" x14ac:dyDescent="0.25">
      <c r="A3327" s="64" t="str">
        <f>HYPERLINK("http://www.twitter.com/NangyaaaL", "NangyaaaL")</f>
        <v>NangyaaaL</v>
      </c>
      <c r="B3327" s="65" t="s">
        <v>4956</v>
      </c>
    </row>
    <row r="3328" spans="1:2" x14ac:dyDescent="0.25">
      <c r="A3328" s="64" t="str">
        <f>HYPERLINK("http://www.twitter.com/DavidWilkens2", "DavidWilkens2")</f>
        <v>DavidWilkens2</v>
      </c>
      <c r="B3328" s="65" t="s">
        <v>4957</v>
      </c>
    </row>
    <row r="3329" spans="1:2" x14ac:dyDescent="0.25">
      <c r="A3329" s="64" t="str">
        <f>HYPERLINK("http://www.twitter.com/PalaceGreenLib", "PalaceGreenLib")</f>
        <v>PalaceGreenLib</v>
      </c>
      <c r="B3329" s="65" t="s">
        <v>554</v>
      </c>
    </row>
    <row r="3330" spans="1:2" x14ac:dyDescent="0.25">
      <c r="A3330" s="64" t="str">
        <f>HYPERLINK("http://www.twitter.com/kellda2000", "kellda2000")</f>
        <v>kellda2000</v>
      </c>
      <c r="B3330" s="65" t="s">
        <v>3821</v>
      </c>
    </row>
    <row r="3331" spans="1:2" x14ac:dyDescent="0.25">
      <c r="A3331" s="64" t="str">
        <f>HYPERLINK("http://www.twitter.com/7u7651", "7u7651")</f>
        <v>7u7651</v>
      </c>
      <c r="B3331" s="65" t="s">
        <v>4958</v>
      </c>
    </row>
    <row r="3332" spans="1:2" x14ac:dyDescent="0.25">
      <c r="A3332" s="64" t="str">
        <f>HYPERLINK("http://www.twitter.com/julimt7", "julimt7")</f>
        <v>julimt7</v>
      </c>
      <c r="B3332" s="65"/>
    </row>
    <row r="3333" spans="1:2" x14ac:dyDescent="0.25">
      <c r="A3333" s="64" t="str">
        <f>HYPERLINK("http://www.twitter.com/TopJoesBar", "TopJoesBar")</f>
        <v>TopJoesBar</v>
      </c>
      <c r="B3333" s="65" t="s">
        <v>4959</v>
      </c>
    </row>
    <row r="3334" spans="1:2" x14ac:dyDescent="0.25">
      <c r="A3334" s="64" t="str">
        <f>HYPERLINK("http://www.twitter.com/ejs_87", "ejs_87")</f>
        <v>ejs_87</v>
      </c>
      <c r="B3334" s="65"/>
    </row>
    <row r="3335" spans="1:2" x14ac:dyDescent="0.25">
      <c r="A3335" s="64" t="str">
        <f>HYPERLINK("http://www.twitter.com/madhumitaforevr", "madhumitaforevr")</f>
        <v>madhumitaforevr</v>
      </c>
      <c r="B3335" s="65" t="s">
        <v>4960</v>
      </c>
    </row>
    <row r="3336" spans="1:2" x14ac:dyDescent="0.25">
      <c r="A3336" s="64" t="str">
        <f>HYPERLINK("http://www.twitter.com/patwh", "patwh")</f>
        <v>patwh</v>
      </c>
      <c r="B3336" s="65" t="s">
        <v>517</v>
      </c>
    </row>
    <row r="3337" spans="1:2" x14ac:dyDescent="0.25">
      <c r="A3337" s="64" t="str">
        <f>HYPERLINK("http://www.twitter.com/readingomnivore", "readingomnivore")</f>
        <v>readingomnivore</v>
      </c>
      <c r="B3337" s="65"/>
    </row>
    <row r="3338" spans="1:2" x14ac:dyDescent="0.25">
      <c r="A3338" s="64" t="str">
        <f>HYPERLINK("http://www.twitter.com/lindseyBSTM", "lindseyBSTM")</f>
        <v>lindseyBSTM</v>
      </c>
      <c r="B3338" s="65"/>
    </row>
    <row r="3339" spans="1:2" x14ac:dyDescent="0.25">
      <c r="A3339" s="64" t="str">
        <f>HYPERLINK("http://www.twitter.com/wandaryan1211", "wandaryan1211")</f>
        <v>wandaryan1211</v>
      </c>
      <c r="B3339" s="65" t="s">
        <v>4145</v>
      </c>
    </row>
    <row r="3340" spans="1:2" x14ac:dyDescent="0.25">
      <c r="A3340" s="64" t="str">
        <f>HYPERLINK("http://www.twitter.com/alixthekid", "alixthekid")</f>
        <v>alixthekid</v>
      </c>
      <c r="B3340" s="65" t="s">
        <v>1649</v>
      </c>
    </row>
    <row r="3341" spans="1:2" x14ac:dyDescent="0.25">
      <c r="A3341" s="64" t="str">
        <f>HYPERLINK("http://www.twitter.com/VovasReading", "VovasReading")</f>
        <v>VovasReading</v>
      </c>
      <c r="B3341" s="65"/>
    </row>
    <row r="3342" spans="1:2" x14ac:dyDescent="0.25">
      <c r="A3342" s="64" t="str">
        <f>HYPERLINK("http://www.twitter.com/burtonmaths", "burtonmaths")</f>
        <v>burtonmaths</v>
      </c>
      <c r="B3342" s="65" t="s">
        <v>70</v>
      </c>
    </row>
    <row r="3343" spans="1:2" x14ac:dyDescent="0.25">
      <c r="A3343" s="64" t="str">
        <f>HYPERLINK("http://www.twitter.com/griffith_sian", "griffith_sian")</f>
        <v>griffith_sian</v>
      </c>
      <c r="B3343" s="65" t="s">
        <v>4961</v>
      </c>
    </row>
    <row r="3344" spans="1:2" x14ac:dyDescent="0.25">
      <c r="A3344" s="64" t="str">
        <f>HYPERLINK("http://www.twitter.com/AllergicDog", "AllergicDog")</f>
        <v>AllergicDog</v>
      </c>
      <c r="B3344" s="65" t="s">
        <v>296</v>
      </c>
    </row>
    <row r="3345" spans="1:2" x14ac:dyDescent="0.25">
      <c r="A3345" s="64" t="str">
        <f>HYPERLINK("http://www.twitter.com/AuthorNewsTime", "AuthorNewsTime")</f>
        <v>AuthorNewsTime</v>
      </c>
      <c r="B3345" s="65" t="s">
        <v>477</v>
      </c>
    </row>
    <row r="3346" spans="1:2" x14ac:dyDescent="0.25">
      <c r="A3346" s="64" t="str">
        <f>HYPERLINK("http://www.twitter.com/appleformstudio", "appleformstudio")</f>
        <v>appleformstudio</v>
      </c>
      <c r="B3346" s="65" t="s">
        <v>4145</v>
      </c>
    </row>
    <row r="3347" spans="1:2" x14ac:dyDescent="0.25">
      <c r="A3347" s="64" t="str">
        <f>HYPERLINK("http://www.twitter.com/LavishLocations", "LavishLocations")</f>
        <v>LavishLocations</v>
      </c>
      <c r="B3347" s="65" t="s">
        <v>4962</v>
      </c>
    </row>
    <row r="3348" spans="1:2" x14ac:dyDescent="0.25">
      <c r="A3348" s="64" t="str">
        <f>HYPERLINK("http://www.twitter.com/KingsLibraries", "KingsLibraries")</f>
        <v>KingsLibraries</v>
      </c>
      <c r="B3348" s="65" t="s">
        <v>36</v>
      </c>
    </row>
    <row r="3349" spans="1:2" x14ac:dyDescent="0.25">
      <c r="A3349" s="64" t="str">
        <f>HYPERLINK("http://www.twitter.com/MrWingspan", "MrWingspan")</f>
        <v>MrWingspan</v>
      </c>
      <c r="B3349" s="65" t="s">
        <v>487</v>
      </c>
    </row>
    <row r="3350" spans="1:2" x14ac:dyDescent="0.25">
      <c r="A3350" s="64" t="str">
        <f>HYPERLINK("http://www.twitter.com/Bardh_Gwerin", "Bardh_Gwerin")</f>
        <v>Bardh_Gwerin</v>
      </c>
      <c r="B3350" s="65" t="s">
        <v>4963</v>
      </c>
    </row>
    <row r="3351" spans="1:2" x14ac:dyDescent="0.25">
      <c r="A3351" s="64" t="str">
        <f>HYPERLINK("http://www.twitter.com/CurtinLibrary", "CurtinLibrary")</f>
        <v>CurtinLibrary</v>
      </c>
      <c r="B3351" s="65" t="s">
        <v>4964</v>
      </c>
    </row>
    <row r="3352" spans="1:2" x14ac:dyDescent="0.25">
      <c r="A3352" s="64" t="str">
        <f>HYPERLINK("http://www.twitter.com/Wheronui1", "Wheronui1")</f>
        <v>Wheronui1</v>
      </c>
      <c r="B3352" s="65" t="s">
        <v>4117</v>
      </c>
    </row>
    <row r="3353" spans="1:2" x14ac:dyDescent="0.25">
      <c r="A3353" s="64" t="str">
        <f>HYPERLINK("http://www.twitter.com/DzioukszMarian", "DzioukszMarian")</f>
        <v>DzioukszMarian</v>
      </c>
      <c r="B3353" s="65" t="s">
        <v>4519</v>
      </c>
    </row>
    <row r="3354" spans="1:2" x14ac:dyDescent="0.25">
      <c r="A3354" s="64" t="str">
        <f>HYPERLINK("http://www.twitter.com/DrMoreau", "DrMoreau")</f>
        <v>DrMoreau</v>
      </c>
      <c r="B3354" s="65" t="s">
        <v>4039</v>
      </c>
    </row>
    <row r="3355" spans="1:2" x14ac:dyDescent="0.25">
      <c r="A3355" s="64" t="str">
        <f>HYPERLINK("http://www.twitter.com/thatgirlg12", "thatgirlg12")</f>
        <v>thatgirlg12</v>
      </c>
      <c r="B3355" s="65" t="s">
        <v>4965</v>
      </c>
    </row>
    <row r="3356" spans="1:2" x14ac:dyDescent="0.25">
      <c r="A3356" s="64" t="str">
        <f>HYPERLINK("http://www.twitter.com/LysbethAbrams", "LysbethAbrams")</f>
        <v>LysbethAbrams</v>
      </c>
      <c r="B3356" s="65"/>
    </row>
    <row r="3357" spans="1:2" x14ac:dyDescent="0.25">
      <c r="A3357" s="64" t="str">
        <f>HYPERLINK("http://www.twitter.com/AmyChandlerSA", "AmyChandlerSA")</f>
        <v>AmyChandlerSA</v>
      </c>
      <c r="B3357" s="65" t="s">
        <v>4966</v>
      </c>
    </row>
    <row r="3358" spans="1:2" x14ac:dyDescent="0.25">
      <c r="A3358" s="64" t="str">
        <f>HYPERLINK("http://www.twitter.com/StephenJonHug11", "StephenJonHug11")</f>
        <v>StephenJonHug11</v>
      </c>
      <c r="B3358" s="65"/>
    </row>
    <row r="3359" spans="1:2" x14ac:dyDescent="0.25">
      <c r="A3359" s="64" t="str">
        <f>HYPERLINK("http://www.twitter.com/TinkCreek", "TinkCreek")</f>
        <v>TinkCreek</v>
      </c>
      <c r="B3359" s="65" t="s">
        <v>3921</v>
      </c>
    </row>
    <row r="3360" spans="1:2" x14ac:dyDescent="0.25">
      <c r="A3360" s="64" t="str">
        <f>HYPERLINK("http://www.twitter.com/JPabloMarron", "JPabloMarron")</f>
        <v>JPabloMarron</v>
      </c>
      <c r="B3360" s="65" t="s">
        <v>4967</v>
      </c>
    </row>
    <row r="3361" spans="1:2" x14ac:dyDescent="0.25">
      <c r="A3361" s="64" t="str">
        <f>HYPERLINK("http://www.twitter.com/MythicalBritain", "MythicalBritain")</f>
        <v>MythicalBritain</v>
      </c>
      <c r="B3361" s="65" t="s">
        <v>598</v>
      </c>
    </row>
    <row r="3362" spans="1:2" x14ac:dyDescent="0.25">
      <c r="A3362" s="64" t="str">
        <f>HYPERLINK("http://www.twitter.com/QuotesBurpAlot", "QuotesBurpAlot")</f>
        <v>QuotesBurpAlot</v>
      </c>
      <c r="B3362" s="65" t="s">
        <v>4968</v>
      </c>
    </row>
    <row r="3363" spans="1:2" x14ac:dyDescent="0.25">
      <c r="A3363" s="64" t="str">
        <f>HYPERLINK("http://www.twitter.com/paperbacksnpugs", "paperbacksnpugs")</f>
        <v>paperbacksnpugs</v>
      </c>
      <c r="B3363" s="65" t="s">
        <v>487</v>
      </c>
    </row>
    <row r="3364" spans="1:2" x14ac:dyDescent="0.25">
      <c r="A3364" s="64" t="str">
        <f>HYPERLINK("http://www.twitter.com/MsLeaMann", "MsLeaMann")</f>
        <v>MsLeaMann</v>
      </c>
      <c r="B3364" s="65" t="s">
        <v>4969</v>
      </c>
    </row>
    <row r="3365" spans="1:2" x14ac:dyDescent="0.25">
      <c r="A3365" s="64" t="str">
        <f>HYPERLINK("http://www.twitter.com/LouiseShanahan_", "LouiseShanahan_")</f>
        <v>LouiseShanahan_</v>
      </c>
      <c r="B3365" s="65" t="s">
        <v>2007</v>
      </c>
    </row>
    <row r="3366" spans="1:2" x14ac:dyDescent="0.25">
      <c r="A3366" s="64" t="str">
        <f>HYPERLINK("http://www.twitter.com/cec_harrison", "cec_harrison")</f>
        <v>cec_harrison</v>
      </c>
      <c r="B3366" s="65" t="s">
        <v>517</v>
      </c>
    </row>
    <row r="3367" spans="1:2" x14ac:dyDescent="0.25">
      <c r="A3367" s="64" t="str">
        <f>HYPERLINK("http://www.twitter.com/lisajderrick", "lisajderrick")</f>
        <v>lisajderrick</v>
      </c>
      <c r="B3367" s="65" t="s">
        <v>427</v>
      </c>
    </row>
    <row r="3368" spans="1:2" x14ac:dyDescent="0.25">
      <c r="A3368" s="64" t="str">
        <f>HYPERLINK("http://www.twitter.com/Loungefever", "Loungefever")</f>
        <v>Loungefever</v>
      </c>
      <c r="B3368" s="65" t="s">
        <v>4970</v>
      </c>
    </row>
    <row r="3369" spans="1:2" x14ac:dyDescent="0.25">
      <c r="A3369" s="64" t="str">
        <f>HYPERLINK("http://www.twitter.com/nosregis", "nosregis")</f>
        <v>nosregis</v>
      </c>
      <c r="B3369" s="65"/>
    </row>
    <row r="3370" spans="1:2" x14ac:dyDescent="0.25">
      <c r="A3370" s="64" t="str">
        <f>HYPERLINK("http://www.twitter.com/KalliKids", "KalliKids")</f>
        <v>KalliKids</v>
      </c>
      <c r="B3370" s="65" t="s">
        <v>296</v>
      </c>
    </row>
    <row r="3371" spans="1:2" x14ac:dyDescent="0.25">
      <c r="A3371" s="64" t="str">
        <f>HYPERLINK("http://www.twitter.com/GoIndustScot", "GoIndustScot")</f>
        <v>GoIndustScot</v>
      </c>
      <c r="B3371" s="65" t="s">
        <v>2007</v>
      </c>
    </row>
    <row r="3372" spans="1:2" x14ac:dyDescent="0.25">
      <c r="A3372" s="64" t="str">
        <f>HYPERLINK("http://www.twitter.com/RantasaloIlkka", "RantasaloIlkka")</f>
        <v>RantasaloIlkka</v>
      </c>
      <c r="B3372" s="65" t="s">
        <v>4152</v>
      </c>
    </row>
    <row r="3373" spans="1:2" x14ac:dyDescent="0.25">
      <c r="A3373" s="64" t="str">
        <f>HYPERLINK("http://www.twitter.com/nz_irvine", "nz_irvine")</f>
        <v>nz_irvine</v>
      </c>
      <c r="B3373" s="65"/>
    </row>
    <row r="3374" spans="1:2" x14ac:dyDescent="0.25">
      <c r="A3374" s="64" t="str">
        <f>HYPERLINK("http://www.twitter.com/Moreno", "Moreno")</f>
        <v>Moreno</v>
      </c>
      <c r="B3374" s="65" t="s">
        <v>4193</v>
      </c>
    </row>
    <row r="3375" spans="1:2" x14ac:dyDescent="0.25">
      <c r="A3375" s="64" t="str">
        <f>HYPERLINK("http://www.twitter.com/weegovanpipers", "weegovanpipers")</f>
        <v>weegovanpipers</v>
      </c>
      <c r="B3375" s="65" t="s">
        <v>318</v>
      </c>
    </row>
    <row r="3376" spans="1:2" x14ac:dyDescent="0.25">
      <c r="A3376" s="64" t="str">
        <f>HYPERLINK("http://www.twitter.com/adripat31", "adripat31")</f>
        <v>adripat31</v>
      </c>
      <c r="B3376" s="65" t="s">
        <v>4971</v>
      </c>
    </row>
    <row r="3377" spans="1:2" x14ac:dyDescent="0.25">
      <c r="A3377" s="64" t="str">
        <f>HYPERLINK("http://www.twitter.com/KevinjThomson82", "KevinjThomson82")</f>
        <v>KevinjThomson82</v>
      </c>
      <c r="B3377" s="65"/>
    </row>
    <row r="3378" spans="1:2" x14ac:dyDescent="0.25">
      <c r="A3378" s="64" t="str">
        <f>HYPERLINK("http://www.twitter.com/Joannebell", "Joannebell")</f>
        <v>Joannebell</v>
      </c>
      <c r="B3378" s="65" t="s">
        <v>24</v>
      </c>
    </row>
    <row r="3379" spans="1:2" x14ac:dyDescent="0.25">
      <c r="A3379" s="64" t="str">
        <f>HYPERLINK("http://www.twitter.com/em_tweet92", "em_tweet92")</f>
        <v>em_tweet92</v>
      </c>
      <c r="B3379" s="65"/>
    </row>
    <row r="3380" spans="1:2" x14ac:dyDescent="0.25">
      <c r="A3380" s="64" t="str">
        <f>HYPERLINK("http://www.twitter.com/Alexinairving", "Alexinairving")</f>
        <v>Alexinairving</v>
      </c>
      <c r="B3380" s="65"/>
    </row>
    <row r="3381" spans="1:2" x14ac:dyDescent="0.25">
      <c r="A3381" s="64" t="str">
        <f>HYPERLINK("http://www.twitter.com/50GSmag", "50GSmag")</f>
        <v>50GSmag</v>
      </c>
      <c r="B3381" s="65" t="s">
        <v>487</v>
      </c>
    </row>
    <row r="3382" spans="1:2" x14ac:dyDescent="0.25">
      <c r="A3382" s="64" t="str">
        <f>HYPERLINK("http://www.twitter.com/GrahamJ05041953", "GrahamJ05041953")</f>
        <v>GrahamJ05041953</v>
      </c>
      <c r="B3382" s="65"/>
    </row>
    <row r="3383" spans="1:2" x14ac:dyDescent="0.25">
      <c r="A3383" s="64" t="str">
        <f>HYPERLINK("http://www.twitter.com/vslost", "vslost")</f>
        <v>vslost</v>
      </c>
      <c r="B3383" s="65" t="s">
        <v>4972</v>
      </c>
    </row>
    <row r="3384" spans="1:2" x14ac:dyDescent="0.25">
      <c r="A3384" s="64" t="str">
        <f>HYPERLINK("http://www.twitter.com/leerymas", "leerymas")</f>
        <v>leerymas</v>
      </c>
      <c r="B3384" s="65"/>
    </row>
    <row r="3385" spans="1:2" x14ac:dyDescent="0.25">
      <c r="A3385" s="64" t="str">
        <f>HYPERLINK("http://www.twitter.com/DariaOsk", "DariaOsk")</f>
        <v>DariaOsk</v>
      </c>
      <c r="B3385" s="65"/>
    </row>
    <row r="3386" spans="1:2" x14ac:dyDescent="0.25">
      <c r="A3386" s="64" t="str">
        <f>HYPERLINK("http://www.twitter.com/BexMcKinney", "BexMcKinney")</f>
        <v>BexMcKinney</v>
      </c>
      <c r="B3386" s="65" t="s">
        <v>24</v>
      </c>
    </row>
    <row r="3387" spans="1:2" x14ac:dyDescent="0.25">
      <c r="A3387" s="64" t="str">
        <f>HYPERLINK("http://www.twitter.com/LiamSmart16", "LiamSmart16")</f>
        <v>LiamSmart16</v>
      </c>
      <c r="B3387" s="65" t="s">
        <v>318</v>
      </c>
    </row>
    <row r="3388" spans="1:2" x14ac:dyDescent="0.25">
      <c r="A3388" s="64" t="str">
        <f>HYPERLINK("http://www.twitter.com/pramodk93098186", "pramodk93098186")</f>
        <v>pramodk93098186</v>
      </c>
      <c r="B3388" s="65" t="s">
        <v>4973</v>
      </c>
    </row>
    <row r="3389" spans="1:2" x14ac:dyDescent="0.25">
      <c r="A3389" s="64" t="str">
        <f>HYPERLINK("http://www.twitter.com/GlenkensGazette", "GlenkensGazette")</f>
        <v>GlenkensGazette</v>
      </c>
      <c r="B3389" s="65" t="s">
        <v>4974</v>
      </c>
    </row>
    <row r="3390" spans="1:2" x14ac:dyDescent="0.25">
      <c r="A3390" s="64" t="str">
        <f>HYPERLINK("http://www.twitter.com/dawncherrill", "dawncherrill")</f>
        <v>dawncherrill</v>
      </c>
      <c r="B3390" s="65"/>
    </row>
    <row r="3391" spans="1:2" x14ac:dyDescent="0.25">
      <c r="A3391" s="64" t="str">
        <f>HYPERLINK("http://www.twitter.com/barbaros_pinar_", "barbaros_pinar_")</f>
        <v>barbaros_pinar_</v>
      </c>
      <c r="B3391" s="65"/>
    </row>
    <row r="3392" spans="1:2" x14ac:dyDescent="0.25">
      <c r="A3392" s="64" t="str">
        <f>HYPERLINK("http://www.twitter.com/AileenBrown20", "AileenBrown20")</f>
        <v>AileenBrown20</v>
      </c>
      <c r="B3392" s="65"/>
    </row>
    <row r="3393" spans="1:2" x14ac:dyDescent="0.25">
      <c r="A3393" s="64" t="str">
        <f>HYPERLINK("http://www.twitter.com/sherylg", "sherylg")</f>
        <v>sherylg</v>
      </c>
      <c r="B3393" s="65" t="s">
        <v>4975</v>
      </c>
    </row>
    <row r="3394" spans="1:2" x14ac:dyDescent="0.25">
      <c r="A3394" s="64" t="str">
        <f>HYPERLINK("http://www.twitter.com/fiddleheadqueen", "fiddleheadqueen")</f>
        <v>fiddleheadqueen</v>
      </c>
      <c r="B3394" s="65"/>
    </row>
    <row r="3395" spans="1:2" x14ac:dyDescent="0.25">
      <c r="A3395" s="64" t="str">
        <f>HYPERLINK("http://www.twitter.com/carpobrotus", "carpobrotus")</f>
        <v>carpobrotus</v>
      </c>
      <c r="B3395" s="65" t="s">
        <v>4976</v>
      </c>
    </row>
    <row r="3396" spans="1:2" x14ac:dyDescent="0.25">
      <c r="A3396" s="64" t="str">
        <f>HYPERLINK("http://www.twitter.com/superba_iam", "superba_iam")</f>
        <v>superba_iam</v>
      </c>
      <c r="B3396" s="65" t="s">
        <v>4062</v>
      </c>
    </row>
    <row r="3397" spans="1:2" x14ac:dyDescent="0.25">
      <c r="A3397" s="64" t="str">
        <f>HYPERLINK("http://www.twitter.com/realmarkwells", "realmarkwells")</f>
        <v>realmarkwells</v>
      </c>
      <c r="B3397" s="65" t="s">
        <v>4616</v>
      </c>
    </row>
    <row r="3398" spans="1:2" x14ac:dyDescent="0.25">
      <c r="A3398" s="64" t="str">
        <f>HYPERLINK("http://www.twitter.com/FabianvanDiest", "FabianvanDiest")</f>
        <v>FabianvanDiest</v>
      </c>
      <c r="B3398" s="65" t="s">
        <v>4977</v>
      </c>
    </row>
    <row r="3399" spans="1:2" x14ac:dyDescent="0.25">
      <c r="A3399" s="64" t="str">
        <f>HYPERLINK("http://www.twitter.com/fiona_stokes", "fiona_stokes")</f>
        <v>fiona_stokes</v>
      </c>
      <c r="B3399" s="65" t="s">
        <v>4608</v>
      </c>
    </row>
    <row r="3400" spans="1:2" x14ac:dyDescent="0.25">
      <c r="A3400" s="64" t="str">
        <f>HYPERLINK("http://www.twitter.com/CaitlinMYM", "CaitlinMYM")</f>
        <v>CaitlinMYM</v>
      </c>
      <c r="B3400" s="65"/>
    </row>
    <row r="3401" spans="1:2" x14ac:dyDescent="0.25">
      <c r="A3401" s="64" t="str">
        <f>HYPERLINK("http://www.twitter.com/St3phany_Santos", "St3phany_Santos")</f>
        <v>St3phany_Santos</v>
      </c>
      <c r="B3401" s="65"/>
    </row>
    <row r="3402" spans="1:2" x14ac:dyDescent="0.25">
      <c r="A3402" s="64" t="str">
        <f>HYPERLINK("http://www.twitter.com/manicaselan", "manicaselan")</f>
        <v>manicaselan</v>
      </c>
      <c r="B3402" s="65"/>
    </row>
    <row r="3403" spans="1:2" x14ac:dyDescent="0.25">
      <c r="A3403" s="64" t="str">
        <f>HYPERLINK("http://www.twitter.com/hdygtbh", "hdygtbh")</f>
        <v>hdygtbh</v>
      </c>
      <c r="B3403" s="65"/>
    </row>
    <row r="3404" spans="1:2" x14ac:dyDescent="0.25">
      <c r="A3404" s="64" t="str">
        <f>HYPERLINK("http://www.twitter.com/All_of_artists", "All_of_artists")</f>
        <v>All_of_artists</v>
      </c>
      <c r="B3404" s="65" t="s">
        <v>4978</v>
      </c>
    </row>
    <row r="3405" spans="1:2" x14ac:dyDescent="0.25">
      <c r="A3405" s="64" t="str">
        <f>HYPERLINK("http://www.twitter.com/Daley479Coreen", "Daley479Coreen")</f>
        <v>Daley479Coreen</v>
      </c>
      <c r="B3405" s="65"/>
    </row>
    <row r="3406" spans="1:2" x14ac:dyDescent="0.25">
      <c r="A3406" s="64" t="str">
        <f>HYPERLINK("http://www.twitter.com/shanemcg92", "shanemcg92")</f>
        <v>shanemcg92</v>
      </c>
      <c r="B3406" s="65" t="s">
        <v>4062</v>
      </c>
    </row>
    <row r="3407" spans="1:2" x14ac:dyDescent="0.25">
      <c r="A3407" s="64" t="str">
        <f>HYPERLINK("http://www.twitter.com/suttmath", "suttmath")</f>
        <v>suttmath</v>
      </c>
      <c r="B3407" s="65" t="s">
        <v>4979</v>
      </c>
    </row>
    <row r="3408" spans="1:2" x14ac:dyDescent="0.25">
      <c r="A3408" s="64" t="str">
        <f>HYPERLINK("http://www.twitter.com/ella_drever", "ella_drever")</f>
        <v>ella_drever</v>
      </c>
      <c r="B3408" s="65"/>
    </row>
    <row r="3409" spans="1:2" x14ac:dyDescent="0.25">
      <c r="A3409" s="64" t="str">
        <f>HYPERLINK("http://www.twitter.com/cheryltan88", "cheryltan88")</f>
        <v>cheryltan88</v>
      </c>
      <c r="B3409" s="65" t="s">
        <v>3998</v>
      </c>
    </row>
    <row r="3410" spans="1:2" x14ac:dyDescent="0.25">
      <c r="A3410" s="64" t="str">
        <f>HYPERLINK("http://www.twitter.com/keerthu242Surya", "keerthu242Surya")</f>
        <v>keerthu242Surya</v>
      </c>
      <c r="B3410" s="65" t="s">
        <v>4980</v>
      </c>
    </row>
    <row r="3411" spans="1:2" x14ac:dyDescent="0.25">
      <c r="A3411" s="64" t="str">
        <f>HYPERLINK("http://www.twitter.com/Andwalsh", "Andwalsh")</f>
        <v>Andwalsh</v>
      </c>
      <c r="B3411" s="65" t="s">
        <v>4981</v>
      </c>
    </row>
    <row r="3412" spans="1:2" x14ac:dyDescent="0.25">
      <c r="A3412" s="64" t="str">
        <f>HYPERLINK("http://www.twitter.com/GKaitler", "GKaitler")</f>
        <v>GKaitler</v>
      </c>
      <c r="B3412" s="65" t="s">
        <v>3978</v>
      </c>
    </row>
    <row r="3413" spans="1:2" x14ac:dyDescent="0.25">
      <c r="A3413" s="64" t="str">
        <f>HYPERLINK("http://www.twitter.com/ERDiSimonjp", "ERDiSimonjp")</f>
        <v>ERDiSimonjp</v>
      </c>
      <c r="B3413" s="65" t="s">
        <v>70</v>
      </c>
    </row>
    <row r="3414" spans="1:2" x14ac:dyDescent="0.25">
      <c r="A3414" s="64" t="str">
        <f>HYPERLINK("http://www.twitter.com/suzannejohns", "suzannejohns")</f>
        <v>suzannejohns</v>
      </c>
      <c r="B3414" s="65" t="s">
        <v>487</v>
      </c>
    </row>
    <row r="3415" spans="1:2" x14ac:dyDescent="0.25">
      <c r="A3415" s="64" t="str">
        <f>HYPERLINK("http://www.twitter.com/skittishlibrary", "skittishlibrary")</f>
        <v>skittishlibrary</v>
      </c>
      <c r="B3415" s="65" t="s">
        <v>102</v>
      </c>
    </row>
    <row r="3416" spans="1:2" x14ac:dyDescent="0.25">
      <c r="A3416" s="64" t="str">
        <f>HYPERLINK("http://www.twitter.com/LeoRosanna", "LeoRosanna")</f>
        <v>LeoRosanna</v>
      </c>
      <c r="B3416" s="65" t="s">
        <v>4681</v>
      </c>
    </row>
    <row r="3417" spans="1:2" x14ac:dyDescent="0.25">
      <c r="A3417" s="64" t="str">
        <f>HYPERLINK("http://www.twitter.com/BooBamBooks", "BooBamBooks")</f>
        <v>BooBamBooks</v>
      </c>
      <c r="B3417" s="65" t="s">
        <v>4982</v>
      </c>
    </row>
    <row r="3418" spans="1:2" x14ac:dyDescent="0.25">
      <c r="A3418" s="64" t="str">
        <f>HYPERLINK("http://www.twitter.com/DaveFlanagan67", "DaveFlanagan67")</f>
        <v>DaveFlanagan67</v>
      </c>
      <c r="B3418" s="65" t="s">
        <v>20</v>
      </c>
    </row>
    <row r="3419" spans="1:2" x14ac:dyDescent="0.25">
      <c r="A3419" s="64" t="str">
        <f>HYPERLINK("http://www.twitter.com/Jeanette_har", "Jeanette_har")</f>
        <v>Jeanette_har</v>
      </c>
      <c r="B3419" s="65" t="s">
        <v>4501</v>
      </c>
    </row>
    <row r="3420" spans="1:2" x14ac:dyDescent="0.25">
      <c r="A3420" s="64" t="str">
        <f>HYPERLINK("http://www.twitter.com/ravenbait", "ravenbait")</f>
        <v>ravenbait</v>
      </c>
      <c r="B3420" s="65" t="s">
        <v>808</v>
      </c>
    </row>
    <row r="3421" spans="1:2" x14ac:dyDescent="0.25">
      <c r="A3421" s="64" t="str">
        <f>HYPERLINK("http://www.twitter.com/Sarahcoombe5", "Sarahcoombe5")</f>
        <v>Sarahcoombe5</v>
      </c>
      <c r="B3421" s="65" t="s">
        <v>883</v>
      </c>
    </row>
    <row r="3422" spans="1:2" x14ac:dyDescent="0.25">
      <c r="A3422" s="64" t="str">
        <f>HYPERLINK("http://www.twitter.com/BibMR", "BibMR")</f>
        <v>BibMR</v>
      </c>
      <c r="B3422" s="65" t="s">
        <v>4983</v>
      </c>
    </row>
    <row r="3423" spans="1:2" x14ac:dyDescent="0.25">
      <c r="A3423" s="64" t="str">
        <f>HYPERLINK("http://www.twitter.com/JudithBib", "JudithBib")</f>
        <v>JudithBib</v>
      </c>
      <c r="B3423" s="65"/>
    </row>
    <row r="3424" spans="1:2" x14ac:dyDescent="0.25">
      <c r="A3424" s="64" t="str">
        <f>HYPERLINK("http://www.twitter.com/suttoner1", "suttoner1")</f>
        <v>suttoner1</v>
      </c>
      <c r="B3424" s="65"/>
    </row>
    <row r="3425" spans="1:2" x14ac:dyDescent="0.25">
      <c r="A3425" s="64" t="str">
        <f>HYPERLINK("http://www.twitter.com/CILIP_LIHG", "CILIP_LIHG")</f>
        <v>CILIP_LIHG</v>
      </c>
      <c r="B3425" s="65"/>
    </row>
    <row r="3426" spans="1:2" x14ac:dyDescent="0.25">
      <c r="A3426" s="64" t="str">
        <f>HYPERLINK("http://www.twitter.com/mrs_sugg101", "mrs_sugg101")</f>
        <v>mrs_sugg101</v>
      </c>
      <c r="B3426" s="65" t="s">
        <v>4984</v>
      </c>
    </row>
    <row r="3427" spans="1:2" x14ac:dyDescent="0.25">
      <c r="A3427" s="64" t="str">
        <f>HYPERLINK("http://www.twitter.com/JenniferDearie", "JenniferDearie")</f>
        <v>JenniferDearie</v>
      </c>
      <c r="B3427" s="65" t="s">
        <v>4985</v>
      </c>
    </row>
    <row r="3428" spans="1:2" x14ac:dyDescent="0.25">
      <c r="A3428" s="64" t="str">
        <f>HYPERLINK("http://www.twitter.com/dibia100", "dibia100")</f>
        <v>dibia100</v>
      </c>
      <c r="B3428" s="65"/>
    </row>
    <row r="3429" spans="1:2" x14ac:dyDescent="0.25">
      <c r="A3429" s="64" t="str">
        <f>HYPERLINK("http://www.twitter.com/BreamLibrary", "BreamLibrary")</f>
        <v>BreamLibrary</v>
      </c>
      <c r="B3429" s="65" t="s">
        <v>3146</v>
      </c>
    </row>
    <row r="3430" spans="1:2" x14ac:dyDescent="0.25">
      <c r="A3430" s="64" t="str">
        <f>HYPERLINK("http://www.twitter.com/anniebarrhealth", "anniebarrhealth")</f>
        <v>anniebarrhealth</v>
      </c>
      <c r="B3430" s="65" t="s">
        <v>96</v>
      </c>
    </row>
    <row r="3431" spans="1:2" x14ac:dyDescent="0.25">
      <c r="A3431" s="64" t="str">
        <f>HYPERLINK("http://www.twitter.com/ashokashuu00", "ashokashuu00")</f>
        <v>ashokashuu00</v>
      </c>
      <c r="B3431" s="65"/>
    </row>
    <row r="3432" spans="1:2" x14ac:dyDescent="0.25">
      <c r="A3432" s="64" t="str">
        <f>HYPERLINK("http://www.twitter.com/ewsanderson", "ewsanderson")</f>
        <v>ewsanderson</v>
      </c>
      <c r="B3432" s="65" t="s">
        <v>4986</v>
      </c>
    </row>
    <row r="3433" spans="1:2" x14ac:dyDescent="0.25">
      <c r="A3433" s="64" t="str">
        <f>HYPERLINK("http://www.twitter.com/Weegeemcscot", "Weegeemcscot")</f>
        <v>Weegeemcscot</v>
      </c>
      <c r="B3433" s="65"/>
    </row>
    <row r="3434" spans="1:2" x14ac:dyDescent="0.25">
      <c r="A3434" s="64" t="str">
        <f>HYPERLINK("http://www.twitter.com/GCLibS", "GCLibS")</f>
        <v>GCLibS</v>
      </c>
      <c r="B3434" s="65"/>
    </row>
    <row r="3435" spans="1:2" x14ac:dyDescent="0.25">
      <c r="A3435" s="64" t="str">
        <f>HYPERLINK("http://www.twitter.com/PTait_author", "PTait_author")</f>
        <v>PTait_author</v>
      </c>
      <c r="B3435" s="65" t="s">
        <v>4987</v>
      </c>
    </row>
    <row r="3436" spans="1:2" x14ac:dyDescent="0.25">
      <c r="A3436" s="64" t="str">
        <f>HYPERLINK("http://www.twitter.com/candyflaws21", "candyflaws21")</f>
        <v>candyflaws21</v>
      </c>
      <c r="B3436" s="65"/>
    </row>
    <row r="3437" spans="1:2" x14ac:dyDescent="0.25">
      <c r="A3437" s="64" t="str">
        <f>HYPERLINK("http://www.twitter.com/celalneslihan", "celalneslihan")</f>
        <v>celalneslihan</v>
      </c>
      <c r="B3437" s="65"/>
    </row>
    <row r="3438" spans="1:2" x14ac:dyDescent="0.25">
      <c r="A3438" s="64" t="str">
        <f>HYPERLINK("http://www.twitter.com/linkup11", "linkup11")</f>
        <v>linkup11</v>
      </c>
      <c r="B3438" s="65" t="s">
        <v>4988</v>
      </c>
    </row>
    <row r="3439" spans="1:2" x14ac:dyDescent="0.25">
      <c r="A3439" s="64" t="str">
        <f>HYPERLINK("http://www.twitter.com/Americas4Obama", "Americas4Obama")</f>
        <v>Americas4Obama</v>
      </c>
      <c r="B3439" s="65" t="s">
        <v>4989</v>
      </c>
    </row>
    <row r="3440" spans="1:2" x14ac:dyDescent="0.25">
      <c r="A3440" s="64" t="str">
        <f>HYPERLINK("http://www.twitter.com/AlastairBrian", "AlastairBrian")</f>
        <v>AlastairBrian</v>
      </c>
      <c r="B3440" s="65" t="s">
        <v>138</v>
      </c>
    </row>
    <row r="3441" spans="1:2" x14ac:dyDescent="0.25">
      <c r="A3441" s="64" t="str">
        <f>HYPERLINK("http://www.twitter.com/vonbaronowski", "vonbaronowski")</f>
        <v>vonbaronowski</v>
      </c>
      <c r="B3441" s="65"/>
    </row>
    <row r="3442" spans="1:2" x14ac:dyDescent="0.25">
      <c r="A3442" s="64" t="str">
        <f>HYPERLINK("http://www.twitter.com/VailaWhittall", "VailaWhittall")</f>
        <v>VailaWhittall</v>
      </c>
      <c r="B3442" s="65"/>
    </row>
    <row r="3443" spans="1:2" x14ac:dyDescent="0.25">
      <c r="A3443" s="64" t="str">
        <f>HYPERLINK("http://www.twitter.com/santokhan100", "santokhan100")</f>
        <v>santokhan100</v>
      </c>
      <c r="B3443" s="65"/>
    </row>
    <row r="3444" spans="1:2" x14ac:dyDescent="0.25">
      <c r="A3444" s="64" t="str">
        <f>HYPERLINK("http://www.twitter.com/LochheadMandy", "LochheadMandy")</f>
        <v>LochheadMandy</v>
      </c>
      <c r="B3444" s="65" t="s">
        <v>138</v>
      </c>
    </row>
    <row r="3445" spans="1:2" x14ac:dyDescent="0.25">
      <c r="A3445" s="64" t="str">
        <f>HYPERLINK("http://www.twitter.com/OrkneyHeritage", "OrkneyHeritage")</f>
        <v>OrkneyHeritage</v>
      </c>
      <c r="B3445" s="65"/>
    </row>
    <row r="3446" spans="1:2" x14ac:dyDescent="0.25">
      <c r="A3446" s="64" t="str">
        <f>HYPERLINK("http://www.twitter.com/AndrewConnell5", "AndrewConnell5")</f>
        <v>AndrewConnell5</v>
      </c>
      <c r="B3446" s="65"/>
    </row>
    <row r="3447" spans="1:2" x14ac:dyDescent="0.25">
      <c r="A3447" s="64" t="str">
        <f>HYPERLINK("http://www.twitter.com/wilcomz", "wilcomz")</f>
        <v>wilcomz</v>
      </c>
      <c r="B3447" s="65" t="s">
        <v>138</v>
      </c>
    </row>
    <row r="3448" spans="1:2" x14ac:dyDescent="0.25">
      <c r="A3448" s="64" t="str">
        <f>HYPERLINK("http://www.twitter.com/mycellostrings", "mycellostrings")</f>
        <v>mycellostrings</v>
      </c>
      <c r="B3448" s="65"/>
    </row>
    <row r="3449" spans="1:2" x14ac:dyDescent="0.25">
      <c r="A3449" s="64" t="str">
        <f>HYPERLINK("http://www.twitter.com/HMS_Tern", "HMS_Tern")</f>
        <v>HMS_Tern</v>
      </c>
      <c r="B3449" s="65" t="s">
        <v>4990</v>
      </c>
    </row>
    <row r="3450" spans="1:2" x14ac:dyDescent="0.25">
      <c r="A3450" s="64" t="str">
        <f>HYPERLINK("http://www.twitter.com/ethanbradberryz", "ethanbradberryz")</f>
        <v>ethanbradberryz</v>
      </c>
      <c r="B3450" s="65" t="s">
        <v>4275</v>
      </c>
    </row>
    <row r="3451" spans="1:2" x14ac:dyDescent="0.25">
      <c r="A3451" s="64" t="str">
        <f>HYPERLINK("http://www.twitter.com/Maggie_Fox31780", "Maggie_Fox31780")</f>
        <v>Maggie_Fox31780</v>
      </c>
      <c r="B3451" s="65" t="s">
        <v>70</v>
      </c>
    </row>
    <row r="3452" spans="1:2" x14ac:dyDescent="0.25">
      <c r="A3452" s="64" t="str">
        <f>HYPERLINK("http://www.twitter.com/taherilou", "taherilou")</f>
        <v>taherilou</v>
      </c>
      <c r="B3452" s="65"/>
    </row>
    <row r="3453" spans="1:2" x14ac:dyDescent="0.25">
      <c r="A3453" s="64" t="str">
        <f>HYPERLINK("http://www.twitter.com/mallgallarts", "mallgallarts")</f>
        <v>mallgallarts</v>
      </c>
      <c r="B3453" s="65" t="s">
        <v>1033</v>
      </c>
    </row>
    <row r="3454" spans="1:2" x14ac:dyDescent="0.25">
      <c r="A3454" s="64" t="str">
        <f>HYPERLINK("http://www.twitter.com/InsideOban", "InsideOban")</f>
        <v>InsideOban</v>
      </c>
      <c r="B3454" s="65" t="s">
        <v>4991</v>
      </c>
    </row>
    <row r="3455" spans="1:2" x14ac:dyDescent="0.25">
      <c r="A3455" s="64" t="str">
        <f>HYPERLINK("http://www.twitter.com/SiobhanSimpso10", "SiobhanSimpso10")</f>
        <v>SiobhanSimpso10</v>
      </c>
      <c r="B3455" s="65" t="s">
        <v>3972</v>
      </c>
    </row>
    <row r="3456" spans="1:2" x14ac:dyDescent="0.25">
      <c r="A3456" s="64" t="str">
        <f>HYPERLINK("http://www.twitter.com/OlavDarge", "OlavDarge")</f>
        <v>OlavDarge</v>
      </c>
      <c r="B3456" s="65" t="s">
        <v>517</v>
      </c>
    </row>
    <row r="3457" spans="1:2" x14ac:dyDescent="0.25">
      <c r="A3457" s="64" t="str">
        <f>HYPERLINK("http://www.twitter.com/alexandra01856", "alexandra01856")</f>
        <v>alexandra01856</v>
      </c>
      <c r="B3457" s="65"/>
    </row>
    <row r="3458" spans="1:2" x14ac:dyDescent="0.25">
      <c r="A3458" s="64" t="str">
        <f>HYPERLINK("http://www.twitter.com/KA_library", "KA_library")</f>
        <v>KA_library</v>
      </c>
      <c r="B3458" s="65" t="s">
        <v>2366</v>
      </c>
    </row>
    <row r="3459" spans="1:2" x14ac:dyDescent="0.25">
      <c r="A3459" s="64" t="str">
        <f>HYPERLINK("http://www.twitter.com/greens_books", "greens_books")</f>
        <v>greens_books</v>
      </c>
      <c r="B3459" s="65" t="s">
        <v>1180</v>
      </c>
    </row>
    <row r="3460" spans="1:2" x14ac:dyDescent="0.25">
      <c r="A3460" s="64" t="str">
        <f>HYPERLINK("http://www.twitter.com/dylan_wareham3", "dylan_wareham3")</f>
        <v>dylan_wareham3</v>
      </c>
      <c r="B3460" s="65" t="s">
        <v>877</v>
      </c>
    </row>
    <row r="3461" spans="1:2" x14ac:dyDescent="0.25">
      <c r="A3461" s="64" t="str">
        <f>HYPERLINK("http://www.twitter.com/jaymick_1985", "jaymick_1985")</f>
        <v>jaymick_1985</v>
      </c>
      <c r="B3461" s="65" t="s">
        <v>3400</v>
      </c>
    </row>
    <row r="3462" spans="1:2" x14ac:dyDescent="0.25">
      <c r="A3462" s="64" t="str">
        <f>HYPERLINK("http://www.twitter.com/silviaff20", "silviaff20")</f>
        <v>silviaff20</v>
      </c>
      <c r="B3462" s="65" t="s">
        <v>4992</v>
      </c>
    </row>
    <row r="3463" spans="1:2" x14ac:dyDescent="0.25">
      <c r="A3463" s="64" t="str">
        <f>HYPERLINK("http://www.twitter.com/KM260", "KM260")</f>
        <v>KM260</v>
      </c>
      <c r="B3463" s="65"/>
    </row>
    <row r="3464" spans="1:2" x14ac:dyDescent="0.25">
      <c r="A3464" s="64" t="str">
        <f>HYPERLINK("http://www.twitter.com/EllisInkster", "EllisInkster")</f>
        <v>EllisInkster</v>
      </c>
      <c r="B3464" s="65"/>
    </row>
    <row r="3465" spans="1:2" x14ac:dyDescent="0.25">
      <c r="A3465" s="64" t="str">
        <f>HYPERLINK("http://www.twitter.com/uktravelroom", "uktravelroom")</f>
        <v>uktravelroom</v>
      </c>
      <c r="B3465" s="65" t="s">
        <v>4993</v>
      </c>
    </row>
    <row r="3466" spans="1:2" x14ac:dyDescent="0.25">
      <c r="A3466" s="64" t="str">
        <f>HYPERLINK("http://www.twitter.com/a_jamieson1", "a_jamieson1")</f>
        <v>a_jamieson1</v>
      </c>
      <c r="B3466" s="65" t="s">
        <v>24</v>
      </c>
    </row>
    <row r="3467" spans="1:2" x14ac:dyDescent="0.25">
      <c r="A3467" s="64" t="str">
        <f>HYPERLINK("http://www.twitter.com/EThOSBL", "EThOSBL")</f>
        <v>EThOSBL</v>
      </c>
      <c r="B3467" s="65" t="s">
        <v>4994</v>
      </c>
    </row>
    <row r="3468" spans="1:2" x14ac:dyDescent="0.25">
      <c r="A3468" s="64" t="str">
        <f>HYPERLINK("http://www.twitter.com/ShakeyARFC", "ShakeyARFC")</f>
        <v>ShakeyARFC</v>
      </c>
      <c r="B3468" s="65" t="s">
        <v>3347</v>
      </c>
    </row>
    <row r="3469" spans="1:2" x14ac:dyDescent="0.25">
      <c r="A3469" s="64" t="str">
        <f>HYPERLINK("http://www.twitter.com/ElizDoy", "ElizDoy")</f>
        <v>ElizDoy</v>
      </c>
      <c r="B3469" s="65" t="s">
        <v>296</v>
      </c>
    </row>
    <row r="3470" spans="1:2" x14ac:dyDescent="0.25">
      <c r="A3470" s="64" t="str">
        <f>HYPERLINK("http://www.twitter.com/philipnreynolds", "philipnreynolds")</f>
        <v>philipnreynolds</v>
      </c>
      <c r="B3470" s="65" t="s">
        <v>4995</v>
      </c>
    </row>
    <row r="3471" spans="1:2" x14ac:dyDescent="0.25">
      <c r="A3471" s="64" t="str">
        <f>HYPERLINK("http://www.twitter.com/WestCountrySuzi", "WestCountrySuzi")</f>
        <v>WestCountrySuzi</v>
      </c>
      <c r="B3471" s="65"/>
    </row>
    <row r="3472" spans="1:2" x14ac:dyDescent="0.25">
      <c r="A3472" s="64" t="str">
        <f>HYPERLINK("http://www.twitter.com/LibraryRhino", "LibraryRhino")</f>
        <v>LibraryRhino</v>
      </c>
      <c r="B3472" s="65"/>
    </row>
    <row r="3473" spans="1:2" x14ac:dyDescent="0.25">
      <c r="A3473" s="64" t="str">
        <f>HYPERLINK("http://www.twitter.com/HenzWard", "HenzWard")</f>
        <v>HenzWard</v>
      </c>
      <c r="B3473" s="65" t="s">
        <v>36</v>
      </c>
    </row>
    <row r="3474" spans="1:2" x14ac:dyDescent="0.25">
      <c r="A3474" s="64" t="str">
        <f>HYPERLINK("http://www.twitter.com/Emily779B", "Emily779B")</f>
        <v>Emily779B</v>
      </c>
      <c r="B3474" s="65"/>
    </row>
    <row r="3475" spans="1:2" x14ac:dyDescent="0.25">
      <c r="A3475" s="64" t="str">
        <f>HYPERLINK("http://www.twitter.com/SaifeeBook", "SaifeeBook")</f>
        <v>SaifeeBook</v>
      </c>
      <c r="B3475" s="65" t="s">
        <v>3823</v>
      </c>
    </row>
    <row r="3476" spans="1:2" x14ac:dyDescent="0.25">
      <c r="A3476" s="64" t="str">
        <f>HYPERLINK("http://www.twitter.com/Bavelja", "Bavelja")</f>
        <v>Bavelja</v>
      </c>
      <c r="B3476" s="65" t="s">
        <v>310</v>
      </c>
    </row>
    <row r="3477" spans="1:2" x14ac:dyDescent="0.25">
      <c r="A3477" s="64" t="str">
        <f>HYPERLINK("http://www.twitter.com/kithomes", "kithomes")</f>
        <v>kithomes</v>
      </c>
      <c r="B3477" s="65" t="s">
        <v>4996</v>
      </c>
    </row>
    <row r="3478" spans="1:2" x14ac:dyDescent="0.25">
      <c r="A3478" s="64" t="str">
        <f>HYPERLINK("http://www.twitter.com/SCooperMoray", "SCooperMoray")</f>
        <v>SCooperMoray</v>
      </c>
      <c r="B3478" s="65" t="s">
        <v>4895</v>
      </c>
    </row>
    <row r="3479" spans="1:2" x14ac:dyDescent="0.25">
      <c r="A3479" s="64" t="str">
        <f>HYPERLINK("http://www.twitter.com/NUALibrary", "NUALibrary")</f>
        <v>NUALibrary</v>
      </c>
      <c r="B3479" s="65" t="s">
        <v>1511</v>
      </c>
    </row>
    <row r="3480" spans="1:2" x14ac:dyDescent="0.25">
      <c r="A3480" s="64" t="str">
        <f>HYPERLINK("http://www.twitter.com/NewsUKArchives", "NewsUKArchives")</f>
        <v>NewsUKArchives</v>
      </c>
      <c r="B3480" s="65" t="s">
        <v>36</v>
      </c>
    </row>
    <row r="3481" spans="1:2" x14ac:dyDescent="0.25">
      <c r="A3481" s="64" t="str">
        <f>HYPERLINK("http://www.twitter.com/musacces", "musacces")</f>
        <v>musacces</v>
      </c>
      <c r="B3481" s="65" t="s">
        <v>4997</v>
      </c>
    </row>
    <row r="3482" spans="1:2" x14ac:dyDescent="0.25">
      <c r="A3482" s="64" t="str">
        <f>HYPERLINK("http://www.twitter.com/Davogray", "Davogray")</f>
        <v>Davogray</v>
      </c>
      <c r="B3482" s="65" t="s">
        <v>4998</v>
      </c>
    </row>
    <row r="3483" spans="1:2" x14ac:dyDescent="0.25">
      <c r="A3483" s="64" t="str">
        <f>HYPERLINK("http://www.twitter.com/howardlee58", "howardlee58")</f>
        <v>howardlee58</v>
      </c>
      <c r="B3483" s="65" t="s">
        <v>4999</v>
      </c>
    </row>
    <row r="3484" spans="1:2" x14ac:dyDescent="0.25">
      <c r="A3484" s="64" t="str">
        <f>HYPERLINK("http://www.twitter.com/orkneydeafCS", "orkneydeafCS")</f>
        <v>orkneydeafCS</v>
      </c>
      <c r="B3484" s="65" t="s">
        <v>5000</v>
      </c>
    </row>
    <row r="3485" spans="1:2" x14ac:dyDescent="0.25">
      <c r="A3485" s="64" t="str">
        <f>HYPERLINK("http://www.twitter.com/WelcomeLondon_", "WelcomeLondon_")</f>
        <v>WelcomeLondon_</v>
      </c>
      <c r="B3485" s="65" t="s">
        <v>477</v>
      </c>
    </row>
    <row r="3486" spans="1:2" x14ac:dyDescent="0.25">
      <c r="A3486" s="64" t="str">
        <f>HYPERLINK("http://www.twitter.com/mtmorcelle", "mtmorcelle")</f>
        <v>mtmorcelle</v>
      </c>
      <c r="B3486" s="65"/>
    </row>
    <row r="3487" spans="1:2" x14ac:dyDescent="0.25">
      <c r="A3487" s="64" t="str">
        <f>HYPERLINK("http://www.twitter.com/DigitALL_Media", "DigitALL_Media")</f>
        <v>DigitALL_Media</v>
      </c>
      <c r="B3487" s="65" t="s">
        <v>2007</v>
      </c>
    </row>
    <row r="3488" spans="1:2" x14ac:dyDescent="0.25">
      <c r="A3488" s="64" t="str">
        <f>HYPERLINK("http://www.twitter.com/freeplectures", "freeplectures")</f>
        <v>freeplectures</v>
      </c>
      <c r="B3488" s="65"/>
    </row>
    <row r="3489" spans="1:2" x14ac:dyDescent="0.25">
      <c r="A3489" s="64" t="str">
        <f>HYPERLINK("http://www.twitter.com/CelticChamele0n", "CelticChamele0n")</f>
        <v>CelticChamele0n</v>
      </c>
      <c r="B3489" s="65" t="s">
        <v>4205</v>
      </c>
    </row>
    <row r="3490" spans="1:2" x14ac:dyDescent="0.25">
      <c r="A3490" s="64" t="str">
        <f>HYPERLINK("http://www.twitter.com/drumfoot", "drumfoot")</f>
        <v>drumfoot</v>
      </c>
      <c r="B3490" s="65"/>
    </row>
    <row r="3491" spans="1:2" x14ac:dyDescent="0.25">
      <c r="A3491" s="64" t="str">
        <f>HYPERLINK("http://www.twitter.com/0XVBKo9TZI9JBQd", "0XVBKo9TZI9JBQd")</f>
        <v>0XVBKo9TZI9JBQd</v>
      </c>
      <c r="B3491" s="65"/>
    </row>
    <row r="3492" spans="1:2" x14ac:dyDescent="0.25">
      <c r="A3492" s="64" t="str">
        <f>HYPERLINK("http://www.twitter.com/EmilyEatsBooks", "EmilyEatsBooks")</f>
        <v>EmilyEatsBooks</v>
      </c>
      <c r="B3492" s="65" t="s">
        <v>5002</v>
      </c>
    </row>
    <row r="3493" spans="1:2" x14ac:dyDescent="0.25">
      <c r="A3493" s="64" t="str">
        <f>HYPERLINK("http://www.twitter.com/venkatsatti84", "venkatsatti84")</f>
        <v>venkatsatti84</v>
      </c>
      <c r="B3493" s="65"/>
    </row>
    <row r="3494" spans="1:2" x14ac:dyDescent="0.25">
      <c r="A3494" s="64" t="str">
        <f>HYPERLINK("http://www.twitter.com/Raybhanumoti", "Raybhanumoti")</f>
        <v>Raybhanumoti</v>
      </c>
      <c r="B3494" s="65"/>
    </row>
    <row r="3495" spans="1:2" x14ac:dyDescent="0.25">
      <c r="A3495" s="64" t="str">
        <f>HYPERLINK("http://www.twitter.com/Megan_Jade3", "Megan_Jade3")</f>
        <v>Megan_Jade3</v>
      </c>
      <c r="B3495" s="65" t="s">
        <v>2557</v>
      </c>
    </row>
    <row r="3496" spans="1:2" x14ac:dyDescent="0.25">
      <c r="A3496" s="64" t="str">
        <f>HYPERLINK("http://www.twitter.com/juliegail1986", "juliegail1986")</f>
        <v>juliegail1986</v>
      </c>
      <c r="B3496" s="65" t="s">
        <v>5003</v>
      </c>
    </row>
    <row r="3497" spans="1:2" x14ac:dyDescent="0.25">
      <c r="A3497" s="64" t="str">
        <f>HYPERLINK("http://www.twitter.com/chelseaiswright", "chelseaiswright")</f>
        <v>chelseaiswright</v>
      </c>
      <c r="B3497" s="65" t="s">
        <v>4147</v>
      </c>
    </row>
    <row r="3498" spans="1:2" x14ac:dyDescent="0.25">
      <c r="A3498" s="64" t="str">
        <f>HYPERLINK("http://www.twitter.com/Just2seeUhappy", "Just2seeUhappy")</f>
        <v>Just2seeUhappy</v>
      </c>
      <c r="B3498" s="65" t="s">
        <v>3948</v>
      </c>
    </row>
    <row r="3499" spans="1:2" x14ac:dyDescent="0.25">
      <c r="A3499" s="64" t="str">
        <f>HYPERLINK("http://www.twitter.com/AnnMassie18", "AnnMassie18")</f>
        <v>AnnMassie18</v>
      </c>
      <c r="B3499" s="65"/>
    </row>
    <row r="3500" spans="1:2" x14ac:dyDescent="0.25">
      <c r="A3500" s="64" t="str">
        <f>HYPERLINK("http://www.twitter.com/Walshywalshy67", "Walshywalshy67")</f>
        <v>Walshywalshy67</v>
      </c>
      <c r="B3500" s="65"/>
    </row>
    <row r="3501" spans="1:2" x14ac:dyDescent="0.25">
      <c r="A3501" s="64" t="str">
        <f>HYPERLINK("http://www.twitter.com/Bookmarks_books", "Bookmarks_books")</f>
        <v>Bookmarks_books</v>
      </c>
      <c r="B3501" s="65" t="s">
        <v>4500</v>
      </c>
    </row>
    <row r="3502" spans="1:2" x14ac:dyDescent="0.25">
      <c r="A3502" s="64" t="str">
        <f>HYPERLINK("http://www.twitter.com/alloatiser", "alloatiser")</f>
        <v>alloatiser</v>
      </c>
      <c r="B3502" s="65" t="s">
        <v>3213</v>
      </c>
    </row>
    <row r="3503" spans="1:2" x14ac:dyDescent="0.25">
      <c r="A3503" s="64" t="str">
        <f>HYPERLINK("http://www.twitter.com/ChrichaChambers", "ChrichaChambers")</f>
        <v>ChrichaChambers</v>
      </c>
      <c r="B3503" s="65" t="s">
        <v>5004</v>
      </c>
    </row>
    <row r="3504" spans="1:2" x14ac:dyDescent="0.25">
      <c r="A3504" s="64" t="str">
        <f>HYPERLINK("http://www.twitter.com/BurchettVogler", "BurchettVogler")</f>
        <v>BurchettVogler</v>
      </c>
      <c r="B3504" s="65" t="s">
        <v>5005</v>
      </c>
    </row>
    <row r="3505" spans="1:2" x14ac:dyDescent="0.25">
      <c r="A3505" s="64" t="str">
        <f>HYPERLINK("http://www.twitter.com/Philbradley", "Philbradley")</f>
        <v>Philbradley</v>
      </c>
      <c r="B3505" s="65" t="s">
        <v>5006</v>
      </c>
    </row>
    <row r="3506" spans="1:2" x14ac:dyDescent="0.25">
      <c r="A3506" s="64" t="str">
        <f>HYPERLINK("http://www.twitter.com/plantagious", "plantagious")</f>
        <v>plantagious</v>
      </c>
      <c r="B3506" s="65"/>
    </row>
    <row r="3507" spans="1:2" x14ac:dyDescent="0.25">
      <c r="A3507" s="64" t="str">
        <f>HYPERLINK("http://www.twitter.com/jana_robertson0", "jana_robertson0")</f>
        <v>jana_robertson0</v>
      </c>
      <c r="B3507" s="65"/>
    </row>
    <row r="3508" spans="1:2" x14ac:dyDescent="0.25">
      <c r="A3508" s="64" t="str">
        <f>HYPERLINK("http://www.twitter.com/SusannahBirch", "SusannahBirch")</f>
        <v>SusannahBirch</v>
      </c>
      <c r="B3508" s="65" t="s">
        <v>3988</v>
      </c>
    </row>
    <row r="3509" spans="1:2" x14ac:dyDescent="0.25">
      <c r="A3509" s="64" t="str">
        <f>HYPERLINK("http://www.twitter.com/Official5ive", "Official5ive")</f>
        <v>Official5ive</v>
      </c>
      <c r="B3509" s="65"/>
    </row>
    <row r="3510" spans="1:2" x14ac:dyDescent="0.25">
      <c r="A3510" s="64" t="str">
        <f>HYPERLINK("http://www.twitter.com/Outlandersasse2", "Outlandersasse2")</f>
        <v>Outlandersasse2</v>
      </c>
      <c r="B3510" s="65" t="s">
        <v>3988</v>
      </c>
    </row>
    <row r="3511" spans="1:2" x14ac:dyDescent="0.25">
      <c r="A3511" s="64" t="str">
        <f>HYPERLINK("http://www.twitter.com/TheLibrarian__", "TheLibrarian__")</f>
        <v>TheLibrarian__</v>
      </c>
      <c r="B3511" s="65" t="s">
        <v>487</v>
      </c>
    </row>
    <row r="3512" spans="1:2" x14ac:dyDescent="0.25">
      <c r="A3512" s="64" t="str">
        <f>HYPERLINK("http://www.twitter.com/peterjcherry", "peterjcherry")</f>
        <v>peterjcherry</v>
      </c>
      <c r="B3512" s="65" t="s">
        <v>5007</v>
      </c>
    </row>
    <row r="3513" spans="1:2" x14ac:dyDescent="0.25">
      <c r="A3513" s="64" t="str">
        <f>HYPERLINK("http://www.twitter.com/bridgetteagbvx", "bridgetteagbvx")</f>
        <v>bridgetteagbvx</v>
      </c>
      <c r="B3513" s="65"/>
    </row>
    <row r="3514" spans="1:2" x14ac:dyDescent="0.25">
      <c r="A3514" s="64" t="str">
        <f>HYPERLINK("http://www.twitter.com/EmmaMegeneGrant", "EmmaMegeneGrant")</f>
        <v>EmmaMegeneGrant</v>
      </c>
      <c r="B3514" s="65" t="s">
        <v>3762</v>
      </c>
    </row>
    <row r="3515" spans="1:2" x14ac:dyDescent="0.25">
      <c r="A3515" s="64" t="str">
        <f>HYPERLINK("http://www.twitter.com/CeilidhAndCat", "CeilidhAndCat")</f>
        <v>CeilidhAndCat</v>
      </c>
      <c r="B3515" s="65"/>
    </row>
    <row r="3516" spans="1:2" x14ac:dyDescent="0.25">
      <c r="A3516" s="64" t="str">
        <f>HYPERLINK("http://www.twitter.com/uselessenergy01", "uselessenergy01")</f>
        <v>uselessenergy01</v>
      </c>
      <c r="B3516" s="65"/>
    </row>
    <row r="3517" spans="1:2" x14ac:dyDescent="0.25">
      <c r="A3517" s="64" t="str">
        <f>HYPERLINK("http://www.twitter.com/ICTLlaura", "ICTLlaura")</f>
        <v>ICTLlaura</v>
      </c>
      <c r="B3517" s="65" t="s">
        <v>883</v>
      </c>
    </row>
    <row r="3518" spans="1:2" x14ac:dyDescent="0.25">
      <c r="A3518" s="64" t="str">
        <f>HYPERLINK("http://www.twitter.com/CampbeltownHC", "CampbeltownHC")</f>
        <v>CampbeltownHC</v>
      </c>
      <c r="B3518" s="65" t="s">
        <v>5008</v>
      </c>
    </row>
    <row r="3519" spans="1:2" x14ac:dyDescent="0.25">
      <c r="A3519" s="64" t="str">
        <f>HYPERLINK("http://www.twitter.com/jonnty", "jonnty")</f>
        <v>jonnty</v>
      </c>
      <c r="B3519" s="65"/>
    </row>
    <row r="3520" spans="1:2" x14ac:dyDescent="0.25">
      <c r="A3520" s="64" t="str">
        <f>HYPERLINK("http://www.twitter.com/STVEleanor", "STVEleanor")</f>
        <v>STVEleanor</v>
      </c>
      <c r="B3520" s="65" t="s">
        <v>5009</v>
      </c>
    </row>
    <row r="3521" spans="1:2" x14ac:dyDescent="0.25">
      <c r="A3521" s="64" t="str">
        <f>HYPERLINK("http://www.twitter.com/BehanGggerty", "BehanGggerty")</f>
        <v>BehanGggerty</v>
      </c>
      <c r="B3521" s="65"/>
    </row>
    <row r="3522" spans="1:2" x14ac:dyDescent="0.25">
      <c r="A3522" s="64" t="str">
        <f>HYPERLINK("http://www.twitter.com/Heritage_North", "Heritage_North")</f>
        <v>Heritage_North</v>
      </c>
      <c r="B3522" s="65" t="s">
        <v>3800</v>
      </c>
    </row>
    <row r="3523" spans="1:2" x14ac:dyDescent="0.25">
      <c r="A3523" s="64" t="str">
        <f>HYPERLINK("http://www.twitter.com/CharisJayne", "CharisJayne")</f>
        <v>CharisJayne</v>
      </c>
      <c r="B3523" s="65" t="s">
        <v>4327</v>
      </c>
    </row>
    <row r="3524" spans="1:2" x14ac:dyDescent="0.25">
      <c r="A3524" s="64" t="str">
        <f>HYPERLINK("http://www.twitter.com/vegus666", "vegus666")</f>
        <v>vegus666</v>
      </c>
      <c r="B3524" s="65" t="s">
        <v>5010</v>
      </c>
    </row>
    <row r="3525" spans="1:2" x14ac:dyDescent="0.25">
      <c r="A3525" s="64" t="str">
        <f>HYPERLINK("http://www.twitter.com/WritetimesTweet", "WritetimesTweet")</f>
        <v>WritetimesTweet</v>
      </c>
      <c r="B3525" s="65" t="s">
        <v>5011</v>
      </c>
    </row>
    <row r="3526" spans="1:2" x14ac:dyDescent="0.25">
      <c r="A3526" s="64" t="str">
        <f>HYPERLINK("http://www.twitter.com/marie_ralls", "marie_ralls")</f>
        <v>marie_ralls</v>
      </c>
      <c r="B3526" s="65" t="s">
        <v>5012</v>
      </c>
    </row>
    <row r="3527" spans="1:2" x14ac:dyDescent="0.25">
      <c r="A3527" s="64" t="str">
        <f>HYPERLINK("http://www.twitter.com/dakotalib", "dakotalib")</f>
        <v>dakotalib</v>
      </c>
      <c r="B3527" s="65" t="s">
        <v>5013</v>
      </c>
    </row>
    <row r="3528" spans="1:2" x14ac:dyDescent="0.25">
      <c r="A3528" s="64" t="str">
        <f>HYPERLINK("http://www.twitter.com/lierrrre", "lierrrre")</f>
        <v>lierrrre</v>
      </c>
      <c r="B3528" s="65"/>
    </row>
    <row r="3529" spans="1:2" x14ac:dyDescent="0.25">
      <c r="A3529" s="64" t="str">
        <f>HYPERLINK("http://www.twitter.com/LibraryNessie", "LibraryNessie")</f>
        <v>LibraryNessie</v>
      </c>
      <c r="B3529" s="65" t="s">
        <v>4522</v>
      </c>
    </row>
    <row r="3530" spans="1:2" x14ac:dyDescent="0.25">
      <c r="A3530" s="64" t="str">
        <f>HYPERLINK("http://www.twitter.com/debs_macloud", "debs_macloud")</f>
        <v>debs_macloud</v>
      </c>
      <c r="B3530" s="65"/>
    </row>
    <row r="3531" spans="1:2" x14ac:dyDescent="0.25">
      <c r="A3531" s="64" t="str">
        <f>HYPERLINK("http://www.twitter.com/eurovision_ams", "eurovision_ams")</f>
        <v>eurovision_ams</v>
      </c>
      <c r="B3531" s="65" t="s">
        <v>5014</v>
      </c>
    </row>
    <row r="3532" spans="1:2" x14ac:dyDescent="0.25">
      <c r="A3532" s="64" t="str">
        <f>HYPERLINK("http://www.twitter.com/EuroFootballonl", "EuroFootballonl")</f>
        <v>EuroFootballonl</v>
      </c>
      <c r="B3532" s="65" t="s">
        <v>4862</v>
      </c>
    </row>
    <row r="3533" spans="1:2" x14ac:dyDescent="0.25">
      <c r="A3533" s="64" t="str">
        <f>HYPERLINK("http://www.twitter.com/abbyrosetea", "abbyrosetea")</f>
        <v>abbyrosetea</v>
      </c>
      <c r="B3533" s="65"/>
    </row>
    <row r="3534" spans="1:2" x14ac:dyDescent="0.25">
      <c r="A3534" s="64" t="str">
        <f>HYPERLINK("http://www.twitter.com/stephanieann09", "stephanieann09")</f>
        <v>stephanieann09</v>
      </c>
      <c r="B3534" s="65" t="s">
        <v>5015</v>
      </c>
    </row>
    <row r="3535" spans="1:2" x14ac:dyDescent="0.25">
      <c r="A3535" s="64" t="str">
        <f>HYPERLINK("http://www.twitter.com/LAICDGroup", "LAICDGroup")</f>
        <v>LAICDGroup</v>
      </c>
      <c r="B3535" s="65" t="s">
        <v>4062</v>
      </c>
    </row>
    <row r="3536" spans="1:2" x14ac:dyDescent="0.25">
      <c r="A3536" s="64" t="str">
        <f>HYPERLINK("http://www.twitter.com/TwinCitiesSinC", "TwinCitiesSinC")</f>
        <v>TwinCitiesSinC</v>
      </c>
      <c r="B3536" s="65" t="s">
        <v>5016</v>
      </c>
    </row>
    <row r="3537" spans="1:2" x14ac:dyDescent="0.25">
      <c r="A3537" s="64" t="str">
        <f>HYPERLINK("http://www.twitter.com/UmfrageDeutsch", "UmfrageDeutsch")</f>
        <v>UmfrageDeutsch</v>
      </c>
      <c r="B3537" s="65"/>
    </row>
    <row r="3538" spans="1:2" x14ac:dyDescent="0.25">
      <c r="A3538" s="64" t="str">
        <f>HYPERLINK("http://www.twitter.com/yesli_eto_ne_ya", "yesli_eto_ne_ya")</f>
        <v>yesli_eto_ne_ya</v>
      </c>
      <c r="B3538" s="65" t="s">
        <v>36</v>
      </c>
    </row>
    <row r="3539" spans="1:2" x14ac:dyDescent="0.25">
      <c r="A3539" s="64" t="str">
        <f>HYPERLINK("http://www.twitter.com/Bmthlibs", "Bmthlibs")</f>
        <v>Bmthlibs</v>
      </c>
      <c r="B3539" s="65" t="s">
        <v>1649</v>
      </c>
    </row>
    <row r="3540" spans="1:2" x14ac:dyDescent="0.25">
      <c r="A3540" s="64" t="str">
        <f>HYPERLINK("http://www.twitter.com/TheSRCT", "TheSRCT")</f>
        <v>TheSRCT</v>
      </c>
      <c r="B3540" s="65" t="s">
        <v>517</v>
      </c>
    </row>
    <row r="3541" spans="1:2" x14ac:dyDescent="0.25">
      <c r="A3541" s="64" t="str">
        <f>HYPERLINK("http://www.twitter.com/FeeSumm", "FeeSumm")</f>
        <v>FeeSumm</v>
      </c>
      <c r="B3541" s="65" t="s">
        <v>20</v>
      </c>
    </row>
    <row r="3542" spans="1:2" x14ac:dyDescent="0.25">
      <c r="A3542" s="64" t="str">
        <f>HYPERLINK("http://www.twitter.com/MuseumChildhood", "MuseumChildhood")</f>
        <v>MuseumChildhood</v>
      </c>
      <c r="B3542" s="65" t="s">
        <v>5017</v>
      </c>
    </row>
    <row r="3543" spans="1:2" x14ac:dyDescent="0.25">
      <c r="A3543" s="64" t="str">
        <f>HYPERLINK("http://www.twitter.com/BrahmiMohsen", "BrahmiMohsen")</f>
        <v>BrahmiMohsen</v>
      </c>
      <c r="B3543" s="65"/>
    </row>
    <row r="3544" spans="1:2" x14ac:dyDescent="0.25">
      <c r="A3544" s="64" t="str">
        <f>HYPERLINK("http://www.twitter.com/eclecticeden", "eclecticeden")</f>
        <v>eclecticeden</v>
      </c>
      <c r="B3544" s="65" t="s">
        <v>477</v>
      </c>
    </row>
    <row r="3545" spans="1:2" x14ac:dyDescent="0.25">
      <c r="A3545" s="64" t="str">
        <f>HYPERLINK("http://www.twitter.com/jefry_arcillas", "jefry_arcillas")</f>
        <v>jefry_arcillas</v>
      </c>
      <c r="B3545" s="65" t="s">
        <v>5018</v>
      </c>
    </row>
    <row r="3546" spans="1:2" x14ac:dyDescent="0.25">
      <c r="A3546" s="64" t="str">
        <f>HYPERLINK("http://www.twitter.com/mufforeo68", "mufforeo68")</f>
        <v>mufforeo68</v>
      </c>
      <c r="B3546" s="65"/>
    </row>
    <row r="3547" spans="1:2" x14ac:dyDescent="0.25">
      <c r="A3547" s="64" t="str">
        <f>HYPERLINK("http://www.twitter.com/LesWoodWriting", "LesWoodWriting")</f>
        <v>LesWoodWriting</v>
      </c>
      <c r="B3547" s="65"/>
    </row>
    <row r="3548" spans="1:2" x14ac:dyDescent="0.25">
      <c r="A3548" s="64" t="str">
        <f>HYPERLINK("http://www.twitter.com/PaulBat71602011", "PaulBat71602011")</f>
        <v>PaulBat71602011</v>
      </c>
      <c r="B3548" s="65" t="s">
        <v>4446</v>
      </c>
    </row>
    <row r="3549" spans="1:2" x14ac:dyDescent="0.25">
      <c r="A3549" s="64" t="str">
        <f>HYPERLINK("http://www.twitter.com/wilma1711", "wilma1711")</f>
        <v>wilma1711</v>
      </c>
      <c r="B3549" s="65"/>
    </row>
    <row r="3550" spans="1:2" x14ac:dyDescent="0.25">
      <c r="A3550" s="64" t="str">
        <f>HYPERLINK("http://www.twitter.com/Lolsgrove", "Lolsgrove")</f>
        <v>Lolsgrove</v>
      </c>
      <c r="B3550" s="65" t="s">
        <v>36</v>
      </c>
    </row>
    <row r="3551" spans="1:2" x14ac:dyDescent="0.25">
      <c r="A3551" s="64" t="str">
        <f>HYPERLINK("http://www.twitter.com/GaryHart_HoP", "GaryHart_HoP")</f>
        <v>GaryHart_HoP</v>
      </c>
      <c r="B3551" s="65"/>
    </row>
    <row r="3552" spans="1:2" x14ac:dyDescent="0.25">
      <c r="A3552" s="64" t="str">
        <f>HYPERLINK("http://www.twitter.com/BenitaEmily", "BenitaEmily")</f>
        <v>BenitaEmily</v>
      </c>
      <c r="B3552" s="65" t="s">
        <v>318</v>
      </c>
    </row>
    <row r="3553" spans="1:2" x14ac:dyDescent="0.25">
      <c r="A3553" s="64" t="str">
        <f>HYPERLINK("http://www.twitter.com/EmmaStead5", "EmmaStead5")</f>
        <v>EmmaStead5</v>
      </c>
      <c r="B3553" s="65"/>
    </row>
    <row r="3554" spans="1:2" x14ac:dyDescent="0.25">
      <c r="A3554" s="64" t="str">
        <f>HYPERLINK("http://www.twitter.com/Josie_Howl", "Josie_Howl")</f>
        <v>Josie_Howl</v>
      </c>
      <c r="B3554" s="65" t="s">
        <v>4763</v>
      </c>
    </row>
    <row r="3555" spans="1:2" x14ac:dyDescent="0.25">
      <c r="A3555" s="64" t="str">
        <f>HYPERLINK("http://www.twitter.com/belaghoul", "belaghoul")</f>
        <v>belaghoul</v>
      </c>
      <c r="B3555" s="65" t="s">
        <v>2007</v>
      </c>
    </row>
    <row r="3556" spans="1:2" x14ac:dyDescent="0.25">
      <c r="A3556" s="64" t="str">
        <f>HYPERLINK("http://www.twitter.com/LandmarkHeather", "LandmarkHeather")</f>
        <v>LandmarkHeather</v>
      </c>
      <c r="B3556" s="65" t="s">
        <v>5019</v>
      </c>
    </row>
    <row r="3557" spans="1:2" x14ac:dyDescent="0.25">
      <c r="A3557" s="64" t="str">
        <f>HYPERLINK("http://www.twitter.com/AnnieDeStrange", "AnnieDeStrange")</f>
        <v>AnnieDeStrange</v>
      </c>
      <c r="B3557" s="65"/>
    </row>
    <row r="3558" spans="1:2" x14ac:dyDescent="0.25">
      <c r="A3558" s="64" t="str">
        <f>HYPERLINK("http://www.twitter.com/fridgehead", "fridgehead")</f>
        <v>fridgehead</v>
      </c>
      <c r="B3558" s="65" t="s">
        <v>4716</v>
      </c>
    </row>
    <row r="3559" spans="1:2" x14ac:dyDescent="0.25">
      <c r="A3559" s="64" t="str">
        <f>HYPERLINK("http://www.twitter.com/STEMDEC", "STEMDEC")</f>
        <v>STEMDEC</v>
      </c>
      <c r="B3559" s="65" t="s">
        <v>4057</v>
      </c>
    </row>
    <row r="3560" spans="1:2" x14ac:dyDescent="0.25">
      <c r="A3560" s="64" t="str">
        <f>HYPERLINK("http://www.twitter.com/fusionet24", "fusionet24")</f>
        <v>fusionet24</v>
      </c>
      <c r="B3560" s="65" t="s">
        <v>5020</v>
      </c>
    </row>
    <row r="3561" spans="1:2" x14ac:dyDescent="0.25">
      <c r="A3561" s="64" t="str">
        <f>HYPERLINK("http://www.twitter.com/riggy_bogger", "riggy_bogger")</f>
        <v>riggy_bogger</v>
      </c>
      <c r="B3561" s="65"/>
    </row>
    <row r="3562" spans="1:2" x14ac:dyDescent="0.25">
      <c r="A3562" s="64" t="str">
        <f>HYPERLINK("http://www.twitter.com/Gasmask417", "Gasmask417")</f>
        <v>Gasmask417</v>
      </c>
      <c r="B3562" s="65"/>
    </row>
    <row r="3563" spans="1:2" x14ac:dyDescent="0.25">
      <c r="A3563" s="64" t="str">
        <f>HYPERLINK("http://www.twitter.com/RagnarBuliwyf", "RagnarBuliwyf")</f>
        <v>RagnarBuliwyf</v>
      </c>
      <c r="B3563" s="65" t="s">
        <v>2619</v>
      </c>
    </row>
    <row r="3564" spans="1:2" x14ac:dyDescent="0.25">
      <c r="A3564" s="64" t="str">
        <f>HYPERLINK("http://www.twitter.com/RobertsDwr", "RobertsDwr")</f>
        <v>RobertsDwr</v>
      </c>
      <c r="B3564" s="65"/>
    </row>
    <row r="3565" spans="1:2" x14ac:dyDescent="0.25">
      <c r="A3565" s="64" t="str">
        <f>HYPERLINK("http://www.twitter.com/ZachAtkins1", "ZachAtkins1")</f>
        <v>ZachAtkins1</v>
      </c>
      <c r="B3565" s="65" t="s">
        <v>5021</v>
      </c>
    </row>
    <row r="3566" spans="1:2" x14ac:dyDescent="0.25">
      <c r="A3566" s="64" t="str">
        <f>HYPERLINK("http://www.twitter.com/Monkeybryan", "Monkeybryan")</f>
        <v>Monkeybryan</v>
      </c>
      <c r="B3566" s="65"/>
    </row>
    <row r="3567" spans="1:2" x14ac:dyDescent="0.25">
      <c r="A3567" s="64" t="str">
        <f>HYPERLINK("http://www.twitter.com/bgclub77", "bgclub77")</f>
        <v>bgclub77</v>
      </c>
      <c r="B3567" s="65"/>
    </row>
    <row r="3568" spans="1:2" x14ac:dyDescent="0.25">
      <c r="A3568" s="64" t="str">
        <f>HYPERLINK("http://www.twitter.com/Raklaklak", "Raklaklak")</f>
        <v>Raklaklak</v>
      </c>
      <c r="B3568" s="65" t="s">
        <v>296</v>
      </c>
    </row>
    <row r="3569" spans="1:2" x14ac:dyDescent="0.25">
      <c r="A3569" s="64" t="str">
        <f>HYPERLINK("http://www.twitter.com/samom7", "samom7")</f>
        <v>samom7</v>
      </c>
      <c r="B3569" s="65" t="s">
        <v>1218</v>
      </c>
    </row>
    <row r="3570" spans="1:2" x14ac:dyDescent="0.25">
      <c r="A3570" s="64" t="str">
        <f>HYPERLINK("http://www.twitter.com/Thrishconlon", "Thrishconlon")</f>
        <v>Thrishconlon</v>
      </c>
      <c r="B3570" s="65" t="s">
        <v>5022</v>
      </c>
    </row>
    <row r="3571" spans="1:2" x14ac:dyDescent="0.25">
      <c r="A3571" s="64" t="str">
        <f>HYPERLINK("http://www.twitter.com/birminghamb6", "birminghamb6")</f>
        <v>birminghamb6</v>
      </c>
      <c r="B3571" s="65" t="s">
        <v>5023</v>
      </c>
    </row>
    <row r="3572" spans="1:2" x14ac:dyDescent="0.25">
      <c r="A3572" s="64" t="str">
        <f>HYPERLINK("http://www.twitter.com/Buxxbaum09", "Buxxbaum09")</f>
        <v>Buxxbaum09</v>
      </c>
      <c r="B3572" s="65"/>
    </row>
    <row r="3573" spans="1:2" x14ac:dyDescent="0.25">
      <c r="A3573" s="64" t="str">
        <f>HYPERLINK("http://www.twitter.com/Mr_deggy", "Mr_deggy")</f>
        <v>Mr_deggy</v>
      </c>
      <c r="B3573" s="65" t="s">
        <v>5024</v>
      </c>
    </row>
    <row r="3574" spans="1:2" x14ac:dyDescent="0.25">
      <c r="A3574" s="64" t="str">
        <f>HYPERLINK("http://www.twitter.com/nicolenicassio", "nicolenicassio")</f>
        <v>nicolenicassio</v>
      </c>
      <c r="B3574" s="65" t="s">
        <v>5025</v>
      </c>
    </row>
    <row r="3575" spans="1:2" x14ac:dyDescent="0.25">
      <c r="A3575" s="64" t="str">
        <f>HYPERLINK("http://www.twitter.com/h_hebbinge45", "h_hebbinge45")</f>
        <v>h_hebbinge45</v>
      </c>
      <c r="B3575" s="65"/>
    </row>
    <row r="3576" spans="1:2" x14ac:dyDescent="0.25">
      <c r="A3576" s="64" t="str">
        <f>HYPERLINK("http://www.twitter.com/AmericaPostcard", "AmericaPostcard")</f>
        <v>AmericaPostcard</v>
      </c>
      <c r="B3576" s="65" t="s">
        <v>5026</v>
      </c>
    </row>
    <row r="3577" spans="1:2" x14ac:dyDescent="0.25">
      <c r="A3577" s="64" t="str">
        <f>HYPERLINK("http://www.twitter.com/blantarbhoy67", "blantarbhoy67")</f>
        <v>blantarbhoy67</v>
      </c>
      <c r="B3577" s="65"/>
    </row>
    <row r="3578" spans="1:2" x14ac:dyDescent="0.25">
      <c r="A3578" s="64" t="str">
        <f>HYPERLINK("http://www.twitter.com/markshreeenan", "markshreeenan")</f>
        <v>markshreeenan</v>
      </c>
      <c r="B3578" s="65" t="s">
        <v>3529</v>
      </c>
    </row>
    <row r="3579" spans="1:2" x14ac:dyDescent="0.25">
      <c r="A3579" s="64" t="str">
        <f>HYPERLINK("http://www.twitter.com/mac_woody", "mac_woody")</f>
        <v>mac_woody</v>
      </c>
      <c r="B3579" s="65"/>
    </row>
    <row r="3580" spans="1:2" x14ac:dyDescent="0.25">
      <c r="A3580" s="64" t="str">
        <f>HYPERLINK("http://www.twitter.com/ResearchWitch", "ResearchWitch")</f>
        <v>ResearchWitch</v>
      </c>
      <c r="B3580" s="65"/>
    </row>
    <row r="3581" spans="1:2" x14ac:dyDescent="0.25">
      <c r="A3581" s="64" t="str">
        <f>HYPERLINK("http://www.twitter.com/aalam_ashfaque", "aalam_ashfaque")</f>
        <v>aalam_ashfaque</v>
      </c>
      <c r="B3581" s="65"/>
    </row>
    <row r="3582" spans="1:2" x14ac:dyDescent="0.25">
      <c r="A3582" s="64" t="str">
        <f>HYPERLINK("http://www.twitter.com/Greenawayjackie", "Greenawayjackie")</f>
        <v>Greenawayjackie</v>
      </c>
      <c r="B3582" s="65"/>
    </row>
    <row r="3583" spans="1:2" x14ac:dyDescent="0.25">
      <c r="A3583" s="64" t="str">
        <f>HYPERLINK("http://www.twitter.com/elly8foot", "elly8foot")</f>
        <v>elly8foot</v>
      </c>
      <c r="B3583" s="65" t="s">
        <v>5027</v>
      </c>
    </row>
    <row r="3584" spans="1:2" x14ac:dyDescent="0.25">
      <c r="A3584" s="64" t="str">
        <f>HYPERLINK("http://www.twitter.com/ST0NEHENGE", "ST0NEHENGE")</f>
        <v>ST0NEHENGE</v>
      </c>
      <c r="B3584" s="65" t="s">
        <v>5028</v>
      </c>
    </row>
    <row r="3585" spans="1:2" x14ac:dyDescent="0.25">
      <c r="A3585" s="64" t="str">
        <f>HYPERLINK("http://www.twitter.com/PowWowRow", "PowWowRow")</f>
        <v>PowWowRow</v>
      </c>
      <c r="B3585" s="65" t="s">
        <v>33</v>
      </c>
    </row>
    <row r="3586" spans="1:2" x14ac:dyDescent="0.25">
      <c r="A3586" s="64" t="str">
        <f>HYPERLINK("http://www.twitter.com/Douglas4Sandra", "Douglas4Sandra")</f>
        <v>Douglas4Sandra</v>
      </c>
      <c r="B3586" s="65"/>
    </row>
    <row r="3587" spans="1:2" x14ac:dyDescent="0.25">
      <c r="A3587" s="64" t="str">
        <f>HYPERLINK("http://www.twitter.com/hevleo", "hevleo")</f>
        <v>hevleo</v>
      </c>
      <c r="B3587" s="65" t="s">
        <v>2007</v>
      </c>
    </row>
    <row r="3588" spans="1:2" x14ac:dyDescent="0.25">
      <c r="A3588" s="64" t="str">
        <f>HYPERLINK("http://www.twitter.com/Trojan0ddity", "Trojan0ddity")</f>
        <v>Trojan0ddity</v>
      </c>
      <c r="B3588" s="65"/>
    </row>
    <row r="3589" spans="1:2" x14ac:dyDescent="0.25">
      <c r="A3589" s="64" t="str">
        <f>HYPERLINK("http://www.twitter.com/Lattegill", "Lattegill")</f>
        <v>Lattegill</v>
      </c>
      <c r="B3589" s="65"/>
    </row>
    <row r="3590" spans="1:2" x14ac:dyDescent="0.25">
      <c r="A3590" s="64" t="str">
        <f>HYPERLINK("http://www.twitter.com/CorbynHope_less", "CorbynHope_less")</f>
        <v>CorbynHope_less</v>
      </c>
      <c r="B3590" s="65"/>
    </row>
    <row r="3591" spans="1:2" x14ac:dyDescent="0.25">
      <c r="A3591" s="64" t="str">
        <f>HYPERLINK("http://www.twitter.com/roulotteretreat", "roulotteretreat")</f>
        <v>roulotteretreat</v>
      </c>
      <c r="B3591" s="65" t="s">
        <v>4324</v>
      </c>
    </row>
    <row r="3592" spans="1:2" x14ac:dyDescent="0.25">
      <c r="A3592" s="64" t="str">
        <f>HYPERLINK("http://www.twitter.com/Nb017", "Nb017")</f>
        <v>Nb017</v>
      </c>
      <c r="B3592" s="65" t="s">
        <v>5029</v>
      </c>
    </row>
    <row r="3593" spans="1:2" x14ac:dyDescent="0.25">
      <c r="A3593" s="64" t="str">
        <f>HYPERLINK("http://www.twitter.com/FuchsOfficial", "FuchsOfficial")</f>
        <v>FuchsOfficial</v>
      </c>
      <c r="B3593" s="65" t="s">
        <v>3559</v>
      </c>
    </row>
    <row r="3594" spans="1:2" x14ac:dyDescent="0.25">
      <c r="A3594" s="64" t="str">
        <f>HYPERLINK("http://www.twitter.com/wayfaringnomads", "wayfaringnomads")</f>
        <v>wayfaringnomads</v>
      </c>
      <c r="B3594" s="65"/>
    </row>
    <row r="3595" spans="1:2" x14ac:dyDescent="0.25">
      <c r="A3595" s="64" t="str">
        <f>HYPERLINK("http://www.twitter.com/tom_wink", "tom_wink")</f>
        <v>tom_wink</v>
      </c>
      <c r="B3595" s="65"/>
    </row>
    <row r="3596" spans="1:2" x14ac:dyDescent="0.25">
      <c r="A3596" s="64" t="str">
        <f>HYPERLINK("http://www.twitter.com/CatherineLarner", "CatherineLarner")</f>
        <v>CatherineLarner</v>
      </c>
      <c r="B3596" s="65" t="s">
        <v>4409</v>
      </c>
    </row>
    <row r="3597" spans="1:2" x14ac:dyDescent="0.25">
      <c r="A3597" s="64" t="str">
        <f>HYPERLINK("http://www.twitter.com/Derekmitchell", "Derekmitchell")</f>
        <v>Derekmitchell</v>
      </c>
      <c r="B3597" s="65" t="s">
        <v>1841</v>
      </c>
    </row>
    <row r="3598" spans="1:2" x14ac:dyDescent="0.25">
      <c r="A3598" s="64" t="str">
        <f>HYPERLINK("http://www.twitter.com/stadsbibliotek", "stadsbibliotek")</f>
        <v>stadsbibliotek</v>
      </c>
      <c r="B3598" s="65" t="s">
        <v>5031</v>
      </c>
    </row>
    <row r="3599" spans="1:2" x14ac:dyDescent="0.25">
      <c r="A3599" s="64" t="str">
        <f>HYPERLINK("http://www.twitter.com/ChrizyClemzy", "ChrizyClemzy")</f>
        <v>ChrizyClemzy</v>
      </c>
      <c r="B3599" s="65" t="s">
        <v>5032</v>
      </c>
    </row>
    <row r="3600" spans="1:2" x14ac:dyDescent="0.25">
      <c r="A3600" s="64" t="str">
        <f>HYPERLINK("http://www.twitter.com/rorybeee", "rorybeee")</f>
        <v>rorybeee</v>
      </c>
      <c r="B3600" s="65"/>
    </row>
    <row r="3601" spans="1:2" x14ac:dyDescent="0.25">
      <c r="A3601" s="64" t="str">
        <f>HYPERLINK("http://www.twitter.com/KennethAkito", "KennethAkito")</f>
        <v>KennethAkito</v>
      </c>
      <c r="B3601" s="65"/>
    </row>
    <row r="3602" spans="1:2" x14ac:dyDescent="0.25">
      <c r="A3602" s="64" t="str">
        <f>HYPERLINK("http://www.twitter.com/cearairwin", "cearairwin")</f>
        <v>cearairwin</v>
      </c>
      <c r="B3602" s="65"/>
    </row>
    <row r="3603" spans="1:2" x14ac:dyDescent="0.25">
      <c r="A3603" s="64" t="str">
        <f>HYPERLINK("http://www.twitter.com/gambianbirder", "gambianbirder")</f>
        <v>gambianbirder</v>
      </c>
      <c r="B3603" s="65" t="s">
        <v>5033</v>
      </c>
    </row>
    <row r="3604" spans="1:2" x14ac:dyDescent="0.25">
      <c r="A3604" s="64" t="str">
        <f>HYPERLINK("http://www.twitter.com/cine_poems", "cine_poems")</f>
        <v>cine_poems</v>
      </c>
      <c r="B3604" s="65" t="s">
        <v>5034</v>
      </c>
    </row>
    <row r="3605" spans="1:2" x14ac:dyDescent="0.25">
      <c r="A3605" s="64" t="str">
        <f>HYPERLINK("http://www.twitter.com/mrs_singer2", "mrs_singer2")</f>
        <v>mrs_singer2</v>
      </c>
      <c r="B3605" s="65" t="s">
        <v>36</v>
      </c>
    </row>
    <row r="3606" spans="1:2" x14ac:dyDescent="0.25">
      <c r="A3606" s="64" t="str">
        <f>HYPERLINK("http://www.twitter.com/screengoddez", "screengoddez")</f>
        <v>screengoddez</v>
      </c>
      <c r="B3606" s="65" t="s">
        <v>5035</v>
      </c>
    </row>
    <row r="3607" spans="1:2" x14ac:dyDescent="0.25">
      <c r="A3607" s="64" t="str">
        <f>HYPERLINK("http://www.twitter.com/KateSlater", "KateSlater")</f>
        <v>KateSlater</v>
      </c>
      <c r="B3607" s="65" t="s">
        <v>3650</v>
      </c>
    </row>
    <row r="3608" spans="1:2" x14ac:dyDescent="0.25">
      <c r="A3608" s="64" t="str">
        <f>HYPERLINK("http://www.twitter.com/PoetryFold", "PoetryFold")</f>
        <v>PoetryFold</v>
      </c>
      <c r="B3608" s="65" t="s">
        <v>5036</v>
      </c>
    </row>
    <row r="3609" spans="1:2" x14ac:dyDescent="0.25">
      <c r="A3609" s="64" t="str">
        <f>HYPERLINK("http://www.twitter.com/beloved21", "beloved21")</f>
        <v>beloved21</v>
      </c>
      <c r="B3609" s="65" t="s">
        <v>5037</v>
      </c>
    </row>
    <row r="3610" spans="1:2" x14ac:dyDescent="0.25">
      <c r="A3610" s="64" t="str">
        <f>HYPERLINK("http://www.twitter.com/adam_spence", "adam_spence")</f>
        <v>adam_spence</v>
      </c>
      <c r="B3610" s="65" t="s">
        <v>5038</v>
      </c>
    </row>
    <row r="3611" spans="1:2" x14ac:dyDescent="0.25">
      <c r="A3611" s="64" t="str">
        <f>HYPERLINK("http://www.twitter.com/Colinba36999311", "Colinba36999311")</f>
        <v>Colinba36999311</v>
      </c>
      <c r="B3611" s="65"/>
    </row>
    <row r="3612" spans="1:2" x14ac:dyDescent="0.25">
      <c r="A3612" s="64" t="str">
        <f>HYPERLINK("http://www.twitter.com/SHIN1ISHIMURA", "SHIN1ISHIMURA")</f>
        <v>SHIN1ISHIMURA</v>
      </c>
      <c r="B3612" s="65" t="s">
        <v>5039</v>
      </c>
    </row>
    <row r="3613" spans="1:2" x14ac:dyDescent="0.25">
      <c r="A3613" s="64" t="str">
        <f>HYPERLINK("http://www.twitter.com/Rosaliind", "Rosaliind")</f>
        <v>Rosaliind</v>
      </c>
      <c r="B3613" s="65" t="s">
        <v>2289</v>
      </c>
    </row>
    <row r="3614" spans="1:2" x14ac:dyDescent="0.25">
      <c r="A3614" s="64" t="str">
        <f>HYPERLINK("http://www.twitter.com/OhKatia", "OhKatia")</f>
        <v>OhKatia</v>
      </c>
      <c r="B3614" s="65" t="s">
        <v>5040</v>
      </c>
    </row>
    <row r="3615" spans="1:2" x14ac:dyDescent="0.25">
      <c r="A3615" s="64" t="str">
        <f>HYPERLINK("http://www.twitter.com/JuNaidJaNi2917", "JuNaidJaNi2917")</f>
        <v>JuNaidJaNi2917</v>
      </c>
      <c r="B3615" s="65" t="s">
        <v>5041</v>
      </c>
    </row>
    <row r="3616" spans="1:2" x14ac:dyDescent="0.25">
      <c r="A3616" s="64" t="str">
        <f>HYPERLINK("http://www.twitter.com/lebredosado", "lebredosado")</f>
        <v>lebredosado</v>
      </c>
      <c r="B3616" s="65" t="s">
        <v>5042</v>
      </c>
    </row>
    <row r="3617" spans="1:2" x14ac:dyDescent="0.25">
      <c r="A3617" s="64" t="str">
        <f>HYPERLINK("http://www.twitter.com/COOMSY17", "COOMSY17")</f>
        <v>COOMSY17</v>
      </c>
      <c r="B3617" s="65" t="s">
        <v>3762</v>
      </c>
    </row>
    <row r="3618" spans="1:2" x14ac:dyDescent="0.25">
      <c r="A3618" s="64" t="str">
        <f>HYPERLINK("http://www.twitter.com/MTcurating", "MTcurating")</f>
        <v>MTcurating</v>
      </c>
      <c r="B3618" s="65" t="s">
        <v>5043</v>
      </c>
    </row>
    <row r="3619" spans="1:2" x14ac:dyDescent="0.25">
      <c r="A3619" s="64" t="str">
        <f>HYPERLINK("http://www.twitter.com/icelandnoir", "icelandnoir")</f>
        <v>icelandnoir</v>
      </c>
      <c r="B3619" s="65" t="s">
        <v>3923</v>
      </c>
    </row>
    <row r="3620" spans="1:2" x14ac:dyDescent="0.25">
      <c r="A3620" s="64" t="str">
        <f>HYPERLINK("http://www.twitter.com/ABRAM12907866", "ABRAM12907866")</f>
        <v>ABRAM12907866</v>
      </c>
      <c r="B3620" s="65"/>
    </row>
    <row r="3621" spans="1:2" x14ac:dyDescent="0.25">
      <c r="A3621" s="64" t="str">
        <f>HYPERLINK("http://www.twitter.com/losingnerves", "losingnerves")</f>
        <v>losingnerves</v>
      </c>
      <c r="B3621" s="65" t="s">
        <v>5044</v>
      </c>
    </row>
    <row r="3622" spans="1:2" x14ac:dyDescent="0.25">
      <c r="A3622" s="64" t="str">
        <f>HYPERLINK("http://www.twitter.com/sorcha70", "sorcha70")</f>
        <v>sorcha70</v>
      </c>
      <c r="B3622" s="65" t="s">
        <v>5045</v>
      </c>
    </row>
    <row r="3623" spans="1:2" x14ac:dyDescent="0.25">
      <c r="A3623" s="64" t="str">
        <f>HYPERLINK("http://www.twitter.com/deochandoras", "deochandoras")</f>
        <v>deochandoras</v>
      </c>
      <c r="B3623" s="65" t="s">
        <v>517</v>
      </c>
    </row>
    <row r="3624" spans="1:2" x14ac:dyDescent="0.25">
      <c r="A3624" s="64" t="str">
        <f>HYPERLINK("http://www.twitter.com/import_ben", "import_ben")</f>
        <v>import_ben</v>
      </c>
      <c r="B3624" s="65"/>
    </row>
    <row r="3625" spans="1:2" x14ac:dyDescent="0.25">
      <c r="A3625" s="64" t="str">
        <f>HYPERLINK("http://www.twitter.com/bobble_1001", "bobble_1001")</f>
        <v>bobble_1001</v>
      </c>
      <c r="B3625" s="65"/>
    </row>
    <row r="3626" spans="1:2" x14ac:dyDescent="0.25">
      <c r="A3626" s="64" t="str">
        <f>HYPERLINK("http://www.twitter.com/Paddylynch1223", "Paddylynch1223")</f>
        <v>Paddylynch1223</v>
      </c>
      <c r="B3626" s="65" t="s">
        <v>5046</v>
      </c>
    </row>
    <row r="3627" spans="1:2" x14ac:dyDescent="0.25">
      <c r="A3627" s="64" t="str">
        <f>HYPERLINK("http://www.twitter.com/Leasky1985", "Leasky1985")</f>
        <v>Leasky1985</v>
      </c>
      <c r="B3627" s="65"/>
    </row>
    <row r="3628" spans="1:2" x14ac:dyDescent="0.25">
      <c r="A3628" s="64" t="str">
        <f>HYPERLINK("http://www.twitter.com/aRaymaker", "aRaymaker")</f>
        <v>aRaymaker</v>
      </c>
      <c r="B3628" s="65"/>
    </row>
    <row r="3629" spans="1:2" x14ac:dyDescent="0.25">
      <c r="A3629" s="64" t="str">
        <f>HYPERLINK("http://www.twitter.com/suzieblu9", "suzieblu9")</f>
        <v>suzieblu9</v>
      </c>
      <c r="B3629" s="65" t="s">
        <v>5047</v>
      </c>
    </row>
    <row r="3630" spans="1:2" x14ac:dyDescent="0.25">
      <c r="A3630" s="64" t="str">
        <f>HYPERLINK("http://www.twitter.com/sarahpeacock16", "sarahpeacock16")</f>
        <v>sarahpeacock16</v>
      </c>
      <c r="B3630" s="65" t="s">
        <v>5048</v>
      </c>
    </row>
    <row r="3631" spans="1:2" x14ac:dyDescent="0.25">
      <c r="A3631" s="64" t="str">
        <f>HYPERLINK("http://www.twitter.com/JasonDona1d", "JasonDona1d")</f>
        <v>JasonDona1d</v>
      </c>
      <c r="B3631" s="65"/>
    </row>
    <row r="3632" spans="1:2" x14ac:dyDescent="0.25">
      <c r="A3632" s="64" t="str">
        <f>HYPERLINK("http://www.twitter.com/Sssssss_bin", "Sssssss_bin")</f>
        <v>Sssssss_bin</v>
      </c>
      <c r="B3632" s="65" t="s">
        <v>3892</v>
      </c>
    </row>
    <row r="3633" spans="1:2" x14ac:dyDescent="0.25">
      <c r="A3633" s="64" t="str">
        <f>HYPERLINK("http://www.twitter.com/emspence44", "emspence44")</f>
        <v>emspence44</v>
      </c>
      <c r="B3633" s="65"/>
    </row>
    <row r="3634" spans="1:2" x14ac:dyDescent="0.25">
      <c r="A3634" s="64" t="str">
        <f>HYPERLINK("http://www.twitter.com/Inquisilibre", "Inquisilibre")</f>
        <v>Inquisilibre</v>
      </c>
      <c r="B3634" s="65"/>
    </row>
    <row r="3635" spans="1:2" x14ac:dyDescent="0.25">
      <c r="A3635" s="64" t="str">
        <f>HYPERLINK("http://www.twitter.com/dervla", "dervla")</f>
        <v>dervla</v>
      </c>
      <c r="B3635" s="65" t="s">
        <v>5049</v>
      </c>
    </row>
    <row r="3636" spans="1:2" x14ac:dyDescent="0.25">
      <c r="A3636" s="64" t="str">
        <f>HYPERLINK("http://www.twitter.com/RajputSadaqat55", "RajputSadaqat55")</f>
        <v>RajputSadaqat55</v>
      </c>
      <c r="B3636" s="65" t="s">
        <v>5050</v>
      </c>
    </row>
    <row r="3637" spans="1:2" x14ac:dyDescent="0.25">
      <c r="A3637" s="64" t="str">
        <f>HYPERLINK("http://www.twitter.com/PatrickConduit", "PatrickConduit")</f>
        <v>PatrickConduit</v>
      </c>
      <c r="B3637" s="65"/>
    </row>
    <row r="3638" spans="1:2" x14ac:dyDescent="0.25">
      <c r="A3638" s="64" t="str">
        <f>HYPERLINK("http://www.twitter.com/mojojoro", "mojojoro")</f>
        <v>mojojoro</v>
      </c>
      <c r="B3638" s="65"/>
    </row>
    <row r="3639" spans="1:2" x14ac:dyDescent="0.25">
      <c r="A3639" s="64" t="str">
        <f>HYPERLINK("http://www.twitter.com/billy_crawley1", "billy_crawley1")</f>
        <v>billy_crawley1</v>
      </c>
      <c r="B3639" s="65"/>
    </row>
    <row r="3640" spans="1:2" x14ac:dyDescent="0.25">
      <c r="A3640" s="64" t="str">
        <f>HYPERLINK("http://www.twitter.com/Knoww_Us", "Knoww_Us")</f>
        <v>Knoww_Us</v>
      </c>
      <c r="B3640" s="65"/>
    </row>
    <row r="3641" spans="1:2" x14ac:dyDescent="0.25">
      <c r="A3641" s="64" t="str">
        <f>HYPERLINK("http://www.twitter.com/ruthven_s", "ruthven_s")</f>
        <v>ruthven_s</v>
      </c>
      <c r="B3641" s="65" t="s">
        <v>487</v>
      </c>
    </row>
    <row r="3642" spans="1:2" x14ac:dyDescent="0.25">
      <c r="A3642" s="64" t="str">
        <f>HYPERLINK("http://www.twitter.com/elspeth_amy", "elspeth_amy")</f>
        <v>elspeth_amy</v>
      </c>
      <c r="B3642" s="65" t="s">
        <v>926</v>
      </c>
    </row>
    <row r="3643" spans="1:2" x14ac:dyDescent="0.25">
      <c r="A3643" s="64" t="str">
        <f>HYPERLINK("http://www.twitter.com/ClementineL_", "ClementineL_")</f>
        <v>ClementineL_</v>
      </c>
      <c r="B3643" s="65" t="s">
        <v>5051</v>
      </c>
    </row>
    <row r="3644" spans="1:2" x14ac:dyDescent="0.25">
      <c r="A3644" s="64" t="str">
        <f>HYPERLINK("http://www.twitter.com/chasball4", "chasball4")</f>
        <v>chasball4</v>
      </c>
      <c r="B3644" s="65" t="s">
        <v>5052</v>
      </c>
    </row>
    <row r="3645" spans="1:2" x14ac:dyDescent="0.25">
      <c r="A3645" s="64" t="str">
        <f>HYPERLINK("http://www.twitter.com/nmackay629", "nmackay629")</f>
        <v>nmackay629</v>
      </c>
      <c r="B3645" s="65" t="s">
        <v>3762</v>
      </c>
    </row>
    <row r="3646" spans="1:2" x14ac:dyDescent="0.25">
      <c r="A3646" s="64" t="str">
        <f>HYPERLINK("http://www.twitter.com/Jennyhunterarts", "Jennyhunterarts")</f>
        <v>Jennyhunterarts</v>
      </c>
      <c r="B3646" s="65"/>
    </row>
    <row r="3647" spans="1:2" x14ac:dyDescent="0.25">
      <c r="A3647" s="64" t="str">
        <f>HYPERLINK("http://www.twitter.com/Nelle_Sonn", "Nelle_Sonn")</f>
        <v>Nelle_Sonn</v>
      </c>
      <c r="B3647" s="65" t="s">
        <v>5053</v>
      </c>
    </row>
    <row r="3648" spans="1:2" x14ac:dyDescent="0.25">
      <c r="A3648" s="64" t="str">
        <f>HYPERLINK("http://www.twitter.com/debjeremy", "debjeremy")</f>
        <v>debjeremy</v>
      </c>
      <c r="B3648" s="65" t="s">
        <v>1908</v>
      </c>
    </row>
    <row r="3649" spans="1:2" x14ac:dyDescent="0.25">
      <c r="A3649" s="64" t="str">
        <f>HYPERLINK("http://www.twitter.com/mythicscribes", "mythicscribes")</f>
        <v>mythicscribes</v>
      </c>
      <c r="B3649" s="65" t="s">
        <v>5054</v>
      </c>
    </row>
    <row r="3650" spans="1:2" x14ac:dyDescent="0.25">
      <c r="A3650" s="64" t="str">
        <f>HYPERLINK("http://www.twitter.com/BookGirl_101", "BookGirl_101")</f>
        <v>BookGirl_101</v>
      </c>
      <c r="B3650" s="65"/>
    </row>
    <row r="3651" spans="1:2" x14ac:dyDescent="0.25">
      <c r="A3651" s="64" t="str">
        <f>HYPERLINK("http://www.twitter.com/Prajith85864613", "Prajith85864613")</f>
        <v>Prajith85864613</v>
      </c>
      <c r="B3651" s="65" t="s">
        <v>5055</v>
      </c>
    </row>
    <row r="3652" spans="1:2" x14ac:dyDescent="0.25">
      <c r="A3652" s="64" t="str">
        <f>HYPERLINK("http://www.twitter.com/rh2photography", "rh2photography")</f>
        <v>rh2photography</v>
      </c>
      <c r="B3652" s="65" t="s">
        <v>5056</v>
      </c>
    </row>
    <row r="3653" spans="1:2" x14ac:dyDescent="0.25">
      <c r="A3653" s="64" t="str">
        <f>HYPERLINK("http://www.twitter.com/_emilyzheng_", "_emilyzheng_")</f>
        <v>_emilyzheng_</v>
      </c>
      <c r="B3653" s="65" t="s">
        <v>2007</v>
      </c>
    </row>
    <row r="3654" spans="1:2" x14ac:dyDescent="0.25">
      <c r="A3654" s="64" t="str">
        <f>HYPERLINK("http://www.twitter.com/nats_creative", "nats_creative")</f>
        <v>nats_creative</v>
      </c>
      <c r="B3654" s="65" t="s">
        <v>318</v>
      </c>
    </row>
    <row r="3655" spans="1:2" x14ac:dyDescent="0.25">
      <c r="A3655" s="64" t="str">
        <f>HYPERLINK("http://www.twitter.com/sarahdaleauthor", "sarahdaleauthor")</f>
        <v>sarahdaleauthor</v>
      </c>
      <c r="B3655" s="65" t="s">
        <v>5057</v>
      </c>
    </row>
    <row r="3656" spans="1:2" x14ac:dyDescent="0.25">
      <c r="A3656" s="64" t="str">
        <f>HYPERLINK("http://www.twitter.com/SSFHayes", "SSFHayes")</f>
        <v>SSFHayes</v>
      </c>
      <c r="B3656" s="65" t="s">
        <v>3771</v>
      </c>
    </row>
    <row r="3657" spans="1:2" x14ac:dyDescent="0.25">
      <c r="A3657" s="64" t="str">
        <f>HYPERLINK("http://www.twitter.com/Mangia_Mamma", "Mangia_Mamma")</f>
        <v>Mangia_Mamma</v>
      </c>
      <c r="B3657" s="65" t="s">
        <v>5058</v>
      </c>
    </row>
    <row r="3658" spans="1:2" x14ac:dyDescent="0.25">
      <c r="A3658" s="64" t="str">
        <f>HYPERLINK("http://www.twitter.com/Montreal_AI", "Montreal_AI")</f>
        <v>Montreal_AI</v>
      </c>
      <c r="B3658" s="65" t="s">
        <v>5059</v>
      </c>
    </row>
    <row r="3659" spans="1:2" x14ac:dyDescent="0.25">
      <c r="A3659" s="64" t="str">
        <f>HYPERLINK("http://www.twitter.com/shsusbehshsh", "shsusbehshsh")</f>
        <v>shsusbehshsh</v>
      </c>
      <c r="B3659" s="65" t="s">
        <v>70</v>
      </c>
    </row>
    <row r="3660" spans="1:2" x14ac:dyDescent="0.25">
      <c r="A3660" s="64" t="str">
        <f>HYPERLINK("http://www.twitter.com/Monolithic_theo", "Monolithic_theo")</f>
        <v>Monolithic_theo</v>
      </c>
      <c r="B3660" s="65" t="s">
        <v>4193</v>
      </c>
    </row>
    <row r="3661" spans="1:2" x14ac:dyDescent="0.25">
      <c r="A3661" s="64" t="str">
        <f>HYPERLINK("http://www.twitter.com/shayneTward", "shayneTward")</f>
        <v>shayneTward</v>
      </c>
      <c r="B3661" s="65" t="s">
        <v>2289</v>
      </c>
    </row>
    <row r="3662" spans="1:2" x14ac:dyDescent="0.25">
      <c r="A3662" s="64" t="str">
        <f>HYPERLINK("http://www.twitter.com/TeeleT5", "TeeleT5")</f>
        <v>TeeleT5</v>
      </c>
      <c r="B3662" s="65"/>
    </row>
    <row r="3663" spans="1:2" x14ac:dyDescent="0.25">
      <c r="A3663" s="64" t="str">
        <f>HYPERLINK("http://www.twitter.com/SarahIsSmiling", "SarahIsSmiling")</f>
        <v>SarahIsSmiling</v>
      </c>
      <c r="B3663" s="65" t="s">
        <v>24</v>
      </c>
    </row>
    <row r="3664" spans="1:2" x14ac:dyDescent="0.25">
      <c r="A3664" s="64" t="str">
        <f>HYPERLINK("http://www.twitter.com/DomhnallCrystal", "DomhnallCrystal")</f>
        <v>DomhnallCrystal</v>
      </c>
      <c r="B3664" s="65" t="s">
        <v>427</v>
      </c>
    </row>
    <row r="3665" spans="1:2" x14ac:dyDescent="0.25">
      <c r="A3665" s="64" t="str">
        <f>HYPERLINK("http://www.twitter.com/modufallo", "modufallo")</f>
        <v>modufallo</v>
      </c>
      <c r="B3665" s="65" t="s">
        <v>5060</v>
      </c>
    </row>
    <row r="3666" spans="1:2" x14ac:dyDescent="0.25">
      <c r="A3666" s="64" t="str">
        <f>HYPERLINK("http://www.twitter.com/lynda_mousli", "lynda_mousli")</f>
        <v>lynda_mousli</v>
      </c>
      <c r="B3666" s="65"/>
    </row>
    <row r="3667" spans="1:2" x14ac:dyDescent="0.25">
      <c r="A3667" s="64" t="str">
        <f>HYPERLINK("http://www.twitter.com/john187400", "john187400")</f>
        <v>john187400</v>
      </c>
      <c r="B3667" s="65" t="s">
        <v>3773</v>
      </c>
    </row>
    <row r="3668" spans="1:2" x14ac:dyDescent="0.25">
      <c r="A3668" s="64" t="str">
        <f>HYPERLINK("http://www.twitter.com/StoryDory", "StoryDory")</f>
        <v>StoryDory</v>
      </c>
      <c r="B3668" s="65" t="s">
        <v>4174</v>
      </c>
    </row>
    <row r="3669" spans="1:2" x14ac:dyDescent="0.25">
      <c r="A3669" s="64" t="str">
        <f>HYPERLINK("http://www.twitter.com/BiancaLila1", "BiancaLila1")</f>
        <v>BiancaLila1</v>
      </c>
      <c r="B3669" s="65"/>
    </row>
    <row r="3670" spans="1:2" x14ac:dyDescent="0.25">
      <c r="A3670" s="64" t="str">
        <f>HYPERLINK("http://www.twitter.com/emj2367", "emj2367")</f>
        <v>emj2367</v>
      </c>
      <c r="B3670" s="65"/>
    </row>
    <row r="3671" spans="1:2" x14ac:dyDescent="0.25">
      <c r="A3671" s="64" t="str">
        <f>HYPERLINK("http://www.twitter.com/dhcry", "dhcry")</f>
        <v>dhcry</v>
      </c>
      <c r="B3671" s="65" t="s">
        <v>5061</v>
      </c>
    </row>
    <row r="3672" spans="1:2" x14ac:dyDescent="0.25">
      <c r="A3672" s="64" t="str">
        <f>HYPERLINK("http://www.twitter.com/upintheslosh", "upintheslosh")</f>
        <v>upintheslosh</v>
      </c>
      <c r="B3672" s="65"/>
    </row>
    <row r="3673" spans="1:2" x14ac:dyDescent="0.25">
      <c r="A3673" s="64" t="str">
        <f>HYPERLINK("http://www.twitter.com/Sarah_MacG", "Sarah_MacG")</f>
        <v>Sarah_MacG</v>
      </c>
      <c r="B3673" s="65"/>
    </row>
    <row r="3674" spans="1:2" x14ac:dyDescent="0.25">
      <c r="A3674" s="64" t="str">
        <f>HYPERLINK("http://www.twitter.com/ianadamson1232", "ianadamson1232")</f>
        <v>ianadamson1232</v>
      </c>
      <c r="B3674" s="65"/>
    </row>
    <row r="3675" spans="1:2" x14ac:dyDescent="0.25">
      <c r="A3675" s="64" t="str">
        <f>HYPERLINK("http://www.twitter.com/johnreidmair", "johnreidmair")</f>
        <v>johnreidmair</v>
      </c>
      <c r="B3675" s="65"/>
    </row>
    <row r="3676" spans="1:2" x14ac:dyDescent="0.25">
      <c r="A3676" s="64" t="str">
        <f>HYPERLINK("http://www.twitter.com/lennan_rendall", "lennan_rendall")</f>
        <v>lennan_rendall</v>
      </c>
      <c r="B3676" s="65" t="s">
        <v>3762</v>
      </c>
    </row>
    <row r="3677" spans="1:2" x14ac:dyDescent="0.25">
      <c r="A3677" s="64" t="str">
        <f>HYPERLINK("http://www.twitter.com/GlennStundon", "GlennStundon")</f>
        <v>GlennStundon</v>
      </c>
      <c r="B3677" s="65"/>
    </row>
    <row r="3678" spans="1:2" x14ac:dyDescent="0.25">
      <c r="A3678" s="64" t="str">
        <f>HYPERLINK("http://www.twitter.com/DGoShed", "DGoShed")</f>
        <v>DGoShed</v>
      </c>
      <c r="B3678" s="65"/>
    </row>
    <row r="3679" spans="1:2" x14ac:dyDescent="0.25">
      <c r="A3679" s="64" t="str">
        <f>HYPERLINK("http://www.twitter.com/THEemilyguy", "THEemilyguy")</f>
        <v>THEemilyguy</v>
      </c>
      <c r="B3679" s="65"/>
    </row>
    <row r="3680" spans="1:2" x14ac:dyDescent="0.25">
      <c r="A3680" s="64" t="str">
        <f>HYPERLINK("http://www.twitter.com/NumerologyKing", "NumerologyKing")</f>
        <v>NumerologyKing</v>
      </c>
      <c r="B3680" s="65" t="s">
        <v>5062</v>
      </c>
    </row>
    <row r="3681" spans="1:2" x14ac:dyDescent="0.25">
      <c r="A3681" s="64" t="str">
        <f>HYPERLINK("http://www.twitter.com/BigGeorgiePorgy", "BigGeorgiePorgy")</f>
        <v>BigGeorgiePorgy</v>
      </c>
      <c r="B3681" s="65" t="s">
        <v>4057</v>
      </c>
    </row>
    <row r="3682" spans="1:2" x14ac:dyDescent="0.25">
      <c r="A3682" s="64" t="str">
        <f>HYPERLINK("http://www.twitter.com/davidjardine999", "davidjardine999")</f>
        <v>davidjardine999</v>
      </c>
      <c r="B3682" s="65" t="s">
        <v>5063</v>
      </c>
    </row>
    <row r="3683" spans="1:2" x14ac:dyDescent="0.25">
      <c r="A3683" s="64" t="str">
        <f>HYPERLINK("http://www.twitter.com/silveragi01", "silveragi01")</f>
        <v>silveragi01</v>
      </c>
      <c r="B3683" s="65" t="s">
        <v>5064</v>
      </c>
    </row>
    <row r="3684" spans="1:2" x14ac:dyDescent="0.25">
      <c r="A3684" s="64" t="str">
        <f>HYPERLINK("http://www.twitter.com/imDgajera", "imDgajera")</f>
        <v>imDgajera</v>
      </c>
      <c r="B3684" s="65" t="s">
        <v>5065</v>
      </c>
    </row>
    <row r="3685" spans="1:2" x14ac:dyDescent="0.25">
      <c r="A3685" s="64" t="str">
        <f>HYPERLINK("http://www.twitter.com/kittyrawr1662", "kittyrawr1662")</f>
        <v>kittyrawr1662</v>
      </c>
      <c r="B3685" s="65"/>
    </row>
    <row r="3686" spans="1:2" x14ac:dyDescent="0.25">
      <c r="A3686" s="64" t="str">
        <f>HYPERLINK("http://www.twitter.com/sjgover", "sjgover")</f>
        <v>sjgover</v>
      </c>
      <c r="B3686" s="65" t="s">
        <v>5066</v>
      </c>
    </row>
    <row r="3687" spans="1:2" x14ac:dyDescent="0.25">
      <c r="A3687" s="64" t="str">
        <f>HYPERLINK("http://www.twitter.com/Damoleen4", "Damoleen4")</f>
        <v>Damoleen4</v>
      </c>
      <c r="B3687" s="65" t="s">
        <v>5067</v>
      </c>
    </row>
    <row r="3688" spans="1:2" x14ac:dyDescent="0.25">
      <c r="A3688" s="64" t="str">
        <f>HYPERLINK("http://www.twitter.com/nowappmid", "nowappmid")</f>
        <v>nowappmid</v>
      </c>
      <c r="B3688" s="65" t="s">
        <v>3787</v>
      </c>
    </row>
    <row r="3689" spans="1:2" x14ac:dyDescent="0.25">
      <c r="A3689" s="64" t="str">
        <f>HYPERLINK("http://www.twitter.com/andi_birman", "andi_birman")</f>
        <v>andi_birman</v>
      </c>
      <c r="B3689" s="65" t="s">
        <v>5068</v>
      </c>
    </row>
    <row r="3690" spans="1:2" x14ac:dyDescent="0.25">
      <c r="A3690" s="64" t="str">
        <f>HYPERLINK("http://www.twitter.com/cdawn_b", "cdawn_b")</f>
        <v>cdawn_b</v>
      </c>
      <c r="B3690" s="65" t="s">
        <v>5069</v>
      </c>
    </row>
    <row r="3691" spans="1:2" x14ac:dyDescent="0.25">
      <c r="A3691" s="64" t="str">
        <f>HYPERLINK("http://www.twitter.com/yr_albanwr", "yr_albanwr")</f>
        <v>yr_albanwr</v>
      </c>
      <c r="B3691" s="65" t="s">
        <v>517</v>
      </c>
    </row>
    <row r="3692" spans="1:2" x14ac:dyDescent="0.25">
      <c r="A3692" s="64" t="str">
        <f>HYPERLINK("http://www.twitter.com/birdwriter7", "birdwriter7")</f>
        <v>birdwriter7</v>
      </c>
      <c r="B3692" s="65" t="s">
        <v>4579</v>
      </c>
    </row>
    <row r="3693" spans="1:2" x14ac:dyDescent="0.25">
      <c r="A3693" s="64" t="str">
        <f>HYPERLINK("http://www.twitter.com/TRTAREK1", "TRTAREK1")</f>
        <v>TRTAREK1</v>
      </c>
      <c r="B3693" s="65" t="s">
        <v>5070</v>
      </c>
    </row>
    <row r="3694" spans="1:2" x14ac:dyDescent="0.25">
      <c r="A3694" s="64" t="str">
        <f>HYPERLINK("http://www.twitter.com/madmentalmark23", "madmentalmark23")</f>
        <v>madmentalmark23</v>
      </c>
      <c r="B3694" s="65" t="s">
        <v>4108</v>
      </c>
    </row>
    <row r="3695" spans="1:2" x14ac:dyDescent="0.25">
      <c r="A3695" s="64" t="str">
        <f>HYPERLINK("http://www.twitter.com/NewNImpruved", "NewNImpruved")</f>
        <v>NewNImpruved</v>
      </c>
      <c r="B3695" s="65" t="s">
        <v>5071</v>
      </c>
    </row>
    <row r="3696" spans="1:2" x14ac:dyDescent="0.25">
      <c r="A3696" s="64" t="str">
        <f>HYPERLINK("http://www.twitter.com/gkgrl1", "gkgrl1")</f>
        <v>gkgrl1</v>
      </c>
      <c r="B3696" s="65" t="s">
        <v>296</v>
      </c>
    </row>
    <row r="3697" spans="1:2" x14ac:dyDescent="0.25">
      <c r="A3697" s="64" t="str">
        <f>HYPERLINK("http://www.twitter.com/WisfieldCulture", "WisfieldCulture")</f>
        <v>WisfieldCulture</v>
      </c>
      <c r="B3697" s="65"/>
    </row>
    <row r="3698" spans="1:2" x14ac:dyDescent="0.25">
      <c r="A3698" s="64" t="str">
        <f>HYPERLINK("http://www.twitter.com/eowDbo6QPF466dV", "eowDbo6QPF466dV")</f>
        <v>eowDbo6QPF466dV</v>
      </c>
      <c r="B3698" s="65"/>
    </row>
    <row r="3699" spans="1:2" x14ac:dyDescent="0.25">
      <c r="A3699" s="64" t="str">
        <f>HYPERLINK("http://www.twitter.com/greigy4", "greigy4")</f>
        <v>greigy4</v>
      </c>
      <c r="B3699" s="65"/>
    </row>
    <row r="3700" spans="1:2" x14ac:dyDescent="0.25">
      <c r="A3700" s="64" t="str">
        <f>HYPERLINK("http://www.twitter.com/EmmettStinson", "EmmettStinson")</f>
        <v>EmmettStinson</v>
      </c>
      <c r="B3700" s="65" t="s">
        <v>3817</v>
      </c>
    </row>
    <row r="3701" spans="1:2" x14ac:dyDescent="0.25">
      <c r="A3701" s="64" t="str">
        <f>HYPERLINK("http://www.twitter.com/StaceyStaceyt21", "StaceyStaceyt21")</f>
        <v>StaceyStaceyt21</v>
      </c>
      <c r="B3701" s="65"/>
    </row>
    <row r="3702" spans="1:2" x14ac:dyDescent="0.25">
      <c r="A3702" s="64" t="str">
        <f>HYPERLINK("http://www.twitter.com/annaqque", "annaqque")</f>
        <v>annaqque</v>
      </c>
      <c r="B3702" s="65" t="s">
        <v>5072</v>
      </c>
    </row>
    <row r="3703" spans="1:2" x14ac:dyDescent="0.25">
      <c r="A3703" s="64" t="str">
        <f>HYPERLINK("http://www.twitter.com/m8mav", "m8mav")</f>
        <v>m8mav</v>
      </c>
      <c r="B3703" s="65" t="s">
        <v>505</v>
      </c>
    </row>
    <row r="3704" spans="1:2" x14ac:dyDescent="0.25">
      <c r="A3704" s="64" t="str">
        <f>HYPERLINK("http://www.twitter.com/mikawin", "mikawin")</f>
        <v>mikawin</v>
      </c>
      <c r="B3704" s="65" t="s">
        <v>5073</v>
      </c>
    </row>
    <row r="3705" spans="1:2" x14ac:dyDescent="0.25">
      <c r="A3705" s="64" t="str">
        <f>HYPERLINK("http://www.twitter.com/Jscott64Joanie", "Jscott64Joanie")</f>
        <v>Jscott64Joanie</v>
      </c>
      <c r="B3705" s="65"/>
    </row>
    <row r="3706" spans="1:2" x14ac:dyDescent="0.25">
      <c r="A3706" s="64" t="str">
        <f>HYPERLINK("http://www.twitter.com/loopylou_g73", "loopylou_g73")</f>
        <v>loopylou_g73</v>
      </c>
      <c r="B3706" s="65"/>
    </row>
    <row r="3707" spans="1:2" x14ac:dyDescent="0.25">
      <c r="A3707" s="64" t="str">
        <f>HYPERLINK("http://www.twitter.com/kiltqueen", "kiltqueen")</f>
        <v>kiltqueen</v>
      </c>
      <c r="B3707" s="65" t="s">
        <v>4167</v>
      </c>
    </row>
    <row r="3708" spans="1:2" x14ac:dyDescent="0.25">
      <c r="A3708" s="64" t="str">
        <f>HYPERLINK("http://www.twitter.com/No1Reindeer", "No1Reindeer")</f>
        <v>No1Reindeer</v>
      </c>
      <c r="B3708" s="65" t="s">
        <v>5074</v>
      </c>
    </row>
    <row r="3709" spans="1:2" x14ac:dyDescent="0.25">
      <c r="A3709" s="64" t="str">
        <f>HYPERLINK("http://www.twitter.com/LauraBain_x", "LauraBain_x")</f>
        <v>LauraBain_x</v>
      </c>
      <c r="B3709" s="65" t="s">
        <v>808</v>
      </c>
    </row>
    <row r="3710" spans="1:2" x14ac:dyDescent="0.25">
      <c r="A3710" s="64" t="str">
        <f>HYPERLINK("http://www.twitter.com/prisaba", "prisaba")</f>
        <v>prisaba</v>
      </c>
      <c r="B3710" s="65" t="s">
        <v>5075</v>
      </c>
    </row>
    <row r="3711" spans="1:2" x14ac:dyDescent="0.25">
      <c r="A3711" s="64" t="str">
        <f>HYPERLINK("http://www.twitter.com/Ewura_bena_", "Ewura_bena_")</f>
        <v>Ewura_bena_</v>
      </c>
      <c r="B3711" s="65"/>
    </row>
    <row r="3712" spans="1:2" x14ac:dyDescent="0.25">
      <c r="A3712" s="64" t="str">
        <f>HYPERLINK("http://www.twitter.com/Babliarora2", "Babliarora2")</f>
        <v>Babliarora2</v>
      </c>
      <c r="B3712" s="65"/>
    </row>
    <row r="3713" spans="1:2" x14ac:dyDescent="0.25">
      <c r="A3713" s="64" t="str">
        <f>HYPERLINK("http://www.twitter.com/SheltieJohn", "SheltieJohn")</f>
        <v>SheltieJohn</v>
      </c>
      <c r="B3713" s="65" t="s">
        <v>4674</v>
      </c>
    </row>
    <row r="3714" spans="1:2" x14ac:dyDescent="0.25">
      <c r="A3714" s="64" t="str">
        <f>HYPERLINK("http://www.twitter.com/NEOrchestra", "NEOrchestra")</f>
        <v>NEOrchestra</v>
      </c>
      <c r="B3714" s="65" t="s">
        <v>5076</v>
      </c>
    </row>
    <row r="3715" spans="1:2" x14ac:dyDescent="0.25">
      <c r="A3715" s="64" t="str">
        <f>HYPERLINK("http://www.twitter.com/my100goals", "my100goals")</f>
        <v>my100goals</v>
      </c>
      <c r="B3715" s="65" t="s">
        <v>517</v>
      </c>
    </row>
    <row r="3716" spans="1:2" x14ac:dyDescent="0.25">
      <c r="A3716" s="64" t="str">
        <f>HYPERLINK("http://www.twitter.com/JaceyMoore1", "JaceyMoore1")</f>
        <v>JaceyMoore1</v>
      </c>
      <c r="B3716" s="65" t="s">
        <v>180</v>
      </c>
    </row>
    <row r="3717" spans="1:2" x14ac:dyDescent="0.25">
      <c r="A3717" s="64" t="str">
        <f>HYPERLINK("http://www.twitter.com/Idretina", "Idretina")</f>
        <v>Idretina</v>
      </c>
      <c r="B3717" s="65" t="s">
        <v>5077</v>
      </c>
    </row>
    <row r="3718" spans="1:2" x14ac:dyDescent="0.25">
      <c r="A3718" s="64" t="str">
        <f>HYPERLINK("http://www.twitter.com/ct2209", "ct2209")</f>
        <v>ct2209</v>
      </c>
      <c r="B3718" s="65"/>
    </row>
    <row r="3719" spans="1:2" x14ac:dyDescent="0.25">
      <c r="A3719" s="64" t="str">
        <f>HYPERLINK("http://www.twitter.com/DallMechan", "DallMechan")</f>
        <v>DallMechan</v>
      </c>
      <c r="B3719" s="65"/>
    </row>
    <row r="3720" spans="1:2" x14ac:dyDescent="0.25">
      <c r="A3720" s="64" t="str">
        <f>HYPERLINK("http://www.twitter.com/peetahp7", "peetahp7")</f>
        <v>peetahp7</v>
      </c>
      <c r="B3720" s="65" t="s">
        <v>318</v>
      </c>
    </row>
    <row r="3721" spans="1:2" x14ac:dyDescent="0.25">
      <c r="A3721" s="64" t="str">
        <f>HYPERLINK("http://www.twitter.com/delphisangel", "delphisangel")</f>
        <v>delphisangel</v>
      </c>
      <c r="B3721" s="65" t="s">
        <v>70</v>
      </c>
    </row>
    <row r="3722" spans="1:2" x14ac:dyDescent="0.25">
      <c r="A3722" s="64" t="str">
        <f>HYPERLINK("http://www.twitter.com/ErlendTheViking", "ErlendTheViking")</f>
        <v>ErlendTheViking</v>
      </c>
      <c r="B3722" s="65" t="s">
        <v>2830</v>
      </c>
    </row>
    <row r="3723" spans="1:2" x14ac:dyDescent="0.25">
      <c r="A3723" s="64" t="str">
        <f>HYPERLINK("http://www.twitter.com/nartismo", "nartismo")</f>
        <v>nartismo</v>
      </c>
      <c r="B3723" s="65" t="s">
        <v>5078</v>
      </c>
    </row>
    <row r="3724" spans="1:2" x14ac:dyDescent="0.25">
      <c r="A3724" s="64" t="str">
        <f>HYPERLINK("http://www.twitter.com/ZaciDeets", "ZaciDeets")</f>
        <v>ZaciDeets</v>
      </c>
      <c r="B3724" s="65"/>
    </row>
    <row r="3725" spans="1:2" x14ac:dyDescent="0.25">
      <c r="A3725" s="64" t="str">
        <f>HYPERLINK("http://www.twitter.com/2shedsphil", "2shedsphil")</f>
        <v>2shedsphil</v>
      </c>
      <c r="B3725" s="65" t="s">
        <v>4304</v>
      </c>
    </row>
    <row r="3726" spans="1:2" x14ac:dyDescent="0.25">
      <c r="A3726" s="64" t="str">
        <f>HYPERLINK("http://www.twitter.com/TheCStevens", "TheCStevens")</f>
        <v>TheCStevens</v>
      </c>
      <c r="B3726" s="65"/>
    </row>
    <row r="3727" spans="1:2" x14ac:dyDescent="0.25">
      <c r="A3727" s="64" t="str">
        <f>HYPERLINK("http://www.twitter.com/Mitrnda", "Mitrnda")</f>
        <v>Mitrnda</v>
      </c>
      <c r="B3727" s="65"/>
    </row>
    <row r="3728" spans="1:2" x14ac:dyDescent="0.25">
      <c r="A3728" s="64" t="str">
        <f>HYPERLINK("http://www.twitter.com/Rob4Otaki", "Rob4Otaki")</f>
        <v>Rob4Otaki</v>
      </c>
      <c r="B3728" s="65" t="s">
        <v>5079</v>
      </c>
    </row>
    <row r="3729" spans="1:2" x14ac:dyDescent="0.25">
      <c r="A3729" s="64" t="str">
        <f>HYPERLINK("http://www.twitter.com/SheldrickDragon", "SheldrickDragon")</f>
        <v>SheldrickDragon</v>
      </c>
      <c r="B3729" s="65" t="s">
        <v>5080</v>
      </c>
    </row>
    <row r="3730" spans="1:2" x14ac:dyDescent="0.25">
      <c r="A3730" s="64" t="str">
        <f>HYPERLINK("http://www.twitter.com/GlennaMackay", "GlennaMackay")</f>
        <v>GlennaMackay</v>
      </c>
      <c r="B3730" s="65" t="s">
        <v>5081</v>
      </c>
    </row>
    <row r="3731" spans="1:2" x14ac:dyDescent="0.25">
      <c r="A3731" s="64" t="str">
        <f>HYPERLINK("http://www.twitter.com/figreen1980", "figreen1980")</f>
        <v>figreen1980</v>
      </c>
      <c r="B3731" s="65"/>
    </row>
    <row r="3732" spans="1:2" x14ac:dyDescent="0.25">
      <c r="A3732" s="64" t="str">
        <f>HYPERLINK("http://www.twitter.com/JonBlackwood", "JonBlackwood")</f>
        <v>JonBlackwood</v>
      </c>
      <c r="B3732" s="65" t="s">
        <v>569</v>
      </c>
    </row>
    <row r="3733" spans="1:2" x14ac:dyDescent="0.25">
      <c r="A3733" s="64" t="str">
        <f>HYPERLINK("http://www.twitter.com/meanjean99", "meanjean99")</f>
        <v>meanjean99</v>
      </c>
      <c r="B3733" s="65" t="s">
        <v>5082</v>
      </c>
    </row>
    <row r="3734" spans="1:2" x14ac:dyDescent="0.25">
      <c r="A3734" s="64" t="str">
        <f>HYPERLINK("http://www.twitter.com/muskeg23", "muskeg23")</f>
        <v>muskeg23</v>
      </c>
      <c r="B3734" s="65"/>
    </row>
    <row r="3735" spans="1:2" x14ac:dyDescent="0.25">
      <c r="A3735" s="64" t="str">
        <f>HYPERLINK("http://www.twitter.com/Harlan", "Harlan")</f>
        <v>Harlan</v>
      </c>
      <c r="B3735" s="65" t="s">
        <v>5083</v>
      </c>
    </row>
    <row r="3736" spans="1:2" x14ac:dyDescent="0.25">
      <c r="A3736" s="64" t="str">
        <f>HYPERLINK("http://www.twitter.com/EmmyTheAnn", "EmmyTheAnn")</f>
        <v>EmmyTheAnn</v>
      </c>
      <c r="B3736" s="65" t="s">
        <v>3853</v>
      </c>
    </row>
    <row r="3737" spans="1:2" x14ac:dyDescent="0.25">
      <c r="A3737" s="64" t="str">
        <f>HYPERLINK("http://www.twitter.com/SoapyBubble", "SoapyBubble")</f>
        <v>SoapyBubble</v>
      </c>
      <c r="B3737" s="65"/>
    </row>
    <row r="3738" spans="1:2" x14ac:dyDescent="0.25">
      <c r="A3738" s="64" t="str">
        <f>HYPERLINK("http://www.twitter.com/JamesBlurbs", "JamesBlurbs")</f>
        <v>JamesBlurbs</v>
      </c>
      <c r="B3738" s="65" t="s">
        <v>477</v>
      </c>
    </row>
    <row r="3739" spans="1:2" x14ac:dyDescent="0.25">
      <c r="A3739" s="64" t="str">
        <f>HYPERLINK("http://www.twitter.com/anaconro", "anaconro")</f>
        <v>anaconro</v>
      </c>
      <c r="B3739" s="65"/>
    </row>
    <row r="3740" spans="1:2" x14ac:dyDescent="0.25">
      <c r="A3740" s="64" t="str">
        <f>HYPERLINK("http://www.twitter.com/kasiatwits", "kasiatwits")</f>
        <v>kasiatwits</v>
      </c>
      <c r="B3740" s="65"/>
    </row>
    <row r="3741" spans="1:2" x14ac:dyDescent="0.25">
      <c r="A3741" s="64" t="str">
        <f>HYPERLINK("http://www.twitter.com/joannalhobbs", "joannalhobbs")</f>
        <v>joannalhobbs</v>
      </c>
      <c r="B3741" s="65" t="s">
        <v>5084</v>
      </c>
    </row>
    <row r="3742" spans="1:2" x14ac:dyDescent="0.25">
      <c r="A3742" s="64" t="str">
        <f>HYPERLINK("http://www.twitter.com/leahburwood", "leahburwood")</f>
        <v>leahburwood</v>
      </c>
      <c r="B3742" s="65"/>
    </row>
    <row r="3743" spans="1:2" x14ac:dyDescent="0.25">
      <c r="A3743" s="64" t="str">
        <f>HYPERLINK("http://www.twitter.com/sylvswarren", "sylvswarren")</f>
        <v>sylvswarren</v>
      </c>
      <c r="B3743" s="65" t="s">
        <v>1189</v>
      </c>
    </row>
    <row r="3744" spans="1:2" x14ac:dyDescent="0.25">
      <c r="A3744" s="64" t="str">
        <f>HYPERLINK("http://www.twitter.com/Mc_Heckin_Duff", "Mc_Heckin_Duff")</f>
        <v>Mc_Heckin_Duff</v>
      </c>
      <c r="B3744" s="65"/>
    </row>
    <row r="3745" spans="1:2" x14ac:dyDescent="0.25">
      <c r="A3745" s="64" t="str">
        <f>HYPERLINK("http://www.twitter.com/elise_caley", "elise_caley")</f>
        <v>elise_caley</v>
      </c>
      <c r="B3745" s="65" t="s">
        <v>5085</v>
      </c>
    </row>
    <row r="3746" spans="1:2" x14ac:dyDescent="0.25">
      <c r="A3746" s="64" t="str">
        <f>HYPERLINK("http://www.twitter.com/NancyBadillo13", "NancyBadillo13")</f>
        <v>NancyBadillo13</v>
      </c>
      <c r="B3746" s="65" t="s">
        <v>3863</v>
      </c>
    </row>
    <row r="3747" spans="1:2" x14ac:dyDescent="0.25">
      <c r="A3747" s="64" t="str">
        <f>HYPERLINK("http://www.twitter.com/Lauryb", "Lauryb")</f>
        <v>Lauryb</v>
      </c>
      <c r="B3747" s="65" t="s">
        <v>24</v>
      </c>
    </row>
    <row r="3748" spans="1:2" x14ac:dyDescent="0.25">
      <c r="A3748" s="64" t="str">
        <f>HYPERLINK("http://www.twitter.com/BrainGAR", "BrainGAR")</f>
        <v>BrainGAR</v>
      </c>
      <c r="B3748" s="65" t="s">
        <v>505</v>
      </c>
    </row>
    <row r="3749" spans="1:2" x14ac:dyDescent="0.25">
      <c r="A3749" s="64" t="str">
        <f>HYPERLINK("http://www.twitter.com/MoiraR", "MoiraR")</f>
        <v>MoiraR</v>
      </c>
      <c r="B3749" s="65" t="s">
        <v>3988</v>
      </c>
    </row>
    <row r="3750" spans="1:2" x14ac:dyDescent="0.25">
      <c r="A3750" s="64" t="str">
        <f>HYPERLINK("http://www.twitter.com/nspmartin", "nspmartin")</f>
        <v>nspmartin</v>
      </c>
      <c r="B3750" s="65" t="s">
        <v>2850</v>
      </c>
    </row>
    <row r="3751" spans="1:2" x14ac:dyDescent="0.25">
      <c r="A3751" s="64" t="str">
        <f>HYPERLINK("http://www.twitter.com/FurryLibrarian", "FurryLibrarian")</f>
        <v>FurryLibrarian</v>
      </c>
      <c r="B3751" s="65"/>
    </row>
    <row r="3752" spans="1:2" x14ac:dyDescent="0.25">
      <c r="A3752" s="64" t="str">
        <f>HYPERLINK("http://www.twitter.com/tawoo_tweet", "tawoo_tweet")</f>
        <v>tawoo_tweet</v>
      </c>
      <c r="B3752" s="65"/>
    </row>
    <row r="3753" spans="1:2" x14ac:dyDescent="0.25">
      <c r="A3753" s="64" t="str">
        <f>HYPERLINK("http://www.twitter.com/mrstrewloy", "mrstrewloy")</f>
        <v>mrstrewloy</v>
      </c>
      <c r="B3753" s="65"/>
    </row>
    <row r="3754" spans="1:2" x14ac:dyDescent="0.25">
      <c r="A3754" s="64" t="str">
        <f>HYPERLINK("http://www.twitter.com/John_Gilbey", "John_Gilbey")</f>
        <v>John_Gilbey</v>
      </c>
      <c r="B3754" s="65" t="s">
        <v>5086</v>
      </c>
    </row>
    <row r="3755" spans="1:2" x14ac:dyDescent="0.25">
      <c r="A3755" s="64" t="str">
        <f>HYPERLINK("http://www.twitter.com/brian_bilston", "brian_bilston")</f>
        <v>brian_bilston</v>
      </c>
      <c r="B3755" s="65" t="s">
        <v>5087</v>
      </c>
    </row>
    <row r="3756" spans="1:2" x14ac:dyDescent="0.25">
      <c r="A3756" s="64" t="str">
        <f>HYPERLINK("http://www.twitter.com/JulieWbach", "JulieWbach")</f>
        <v>JulieWbach</v>
      </c>
      <c r="B3756" s="65" t="s">
        <v>4529</v>
      </c>
    </row>
    <row r="3757" spans="1:2" x14ac:dyDescent="0.25">
      <c r="A3757" s="64" t="str">
        <f>HYPERLINK("http://www.twitter.com/gavinwillingham", "gavinwillingham")</f>
        <v>gavinwillingham</v>
      </c>
      <c r="B3757" s="65" t="s">
        <v>5088</v>
      </c>
    </row>
    <row r="3758" spans="1:2" x14ac:dyDescent="0.25">
      <c r="A3758" s="64" t="str">
        <f>HYPERLINK("http://www.twitter.com/kate_kemp", "kate_kemp")</f>
        <v>kate_kemp</v>
      </c>
      <c r="B3758" s="65" t="s">
        <v>3677</v>
      </c>
    </row>
    <row r="3759" spans="1:2" x14ac:dyDescent="0.25">
      <c r="A3759" s="64" t="str">
        <f>HYPERLINK("http://www.twitter.com/InfiniteOregano", "InfiniteOregano")</f>
        <v>InfiniteOregano</v>
      </c>
      <c r="B3759" s="65" t="s">
        <v>203</v>
      </c>
    </row>
    <row r="3760" spans="1:2" x14ac:dyDescent="0.25">
      <c r="A3760" s="64" t="str">
        <f>HYPERLINK("http://www.twitter.com/purrrplekitty1", "purrrplekitty1")</f>
        <v>purrrplekitty1</v>
      </c>
      <c r="B3760" s="65"/>
    </row>
    <row r="3761" spans="1:2" x14ac:dyDescent="0.25">
      <c r="A3761" s="64" t="str">
        <f>HYPERLINK("http://www.twitter.com/ishsawyer", "ishsawyer")</f>
        <v>ishsawyer</v>
      </c>
      <c r="B3761" s="65"/>
    </row>
    <row r="3762" spans="1:2" x14ac:dyDescent="0.25">
      <c r="A3762" s="64" t="str">
        <f>HYPERLINK("http://www.twitter.com/lpahnke50888", "lpahnke50888")</f>
        <v>lpahnke50888</v>
      </c>
      <c r="B3762" s="65" t="s">
        <v>3762</v>
      </c>
    </row>
    <row r="3763" spans="1:2" x14ac:dyDescent="0.25">
      <c r="A3763" s="64" t="str">
        <f>HYPERLINK("http://www.twitter.com/Karen121968", "Karen121968")</f>
        <v>Karen121968</v>
      </c>
      <c r="B3763" s="65" t="s">
        <v>517</v>
      </c>
    </row>
    <row r="3764" spans="1:2" x14ac:dyDescent="0.25">
      <c r="A3764" s="64" t="str">
        <f>HYPERLINK("http://www.twitter.com/RoxyHubble", "RoxyHubble")</f>
        <v>RoxyHubble</v>
      </c>
      <c r="B3764" s="65" t="s">
        <v>36</v>
      </c>
    </row>
    <row r="3765" spans="1:2" x14ac:dyDescent="0.25">
      <c r="A3765" s="64" t="str">
        <f>HYPERLINK("http://www.twitter.com/RichGreenley", "RichGreenley")</f>
        <v>RichGreenley</v>
      </c>
      <c r="B3765" s="65"/>
    </row>
    <row r="3766" spans="1:2" x14ac:dyDescent="0.25">
      <c r="A3766" s="64" t="str">
        <f>HYPERLINK("http://www.twitter.com/jessikaka", "jessikaka")</f>
        <v>jessikaka</v>
      </c>
      <c r="B3766" s="65" t="s">
        <v>4716</v>
      </c>
    </row>
    <row r="3767" spans="1:2" x14ac:dyDescent="0.25">
      <c r="A3767" s="64" t="str">
        <f>HYPERLINK("http://www.twitter.com/Neilwtm", "Neilwtm")</f>
        <v>Neilwtm</v>
      </c>
      <c r="B3767" s="65"/>
    </row>
    <row r="3768" spans="1:2" x14ac:dyDescent="0.25">
      <c r="A3768" s="64" t="str">
        <f>HYPERLINK("http://www.twitter.com/pcastano", "pcastano")</f>
        <v>pcastano</v>
      </c>
      <c r="B3768" s="65" t="s">
        <v>5089</v>
      </c>
    </row>
    <row r="3769" spans="1:2" x14ac:dyDescent="0.25">
      <c r="A3769" s="64" t="str">
        <f>HYPERLINK("http://www.twitter.com/swizzlr", "swizzlr")</f>
        <v>swizzlr</v>
      </c>
      <c r="B3769" s="65" t="s">
        <v>5090</v>
      </c>
    </row>
    <row r="3770" spans="1:2" x14ac:dyDescent="0.25">
      <c r="A3770" s="64" t="str">
        <f>HYPERLINK("http://www.twitter.com/impractknow", "impractknow")</f>
        <v>impractknow</v>
      </c>
      <c r="B3770" s="65" t="s">
        <v>5091</v>
      </c>
    </row>
    <row r="3771" spans="1:2" x14ac:dyDescent="0.25">
      <c r="A3771" s="64" t="str">
        <f>HYPERLINK("http://www.twitter.com/HadleyFreeman", "HadleyFreeman")</f>
        <v>HadleyFreeman</v>
      </c>
      <c r="B3771" s="65"/>
    </row>
    <row r="3772" spans="1:2" x14ac:dyDescent="0.25">
      <c r="A3772" s="64" t="str">
        <f>HYPERLINK("http://www.twitter.com/rosered100", "rosered100")</f>
        <v>rosered100</v>
      </c>
      <c r="B3772" s="65" t="s">
        <v>5092</v>
      </c>
    </row>
    <row r="3773" spans="1:2" x14ac:dyDescent="0.25">
      <c r="A3773" s="64" t="str">
        <f>HYPERLINK("http://www.twitter.com/HarryDenholm", "HarryDenholm")</f>
        <v>HarryDenholm</v>
      </c>
      <c r="B3773" s="65" t="s">
        <v>5093</v>
      </c>
    </row>
    <row r="3774" spans="1:2" x14ac:dyDescent="0.25">
      <c r="A3774" s="64" t="str">
        <f>HYPERLINK("http://www.twitter.com/isobelchillman", "isobelchillman")</f>
        <v>isobelchillman</v>
      </c>
      <c r="B3774" s="65" t="s">
        <v>477</v>
      </c>
    </row>
    <row r="3775" spans="1:2" x14ac:dyDescent="0.25">
      <c r="A3775" s="64" t="str">
        <f>HYPERLINK("http://www.twitter.com/staceygeekboy", "staceygeekboy")</f>
        <v>staceygeekboy</v>
      </c>
      <c r="B3775" s="65" t="s">
        <v>5094</v>
      </c>
    </row>
    <row r="3776" spans="1:2" x14ac:dyDescent="0.25">
      <c r="A3776" s="64" t="str">
        <f>HYPERLINK("http://www.twitter.com/frankelliott_", "frankelliott_")</f>
        <v>frankelliott_</v>
      </c>
      <c r="B3776" s="65" t="s">
        <v>5095</v>
      </c>
    </row>
    <row r="3777" spans="1:2" x14ac:dyDescent="0.25">
      <c r="A3777" s="64" t="str">
        <f>HYPERLINK("http://www.twitter.com/zaboue9393", "zaboue9393")</f>
        <v>zaboue9393</v>
      </c>
      <c r="B3777" s="65"/>
    </row>
    <row r="3778" spans="1:2" x14ac:dyDescent="0.25">
      <c r="A3778" s="64" t="str">
        <f>HYPERLINK("http://www.twitter.com/calvquarrie", "calvquarrie")</f>
        <v>calvquarrie</v>
      </c>
      <c r="B3778" s="65" t="s">
        <v>517</v>
      </c>
    </row>
    <row r="3779" spans="1:2" x14ac:dyDescent="0.25">
      <c r="A3779" s="64" t="str">
        <f>HYPERLINK("http://www.twitter.com/chrisrauchle", "chrisrauchle")</f>
        <v>chrisrauchle</v>
      </c>
      <c r="B3779" s="65" t="s">
        <v>5096</v>
      </c>
    </row>
    <row r="3780" spans="1:2" x14ac:dyDescent="0.25">
      <c r="A3780" s="64" t="str">
        <f>HYPERLINK("http://www.twitter.com/psychicteeth", "psychicteeth")</f>
        <v>psychicteeth</v>
      </c>
      <c r="B3780" s="65" t="s">
        <v>5097</v>
      </c>
    </row>
    <row r="3781" spans="1:2" x14ac:dyDescent="0.25">
      <c r="A3781" s="64" t="str">
        <f>HYPERLINK("http://www.twitter.com/oakzar", "oakzar")</f>
        <v>oakzar</v>
      </c>
      <c r="B3781" s="65" t="s">
        <v>5098</v>
      </c>
    </row>
    <row r="3782" spans="1:2" x14ac:dyDescent="0.25">
      <c r="A3782" s="64" t="str">
        <f>HYPERLINK("http://www.twitter.com/Starwhores1", "Starwhores1")</f>
        <v>Starwhores1</v>
      </c>
      <c r="B3782" s="65" t="s">
        <v>5099</v>
      </c>
    </row>
    <row r="3783" spans="1:2" x14ac:dyDescent="0.25">
      <c r="A3783" s="64" t="str">
        <f>HYPERLINK("http://www.twitter.com/georgiezo", "georgiezo")</f>
        <v>georgiezo</v>
      </c>
      <c r="B3783" s="65" t="s">
        <v>5100</v>
      </c>
    </row>
    <row r="3784" spans="1:2" x14ac:dyDescent="0.25">
      <c r="A3784" s="64" t="str">
        <f>HYPERLINK("http://www.twitter.com/LisaQuattromini", "LisaQuattromini")</f>
        <v>LisaQuattromini</v>
      </c>
      <c r="B3784" s="65" t="s">
        <v>2213</v>
      </c>
    </row>
    <row r="3785" spans="1:2" x14ac:dyDescent="0.25">
      <c r="A3785" s="64" t="str">
        <f>HYPERLINK("http://www.twitter.com/neilrfoster", "neilrfoster")</f>
        <v>neilrfoster</v>
      </c>
      <c r="B3785" s="65" t="s">
        <v>4501</v>
      </c>
    </row>
    <row r="3786" spans="1:2" x14ac:dyDescent="0.25">
      <c r="A3786" s="64" t="str">
        <f>HYPERLINK("http://www.twitter.com/SurreyCricBlog", "SurreyCricBlog")</f>
        <v>SurreyCricBlog</v>
      </c>
      <c r="B3786" s="65" t="s">
        <v>36</v>
      </c>
    </row>
    <row r="3787" spans="1:2" x14ac:dyDescent="0.25">
      <c r="A3787" s="64" t="str">
        <f>HYPERLINK("http://www.twitter.com/drkatharineh", "drkatharineh")</f>
        <v>drkatharineh</v>
      </c>
      <c r="B3787" s="65"/>
    </row>
    <row r="3788" spans="1:2" x14ac:dyDescent="0.25">
      <c r="A3788" s="64" t="str">
        <f>HYPERLINK("http://www.twitter.com/lefishy", "lefishy")</f>
        <v>lefishy</v>
      </c>
      <c r="B3788" s="65" t="s">
        <v>186</v>
      </c>
    </row>
    <row r="3789" spans="1:2" x14ac:dyDescent="0.25">
      <c r="A3789" s="64" t="str">
        <f>HYPERLINK("http://www.twitter.com/BigRobotLtd", "BigRobotLtd")</f>
        <v>BigRobotLtd</v>
      </c>
      <c r="B3789" s="65" t="s">
        <v>1098</v>
      </c>
    </row>
    <row r="3790" spans="1:2" x14ac:dyDescent="0.25">
      <c r="A3790" s="64" t="str">
        <f>HYPERLINK("http://www.twitter.com/Jeccapritch", "Jeccapritch")</f>
        <v>Jeccapritch</v>
      </c>
      <c r="B3790" s="65"/>
    </row>
    <row r="3791" spans="1:2" x14ac:dyDescent="0.25">
      <c r="A3791" s="64" t="str">
        <f>HYPERLINK("http://www.twitter.com/piracycorp", "piracycorp")</f>
        <v>piracycorp</v>
      </c>
      <c r="B3791" s="65" t="s">
        <v>5101</v>
      </c>
    </row>
    <row r="3792" spans="1:2" x14ac:dyDescent="0.25">
      <c r="A3792" s="64" t="str">
        <f>HYPERLINK("http://www.twitter.com/CABNScotBorders", "CABNScotBorders")</f>
        <v>CABNScotBorders</v>
      </c>
      <c r="B3792" s="65" t="s">
        <v>4324</v>
      </c>
    </row>
    <row r="3793" spans="1:2" x14ac:dyDescent="0.25">
      <c r="A3793" s="64" t="str">
        <f>HYPERLINK("http://www.twitter.com/hellolatke", "hellolatke")</f>
        <v>hellolatke</v>
      </c>
      <c r="B3793" s="65" t="s">
        <v>5102</v>
      </c>
    </row>
    <row r="3794" spans="1:2" x14ac:dyDescent="0.25">
      <c r="A3794" s="64" t="str">
        <f>HYPERLINK("http://www.twitter.com/mslucyupton", "mslucyupton")</f>
        <v>mslucyupton</v>
      </c>
      <c r="B3794" s="65"/>
    </row>
    <row r="3795" spans="1:2" x14ac:dyDescent="0.25">
      <c r="A3795" s="64" t="str">
        <f>HYPERLINK("http://www.twitter.com/poorlittlenell", "poorlittlenell")</f>
        <v>poorlittlenell</v>
      </c>
      <c r="B3795" s="65" t="s">
        <v>517</v>
      </c>
    </row>
    <row r="3796" spans="1:2" x14ac:dyDescent="0.25">
      <c r="A3796" s="64" t="str">
        <f>HYPERLINK("http://www.twitter.com/MirjamIce", "MirjamIce")</f>
        <v>MirjamIce</v>
      </c>
      <c r="B3796" s="65" t="s">
        <v>487</v>
      </c>
    </row>
    <row r="3797" spans="1:2" x14ac:dyDescent="0.25">
      <c r="A3797" s="64" t="str">
        <f>HYPERLINK("http://www.twitter.com/Cat_42", "Cat_42")</f>
        <v>Cat_42</v>
      </c>
      <c r="B3797" s="65" t="s">
        <v>5103</v>
      </c>
    </row>
    <row r="3798" spans="1:2" x14ac:dyDescent="0.25">
      <c r="A3798" s="64" t="str">
        <f>HYPERLINK("http://www.twitter.com/stacey_camp87", "stacey_camp87")</f>
        <v>stacey_camp87</v>
      </c>
      <c r="B3798" s="65" t="s">
        <v>5104</v>
      </c>
    </row>
    <row r="3799" spans="1:2" x14ac:dyDescent="0.25">
      <c r="A3799" s="64" t="str">
        <f>HYPERLINK("http://www.twitter.com/aroow_playz", "aroow_playz")</f>
        <v>aroow_playz</v>
      </c>
      <c r="B3799" s="65"/>
    </row>
    <row r="3800" spans="1:2" x14ac:dyDescent="0.25">
      <c r="A3800" s="64" t="str">
        <f>HYPERLINK("http://www.twitter.com/Zandisile_Ndila", "Zandisile_Ndila")</f>
        <v>Zandisile_Ndila</v>
      </c>
      <c r="B3800" s="65" t="s">
        <v>5105</v>
      </c>
    </row>
    <row r="3801" spans="1:2" x14ac:dyDescent="0.25">
      <c r="A3801" s="64" t="str">
        <f>HYPERLINK("http://www.twitter.com/Suyashgoyal3", "Suyashgoyal3")</f>
        <v>Suyashgoyal3</v>
      </c>
      <c r="B3801" s="65"/>
    </row>
    <row r="3802" spans="1:2" x14ac:dyDescent="0.25">
      <c r="A3802" s="64" t="str">
        <f>HYPERLINK("http://www.twitter.com/JulieOrford", "JulieOrford")</f>
        <v>JulieOrford</v>
      </c>
      <c r="B3802" s="65" t="s">
        <v>24</v>
      </c>
    </row>
    <row r="3803" spans="1:2" x14ac:dyDescent="0.25">
      <c r="A3803" s="64" t="str">
        <f>HYPERLINK("http://www.twitter.com/seanscoilarama", "seanscoilarama")</f>
        <v>seanscoilarama</v>
      </c>
      <c r="B3803" s="65"/>
    </row>
    <row r="3804" spans="1:2" x14ac:dyDescent="0.25">
      <c r="A3804" s="64" t="str">
        <f>HYPERLINK("http://www.twitter.com/lizditz", "lizditz")</f>
        <v>lizditz</v>
      </c>
      <c r="B3804" s="65" t="s">
        <v>5106</v>
      </c>
    </row>
    <row r="3805" spans="1:2" x14ac:dyDescent="0.25">
      <c r="A3805" s="64" t="str">
        <f>HYPERLINK("http://www.twitter.com/girlwithmaptat", "girlwithmaptat")</f>
        <v>girlwithmaptat</v>
      </c>
      <c r="B3805" s="65" t="s">
        <v>5107</v>
      </c>
    </row>
    <row r="3806" spans="1:2" x14ac:dyDescent="0.25">
      <c r="A3806" s="64" t="str">
        <f>HYPERLINK("http://www.twitter.com/ipiupipiup", "ipiupipiup")</f>
        <v>ipiupipiup</v>
      </c>
      <c r="B3806" s="65" t="s">
        <v>5108</v>
      </c>
    </row>
    <row r="3807" spans="1:2" x14ac:dyDescent="0.25">
      <c r="A3807" s="64" t="str">
        <f>HYPERLINK("http://www.twitter.com/BusinessSalesUk", "BusinessSalesUk")</f>
        <v>BusinessSalesUk</v>
      </c>
      <c r="B3807" s="65" t="s">
        <v>24</v>
      </c>
    </row>
    <row r="3808" spans="1:2" x14ac:dyDescent="0.25">
      <c r="A3808" s="64" t="str">
        <f>HYPERLINK("http://www.twitter.com/tyery1", "tyery1")</f>
        <v>tyery1</v>
      </c>
      <c r="B3808" s="65" t="s">
        <v>5109</v>
      </c>
    </row>
    <row r="3809" spans="1:2" x14ac:dyDescent="0.25">
      <c r="A3809" s="64" t="str">
        <f>HYPERLINK("http://www.twitter.com/katyjanejohnson", "katyjanejohnson")</f>
        <v>katyjanejohnson</v>
      </c>
      <c r="B3809" s="65"/>
    </row>
    <row r="3810" spans="1:2" x14ac:dyDescent="0.25">
      <c r="A3810" s="64" t="str">
        <f>HYPERLINK("http://www.twitter.com/sunezzell", "sunezzell")</f>
        <v>sunezzell</v>
      </c>
      <c r="B3810" s="65" t="s">
        <v>5110</v>
      </c>
    </row>
    <row r="3811" spans="1:2" x14ac:dyDescent="0.25">
      <c r="A3811" s="64" t="str">
        <f>HYPERLINK("http://www.twitter.com/JuicyLucyVlog", "JuicyLucyVlog")</f>
        <v>JuicyLucyVlog</v>
      </c>
      <c r="B3811" s="65"/>
    </row>
    <row r="3812" spans="1:2" x14ac:dyDescent="0.25">
      <c r="A3812" s="64" t="str">
        <f>HYPERLINK("http://www.twitter.com/ArchivesHackney", "ArchivesHackney")</f>
        <v>ArchivesHackney</v>
      </c>
      <c r="B3812" s="65" t="s">
        <v>5111</v>
      </c>
    </row>
    <row r="3813" spans="1:2" x14ac:dyDescent="0.25">
      <c r="A3813" s="64" t="str">
        <f>HYPERLINK("http://www.twitter.com/simperlegens", "simperlegens")</f>
        <v>simperlegens</v>
      </c>
      <c r="B3813" s="65"/>
    </row>
    <row r="3814" spans="1:2" x14ac:dyDescent="0.25">
      <c r="A3814" s="64" t="str">
        <f>HYPERLINK("http://www.twitter.com/JellyScallywag", "JellyScallywag")</f>
        <v>JellyScallywag</v>
      </c>
      <c r="B3814" s="65" t="s">
        <v>5112</v>
      </c>
    </row>
    <row r="3815" spans="1:2" x14ac:dyDescent="0.25">
      <c r="A3815" s="64" t="str">
        <f>HYPERLINK("http://www.twitter.com/_KingTrouble", "_KingTrouble")</f>
        <v>_KingTrouble</v>
      </c>
      <c r="B3815" s="65" t="s">
        <v>5113</v>
      </c>
    </row>
    <row r="3816" spans="1:2" x14ac:dyDescent="0.25">
      <c r="A3816" s="64" t="str">
        <f>HYPERLINK("http://www.twitter.com/hackofalltrades", "hackofalltrades")</f>
        <v>hackofalltrades</v>
      </c>
      <c r="B3816" s="65" t="s">
        <v>5114</v>
      </c>
    </row>
    <row r="3817" spans="1:2" x14ac:dyDescent="0.25">
      <c r="A3817" s="64" t="str">
        <f>HYPERLINK("http://www.twitter.com/chaoanna", "chaoanna")</f>
        <v>chaoanna</v>
      </c>
      <c r="B3817" s="65"/>
    </row>
    <row r="3818" spans="1:2" x14ac:dyDescent="0.25">
      <c r="A3818" s="64" t="str">
        <f>HYPERLINK("http://www.twitter.com/jessicaaugarde", "jessicaaugarde")</f>
        <v>jessicaaugarde</v>
      </c>
      <c r="B3818" s="65" t="s">
        <v>1295</v>
      </c>
    </row>
    <row r="3819" spans="1:2" x14ac:dyDescent="0.25">
      <c r="A3819" s="64" t="str">
        <f>HYPERLINK("http://www.twitter.com/freelikebree", "freelikebree")</f>
        <v>freelikebree</v>
      </c>
      <c r="B3819" s="65" t="s">
        <v>4584</v>
      </c>
    </row>
    <row r="3820" spans="1:2" x14ac:dyDescent="0.25">
      <c r="A3820" s="64" t="str">
        <f>HYPERLINK("http://www.twitter.com/robmilesz", "robmilesz")</f>
        <v>robmilesz</v>
      </c>
      <c r="B3820" s="65"/>
    </row>
    <row r="3821" spans="1:2" x14ac:dyDescent="0.25">
      <c r="A3821" s="64" t="str">
        <f>HYPERLINK("http://www.twitter.com/Ruthybtait", "Ruthybtait")</f>
        <v>Ruthybtait</v>
      </c>
      <c r="B3821" s="65"/>
    </row>
    <row r="3822" spans="1:2" x14ac:dyDescent="0.25">
      <c r="A3822" s="64" t="str">
        <f>HYPERLINK("http://www.twitter.com/abdimulialubis", "abdimulialubis")</f>
        <v>abdimulialubis</v>
      </c>
      <c r="B3822" s="65" t="s">
        <v>5115</v>
      </c>
    </row>
    <row r="3823" spans="1:2" x14ac:dyDescent="0.25">
      <c r="A3823" s="64" t="str">
        <f>HYPERLINK("http://www.twitter.com/SaltireCentre", "SaltireCentre")</f>
        <v>SaltireCentre</v>
      </c>
      <c r="B3823" s="65" t="s">
        <v>138</v>
      </c>
    </row>
    <row r="3824" spans="1:2" x14ac:dyDescent="0.25">
      <c r="A3824" s="64" t="str">
        <f>HYPERLINK("http://www.twitter.com/barryejsmithart", "barryejsmithart")</f>
        <v>barryejsmithart</v>
      </c>
      <c r="B3824" s="65" t="s">
        <v>1980</v>
      </c>
    </row>
    <row r="3825" spans="1:2" x14ac:dyDescent="0.25">
      <c r="A3825" s="64" t="str">
        <f>HYPERLINK("http://www.twitter.com/putting_gott", "putting_gott")</f>
        <v>putting_gott</v>
      </c>
      <c r="B3825" s="65" t="s">
        <v>5116</v>
      </c>
    </row>
    <row r="3826" spans="1:2" x14ac:dyDescent="0.25">
      <c r="A3826" s="64" t="str">
        <f>HYPERLINK("http://www.twitter.com/joonloons", "joonloons")</f>
        <v>joonloons</v>
      </c>
      <c r="B3826" s="65"/>
    </row>
    <row r="3827" spans="1:2" x14ac:dyDescent="0.25">
      <c r="A3827" s="64" t="str">
        <f>HYPERLINK("http://www.twitter.com/tweet_HISA", "tweet_HISA")</f>
        <v>tweet_HISA</v>
      </c>
      <c r="B3827" s="65" t="s">
        <v>2007</v>
      </c>
    </row>
    <row r="3828" spans="1:2" x14ac:dyDescent="0.25">
      <c r="A3828" s="64" t="str">
        <f>HYPERLINK("http://www.twitter.com/metamedievalist", "metamedievalist")</f>
        <v>metamedievalist</v>
      </c>
      <c r="B3828" s="65" t="s">
        <v>3943</v>
      </c>
    </row>
    <row r="3829" spans="1:2" x14ac:dyDescent="0.25">
      <c r="A3829" s="64" t="str">
        <f>HYPERLINK("http://www.twitter.com/Linzzzzi", "Linzzzzi")</f>
        <v>Linzzzzi</v>
      </c>
      <c r="B3829" s="65" t="s">
        <v>5117</v>
      </c>
    </row>
    <row r="3830" spans="1:2" x14ac:dyDescent="0.25">
      <c r="A3830" s="64" t="str">
        <f>HYPERLINK("http://www.twitter.com/cristalvandepol", "cristalvandepol")</f>
        <v>cristalvandepol</v>
      </c>
      <c r="B3830" s="65"/>
    </row>
    <row r="3831" spans="1:2" x14ac:dyDescent="0.25">
      <c r="A3831" s="64" t="str">
        <f>HYPERLINK("http://www.twitter.com/reginalddhunter", "reginalddhunter")</f>
        <v>reginalddhunter</v>
      </c>
      <c r="B3831" s="65" t="s">
        <v>4111</v>
      </c>
    </row>
    <row r="3832" spans="1:2" x14ac:dyDescent="0.25">
      <c r="A3832" s="64" t="str">
        <f>HYPERLINK("http://www.twitter.com/Lydiolect", "Lydiolect")</f>
        <v>Lydiolect</v>
      </c>
      <c r="B3832" s="65"/>
    </row>
    <row r="3833" spans="1:2" x14ac:dyDescent="0.25">
      <c r="A3833" s="64" t="str">
        <f>HYPERLINK("http://www.twitter.com/ucdspeccoll", "ucdspeccoll")</f>
        <v>ucdspeccoll</v>
      </c>
      <c r="B3833" s="65"/>
    </row>
    <row r="3834" spans="1:2" x14ac:dyDescent="0.25">
      <c r="A3834" s="64" t="str">
        <f>HYPERLINK("http://www.twitter.com/neongrey33", "neongrey33")</f>
        <v>neongrey33</v>
      </c>
      <c r="B3834" s="65"/>
    </row>
    <row r="3835" spans="1:2" x14ac:dyDescent="0.25">
      <c r="A3835" s="64" t="str">
        <f>HYPERLINK("http://www.twitter.com/al_vimh", "al_vimh")</f>
        <v>al_vimh</v>
      </c>
      <c r="B3835" s="65" t="s">
        <v>5118</v>
      </c>
    </row>
    <row r="3836" spans="1:2" x14ac:dyDescent="0.25">
      <c r="A3836" s="64" t="str">
        <f>HYPERLINK("http://www.twitter.com/richardcottam", "richardcottam")</f>
        <v>richardcottam</v>
      </c>
      <c r="B3836" s="65"/>
    </row>
    <row r="3837" spans="1:2" x14ac:dyDescent="0.25">
      <c r="A3837" s="64" t="str">
        <f>HYPERLINK("http://www.twitter.com/fishermalc", "fishermalc")</f>
        <v>fishermalc</v>
      </c>
      <c r="B3837" s="65"/>
    </row>
    <row r="3838" spans="1:2" x14ac:dyDescent="0.25">
      <c r="A3838" s="64" t="str">
        <f>HYPERLINK("http://www.twitter.com/erinberinbee", "erinberinbee")</f>
        <v>erinberinbee</v>
      </c>
      <c r="B3838" s="65"/>
    </row>
    <row r="3839" spans="1:2" x14ac:dyDescent="0.25">
      <c r="A3839" s="64" t="str">
        <f>HYPERLINK("http://www.twitter.com/HappyMandys76", "HappyMandys76")</f>
        <v>HappyMandys76</v>
      </c>
      <c r="B3839" s="65" t="s">
        <v>2774</v>
      </c>
    </row>
    <row r="3840" spans="1:2" x14ac:dyDescent="0.25">
      <c r="A3840" s="64" t="str">
        <f>HYPERLINK("http://www.twitter.com/ScruffyBadger1", "ScruffyBadger1")</f>
        <v>ScruffyBadger1</v>
      </c>
      <c r="B3840" s="65" t="s">
        <v>5119</v>
      </c>
    </row>
    <row r="3841" spans="1:2" x14ac:dyDescent="0.25">
      <c r="A3841" s="64" t="str">
        <f>HYPERLINK("http://www.twitter.com/Edvarski", "Edvarski")</f>
        <v>Edvarski</v>
      </c>
      <c r="B3841" s="65"/>
    </row>
    <row r="3842" spans="1:2" x14ac:dyDescent="0.25">
      <c r="A3842" s="64" t="str">
        <f>HYPERLINK("http://www.twitter.com/LJStepaside", "LJStepaside")</f>
        <v>LJStepaside</v>
      </c>
      <c r="B3842" s="65" t="s">
        <v>5120</v>
      </c>
    </row>
    <row r="3843" spans="1:2" x14ac:dyDescent="0.25">
      <c r="A3843" s="64" t="str">
        <f>HYPERLINK("http://www.twitter.com/hamblettmark", "hamblettmark")</f>
        <v>hamblettmark</v>
      </c>
      <c r="B3843" s="65"/>
    </row>
    <row r="3844" spans="1:2" x14ac:dyDescent="0.25">
      <c r="A3844" s="64" t="str">
        <f>HYPERLINK("http://www.twitter.com/fossiliam", "fossiliam")</f>
        <v>fossiliam</v>
      </c>
      <c r="B3844" s="65" t="s">
        <v>346</v>
      </c>
    </row>
    <row r="3845" spans="1:2" x14ac:dyDescent="0.25">
      <c r="A3845" s="64" t="str">
        <f>HYPERLINK("http://www.twitter.com/profparkinson", "profparkinson")</f>
        <v>profparkinson</v>
      </c>
      <c r="B3845" s="65" t="s">
        <v>5121</v>
      </c>
    </row>
    <row r="3846" spans="1:2" x14ac:dyDescent="0.25">
      <c r="A3846" s="64" t="str">
        <f>HYPERLINK("http://www.twitter.com/FlatPlantsCAN", "FlatPlantsCAN")</f>
        <v>FlatPlantsCAN</v>
      </c>
      <c r="B3846" s="65"/>
    </row>
    <row r="3847" spans="1:2" x14ac:dyDescent="0.25">
      <c r="A3847" s="64" t="str">
        <f>HYPERLINK("http://www.twitter.com/ClanHeughan", "ClanHeughan")</f>
        <v>ClanHeughan</v>
      </c>
      <c r="B3847" s="65" t="s">
        <v>5122</v>
      </c>
    </row>
    <row r="3848" spans="1:2" x14ac:dyDescent="0.25">
      <c r="A3848" s="64" t="str">
        <f>HYPERLINK("http://www.twitter.com/nyctartanweek", "nyctartanweek")</f>
        <v>nyctartanweek</v>
      </c>
      <c r="B3848" s="65" t="s">
        <v>4145</v>
      </c>
    </row>
    <row r="3849" spans="1:2" x14ac:dyDescent="0.25">
      <c r="A3849" s="64" t="str">
        <f>HYPERLINK("http://www.twitter.com/KelvingroveRev", "KelvingroveRev")</f>
        <v>KelvingroveRev</v>
      </c>
      <c r="B3849" s="65" t="s">
        <v>318</v>
      </c>
    </row>
    <row r="3850" spans="1:2" x14ac:dyDescent="0.25">
      <c r="A3850" s="64" t="str">
        <f>HYPERLINK("http://www.twitter.com/tamakikusu", "tamakikusu")</f>
        <v>tamakikusu</v>
      </c>
      <c r="B3850" s="65" t="s">
        <v>5123</v>
      </c>
    </row>
    <row r="3851" spans="1:2" x14ac:dyDescent="0.25">
      <c r="A3851" s="64" t="str">
        <f>HYPERLINK("http://www.twitter.com/RajendarLolaka1", "RajendarLolaka1")</f>
        <v>RajendarLolaka1</v>
      </c>
      <c r="B3851" s="65"/>
    </row>
    <row r="3852" spans="1:2" x14ac:dyDescent="0.25">
      <c r="A3852" s="64" t="str">
        <f>HYPERLINK("http://www.twitter.com/H_Exogenesis", "H_Exogenesis")</f>
        <v>H_Exogenesis</v>
      </c>
      <c r="B3852" s="65"/>
    </row>
    <row r="3853" spans="1:2" x14ac:dyDescent="0.25">
      <c r="A3853" s="64" t="str">
        <f>HYPERLINK("http://www.twitter.com/TiagoMo04110188", "TiagoMo04110188")</f>
        <v>TiagoMo04110188</v>
      </c>
      <c r="B3853" s="65"/>
    </row>
    <row r="3854" spans="1:2" x14ac:dyDescent="0.25">
      <c r="A3854" s="64" t="str">
        <f>HYPERLINK("http://www.twitter.com/bramblea2", "bramblea2")</f>
        <v>bramblea2</v>
      </c>
      <c r="B3854" s="65"/>
    </row>
    <row r="3855" spans="1:2" x14ac:dyDescent="0.25">
      <c r="A3855" s="64" t="str">
        <f>HYPERLINK("http://www.twitter.com/ShetlandReelGin", "ShetlandReelGin")</f>
        <v>ShetlandReelGin</v>
      </c>
      <c r="B3855" s="65" t="s">
        <v>5124</v>
      </c>
    </row>
    <row r="3856" spans="1:2" x14ac:dyDescent="0.25">
      <c r="A3856" s="64" t="str">
        <f>HYPERLINK("http://www.twitter.com/MarielMoreno22", "MarielMoreno22")</f>
        <v>MarielMoreno22</v>
      </c>
      <c r="B3856" s="65" t="s">
        <v>5125</v>
      </c>
    </row>
    <row r="3857" spans="1:2" x14ac:dyDescent="0.25">
      <c r="A3857" s="64" t="str">
        <f>HYPERLINK("http://www.twitter.com/Tales4All", "Tales4All")</f>
        <v>Tales4All</v>
      </c>
      <c r="B3857" s="65"/>
    </row>
    <row r="3858" spans="1:2" x14ac:dyDescent="0.25">
      <c r="A3858" s="64" t="str">
        <f>HYPERLINK("http://www.twitter.com/Classicknits", "Classicknits")</f>
        <v>Classicknits</v>
      </c>
      <c r="B3858" s="65" t="s">
        <v>5126</v>
      </c>
    </row>
    <row r="3859" spans="1:2" x14ac:dyDescent="0.25">
      <c r="A3859" s="64" t="str">
        <f>HYPERLINK("http://www.twitter.com/ChloeMulraine", "ChloeMulraine")</f>
        <v>ChloeMulraine</v>
      </c>
      <c r="B3859" s="65"/>
    </row>
    <row r="3860" spans="1:2" x14ac:dyDescent="0.25">
      <c r="A3860" s="64" t="str">
        <f>HYPERLINK("http://www.twitter.com/shelleyweiner", "shelleyweiner")</f>
        <v>shelleyweiner</v>
      </c>
      <c r="B3860" s="65" t="s">
        <v>110</v>
      </c>
    </row>
    <row r="3861" spans="1:2" x14ac:dyDescent="0.25">
      <c r="A3861" s="64" t="str">
        <f>HYPERLINK("http://www.twitter.com/LauraElDavidson", "LauraElDavidson")</f>
        <v>LauraElDavidson</v>
      </c>
      <c r="B3861" s="65" t="s">
        <v>4500</v>
      </c>
    </row>
    <row r="3862" spans="1:2" x14ac:dyDescent="0.25">
      <c r="A3862" s="64" t="str">
        <f>HYPERLINK("http://www.twitter.com/maddenhacker200", "maddenhacker200")</f>
        <v>maddenhacker200</v>
      </c>
      <c r="B3862" s="65"/>
    </row>
    <row r="3863" spans="1:2" x14ac:dyDescent="0.25">
      <c r="A3863" s="64" t="str">
        <f>HYPERLINK("http://www.twitter.com/belleblue76", "belleblue76")</f>
        <v>belleblue76</v>
      </c>
      <c r="B3863" s="65" t="s">
        <v>318</v>
      </c>
    </row>
    <row r="3864" spans="1:2" x14ac:dyDescent="0.25">
      <c r="A3864" s="64" t="str">
        <f>HYPERLINK("http://www.twitter.com/lucmcnallymusic", "lucmcnallymusic")</f>
        <v>lucmcnallymusic</v>
      </c>
      <c r="B3864" s="65" t="s">
        <v>318</v>
      </c>
    </row>
    <row r="3865" spans="1:2" x14ac:dyDescent="0.25">
      <c r="A3865" s="64" t="str">
        <f>HYPERLINK("http://www.twitter.com/ScotlandVegFest", "ScotlandVegFest")</f>
        <v>ScotlandVegFest</v>
      </c>
      <c r="B3865" s="65" t="s">
        <v>487</v>
      </c>
    </row>
    <row r="3866" spans="1:2" x14ac:dyDescent="0.25">
      <c r="A3866" s="64" t="str">
        <f>HYPERLINK("http://www.twitter.com/78Derngate", "78Derngate")</f>
        <v>78Derngate</v>
      </c>
      <c r="B3866" s="65" t="s">
        <v>5127</v>
      </c>
    </row>
    <row r="3867" spans="1:2" x14ac:dyDescent="0.25">
      <c r="A3867" s="64" t="str">
        <f>HYPERLINK("http://www.twitter.com/schoolysuz", "schoolysuz")</f>
        <v>schoolysuz</v>
      </c>
      <c r="B3867" s="65"/>
    </row>
    <row r="3868" spans="1:2" x14ac:dyDescent="0.25">
      <c r="A3868" s="64" t="str">
        <f>HYPERLINK("http://www.twitter.com/LATraynor", "LATraynor")</f>
        <v>LATraynor</v>
      </c>
      <c r="B3868" s="65" t="s">
        <v>138</v>
      </c>
    </row>
    <row r="3869" spans="1:2" x14ac:dyDescent="0.25">
      <c r="A3869" s="64" t="str">
        <f>HYPERLINK("http://www.twitter.com/bkadams", "bkadams")</f>
        <v>bkadams</v>
      </c>
      <c r="B3869" s="65" t="s">
        <v>5128</v>
      </c>
    </row>
    <row r="3870" spans="1:2" x14ac:dyDescent="0.25">
      <c r="A3870" s="64" t="str">
        <f>HYPERLINK("http://www.twitter.com/hmurrayharb", "hmurrayharb")</f>
        <v>hmurrayharb</v>
      </c>
      <c r="B3870" s="65" t="s">
        <v>1377</v>
      </c>
    </row>
    <row r="3871" spans="1:2" x14ac:dyDescent="0.25">
      <c r="A3871" s="64" t="str">
        <f>HYPERLINK("http://www.twitter.com/VisitCanonGREAT", "VisitCanonGREAT")</f>
        <v>VisitCanonGREAT</v>
      </c>
      <c r="B3871" s="65" t="s">
        <v>5129</v>
      </c>
    </row>
    <row r="3872" spans="1:2" x14ac:dyDescent="0.25">
      <c r="A3872" s="64" t="str">
        <f>HYPERLINK("http://www.twitter.com/WordGift2016", "WordGift2016")</f>
        <v>WordGift2016</v>
      </c>
      <c r="B3872" s="65" t="s">
        <v>4006</v>
      </c>
    </row>
    <row r="3873" spans="1:2" x14ac:dyDescent="0.25">
      <c r="A3873" s="64" t="str">
        <f>HYPERLINK("http://www.twitter.com/stompydragons", "stompydragons")</f>
        <v>stompydragons</v>
      </c>
      <c r="B3873" s="65" t="s">
        <v>5130</v>
      </c>
    </row>
    <row r="3874" spans="1:2" x14ac:dyDescent="0.25">
      <c r="A3874" s="64" t="str">
        <f>HYPERLINK("http://www.twitter.com/selenay", "selenay")</f>
        <v>selenay</v>
      </c>
      <c r="B3874" s="65"/>
    </row>
    <row r="3875" spans="1:2" x14ac:dyDescent="0.25">
      <c r="A3875" s="64" t="str">
        <f>HYPERLINK("http://www.twitter.com/macwiebes", "macwiebes")</f>
        <v>macwiebes</v>
      </c>
      <c r="B3875" s="65" t="s">
        <v>5131</v>
      </c>
    </row>
    <row r="3876" spans="1:2" x14ac:dyDescent="0.25">
      <c r="A3876" s="64" t="str">
        <f>HYPERLINK("http://www.twitter.com/PaulHenryClemo", "PaulHenryClemo")</f>
        <v>PaulHenryClemo</v>
      </c>
      <c r="B3876" s="65" t="s">
        <v>70</v>
      </c>
    </row>
    <row r="3877" spans="1:2" x14ac:dyDescent="0.25">
      <c r="A3877" s="64" t="str">
        <f>HYPERLINK("http://www.twitter.com/Maffoowastaken", "Maffoowastaken")</f>
        <v>Maffoowastaken</v>
      </c>
      <c r="B3877" s="65"/>
    </row>
    <row r="3878" spans="1:2" x14ac:dyDescent="0.25">
      <c r="A3878" s="64" t="str">
        <f>HYPERLINK("http://www.twitter.com/frostingswirls", "frostingswirls")</f>
        <v>frostingswirls</v>
      </c>
      <c r="B3878" s="65" t="s">
        <v>5132</v>
      </c>
    </row>
    <row r="3879" spans="1:2" x14ac:dyDescent="0.25">
      <c r="A3879" s="64" t="str">
        <f>HYPERLINK("http://www.twitter.com/TronTheatre", "TronTheatre")</f>
        <v>TronTheatre</v>
      </c>
      <c r="B3879" s="65" t="s">
        <v>318</v>
      </c>
    </row>
    <row r="3880" spans="1:2" x14ac:dyDescent="0.25">
      <c r="A3880" s="64" t="str">
        <f>HYPERLINK("http://www.twitter.com/camillabaier", "camillabaier")</f>
        <v>camillabaier</v>
      </c>
      <c r="B3880" s="65" t="s">
        <v>487</v>
      </c>
    </row>
    <row r="3881" spans="1:2" x14ac:dyDescent="0.25">
      <c r="A3881" s="64" t="str">
        <f>HYPERLINK("http://www.twitter.com/PSWakefield", "PSWakefield")</f>
        <v>PSWakefield</v>
      </c>
      <c r="B3881" s="65" t="s">
        <v>5133</v>
      </c>
    </row>
    <row r="3882" spans="1:2" x14ac:dyDescent="0.25">
      <c r="A3882" s="64" t="str">
        <f>HYPERLINK("http://www.twitter.com/RebsTweeting", "RebsTweeting")</f>
        <v>RebsTweeting</v>
      </c>
      <c r="B3882" s="65"/>
    </row>
    <row r="3883" spans="1:2" x14ac:dyDescent="0.25">
      <c r="A3883" s="64" t="str">
        <f>HYPERLINK("http://www.twitter.com/quadraspark", "quadraspark")</f>
        <v>quadraspark</v>
      </c>
      <c r="B3883" s="65" t="s">
        <v>5134</v>
      </c>
    </row>
    <row r="3884" spans="1:2" x14ac:dyDescent="0.25">
      <c r="A3884" s="64" t="str">
        <f>HYPERLINK("http://www.twitter.com/MarcoBoretto", "MarcoBoretto")</f>
        <v>MarcoBoretto</v>
      </c>
      <c r="B3884" s="65"/>
    </row>
    <row r="3885" spans="1:2" x14ac:dyDescent="0.25">
      <c r="A3885" s="64" t="str">
        <f>HYPERLINK("http://www.twitter.com/idonttweeteverr", "idonttweeteverr")</f>
        <v>idonttweeteverr</v>
      </c>
      <c r="B3885" s="65"/>
    </row>
    <row r="3886" spans="1:2" x14ac:dyDescent="0.25">
      <c r="A3886" s="64" t="str">
        <f>HYPERLINK("http://www.twitter.com/JPAMDG", "JPAMDG")</f>
        <v>JPAMDG</v>
      </c>
      <c r="B3886" s="65" t="s">
        <v>4500</v>
      </c>
    </row>
    <row r="3887" spans="1:2" x14ac:dyDescent="0.25">
      <c r="A3887" s="64" t="str">
        <f>HYPERLINK("http://www.twitter.com/havecakewilleat", "havecakewilleat")</f>
        <v>havecakewilleat</v>
      </c>
      <c r="B3887" s="65" t="s">
        <v>1873</v>
      </c>
    </row>
    <row r="3888" spans="1:2" x14ac:dyDescent="0.25">
      <c r="A3888" s="64" t="str">
        <f>HYPERLINK("http://www.twitter.com/Rubyslippers82", "Rubyslippers82")</f>
        <v>Rubyslippers82</v>
      </c>
      <c r="B3888" s="65" t="s">
        <v>4145</v>
      </c>
    </row>
    <row r="3889" spans="1:2" x14ac:dyDescent="0.25">
      <c r="A3889" s="64" t="str">
        <f>HYPERLINK("http://www.twitter.com/ElixirLibri", "ElixirLibri")</f>
        <v>ElixirLibri</v>
      </c>
      <c r="B3889" s="65" t="s">
        <v>477</v>
      </c>
    </row>
    <row r="3890" spans="1:2" x14ac:dyDescent="0.25">
      <c r="A3890" s="64" t="str">
        <f>HYPERLINK("http://www.twitter.com/NewXbelllibrary", "NewXbelllibrary")</f>
        <v>NewXbelllibrary</v>
      </c>
      <c r="B3890" s="65" t="s">
        <v>5135</v>
      </c>
    </row>
    <row r="3891" spans="1:2" x14ac:dyDescent="0.25">
      <c r="A3891" s="64" t="str">
        <f>HYPERLINK("http://www.twitter.com/simplepastor", "simplepastor")</f>
        <v>simplepastor</v>
      </c>
      <c r="B3891" s="65" t="s">
        <v>4210</v>
      </c>
    </row>
    <row r="3892" spans="1:2" x14ac:dyDescent="0.25">
      <c r="A3892" s="64" t="str">
        <f>HYPERLINK("http://www.twitter.com/CovRes", "CovRes")</f>
        <v>CovRes</v>
      </c>
      <c r="B3892" s="65" t="s">
        <v>5136</v>
      </c>
    </row>
    <row r="3893" spans="1:2" x14ac:dyDescent="0.25">
      <c r="A3893" s="64" t="str">
        <f>HYPERLINK("http://www.twitter.com/ShropsDan", "ShropsDan")</f>
        <v>ShropsDan</v>
      </c>
      <c r="B3893" s="65" t="s">
        <v>2185</v>
      </c>
    </row>
    <row r="3894" spans="1:2" x14ac:dyDescent="0.25">
      <c r="A3894" s="64" t="str">
        <f>HYPERLINK("http://www.twitter.com/sherbetsaucers", "sherbetsaucers")</f>
        <v>sherbetsaucers</v>
      </c>
      <c r="B3894" s="65"/>
    </row>
    <row r="3895" spans="1:2" x14ac:dyDescent="0.25">
      <c r="A3895" s="64" t="str">
        <f>HYPERLINK("http://www.twitter.com/Auldon83", "Auldon83")</f>
        <v>Auldon83</v>
      </c>
      <c r="B3895" s="65"/>
    </row>
    <row r="3896" spans="1:2" x14ac:dyDescent="0.25">
      <c r="A3896" s="64" t="str">
        <f>HYPERLINK("http://www.twitter.com/BethHamer1", "BethHamer1")</f>
        <v>BethHamer1</v>
      </c>
      <c r="B3896" s="65" t="s">
        <v>36</v>
      </c>
    </row>
    <row r="3897" spans="1:2" x14ac:dyDescent="0.25">
      <c r="A3897" s="64" t="str">
        <f>HYPERLINK("http://www.twitter.com/johnewishart", "johnewishart")</f>
        <v>johnewishart</v>
      </c>
      <c r="B3897" s="65"/>
    </row>
    <row r="3898" spans="1:2" x14ac:dyDescent="0.25">
      <c r="A3898" s="64" t="str">
        <f>HYPERLINK("http://www.twitter.com/the2ndhop", "the2ndhop")</f>
        <v>the2ndhop</v>
      </c>
      <c r="B3898" s="65"/>
    </row>
    <row r="3899" spans="1:2" x14ac:dyDescent="0.25">
      <c r="A3899" s="64" t="str">
        <f>HYPERLINK("http://www.twitter.com/DMaddenwoop", "DMaddenwoop")</f>
        <v>DMaddenwoop</v>
      </c>
      <c r="B3899" s="65" t="s">
        <v>36</v>
      </c>
    </row>
    <row r="3900" spans="1:2" x14ac:dyDescent="0.25">
      <c r="A3900" s="64" t="str">
        <f>HYPERLINK("http://www.twitter.com/OhVanishedLady", "OhVanishedLady")</f>
        <v>OhVanishedLady</v>
      </c>
      <c r="B3900" s="65" t="s">
        <v>5137</v>
      </c>
    </row>
    <row r="3901" spans="1:2" x14ac:dyDescent="0.25">
      <c r="A3901" s="64" t="str">
        <f>HYPERLINK("http://www.twitter.com/eilidhmwilson", "eilidhmwilson")</f>
        <v>eilidhmwilson</v>
      </c>
      <c r="B3901" s="65" t="s">
        <v>5138</v>
      </c>
    </row>
    <row r="3902" spans="1:2" x14ac:dyDescent="0.25">
      <c r="A3902" s="64" t="str">
        <f>HYPERLINK("http://www.twitter.com/BrenMcClain", "BrenMcClain")</f>
        <v>BrenMcClain</v>
      </c>
      <c r="B3902" s="65" t="s">
        <v>5139</v>
      </c>
    </row>
    <row r="3903" spans="1:2" x14ac:dyDescent="0.25">
      <c r="A3903" s="64" t="str">
        <f>HYPERLINK("http://www.twitter.com/ZaffarKunial", "ZaffarKunial")</f>
        <v>ZaffarKunial</v>
      </c>
      <c r="B3903" s="65" t="s">
        <v>5140</v>
      </c>
    </row>
    <row r="3904" spans="1:2" x14ac:dyDescent="0.25">
      <c r="A3904" s="64" t="str">
        <f>HYPERLINK("http://www.twitter.com/ShauniAdam", "ShauniAdam")</f>
        <v>ShauniAdam</v>
      </c>
      <c r="B3904" s="65"/>
    </row>
    <row r="3905" spans="1:2" x14ac:dyDescent="0.25">
      <c r="A3905" s="64" t="str">
        <f>HYPERLINK("http://www.twitter.com/dczerkaszyn", "dczerkaszyn")</f>
        <v>dczerkaszyn</v>
      </c>
      <c r="B3905" s="65"/>
    </row>
    <row r="3906" spans="1:2" x14ac:dyDescent="0.25">
      <c r="A3906" s="64" t="str">
        <f>HYPERLINK("http://www.twitter.com/MontanaGael", "MontanaGael")</f>
        <v>MontanaGael</v>
      </c>
      <c r="B3906" s="65" t="s">
        <v>5141</v>
      </c>
    </row>
    <row r="3907" spans="1:2" x14ac:dyDescent="0.25">
      <c r="A3907" s="64" t="str">
        <f>HYPERLINK("http://www.twitter.com/KevinVaiulumuli", "KevinVaiulumuli")</f>
        <v>KevinVaiulumuli</v>
      </c>
      <c r="B3907" s="65" t="s">
        <v>248</v>
      </c>
    </row>
    <row r="3908" spans="1:2" x14ac:dyDescent="0.25">
      <c r="A3908" s="64" t="str">
        <f>HYPERLINK("http://www.twitter.com/JulieDevenney", "JulieDevenney")</f>
        <v>JulieDevenney</v>
      </c>
      <c r="B3908" s="65" t="s">
        <v>5142</v>
      </c>
    </row>
    <row r="3909" spans="1:2" x14ac:dyDescent="0.25">
      <c r="A3909" s="64" t="str">
        <f>HYPERLINK("http://www.twitter.com/Boonis", "Boonis")</f>
        <v>Boonis</v>
      </c>
      <c r="B3909" s="65" t="s">
        <v>3920</v>
      </c>
    </row>
    <row r="3910" spans="1:2" x14ac:dyDescent="0.25">
      <c r="A3910" s="64" t="str">
        <f>HYPERLINK("http://www.twitter.com/MWCravenUK", "MWCravenUK")</f>
        <v>MWCravenUK</v>
      </c>
      <c r="B3910" s="65" t="s">
        <v>5143</v>
      </c>
    </row>
    <row r="3911" spans="1:2" x14ac:dyDescent="0.25">
      <c r="A3911" s="64" t="str">
        <f>HYPERLINK("http://www.twitter.com/JokelahomaMic", "JokelahomaMic")</f>
        <v>JokelahomaMic</v>
      </c>
      <c r="B3911" s="65" t="s">
        <v>5144</v>
      </c>
    </row>
    <row r="3912" spans="1:2" x14ac:dyDescent="0.25">
      <c r="A3912" s="64" t="str">
        <f>HYPERLINK("http://www.twitter.com/MuzafferGenclik", "MuzafferGenclik")</f>
        <v>MuzafferGenclik</v>
      </c>
      <c r="B3912" s="65"/>
    </row>
    <row r="3913" spans="1:2" x14ac:dyDescent="0.25">
      <c r="A3913" s="64" t="str">
        <f>HYPERLINK("http://www.twitter.com/fatherandus", "fatherandus")</f>
        <v>fatherandus</v>
      </c>
      <c r="B3913" s="65" t="s">
        <v>4701</v>
      </c>
    </row>
    <row r="3914" spans="1:2" x14ac:dyDescent="0.25">
      <c r="A3914" s="64" t="str">
        <f>HYPERLINK("http://www.twitter.com/NewmarketLib", "NewmarketLib")</f>
        <v>NewmarketLib</v>
      </c>
      <c r="B3914" s="65" t="s">
        <v>2903</v>
      </c>
    </row>
    <row r="3915" spans="1:2" x14ac:dyDescent="0.25">
      <c r="A3915" s="64" t="str">
        <f>HYPERLINK("http://www.twitter.com/NorthWind_100", "NorthWind_100")</f>
        <v>NorthWind_100</v>
      </c>
      <c r="B3915" s="65"/>
    </row>
    <row r="3916" spans="1:2" x14ac:dyDescent="0.25">
      <c r="A3916" s="64" t="str">
        <f>HYPERLINK("http://www.twitter.com/TimesJagwe", "TimesJagwe")</f>
        <v>TimesJagwe</v>
      </c>
      <c r="B3916" s="65" t="s">
        <v>5145</v>
      </c>
    </row>
    <row r="3917" spans="1:2" x14ac:dyDescent="0.25">
      <c r="A3917" s="64" t="str">
        <f>HYPERLINK("http://www.twitter.com/stoneagehunter", "stoneagehunter")</f>
        <v>stoneagehunter</v>
      </c>
      <c r="B3917" s="65" t="s">
        <v>5146</v>
      </c>
    </row>
    <row r="3918" spans="1:2" x14ac:dyDescent="0.25">
      <c r="A3918" s="64" t="str">
        <f>HYPERLINK("http://www.twitter.com/iataonline", "iataonline")</f>
        <v>iataonline</v>
      </c>
      <c r="B3918" s="65" t="s">
        <v>296</v>
      </c>
    </row>
    <row r="3919" spans="1:2" x14ac:dyDescent="0.25">
      <c r="A3919" s="64" t="str">
        <f>HYPERLINK("http://www.twitter.com/GeneBoffaAuthor", "GeneBoffaAuthor")</f>
        <v>GeneBoffaAuthor</v>
      </c>
      <c r="B3919" s="65" t="s">
        <v>5147</v>
      </c>
    </row>
    <row r="3920" spans="1:2" x14ac:dyDescent="0.25">
      <c r="A3920" s="64" t="str">
        <f>HYPERLINK("http://www.twitter.com/Kat_A_Miller", "Kat_A_Miller")</f>
        <v>Kat_A_Miller</v>
      </c>
      <c r="B3920" s="65" t="s">
        <v>2507</v>
      </c>
    </row>
    <row r="3921" spans="1:2" x14ac:dyDescent="0.25">
      <c r="A3921" s="64" t="str">
        <f>HYPERLINK("http://www.twitter.com/MacKidPleasantn", "MacKidPleasantn")</f>
        <v>MacKidPleasantn</v>
      </c>
      <c r="B3921" s="65" t="s">
        <v>5148</v>
      </c>
    </row>
    <row r="3922" spans="1:2" x14ac:dyDescent="0.25">
      <c r="A3922" s="64" t="str">
        <f>HYPERLINK("http://www.twitter.com/DavidsonMagnus", "DavidsonMagnus")</f>
        <v>DavidsonMagnus</v>
      </c>
      <c r="B3922" s="65" t="s">
        <v>5149</v>
      </c>
    </row>
    <row r="3923" spans="1:2" x14ac:dyDescent="0.25">
      <c r="A3923" s="64" t="str">
        <f>HYPERLINK("http://www.twitter.com/WolfieSmiffed", "WolfieSmiffed")</f>
        <v>WolfieSmiffed</v>
      </c>
      <c r="B3923" s="65" t="s">
        <v>5150</v>
      </c>
    </row>
    <row r="3924" spans="1:2" x14ac:dyDescent="0.25">
      <c r="A3924" s="64" t="str">
        <f>HYPERLINK("http://www.twitter.com/ShoaibS7432", "ShoaibS7432")</f>
        <v>ShoaibS7432</v>
      </c>
      <c r="B3924" s="65"/>
    </row>
    <row r="3925" spans="1:2" x14ac:dyDescent="0.25">
      <c r="A3925" s="64" t="str">
        <f>HYPERLINK("http://www.twitter.com/BWEglintonArms", "BWEglintonArms")</f>
        <v>BWEglintonArms</v>
      </c>
      <c r="B3925" s="65" t="s">
        <v>5151</v>
      </c>
    </row>
    <row r="3926" spans="1:2" x14ac:dyDescent="0.25">
      <c r="A3926" s="64" t="str">
        <f>HYPERLINK("http://www.twitter.com/deborah_c", "deborah_c")</f>
        <v>deborah_c</v>
      </c>
      <c r="B3926" s="65" t="s">
        <v>508</v>
      </c>
    </row>
    <row r="3927" spans="1:2" x14ac:dyDescent="0.25">
      <c r="A3927" s="64" t="str">
        <f>HYPERLINK("http://www.twitter.com/centrumpoint", "centrumpoint")</f>
        <v>centrumpoint</v>
      </c>
      <c r="B3927" s="65" t="s">
        <v>5152</v>
      </c>
    </row>
    <row r="3928" spans="1:2" x14ac:dyDescent="0.25">
      <c r="A3928" s="64" t="str">
        <f>HYPERLINK("http://www.twitter.com/ewaneddy", "ewaneddy")</f>
        <v>ewaneddy</v>
      </c>
      <c r="B3928" s="65" t="s">
        <v>569</v>
      </c>
    </row>
    <row r="3929" spans="1:2" x14ac:dyDescent="0.25">
      <c r="A3929" s="64" t="str">
        <f>HYPERLINK("http://www.twitter.com/LodgeXLodge", "LodgeXLodge")</f>
        <v>LodgeXLodge</v>
      </c>
      <c r="B3929" s="65" t="s">
        <v>4940</v>
      </c>
    </row>
    <row r="3930" spans="1:2" x14ac:dyDescent="0.25">
      <c r="A3930" s="64" t="str">
        <f>HYPERLINK("http://www.twitter.com/ScapaScuba", "ScapaScuba")</f>
        <v>ScapaScuba</v>
      </c>
      <c r="B3930" s="65" t="s">
        <v>4223</v>
      </c>
    </row>
    <row r="3931" spans="1:2" x14ac:dyDescent="0.25">
      <c r="A3931" s="64" t="str">
        <f>HYPERLINK("http://www.twitter.com/amorexplore", "amorexplore")</f>
        <v>amorexplore</v>
      </c>
      <c r="B3931" s="65" t="s">
        <v>477</v>
      </c>
    </row>
    <row r="3932" spans="1:2" x14ac:dyDescent="0.25">
      <c r="A3932" s="64" t="str">
        <f>HYPERLINK("http://www.twitter.com/PleatedTeacosy", "PleatedTeacosy")</f>
        <v>PleatedTeacosy</v>
      </c>
      <c r="B3932" s="65" t="s">
        <v>70</v>
      </c>
    </row>
    <row r="3933" spans="1:2" x14ac:dyDescent="0.25">
      <c r="A3933" s="64" t="str">
        <f>HYPERLINK("http://www.twitter.com/PsychicHygiene", "PsychicHygiene")</f>
        <v>PsychicHygiene</v>
      </c>
      <c r="B3933" s="65" t="s">
        <v>5153</v>
      </c>
    </row>
    <row r="3934" spans="1:2" x14ac:dyDescent="0.25">
      <c r="A3934" s="64" t="str">
        <f>HYPERLINK("http://www.twitter.com/_William_Knight", "_William_Knight")</f>
        <v>_William_Knight</v>
      </c>
      <c r="B3934" s="65" t="s">
        <v>4161</v>
      </c>
    </row>
    <row r="3935" spans="1:2" x14ac:dyDescent="0.25">
      <c r="A3935" s="64" t="str">
        <f>HYPERLINK("http://www.twitter.com/sleepresearcher", "sleepresearcher")</f>
        <v>sleepresearcher</v>
      </c>
      <c r="B3935" s="65" t="s">
        <v>24</v>
      </c>
    </row>
    <row r="3936" spans="1:2" x14ac:dyDescent="0.25">
      <c r="A3936" s="64" t="str">
        <f>HYPERLINK("http://www.twitter.com/woobrocom", "woobrocom")</f>
        <v>woobrocom</v>
      </c>
      <c r="B3936" s="65" t="s">
        <v>477</v>
      </c>
    </row>
    <row r="3937" spans="1:2" x14ac:dyDescent="0.25">
      <c r="A3937" s="64" t="str">
        <f>HYPERLINK("http://www.twitter.com/DineshK23768044", "DineshK23768044")</f>
        <v>DineshK23768044</v>
      </c>
      <c r="B3937" s="65"/>
    </row>
    <row r="3938" spans="1:2" x14ac:dyDescent="0.25">
      <c r="A3938" s="64" t="str">
        <f>HYPERLINK("http://www.twitter.com/AndrewDivoff2", "AndrewDivoff2")</f>
        <v>AndrewDivoff2</v>
      </c>
      <c r="B3938" s="65" t="s">
        <v>5154</v>
      </c>
    </row>
    <row r="3939" spans="1:2" x14ac:dyDescent="0.25">
      <c r="A3939" s="64" t="str">
        <f>HYPERLINK("http://www.twitter.com/LifeSliding", "LifeSliding")</f>
        <v>LifeSliding</v>
      </c>
      <c r="B3939" s="65" t="s">
        <v>5155</v>
      </c>
    </row>
    <row r="3940" spans="1:2" x14ac:dyDescent="0.25">
      <c r="A3940" s="64" t="str">
        <f>HYPERLINK("http://www.twitter.com/stadir01", "stadir01")</f>
        <v>stadir01</v>
      </c>
      <c r="B3940" s="65"/>
    </row>
    <row r="3941" spans="1:2" x14ac:dyDescent="0.25">
      <c r="A3941" s="64" t="str">
        <f>HYPERLINK("http://www.twitter.com/astrostar12345", "astrostar12345")</f>
        <v>astrostar12345</v>
      </c>
      <c r="B3941" s="65"/>
    </row>
    <row r="3942" spans="1:2" x14ac:dyDescent="0.25">
      <c r="A3942" s="64" t="str">
        <f>HYPERLINK("http://www.twitter.com/AdamsonCathy", "AdamsonCathy")</f>
        <v>AdamsonCathy</v>
      </c>
      <c r="B3942" s="65" t="s">
        <v>296</v>
      </c>
    </row>
    <row r="3943" spans="1:2" x14ac:dyDescent="0.25">
      <c r="A3943" s="64" t="str">
        <f>HYPERLINK("http://www.twitter.com/ollinpintado", "ollinpintado")</f>
        <v>ollinpintado</v>
      </c>
      <c r="B3943" s="65" t="s">
        <v>1377</v>
      </c>
    </row>
    <row r="3944" spans="1:2" x14ac:dyDescent="0.25">
      <c r="A3944" s="64" t="str">
        <f>HYPERLINK("http://www.twitter.com/SamJSadler", "SamJSadler")</f>
        <v>SamJSadler</v>
      </c>
      <c r="B3944" s="65" t="s">
        <v>36</v>
      </c>
    </row>
    <row r="3945" spans="1:2" x14ac:dyDescent="0.25">
      <c r="A3945" s="64" t="str">
        <f>HYPERLINK("http://www.twitter.com/WayneRMI", "WayneRMI")</f>
        <v>WayneRMI</v>
      </c>
      <c r="B3945" s="65" t="s">
        <v>5156</v>
      </c>
    </row>
    <row r="3946" spans="1:2" x14ac:dyDescent="0.25">
      <c r="A3946" s="64" t="str">
        <f>HYPERLINK("http://www.twitter.com/ainsleyphill", "ainsleyphill")</f>
        <v>ainsleyphill</v>
      </c>
      <c r="B3946" s="65"/>
    </row>
    <row r="3947" spans="1:2" x14ac:dyDescent="0.25">
      <c r="A3947" s="64" t="str">
        <f>HYPERLINK("http://www.twitter.com/RewindTime_", "RewindTime_")</f>
        <v>RewindTime_</v>
      </c>
      <c r="B3947" s="65"/>
    </row>
    <row r="3948" spans="1:2" x14ac:dyDescent="0.25">
      <c r="A3948" s="64" t="str">
        <f>HYPERLINK("http://www.twitter.com/aquaturfclub", "aquaturfclub")</f>
        <v>aquaturfclub</v>
      </c>
      <c r="B3948" s="65" t="s">
        <v>5157</v>
      </c>
    </row>
    <row r="3949" spans="1:2" x14ac:dyDescent="0.25">
      <c r="A3949" s="64" t="str">
        <f>HYPERLINK("http://www.twitter.com/justeatscotland", "justeatscotland")</f>
        <v>justeatscotland</v>
      </c>
      <c r="B3949" s="65" t="s">
        <v>487</v>
      </c>
    </row>
    <row r="3950" spans="1:2" x14ac:dyDescent="0.25">
      <c r="A3950" s="64" t="str">
        <f>HYPERLINK("http://www.twitter.com/pandjsmum", "pandjsmum")</f>
        <v>pandjsmum</v>
      </c>
      <c r="B3950" s="65" t="s">
        <v>138</v>
      </c>
    </row>
    <row r="3951" spans="1:2" x14ac:dyDescent="0.25">
      <c r="A3951" s="64" t="str">
        <f>HYPERLINK("http://www.twitter.com/UModernists", "UModernists")</f>
        <v>UModernists</v>
      </c>
      <c r="B3951" s="65" t="s">
        <v>2007</v>
      </c>
    </row>
    <row r="3952" spans="1:2" x14ac:dyDescent="0.25">
      <c r="A3952" s="64" t="str">
        <f>HYPERLINK("http://www.twitter.com/C_Willoh", "C_Willoh")</f>
        <v>C_Willoh</v>
      </c>
      <c r="B3952" s="65" t="s">
        <v>24</v>
      </c>
    </row>
    <row r="3953" spans="1:2" x14ac:dyDescent="0.25">
      <c r="A3953" s="64" t="str">
        <f>HYPERLINK("http://www.twitter.com/andres_medinag4", "andres_medinag4")</f>
        <v>andres_medinag4</v>
      </c>
      <c r="B3953" s="65"/>
    </row>
    <row r="3954" spans="1:2" x14ac:dyDescent="0.25">
      <c r="A3954" s="64" t="str">
        <f>HYPERLINK("http://www.twitter.com/elliejmcmaster", "elliejmcmaster")</f>
        <v>elliejmcmaster</v>
      </c>
      <c r="B3954" s="65" t="s">
        <v>5158</v>
      </c>
    </row>
    <row r="3955" spans="1:2" x14ac:dyDescent="0.25">
      <c r="A3955" s="64" t="str">
        <f>HYPERLINK("http://www.twitter.com/MontanaCWR", "MontanaCWR")</f>
        <v>MontanaCWR</v>
      </c>
      <c r="B3955" s="65" t="s">
        <v>5159</v>
      </c>
    </row>
    <row r="3956" spans="1:2" x14ac:dyDescent="0.25">
      <c r="A3956" s="64" t="str">
        <f>HYPERLINK("http://www.twitter.com/LovethatLyricx", "LovethatLyricx")</f>
        <v>LovethatLyricx</v>
      </c>
      <c r="B3956" s="65" t="s">
        <v>5160</v>
      </c>
    </row>
    <row r="3957" spans="1:2" x14ac:dyDescent="0.25">
      <c r="A3957" s="64" t="str">
        <f>HYPERLINK("http://www.twitter.com/fredcoster_", "fredcoster_")</f>
        <v>fredcoster_</v>
      </c>
      <c r="B3957" s="65"/>
    </row>
    <row r="3958" spans="1:2" x14ac:dyDescent="0.25">
      <c r="A3958" s="64" t="str">
        <f>HYPERLINK("http://www.twitter.com/a_loewy", "a_loewy")</f>
        <v>a_loewy</v>
      </c>
      <c r="B3958" s="65"/>
    </row>
    <row r="3959" spans="1:2" x14ac:dyDescent="0.25">
      <c r="A3959" s="64" t="str">
        <f>HYPERLINK("http://www.twitter.com/effectioshop", "effectioshop")</f>
        <v>effectioshop</v>
      </c>
      <c r="B3959" s="65" t="s">
        <v>4145</v>
      </c>
    </row>
    <row r="3960" spans="1:2" x14ac:dyDescent="0.25">
      <c r="A3960" s="64" t="str">
        <f>HYPERLINK("http://www.twitter.com/BathStoryTime", "BathStoryTime")</f>
        <v>BathStoryTime</v>
      </c>
      <c r="B3960" s="65" t="s">
        <v>2270</v>
      </c>
    </row>
    <row r="3961" spans="1:2" x14ac:dyDescent="0.25">
      <c r="A3961" s="64" t="str">
        <f>HYPERLINK("http://www.twitter.com/benjibenanders1", "benjibenanders1")</f>
        <v>benjibenanders1</v>
      </c>
      <c r="B3961" s="65" t="s">
        <v>5161</v>
      </c>
    </row>
    <row r="3962" spans="1:2" x14ac:dyDescent="0.25">
      <c r="A3962" s="64" t="str">
        <f>HYPERLINK("http://www.twitter.com/KFScotlandResi", "KFScotlandResi")</f>
        <v>KFScotlandResi</v>
      </c>
      <c r="B3962" s="65" t="s">
        <v>2007</v>
      </c>
    </row>
    <row r="3963" spans="1:2" x14ac:dyDescent="0.25">
      <c r="A3963" s="64" t="str">
        <f>HYPERLINK("http://www.twitter.com/Dunvegan_Castle", "Dunvegan_Castle")</f>
        <v>Dunvegan_Castle</v>
      </c>
      <c r="B3963" s="65" t="s">
        <v>5162</v>
      </c>
    </row>
    <row r="3964" spans="1:2" x14ac:dyDescent="0.25">
      <c r="A3964" s="64" t="str">
        <f>HYPERLINK("http://www.twitter.com/RebeccaGWT", "RebeccaGWT")</f>
        <v>RebeccaGWT</v>
      </c>
      <c r="B3964" s="65" t="s">
        <v>5163</v>
      </c>
    </row>
    <row r="3965" spans="1:2" x14ac:dyDescent="0.25">
      <c r="A3965" s="64" t="str">
        <f>HYPERLINK("http://www.twitter.com/aandbscotland", "aandbscotland")</f>
        <v>aandbscotland</v>
      </c>
      <c r="B3965" s="65" t="s">
        <v>517</v>
      </c>
    </row>
    <row r="3966" spans="1:2" x14ac:dyDescent="0.25">
      <c r="A3966" s="64" t="str">
        <f>HYPERLINK("http://www.twitter.com/pilotscotland", "pilotscotland")</f>
        <v>pilotscotland</v>
      </c>
      <c r="B3966" s="65" t="s">
        <v>2007</v>
      </c>
    </row>
    <row r="3967" spans="1:2" x14ac:dyDescent="0.25">
      <c r="A3967" s="64" t="str">
        <f>HYPERLINK("http://www.twitter.com/KKrick11", "KKrick11")</f>
        <v>KKrick11</v>
      </c>
      <c r="B3967" s="65"/>
    </row>
    <row r="3968" spans="1:2" x14ac:dyDescent="0.25">
      <c r="A3968" s="64" t="str">
        <f>HYPERLINK("http://www.twitter.com/autisticertia", "autisticertia")</f>
        <v>autisticertia</v>
      </c>
      <c r="B3968" s="65" t="s">
        <v>5164</v>
      </c>
    </row>
    <row r="3969" spans="1:2" x14ac:dyDescent="0.25">
      <c r="A3969" s="64" t="str">
        <f>HYPERLINK("http://www.twitter.com/PlusBackpackers", "PlusBackpackers")</f>
        <v>PlusBackpackers</v>
      </c>
      <c r="B3969" s="65" t="s">
        <v>4991</v>
      </c>
    </row>
    <row r="3970" spans="1:2" x14ac:dyDescent="0.25">
      <c r="A3970" s="64" t="str">
        <f>HYPERLINK("http://www.twitter.com/thedatasourceuk", "thedatasourceuk")</f>
        <v>thedatasourceuk</v>
      </c>
      <c r="B3970" s="65" t="s">
        <v>1377</v>
      </c>
    </row>
    <row r="3971" spans="1:2" x14ac:dyDescent="0.25">
      <c r="A3971" s="64" t="str">
        <f>HYPERLINK("http://www.twitter.com/purplehoob", "purplehoob")</f>
        <v>purplehoob</v>
      </c>
      <c r="B3971" s="65"/>
    </row>
    <row r="3972" spans="1:2" x14ac:dyDescent="0.25">
      <c r="A3972" s="64" t="str">
        <f>HYPERLINK("http://www.twitter.com/alcluith", "alcluith")</f>
        <v>alcluith</v>
      </c>
      <c r="B3972" s="65" t="s">
        <v>138</v>
      </c>
    </row>
    <row r="3973" spans="1:2" x14ac:dyDescent="0.25">
      <c r="A3973" s="64" t="str">
        <f>HYPERLINK("http://www.twitter.com/harchivist", "harchivist")</f>
        <v>harchivist</v>
      </c>
      <c r="B3973" s="65" t="s">
        <v>4678</v>
      </c>
    </row>
    <row r="3974" spans="1:2" x14ac:dyDescent="0.25">
      <c r="A3974" s="64" t="str">
        <f>HYPERLINK("http://www.twitter.com/EwanHannah", "EwanHannah")</f>
        <v>EwanHannah</v>
      </c>
      <c r="B3974" s="65" t="s">
        <v>2289</v>
      </c>
    </row>
    <row r="3975" spans="1:2" x14ac:dyDescent="0.25">
      <c r="A3975" s="64" t="str">
        <f>HYPERLINK("http://www.twitter.com/Snuffboxmusic", "Snuffboxmusic")</f>
        <v>Snuffboxmusic</v>
      </c>
      <c r="B3975" s="65" t="s">
        <v>318</v>
      </c>
    </row>
    <row r="3976" spans="1:2" x14ac:dyDescent="0.25">
      <c r="A3976" s="64" t="str">
        <f>HYPERLINK("http://www.twitter.com/willsteele", "willsteele")</f>
        <v>willsteele</v>
      </c>
      <c r="B3976" s="65" t="s">
        <v>36</v>
      </c>
    </row>
    <row r="3977" spans="1:2" x14ac:dyDescent="0.25">
      <c r="A3977" s="64" t="str">
        <f>HYPERLINK("http://www.twitter.com/4cGOgKOmOUasBCS", "4cGOgKOmOUasBCS")</f>
        <v>4cGOgKOmOUasBCS</v>
      </c>
      <c r="B3977" s="65"/>
    </row>
    <row r="3978" spans="1:2" x14ac:dyDescent="0.25">
      <c r="A3978" s="64" t="str">
        <f>HYPERLINK("http://www.twitter.com/AlfieMcWawa", "AlfieMcWawa")</f>
        <v>AlfieMcWawa</v>
      </c>
      <c r="B3978" s="65" t="s">
        <v>296</v>
      </c>
    </row>
    <row r="3979" spans="1:2" x14ac:dyDescent="0.25">
      <c r="A3979" s="64" t="str">
        <f>HYPERLINK("http://www.twitter.com/NellifantMc", "NellifantMc")</f>
        <v>NellifantMc</v>
      </c>
      <c r="B3979" s="65" t="s">
        <v>3760</v>
      </c>
    </row>
    <row r="3980" spans="1:2" x14ac:dyDescent="0.25">
      <c r="A3980" s="64" t="str">
        <f>HYPERLINK("http://www.twitter.com/SouperSaturday", "SouperSaturday")</f>
        <v>SouperSaturday</v>
      </c>
      <c r="B3980" s="65" t="s">
        <v>24</v>
      </c>
    </row>
    <row r="3981" spans="1:2" x14ac:dyDescent="0.25">
      <c r="A3981" s="64" t="str">
        <f>HYPERLINK("http://www.twitter.com/MelenieFW", "MelenieFW")</f>
        <v>MelenieFW</v>
      </c>
      <c r="B3981" s="65" t="s">
        <v>5165</v>
      </c>
    </row>
    <row r="3982" spans="1:2" x14ac:dyDescent="0.25">
      <c r="A3982" s="64" t="str">
        <f>HYPERLINK("http://www.twitter.com/cescabick", "cescabick")</f>
        <v>cescabick</v>
      </c>
      <c r="B3982" s="65" t="s">
        <v>1377</v>
      </c>
    </row>
    <row r="3983" spans="1:2" x14ac:dyDescent="0.25">
      <c r="A3983" s="64" t="str">
        <f>HYPERLINK("http://www.twitter.com/Rakishi", "Rakishi")</f>
        <v>Rakishi</v>
      </c>
      <c r="B3983" s="65" t="s">
        <v>36</v>
      </c>
    </row>
    <row r="3984" spans="1:2" x14ac:dyDescent="0.25">
      <c r="A3984" s="64" t="str">
        <f>HYPERLINK("http://www.twitter.com/NeverEnoughShoe", "NeverEnoughShoe")</f>
        <v>NeverEnoughShoe</v>
      </c>
      <c r="B3984" s="65"/>
    </row>
    <row r="3985" spans="1:2" x14ac:dyDescent="0.25">
      <c r="A3985" s="64" t="str">
        <f>HYPERLINK("http://www.twitter.com/cortexrock", "cortexrock")</f>
        <v>cortexrock</v>
      </c>
      <c r="B3985" s="65" t="s">
        <v>5166</v>
      </c>
    </row>
    <row r="3986" spans="1:2" x14ac:dyDescent="0.25">
      <c r="A3986" s="64" t="str">
        <f>HYPERLINK("http://www.twitter.com/Benelli_UAE", "Benelli_UAE")</f>
        <v>Benelli_UAE</v>
      </c>
      <c r="B3986" s="65" t="s">
        <v>4336</v>
      </c>
    </row>
    <row r="3987" spans="1:2" x14ac:dyDescent="0.25">
      <c r="A3987" s="64" t="str">
        <f>HYPERLINK("http://www.twitter.com/scottishtomes", "scottishtomes")</f>
        <v>scottishtomes</v>
      </c>
      <c r="B3987" s="65" t="s">
        <v>517</v>
      </c>
    </row>
    <row r="3988" spans="1:2" x14ac:dyDescent="0.25">
      <c r="A3988" s="64" t="str">
        <f>HYPERLINK("http://www.twitter.com/Tartaned_Maple", "Tartaned_Maple")</f>
        <v>Tartaned_Maple</v>
      </c>
      <c r="B3988" s="65" t="s">
        <v>4664</v>
      </c>
    </row>
    <row r="3989" spans="1:2" x14ac:dyDescent="0.25">
      <c r="A3989" s="64" t="str">
        <f>HYPERLINK("http://www.twitter.com/Kylie0wens", "Kylie0wens")</f>
        <v>Kylie0wens</v>
      </c>
      <c r="B3989" s="65"/>
    </row>
    <row r="3990" spans="1:2" x14ac:dyDescent="0.25">
      <c r="A3990" s="64" t="str">
        <f>HYPERLINK("http://www.twitter.com/KellySchumann2", "KellySchumann2")</f>
        <v>KellySchumann2</v>
      </c>
      <c r="B3990" s="65" t="s">
        <v>3797</v>
      </c>
    </row>
    <row r="3991" spans="1:2" x14ac:dyDescent="0.25">
      <c r="A3991" s="64" t="str">
        <f>HYPERLINK("http://www.twitter.com/theKAprincess", "theKAprincess")</f>
        <v>theKAprincess</v>
      </c>
      <c r="B3991" s="65" t="s">
        <v>5167</v>
      </c>
    </row>
    <row r="3992" spans="1:2" x14ac:dyDescent="0.25">
      <c r="A3992" s="64" t="str">
        <f>HYPERLINK("http://www.twitter.com/rcullenwriter", "rcullenwriter")</f>
        <v>rcullenwriter</v>
      </c>
      <c r="B3992" s="65" t="s">
        <v>5168</v>
      </c>
    </row>
    <row r="3993" spans="1:2" x14ac:dyDescent="0.25">
      <c r="A3993" s="64" t="str">
        <f>HYPERLINK("http://www.twitter.com/jonmosesvocals", "jonmosesvocals")</f>
        <v>jonmosesvocals</v>
      </c>
      <c r="B3993" s="65" t="s">
        <v>257</v>
      </c>
    </row>
    <row r="3994" spans="1:2" x14ac:dyDescent="0.25">
      <c r="A3994" s="64" t="str">
        <f>HYPERLINK("http://www.twitter.com/Max_Scratchmann", "Max_Scratchmann")</f>
        <v>Max_Scratchmann</v>
      </c>
      <c r="B3994" s="65" t="s">
        <v>296</v>
      </c>
    </row>
    <row r="3995" spans="1:2" x14ac:dyDescent="0.25">
      <c r="A3995" s="64" t="str">
        <f>HYPERLINK("http://www.twitter.com/N_EcoastMTGroup", "N_EcoastMTGroup")</f>
        <v>N_EcoastMTGroup</v>
      </c>
      <c r="B3995" s="65" t="s">
        <v>2007</v>
      </c>
    </row>
    <row r="3996" spans="1:2" x14ac:dyDescent="0.25">
      <c r="A3996" s="64" t="str">
        <f>HYPERLINK("http://www.twitter.com/RealMediaMedusa", "RealMediaMedusa")</f>
        <v>RealMediaMedusa</v>
      </c>
      <c r="B3996" s="65"/>
    </row>
    <row r="3997" spans="1:2" x14ac:dyDescent="0.25">
      <c r="A3997" s="64" t="str">
        <f>HYPERLINK("http://www.twitter.com/cakeandme", "cakeandme")</f>
        <v>cakeandme</v>
      </c>
      <c r="B3997" s="65"/>
    </row>
    <row r="3998" spans="1:2" x14ac:dyDescent="0.25">
      <c r="A3998" s="64" t="str">
        <f>HYPERLINK("http://www.twitter.com/LuverlyLotty", "LuverlyLotty")</f>
        <v>LuverlyLotty</v>
      </c>
      <c r="B3998" s="65"/>
    </row>
    <row r="3999" spans="1:2" x14ac:dyDescent="0.25">
      <c r="A3999" s="64" t="str">
        <f>HYPERLINK("http://www.twitter.com/Bumeeh", "Bumeeh")</f>
        <v>Bumeeh</v>
      </c>
      <c r="B3999" s="65" t="s">
        <v>296</v>
      </c>
    </row>
    <row r="4000" spans="1:2" x14ac:dyDescent="0.25">
      <c r="A4000" s="64" t="str">
        <f>HYPERLINK("http://www.twitter.com/juliemckelltwit", "juliemckelltwit")</f>
        <v>juliemckelltwit</v>
      </c>
      <c r="B4000" s="65" t="s">
        <v>5169</v>
      </c>
    </row>
    <row r="4001" spans="1:2" x14ac:dyDescent="0.25">
      <c r="A4001" s="64" t="str">
        <f>HYPERLINK("http://www.twitter.com/LTDRF", "LTDRF")</f>
        <v>LTDRF</v>
      </c>
      <c r="B4001" s="65" t="s">
        <v>5170</v>
      </c>
    </row>
    <row r="4002" spans="1:2" x14ac:dyDescent="0.25">
      <c r="A4002" s="64" t="str">
        <f>HYPERLINK("http://www.twitter.com/heatherlong456", "heatherlong456")</f>
        <v>heatherlong456</v>
      </c>
      <c r="B4002" s="65"/>
    </row>
    <row r="4003" spans="1:2" x14ac:dyDescent="0.25">
      <c r="A4003" s="64" t="str">
        <f>HYPERLINK("http://www.twitter.com/aksmithbook", "aksmithbook")</f>
        <v>aksmithbook</v>
      </c>
      <c r="B4003" s="65" t="s">
        <v>5171</v>
      </c>
    </row>
    <row r="4004" spans="1:2" x14ac:dyDescent="0.25">
      <c r="A4004" s="64" t="str">
        <f>HYPERLINK("http://www.twitter.com/MrSimeonProwse", "MrSimeonProwse")</f>
        <v>MrSimeonProwse</v>
      </c>
      <c r="B4004" s="65" t="s">
        <v>110</v>
      </c>
    </row>
    <row r="4005" spans="1:2" x14ac:dyDescent="0.25">
      <c r="A4005" s="64" t="str">
        <f>HYPERLINK("http://www.twitter.com/ClaireTWhitaker", "ClaireTWhitaker")</f>
        <v>ClaireTWhitaker</v>
      </c>
      <c r="B4005" s="65" t="s">
        <v>180</v>
      </c>
    </row>
    <row r="4006" spans="1:2" x14ac:dyDescent="0.25">
      <c r="A4006" s="64" t="str">
        <f>HYPERLINK("http://www.twitter.com/DelaneyMan", "DelaneyMan")</f>
        <v>DelaneyMan</v>
      </c>
      <c r="B4006" s="65" t="s">
        <v>477</v>
      </c>
    </row>
    <row r="4007" spans="1:2" x14ac:dyDescent="0.25">
      <c r="A4007" s="64" t="str">
        <f>HYPERLINK("http://www.twitter.com/Casey_Christie", "Casey_Christie")</f>
        <v>Casey_Christie</v>
      </c>
      <c r="B4007" s="65"/>
    </row>
    <row r="4008" spans="1:2" x14ac:dyDescent="0.25">
      <c r="A4008" s="64" t="str">
        <f>HYPERLINK("http://www.twitter.com/stephenroselin", "stephenroselin")</f>
        <v>stephenroselin</v>
      </c>
      <c r="B4008" s="65" t="s">
        <v>5172</v>
      </c>
    </row>
    <row r="4009" spans="1:2" x14ac:dyDescent="0.25">
      <c r="A4009" s="64" t="str">
        <f>HYPERLINK("http://www.twitter.com/Miaa_Steele", "Miaa_Steele")</f>
        <v>Miaa_Steele</v>
      </c>
      <c r="B4009" s="65" t="s">
        <v>3819</v>
      </c>
    </row>
    <row r="4010" spans="1:2" x14ac:dyDescent="0.25">
      <c r="A4010" s="64" t="str">
        <f>HYPERLINK("http://www.twitter.com/LesleyAMSimpson", "LesleyAMSimpson")</f>
        <v>LesleyAMSimpson</v>
      </c>
      <c r="B4010" s="65" t="s">
        <v>115</v>
      </c>
    </row>
    <row r="4011" spans="1:2" x14ac:dyDescent="0.25">
      <c r="A4011" s="64" t="str">
        <f>HYPERLINK("http://www.twitter.com/lisaillman", "lisaillman")</f>
        <v>lisaillman</v>
      </c>
      <c r="B4011" s="65" t="s">
        <v>4035</v>
      </c>
    </row>
    <row r="4012" spans="1:2" x14ac:dyDescent="0.25">
      <c r="A4012" s="64" t="str">
        <f>HYPERLINK("http://www.twitter.com/ApostropheBooks", "ApostropheBooks")</f>
        <v>ApostropheBooks</v>
      </c>
      <c r="B4012" s="65"/>
    </row>
    <row r="4013" spans="1:2" x14ac:dyDescent="0.25">
      <c r="A4013" s="64" t="str">
        <f>HYPERLINK("http://www.twitter.com/v_leslie", "v_leslie")</f>
        <v>v_leslie</v>
      </c>
      <c r="B4013" s="65" t="s">
        <v>517</v>
      </c>
    </row>
    <row r="4014" spans="1:2" x14ac:dyDescent="0.25">
      <c r="A4014" s="64" t="str">
        <f>HYPERLINK("http://www.twitter.com/Dooglemouse", "Dooglemouse")</f>
        <v>Dooglemouse</v>
      </c>
      <c r="B4014" s="65" t="s">
        <v>20</v>
      </c>
    </row>
    <row r="4015" spans="1:2" x14ac:dyDescent="0.25">
      <c r="A4015" s="64" t="str">
        <f>HYPERLINK("http://www.twitter.com/bgoodnkind", "bgoodnkind")</f>
        <v>bgoodnkind</v>
      </c>
      <c r="B4015" s="65"/>
    </row>
    <row r="4016" spans="1:2" x14ac:dyDescent="0.25">
      <c r="A4016" s="64" t="str">
        <f>HYPERLINK("http://www.twitter.com/geogralphy", "geogralphy")</f>
        <v>geogralphy</v>
      </c>
      <c r="B4016" s="65" t="s">
        <v>2007</v>
      </c>
    </row>
    <row r="4017" spans="1:2" x14ac:dyDescent="0.25">
      <c r="A4017" s="64" t="str">
        <f>HYPERLINK("http://www.twitter.com/accessibleweb", "accessibleweb")</f>
        <v>accessibleweb</v>
      </c>
      <c r="B4017" s="65" t="s">
        <v>926</v>
      </c>
    </row>
    <row r="4018" spans="1:2" x14ac:dyDescent="0.25">
      <c r="A4018" s="64" t="str">
        <f>HYPERLINK("http://www.twitter.com/DentonBirdwatch", "DentonBirdwatch")</f>
        <v>DentonBirdwatch</v>
      </c>
      <c r="B4018" s="65" t="s">
        <v>3776</v>
      </c>
    </row>
    <row r="4019" spans="1:2" x14ac:dyDescent="0.25">
      <c r="A4019" s="64" t="str">
        <f>HYPERLINK("http://www.twitter.com/WritersUnify", "WritersUnify")</f>
        <v>WritersUnify</v>
      </c>
      <c r="B4019" s="65"/>
    </row>
    <row r="4020" spans="1:2" x14ac:dyDescent="0.25">
      <c r="A4020" s="64" t="str">
        <f>HYPERLINK("http://www.twitter.com/walkhikerun", "walkhikerun")</f>
        <v>walkhikerun</v>
      </c>
      <c r="B4020" s="65" t="s">
        <v>5173</v>
      </c>
    </row>
    <row r="4021" spans="1:2" x14ac:dyDescent="0.25">
      <c r="A4021" s="64" t="str">
        <f>HYPERLINK("http://www.twitter.com/MyTravelMission", "MyTravelMission")</f>
        <v>MyTravelMission</v>
      </c>
      <c r="B4021" s="65" t="s">
        <v>5030</v>
      </c>
    </row>
    <row r="4022" spans="1:2" x14ac:dyDescent="0.25">
      <c r="A4022" s="64" t="str">
        <f>HYPERLINK("http://www.twitter.com/susewt12", "susewt12")</f>
        <v>susewt12</v>
      </c>
      <c r="B4022" s="65" t="s">
        <v>517</v>
      </c>
    </row>
    <row r="4023" spans="1:2" x14ac:dyDescent="0.25">
      <c r="A4023" s="64" t="str">
        <f>HYPERLINK("http://www.twitter.com/XADRUM", "XADRUM")</f>
        <v>XADRUM</v>
      </c>
      <c r="B4023" s="65" t="s">
        <v>5174</v>
      </c>
    </row>
    <row r="4024" spans="1:2" x14ac:dyDescent="0.25">
      <c r="A4024" s="64" t="str">
        <f>HYPERLINK("http://www.twitter.com/MTFTraining", "MTFTraining")</f>
        <v>MTFTraining</v>
      </c>
      <c r="B4024" s="65" t="s">
        <v>5175</v>
      </c>
    </row>
    <row r="4025" spans="1:2" x14ac:dyDescent="0.25">
      <c r="A4025" s="64" t="str">
        <f>HYPERLINK("http://www.twitter.com/BreachTheElf", "BreachTheElf")</f>
        <v>BreachTheElf</v>
      </c>
      <c r="B4025" s="65" t="s">
        <v>5176</v>
      </c>
    </row>
    <row r="4026" spans="1:2" x14ac:dyDescent="0.25">
      <c r="A4026" s="64" t="str">
        <f>HYPERLINK("http://www.twitter.com/NotBoringtweet", "NotBoringtweet")</f>
        <v>NotBoringtweet</v>
      </c>
      <c r="B4026" s="65"/>
    </row>
    <row r="4027" spans="1:2" x14ac:dyDescent="0.25">
      <c r="A4027" s="64" t="str">
        <f>HYPERLINK("http://www.twitter.com/LaQuishaStR", "LaQuishaStR")</f>
        <v>LaQuishaStR</v>
      </c>
      <c r="B4027" s="65" t="s">
        <v>5177</v>
      </c>
    </row>
    <row r="4028" spans="1:2" x14ac:dyDescent="0.25">
      <c r="A4028" s="64" t="str">
        <f>HYPERLINK("http://www.twitter.com/sarahmachughes1", "sarahmachughes1")</f>
        <v>sarahmachughes1</v>
      </c>
      <c r="B4028" s="65"/>
    </row>
    <row r="4029" spans="1:2" x14ac:dyDescent="0.25">
      <c r="A4029" s="64" t="str">
        <f>HYPERLINK("http://www.twitter.com/MudassiraliMud", "MudassiraliMud")</f>
        <v>MudassiraliMud</v>
      </c>
      <c r="B4029" s="65" t="s">
        <v>5178</v>
      </c>
    </row>
    <row r="4030" spans="1:2" x14ac:dyDescent="0.25">
      <c r="A4030" s="64" t="str">
        <f>HYPERLINK("http://www.twitter.com/NorthRonTrust", "NorthRonTrust")</f>
        <v>NorthRonTrust</v>
      </c>
      <c r="B4030" s="65"/>
    </row>
    <row r="4031" spans="1:2" x14ac:dyDescent="0.25">
      <c r="A4031" s="64" t="str">
        <f>HYPERLINK("http://www.twitter.com/SDCountyLibrary", "SDCountyLibrary")</f>
        <v>SDCountyLibrary</v>
      </c>
      <c r="B4031" s="65" t="s">
        <v>5179</v>
      </c>
    </row>
    <row r="4032" spans="1:2" x14ac:dyDescent="0.25">
      <c r="A4032" s="64" t="str">
        <f>HYPERLINK("http://www.twitter.com/katelane090", "katelane090")</f>
        <v>katelane090</v>
      </c>
      <c r="B4032" s="65" t="s">
        <v>3762</v>
      </c>
    </row>
    <row r="4033" spans="1:2" x14ac:dyDescent="0.25">
      <c r="A4033" s="64" t="str">
        <f>HYPERLINK("http://www.twitter.com/LisaTarves", "LisaTarves")</f>
        <v>LisaTarves</v>
      </c>
      <c r="B4033" s="65" t="s">
        <v>5071</v>
      </c>
    </row>
    <row r="4034" spans="1:2" x14ac:dyDescent="0.25">
      <c r="A4034" s="64" t="str">
        <f>HYPERLINK("http://www.twitter.com/TarkanGlobal", "TarkanGlobal")</f>
        <v>TarkanGlobal</v>
      </c>
      <c r="B4034" s="65" t="s">
        <v>4177</v>
      </c>
    </row>
    <row r="4035" spans="1:2" x14ac:dyDescent="0.25">
      <c r="A4035" s="64" t="str">
        <f>HYPERLINK("http://www.twitter.com/FortuneGMusic", "FortuneGMusic")</f>
        <v>FortuneGMusic</v>
      </c>
      <c r="B4035" s="65" t="s">
        <v>5069</v>
      </c>
    </row>
    <row r="4036" spans="1:2" x14ac:dyDescent="0.25">
      <c r="A4036" s="64" t="str">
        <f>HYPERLINK("http://www.twitter.com/lulas_Hudson", "lulas_Hudson")</f>
        <v>lulas_Hudson</v>
      </c>
      <c r="B4036" s="65" t="s">
        <v>5180</v>
      </c>
    </row>
    <row r="4037" spans="1:2" x14ac:dyDescent="0.25">
      <c r="A4037" s="64" t="str">
        <f>HYPERLINK("http://www.twitter.com/dmdmbones", "dmdmbones")</f>
        <v>dmdmbones</v>
      </c>
      <c r="B4037" s="65" t="s">
        <v>5182</v>
      </c>
    </row>
    <row r="4038" spans="1:2" x14ac:dyDescent="0.25">
      <c r="A4038" s="64" t="str">
        <f>HYPERLINK("http://www.twitter.com/Yyammer", "Yyammer")</f>
        <v>Yyammer</v>
      </c>
      <c r="B4038" s="65" t="s">
        <v>2007</v>
      </c>
    </row>
    <row r="4039" spans="1:2" x14ac:dyDescent="0.25">
      <c r="A4039" s="64" t="str">
        <f>HYPERLINK("http://www.twitter.com/velocitylove", "velocitylove")</f>
        <v>velocitylove</v>
      </c>
      <c r="B4039" s="65" t="s">
        <v>4094</v>
      </c>
    </row>
    <row r="4040" spans="1:2" x14ac:dyDescent="0.25">
      <c r="A4040" s="64" t="str">
        <f>HYPERLINK("http://www.twitter.com/angel_pop", "angel_pop")</f>
        <v>angel_pop</v>
      </c>
      <c r="B4040" s="65"/>
    </row>
    <row r="4041" spans="1:2" x14ac:dyDescent="0.25">
      <c r="A4041" s="64" t="str">
        <f>HYPERLINK("http://www.twitter.com/missncalder", "missncalder")</f>
        <v>missncalder</v>
      </c>
      <c r="B4041" s="65" t="s">
        <v>3991</v>
      </c>
    </row>
    <row r="4042" spans="1:2" x14ac:dyDescent="0.25">
      <c r="A4042" s="64" t="str">
        <f>HYPERLINK("http://www.twitter.com/Lisa_J_Marks", "Lisa_J_Marks")</f>
        <v>Lisa_J_Marks</v>
      </c>
      <c r="B4042" s="65" t="s">
        <v>5183</v>
      </c>
    </row>
    <row r="4043" spans="1:2" x14ac:dyDescent="0.25">
      <c r="A4043" s="64" t="str">
        <f>HYPERLINK("http://www.twitter.com/PEZcjr", "PEZcjr")</f>
        <v>PEZcjr</v>
      </c>
      <c r="B4043" s="65" t="s">
        <v>5184</v>
      </c>
    </row>
    <row r="4044" spans="1:2" x14ac:dyDescent="0.25">
      <c r="A4044" s="64" t="str">
        <f>HYPERLINK("http://www.twitter.com/FCkie", "FCkie")</f>
        <v>FCkie</v>
      </c>
      <c r="B4044" s="65"/>
    </row>
    <row r="4045" spans="1:2" x14ac:dyDescent="0.25">
      <c r="A4045" s="64" t="str">
        <f>HYPERLINK("http://www.twitter.com/enchill_joseph", "enchill_joseph")</f>
        <v>enchill_joseph</v>
      </c>
      <c r="B4045" s="65" t="s">
        <v>5185</v>
      </c>
    </row>
    <row r="4046" spans="1:2" x14ac:dyDescent="0.25">
      <c r="A4046" s="64" t="str">
        <f>HYPERLINK("http://www.twitter.com/MissJCannon", "MissJCannon")</f>
        <v>MissJCannon</v>
      </c>
      <c r="B4046" s="65" t="s">
        <v>138</v>
      </c>
    </row>
    <row r="4047" spans="1:2" x14ac:dyDescent="0.25">
      <c r="A4047" s="64" t="str">
        <f>HYPERLINK("http://www.twitter.com/SoultonHall", "SoultonHall")</f>
        <v>SoultonHall</v>
      </c>
      <c r="B4047" s="65" t="s">
        <v>5186</v>
      </c>
    </row>
    <row r="4048" spans="1:2" x14ac:dyDescent="0.25">
      <c r="A4048" s="64" t="str">
        <f>HYPERLINK("http://www.twitter.com/n_sonic", "n_sonic")</f>
        <v>n_sonic</v>
      </c>
      <c r="B4048" s="65" t="s">
        <v>36</v>
      </c>
    </row>
    <row r="4049" spans="1:2" x14ac:dyDescent="0.25">
      <c r="A4049" s="64" t="str">
        <f>HYPERLINK("http://www.twitter.com/Stewpot", "Stewpot")</f>
        <v>Stewpot</v>
      </c>
      <c r="B4049" s="65" t="s">
        <v>5187</v>
      </c>
    </row>
    <row r="4050" spans="1:2" x14ac:dyDescent="0.25">
      <c r="A4050" s="64" t="str">
        <f>HYPERLINK("http://www.twitter.com/SeatonAngela", "SeatonAngela")</f>
        <v>SeatonAngela</v>
      </c>
      <c r="B4050" s="65"/>
    </row>
    <row r="4051" spans="1:2" x14ac:dyDescent="0.25">
      <c r="A4051" s="64" t="str">
        <f>HYPERLINK("http://www.twitter.com/thefreakywave", "thefreakywave")</f>
        <v>thefreakywave</v>
      </c>
      <c r="B4051" s="65" t="s">
        <v>5188</v>
      </c>
    </row>
    <row r="4052" spans="1:2" x14ac:dyDescent="0.25">
      <c r="A4052" s="64" t="str">
        <f>HYPERLINK("http://www.twitter.com/Julie_Aldridge", "Julie_Aldridge")</f>
        <v>Julie_Aldridge</v>
      </c>
      <c r="B4052" s="65" t="s">
        <v>508</v>
      </c>
    </row>
    <row r="4053" spans="1:2" x14ac:dyDescent="0.25">
      <c r="A4053" s="64" t="str">
        <f>HYPERLINK("http://www.twitter.com/WinterssAlex", "WinterssAlex")</f>
        <v>WinterssAlex</v>
      </c>
      <c r="B4053" s="65" t="s">
        <v>5189</v>
      </c>
    </row>
    <row r="4054" spans="1:2" x14ac:dyDescent="0.25">
      <c r="A4054" s="64" t="str">
        <f>HYPERLINK("http://www.twitter.com/somedaypicks", "somedaypicks")</f>
        <v>somedaypicks</v>
      </c>
      <c r="B4054" s="65" t="s">
        <v>3804</v>
      </c>
    </row>
    <row r="4055" spans="1:2" x14ac:dyDescent="0.25">
      <c r="A4055" s="64" t="str">
        <f>HYPERLINK("http://www.twitter.com/magus120", "magus120")</f>
        <v>magus120</v>
      </c>
      <c r="B4055" s="65" t="s">
        <v>5190</v>
      </c>
    </row>
    <row r="4056" spans="1:2" x14ac:dyDescent="0.25">
      <c r="A4056" s="64" t="str">
        <f>HYPERLINK("http://www.twitter.com/frostedevents", "frostedevents")</f>
        <v>frostedevents</v>
      </c>
      <c r="B4056" s="65" t="s">
        <v>5191</v>
      </c>
    </row>
    <row r="4057" spans="1:2" x14ac:dyDescent="0.25">
      <c r="A4057" s="64" t="str">
        <f>HYPERLINK("http://www.twitter.com/radiovagabond", "radiovagabond")</f>
        <v>radiovagabond</v>
      </c>
      <c r="B4057" s="65" t="s">
        <v>5192</v>
      </c>
    </row>
    <row r="4058" spans="1:2" x14ac:dyDescent="0.25">
      <c r="A4058" s="64" t="str">
        <f>HYPERLINK("http://www.twitter.com/tweetathonuk", "tweetathonuk")</f>
        <v>tweetathonuk</v>
      </c>
      <c r="B4058" s="65" t="s">
        <v>1739</v>
      </c>
    </row>
    <row r="4059" spans="1:2" x14ac:dyDescent="0.25">
      <c r="A4059" s="64" t="str">
        <f>HYPERLINK("http://www.twitter.com/BecciSeaborne", "BecciSeaborne")</f>
        <v>BecciSeaborne</v>
      </c>
      <c r="B4059" s="65" t="s">
        <v>5193</v>
      </c>
    </row>
    <row r="4060" spans="1:2" x14ac:dyDescent="0.25">
      <c r="A4060" s="64" t="str">
        <f>HYPERLINK("http://www.twitter.com/AuthorMsWally", "AuthorMsWally")</f>
        <v>AuthorMsWally</v>
      </c>
      <c r="B4060" s="65" t="s">
        <v>5194</v>
      </c>
    </row>
    <row r="4061" spans="1:2" x14ac:dyDescent="0.25">
      <c r="A4061" s="64" t="str">
        <f>HYPERLINK("http://www.twitter.com/skofamily", "skofamily")</f>
        <v>skofamily</v>
      </c>
      <c r="B4061" s="65" t="s">
        <v>5195</v>
      </c>
    </row>
    <row r="4062" spans="1:2" x14ac:dyDescent="0.25">
      <c r="A4062" s="64" t="str">
        <f>HYPERLINK("http://www.twitter.com/su_anna", "su_anna")</f>
        <v>su_anna</v>
      </c>
      <c r="B4062" s="65" t="s">
        <v>4551</v>
      </c>
    </row>
    <row r="4063" spans="1:2" x14ac:dyDescent="0.25">
      <c r="A4063" s="64" t="str">
        <f>HYPERLINK("http://www.twitter.com/Sangerang", "Sangerang")</f>
        <v>Sangerang</v>
      </c>
      <c r="B4063" s="65"/>
    </row>
    <row r="4064" spans="1:2" x14ac:dyDescent="0.25">
      <c r="A4064" s="64" t="str">
        <f>HYPERLINK("http://www.twitter.com/Beki_Bekooo", "Beki_Bekooo")</f>
        <v>Beki_Bekooo</v>
      </c>
      <c r="B4064" s="65" t="s">
        <v>5196</v>
      </c>
    </row>
    <row r="4065" spans="1:2" x14ac:dyDescent="0.25">
      <c r="A4065" s="64" t="str">
        <f>HYPERLINK("http://www.twitter.com/Rhodridendron", "Rhodridendron")</f>
        <v>Rhodridendron</v>
      </c>
      <c r="B4065" s="65" t="s">
        <v>5197</v>
      </c>
    </row>
    <row r="4066" spans="1:2" x14ac:dyDescent="0.25">
      <c r="A4066" s="64" t="str">
        <f>HYPERLINK("http://www.twitter.com/promotweet007", "promotweet007")</f>
        <v>promotweet007</v>
      </c>
      <c r="B4066" s="65" t="s">
        <v>102</v>
      </c>
    </row>
    <row r="4067" spans="1:2" x14ac:dyDescent="0.25">
      <c r="A4067" s="64" t="str">
        <f>HYPERLINK("http://www.twitter.com/fonzie1231", "fonzie1231")</f>
        <v>fonzie1231</v>
      </c>
      <c r="B4067" s="65" t="s">
        <v>5198</v>
      </c>
    </row>
    <row r="4068" spans="1:2" x14ac:dyDescent="0.25">
      <c r="A4068" s="64" t="str">
        <f>HYPERLINK("http://www.twitter.com/PRI_LaPazEdoMex", "PRI_LaPazEdoMex")</f>
        <v>PRI_LaPazEdoMex</v>
      </c>
      <c r="B4068" s="65"/>
    </row>
    <row r="4069" spans="1:2" x14ac:dyDescent="0.25">
      <c r="A4069" s="64" t="str">
        <f>HYPERLINK("http://www.twitter.com/scstenhouse", "scstenhouse")</f>
        <v>scstenhouse</v>
      </c>
      <c r="B4069" s="65" t="s">
        <v>24</v>
      </c>
    </row>
    <row r="4070" spans="1:2" x14ac:dyDescent="0.25">
      <c r="A4070" s="64" t="str">
        <f>HYPERLINK("http://www.twitter.com/WillPilch", "WillPilch")</f>
        <v>WillPilch</v>
      </c>
      <c r="B4070" s="65" t="s">
        <v>5199</v>
      </c>
    </row>
    <row r="4071" spans="1:2" x14ac:dyDescent="0.25">
      <c r="A4071" s="64" t="str">
        <f>HYPERLINK("http://www.twitter.com/AliNaqv71516287", "AliNaqv71516287")</f>
        <v>AliNaqv71516287</v>
      </c>
      <c r="B4071" s="65"/>
    </row>
    <row r="4072" spans="1:2" x14ac:dyDescent="0.25">
      <c r="A4072" s="64" t="str">
        <f>HYPERLINK("http://www.twitter.com/abandonedspaces", "abandonedspaces")</f>
        <v>abandonedspaces</v>
      </c>
      <c r="B4072" s="65"/>
    </row>
    <row r="4073" spans="1:2" x14ac:dyDescent="0.25">
      <c r="A4073" s="64" t="str">
        <f>HYPERLINK("http://www.twitter.com/SAVEDORETREES", "SAVEDORETREES")</f>
        <v>SAVEDORETREES</v>
      </c>
      <c r="B4073" s="65"/>
    </row>
    <row r="4074" spans="1:2" x14ac:dyDescent="0.25">
      <c r="A4074" s="64" t="str">
        <f>HYPERLINK("http://www.twitter.com/Hendo77", "Hendo77")</f>
        <v>Hendo77</v>
      </c>
      <c r="B4074" s="65" t="s">
        <v>5200</v>
      </c>
    </row>
    <row r="4075" spans="1:2" x14ac:dyDescent="0.25">
      <c r="A4075" s="64" t="str">
        <f>HYPERLINK("http://www.twitter.com/BlakelyMSmith", "BlakelyMSmith")</f>
        <v>BlakelyMSmith</v>
      </c>
      <c r="B4075" s="65" t="s">
        <v>5201</v>
      </c>
    </row>
    <row r="4076" spans="1:2" x14ac:dyDescent="0.25">
      <c r="A4076" s="64" t="str">
        <f>HYPERLINK("http://www.twitter.com/PiltonYouthProj", "PiltonYouthProj")</f>
        <v>PiltonYouthProj</v>
      </c>
      <c r="B4076" s="65" t="s">
        <v>5202</v>
      </c>
    </row>
    <row r="4077" spans="1:2" x14ac:dyDescent="0.25">
      <c r="A4077" s="64" t="str">
        <f>HYPERLINK("http://www.twitter.com/VickyHCarr", "VickyHCarr")</f>
        <v>VickyHCarr</v>
      </c>
      <c r="B4077" s="65" t="s">
        <v>5203</v>
      </c>
    </row>
    <row r="4078" spans="1:2" x14ac:dyDescent="0.25">
      <c r="A4078" s="64" t="str">
        <f>HYPERLINK("http://www.twitter.com/cassandra_gw", "cassandra_gw")</f>
        <v>cassandra_gw</v>
      </c>
      <c r="B4078" s="65"/>
    </row>
    <row r="4079" spans="1:2" x14ac:dyDescent="0.25">
      <c r="A4079" s="64" t="str">
        <f>HYPERLINK("http://www.twitter.com/pennyanderson1", "pennyanderson1")</f>
        <v>pennyanderson1</v>
      </c>
      <c r="B4079" s="65"/>
    </row>
    <row r="4080" spans="1:2" x14ac:dyDescent="0.25">
      <c r="A4080" s="64" t="str">
        <f>HYPERLINK("http://www.twitter.com/GetKilted", "GetKilted")</f>
        <v>GetKilted</v>
      </c>
      <c r="B4080" s="65" t="s">
        <v>5204</v>
      </c>
    </row>
    <row r="4081" spans="1:2" x14ac:dyDescent="0.25">
      <c r="A4081" s="64" t="str">
        <f>HYPERLINK("http://www.twitter.com/CF_Robinson22", "CF_Robinson22")</f>
        <v>CF_Robinson22</v>
      </c>
      <c r="B4081" s="65" t="s">
        <v>5205</v>
      </c>
    </row>
    <row r="4082" spans="1:2" x14ac:dyDescent="0.25">
      <c r="A4082" s="64" t="str">
        <f>HYPERLINK("http://www.twitter.com/djlantan", "djlantan")</f>
        <v>djlantan</v>
      </c>
      <c r="B4082" s="65" t="s">
        <v>5206</v>
      </c>
    </row>
    <row r="4083" spans="1:2" x14ac:dyDescent="0.25">
      <c r="A4083" s="64" t="str">
        <f>HYPERLINK("http://www.twitter.com/sharonljessop", "sharonljessop")</f>
        <v>sharonljessop</v>
      </c>
      <c r="B4083" s="65" t="s">
        <v>5207</v>
      </c>
    </row>
    <row r="4084" spans="1:2" x14ac:dyDescent="0.25">
      <c r="A4084" s="64" t="str">
        <f>HYPERLINK("http://www.twitter.com/KEERAASHTON", "KEERAASHTON")</f>
        <v>KEERAASHTON</v>
      </c>
      <c r="B4084" s="65" t="s">
        <v>4149</v>
      </c>
    </row>
    <row r="4085" spans="1:2" x14ac:dyDescent="0.25">
      <c r="A4085" s="64" t="str">
        <f>HYPERLINK("http://www.twitter.com/Sergethew", "Sergethew")</f>
        <v>Sergethew</v>
      </c>
      <c r="B4085" s="65" t="s">
        <v>5208</v>
      </c>
    </row>
    <row r="4086" spans="1:2" x14ac:dyDescent="0.25">
      <c r="A4086" s="64" t="str">
        <f>HYPERLINK("http://www.twitter.com/alastairpirrett", "alastairpirrett")</f>
        <v>alastairpirrett</v>
      </c>
      <c r="B4086" s="65" t="s">
        <v>487</v>
      </c>
    </row>
    <row r="4087" spans="1:2" x14ac:dyDescent="0.25">
      <c r="A4087" s="64" t="str">
        <f>HYPERLINK("http://www.twitter.com/IsleSkyeDistil", "IsleSkyeDistil")</f>
        <v>IsleSkyeDistil</v>
      </c>
      <c r="B4087" s="65" t="s">
        <v>2007</v>
      </c>
    </row>
    <row r="4088" spans="1:2" x14ac:dyDescent="0.25">
      <c r="A4088" s="64" t="str">
        <f>HYPERLINK("http://www.twitter.com/MrMcDiddle", "MrMcDiddle")</f>
        <v>MrMcDiddle</v>
      </c>
      <c r="B4088" s="65" t="s">
        <v>5209</v>
      </c>
    </row>
    <row r="4089" spans="1:2" x14ac:dyDescent="0.25">
      <c r="A4089" s="64" t="str">
        <f>HYPERLINK("http://www.twitter.com/Alasdair_CM", "Alasdair_CM")</f>
        <v>Alasdair_CM</v>
      </c>
      <c r="B4089" s="65" t="s">
        <v>5210</v>
      </c>
    </row>
    <row r="4090" spans="1:2" x14ac:dyDescent="0.25">
      <c r="A4090" s="64" t="str">
        <f>HYPERLINK("http://www.twitter.com/aliencrab", "aliencrab")</f>
        <v>aliencrab</v>
      </c>
      <c r="B4090" s="65" t="s">
        <v>5211</v>
      </c>
    </row>
    <row r="4091" spans="1:2" x14ac:dyDescent="0.25">
      <c r="A4091" s="64" t="str">
        <f>HYPERLINK("http://www.twitter.com/Sarah_Cleave", "Sarah_Cleave")</f>
        <v>Sarah_Cleave</v>
      </c>
      <c r="B4091" s="65" t="s">
        <v>33</v>
      </c>
    </row>
    <row r="4092" spans="1:2" x14ac:dyDescent="0.25">
      <c r="A4092" s="64" t="str">
        <f>HYPERLINK("http://www.twitter.com/possibleworlds2", "possibleworlds2")</f>
        <v>possibleworlds2</v>
      </c>
      <c r="B4092" s="65"/>
    </row>
    <row r="4093" spans="1:2" x14ac:dyDescent="0.25">
      <c r="A4093" s="64" t="str">
        <f>HYPERLINK("http://www.twitter.com/Mcgreg1Kirsteen", "Mcgreg1Kirsteen")</f>
        <v>Mcgreg1Kirsteen</v>
      </c>
      <c r="B4093" s="65" t="s">
        <v>5212</v>
      </c>
    </row>
    <row r="4094" spans="1:2" x14ac:dyDescent="0.25">
      <c r="A4094" s="64" t="str">
        <f>HYPERLINK("http://www.twitter.com/Patrickbrice73", "Patrickbrice73")</f>
        <v>Patrickbrice73</v>
      </c>
      <c r="B4094" s="65"/>
    </row>
    <row r="4095" spans="1:2" x14ac:dyDescent="0.25">
      <c r="A4095" s="64" t="str">
        <f>HYPERLINK("http://www.twitter.com/MorganFitzpat16", "MorganFitzpat16")</f>
        <v>MorganFitzpat16</v>
      </c>
      <c r="B4095" s="65" t="s">
        <v>487</v>
      </c>
    </row>
    <row r="4096" spans="1:2" x14ac:dyDescent="0.25">
      <c r="A4096" s="64" t="str">
        <f>HYPERLINK("http://www.twitter.com/GillBorg", "GillBorg")</f>
        <v>GillBorg</v>
      </c>
      <c r="B4096" s="65" t="s">
        <v>5213</v>
      </c>
    </row>
    <row r="4097" spans="1:2" x14ac:dyDescent="0.25">
      <c r="A4097" s="64" t="str">
        <f>HYPERLINK("http://www.twitter.com/mikeguesty", "mikeguesty")</f>
        <v>mikeguesty</v>
      </c>
      <c r="B4097" s="65" t="s">
        <v>5214</v>
      </c>
    </row>
    <row r="4098" spans="1:2" x14ac:dyDescent="0.25">
      <c r="A4098" s="64" t="str">
        <f>HYPERLINK("http://www.twitter.com/rfhuxley", "rfhuxley")</f>
        <v>rfhuxley</v>
      </c>
      <c r="B4098" s="65"/>
    </row>
    <row r="4099" spans="1:2" x14ac:dyDescent="0.25">
      <c r="A4099" s="64" t="str">
        <f>HYPERLINK("http://www.twitter.com/ERRVV1N", "ERRVV1N")</f>
        <v>ERRVV1N</v>
      </c>
      <c r="B4099" s="65"/>
    </row>
    <row r="4100" spans="1:2" x14ac:dyDescent="0.25">
      <c r="A4100" s="64" t="str">
        <f>HYPERLINK("http://www.twitter.com/Gazeyre1966", "Gazeyre1966")</f>
        <v>Gazeyre1966</v>
      </c>
      <c r="B4100" s="65"/>
    </row>
    <row r="4101" spans="1:2" x14ac:dyDescent="0.25">
      <c r="A4101" s="64" t="str">
        <f>HYPERLINK("http://www.twitter.com/uc2R3OFR1JgSVhy", "uc2R3OFR1JgSVhy")</f>
        <v>uc2R3OFR1JgSVhy</v>
      </c>
      <c r="B4101" s="65"/>
    </row>
    <row r="4102" spans="1:2" x14ac:dyDescent="0.25">
      <c r="A4102" s="64" t="str">
        <f>HYPERLINK("http://www.twitter.com/SiveroFrank", "SiveroFrank")</f>
        <v>SiveroFrank</v>
      </c>
      <c r="B4102" s="65" t="s">
        <v>3797</v>
      </c>
    </row>
    <row r="4103" spans="1:2" x14ac:dyDescent="0.25">
      <c r="A4103" s="64" t="str">
        <f>HYPERLINK("http://www.twitter.com/greenwald07", "greenwald07")</f>
        <v>greenwald07</v>
      </c>
      <c r="B4103" s="65"/>
    </row>
    <row r="4104" spans="1:2" x14ac:dyDescent="0.25">
      <c r="A4104" s="64" t="str">
        <f>HYPERLINK("http://www.twitter.com/WakelingKate", "WakelingKate")</f>
        <v>WakelingKate</v>
      </c>
      <c r="B4104" s="65" t="s">
        <v>36</v>
      </c>
    </row>
    <row r="4105" spans="1:2" x14ac:dyDescent="0.25">
      <c r="A4105" s="64" t="str">
        <f>HYPERLINK("http://www.twitter.com/MyAjayKumarSin1", "MyAjayKumarSin1")</f>
        <v>MyAjayKumarSin1</v>
      </c>
      <c r="B4105" s="65" t="s">
        <v>5215</v>
      </c>
    </row>
    <row r="4106" spans="1:2" x14ac:dyDescent="0.25">
      <c r="A4106" s="64" t="str">
        <f>HYPERLINK("http://www.twitter.com/touretteworld1", "touretteworld1")</f>
        <v>touretteworld1</v>
      </c>
      <c r="B4106" s="65"/>
    </row>
    <row r="4107" spans="1:2" x14ac:dyDescent="0.25">
      <c r="A4107" s="64" t="str">
        <f>HYPERLINK("http://www.twitter.com/jessmkelly1", "jessmkelly1")</f>
        <v>jessmkelly1</v>
      </c>
      <c r="B4107" s="65" t="s">
        <v>5216</v>
      </c>
    </row>
    <row r="4108" spans="1:2" x14ac:dyDescent="0.25">
      <c r="A4108" s="64" t="str">
        <f>HYPERLINK("http://www.twitter.com/AskMissSanchez", "AskMissSanchez")</f>
        <v>AskMissSanchez</v>
      </c>
      <c r="B4108" s="65" t="s">
        <v>5217</v>
      </c>
    </row>
    <row r="4109" spans="1:2" x14ac:dyDescent="0.25">
      <c r="A4109" s="64" t="str">
        <f>HYPERLINK("http://www.twitter.com/ForAcadArt", "ForAcadArt")</f>
        <v>ForAcadArt</v>
      </c>
      <c r="B4109" s="65" t="s">
        <v>1905</v>
      </c>
    </row>
    <row r="4110" spans="1:2" x14ac:dyDescent="0.25">
      <c r="A4110" s="64" t="str">
        <f>HYPERLINK("http://www.twitter.com/SunGroupWP", "SunGroupWP")</f>
        <v>SunGroupWP</v>
      </c>
      <c r="B4110" s="65" t="s">
        <v>5218</v>
      </c>
    </row>
    <row r="4111" spans="1:2" x14ac:dyDescent="0.25">
      <c r="A4111" s="64" t="str">
        <f>HYPERLINK("http://www.twitter.com/AuthorSieting", "AuthorSieting")</f>
        <v>AuthorSieting</v>
      </c>
      <c r="B4111" s="65" t="s">
        <v>3797</v>
      </c>
    </row>
    <row r="4112" spans="1:2" x14ac:dyDescent="0.25">
      <c r="A4112" s="64" t="str">
        <f>HYPERLINK("http://www.twitter.com/ShonaDav", "ShonaDav")</f>
        <v>ShonaDav</v>
      </c>
      <c r="B4112" s="65" t="s">
        <v>219</v>
      </c>
    </row>
    <row r="4113" spans="1:2" x14ac:dyDescent="0.25">
      <c r="A4113" s="64" t="str">
        <f>HYPERLINK("http://www.twitter.com/shaunwkeaveny", "shaunwkeaveny")</f>
        <v>shaunwkeaveny</v>
      </c>
      <c r="B4113" s="65" t="s">
        <v>4586</v>
      </c>
    </row>
    <row r="4114" spans="1:2" x14ac:dyDescent="0.25">
      <c r="A4114" s="64" t="str">
        <f>HYPERLINK("http://www.twitter.com/BespokeBogoak", "BespokeBogoak")</f>
        <v>BespokeBogoak</v>
      </c>
      <c r="B4114" s="65" t="s">
        <v>110</v>
      </c>
    </row>
    <row r="4115" spans="1:2" x14ac:dyDescent="0.25">
      <c r="A4115" s="64" t="str">
        <f>HYPERLINK("http://www.twitter.com/BaileyJamesGang", "BaileyJamesGang")</f>
        <v>BaileyJamesGang</v>
      </c>
      <c r="B4115" s="65" t="s">
        <v>5219</v>
      </c>
    </row>
    <row r="4116" spans="1:2" x14ac:dyDescent="0.25">
      <c r="A4116" s="64" t="str">
        <f>HYPERLINK("http://www.twitter.com/JacquelineGrei1", "JacquelineGrei1")</f>
        <v>JacquelineGrei1</v>
      </c>
      <c r="B4116" s="65"/>
    </row>
    <row r="4117" spans="1:2" x14ac:dyDescent="0.25">
      <c r="A4117" s="64" t="str">
        <f>HYPERLINK("http://www.twitter.com/Foxxvisitation", "Foxxvisitation")</f>
        <v>Foxxvisitation</v>
      </c>
      <c r="B4117" s="65" t="s">
        <v>5220</v>
      </c>
    </row>
    <row r="4118" spans="1:2" x14ac:dyDescent="0.25">
      <c r="A4118" s="64" t="str">
        <f>HYPERLINK("http://www.twitter.com/AuthorSalhany", "AuthorSalhany")</f>
        <v>AuthorSalhany</v>
      </c>
      <c r="B4118" s="65" t="s">
        <v>3797</v>
      </c>
    </row>
    <row r="4119" spans="1:2" x14ac:dyDescent="0.25">
      <c r="A4119" s="64" t="str">
        <f>HYPERLINK("http://www.twitter.com/foiahorsexvx", "foiahorsexvx")</f>
        <v>foiahorsexvx</v>
      </c>
      <c r="B4119" s="65" t="s">
        <v>4380</v>
      </c>
    </row>
    <row r="4120" spans="1:2" x14ac:dyDescent="0.25">
      <c r="A4120" s="64" t="str">
        <f>HYPERLINK("http://www.twitter.com/DUMBSTONERBITCH", "DUMBSTONERBITCH")</f>
        <v>DUMBSTONERBITCH</v>
      </c>
      <c r="B4120" s="65"/>
    </row>
    <row r="4121" spans="1:2" x14ac:dyDescent="0.25">
      <c r="A4121" s="64" t="str">
        <f>HYPERLINK("http://www.twitter.com/mark77791", "mark77791")</f>
        <v>mark77791</v>
      </c>
      <c r="B4121" s="65" t="s">
        <v>5221</v>
      </c>
    </row>
    <row r="4122" spans="1:2" x14ac:dyDescent="0.25">
      <c r="A4122" s="64" t="str">
        <f>HYPERLINK("http://www.twitter.com/3liza", "3liza")</f>
        <v>3liza</v>
      </c>
      <c r="B4122" s="65" t="s">
        <v>5222</v>
      </c>
    </row>
    <row r="4123" spans="1:2" x14ac:dyDescent="0.25">
      <c r="A4123" s="64" t="str">
        <f>HYPERLINK("http://www.twitter.com/skulamus", "skulamus")</f>
        <v>skulamus</v>
      </c>
      <c r="B4123" s="65" t="s">
        <v>138</v>
      </c>
    </row>
    <row r="4124" spans="1:2" x14ac:dyDescent="0.25">
      <c r="A4124" s="64" t="str">
        <f>HYPERLINK("http://www.twitter.com/nordicattitude1", "nordicattitude1")</f>
        <v>nordicattitude1</v>
      </c>
      <c r="B4124" s="65"/>
    </row>
    <row r="4125" spans="1:2" x14ac:dyDescent="0.25">
      <c r="A4125" s="64" t="str">
        <f>HYPERLINK("http://www.twitter.com/lincsbirders", "lincsbirders")</f>
        <v>lincsbirders</v>
      </c>
      <c r="B4125" s="65" t="s">
        <v>5223</v>
      </c>
    </row>
    <row r="4126" spans="1:2" x14ac:dyDescent="0.25">
      <c r="A4126" s="64" t="str">
        <f>HYPERLINK("http://www.twitter.com/MaltWhiskyBlog", "MaltWhiskyBlog")</f>
        <v>MaltWhiskyBlog</v>
      </c>
      <c r="B4126" s="65"/>
    </row>
    <row r="4127" spans="1:2" x14ac:dyDescent="0.25">
      <c r="A4127" s="64" t="str">
        <f>HYPERLINK("http://www.twitter.com/aaa_edinburgh", "aaa_edinburgh")</f>
        <v>aaa_edinburgh</v>
      </c>
      <c r="B4127" s="65" t="s">
        <v>487</v>
      </c>
    </row>
    <row r="4128" spans="1:2" x14ac:dyDescent="0.25">
      <c r="A4128" s="64" t="str">
        <f>HYPERLINK("http://www.twitter.com/mileswithshell", "mileswithshell")</f>
        <v>mileswithshell</v>
      </c>
      <c r="B4128" s="65" t="s">
        <v>321</v>
      </c>
    </row>
    <row r="4129" spans="1:2" x14ac:dyDescent="0.25">
      <c r="A4129" s="64" t="str">
        <f>HYPERLINK("http://www.twitter.com/CharlesDavis58", "CharlesDavis58")</f>
        <v>CharlesDavis58</v>
      </c>
      <c r="B4129" s="65" t="s">
        <v>477</v>
      </c>
    </row>
    <row r="4130" spans="1:2" x14ac:dyDescent="0.25">
      <c r="A4130" s="64" t="str">
        <f>HYPERLINK("http://www.twitter.com/techwheels7070", "techwheels7070")</f>
        <v>techwheels7070</v>
      </c>
      <c r="B4130" s="65" t="s">
        <v>5224</v>
      </c>
    </row>
    <row r="4131" spans="1:2" x14ac:dyDescent="0.25">
      <c r="A4131" s="64" t="str">
        <f>HYPERLINK("http://www.twitter.com/HappyBookClub", "HappyBookClub")</f>
        <v>HappyBookClub</v>
      </c>
      <c r="B4131" s="65" t="s">
        <v>2792</v>
      </c>
    </row>
    <row r="4132" spans="1:2" x14ac:dyDescent="0.25">
      <c r="A4132" s="64" t="str">
        <f>HYPERLINK("http://www.twitter.com/NormanEMorrison", "NormanEMorrison")</f>
        <v>NormanEMorrison</v>
      </c>
      <c r="B4132" s="65" t="s">
        <v>5225</v>
      </c>
    </row>
    <row r="4133" spans="1:2" x14ac:dyDescent="0.25">
      <c r="A4133" s="64" t="str">
        <f>HYPERLINK("http://www.twitter.com/caldwell_anne", "caldwell_anne")</f>
        <v>caldwell_anne</v>
      </c>
      <c r="B4133" s="65" t="s">
        <v>5226</v>
      </c>
    </row>
    <row r="4134" spans="1:2" x14ac:dyDescent="0.25">
      <c r="A4134" s="64" t="str">
        <f>HYPERLINK("http://www.twitter.com/ScrigglerStory", "ScrigglerStory")</f>
        <v>ScrigglerStory</v>
      </c>
      <c r="B4134" s="65"/>
    </row>
    <row r="4135" spans="1:2" x14ac:dyDescent="0.25">
      <c r="A4135" s="64" t="str">
        <f>HYPERLINK("http://www.twitter.com/HenricGreen", "HenricGreen")</f>
        <v>HenricGreen</v>
      </c>
      <c r="B4135" s="65"/>
    </row>
    <row r="4136" spans="1:2" x14ac:dyDescent="0.25">
      <c r="A4136" s="64" t="str">
        <f>HYPERLINK("http://www.twitter.com/AlexSteepleton", "AlexSteepleton")</f>
        <v>AlexSteepleton</v>
      </c>
      <c r="B4136" s="65"/>
    </row>
    <row r="4137" spans="1:2" x14ac:dyDescent="0.25">
      <c r="A4137" s="64" t="str">
        <f>HYPERLINK("http://www.twitter.com/JellyandGin", "JellyandGin")</f>
        <v>JellyandGin</v>
      </c>
      <c r="B4137" s="65" t="s">
        <v>24</v>
      </c>
    </row>
    <row r="4138" spans="1:2" x14ac:dyDescent="0.25">
      <c r="A4138" s="64" t="str">
        <f>HYPERLINK("http://www.twitter.com/glasgow1975", "glasgow1975")</f>
        <v>glasgow1975</v>
      </c>
      <c r="B4138" s="65" t="s">
        <v>5227</v>
      </c>
    </row>
    <row r="4139" spans="1:2" x14ac:dyDescent="0.25">
      <c r="A4139" s="64" t="str">
        <f>HYPERLINK("http://www.twitter.com/timdungate", "timdungate")</f>
        <v>timdungate</v>
      </c>
      <c r="B4139" s="65" t="s">
        <v>505</v>
      </c>
    </row>
    <row r="4140" spans="1:2" x14ac:dyDescent="0.25">
      <c r="A4140" s="64" t="str">
        <f>HYPERLINK("http://www.twitter.com/AtlantICLuing", "AtlantICLuing")</f>
        <v>AtlantICLuing</v>
      </c>
      <c r="B4140" s="65" t="s">
        <v>5228</v>
      </c>
    </row>
    <row r="4141" spans="1:2" x14ac:dyDescent="0.25">
      <c r="A4141" s="64" t="str">
        <f>HYPERLINK("http://www.twitter.com/tangueira", "tangueira")</f>
        <v>tangueira</v>
      </c>
      <c r="B4141" s="65"/>
    </row>
    <row r="4142" spans="1:2" x14ac:dyDescent="0.25">
      <c r="A4142" s="64" t="str">
        <f>HYPERLINK("http://www.twitter.com/daverubyg", "daverubyg")</f>
        <v>daverubyg</v>
      </c>
      <c r="B4142" s="65" t="s">
        <v>5229</v>
      </c>
    </row>
    <row r="4143" spans="1:2" x14ac:dyDescent="0.25">
      <c r="A4143" s="64" t="str">
        <f>HYPERLINK("http://www.twitter.com/LouiseMarshBSBI", "LouiseMarshBSBI")</f>
        <v>LouiseMarshBSBI</v>
      </c>
      <c r="B4143" s="65" t="s">
        <v>1226</v>
      </c>
    </row>
    <row r="4144" spans="1:2" x14ac:dyDescent="0.25">
      <c r="A4144" s="64" t="str">
        <f>HYPERLINK("http://www.twitter.com/EngagePR_Live", "EngagePR_Live")</f>
        <v>EngagePR_Live</v>
      </c>
      <c r="B4144" s="65" t="s">
        <v>808</v>
      </c>
    </row>
    <row r="4145" spans="1:2" x14ac:dyDescent="0.25">
      <c r="A4145" s="64" t="str">
        <f>HYPERLINK("http://www.twitter.com/tartanhammer", "tartanhammer")</f>
        <v>tartanhammer</v>
      </c>
      <c r="B4145" s="65" t="s">
        <v>4969</v>
      </c>
    </row>
    <row r="4146" spans="1:2" x14ac:dyDescent="0.25">
      <c r="A4146" s="64" t="str">
        <f>HYPERLINK("http://www.twitter.com/barumhistory", "barumhistory")</f>
        <v>barumhistory</v>
      </c>
      <c r="B4146" s="65" t="s">
        <v>5230</v>
      </c>
    </row>
    <row r="4147" spans="1:2" x14ac:dyDescent="0.25">
      <c r="A4147" s="64" t="str">
        <f>HYPERLINK("http://www.twitter.com/WKruszelnicka", "WKruszelnicka")</f>
        <v>WKruszelnicka</v>
      </c>
      <c r="B4147" s="65" t="s">
        <v>110</v>
      </c>
    </row>
    <row r="4148" spans="1:2" x14ac:dyDescent="0.25">
      <c r="A4148" s="64" t="str">
        <f>HYPERLINK("http://www.twitter.com/grahamhalls", "grahamhalls")</f>
        <v>grahamhalls</v>
      </c>
      <c r="B4148" s="65" t="s">
        <v>708</v>
      </c>
    </row>
    <row r="4149" spans="1:2" x14ac:dyDescent="0.25">
      <c r="A4149" s="64" t="str">
        <f>HYPERLINK("http://www.twitter.com/NHS_CYPF", "NHS_CYPF")</f>
        <v>NHS_CYPF</v>
      </c>
      <c r="B4149" s="65" t="s">
        <v>2007</v>
      </c>
    </row>
    <row r="4150" spans="1:2" x14ac:dyDescent="0.25">
      <c r="A4150" s="64" t="str">
        <f>HYPERLINK("http://www.twitter.com/janholmquist", "janholmquist")</f>
        <v>janholmquist</v>
      </c>
      <c r="B4150" s="65" t="s">
        <v>5231</v>
      </c>
    </row>
    <row r="4151" spans="1:2" x14ac:dyDescent="0.25">
      <c r="A4151" s="64" t="str">
        <f>HYPERLINK("http://www.twitter.com/GBBallantine", "GBBallantine")</f>
        <v>GBBallantine</v>
      </c>
      <c r="B4151" s="65" t="s">
        <v>4275</v>
      </c>
    </row>
    <row r="4152" spans="1:2" x14ac:dyDescent="0.25">
      <c r="A4152" s="64" t="str">
        <f>HYPERLINK("http://www.twitter.com/Schleimhaut", "Schleimhaut")</f>
        <v>Schleimhaut</v>
      </c>
      <c r="B4152" s="65" t="s">
        <v>5232</v>
      </c>
    </row>
    <row r="4153" spans="1:2" x14ac:dyDescent="0.25">
      <c r="A4153" s="64" t="str">
        <f>HYPERLINK("http://www.twitter.com/JoannaLambCDC", "JoannaLambCDC")</f>
        <v>JoannaLambCDC</v>
      </c>
      <c r="B4153" s="65" t="s">
        <v>4275</v>
      </c>
    </row>
    <row r="4154" spans="1:2" x14ac:dyDescent="0.25">
      <c r="A4154" s="64" t="str">
        <f>HYPERLINK("http://www.twitter.com/davidpeterkerr", "davidpeterkerr")</f>
        <v>davidpeterkerr</v>
      </c>
      <c r="B4154" s="65"/>
    </row>
    <row r="4155" spans="1:2" x14ac:dyDescent="0.25">
      <c r="A4155" s="64" t="str">
        <f>HYPERLINK("http://www.twitter.com/AMANDAMARABELA", "AMANDAMARABELA")</f>
        <v>AMANDAMARABELA</v>
      </c>
      <c r="B4155" s="65" t="s">
        <v>5233</v>
      </c>
    </row>
    <row r="4156" spans="1:2" x14ac:dyDescent="0.25">
      <c r="A4156" s="64" t="str">
        <f>HYPERLINK("http://www.twitter.com/Nigel_Mutt", "Nigel_Mutt")</f>
        <v>Nigel_Mutt</v>
      </c>
      <c r="B4156" s="65" t="s">
        <v>4062</v>
      </c>
    </row>
    <row r="4157" spans="1:2" x14ac:dyDescent="0.25">
      <c r="A4157" s="64" t="str">
        <f>HYPERLINK("http://www.twitter.com/digressica", "digressica")</f>
        <v>digressica</v>
      </c>
      <c r="B4157" s="65" t="s">
        <v>4806</v>
      </c>
    </row>
    <row r="4158" spans="1:2" x14ac:dyDescent="0.25">
      <c r="A4158" s="64" t="str">
        <f>HYPERLINK("http://www.twitter.com/wendywootoo", "wendywootoo")</f>
        <v>wendywootoo</v>
      </c>
      <c r="B4158" s="65" t="s">
        <v>5234</v>
      </c>
    </row>
    <row r="4159" spans="1:2" x14ac:dyDescent="0.25">
      <c r="A4159" s="64" t="str">
        <f>HYPERLINK("http://www.twitter.com/HITRANS_RTP", "HITRANS_RTP")</f>
        <v>HITRANS_RTP</v>
      </c>
      <c r="B4159" s="65" t="s">
        <v>5235</v>
      </c>
    </row>
    <row r="4160" spans="1:2" x14ac:dyDescent="0.25">
      <c r="A4160" s="64" t="str">
        <f>HYPERLINK("http://www.twitter.com/Gav_NorthRon", "Gav_NorthRon")</f>
        <v>Gav_NorthRon</v>
      </c>
      <c r="B4160" s="65" t="s">
        <v>487</v>
      </c>
    </row>
    <row r="4161" spans="1:2" x14ac:dyDescent="0.25">
      <c r="A4161" s="64" t="str">
        <f>HYPERLINK("http://www.twitter.com/GrantofBuckie", "GrantofBuckie")</f>
        <v>GrantofBuckie</v>
      </c>
      <c r="B4161" s="65" t="s">
        <v>5236</v>
      </c>
    </row>
    <row r="4162" spans="1:2" x14ac:dyDescent="0.25">
      <c r="A4162" s="64" t="str">
        <f>HYPERLINK("http://www.twitter.com/tygertale", "tygertale")</f>
        <v>tygertale</v>
      </c>
      <c r="B4162" s="65" t="s">
        <v>5237</v>
      </c>
    </row>
    <row r="4163" spans="1:2" x14ac:dyDescent="0.25">
      <c r="A4163" s="64" t="str">
        <f>HYPERLINK("http://www.twitter.com/chp_tutor", "chp_tutor")</f>
        <v>chp_tutor</v>
      </c>
      <c r="B4163" s="65" t="s">
        <v>2007</v>
      </c>
    </row>
    <row r="4164" spans="1:2" x14ac:dyDescent="0.25">
      <c r="A4164" s="64" t="str">
        <f>HYPERLINK("http://www.twitter.com/mactonex", "mactonex")</f>
        <v>mactonex</v>
      </c>
      <c r="B4164" s="65"/>
    </row>
    <row r="4165" spans="1:2" x14ac:dyDescent="0.25">
      <c r="A4165" s="64" t="str">
        <f>HYPERLINK("http://www.twitter.com/JTaylor_2017", "JTaylor_2017")</f>
        <v>JTaylor_2017</v>
      </c>
      <c r="B4165" s="65"/>
    </row>
    <row r="4166" spans="1:2" x14ac:dyDescent="0.25">
      <c r="A4166" s="64" t="str">
        <f>HYPERLINK("http://www.twitter.com/chilton_lrc", "chilton_lrc")</f>
        <v>chilton_lrc</v>
      </c>
      <c r="B4166" s="65"/>
    </row>
    <row r="4167" spans="1:2" x14ac:dyDescent="0.25">
      <c r="A4167" s="64" t="str">
        <f>HYPERLINK("http://www.twitter.com/PaperNationsUK", "PaperNationsUK")</f>
        <v>PaperNationsUK</v>
      </c>
      <c r="B4167" s="65" t="s">
        <v>70</v>
      </c>
    </row>
    <row r="4168" spans="1:2" x14ac:dyDescent="0.25">
      <c r="A4168" s="64" t="str">
        <f>HYPERLINK("http://www.twitter.com/_caladan", "_caladan")</f>
        <v>_caladan</v>
      </c>
      <c r="B4168" s="65" t="s">
        <v>5238</v>
      </c>
    </row>
    <row r="4169" spans="1:2" x14ac:dyDescent="0.25">
      <c r="A4169" s="64" t="str">
        <f>HYPERLINK("http://www.twitter.com/Janetludlow", "Janetludlow")</f>
        <v>Janetludlow</v>
      </c>
      <c r="B4169" s="65" t="s">
        <v>477</v>
      </c>
    </row>
    <row r="4170" spans="1:2" x14ac:dyDescent="0.25">
      <c r="A4170" s="64" t="str">
        <f>HYPERLINK("http://www.twitter.com/ravenwolf68", "ravenwolf68")</f>
        <v>ravenwolf68</v>
      </c>
      <c r="B4170" s="65" t="s">
        <v>505</v>
      </c>
    </row>
    <row r="4171" spans="1:2" x14ac:dyDescent="0.25">
      <c r="A4171" s="64" t="str">
        <f>HYPERLINK("http://www.twitter.com/InfoPrice", "InfoPrice")</f>
        <v>InfoPrice</v>
      </c>
      <c r="B4171" s="65" t="s">
        <v>5239</v>
      </c>
    </row>
    <row r="4172" spans="1:2" x14ac:dyDescent="0.25">
      <c r="A4172" s="64" t="str">
        <f>HYPERLINK("http://www.twitter.com/Eel_Pie_Pete", "Eel_Pie_Pete")</f>
        <v>Eel_Pie_Pete</v>
      </c>
      <c r="B4172" s="65" t="s">
        <v>5240</v>
      </c>
    </row>
    <row r="4173" spans="1:2" x14ac:dyDescent="0.25">
      <c r="A4173" s="64" t="str">
        <f>HYPERLINK("http://www.twitter.com/NOSN_CMetcalf", "NOSN_CMetcalf")</f>
        <v>NOSN_CMetcalf</v>
      </c>
      <c r="B4173" s="65" t="s">
        <v>4853</v>
      </c>
    </row>
    <row r="4174" spans="1:2" x14ac:dyDescent="0.25">
      <c r="A4174" s="64" t="str">
        <f>HYPERLINK("http://www.twitter.com/AbortionSupport", "AbortionSupport")</f>
        <v>AbortionSupport</v>
      </c>
      <c r="B4174" s="65" t="s">
        <v>1490</v>
      </c>
    </row>
    <row r="4175" spans="1:2" x14ac:dyDescent="0.25">
      <c r="A4175" s="64" t="str">
        <f>HYPERLINK("http://www.twitter.com/divadomrocks", "divadomrocks")</f>
        <v>divadomrocks</v>
      </c>
      <c r="B4175" s="65" t="s">
        <v>4464</v>
      </c>
    </row>
    <row r="4176" spans="1:2" x14ac:dyDescent="0.25">
      <c r="A4176" s="64" t="str">
        <f>HYPERLINK("http://www.twitter.com/TeaspotQueen", "TeaspotQueen")</f>
        <v>TeaspotQueen</v>
      </c>
      <c r="B4176" s="65"/>
    </row>
    <row r="4177" spans="1:2" x14ac:dyDescent="0.25">
      <c r="A4177" s="64" t="str">
        <f>HYPERLINK("http://www.twitter.com/gewylie1", "gewylie1")</f>
        <v>gewylie1</v>
      </c>
      <c r="B4177" s="65"/>
    </row>
    <row r="4178" spans="1:2" x14ac:dyDescent="0.25">
      <c r="A4178" s="64" t="str">
        <f>HYPERLINK("http://www.twitter.com/thevitalspark01", "thevitalspark01")</f>
        <v>thevitalspark01</v>
      </c>
      <c r="B4178" s="65" t="s">
        <v>5241</v>
      </c>
    </row>
    <row r="4179" spans="1:2" x14ac:dyDescent="0.25">
      <c r="A4179" s="64" t="str">
        <f>HYPERLINK("http://www.twitter.com/r3storestudios", "r3storestudios")</f>
        <v>r3storestudios</v>
      </c>
      <c r="B4179" s="65" t="s">
        <v>5242</v>
      </c>
    </row>
    <row r="4180" spans="1:2" x14ac:dyDescent="0.25">
      <c r="A4180" s="64" t="str">
        <f>HYPERLINK("http://www.twitter.com/Mika_04", "Mika_04")</f>
        <v>Mika_04</v>
      </c>
      <c r="B4180" s="65"/>
    </row>
    <row r="4181" spans="1:2" x14ac:dyDescent="0.25">
      <c r="A4181" s="64" t="str">
        <f>HYPERLINK("http://www.twitter.com/meludom", "meludom")</f>
        <v>meludom</v>
      </c>
      <c r="B4181" s="65" t="s">
        <v>4233</v>
      </c>
    </row>
    <row r="4182" spans="1:2" x14ac:dyDescent="0.25">
      <c r="A4182" s="64" t="str">
        <f>HYPERLINK("http://www.twitter.com/babyimages", "babyimages")</f>
        <v>babyimages</v>
      </c>
      <c r="B4182" s="65"/>
    </row>
    <row r="4183" spans="1:2" x14ac:dyDescent="0.25">
      <c r="A4183" s="64" t="str">
        <f>HYPERLINK("http://www.twitter.com/Birdsfan87", "Birdsfan87")</f>
        <v>Birdsfan87</v>
      </c>
      <c r="B4183" s="65" t="s">
        <v>4310</v>
      </c>
    </row>
    <row r="4184" spans="1:2" x14ac:dyDescent="0.25">
      <c r="A4184" s="64" t="str">
        <f>HYPERLINK("http://www.twitter.com/CWGORG", "CWGORG")</f>
        <v>CWGORG</v>
      </c>
      <c r="B4184" s="65"/>
    </row>
    <row r="4185" spans="1:2" x14ac:dyDescent="0.25">
      <c r="A4185" s="64" t="str">
        <f>HYPERLINK("http://www.twitter.com/bookthesp1", "bookthesp1")</f>
        <v>bookthesp1</v>
      </c>
      <c r="B4185" s="65" t="s">
        <v>1008</v>
      </c>
    </row>
    <row r="4186" spans="1:2" x14ac:dyDescent="0.25">
      <c r="A4186" s="64" t="str">
        <f>HYPERLINK("http://www.twitter.com/Kirstholl21", "Kirstholl21")</f>
        <v>Kirstholl21</v>
      </c>
      <c r="B4186" s="65"/>
    </row>
    <row r="4187" spans="1:2" x14ac:dyDescent="0.25">
      <c r="A4187" s="64" t="str">
        <f>HYPERLINK("http://www.twitter.com/JumpIntoABook1", "JumpIntoABook1")</f>
        <v>JumpIntoABook1</v>
      </c>
      <c r="B4187" s="65" t="s">
        <v>3963</v>
      </c>
    </row>
    <row r="4188" spans="1:2" x14ac:dyDescent="0.25">
      <c r="A4188" s="64" t="str">
        <f>HYPERLINK("http://www.twitter.com/markooj", "markooj")</f>
        <v>markooj</v>
      </c>
      <c r="B4188" s="65" t="s">
        <v>5243</v>
      </c>
    </row>
    <row r="4189" spans="1:2" x14ac:dyDescent="0.25">
      <c r="A4189" s="64" t="str">
        <f>HYPERLINK("http://www.twitter.com/MetalMand", "MetalMand")</f>
        <v>MetalMand</v>
      </c>
      <c r="B4189" s="65" t="s">
        <v>448</v>
      </c>
    </row>
    <row r="4190" spans="1:2" x14ac:dyDescent="0.25">
      <c r="A4190" s="64" t="str">
        <f>HYPERLINK("http://www.twitter.com/KeithZE1", "KeithZE1")</f>
        <v>KeithZE1</v>
      </c>
      <c r="B4190" s="65" t="s">
        <v>5244</v>
      </c>
    </row>
    <row r="4191" spans="1:2" x14ac:dyDescent="0.25">
      <c r="A4191" s="64" t="str">
        <f>HYPERLINK("http://www.twitter.com/thebookbus", "thebookbus")</f>
        <v>thebookbus</v>
      </c>
      <c r="B4191" s="65" t="s">
        <v>5245</v>
      </c>
    </row>
    <row r="4192" spans="1:2" x14ac:dyDescent="0.25">
      <c r="A4192" s="64" t="str">
        <f>HYPERLINK("http://www.twitter.com/Scribd", "Scribd")</f>
        <v>Scribd</v>
      </c>
      <c r="B4192" s="65" t="s">
        <v>3921</v>
      </c>
    </row>
    <row r="4193" spans="1:2" x14ac:dyDescent="0.25">
      <c r="A4193" s="64" t="str">
        <f>HYPERLINK("http://www.twitter.com/EKerr96", "EKerr96")</f>
        <v>EKerr96</v>
      </c>
      <c r="B4193" s="65" t="s">
        <v>3762</v>
      </c>
    </row>
    <row r="4194" spans="1:2" x14ac:dyDescent="0.25">
      <c r="A4194" s="64" t="str">
        <f>HYPERLINK("http://www.twitter.com/spectacularkiwi", "spectacularkiwi")</f>
        <v>spectacularkiwi</v>
      </c>
      <c r="B4194" s="65"/>
    </row>
    <row r="4195" spans="1:2" x14ac:dyDescent="0.25">
      <c r="A4195" s="64" t="str">
        <f>HYPERLINK("http://www.twitter.com/AdamsCtyLibrary", "AdamsCtyLibrary")</f>
        <v>AdamsCtyLibrary</v>
      </c>
      <c r="B4195" s="65" t="s">
        <v>5246</v>
      </c>
    </row>
    <row r="4196" spans="1:2" x14ac:dyDescent="0.25">
      <c r="A4196" s="64" t="str">
        <f>HYPERLINK("http://www.twitter.com/xCornOnTheRobx", "xCornOnTheRobx")</f>
        <v>xCornOnTheRobx</v>
      </c>
      <c r="B4196" s="65" t="s">
        <v>5247</v>
      </c>
    </row>
    <row r="4197" spans="1:2" x14ac:dyDescent="0.25">
      <c r="A4197" s="64" t="str">
        <f>HYPERLINK("http://www.twitter.com/joinGOLF", "joinGOLF")</f>
        <v>joinGOLF</v>
      </c>
      <c r="B4197" s="65"/>
    </row>
    <row r="4198" spans="1:2" x14ac:dyDescent="0.25">
      <c r="A4198" s="64" t="str">
        <f>HYPERLINK("http://www.twitter.com/julanimtic", "julanimtic")</f>
        <v>julanimtic</v>
      </c>
      <c r="B4198" s="65" t="s">
        <v>5248</v>
      </c>
    </row>
    <row r="4199" spans="1:2" x14ac:dyDescent="0.25">
      <c r="A4199" s="64" t="str">
        <f>HYPERLINK("http://www.twitter.com/safiler", "safiler")</f>
        <v>safiler</v>
      </c>
      <c r="B4199" s="65" t="s">
        <v>5249</v>
      </c>
    </row>
    <row r="4200" spans="1:2" x14ac:dyDescent="0.25">
      <c r="A4200" s="64" t="str">
        <f>HYPERLINK("http://www.twitter.com/keepof4worlds", "keepof4worlds")</f>
        <v>keepof4worlds</v>
      </c>
      <c r="B4200" s="65"/>
    </row>
    <row r="4201" spans="1:2" x14ac:dyDescent="0.25">
      <c r="A4201" s="64" t="str">
        <f>HYPERLINK("http://www.twitter.com/karinmckenny", "karinmckenny")</f>
        <v>karinmckenny</v>
      </c>
      <c r="B4201" s="65"/>
    </row>
    <row r="4202" spans="1:2" x14ac:dyDescent="0.25">
      <c r="A4202" s="64" t="str">
        <f>HYPERLINK("http://www.twitter.com/JimHarris", "JimHarris")</f>
        <v>JimHarris</v>
      </c>
      <c r="B4202" s="65" t="s">
        <v>4681</v>
      </c>
    </row>
    <row r="4203" spans="1:2" x14ac:dyDescent="0.25">
      <c r="A4203" s="64" t="str">
        <f>HYPERLINK("http://www.twitter.com/ESOSkills", "ESOSkills")</f>
        <v>ESOSkills</v>
      </c>
      <c r="B4203" s="65" t="s">
        <v>4895</v>
      </c>
    </row>
    <row r="4204" spans="1:2" x14ac:dyDescent="0.25">
      <c r="A4204" s="64" t="str">
        <f>HYPERLINK("http://www.twitter.com/IngaW2", "IngaW2")</f>
        <v>IngaW2</v>
      </c>
      <c r="B4204" s="65"/>
    </row>
    <row r="4205" spans="1:2" x14ac:dyDescent="0.25">
      <c r="A4205" s="64" t="str">
        <f>HYPERLINK("http://www.twitter.com/OxBksMuswell", "OxBksMuswell")</f>
        <v>OxBksMuswell</v>
      </c>
      <c r="B4205" s="65" t="s">
        <v>5250</v>
      </c>
    </row>
    <row r="4206" spans="1:2" x14ac:dyDescent="0.25">
      <c r="A4206" s="64" t="str">
        <f>HYPERLINK("http://www.twitter.com/Rhionnach", "Rhionnach")</f>
        <v>Rhionnach</v>
      </c>
      <c r="B4206" s="65" t="s">
        <v>517</v>
      </c>
    </row>
    <row r="4207" spans="1:2" x14ac:dyDescent="0.25">
      <c r="A4207" s="64" t="str">
        <f>HYPERLINK("http://www.twitter.com/FraserKnitwear", "FraserKnitwear")</f>
        <v>FraserKnitwear</v>
      </c>
      <c r="B4207" s="65" t="s">
        <v>5251</v>
      </c>
    </row>
    <row r="4208" spans="1:2" x14ac:dyDescent="0.25">
      <c r="A4208" s="64" t="str">
        <f>HYPERLINK("http://www.twitter.com/lara_gregorics", "lara_gregorics")</f>
        <v>lara_gregorics</v>
      </c>
      <c r="B4208" s="65" t="s">
        <v>5252</v>
      </c>
    </row>
    <row r="4209" spans="1:2" x14ac:dyDescent="0.25">
      <c r="A4209" s="64" t="str">
        <f>HYPERLINK("http://www.twitter.com/rex_rexter", "rex_rexter")</f>
        <v>rex_rexter</v>
      </c>
      <c r="B4209" s="65" t="s">
        <v>5253</v>
      </c>
    </row>
    <row r="4210" spans="1:2" x14ac:dyDescent="0.25">
      <c r="A4210" s="64" t="str">
        <f>HYPERLINK("http://www.twitter.com/C_GRitchie", "C_GRitchie")</f>
        <v>C_GRitchie</v>
      </c>
      <c r="B4210" s="65" t="s">
        <v>517</v>
      </c>
    </row>
    <row r="4211" spans="1:2" x14ac:dyDescent="0.25">
      <c r="A4211" s="64" t="str">
        <f>HYPERLINK("http://www.twitter.com/jdnhm", "jdnhm")</f>
        <v>jdnhm</v>
      </c>
      <c r="B4211" s="65" t="s">
        <v>5254</v>
      </c>
    </row>
    <row r="4212" spans="1:2" x14ac:dyDescent="0.25">
      <c r="A4212" s="64" t="str">
        <f>HYPERLINK("http://www.twitter.com/youaremankind", "youaremankind")</f>
        <v>youaremankind</v>
      </c>
      <c r="B4212" s="65" t="s">
        <v>4149</v>
      </c>
    </row>
    <row r="4213" spans="1:2" x14ac:dyDescent="0.25">
      <c r="A4213" s="64" t="str">
        <f>HYPERLINK("http://www.twitter.com/msms100", "msms100")</f>
        <v>msms100</v>
      </c>
      <c r="B4213" s="65" t="s">
        <v>487</v>
      </c>
    </row>
    <row r="4214" spans="1:2" x14ac:dyDescent="0.25">
      <c r="A4214" s="64" t="str">
        <f>HYPERLINK("http://www.twitter.com/Alex_Bell86", "Alex_Bell86")</f>
        <v>Alex_Bell86</v>
      </c>
      <c r="B4214" s="65" t="s">
        <v>296</v>
      </c>
    </row>
    <row r="4215" spans="1:2" x14ac:dyDescent="0.25">
      <c r="A4215" s="64" t="str">
        <f>HYPERLINK("http://www.twitter.com/LJBovey", "LJBovey")</f>
        <v>LJBovey</v>
      </c>
      <c r="B4215" s="65"/>
    </row>
    <row r="4216" spans="1:2" x14ac:dyDescent="0.25">
      <c r="A4216" s="64" t="str">
        <f>HYPERLINK("http://www.twitter.com/powwowlitfest", "powwowlitfest")</f>
        <v>powwowlitfest</v>
      </c>
      <c r="B4216" s="65" t="s">
        <v>5255</v>
      </c>
    </row>
    <row r="4217" spans="1:2" x14ac:dyDescent="0.25">
      <c r="A4217" s="64" t="str">
        <f>HYPERLINK("http://www.twitter.com/JohnMcKin67", "JohnMcKin67")</f>
        <v>JohnMcKin67</v>
      </c>
      <c r="B4217" s="65"/>
    </row>
    <row r="4218" spans="1:2" x14ac:dyDescent="0.25">
      <c r="A4218" s="64" t="str">
        <f>HYPERLINK("http://www.twitter.com/OliverEC_Author", "OliverEC_Author")</f>
        <v>OliverEC_Author</v>
      </c>
      <c r="B4218" s="65" t="s">
        <v>5256</v>
      </c>
    </row>
    <row r="4219" spans="1:2" x14ac:dyDescent="0.25">
      <c r="A4219" s="64" t="str">
        <f>HYPERLINK("http://www.twitter.com/jimbomcleod", "jimbomcleod")</f>
        <v>jimbomcleod</v>
      </c>
      <c r="B4219" s="65" t="s">
        <v>601</v>
      </c>
    </row>
    <row r="4220" spans="1:2" x14ac:dyDescent="0.25">
      <c r="A4220" s="64" t="str">
        <f>HYPERLINK("http://www.twitter.com/DMWScotland", "DMWScotland")</f>
        <v>DMWScotland</v>
      </c>
      <c r="B4220" s="65" t="s">
        <v>5027</v>
      </c>
    </row>
    <row r="4221" spans="1:2" x14ac:dyDescent="0.25">
      <c r="A4221" s="64" t="str">
        <f>HYPERLINK("http://www.twitter.com/Ibrahim68261203", "Ibrahim68261203")</f>
        <v>Ibrahim68261203</v>
      </c>
      <c r="B4221" s="65"/>
    </row>
    <row r="4222" spans="1:2" x14ac:dyDescent="0.25">
      <c r="A4222" s="64" t="str">
        <f>HYPERLINK("http://www.twitter.com/DanFirthMusic", "DanFirthMusic")</f>
        <v>DanFirthMusic</v>
      </c>
      <c r="B4222" s="65" t="s">
        <v>74</v>
      </c>
    </row>
    <row r="4223" spans="1:2" x14ac:dyDescent="0.25">
      <c r="A4223" s="64" t="str">
        <f>HYPERLINK("http://www.twitter.com/DimitrySedov", "DimitrySedov")</f>
        <v>DimitrySedov</v>
      </c>
      <c r="B4223" s="65" t="s">
        <v>5257</v>
      </c>
    </row>
    <row r="4224" spans="1:2" x14ac:dyDescent="0.25">
      <c r="A4224" s="64" t="str">
        <f>HYPERLINK("http://www.twitter.com/MichaelSeafarer", "MichaelSeafarer")</f>
        <v>MichaelSeafarer</v>
      </c>
      <c r="B4224" s="65" t="s">
        <v>5258</v>
      </c>
    </row>
    <row r="4225" spans="1:2" x14ac:dyDescent="0.25">
      <c r="A4225" s="64" t="str">
        <f>HYPERLINK("http://www.twitter.com/discodave75", "discodave75")</f>
        <v>discodave75</v>
      </c>
      <c r="B4225" s="65" t="s">
        <v>5259</v>
      </c>
    </row>
    <row r="4226" spans="1:2" x14ac:dyDescent="0.25">
      <c r="A4226" s="64" t="str">
        <f>HYPERLINK("http://www.twitter.com/CopsonEstelle", "CopsonEstelle")</f>
        <v>CopsonEstelle</v>
      </c>
      <c r="B4226" s="65" t="s">
        <v>5260</v>
      </c>
    </row>
    <row r="4227" spans="1:2" x14ac:dyDescent="0.25">
      <c r="A4227" s="64" t="str">
        <f>HYPERLINK("http://www.twitter.com/GWillshaw", "GWillshaw")</f>
        <v>GWillshaw</v>
      </c>
      <c r="B4227" s="65"/>
    </row>
    <row r="4228" spans="1:2" x14ac:dyDescent="0.25">
      <c r="A4228" s="64" t="str">
        <f>HYPERLINK("http://www.twitter.com/D_McMenemy", "D_McMenemy")</f>
        <v>D_McMenemy</v>
      </c>
      <c r="B4228" s="65" t="s">
        <v>318</v>
      </c>
    </row>
    <row r="4229" spans="1:2" x14ac:dyDescent="0.25">
      <c r="A4229" s="64" t="str">
        <f>HYPERLINK("http://www.twitter.com/lovebirchtree", "lovebirchtree")</f>
        <v>lovebirchtree</v>
      </c>
      <c r="B4229" s="65" t="s">
        <v>5261</v>
      </c>
    </row>
    <row r="4230" spans="1:2" x14ac:dyDescent="0.25">
      <c r="A4230" s="64" t="str">
        <f>HYPERLINK("http://www.twitter.com/mandrion", "mandrion")</f>
        <v>mandrion</v>
      </c>
      <c r="B4230" s="65" t="s">
        <v>4692</v>
      </c>
    </row>
    <row r="4231" spans="1:2" x14ac:dyDescent="0.25">
      <c r="A4231" s="64" t="str">
        <f>HYPERLINK("http://www.twitter.com/Mr_ZedCee", "Mr_ZedCee")</f>
        <v>Mr_ZedCee</v>
      </c>
      <c r="B4231" s="65" t="s">
        <v>5262</v>
      </c>
    </row>
    <row r="4232" spans="1:2" x14ac:dyDescent="0.25">
      <c r="A4232" s="64" t="str">
        <f>HYPERLINK("http://www.twitter.com/SueJaneTaylor", "SueJaneTaylor")</f>
        <v>SueJaneTaylor</v>
      </c>
      <c r="B4232" s="65"/>
    </row>
    <row r="4233" spans="1:2" x14ac:dyDescent="0.25">
      <c r="A4233" s="64" t="str">
        <f>HYPERLINK("http://www.twitter.com/AuthorNicMorgan", "AuthorNicMorgan")</f>
        <v>AuthorNicMorgan</v>
      </c>
      <c r="B4233" s="65" t="s">
        <v>5263</v>
      </c>
    </row>
    <row r="4234" spans="1:2" x14ac:dyDescent="0.25">
      <c r="A4234" s="64" t="str">
        <f>HYPERLINK("http://www.twitter.com/anderimage", "anderimage")</f>
        <v>anderimage</v>
      </c>
      <c r="B4234" s="65" t="s">
        <v>4145</v>
      </c>
    </row>
    <row r="4235" spans="1:2" x14ac:dyDescent="0.25">
      <c r="A4235" s="64" t="str">
        <f>HYPERLINK("http://www.twitter.com/jepierce16", "jepierce16")</f>
        <v>jepierce16</v>
      </c>
      <c r="B4235" s="65" t="s">
        <v>4632</v>
      </c>
    </row>
    <row r="4236" spans="1:2" x14ac:dyDescent="0.25">
      <c r="A4236" s="64" t="str">
        <f>HYPERLINK("http://www.twitter.com/Grant___", "Grant___")</f>
        <v>Grant___</v>
      </c>
      <c r="B4236" s="65" t="s">
        <v>487</v>
      </c>
    </row>
    <row r="4237" spans="1:2" x14ac:dyDescent="0.25">
      <c r="A4237" s="64" t="str">
        <f>HYPERLINK("http://www.twitter.com/MobstraHD", "MobstraHD")</f>
        <v>MobstraHD</v>
      </c>
      <c r="B4237" s="65"/>
    </row>
    <row r="4238" spans="1:2" x14ac:dyDescent="0.25">
      <c r="A4238" s="64" t="str">
        <f>HYPERLINK("http://www.twitter.com/ComedyCampbell", "ComedyCampbell")</f>
        <v>ComedyCampbell</v>
      </c>
      <c r="B4238" s="65" t="s">
        <v>5264</v>
      </c>
    </row>
    <row r="4239" spans="1:2" x14ac:dyDescent="0.25">
      <c r="A4239" s="64" t="str">
        <f>HYPERLINK("http://www.twitter.com/ameliamichaels", "ameliamichaels")</f>
        <v>ameliamichaels</v>
      </c>
      <c r="B4239" s="65" t="s">
        <v>3797</v>
      </c>
    </row>
    <row r="4240" spans="1:2" x14ac:dyDescent="0.25">
      <c r="A4240" s="64" t="str">
        <f>HYPERLINK("http://www.twitter.com/RodneySofa", "RodneySofa")</f>
        <v>RodneySofa</v>
      </c>
      <c r="B4240" s="65" t="s">
        <v>5265</v>
      </c>
    </row>
    <row r="4241" spans="1:2" x14ac:dyDescent="0.25">
      <c r="A4241" s="64" t="str">
        <f>HYPERLINK("http://www.twitter.com/AmyRedford", "AmyRedford")</f>
        <v>AmyRedford</v>
      </c>
      <c r="B4241" s="65" t="s">
        <v>5266</v>
      </c>
    </row>
    <row r="4242" spans="1:2" x14ac:dyDescent="0.25">
      <c r="A4242" s="64" t="str">
        <f>HYPERLINK("http://www.twitter.com/SLSidortsova", "SLSidortsova")</f>
        <v>SLSidortsova</v>
      </c>
      <c r="B4242" s="65" t="s">
        <v>5267</v>
      </c>
    </row>
    <row r="4243" spans="1:2" x14ac:dyDescent="0.25">
      <c r="A4243" s="64" t="str">
        <f>HYPERLINK("http://www.twitter.com/YuYu18173909", "YuYu18173909")</f>
        <v>YuYu18173909</v>
      </c>
      <c r="B4243" s="65" t="s">
        <v>3839</v>
      </c>
    </row>
    <row r="4244" spans="1:2" x14ac:dyDescent="0.25">
      <c r="A4244" s="64" t="str">
        <f>HYPERLINK("http://www.twitter.com/LisaCarter_CEO", "LisaCarter_CEO")</f>
        <v>LisaCarter_CEO</v>
      </c>
      <c r="B4244" s="65" t="s">
        <v>5268</v>
      </c>
    </row>
    <row r="4245" spans="1:2" x14ac:dyDescent="0.25">
      <c r="A4245" s="64" t="str">
        <f>HYPERLINK("http://www.twitter.com/mariaxrose", "mariaxrose")</f>
        <v>mariaxrose</v>
      </c>
      <c r="B4245" s="65" t="s">
        <v>138</v>
      </c>
    </row>
    <row r="4246" spans="1:2" x14ac:dyDescent="0.25">
      <c r="A4246" s="64" t="str">
        <f>HYPERLINK("http://www.twitter.com/harper_author", "harper_author")</f>
        <v>harper_author</v>
      </c>
      <c r="B4246" s="65"/>
    </row>
    <row r="4247" spans="1:2" x14ac:dyDescent="0.25">
      <c r="A4247" s="64" t="str">
        <f>HYPERLINK("http://www.twitter.com/PARALLAX_CHINA", "PARALLAX_CHINA")</f>
        <v>PARALLAX_CHINA</v>
      </c>
      <c r="B4247" s="65"/>
    </row>
    <row r="4248" spans="1:2" x14ac:dyDescent="0.25">
      <c r="A4248" s="64" t="str">
        <f>HYPERLINK("http://www.twitter.com/Random_Fugly", "Random_Fugly")</f>
        <v>Random_Fugly</v>
      </c>
      <c r="B4248" s="65" t="s">
        <v>355</v>
      </c>
    </row>
    <row r="4249" spans="1:2" x14ac:dyDescent="0.25">
      <c r="A4249" s="64" t="str">
        <f>HYPERLINK("http://www.twitter.com/twrx2016", "twrx2016")</f>
        <v>twrx2016</v>
      </c>
      <c r="B4249" s="65" t="s">
        <v>5269</v>
      </c>
    </row>
    <row r="4250" spans="1:2" x14ac:dyDescent="0.25">
      <c r="A4250" s="64" t="str">
        <f>HYPERLINK("http://www.twitter.com/AnnWrightWrite", "AnnWrightWrite")</f>
        <v>AnnWrightWrite</v>
      </c>
      <c r="B4250" s="65" t="s">
        <v>5270</v>
      </c>
    </row>
    <row r="4251" spans="1:2" x14ac:dyDescent="0.25">
      <c r="A4251" s="64" t="str">
        <f>HYPERLINK("http://www.twitter.com/adamhamdy", "adamhamdy")</f>
        <v>adamhamdy</v>
      </c>
      <c r="B4251" s="65" t="s">
        <v>70</v>
      </c>
    </row>
    <row r="4252" spans="1:2" x14ac:dyDescent="0.25">
      <c r="A4252" s="64" t="str">
        <f>HYPERLINK("http://www.twitter.com/ScotList", "ScotList")</f>
        <v>ScotList</v>
      </c>
      <c r="B4252" s="65" t="s">
        <v>5271</v>
      </c>
    </row>
    <row r="4253" spans="1:2" x14ac:dyDescent="0.25">
      <c r="A4253" s="64" t="str">
        <f>HYPERLINK("http://www.twitter.com/sophieinspace", "sophieinspace")</f>
        <v>sophieinspace</v>
      </c>
      <c r="B4253" s="65" t="s">
        <v>3040</v>
      </c>
    </row>
    <row r="4254" spans="1:2" x14ac:dyDescent="0.25">
      <c r="A4254" s="64" t="str">
        <f>HYPERLINK("http://www.twitter.com/ritam6000", "ritam6000")</f>
        <v>ritam6000</v>
      </c>
      <c r="B4254" s="65"/>
    </row>
    <row r="4255" spans="1:2" x14ac:dyDescent="0.25">
      <c r="A4255" s="64" t="str">
        <f>HYPERLINK("http://www.twitter.com/Lsimmonds49", "Lsimmonds49")</f>
        <v>Lsimmonds49</v>
      </c>
      <c r="B4255" s="65" t="s">
        <v>5272</v>
      </c>
    </row>
    <row r="4256" spans="1:2" x14ac:dyDescent="0.25">
      <c r="A4256" s="64" t="str">
        <f>HYPERLINK("http://www.twitter.com/mrobertson", "mrobertson")</f>
        <v>mrobertson</v>
      </c>
      <c r="B4256" s="65" t="s">
        <v>5273</v>
      </c>
    </row>
    <row r="4257" spans="1:2" x14ac:dyDescent="0.25">
      <c r="A4257" s="64" t="str">
        <f>HYPERLINK("http://www.twitter.com/DarwinismsBlog", "DarwinismsBlog")</f>
        <v>DarwinismsBlog</v>
      </c>
      <c r="B4257" s="65" t="s">
        <v>4924</v>
      </c>
    </row>
    <row r="4258" spans="1:2" x14ac:dyDescent="0.25">
      <c r="A4258" s="64" t="str">
        <f>HYPERLINK("http://www.twitter.com/ccrippes", "ccrippes")</f>
        <v>ccrippes</v>
      </c>
      <c r="B4258" s="65" t="s">
        <v>5274</v>
      </c>
    </row>
    <row r="4259" spans="1:2" x14ac:dyDescent="0.25">
      <c r="A4259" s="64" t="str">
        <f>HYPERLINK("http://www.twitter.com/wildwestjess", "wildwestjess")</f>
        <v>wildwestjess</v>
      </c>
      <c r="B4259" s="65"/>
    </row>
    <row r="4260" spans="1:2" x14ac:dyDescent="0.25">
      <c r="A4260" s="64" t="str">
        <f>HYPERLINK("http://www.twitter.com/VoxFop", "VoxFop")</f>
        <v>VoxFop</v>
      </c>
      <c r="B4260" s="65" t="s">
        <v>5275</v>
      </c>
    </row>
    <row r="4261" spans="1:2" x14ac:dyDescent="0.25">
      <c r="A4261" s="64" t="str">
        <f>HYPERLINK("http://www.twitter.com/fluffyflick", "fluffyflick")</f>
        <v>fluffyflick</v>
      </c>
      <c r="B4261" s="65"/>
    </row>
    <row r="4262" spans="1:2" x14ac:dyDescent="0.25">
      <c r="A4262" s="64" t="str">
        <f>HYPERLINK("http://www.twitter.com/paulparker77", "paulparker77")</f>
        <v>paulparker77</v>
      </c>
      <c r="B4262" s="65" t="s">
        <v>296</v>
      </c>
    </row>
    <row r="4263" spans="1:2" x14ac:dyDescent="0.25">
      <c r="A4263" s="64" t="str">
        <f>HYPERLINK("http://www.twitter.com/twlldun", "twlldun")</f>
        <v>twlldun</v>
      </c>
      <c r="B4263" s="65"/>
    </row>
    <row r="4264" spans="1:2" x14ac:dyDescent="0.25">
      <c r="A4264" s="64" t="str">
        <f>HYPERLINK("http://www.twitter.com/terrywhalin", "terrywhalin")</f>
        <v>terrywhalin</v>
      </c>
      <c r="B4264" s="65" t="s">
        <v>5276</v>
      </c>
    </row>
    <row r="4265" spans="1:2" x14ac:dyDescent="0.25">
      <c r="A4265" s="64" t="str">
        <f>HYPERLINK("http://www.twitter.com/amazedlibrarian", "amazedlibrarian")</f>
        <v>amazedlibrarian</v>
      </c>
      <c r="B4265" s="65" t="s">
        <v>1377</v>
      </c>
    </row>
    <row r="4266" spans="1:2" x14ac:dyDescent="0.25">
      <c r="A4266" s="64" t="str">
        <f>HYPERLINK("http://www.twitter.com/MirandaFrance1", "MirandaFrance1")</f>
        <v>MirandaFrance1</v>
      </c>
      <c r="B4266" s="65"/>
    </row>
    <row r="4267" spans="1:2" x14ac:dyDescent="0.25">
      <c r="A4267" s="64" t="str">
        <f>HYPERLINK("http://www.twitter.com/HannahLBroom", "HannahLBroom")</f>
        <v>HannahLBroom</v>
      </c>
      <c r="B4267" s="65" t="s">
        <v>20</v>
      </c>
    </row>
    <row r="4268" spans="1:2" x14ac:dyDescent="0.25">
      <c r="A4268" s="64" t="str">
        <f>HYPERLINK("http://www.twitter.com/SeafoodFromScot", "SeafoodFromScot")</f>
        <v>SeafoodFromScot</v>
      </c>
      <c r="B4268" s="65" t="s">
        <v>517</v>
      </c>
    </row>
    <row r="4269" spans="1:2" x14ac:dyDescent="0.25">
      <c r="A4269" s="64" t="str">
        <f>HYPERLINK("http://www.twitter.com/PlaytheballXIII", "PlaytheballXIII")</f>
        <v>PlaytheballXIII</v>
      </c>
      <c r="B4269" s="65" t="s">
        <v>5277</v>
      </c>
    </row>
    <row r="4270" spans="1:2" x14ac:dyDescent="0.25">
      <c r="A4270" s="64" t="str">
        <f>HYPERLINK("http://www.twitter.com/iggyVstheOnions", "iggyVstheOnions")</f>
        <v>iggyVstheOnions</v>
      </c>
      <c r="B4270" s="65"/>
    </row>
    <row r="4271" spans="1:2" x14ac:dyDescent="0.25">
      <c r="A4271" s="64" t="str">
        <f>HYPERLINK("http://www.twitter.com/quintonjournals", "quintonjournals")</f>
        <v>quintonjournals</v>
      </c>
      <c r="B4271" s="65" t="s">
        <v>5278</v>
      </c>
    </row>
    <row r="4272" spans="1:2" x14ac:dyDescent="0.25">
      <c r="A4272" s="64" t="str">
        <f>HYPERLINK("http://www.twitter.com/MegMeabank", "MegMeabank")</f>
        <v>MegMeabank</v>
      </c>
      <c r="B4272" s="65" t="s">
        <v>4129</v>
      </c>
    </row>
    <row r="4273" spans="1:2" x14ac:dyDescent="0.25">
      <c r="A4273" s="64" t="str">
        <f>HYPERLINK("http://www.twitter.com/KarinSalvala", "KarinSalvala")</f>
        <v>KarinSalvala</v>
      </c>
      <c r="B4273" s="65" t="s">
        <v>36</v>
      </c>
    </row>
    <row r="4274" spans="1:2" x14ac:dyDescent="0.25">
      <c r="A4274" s="64" t="str">
        <f>HYPERLINK("http://www.twitter.com/mironlinebbk", "mironlinebbk")</f>
        <v>mironlinebbk</v>
      </c>
      <c r="B4274" s="65"/>
    </row>
    <row r="4275" spans="1:2" x14ac:dyDescent="0.25">
      <c r="A4275" s="64" t="str">
        <f>HYPERLINK("http://www.twitter.com/IsobelBooth2", "IsobelBooth2")</f>
        <v>IsobelBooth2</v>
      </c>
      <c r="B4275" s="65"/>
    </row>
    <row r="4276" spans="1:2" x14ac:dyDescent="0.25">
      <c r="A4276" s="64" t="str">
        <f>HYPERLINK("http://www.twitter.com/scotseafarms", "scotseafarms")</f>
        <v>scotseafarms</v>
      </c>
      <c r="B4276" s="65" t="s">
        <v>4092</v>
      </c>
    </row>
    <row r="4277" spans="1:2" x14ac:dyDescent="0.25">
      <c r="A4277" s="64" t="str">
        <f>HYPERLINK("http://www.twitter.com/CrewStephen", "CrewStephen")</f>
        <v>CrewStephen</v>
      </c>
      <c r="B4277" s="65" t="s">
        <v>20</v>
      </c>
    </row>
    <row r="4278" spans="1:2" x14ac:dyDescent="0.25">
      <c r="A4278" s="64" t="str">
        <f>HYPERLINK("http://www.twitter.com/HaningtonPhan", "HaningtonPhan")</f>
        <v>HaningtonPhan</v>
      </c>
      <c r="B4278" s="65" t="s">
        <v>477</v>
      </c>
    </row>
    <row r="4279" spans="1:2" x14ac:dyDescent="0.25">
      <c r="A4279" s="64" t="str">
        <f>HYPERLINK("http://www.twitter.com/PanoramicBaxter", "PanoramicBaxter")</f>
        <v>PanoramicBaxter</v>
      </c>
      <c r="B4279" s="65" t="s">
        <v>487</v>
      </c>
    </row>
    <row r="4280" spans="1:2" x14ac:dyDescent="0.25">
      <c r="A4280" s="64" t="str">
        <f>HYPERLINK("http://www.twitter.com/ptfss", "ptfss")</f>
        <v>ptfss</v>
      </c>
      <c r="B4280" s="65" t="s">
        <v>517</v>
      </c>
    </row>
    <row r="4281" spans="1:2" x14ac:dyDescent="0.25">
      <c r="A4281" s="64" t="str">
        <f>HYPERLINK("http://www.twitter.com/redkingcraw", "redkingcraw")</f>
        <v>redkingcraw</v>
      </c>
      <c r="B4281" s="65" t="s">
        <v>138</v>
      </c>
    </row>
    <row r="4282" spans="1:2" x14ac:dyDescent="0.25">
      <c r="A4282" s="64" t="str">
        <f>HYPERLINK("http://www.twitter.com/CristinaConcell", "CristinaConcell")</f>
        <v>CristinaConcell</v>
      </c>
      <c r="B4282" s="65" t="s">
        <v>5279</v>
      </c>
    </row>
    <row r="4283" spans="1:2" x14ac:dyDescent="0.25">
      <c r="A4283" s="64" t="str">
        <f>HYPERLINK("http://www.twitter.com/CarolineWAgent", "CarolineWAgent")</f>
        <v>CarolineWAgent</v>
      </c>
      <c r="B4283" s="65"/>
    </row>
    <row r="4284" spans="1:2" x14ac:dyDescent="0.25">
      <c r="A4284" s="64" t="str">
        <f>HYPERLINK("http://www.twitter.com/bootlegmilkmaid", "bootlegmilkmaid")</f>
        <v>bootlegmilkmaid</v>
      </c>
      <c r="B4284" s="65" t="s">
        <v>5280</v>
      </c>
    </row>
    <row r="4285" spans="1:2" x14ac:dyDescent="0.25">
      <c r="A4285" s="64" t="str">
        <f>HYPERLINK("http://www.twitter.com/LottieBookworm", "LottieBookworm")</f>
        <v>LottieBookworm</v>
      </c>
      <c r="B4285" s="65" t="s">
        <v>4567</v>
      </c>
    </row>
    <row r="4286" spans="1:2" x14ac:dyDescent="0.25">
      <c r="A4286" s="64" t="str">
        <f>HYPERLINK("http://www.twitter.com/rhithweledol", "rhithweledol")</f>
        <v>rhithweledol</v>
      </c>
      <c r="B4286" s="65" t="s">
        <v>2134</v>
      </c>
    </row>
    <row r="4287" spans="1:2" x14ac:dyDescent="0.25">
      <c r="A4287" s="64" t="str">
        <f>HYPERLINK("http://www.twitter.com/BookishPR", "BookishPR")</f>
        <v>BookishPR</v>
      </c>
      <c r="B4287" s="65" t="s">
        <v>2007</v>
      </c>
    </row>
    <row r="4288" spans="1:2" x14ac:dyDescent="0.25">
      <c r="A4288" s="64" t="str">
        <f>HYPERLINK("http://www.twitter.com/Helen_Fields", "Helen_Fields")</f>
        <v>Helen_Fields</v>
      </c>
      <c r="B4288" s="65" t="s">
        <v>5281</v>
      </c>
    </row>
    <row r="4289" spans="1:2" x14ac:dyDescent="0.25">
      <c r="A4289" s="64" t="str">
        <f>HYPERLINK("http://www.twitter.com/GrampianHR", "GrampianHR")</f>
        <v>GrampianHR</v>
      </c>
      <c r="B4289" s="65" t="s">
        <v>808</v>
      </c>
    </row>
    <row r="4290" spans="1:2" x14ac:dyDescent="0.25">
      <c r="A4290" s="64" t="str">
        <f>HYPERLINK("http://www.twitter.com/rabonallie", "rabonallie")</f>
        <v>rabonallie</v>
      </c>
      <c r="B4290" s="65" t="s">
        <v>487</v>
      </c>
    </row>
    <row r="4291" spans="1:2" x14ac:dyDescent="0.25">
      <c r="A4291" s="64" t="str">
        <f>HYPERLINK("http://www.twitter.com/J_Robertson94", "J_Robertson94")</f>
        <v>J_Robertson94</v>
      </c>
      <c r="B4291" s="65" t="s">
        <v>138</v>
      </c>
    </row>
    <row r="4292" spans="1:2" x14ac:dyDescent="0.25">
      <c r="A4292" s="64" t="str">
        <f>HYPERLINK("http://www.twitter.com/DalgarvenMill", "DalgarvenMill")</f>
        <v>DalgarvenMill</v>
      </c>
      <c r="B4292" s="65" t="s">
        <v>5282</v>
      </c>
    </row>
    <row r="4293" spans="1:2" x14ac:dyDescent="0.25">
      <c r="A4293" s="64" t="str">
        <f>HYPERLINK("http://www.twitter.com/fromtime", "fromtime")</f>
        <v>fromtime</v>
      </c>
      <c r="B4293" s="65" t="s">
        <v>3830</v>
      </c>
    </row>
    <row r="4294" spans="1:2" x14ac:dyDescent="0.25">
      <c r="A4294" s="64" t="str">
        <f>HYPERLINK("http://www.twitter.com/paisley_poems", "paisley_poems")</f>
        <v>paisley_poems</v>
      </c>
      <c r="B4294" s="65" t="s">
        <v>4052</v>
      </c>
    </row>
    <row r="4295" spans="1:2" x14ac:dyDescent="0.25">
      <c r="A4295" s="64" t="str">
        <f>HYPERLINK("http://www.twitter.com/TurnerPen2Paper", "TurnerPen2Paper")</f>
        <v>TurnerPen2Paper</v>
      </c>
      <c r="B4295" s="65" t="s">
        <v>871</v>
      </c>
    </row>
    <row r="4296" spans="1:2" x14ac:dyDescent="0.25">
      <c r="A4296" s="64" t="str">
        <f>HYPERLINK("http://www.twitter.com/TheBookLoft", "TheBookLoft")</f>
        <v>TheBookLoft</v>
      </c>
      <c r="B4296" s="65" t="s">
        <v>5283</v>
      </c>
    </row>
    <row r="4297" spans="1:2" x14ac:dyDescent="0.25">
      <c r="A4297" s="64" t="str">
        <f>HYPERLINK("http://www.twitter.com/Hoskea10", "Hoskea10")</f>
        <v>Hoskea10</v>
      </c>
      <c r="B4297" s="65"/>
    </row>
    <row r="4298" spans="1:2" x14ac:dyDescent="0.25">
      <c r="A4298" s="64" t="str">
        <f>HYPERLINK("http://www.twitter.com/AmbarRasiya", "AmbarRasiya")</f>
        <v>AmbarRasiya</v>
      </c>
      <c r="B4298" s="65" t="s">
        <v>4628</v>
      </c>
    </row>
    <row r="4299" spans="1:2" x14ac:dyDescent="0.25">
      <c r="A4299" s="64" t="str">
        <f>HYPERLINK("http://www.twitter.com/CeartasAdvocacy", "CeartasAdvocacy")</f>
        <v>CeartasAdvocacy</v>
      </c>
      <c r="B4299" s="65" t="s">
        <v>5284</v>
      </c>
    </row>
    <row r="4300" spans="1:2" x14ac:dyDescent="0.25">
      <c r="A4300" s="64" t="str">
        <f>HYPERLINK("http://www.twitter.com/weegieweds", "weegieweds")</f>
        <v>weegieweds</v>
      </c>
      <c r="B4300" s="65" t="s">
        <v>5285</v>
      </c>
    </row>
    <row r="4301" spans="1:2" x14ac:dyDescent="0.25">
      <c r="A4301" s="64" t="str">
        <f>HYPERLINK("http://www.twitter.com/paperchainpod", "paperchainpod")</f>
        <v>paperchainpod</v>
      </c>
      <c r="B4301" s="65" t="s">
        <v>70</v>
      </c>
    </row>
    <row r="4302" spans="1:2" x14ac:dyDescent="0.25">
      <c r="A4302" s="64" t="str">
        <f>HYPERLINK("http://www.twitter.com/ValerieLaws", "ValerieLaws")</f>
        <v>ValerieLaws</v>
      </c>
      <c r="B4302" s="65"/>
    </row>
    <row r="4303" spans="1:2" x14ac:dyDescent="0.25">
      <c r="A4303" s="64" t="str">
        <f>HYPERLINK("http://www.twitter.com/Dyslexie_Font", "Dyslexie_Font")</f>
        <v>Dyslexie_Font</v>
      </c>
      <c r="B4303" s="65" t="s">
        <v>5286</v>
      </c>
    </row>
    <row r="4304" spans="1:2" x14ac:dyDescent="0.25">
      <c r="A4304" s="64" t="str">
        <f>HYPERLINK("http://www.twitter.com/sunnyside_ps", "sunnyside_ps")</f>
        <v>sunnyside_ps</v>
      </c>
      <c r="B4304" s="65" t="s">
        <v>5287</v>
      </c>
    </row>
    <row r="4305" spans="1:2" x14ac:dyDescent="0.25">
      <c r="A4305" s="64" t="str">
        <f>HYPERLINK("http://www.twitter.com/LeagueofComics", "LeagueofComics")</f>
        <v>LeagueofComics</v>
      </c>
      <c r="B4305" s="65" t="s">
        <v>24</v>
      </c>
    </row>
    <row r="4306" spans="1:2" x14ac:dyDescent="0.25">
      <c r="A4306" s="64" t="str">
        <f>HYPERLINK("http://www.twitter.com/quidco", "quidco")</f>
        <v>quidco</v>
      </c>
      <c r="B4306" s="65" t="s">
        <v>5288</v>
      </c>
    </row>
    <row r="4307" spans="1:2" x14ac:dyDescent="0.25">
      <c r="A4307" s="64" t="str">
        <f>HYPERLINK("http://www.twitter.com/TheRealNickJury", "TheRealNickJury")</f>
        <v>TheRealNickJury</v>
      </c>
      <c r="B4307" s="65" t="s">
        <v>5289</v>
      </c>
    </row>
    <row r="4308" spans="1:2" x14ac:dyDescent="0.25">
      <c r="A4308" s="64" t="str">
        <f>HYPERLINK("http://www.twitter.com/markstay", "markstay")</f>
        <v>markstay</v>
      </c>
      <c r="B4308" s="65" t="s">
        <v>5290</v>
      </c>
    </row>
    <row r="4309" spans="1:2" x14ac:dyDescent="0.25">
      <c r="A4309" s="64" t="str">
        <f>HYPERLINK("http://www.twitter.com/bestsellerxp", "bestsellerxp")</f>
        <v>bestsellerxp</v>
      </c>
      <c r="B4309" s="65"/>
    </row>
    <row r="4310" spans="1:2" x14ac:dyDescent="0.25">
      <c r="A4310" s="64" t="str">
        <f>HYPERLINK("http://www.twitter.com/Jennie__Wren", "Jennie__Wren")</f>
        <v>Jennie__Wren</v>
      </c>
      <c r="B4310" s="65" t="s">
        <v>487</v>
      </c>
    </row>
    <row r="4311" spans="1:2" x14ac:dyDescent="0.25">
      <c r="A4311" s="64" t="str">
        <f>HYPERLINK("http://www.twitter.com/laurn93", "laurn93")</f>
        <v>laurn93</v>
      </c>
      <c r="B4311" s="65" t="s">
        <v>5291</v>
      </c>
    </row>
    <row r="4312" spans="1:2" x14ac:dyDescent="0.25">
      <c r="A4312" s="64" t="str">
        <f>HYPERLINK("http://www.twitter.com/thisisAnnaKemp", "thisisAnnaKemp")</f>
        <v>thisisAnnaKemp</v>
      </c>
      <c r="B4312" s="65" t="s">
        <v>526</v>
      </c>
    </row>
    <row r="4313" spans="1:2" x14ac:dyDescent="0.25">
      <c r="A4313" s="64" t="str">
        <f>HYPERLINK("http://www.twitter.com/Scribbulus", "Scribbulus")</f>
        <v>Scribbulus</v>
      </c>
      <c r="B4313" s="65" t="s">
        <v>5292</v>
      </c>
    </row>
    <row r="4314" spans="1:2" x14ac:dyDescent="0.25">
      <c r="A4314" s="64" t="str">
        <f>HYPERLINK("http://www.twitter.com/alpha8hasib", "alpha8hasib")</f>
        <v>alpha8hasib</v>
      </c>
      <c r="B4314" s="65"/>
    </row>
    <row r="4315" spans="1:2" x14ac:dyDescent="0.25">
      <c r="A4315" s="64" t="str">
        <f>HYPERLINK("http://www.twitter.com/g63flower", "g63flower")</f>
        <v>g63flower</v>
      </c>
      <c r="B4315" s="65" t="s">
        <v>5293</v>
      </c>
    </row>
    <row r="4316" spans="1:2" x14ac:dyDescent="0.25">
      <c r="A4316" s="64" t="str">
        <f>HYPERLINK("http://www.twitter.com/JoffreWhite", "JoffreWhite")</f>
        <v>JoffreWhite</v>
      </c>
      <c r="B4316" s="65" t="s">
        <v>5294</v>
      </c>
    </row>
    <row r="4317" spans="1:2" x14ac:dyDescent="0.25">
      <c r="A4317" s="64" t="str">
        <f>HYPERLINK("http://www.twitter.com/o_explore", "o_explore")</f>
        <v>o_explore</v>
      </c>
      <c r="B4317" s="65" t="s">
        <v>5295</v>
      </c>
    </row>
    <row r="4318" spans="1:2" x14ac:dyDescent="0.25">
      <c r="A4318" s="64" t="str">
        <f>HYPERLINK("http://www.twitter.com/staplessarah1", "staplessarah1")</f>
        <v>staplessarah1</v>
      </c>
      <c r="B4318" s="65"/>
    </row>
    <row r="4319" spans="1:2" x14ac:dyDescent="0.25">
      <c r="A4319" s="64" t="str">
        <f>HYPERLINK("http://www.twitter.com/EmmaIllustrate", "EmmaIllustrate")</f>
        <v>EmmaIllustrate</v>
      </c>
      <c r="B4319" s="65" t="s">
        <v>4040</v>
      </c>
    </row>
    <row r="4320" spans="1:2" x14ac:dyDescent="0.25">
      <c r="A4320" s="64" t="str">
        <f>HYPERLINK("http://www.twitter.com/DawnMcNiff", "DawnMcNiff")</f>
        <v>DawnMcNiff</v>
      </c>
      <c r="B4320" s="65" t="s">
        <v>5296</v>
      </c>
    </row>
    <row r="4321" spans="1:2" x14ac:dyDescent="0.25">
      <c r="A4321" s="64" t="str">
        <f>HYPERLINK("http://www.twitter.com/BookSuperhero2", "BookSuperhero2")</f>
        <v>BookSuperhero2</v>
      </c>
      <c r="B4321" s="65"/>
    </row>
    <row r="4322" spans="1:2" x14ac:dyDescent="0.25">
      <c r="A4322" s="64" t="str">
        <f>HYPERLINK("http://www.twitter.com/Giddyup91", "Giddyup91")</f>
        <v>Giddyup91</v>
      </c>
      <c r="B4322" s="65" t="s">
        <v>20</v>
      </c>
    </row>
    <row r="4323" spans="1:2" x14ac:dyDescent="0.25">
      <c r="A4323" s="64" t="str">
        <f>HYPERLINK("http://www.twitter.com/eslavi", "eslavi")</f>
        <v>eslavi</v>
      </c>
      <c r="B4323" s="65" t="s">
        <v>5297</v>
      </c>
    </row>
    <row r="4324" spans="1:2" x14ac:dyDescent="0.25">
      <c r="A4324" s="64" t="str">
        <f>HYPERLINK("http://www.twitter.com/RNIBLibrary", "RNIBLibrary")</f>
        <v>RNIBLibrary</v>
      </c>
      <c r="B4324" s="65" t="s">
        <v>296</v>
      </c>
    </row>
    <row r="4325" spans="1:2" x14ac:dyDescent="0.25">
      <c r="A4325" s="64" t="str">
        <f>HYPERLINK("http://www.twitter.com/lisaboylenews", "lisaboylenews")</f>
        <v>lisaboylenews</v>
      </c>
      <c r="B4325" s="65" t="s">
        <v>318</v>
      </c>
    </row>
    <row r="4326" spans="1:2" x14ac:dyDescent="0.25">
      <c r="A4326" s="64" t="str">
        <f>HYPERLINK("http://www.twitter.com/_hinterland_", "_hinterland_")</f>
        <v>_hinterland_</v>
      </c>
      <c r="B4326" s="65" t="s">
        <v>5298</v>
      </c>
    </row>
    <row r="4327" spans="1:2" x14ac:dyDescent="0.25">
      <c r="A4327" s="64" t="str">
        <f>HYPERLINK("http://www.twitter.com/Simo190688", "Simo190688")</f>
        <v>Simo190688</v>
      </c>
      <c r="B4327" s="65" t="s">
        <v>4019</v>
      </c>
    </row>
    <row r="4328" spans="1:2" x14ac:dyDescent="0.25">
      <c r="A4328" s="64" t="str">
        <f>HYPERLINK("http://www.twitter.com/fzknow", "fzknow")</f>
        <v>fzknow</v>
      </c>
      <c r="B4328" s="65"/>
    </row>
    <row r="4329" spans="1:2" x14ac:dyDescent="0.25">
      <c r="A4329" s="64" t="str">
        <f>HYPERLINK("http://www.twitter.com/SUA_online", "SUA_online")</f>
        <v>SUA_online</v>
      </c>
      <c r="B4329" s="65" t="s">
        <v>5299</v>
      </c>
    </row>
    <row r="4330" spans="1:2" x14ac:dyDescent="0.25">
      <c r="A4330" s="64" t="str">
        <f>HYPERLINK("http://www.twitter.com/Stoorworm", "Stoorworm")</f>
        <v>Stoorworm</v>
      </c>
      <c r="B4330" s="65"/>
    </row>
    <row r="4331" spans="1:2" x14ac:dyDescent="0.25">
      <c r="A4331" s="64" t="str">
        <f>HYPERLINK("http://www.twitter.com/Carrie_Stout", "Carrie_Stout")</f>
        <v>Carrie_Stout</v>
      </c>
      <c r="B4331" s="65"/>
    </row>
    <row r="4332" spans="1:2" x14ac:dyDescent="0.25">
      <c r="A4332" s="64" t="str">
        <f>HYPERLINK("http://www.twitter.com/mikejhughes", "mikejhughes")</f>
        <v>mikejhughes</v>
      </c>
      <c r="B4332" s="65" t="s">
        <v>257</v>
      </c>
    </row>
    <row r="4333" spans="1:2" x14ac:dyDescent="0.25">
      <c r="A4333" s="64" t="str">
        <f>HYPERLINK("http://www.twitter.com/freeman28", "freeman28")</f>
        <v>freeman28</v>
      </c>
      <c r="B4333" s="65" t="s">
        <v>5300</v>
      </c>
    </row>
    <row r="4334" spans="1:2" x14ac:dyDescent="0.25">
      <c r="A4334" s="64" t="str">
        <f>HYPERLINK("http://www.twitter.com/HannahBown", "HannahBown")</f>
        <v>HannahBown</v>
      </c>
      <c r="B4334" s="65"/>
    </row>
    <row r="4335" spans="1:2" x14ac:dyDescent="0.25">
      <c r="A4335" s="64" t="str">
        <f>HYPERLINK("http://www.twitter.com/WriterChrisOuld", "WriterChrisOuld")</f>
        <v>WriterChrisOuld</v>
      </c>
      <c r="B4335" s="65" t="s">
        <v>2679</v>
      </c>
    </row>
    <row r="4336" spans="1:2" x14ac:dyDescent="0.25">
      <c r="A4336" s="64" t="str">
        <f>HYPERLINK("http://www.twitter.com/Happysnapple", "Happysnapple")</f>
        <v>Happysnapple</v>
      </c>
      <c r="B4336" s="65"/>
    </row>
    <row r="4337" spans="1:2" x14ac:dyDescent="0.25">
      <c r="A4337" s="64" t="str">
        <f>HYPERLINK("http://www.twitter.com/aredd777", "aredd777")</f>
        <v>aredd777</v>
      </c>
      <c r="B4337" s="65"/>
    </row>
    <row r="4338" spans="1:2" x14ac:dyDescent="0.25">
      <c r="A4338" s="64" t="str">
        <f>HYPERLINK("http://www.twitter.com/susmounds", "susmounds")</f>
        <v>susmounds</v>
      </c>
      <c r="B4338" s="65" t="s">
        <v>5301</v>
      </c>
    </row>
    <row r="4339" spans="1:2" x14ac:dyDescent="0.25">
      <c r="A4339" s="64" t="str">
        <f>HYPERLINK("http://www.twitter.com/Aurora_Sakurai", "Aurora_Sakurai")</f>
        <v>Aurora_Sakurai</v>
      </c>
      <c r="B4339" s="65"/>
    </row>
    <row r="4340" spans="1:2" x14ac:dyDescent="0.25">
      <c r="A4340" s="64" t="str">
        <f>HYPERLINK("http://www.twitter.com/GalleryPhil", "GalleryPhil")</f>
        <v>GalleryPhil</v>
      </c>
      <c r="B4340" s="65" t="s">
        <v>5302</v>
      </c>
    </row>
    <row r="4341" spans="1:2" x14ac:dyDescent="0.25">
      <c r="A4341" s="64" t="str">
        <f>HYPERLINK("http://www.twitter.com/ThoborWirth", "ThoborWirth")</f>
        <v>ThoborWirth</v>
      </c>
      <c r="B4341" s="65" t="s">
        <v>5303</v>
      </c>
    </row>
    <row r="4342" spans="1:2" x14ac:dyDescent="0.25">
      <c r="A4342" s="64" t="str">
        <f>HYPERLINK("http://www.twitter.com/STVLauraPiper", "STVLauraPiper")</f>
        <v>STVLauraPiper</v>
      </c>
      <c r="B4342" s="65" t="s">
        <v>2007</v>
      </c>
    </row>
    <row r="4343" spans="1:2" x14ac:dyDescent="0.25">
      <c r="A4343" s="64" t="str">
        <f>HYPERLINK("http://www.twitter.com/AngiMasseuse", "AngiMasseuse")</f>
        <v>AngiMasseuse</v>
      </c>
      <c r="B4343" s="65" t="s">
        <v>4447</v>
      </c>
    </row>
    <row r="4344" spans="1:2" x14ac:dyDescent="0.25">
      <c r="A4344" s="64" t="str">
        <f>HYPERLINK("http://www.twitter.com/DetSuptGrace", "DetSuptGrace")</f>
        <v>DetSuptGrace</v>
      </c>
      <c r="B4344" s="65" t="s">
        <v>2102</v>
      </c>
    </row>
    <row r="4345" spans="1:2" x14ac:dyDescent="0.25">
      <c r="A4345" s="64" t="str">
        <f>HYPERLINK("http://www.twitter.com/spacehopltd", "spacehopltd")</f>
        <v>spacehopltd</v>
      </c>
      <c r="B4345" s="65" t="s">
        <v>36</v>
      </c>
    </row>
    <row r="4346" spans="1:2" x14ac:dyDescent="0.25">
      <c r="A4346" s="64" t="str">
        <f>HYPERLINK("http://www.twitter.com/DigiKintyre", "DigiKintyre")</f>
        <v>DigiKintyre</v>
      </c>
      <c r="B4346" s="65" t="s">
        <v>5304</v>
      </c>
    </row>
    <row r="4347" spans="1:2" x14ac:dyDescent="0.25">
      <c r="A4347" s="64" t="str">
        <f>HYPERLINK("http://www.twitter.com/chrisbator", "chrisbator")</f>
        <v>chrisbator</v>
      </c>
      <c r="B4347" s="65" t="s">
        <v>3921</v>
      </c>
    </row>
    <row r="4348" spans="1:2" x14ac:dyDescent="0.25">
      <c r="A4348" s="64" t="str">
        <f>HYPERLINK("http://www.twitter.com/SimonBergenroth", "SimonBergenroth")</f>
        <v>SimonBergenroth</v>
      </c>
      <c r="B4348" s="65" t="s">
        <v>5305</v>
      </c>
    </row>
    <row r="4349" spans="1:2" x14ac:dyDescent="0.25">
      <c r="A4349" s="64" t="str">
        <f>HYPERLINK("http://www.twitter.com/FledglingPress", "FledglingPress")</f>
        <v>FledglingPress</v>
      </c>
      <c r="B4349" s="65" t="s">
        <v>24</v>
      </c>
    </row>
    <row r="4350" spans="1:2" x14ac:dyDescent="0.25">
      <c r="A4350" s="64" t="str">
        <f>HYPERLINK("http://www.twitter.com/kindleroom", "kindleroom")</f>
        <v>kindleroom</v>
      </c>
      <c r="B4350" s="65"/>
    </row>
    <row r="4351" spans="1:2" x14ac:dyDescent="0.25">
      <c r="A4351" s="64" t="str">
        <f>HYPERLINK("http://www.twitter.com/ClarkThomsonCIB", "ClarkThomsonCIB")</f>
        <v>ClarkThomsonCIB</v>
      </c>
      <c r="B4351" s="65" t="s">
        <v>3821</v>
      </c>
    </row>
    <row r="4352" spans="1:2" x14ac:dyDescent="0.25">
      <c r="A4352" s="64" t="str">
        <f>HYPERLINK("http://www.twitter.com/ArgyllMTourism", "ArgyllMTourism")</f>
        <v>ArgyllMTourism</v>
      </c>
      <c r="B4352" s="65" t="s">
        <v>5306</v>
      </c>
    </row>
    <row r="4353" spans="1:2" x14ac:dyDescent="0.25">
      <c r="A4353" s="64" t="str">
        <f>HYPERLINK("http://www.twitter.com/MirellaCavain", "MirellaCavain")</f>
        <v>MirellaCavain</v>
      </c>
      <c r="B4353" s="65"/>
    </row>
    <row r="4354" spans="1:2" x14ac:dyDescent="0.25">
      <c r="A4354" s="64" t="str">
        <f>HYPERLINK("http://www.twitter.com/zstephaniestar", "zstephaniestar")</f>
        <v>zstephaniestar</v>
      </c>
      <c r="B4354" s="65" t="s">
        <v>5307</v>
      </c>
    </row>
    <row r="4355" spans="1:2" x14ac:dyDescent="0.25">
      <c r="A4355" s="64" t="str">
        <f>HYPERLINK("http://www.twitter.com/mdrasel71818112", "mdrasel71818112")</f>
        <v>mdrasel71818112</v>
      </c>
      <c r="B4355" s="65" t="s">
        <v>5308</v>
      </c>
    </row>
    <row r="4356" spans="1:2" x14ac:dyDescent="0.25">
      <c r="A4356" s="64" t="str">
        <f>HYPERLINK("http://www.twitter.com/BobdeBuilder", "BobdeBuilder")</f>
        <v>BobdeBuilder</v>
      </c>
      <c r="B4356" s="65"/>
    </row>
    <row r="4357" spans="1:2" x14ac:dyDescent="0.25">
      <c r="A4357" s="64" t="str">
        <f>HYPERLINK("http://www.twitter.com/1950GMJ", "1950GMJ")</f>
        <v>1950GMJ</v>
      </c>
      <c r="B4357" s="65" t="s">
        <v>2592</v>
      </c>
    </row>
    <row r="4358" spans="1:2" x14ac:dyDescent="0.25">
      <c r="A4358" s="64" t="str">
        <f>HYPERLINK("http://www.twitter.com/MariaHallWriter", "MariaHallWriter")</f>
        <v>MariaHallWriter</v>
      </c>
      <c r="B4358" s="65" t="s">
        <v>4436</v>
      </c>
    </row>
    <row r="4359" spans="1:2" x14ac:dyDescent="0.25">
      <c r="A4359" s="64" t="str">
        <f>HYPERLINK("http://www.twitter.com/tennis_shots", "tennis_shots")</f>
        <v>tennis_shots</v>
      </c>
      <c r="B4359" s="65" t="s">
        <v>5309</v>
      </c>
    </row>
    <row r="4360" spans="1:2" x14ac:dyDescent="0.25">
      <c r="A4360" s="64" t="str">
        <f>HYPERLINK("http://www.twitter.com/SeanGosling5", "SeanGosling5")</f>
        <v>SeanGosling5</v>
      </c>
      <c r="B4360" s="65" t="s">
        <v>5310</v>
      </c>
    </row>
    <row r="4361" spans="1:2" x14ac:dyDescent="0.25">
      <c r="A4361" s="64" t="str">
        <f>HYPERLINK("http://www.twitter.com/HQT_Publication", "HQT_Publication")</f>
        <v>HQT_Publication</v>
      </c>
      <c r="B4361" s="65" t="s">
        <v>3863</v>
      </c>
    </row>
    <row r="4362" spans="1:2" x14ac:dyDescent="0.25">
      <c r="A4362" s="64" t="str">
        <f>HYPERLINK("http://www.twitter.com/drinkbottle8", "drinkbottle8")</f>
        <v>drinkbottle8</v>
      </c>
      <c r="B4362" s="65" t="s">
        <v>5311</v>
      </c>
    </row>
    <row r="4363" spans="1:2" x14ac:dyDescent="0.25">
      <c r="A4363" s="64" t="str">
        <f>HYPERLINK("http://www.twitter.com/lourock1989", "lourock1989")</f>
        <v>lourock1989</v>
      </c>
      <c r="B4363" s="65" t="s">
        <v>4035</v>
      </c>
    </row>
    <row r="4364" spans="1:2" x14ac:dyDescent="0.25">
      <c r="A4364" s="64" t="str">
        <f>HYPERLINK("http://www.twitter.com/dswaltz", "dswaltz")</f>
        <v>dswaltz</v>
      </c>
      <c r="B4364" s="65"/>
    </row>
    <row r="4365" spans="1:2" x14ac:dyDescent="0.25">
      <c r="A4365" s="64" t="str">
        <f>HYPERLINK("http://www.twitter.com/annemitch10", "annemitch10")</f>
        <v>annemitch10</v>
      </c>
      <c r="B4365" s="65" t="s">
        <v>3853</v>
      </c>
    </row>
    <row r="4366" spans="1:2" x14ac:dyDescent="0.25">
      <c r="A4366" s="64" t="str">
        <f>HYPERLINK("http://www.twitter.com/Rita_Seagull", "Rita_Seagull")</f>
        <v>Rita_Seagull</v>
      </c>
      <c r="B4366" s="65" t="s">
        <v>5312</v>
      </c>
    </row>
    <row r="4367" spans="1:2" x14ac:dyDescent="0.25">
      <c r="A4367" s="64" t="str">
        <f>HYPERLINK("http://www.twitter.com/raveneddy13", "raveneddy13")</f>
        <v>raveneddy13</v>
      </c>
      <c r="B4367" s="65" t="s">
        <v>4695</v>
      </c>
    </row>
    <row r="4368" spans="1:2" x14ac:dyDescent="0.25">
      <c r="A4368" s="64" t="str">
        <f>HYPERLINK("http://www.twitter.com/crazyscotsman76", "crazyscotsman76")</f>
        <v>crazyscotsman76</v>
      </c>
      <c r="B4368" s="65" t="s">
        <v>5313</v>
      </c>
    </row>
    <row r="4369" spans="1:2" x14ac:dyDescent="0.25">
      <c r="A4369" s="64" t="str">
        <f>HYPERLINK("http://www.twitter.com/ScotlandGuide", "ScotlandGuide")</f>
        <v>ScotlandGuide</v>
      </c>
      <c r="B4369" s="65" t="s">
        <v>5314</v>
      </c>
    </row>
    <row r="4370" spans="1:2" x14ac:dyDescent="0.25">
      <c r="A4370" s="64" t="str">
        <f>HYPERLINK("http://www.twitter.com/SylkenAlba", "SylkenAlba")</f>
        <v>SylkenAlba</v>
      </c>
      <c r="B4370" s="65"/>
    </row>
    <row r="4371" spans="1:2" x14ac:dyDescent="0.25">
      <c r="A4371" s="64" t="str">
        <f>HYPERLINK("http://www.twitter.com/stevejblue", "stevejblue")</f>
        <v>stevejblue</v>
      </c>
      <c r="B4371" s="65"/>
    </row>
    <row r="4372" spans="1:2" x14ac:dyDescent="0.25">
      <c r="A4372" s="64" t="str">
        <f>HYPERLINK("http://www.twitter.com/cathelkerr", "cathelkerr")</f>
        <v>cathelkerr</v>
      </c>
      <c r="B4372" s="65" t="s">
        <v>5315</v>
      </c>
    </row>
    <row r="4373" spans="1:2" x14ac:dyDescent="0.25">
      <c r="A4373" s="64" t="str">
        <f>HYPERLINK("http://www.twitter.com/SueWardDrake", "SueWardDrake")</f>
        <v>SueWardDrake</v>
      </c>
      <c r="B4373" s="65" t="s">
        <v>5316</v>
      </c>
    </row>
    <row r="4374" spans="1:2" x14ac:dyDescent="0.25">
      <c r="A4374" s="64" t="str">
        <f>HYPERLINK("http://www.twitter.com/ron657", "ron657")</f>
        <v>ron657</v>
      </c>
      <c r="B4374" s="65" t="s">
        <v>5317</v>
      </c>
    </row>
    <row r="4375" spans="1:2" x14ac:dyDescent="0.25">
      <c r="A4375" s="64" t="str">
        <f>HYPERLINK("http://www.twitter.com/foodanddrinksco", "foodanddrinksco")</f>
        <v>foodanddrinksco</v>
      </c>
      <c r="B4375" s="65" t="s">
        <v>517</v>
      </c>
    </row>
    <row r="4376" spans="1:2" x14ac:dyDescent="0.25">
      <c r="A4376" s="64" t="str">
        <f>HYPERLINK("http://www.twitter.com/m39618462", "m39618462")</f>
        <v>m39618462</v>
      </c>
      <c r="B4376" s="65" t="s">
        <v>5318</v>
      </c>
    </row>
    <row r="4377" spans="1:2" x14ac:dyDescent="0.25">
      <c r="A4377" s="64" t="str">
        <f>HYPERLINK("http://www.twitter.com/SneakTheCat", "SneakTheCat")</f>
        <v>SneakTheCat</v>
      </c>
      <c r="B4377" s="65" t="s">
        <v>5319</v>
      </c>
    </row>
    <row r="4378" spans="1:2" x14ac:dyDescent="0.25">
      <c r="A4378" s="64" t="str">
        <f>HYPERLINK("http://www.twitter.com/System2news", "System2news")</f>
        <v>System2news</v>
      </c>
      <c r="B4378" s="65" t="s">
        <v>4840</v>
      </c>
    </row>
    <row r="4379" spans="1:2" x14ac:dyDescent="0.25">
      <c r="A4379" s="64" t="str">
        <f>HYPERLINK("http://www.twitter.com/Landcompassmag", "Landcompassmag")</f>
        <v>Landcompassmag</v>
      </c>
      <c r="B4379" s="65"/>
    </row>
    <row r="4380" spans="1:2" x14ac:dyDescent="0.25">
      <c r="A4380" s="64" t="str">
        <f>HYPERLINK("http://www.twitter.com/marketing_gott", "marketing_gott")</f>
        <v>marketing_gott</v>
      </c>
      <c r="B4380" s="65" t="s">
        <v>5320</v>
      </c>
    </row>
    <row r="4381" spans="1:2" x14ac:dyDescent="0.25">
      <c r="A4381" s="64" t="str">
        <f>HYPERLINK("http://www.twitter.com/geo2fly13", "geo2fly13")</f>
        <v>geo2fly13</v>
      </c>
      <c r="B4381" s="65" t="s">
        <v>5321</v>
      </c>
    </row>
    <row r="4382" spans="1:2" x14ac:dyDescent="0.25">
      <c r="A4382" s="64" t="str">
        <f>HYPERLINK("http://www.twitter.com/gemmainezbruce", "gemmainezbruce")</f>
        <v>gemmainezbruce</v>
      </c>
      <c r="B4382" s="65"/>
    </row>
    <row r="4383" spans="1:2" x14ac:dyDescent="0.25">
      <c r="A4383" s="64" t="str">
        <f>HYPERLINK("http://www.twitter.com/ST1872", "ST1872")</f>
        <v>ST1872</v>
      </c>
      <c r="B4383" s="65" t="s">
        <v>138</v>
      </c>
    </row>
    <row r="4384" spans="1:2" x14ac:dyDescent="0.25">
      <c r="A4384" s="64" t="str">
        <f>HYPERLINK("http://www.twitter.com/darharr", "darharr")</f>
        <v>darharr</v>
      </c>
      <c r="B4384" s="65" t="s">
        <v>5322</v>
      </c>
    </row>
    <row r="4385" spans="1:2" x14ac:dyDescent="0.25">
      <c r="A4385" s="64" t="str">
        <f>HYPERLINK("http://www.twitter.com/punkmarx", "punkmarx")</f>
        <v>punkmarx</v>
      </c>
      <c r="B4385" s="65" t="s">
        <v>5323</v>
      </c>
    </row>
    <row r="4386" spans="1:2" x14ac:dyDescent="0.25">
      <c r="A4386" s="64" t="str">
        <f>HYPERLINK("http://www.twitter.com/alexandra35522", "alexandra35522")</f>
        <v>alexandra35522</v>
      </c>
      <c r="B4386" s="65" t="s">
        <v>5324</v>
      </c>
    </row>
    <row r="4387" spans="1:2" x14ac:dyDescent="0.25">
      <c r="A4387" s="64" t="str">
        <f>HYPERLINK("http://www.twitter.com/WWLGlasgow", "WWLGlasgow")</f>
        <v>WWLGlasgow</v>
      </c>
      <c r="B4387" s="65" t="s">
        <v>318</v>
      </c>
    </row>
    <row r="4388" spans="1:2" x14ac:dyDescent="0.25">
      <c r="A4388" s="64" t="str">
        <f>HYPERLINK("http://www.twitter.com/drcherrypark", "drcherrypark")</f>
        <v>drcherrypark</v>
      </c>
      <c r="B4388" s="65" t="s">
        <v>4050</v>
      </c>
    </row>
    <row r="4389" spans="1:2" x14ac:dyDescent="0.25">
      <c r="A4389" s="64" t="str">
        <f>HYPERLINK("http://www.twitter.com/kirkconnel", "kirkconnel")</f>
        <v>kirkconnel</v>
      </c>
      <c r="B4389" s="65"/>
    </row>
    <row r="4390" spans="1:2" x14ac:dyDescent="0.25">
      <c r="A4390" s="64" t="str">
        <f>HYPERLINK("http://www.twitter.com/Vanessa_Chess", "Vanessa_Chess")</f>
        <v>Vanessa_Chess</v>
      </c>
      <c r="B4390" s="65" t="s">
        <v>5325</v>
      </c>
    </row>
    <row r="4391" spans="1:2" x14ac:dyDescent="0.25">
      <c r="A4391" s="64" t="str">
        <f>HYPERLINK("http://www.twitter.com/aranyani27", "aranyani27")</f>
        <v>aranyani27</v>
      </c>
      <c r="B4391" s="65" t="s">
        <v>5326</v>
      </c>
    </row>
    <row r="4392" spans="1:2" x14ac:dyDescent="0.25">
      <c r="A4392" s="64" t="str">
        <f>HYPERLINK("http://www.twitter.com/OConnorBooks", "OConnorBooks")</f>
        <v>OConnorBooks</v>
      </c>
      <c r="B4392" s="65" t="s">
        <v>5327</v>
      </c>
    </row>
    <row r="4393" spans="1:2" x14ac:dyDescent="0.25">
      <c r="A4393" s="64" t="str">
        <f>HYPERLINK("http://www.twitter.com/lisa030564", "lisa030564")</f>
        <v>lisa030564</v>
      </c>
      <c r="B4393" s="65" t="s">
        <v>5328</v>
      </c>
    </row>
    <row r="4394" spans="1:2" x14ac:dyDescent="0.25">
      <c r="A4394" s="64" t="str">
        <f>HYPERLINK("http://www.twitter.com/MaveyRavey", "MaveyRavey")</f>
        <v>MaveyRavey</v>
      </c>
      <c r="B4394" s="65"/>
    </row>
    <row r="4395" spans="1:2" x14ac:dyDescent="0.25">
      <c r="A4395" s="64" t="str">
        <f>HYPERLINK("http://www.twitter.com/rxdone", "rxdone")</f>
        <v>rxdone</v>
      </c>
      <c r="B4395" s="65"/>
    </row>
    <row r="4396" spans="1:2" x14ac:dyDescent="0.25">
      <c r="A4396" s="64" t="str">
        <f>HYPERLINK("http://www.twitter.com/LochheadJulie", "LochheadJulie")</f>
        <v>LochheadJulie</v>
      </c>
      <c r="B4396" s="65" t="s">
        <v>613</v>
      </c>
    </row>
    <row r="4397" spans="1:2" x14ac:dyDescent="0.25">
      <c r="A4397" s="64" t="str">
        <f>HYPERLINK("http://www.twitter.com/thegolfgambler", "thegolfgambler")</f>
        <v>thegolfgambler</v>
      </c>
      <c r="B4397" s="65" t="s">
        <v>2567</v>
      </c>
    </row>
    <row r="4398" spans="1:2" x14ac:dyDescent="0.25">
      <c r="A4398" s="64" t="str">
        <f>HYPERLINK("http://www.twitter.com/Lea1M1", "Lea1M1")</f>
        <v>Lea1M1</v>
      </c>
      <c r="B4398" s="65" t="s">
        <v>5329</v>
      </c>
    </row>
    <row r="4399" spans="1:2" x14ac:dyDescent="0.25">
      <c r="A4399" s="64" t="str">
        <f>HYPERLINK("http://www.twitter.com/HLizanne", "HLizanne")</f>
        <v>HLizanne</v>
      </c>
      <c r="B4399" s="65" t="s">
        <v>517</v>
      </c>
    </row>
    <row r="4400" spans="1:2" x14ac:dyDescent="0.25">
      <c r="A4400" s="64" t="str">
        <f>HYPERLINK("http://www.twitter.com/LN_Walker", "LN_Walker")</f>
        <v>LN_Walker</v>
      </c>
      <c r="B4400" s="65" t="s">
        <v>5330</v>
      </c>
    </row>
    <row r="4401" spans="1:2" x14ac:dyDescent="0.25">
      <c r="A4401" s="64" t="str">
        <f>HYPERLINK("http://www.twitter.com/janenicolsonpr", "janenicolsonpr")</f>
        <v>janenicolsonpr</v>
      </c>
      <c r="B4401" s="65"/>
    </row>
    <row r="4402" spans="1:2" x14ac:dyDescent="0.25">
      <c r="A4402" s="64" t="str">
        <f>HYPERLINK("http://www.twitter.com/ScotAmFAHigh", "ScotAmFAHigh")</f>
        <v>ScotAmFAHigh</v>
      </c>
      <c r="B4402" s="65" t="s">
        <v>5331</v>
      </c>
    </row>
    <row r="4403" spans="1:2" x14ac:dyDescent="0.25">
      <c r="A4403" s="64" t="str">
        <f>HYPERLINK("http://www.twitter.com/Obiezyswiatka", "Obiezyswiatka")</f>
        <v>Obiezyswiatka</v>
      </c>
      <c r="B4403" s="65"/>
    </row>
    <row r="4404" spans="1:2" x14ac:dyDescent="0.25">
      <c r="A4404" s="64" t="str">
        <f>HYPERLINK("http://www.twitter.com/MeggieMDonald", "MeggieMDonald")</f>
        <v>MeggieMDonald</v>
      </c>
      <c r="B4404" s="65" t="s">
        <v>5332</v>
      </c>
    </row>
    <row r="4405" spans="1:2" x14ac:dyDescent="0.25">
      <c r="A4405" s="64" t="str">
        <f>HYPERLINK("http://www.twitter.com/ecoandi", "ecoandi")</f>
        <v>ecoandi</v>
      </c>
      <c r="B4405" s="65" t="s">
        <v>5333</v>
      </c>
    </row>
    <row r="4406" spans="1:2" x14ac:dyDescent="0.25">
      <c r="A4406" s="64" t="str">
        <f>HYPERLINK("http://www.twitter.com/HJBlenkinsop", "HJBlenkinsop")</f>
        <v>HJBlenkinsop</v>
      </c>
      <c r="B4406" s="65" t="s">
        <v>5334</v>
      </c>
    </row>
    <row r="4407" spans="1:2" x14ac:dyDescent="0.25">
      <c r="A4407" s="64" t="str">
        <f>HYPERLINK("http://www.twitter.com/KittyTweddle", "KittyTweddle")</f>
        <v>KittyTweddle</v>
      </c>
      <c r="B4407" s="65" t="s">
        <v>5335</v>
      </c>
    </row>
    <row r="4408" spans="1:2" x14ac:dyDescent="0.25">
      <c r="A4408" s="64" t="str">
        <f>HYPERLINK("http://www.twitter.com/hylanjac", "hylanjac")</f>
        <v>hylanjac</v>
      </c>
      <c r="B4408" s="65" t="s">
        <v>4291</v>
      </c>
    </row>
    <row r="4409" spans="1:2" x14ac:dyDescent="0.25">
      <c r="A4409" s="64" t="str">
        <f>HYPERLINK("http://www.twitter.com/jackie5910", "jackie5910")</f>
        <v>jackie5910</v>
      </c>
      <c r="B4409" s="65"/>
    </row>
    <row r="4410" spans="1:2" x14ac:dyDescent="0.25">
      <c r="A4410" s="64" t="str">
        <f>HYPERLINK("http://www.twitter.com/DRnaturegirl", "DRnaturegirl")</f>
        <v>DRnaturegirl</v>
      </c>
      <c r="B4410" s="65" t="s">
        <v>5336</v>
      </c>
    </row>
    <row r="4411" spans="1:2" x14ac:dyDescent="0.25">
      <c r="A4411" s="64" t="str">
        <f>HYPERLINK("http://www.twitter.com/Davies16Mike", "Davies16Mike")</f>
        <v>Davies16Mike</v>
      </c>
      <c r="B4411" s="65" t="s">
        <v>1377</v>
      </c>
    </row>
    <row r="4412" spans="1:2" x14ac:dyDescent="0.25">
      <c r="A4412" s="64" t="str">
        <f>HYPERLINK("http://www.twitter.com/ChrysalisArts", "ChrysalisArts")</f>
        <v>ChrysalisArts</v>
      </c>
      <c r="B4412" s="65"/>
    </row>
    <row r="4413" spans="1:2" x14ac:dyDescent="0.25">
      <c r="A4413" s="64" t="str">
        <f>HYPERLINK("http://www.twitter.com/cwarchc", "cwarchc")</f>
        <v>cwarchc</v>
      </c>
      <c r="B4413" s="65" t="s">
        <v>33</v>
      </c>
    </row>
    <row r="4414" spans="1:2" x14ac:dyDescent="0.25">
      <c r="A4414" s="64" t="str">
        <f>HYPERLINK("http://www.twitter.com/loredana_felli", "loredana_felli")</f>
        <v>loredana_felli</v>
      </c>
      <c r="B4414" s="65" t="s">
        <v>5337</v>
      </c>
    </row>
    <row r="4415" spans="1:2" x14ac:dyDescent="0.25">
      <c r="A4415" s="64" t="str">
        <f>HYPERLINK("http://www.twitter.com/dmfdesigns", "dmfdesigns")</f>
        <v>dmfdesigns</v>
      </c>
      <c r="B4415" s="65" t="s">
        <v>5338</v>
      </c>
    </row>
    <row r="4416" spans="1:2" x14ac:dyDescent="0.25">
      <c r="A4416" s="64" t="str">
        <f>HYPERLINK("http://www.twitter.com/HughHarrop", "HughHarrop")</f>
        <v>HughHarrop</v>
      </c>
      <c r="B4416" s="65" t="s">
        <v>3917</v>
      </c>
    </row>
    <row r="4417" spans="1:2" x14ac:dyDescent="0.25">
      <c r="A4417" s="64" t="str">
        <f>HYPERLINK("http://www.twitter.com/HornpipeBrewery", "HornpipeBrewery")</f>
        <v>HornpipeBrewery</v>
      </c>
      <c r="B4417" s="65"/>
    </row>
    <row r="4418" spans="1:2" x14ac:dyDescent="0.25">
      <c r="A4418" s="64" t="str">
        <f>HYPERLINK("http://www.twitter.com/raimabrown", "raimabrown")</f>
        <v>raimabrown</v>
      </c>
      <c r="B4418" s="65"/>
    </row>
    <row r="4419" spans="1:2" x14ac:dyDescent="0.25">
      <c r="A4419" s="64" t="str">
        <f>HYPERLINK("http://www.twitter.com/Jennytherose", "Jennytherose")</f>
        <v>Jennytherose</v>
      </c>
      <c r="B4419" s="65" t="s">
        <v>822</v>
      </c>
    </row>
    <row r="4420" spans="1:2" x14ac:dyDescent="0.25">
      <c r="A4420" s="64" t="str">
        <f>HYPERLINK("http://www.twitter.com/maureen_hammond", "maureen_hammond")</f>
        <v>maureen_hammond</v>
      </c>
      <c r="B4420" s="65" t="s">
        <v>5163</v>
      </c>
    </row>
    <row r="4421" spans="1:2" x14ac:dyDescent="0.25">
      <c r="A4421" s="64" t="str">
        <f>HYPERLINK("http://www.twitter.com/TheAlpacasaur", "TheAlpacasaur")</f>
        <v>TheAlpacasaur</v>
      </c>
      <c r="B4421" s="65" t="s">
        <v>5339</v>
      </c>
    </row>
    <row r="4422" spans="1:2" x14ac:dyDescent="0.25">
      <c r="A4422" s="64" t="str">
        <f>HYPERLINK("http://www.twitter.com/sisalgirl", "sisalgirl")</f>
        <v>sisalgirl</v>
      </c>
      <c r="B4422" s="65" t="s">
        <v>5340</v>
      </c>
    </row>
    <row r="4423" spans="1:2" x14ac:dyDescent="0.25">
      <c r="A4423" s="64" t="str">
        <f>HYPERLINK("http://www.twitter.com/Fionee123", "Fionee123")</f>
        <v>Fionee123</v>
      </c>
      <c r="B4423" s="65"/>
    </row>
    <row r="4424" spans="1:2" x14ac:dyDescent="0.25">
      <c r="A4424" s="64" t="str">
        <f>HYPERLINK("http://www.twitter.com/daz_murray", "daz_murray")</f>
        <v>daz_murray</v>
      </c>
      <c r="B4424" s="65" t="s">
        <v>4094</v>
      </c>
    </row>
    <row r="4425" spans="1:2" x14ac:dyDescent="0.25">
      <c r="A4425" s="64" t="str">
        <f>HYPERLINK("http://www.twitter.com/rodrigobarnes", "rodrigobarnes")</f>
        <v>rodrigobarnes</v>
      </c>
      <c r="B4425" s="65" t="s">
        <v>5341</v>
      </c>
    </row>
    <row r="4426" spans="1:2" x14ac:dyDescent="0.25">
      <c r="A4426" s="64" t="str">
        <f>HYPERLINK("http://www.twitter.com/uacboo", "uacboo")</f>
        <v>uacboo</v>
      </c>
      <c r="B4426" s="65" t="s">
        <v>5342</v>
      </c>
    </row>
    <row r="4427" spans="1:2" x14ac:dyDescent="0.25">
      <c r="A4427" s="64" t="str">
        <f>HYPERLINK("http://www.twitter.com/tbasden628", "tbasden628")</f>
        <v>tbasden628</v>
      </c>
      <c r="B4427" s="65" t="s">
        <v>3797</v>
      </c>
    </row>
    <row r="4428" spans="1:2" x14ac:dyDescent="0.25">
      <c r="A4428" s="64" t="str">
        <f>HYPERLINK("http://www.twitter.com/benlandis", "benlandis")</f>
        <v>benlandis</v>
      </c>
      <c r="B4428" s="65" t="s">
        <v>4267</v>
      </c>
    </row>
    <row r="4429" spans="1:2" x14ac:dyDescent="0.25">
      <c r="A4429" s="64" t="str">
        <f>HYPERLINK("http://www.twitter.com/aerostephen", "aerostephen")</f>
        <v>aerostephen</v>
      </c>
      <c r="B4429" s="65" t="s">
        <v>5343</v>
      </c>
    </row>
    <row r="4430" spans="1:2" x14ac:dyDescent="0.25">
      <c r="A4430" s="64" t="str">
        <f>HYPERLINK("http://www.twitter.com/benteh", "benteh")</f>
        <v>benteh</v>
      </c>
      <c r="B4430" s="65" t="s">
        <v>4274</v>
      </c>
    </row>
    <row r="4431" spans="1:2" x14ac:dyDescent="0.25">
      <c r="A4431" s="64" t="str">
        <f>HYPERLINK("http://www.twitter.com/Prinkingdroblem", "Prinkingdroblem")</f>
        <v>Prinkingdroblem</v>
      </c>
      <c r="B4431" s="65"/>
    </row>
    <row r="4432" spans="1:2" x14ac:dyDescent="0.25">
      <c r="A4432" s="64" t="str">
        <f>HYPERLINK("http://www.twitter.com/oiche_fairy", "oiche_fairy")</f>
        <v>oiche_fairy</v>
      </c>
      <c r="B4432" s="65"/>
    </row>
    <row r="4433" spans="1:2" x14ac:dyDescent="0.25">
      <c r="A4433" s="64" t="str">
        <f>HYPERLINK("http://www.twitter.com/egalArch", "egalArch")</f>
        <v>egalArch</v>
      </c>
      <c r="B4433" s="65" t="s">
        <v>5344</v>
      </c>
    </row>
    <row r="4434" spans="1:2" x14ac:dyDescent="0.25">
      <c r="A4434" s="64" t="str">
        <f>HYPERLINK("http://www.twitter.com/LindaWonder", "LindaWonder")</f>
        <v>LindaWonder</v>
      </c>
      <c r="B4434" s="65" t="s">
        <v>5345</v>
      </c>
    </row>
    <row r="4435" spans="1:2" x14ac:dyDescent="0.25">
      <c r="A4435" s="64" t="str">
        <f>HYPERLINK("http://www.twitter.com/ColinWood19", "ColinWood19")</f>
        <v>ColinWood19</v>
      </c>
      <c r="B4435" s="65"/>
    </row>
    <row r="4436" spans="1:2" x14ac:dyDescent="0.25">
      <c r="A4436" s="64" t="str">
        <f>HYPERLINK("http://www.twitter.com/RuralEllen", "RuralEllen")</f>
        <v>RuralEllen</v>
      </c>
      <c r="B4436" s="65" t="s">
        <v>808</v>
      </c>
    </row>
    <row r="4437" spans="1:2" x14ac:dyDescent="0.25">
      <c r="A4437" s="64" t="str">
        <f>HYPERLINK("http://www.twitter.com/sandranich21", "sandranich21")</f>
        <v>sandranich21</v>
      </c>
      <c r="B4437" s="65" t="s">
        <v>1490</v>
      </c>
    </row>
    <row r="4438" spans="1:2" x14ac:dyDescent="0.25">
      <c r="A4438" s="64" t="str">
        <f>HYPERLINK("http://www.twitter.com/andywilliamsesq", "andywilliamsesq")</f>
        <v>andywilliamsesq</v>
      </c>
      <c r="B4438" s="65"/>
    </row>
    <row r="4439" spans="1:2" x14ac:dyDescent="0.25">
      <c r="A4439" s="64" t="str">
        <f>HYPERLINK("http://www.twitter.com/LEPHREAKs", "LEPHREAKs")</f>
        <v>LEPHREAKs</v>
      </c>
      <c r="B4439" s="65" t="s">
        <v>5346</v>
      </c>
    </row>
    <row r="4440" spans="1:2" x14ac:dyDescent="0.25">
      <c r="A4440" s="64" t="str">
        <f>HYPERLINK("http://www.twitter.com/Lelesim", "Lelesim")</f>
        <v>Lelesim</v>
      </c>
      <c r="B4440" s="65" t="s">
        <v>5347</v>
      </c>
    </row>
    <row r="4441" spans="1:2" x14ac:dyDescent="0.25">
      <c r="A4441" s="64" t="str">
        <f>HYPERLINK("http://www.twitter.com/Michael_Grieve", "Michael_Grieve")</f>
        <v>Michael_Grieve</v>
      </c>
      <c r="B4441" s="65" t="s">
        <v>5348</v>
      </c>
    </row>
    <row r="4442" spans="1:2" x14ac:dyDescent="0.25">
      <c r="A4442" s="64" t="str">
        <f>HYPERLINK("http://www.twitter.com/JackLHatton", "JackLHatton")</f>
        <v>JackLHatton</v>
      </c>
      <c r="B4442" s="65" t="s">
        <v>477</v>
      </c>
    </row>
    <row r="4443" spans="1:2" x14ac:dyDescent="0.25">
      <c r="A4443" s="64" t="str">
        <f>HYPERLINK("http://www.twitter.com/jaynpreston", "jaynpreston")</f>
        <v>jaynpreston</v>
      </c>
      <c r="B4443" s="65" t="s">
        <v>5349</v>
      </c>
    </row>
    <row r="4444" spans="1:2" x14ac:dyDescent="0.25">
      <c r="A4444" s="64" t="str">
        <f>HYPERLINK("http://www.twitter.com/jameswilrichard", "jameswilrichard")</f>
        <v>jameswilrichard</v>
      </c>
      <c r="B4444" s="65"/>
    </row>
    <row r="4445" spans="1:2" x14ac:dyDescent="0.25">
      <c r="A4445" s="64" t="str">
        <f>HYPERLINK("http://www.twitter.com/Smallgingergirl", "Smallgingergirl")</f>
        <v>Smallgingergirl</v>
      </c>
      <c r="B4445" s="65" t="s">
        <v>5350</v>
      </c>
    </row>
    <row r="4446" spans="1:2" x14ac:dyDescent="0.25">
      <c r="A4446" s="64" t="str">
        <f>HYPERLINK("http://www.twitter.com/CroftingLaw", "CroftingLaw")</f>
        <v>CroftingLaw</v>
      </c>
      <c r="B4446" s="65" t="s">
        <v>5351</v>
      </c>
    </row>
    <row r="4447" spans="1:2" x14ac:dyDescent="0.25">
      <c r="A4447" s="64" t="str">
        <f>HYPERLINK("http://www.twitter.com/KateReidGlasgow", "KateReidGlasgow")</f>
        <v>KateReidGlasgow</v>
      </c>
      <c r="B4447" s="65" t="s">
        <v>70</v>
      </c>
    </row>
    <row r="4448" spans="1:2" x14ac:dyDescent="0.25">
      <c r="A4448" s="64" t="str">
        <f>HYPERLINK("http://www.twitter.com/Ealasaid1743", "Ealasaid1743")</f>
        <v>Ealasaid1743</v>
      </c>
      <c r="B4448" s="65" t="s">
        <v>5352</v>
      </c>
    </row>
    <row r="4449" spans="1:2" x14ac:dyDescent="0.25">
      <c r="A4449" s="64" t="str">
        <f>HYPERLINK("http://www.twitter.com/KerryMackenzie6", "KerryMackenzie6")</f>
        <v>KerryMackenzie6</v>
      </c>
      <c r="B4449" s="65"/>
    </row>
    <row r="4450" spans="1:2" x14ac:dyDescent="0.25">
      <c r="A4450" s="64" t="str">
        <f>HYPERLINK("http://www.twitter.com/CSLozen", "CSLozen")</f>
        <v>CSLozen</v>
      </c>
      <c r="B4450" s="65" t="s">
        <v>5353</v>
      </c>
    </row>
    <row r="4451" spans="1:2" x14ac:dyDescent="0.25">
      <c r="A4451" s="64" t="str">
        <f>HYPERLINK("http://www.twitter.com/LanceScoular", "LanceScoular")</f>
        <v>LanceScoular</v>
      </c>
      <c r="B4451" s="65" t="s">
        <v>5354</v>
      </c>
    </row>
    <row r="4452" spans="1:2" x14ac:dyDescent="0.25">
      <c r="A4452" s="64" t="str">
        <f>HYPERLINK("http://www.twitter.com/SjaakFink", "SjaakFink")</f>
        <v>SjaakFink</v>
      </c>
      <c r="B4452" s="65"/>
    </row>
    <row r="4453" spans="1:2" x14ac:dyDescent="0.25">
      <c r="A4453" s="64" t="str">
        <f>HYPERLINK("http://www.twitter.com/storyrambler", "storyrambler")</f>
        <v>storyrambler</v>
      </c>
      <c r="B4453" s="65" t="s">
        <v>5355</v>
      </c>
    </row>
    <row r="4454" spans="1:2" x14ac:dyDescent="0.25">
      <c r="A4454" s="64" t="str">
        <f>HYPERLINK("http://www.twitter.com/SkyeCelebrant", "SkyeCelebrant")</f>
        <v>SkyeCelebrant</v>
      </c>
      <c r="B4454" s="65" t="s">
        <v>5356</v>
      </c>
    </row>
    <row r="4455" spans="1:2" x14ac:dyDescent="0.25">
      <c r="A4455" s="64" t="str">
        <f>HYPERLINK("http://www.twitter.com/GlendaBurgess", "GlendaBurgess")</f>
        <v>GlendaBurgess</v>
      </c>
      <c r="B4455" s="65" t="s">
        <v>5357</v>
      </c>
    </row>
    <row r="4456" spans="1:2" x14ac:dyDescent="0.25">
      <c r="A4456" s="64" t="str">
        <f>HYPERLINK("http://www.twitter.com/cathyratcliff", "cathyratcliff")</f>
        <v>cathyratcliff</v>
      </c>
      <c r="B4456" s="65" t="s">
        <v>4313</v>
      </c>
    </row>
    <row r="4457" spans="1:2" x14ac:dyDescent="0.25">
      <c r="A4457" s="64" t="str">
        <f>HYPERLINK("http://www.twitter.com/scanoircouk", "scanoircouk")</f>
        <v>scanoircouk</v>
      </c>
      <c r="B4457" s="65"/>
    </row>
    <row r="4458" spans="1:2" x14ac:dyDescent="0.25">
      <c r="A4458" s="64" t="str">
        <f>HYPERLINK("http://www.twitter.com/DawnCansfield", "DawnCansfield")</f>
        <v>DawnCansfield</v>
      </c>
      <c r="B4458" s="65" t="s">
        <v>1790</v>
      </c>
    </row>
    <row r="4459" spans="1:2" x14ac:dyDescent="0.25">
      <c r="A4459" s="64" t="str">
        <f>HYPERLINK("http://www.twitter.com/ReggieAKC", "ReggieAKC")</f>
        <v>ReggieAKC</v>
      </c>
      <c r="B4459" s="65"/>
    </row>
    <row r="4460" spans="1:2" x14ac:dyDescent="0.25">
      <c r="A4460" s="64" t="str">
        <f>HYPERLINK("http://www.twitter.com/proseccoparty", "proseccoparty")</f>
        <v>proseccoparty</v>
      </c>
      <c r="B4460" s="65" t="s">
        <v>5358</v>
      </c>
    </row>
    <row r="4461" spans="1:2" x14ac:dyDescent="0.25">
      <c r="A4461" s="64" t="str">
        <f>HYPERLINK("http://www.twitter.com/BookiePrize", "BookiePrize")</f>
        <v>BookiePrize</v>
      </c>
      <c r="B4461" s="65"/>
    </row>
    <row r="4462" spans="1:2" x14ac:dyDescent="0.25">
      <c r="A4462" s="64" t="str">
        <f>HYPERLINK("http://www.twitter.com/keithvenny", "keithvenny")</f>
        <v>keithvenny</v>
      </c>
      <c r="B4462" s="65" t="s">
        <v>20</v>
      </c>
    </row>
    <row r="4463" spans="1:2" x14ac:dyDescent="0.25">
      <c r="A4463" s="64" t="str">
        <f>HYPERLINK("http://www.twitter.com/Aerial_09", "Aerial_09")</f>
        <v>Aerial_09</v>
      </c>
      <c r="B4463" s="65" t="s">
        <v>5359</v>
      </c>
    </row>
    <row r="4464" spans="1:2" x14ac:dyDescent="0.25">
      <c r="A4464" s="64" t="str">
        <f>HYPERLINK("http://www.twitter.com/spellboundmedia", "spellboundmedia")</f>
        <v>spellboundmedia</v>
      </c>
      <c r="B4464" s="65" t="s">
        <v>5360</v>
      </c>
    </row>
    <row r="4465" spans="1:2" x14ac:dyDescent="0.25">
      <c r="A4465" s="64" t="str">
        <f>HYPERLINK("http://www.twitter.com/JMoffat76", "JMoffat76")</f>
        <v>JMoffat76</v>
      </c>
      <c r="B4465" s="65" t="s">
        <v>5361</v>
      </c>
    </row>
    <row r="4466" spans="1:2" x14ac:dyDescent="0.25">
      <c r="A4466" s="64" t="str">
        <f>HYPERLINK("http://www.twitter.com/eusmn", "eusmn")</f>
        <v>eusmn</v>
      </c>
      <c r="B4466" s="65" t="s">
        <v>2007</v>
      </c>
    </row>
    <row r="4467" spans="1:2" x14ac:dyDescent="0.25">
      <c r="A4467" s="64" t="str">
        <f>HYPERLINK("http://www.twitter.com/drawthepublic", "drawthepublic")</f>
        <v>drawthepublic</v>
      </c>
      <c r="B4467" s="65" t="s">
        <v>5362</v>
      </c>
    </row>
    <row r="4468" spans="1:2" x14ac:dyDescent="0.25">
      <c r="A4468" s="64" t="str">
        <f>HYPERLINK("http://www.twitter.com/avonea_ME", "avonea_ME")</f>
        <v>avonea_ME</v>
      </c>
      <c r="B4468" s="65"/>
    </row>
    <row r="4469" spans="1:2" x14ac:dyDescent="0.25">
      <c r="A4469" s="64" t="str">
        <f>HYPERLINK("http://www.twitter.com/savemesomesalad", "savemesomesalad")</f>
        <v>savemesomesalad</v>
      </c>
      <c r="B4469" s="65" t="s">
        <v>5363</v>
      </c>
    </row>
    <row r="4470" spans="1:2" x14ac:dyDescent="0.25">
      <c r="A4470" s="64" t="str">
        <f>HYPERLINK("http://www.twitter.com/kyloe_partners", "kyloe_partners")</f>
        <v>kyloe_partners</v>
      </c>
      <c r="B4470" s="65" t="s">
        <v>4149</v>
      </c>
    </row>
    <row r="4471" spans="1:2" x14ac:dyDescent="0.25">
      <c r="A4471" s="64" t="str">
        <f>HYPERLINK("http://www.twitter.com/EseJapan", "EseJapan")</f>
        <v>EseJapan</v>
      </c>
      <c r="B4471" s="65" t="s">
        <v>5364</v>
      </c>
    </row>
    <row r="4472" spans="1:2" x14ac:dyDescent="0.25">
      <c r="A4472" s="64" t="str">
        <f>HYPERLINK("http://www.twitter.com/SMcMenemin", "SMcMenemin")</f>
        <v>SMcMenemin</v>
      </c>
      <c r="B4472" s="65"/>
    </row>
    <row r="4473" spans="1:2" x14ac:dyDescent="0.25">
      <c r="A4473" s="64" t="str">
        <f>HYPERLINK("http://www.twitter.com/aw_mills", "aw_mills")</f>
        <v>aw_mills</v>
      </c>
      <c r="B4473" s="65" t="s">
        <v>5365</v>
      </c>
    </row>
    <row r="4474" spans="1:2" x14ac:dyDescent="0.25">
      <c r="A4474" s="64" t="str">
        <f>HYPERLINK("http://www.twitter.com/34willson", "34willson")</f>
        <v>34willson</v>
      </c>
      <c r="B4474" s="65"/>
    </row>
    <row r="4475" spans="1:2" x14ac:dyDescent="0.25">
      <c r="A4475" s="64" t="str">
        <f>HYPERLINK("http://www.twitter.com/BBC_Allan", "BBC_Allan")</f>
        <v>BBC_Allan</v>
      </c>
      <c r="B4475" s="65" t="s">
        <v>318</v>
      </c>
    </row>
    <row r="4476" spans="1:2" x14ac:dyDescent="0.25">
      <c r="A4476" s="64" t="str">
        <f>HYPERLINK("http://www.twitter.com/bazsynnott", "bazsynnott")</f>
        <v>bazsynnott</v>
      </c>
      <c r="B4476" s="65" t="s">
        <v>5366</v>
      </c>
    </row>
    <row r="4477" spans="1:2" x14ac:dyDescent="0.25">
      <c r="A4477" s="64" t="str">
        <f>HYPERLINK("http://www.twitter.com/Domhnallh", "Domhnallh")</f>
        <v>Domhnallh</v>
      </c>
      <c r="B4477" s="65"/>
    </row>
    <row r="4478" spans="1:2" x14ac:dyDescent="0.25">
      <c r="A4478" s="64" t="str">
        <f>HYPERLINK("http://www.twitter.com/ifitweremydream", "ifitweremydream")</f>
        <v>ifitweremydream</v>
      </c>
      <c r="B4478" s="65" t="s">
        <v>5367</v>
      </c>
    </row>
    <row r="4479" spans="1:2" x14ac:dyDescent="0.25">
      <c r="A4479" s="64" t="str">
        <f>HYPERLINK("http://www.twitter.com/JoanGeorge59", "JoanGeorge59")</f>
        <v>JoanGeorge59</v>
      </c>
      <c r="B4479" s="65" t="s">
        <v>5368</v>
      </c>
    </row>
    <row r="4480" spans="1:2" x14ac:dyDescent="0.25">
      <c r="A4480" s="64" t="str">
        <f>HYPERLINK("http://www.twitter.com/DFPhotography12", "DFPhotography12")</f>
        <v>DFPhotography12</v>
      </c>
      <c r="B4480" s="65" t="s">
        <v>4019</v>
      </c>
    </row>
    <row r="4481" spans="1:2" x14ac:dyDescent="0.25">
      <c r="A4481" s="64" t="str">
        <f>HYPERLINK("http://www.twitter.com/CaycelEvents", "CaycelEvents")</f>
        <v>CaycelEvents</v>
      </c>
      <c r="B4481" s="65" t="s">
        <v>1377</v>
      </c>
    </row>
    <row r="4482" spans="1:2" x14ac:dyDescent="0.25">
      <c r="A4482" s="64" t="str">
        <f>HYPERLINK("http://www.twitter.com/becca_savory", "becca_savory")</f>
        <v>becca_savory</v>
      </c>
      <c r="B4482" s="65" t="s">
        <v>630</v>
      </c>
    </row>
    <row r="4483" spans="1:2" x14ac:dyDescent="0.25">
      <c r="A4483" s="64" t="str">
        <f>HYPERLINK("http://www.twitter.com/JaneWelsh57", "JaneWelsh57")</f>
        <v>JaneWelsh57</v>
      </c>
      <c r="B4483" s="65"/>
    </row>
    <row r="4484" spans="1:2" x14ac:dyDescent="0.25">
      <c r="A4484" s="64" t="str">
        <f>HYPERLINK("http://www.twitter.com/isobel_mrs", "isobel_mrs")</f>
        <v>isobel_mrs</v>
      </c>
      <c r="B4484" s="65"/>
    </row>
    <row r="4485" spans="1:2" x14ac:dyDescent="0.25">
      <c r="A4485" s="64" t="str">
        <f>HYPERLINK("http://www.twitter.com/iiiglasgow", "iiiglasgow")</f>
        <v>iiiglasgow</v>
      </c>
      <c r="B4485" s="65" t="s">
        <v>138</v>
      </c>
    </row>
    <row r="4486" spans="1:2" x14ac:dyDescent="0.25">
      <c r="A4486" s="64" t="str">
        <f>HYPERLINK("http://www.twitter.com/appinheart_", "appinheart_")</f>
        <v>appinheart_</v>
      </c>
      <c r="B4486" s="65"/>
    </row>
    <row r="4487" spans="1:2" x14ac:dyDescent="0.25">
      <c r="A4487" s="64" t="str">
        <f>HYPERLINK("http://www.twitter.com/LittleScoff", "LittleScoff")</f>
        <v>LittleScoff</v>
      </c>
      <c r="B4487" s="65" t="s">
        <v>5369</v>
      </c>
    </row>
    <row r="4488" spans="1:2" x14ac:dyDescent="0.25">
      <c r="A4488" s="64" t="str">
        <f>HYPERLINK("http://www.twitter.com/ScozzariFrank", "ScozzariFrank")</f>
        <v>ScozzariFrank</v>
      </c>
      <c r="B4488" s="65" t="s">
        <v>5370</v>
      </c>
    </row>
    <row r="4489" spans="1:2" x14ac:dyDescent="0.25">
      <c r="A4489" s="64" t="str">
        <f>HYPERLINK("http://www.twitter.com/aromancewriter", "aromancewriter")</f>
        <v>aromancewriter</v>
      </c>
      <c r="B4489" s="65" t="s">
        <v>4780</v>
      </c>
    </row>
    <row r="4490" spans="1:2" x14ac:dyDescent="0.25">
      <c r="A4490" s="64" t="str">
        <f>HYPERLINK("http://www.twitter.com/Kathryn_EB", "Kathryn_EB")</f>
        <v>Kathryn_EB</v>
      </c>
      <c r="B4490" s="65" t="s">
        <v>505</v>
      </c>
    </row>
    <row r="4491" spans="1:2" x14ac:dyDescent="0.25">
      <c r="A4491" s="64" t="str">
        <f>HYPERLINK("http://www.twitter.com/laurainnis", "laurainnis")</f>
        <v>laurainnis</v>
      </c>
      <c r="B4491" s="65" t="s">
        <v>3778</v>
      </c>
    </row>
    <row r="4492" spans="1:2" x14ac:dyDescent="0.25">
      <c r="A4492" s="64" t="str">
        <f>HYPERLINK("http://www.twitter.com/CelticS2HH", "CelticS2HH")</f>
        <v>CelticS2HH</v>
      </c>
      <c r="B4492" s="65" t="s">
        <v>20</v>
      </c>
    </row>
    <row r="4493" spans="1:2" x14ac:dyDescent="0.25">
      <c r="A4493" s="64" t="str">
        <f>HYPERLINK("http://www.twitter.com/AnnieOrkney", "AnnieOrkney")</f>
        <v>AnnieOrkney</v>
      </c>
      <c r="B4493" s="65"/>
    </row>
    <row r="4494" spans="1:2" x14ac:dyDescent="0.25">
      <c r="A4494" s="64" t="str">
        <f>HYPERLINK("http://www.twitter.com/JenGrayburn", "JenGrayburn")</f>
        <v>JenGrayburn</v>
      </c>
      <c r="B4494" s="65" t="s">
        <v>4035</v>
      </c>
    </row>
    <row r="4495" spans="1:2" x14ac:dyDescent="0.25">
      <c r="A4495" s="64" t="str">
        <f>HYPERLINK("http://www.twitter.com/WoodSheryl", "WoodSheryl")</f>
        <v>WoodSheryl</v>
      </c>
      <c r="B4495" s="65" t="s">
        <v>3040</v>
      </c>
    </row>
    <row r="4496" spans="1:2" x14ac:dyDescent="0.25">
      <c r="A4496" s="64" t="str">
        <f>HYPERLINK("http://www.twitter.com/CO_71_Engineer", "CO_71_Engineer")</f>
        <v>CO_71_Engineer</v>
      </c>
      <c r="B4496" s="65" t="s">
        <v>5371</v>
      </c>
    </row>
    <row r="4497" spans="1:2" x14ac:dyDescent="0.25">
      <c r="A4497" s="64" t="str">
        <f>HYPERLINK("http://www.twitter.com/Trace15", "Trace15")</f>
        <v>Trace15</v>
      </c>
      <c r="B4497" s="65" t="s">
        <v>5372</v>
      </c>
    </row>
    <row r="4498" spans="1:2" x14ac:dyDescent="0.25">
      <c r="A4498" s="64" t="str">
        <f>HYPERLINK("http://www.twitter.com/Waterstones_Edi", "Waterstones_Edi")</f>
        <v>Waterstones_Edi</v>
      </c>
      <c r="B4498" s="65" t="s">
        <v>5373</v>
      </c>
    </row>
    <row r="4499" spans="1:2" x14ac:dyDescent="0.25">
      <c r="A4499" s="64" t="str">
        <f>HYPERLINK("http://www.twitter.com/Annette300R", "Annette300R")</f>
        <v>Annette300R</v>
      </c>
      <c r="B4499" s="65" t="s">
        <v>5374</v>
      </c>
    </row>
    <row r="4500" spans="1:2" x14ac:dyDescent="0.25">
      <c r="A4500" s="64" t="str">
        <f>HYPERLINK("http://www.twitter.com/doppioverso", "doppioverso")</f>
        <v>doppioverso</v>
      </c>
      <c r="B4500" s="65" t="s">
        <v>5375</v>
      </c>
    </row>
    <row r="4501" spans="1:2" x14ac:dyDescent="0.25">
      <c r="A4501" s="64" t="str">
        <f>HYPERLINK("http://www.twitter.com/chalmers85", "chalmers85")</f>
        <v>chalmers85</v>
      </c>
      <c r="B4501" s="65"/>
    </row>
    <row r="4502" spans="1:2" x14ac:dyDescent="0.25">
      <c r="A4502" s="64" t="str">
        <f>HYPERLINK("http://www.twitter.com/ClaytonRex66", "ClaytonRex66")</f>
        <v>ClaytonRex66</v>
      </c>
      <c r="B4502" s="65" t="s">
        <v>5376</v>
      </c>
    </row>
    <row r="4503" spans="1:2" x14ac:dyDescent="0.25">
      <c r="A4503" s="64" t="str">
        <f>HYPERLINK("http://www.twitter.com/DMJack2016", "DMJack2016")</f>
        <v>DMJack2016</v>
      </c>
      <c r="B4503" s="65" t="s">
        <v>487</v>
      </c>
    </row>
    <row r="4504" spans="1:2" x14ac:dyDescent="0.25">
      <c r="A4504" s="64" t="str">
        <f>HYPERLINK("http://www.twitter.com/kennymchardy", "kennymchardy")</f>
        <v>kennymchardy</v>
      </c>
      <c r="B4504" s="65" t="s">
        <v>4108</v>
      </c>
    </row>
    <row r="4505" spans="1:2" x14ac:dyDescent="0.25">
      <c r="A4505" s="64" t="str">
        <f>HYPERLINK("http://www.twitter.com/HelenMPerkins", "HelenMPerkins")</f>
        <v>HelenMPerkins</v>
      </c>
      <c r="B4505" s="65" t="s">
        <v>5377</v>
      </c>
    </row>
    <row r="4506" spans="1:2" x14ac:dyDescent="0.25">
      <c r="A4506" s="64" t="str">
        <f>HYPERLINK("http://www.twitter.com/FELICITYCOBB2", "FELICITYCOBB2")</f>
        <v>FELICITYCOBB2</v>
      </c>
      <c r="B4506" s="65" t="s">
        <v>5378</v>
      </c>
    </row>
    <row r="4507" spans="1:2" x14ac:dyDescent="0.25">
      <c r="A4507" s="64" t="str">
        <f>HYPERLINK("http://www.twitter.com/LaughWithUsBlog", "LaughWithUsBlog")</f>
        <v>LaughWithUsBlog</v>
      </c>
      <c r="B4507" s="65"/>
    </row>
    <row r="4508" spans="1:2" x14ac:dyDescent="0.25">
      <c r="A4508" s="64" t="str">
        <f>HYPERLINK("http://www.twitter.com/EleanorSkea", "EleanorSkea")</f>
        <v>EleanorSkea</v>
      </c>
      <c r="B4508" s="65" t="s">
        <v>20</v>
      </c>
    </row>
    <row r="4509" spans="1:2" x14ac:dyDescent="0.25">
      <c r="A4509" s="64" t="str">
        <f>HYPERLINK("http://www.twitter.com/followalibrary", "followalibrary")</f>
        <v>followalibrary</v>
      </c>
      <c r="B4509" s="65" t="s">
        <v>5379</v>
      </c>
    </row>
    <row r="4510" spans="1:2" x14ac:dyDescent="0.25">
      <c r="A4510" s="64" t="str">
        <f>HYPERLINK("http://www.twitter.com/apwecho", "apwecho")</f>
        <v>apwecho</v>
      </c>
      <c r="B4510" s="65"/>
    </row>
    <row r="4511" spans="1:2" x14ac:dyDescent="0.25">
      <c r="A4511" s="64" t="str">
        <f>HYPERLINK("http://www.twitter.com/ANDREWLOCKE19", "ANDREWLOCKE19")</f>
        <v>ANDREWLOCKE19</v>
      </c>
      <c r="B4511" s="65"/>
    </row>
    <row r="4512" spans="1:2" x14ac:dyDescent="0.25">
      <c r="A4512" s="64" t="str">
        <f>HYPERLINK("http://www.twitter.com/wingate0016", "wingate0016")</f>
        <v>wingate0016</v>
      </c>
      <c r="B4512" s="65" t="s">
        <v>3797</v>
      </c>
    </row>
    <row r="4513" spans="1:2" x14ac:dyDescent="0.25">
      <c r="A4513" s="64" t="str">
        <f>HYPERLINK("http://www.twitter.com/Sandiscone", "Sandiscone")</f>
        <v>Sandiscone</v>
      </c>
      <c r="B4513" s="65" t="s">
        <v>5380</v>
      </c>
    </row>
    <row r="4514" spans="1:2" x14ac:dyDescent="0.25">
      <c r="A4514" s="64" t="str">
        <f>HYPERLINK("http://www.twitter.com/IanMoir5", "IanMoir5")</f>
        <v>IanMoir5</v>
      </c>
      <c r="B4514" s="65" t="s">
        <v>138</v>
      </c>
    </row>
    <row r="4515" spans="1:2" x14ac:dyDescent="0.25">
      <c r="A4515" s="64" t="str">
        <f>HYPERLINK("http://www.twitter.com/skylarclouds", "skylarclouds")</f>
        <v>skylarclouds</v>
      </c>
      <c r="B4515" s="65"/>
    </row>
    <row r="4516" spans="1:2" x14ac:dyDescent="0.25">
      <c r="A4516" s="64" t="str">
        <f>HYPERLINK("http://www.twitter.com/shearer1979", "shearer1979")</f>
        <v>shearer1979</v>
      </c>
      <c r="B4516" s="65" t="s">
        <v>5381</v>
      </c>
    </row>
    <row r="4517" spans="1:2" x14ac:dyDescent="0.25">
      <c r="A4517" s="64" t="str">
        <f>HYPERLINK("http://www.twitter.com/ChuckDalldorf", "ChuckDalldorf")</f>
        <v>ChuckDalldorf</v>
      </c>
      <c r="B4517" s="65"/>
    </row>
    <row r="4518" spans="1:2" x14ac:dyDescent="0.25">
      <c r="A4518" s="64" t="str">
        <f>HYPERLINK("http://www.twitter.com/MYScotland_book", "MYScotland_book")</f>
        <v>MYScotland_book</v>
      </c>
      <c r="B4518" s="65" t="s">
        <v>2007</v>
      </c>
    </row>
    <row r="4519" spans="1:2" x14ac:dyDescent="0.25">
      <c r="A4519" s="64" t="str">
        <f>HYPERLINK("http://www.twitter.com/ewenrorie", "ewenrorie")</f>
        <v>ewenrorie</v>
      </c>
      <c r="B4519" s="65"/>
    </row>
    <row r="4520" spans="1:2" x14ac:dyDescent="0.25">
      <c r="A4520" s="64" t="str">
        <f>HYPERLINK("http://www.twitter.com/CyberMiette", "CyberMiette")</f>
        <v>CyberMiette</v>
      </c>
      <c r="B4520" s="65" t="s">
        <v>5382</v>
      </c>
    </row>
    <row r="4521" spans="1:2" x14ac:dyDescent="0.25">
      <c r="A4521" s="64" t="str">
        <f>HYPERLINK("http://www.twitter.com/alangunn884", "alangunn884")</f>
        <v>alangunn884</v>
      </c>
      <c r="B4521" s="65"/>
    </row>
    <row r="4522" spans="1:2" x14ac:dyDescent="0.25">
      <c r="A4522" s="64" t="str">
        <f>HYPERLINK("http://www.twitter.com/ScottatCRUSA", "ScottatCRUSA")</f>
        <v>ScottatCRUSA</v>
      </c>
      <c r="B4522" s="65" t="s">
        <v>5383</v>
      </c>
    </row>
    <row r="4523" spans="1:2" x14ac:dyDescent="0.25">
      <c r="A4523" s="64" t="str">
        <f>HYPERLINK("http://www.twitter.com/rachelgillon", "rachelgillon")</f>
        <v>rachelgillon</v>
      </c>
      <c r="B4523" s="65" t="s">
        <v>5384</v>
      </c>
    </row>
    <row r="4524" spans="1:2" x14ac:dyDescent="0.25">
      <c r="A4524" s="64" t="str">
        <f>HYPERLINK("http://www.twitter.com/PCJW1", "PCJW1")</f>
        <v>PCJW1</v>
      </c>
      <c r="B4524" s="65" t="s">
        <v>5385</v>
      </c>
    </row>
    <row r="4525" spans="1:2" x14ac:dyDescent="0.25">
      <c r="A4525" s="64" t="str">
        <f>HYPERLINK("http://www.twitter.com/_CurlyMe_", "_CurlyMe_")</f>
        <v>_CurlyMe_</v>
      </c>
      <c r="B4525" s="65" t="s">
        <v>4678</v>
      </c>
    </row>
    <row r="4526" spans="1:2" x14ac:dyDescent="0.25">
      <c r="A4526" s="64" t="str">
        <f>HYPERLINK("http://www.twitter.com/enchantersweb", "enchantersweb")</f>
        <v>enchantersweb</v>
      </c>
      <c r="B4526" s="65" t="s">
        <v>5386</v>
      </c>
    </row>
    <row r="4527" spans="1:2" x14ac:dyDescent="0.25">
      <c r="A4527" s="64" t="str">
        <f>HYPERLINK("http://www.twitter.com/GinRoomScotland", "GinRoomScotland")</f>
        <v>GinRoomScotland</v>
      </c>
      <c r="B4527" s="65" t="s">
        <v>569</v>
      </c>
    </row>
    <row r="4528" spans="1:2" x14ac:dyDescent="0.25">
      <c r="A4528" s="64" t="str">
        <f>HYPERLINK("http://www.twitter.com/CrowvusLit", "CrowvusLit")</f>
        <v>CrowvusLit</v>
      </c>
      <c r="B4528" s="65" t="s">
        <v>2007</v>
      </c>
    </row>
    <row r="4529" spans="1:2" x14ac:dyDescent="0.25">
      <c r="A4529" s="64" t="str">
        <f>HYPERLINK("http://www.twitter.com/DementedBonxie", "DementedBonxie")</f>
        <v>DementedBonxie</v>
      </c>
      <c r="B4529" s="65" t="s">
        <v>3821</v>
      </c>
    </row>
    <row r="4530" spans="1:2" x14ac:dyDescent="0.25">
      <c r="A4530" s="64" t="str">
        <f>HYPERLINK("http://www.twitter.com/janemacrae10", "janemacrae10")</f>
        <v>janemacrae10</v>
      </c>
      <c r="B4530" s="65"/>
    </row>
    <row r="4531" spans="1:2" x14ac:dyDescent="0.25">
      <c r="A4531" s="64" t="str">
        <f>HYPERLINK("http://www.twitter.com/graskeggur", "graskeggur")</f>
        <v>graskeggur</v>
      </c>
      <c r="B4531" s="65" t="s">
        <v>4862</v>
      </c>
    </row>
    <row r="4532" spans="1:2" x14ac:dyDescent="0.25">
      <c r="A4532" s="64" t="str">
        <f>HYPERLINK("http://www.twitter.com/_andax", "_andax")</f>
        <v>_andax</v>
      </c>
      <c r="B4532" s="65" t="s">
        <v>5387</v>
      </c>
    </row>
    <row r="4533" spans="1:2" x14ac:dyDescent="0.25">
      <c r="A4533" s="64" t="str">
        <f>HYPERLINK("http://www.twitter.com/StorasUibhist", "StorasUibhist")</f>
        <v>StorasUibhist</v>
      </c>
      <c r="B4533" s="65" t="s">
        <v>5388</v>
      </c>
    </row>
    <row r="4534" spans="1:2" x14ac:dyDescent="0.25">
      <c r="A4534" s="64" t="str">
        <f>HYPERLINK("http://www.twitter.com/dingwall_jenny", "dingwall_jenny")</f>
        <v>dingwall_jenny</v>
      </c>
      <c r="B4534" s="65" t="s">
        <v>5389</v>
      </c>
    </row>
    <row r="4535" spans="1:2" x14ac:dyDescent="0.25">
      <c r="A4535" s="64" t="str">
        <f>HYPERLINK("http://www.twitter.com/beastgp", "beastgp")</f>
        <v>beastgp</v>
      </c>
      <c r="B4535" s="65" t="s">
        <v>5390</v>
      </c>
    </row>
    <row r="4536" spans="1:2" x14ac:dyDescent="0.25">
      <c r="A4536" s="64" t="str">
        <f>HYPERLINK("http://www.twitter.com/CochraneUK", "CochraneUK")</f>
        <v>CochraneUK</v>
      </c>
      <c r="B4536" s="65" t="s">
        <v>5391</v>
      </c>
    </row>
    <row r="4537" spans="1:2" x14ac:dyDescent="0.25">
      <c r="A4537" s="64" t="str">
        <f>HYPERLINK("http://www.twitter.com/mitchellartwor2", "mitchellartwor2")</f>
        <v>mitchellartwor2</v>
      </c>
      <c r="B4537" s="65"/>
    </row>
    <row r="4538" spans="1:2" x14ac:dyDescent="0.25">
      <c r="A4538" s="64" t="str">
        <f>HYPERLINK("http://www.twitter.com/keegan_j_m", "keegan_j_m")</f>
        <v>keegan_j_m</v>
      </c>
      <c r="B4538" s="65" t="s">
        <v>115</v>
      </c>
    </row>
    <row r="4539" spans="1:2" x14ac:dyDescent="0.25">
      <c r="A4539" s="64" t="str">
        <f>HYPERLINK("http://www.twitter.com/Jentay61", "Jentay61")</f>
        <v>Jentay61</v>
      </c>
      <c r="B4539" s="65" t="s">
        <v>158</v>
      </c>
    </row>
    <row r="4540" spans="1:2" x14ac:dyDescent="0.25">
      <c r="A4540" s="64" t="str">
        <f>HYPERLINK("http://www.twitter.com/PeterDLZXIXI", "PeterDLZXIXI")</f>
        <v>PeterDLZXIXI</v>
      </c>
      <c r="B4540" s="65" t="s">
        <v>4666</v>
      </c>
    </row>
    <row r="4541" spans="1:2" x14ac:dyDescent="0.25">
      <c r="A4541" s="64" t="str">
        <f>HYPERLINK("http://www.twitter.com/xosunshinesoul", "xosunshinesoul")</f>
        <v>xosunshinesoul</v>
      </c>
      <c r="B4541" s="65" t="s">
        <v>4132</v>
      </c>
    </row>
    <row r="4542" spans="1:2" x14ac:dyDescent="0.25">
      <c r="A4542" s="64" t="str">
        <f>HYPERLINK("http://www.twitter.com/smcv1", "smcv1")</f>
        <v>smcv1</v>
      </c>
      <c r="B4542" s="65" t="s">
        <v>318</v>
      </c>
    </row>
    <row r="4543" spans="1:2" x14ac:dyDescent="0.25">
      <c r="A4543" s="64" t="str">
        <f>HYPERLINK("http://www.twitter.com/SueJohnGWL", "SueJohnGWL")</f>
        <v>SueJohnGWL</v>
      </c>
      <c r="B4543" s="65" t="s">
        <v>318</v>
      </c>
    </row>
    <row r="4544" spans="1:2" x14ac:dyDescent="0.25">
      <c r="A4544" s="64" t="str">
        <f>HYPERLINK("http://www.twitter.com/GolfgiftsScot", "GolfgiftsScot")</f>
        <v>GolfgiftsScot</v>
      </c>
      <c r="B4544" s="65" t="s">
        <v>4940</v>
      </c>
    </row>
    <row r="4545" spans="1:2" x14ac:dyDescent="0.25">
      <c r="A4545" s="64" t="str">
        <f>HYPERLINK("http://www.twitter.com/twistyfoldy", "twistyfoldy")</f>
        <v>twistyfoldy</v>
      </c>
      <c r="B4545" s="65" t="s">
        <v>5392</v>
      </c>
    </row>
    <row r="4546" spans="1:2" x14ac:dyDescent="0.25">
      <c r="A4546" s="64" t="str">
        <f>HYPERLINK("http://www.twitter.com/HolidayInnYork1", "HolidayInnYork1")</f>
        <v>HolidayInnYork1</v>
      </c>
      <c r="B4546" s="65" t="s">
        <v>1537</v>
      </c>
    </row>
    <row r="4547" spans="1:2" x14ac:dyDescent="0.25">
      <c r="A4547" s="64" t="str">
        <f>HYPERLINK("http://www.twitter.com/topmunro282", "topmunro282")</f>
        <v>topmunro282</v>
      </c>
      <c r="B4547" s="65"/>
    </row>
    <row r="4548" spans="1:2" x14ac:dyDescent="0.25">
      <c r="A4548" s="64" t="str">
        <f>HYPERLINK("http://www.twitter.com/miamcallister14", "miamcallister14")</f>
        <v>miamcallister14</v>
      </c>
      <c r="B4548" s="65"/>
    </row>
    <row r="4549" spans="1:2" x14ac:dyDescent="0.25">
      <c r="A4549" s="64" t="str">
        <f>HYPERLINK("http://www.twitter.com/Jennife20323108", "Jennife20323108")</f>
        <v>Jennife20323108</v>
      </c>
      <c r="B4549" s="65" t="s">
        <v>5393</v>
      </c>
    </row>
    <row r="4550" spans="1:2" x14ac:dyDescent="0.25">
      <c r="A4550" s="64" t="str">
        <f>HYPERLINK("http://www.twitter.com/sarahrward1", "sarahrward1")</f>
        <v>sarahrward1</v>
      </c>
      <c r="B4550" s="65" t="s">
        <v>5394</v>
      </c>
    </row>
    <row r="4551" spans="1:2" x14ac:dyDescent="0.25">
      <c r="A4551" s="64" t="str">
        <f>HYPERLINK("http://www.twitter.com/Rhb1121", "Rhb1121")</f>
        <v>Rhb1121</v>
      </c>
      <c r="B4551" s="65"/>
    </row>
    <row r="4552" spans="1:2" x14ac:dyDescent="0.25">
      <c r="A4552" s="64" t="str">
        <f>HYPERLINK("http://www.twitter.com/grace_bownx", "grace_bownx")</f>
        <v>grace_bownx</v>
      </c>
      <c r="B4552" s="65"/>
    </row>
    <row r="4553" spans="1:2" x14ac:dyDescent="0.25">
      <c r="A4553" s="64" t="str">
        <f>HYPERLINK("http://www.twitter.com/JoshThomasCN", "JoshThomasCN")</f>
        <v>JoshThomasCN</v>
      </c>
      <c r="B4553" s="65" t="s">
        <v>508</v>
      </c>
    </row>
    <row r="4554" spans="1:2" x14ac:dyDescent="0.25">
      <c r="A4554" s="64" t="str">
        <f>HYPERLINK("http://www.twitter.com/JOjojosiejay", "JOjojosiejay")</f>
        <v>JOjojosiejay</v>
      </c>
      <c r="B4554" s="65" t="s">
        <v>5395</v>
      </c>
    </row>
    <row r="4555" spans="1:2" x14ac:dyDescent="0.25">
      <c r="A4555" s="64" t="str">
        <f>HYPERLINK("http://www.twitter.com/Pottedhistory", "Pottedhistory")</f>
        <v>Pottedhistory</v>
      </c>
      <c r="B4555" s="65" t="s">
        <v>5396</v>
      </c>
    </row>
    <row r="4556" spans="1:2" x14ac:dyDescent="0.25">
      <c r="A4556" s="64" t="str">
        <f>HYPERLINK("http://www.twitter.com/HomeEnergyScoHI", "HomeEnergyScoHI")</f>
        <v>HomeEnergyScoHI</v>
      </c>
      <c r="B4556" s="65" t="s">
        <v>5397</v>
      </c>
    </row>
    <row r="4557" spans="1:2" x14ac:dyDescent="0.25">
      <c r="A4557" s="64" t="str">
        <f>HYPERLINK("http://www.twitter.com/chris_wenham", "chris_wenham")</f>
        <v>chris_wenham</v>
      </c>
      <c r="B4557" s="65"/>
    </row>
    <row r="4558" spans="1:2" x14ac:dyDescent="0.25">
      <c r="A4558" s="64" t="str">
        <f>HYPERLINK("http://www.twitter.com/mcgrathmj", "mcgrathmj")</f>
        <v>mcgrathmj</v>
      </c>
      <c r="B4558" s="65" t="s">
        <v>36</v>
      </c>
    </row>
    <row r="4559" spans="1:2" x14ac:dyDescent="0.25">
      <c r="A4559" s="64" t="str">
        <f>HYPERLINK("http://www.twitter.com/Hildred_Rex", "Hildred_Rex")</f>
        <v>Hildred_Rex</v>
      </c>
      <c r="B4559" s="65" t="s">
        <v>5110</v>
      </c>
    </row>
    <row r="4560" spans="1:2" x14ac:dyDescent="0.25">
      <c r="A4560" s="64" t="str">
        <f>HYPERLINK("http://www.twitter.com/PhilpJP", "PhilpJP")</f>
        <v>PhilpJP</v>
      </c>
      <c r="B4560" s="65" t="s">
        <v>5398</v>
      </c>
    </row>
    <row r="4561" spans="1:2" x14ac:dyDescent="0.25">
      <c r="A4561" s="64" t="str">
        <f>HYPERLINK("http://www.twitter.com/DotR2", "DotR2")</f>
        <v>DotR2</v>
      </c>
      <c r="B4561" s="65" t="s">
        <v>4108</v>
      </c>
    </row>
    <row r="4562" spans="1:2" x14ac:dyDescent="0.25">
      <c r="A4562" s="64" t="str">
        <f>HYPERLINK("http://www.twitter.com/advertsscot", "advertsscot")</f>
        <v>advertsscot</v>
      </c>
      <c r="B4562" s="65" t="s">
        <v>2007</v>
      </c>
    </row>
    <row r="4563" spans="1:2" x14ac:dyDescent="0.25">
      <c r="A4563" s="64" t="str">
        <f>HYPERLINK("http://www.twitter.com/hearinglossSCO", "hearinglossSCO")</f>
        <v>hearinglossSCO</v>
      </c>
      <c r="B4563" s="65" t="s">
        <v>517</v>
      </c>
    </row>
    <row r="4564" spans="1:2" x14ac:dyDescent="0.25">
      <c r="A4564" s="64" t="str">
        <f>HYPERLINK("http://www.twitter.com/blaurock", "blaurock")</f>
        <v>blaurock</v>
      </c>
      <c r="B4564" s="65" t="s">
        <v>477</v>
      </c>
    </row>
    <row r="4565" spans="1:2" x14ac:dyDescent="0.25">
      <c r="A4565" s="64" t="str">
        <f>HYPERLINK("http://www.twitter.com/davidjmoody", "davidjmoody")</f>
        <v>davidjmoody</v>
      </c>
      <c r="B4565" s="65" t="s">
        <v>296</v>
      </c>
    </row>
    <row r="4566" spans="1:2" x14ac:dyDescent="0.25">
      <c r="A4566" s="64" t="str">
        <f>HYPERLINK("http://www.twitter.com/RedDogGaz", "RedDogGaz")</f>
        <v>RedDogGaz</v>
      </c>
      <c r="B4566" s="65" t="s">
        <v>5399</v>
      </c>
    </row>
    <row r="4567" spans="1:2" x14ac:dyDescent="0.25">
      <c r="A4567" s="64" t="str">
        <f>HYPERLINK("http://www.twitter.com/matthaig1", "matthaig1")</f>
        <v>matthaig1</v>
      </c>
      <c r="B4567" s="65" t="s">
        <v>5400</v>
      </c>
    </row>
    <row r="4568" spans="1:2" x14ac:dyDescent="0.25">
      <c r="A4568" s="64" t="str">
        <f>HYPERLINK("http://www.twitter.com/morvmac", "morvmac")</f>
        <v>morvmac</v>
      </c>
      <c r="B4568" s="65" t="s">
        <v>808</v>
      </c>
    </row>
    <row r="4569" spans="1:2" x14ac:dyDescent="0.25">
      <c r="A4569" s="64" t="str">
        <f>HYPERLINK("http://www.twitter.com/mcmrhona", "mcmrhona")</f>
        <v>mcmrhona</v>
      </c>
      <c r="B4569" s="65" t="s">
        <v>5401</v>
      </c>
    </row>
    <row r="4570" spans="1:2" x14ac:dyDescent="0.25">
      <c r="A4570" s="64" t="str">
        <f>HYPERLINK("http://www.twitter.com/lightblog", "lightblog")</f>
        <v>lightblog</v>
      </c>
      <c r="B4570" s="65" t="s">
        <v>24</v>
      </c>
    </row>
    <row r="4571" spans="1:2" x14ac:dyDescent="0.25">
      <c r="A4571" s="64" t="str">
        <f>HYPERLINK("http://www.twitter.com/Juniper_Daze", "Juniper_Daze")</f>
        <v>Juniper_Daze</v>
      </c>
      <c r="B4571" s="65" t="s">
        <v>2007</v>
      </c>
    </row>
    <row r="4572" spans="1:2" x14ac:dyDescent="0.25">
      <c r="A4572" s="64" t="str">
        <f>HYPERLINK("http://www.twitter.com/briangoldie48", "briangoldie48")</f>
        <v>briangoldie48</v>
      </c>
      <c r="B4572" s="65" t="s">
        <v>4366</v>
      </c>
    </row>
    <row r="4573" spans="1:2" x14ac:dyDescent="0.25">
      <c r="A4573" s="64" t="str">
        <f>HYPERLINK("http://www.twitter.com/fionaofee", "fionaofee")</f>
        <v>fionaofee</v>
      </c>
      <c r="B4573" s="65" t="s">
        <v>5402</v>
      </c>
    </row>
    <row r="4574" spans="1:2" x14ac:dyDescent="0.25">
      <c r="A4574" s="64" t="str">
        <f>HYPERLINK("http://www.twitter.com/SNPStudents", "SNPStudents")</f>
        <v>SNPStudents</v>
      </c>
      <c r="B4574" s="65" t="s">
        <v>517</v>
      </c>
    </row>
    <row r="4575" spans="1:2" x14ac:dyDescent="0.25">
      <c r="A4575" s="64" t="str">
        <f>HYPERLINK("http://www.twitter.com/DrSPNeill", "DrSPNeill")</f>
        <v>DrSPNeill</v>
      </c>
      <c r="B4575" s="65" t="s">
        <v>5403</v>
      </c>
    </row>
    <row r="4576" spans="1:2" x14ac:dyDescent="0.25">
      <c r="A4576" s="64" t="str">
        <f>HYPERLINK("http://www.twitter.com/1jh1", "1jh1")</f>
        <v>1jh1</v>
      </c>
      <c r="B4576" s="65" t="s">
        <v>3682</v>
      </c>
    </row>
    <row r="4577" spans="1:2" x14ac:dyDescent="0.25">
      <c r="A4577" s="64" t="str">
        <f>HYPERLINK("http://www.twitter.com/cloudy12577", "cloudy12577")</f>
        <v>cloudy12577</v>
      </c>
      <c r="B4577" s="65" t="s">
        <v>5404</v>
      </c>
    </row>
    <row r="4578" spans="1:2" x14ac:dyDescent="0.25">
      <c r="A4578" s="64" t="str">
        <f>HYPERLINK("http://www.twitter.com/DoHoBOB", "DoHoBOB")</f>
        <v>DoHoBOB</v>
      </c>
      <c r="B4578" s="65" t="s">
        <v>5405</v>
      </c>
    </row>
    <row r="4579" spans="1:2" x14ac:dyDescent="0.25">
      <c r="A4579" s="64" t="str">
        <f>HYPERLINK("http://www.twitter.com/bollytoybee", "bollytoybee")</f>
        <v>bollytoybee</v>
      </c>
      <c r="B4579" s="65" t="s">
        <v>5406</v>
      </c>
    </row>
    <row r="4580" spans="1:2" x14ac:dyDescent="0.25">
      <c r="A4580" s="64" t="str">
        <f>HYPERLINK("http://www.twitter.com/silvia_venice", "silvia_venice")</f>
        <v>silvia_venice</v>
      </c>
      <c r="B4580" s="65"/>
    </row>
    <row r="4581" spans="1:2" x14ac:dyDescent="0.25">
      <c r="A4581" s="64" t="str">
        <f>HYPERLINK("http://www.twitter.com/UHIHistory", "UHIHistory")</f>
        <v>UHIHistory</v>
      </c>
      <c r="B4581" s="65"/>
    </row>
    <row r="4582" spans="1:2" x14ac:dyDescent="0.25">
      <c r="A4582" s="64" t="str">
        <f>HYPERLINK("http://www.twitter.com/Orkneyman88", "Orkneyman88")</f>
        <v>Orkneyman88</v>
      </c>
      <c r="B4582" s="65"/>
    </row>
    <row r="4583" spans="1:2" x14ac:dyDescent="0.25">
      <c r="A4583" s="64" t="str">
        <f>HYPERLINK("http://www.twitter.com/Shanelle_More_", "Shanelle_More_")</f>
        <v>Shanelle_More_</v>
      </c>
      <c r="B4583" s="65" t="s">
        <v>3762</v>
      </c>
    </row>
    <row r="4584" spans="1:2" x14ac:dyDescent="0.25">
      <c r="A4584" s="64" t="str">
        <f>HYPERLINK("http://www.twitter.com/Alanehitch", "Alanehitch")</f>
        <v>Alanehitch</v>
      </c>
      <c r="B4584" s="65" t="s">
        <v>5407</v>
      </c>
    </row>
    <row r="4585" spans="1:2" x14ac:dyDescent="0.25">
      <c r="A4585" s="64" t="str">
        <f>HYPERLINK("http://www.twitter.com/dave_windsor", "dave_windsor")</f>
        <v>dave_windsor</v>
      </c>
      <c r="B4585" s="65"/>
    </row>
    <row r="4586" spans="1:2" x14ac:dyDescent="0.25">
      <c r="A4586" s="64" t="str">
        <f>HYPERLINK("http://www.twitter.com/CoachingDB", "CoachingDB")</f>
        <v>CoachingDB</v>
      </c>
      <c r="B4586" s="65" t="s">
        <v>5408</v>
      </c>
    </row>
    <row r="4587" spans="1:2" x14ac:dyDescent="0.25">
      <c r="A4587" s="64" t="str">
        <f>HYPERLINK("http://www.twitter.com/Hopalong15", "Hopalong15")</f>
        <v>Hopalong15</v>
      </c>
      <c r="B4587" s="65" t="s">
        <v>5409</v>
      </c>
    </row>
    <row r="4588" spans="1:2" x14ac:dyDescent="0.25">
      <c r="A4588" s="64" t="str">
        <f>HYPERLINK("http://www.twitter.com/TheCelticHouse", "TheCelticHouse")</f>
        <v>TheCelticHouse</v>
      </c>
      <c r="B4588" s="65" t="s">
        <v>5410</v>
      </c>
    </row>
    <row r="4589" spans="1:2" x14ac:dyDescent="0.25">
      <c r="A4589" s="64" t="str">
        <f>HYPERLINK("http://www.twitter.com/chaz_fraz", "chaz_fraz")</f>
        <v>chaz_fraz</v>
      </c>
      <c r="B4589" s="65" t="s">
        <v>5411</v>
      </c>
    </row>
    <row r="4590" spans="1:2" x14ac:dyDescent="0.25">
      <c r="A4590" s="64" t="str">
        <f>HYPERLINK("http://www.twitter.com/weehug", "weehug")</f>
        <v>weehug</v>
      </c>
      <c r="B4590" s="65" t="s">
        <v>517</v>
      </c>
    </row>
    <row r="4591" spans="1:2" x14ac:dyDescent="0.25">
      <c r="A4591" s="64" t="str">
        <f>HYPERLINK("http://www.twitter.com/KevoShearer", "KevoShearer")</f>
        <v>KevoShearer</v>
      </c>
      <c r="B4591" s="65" t="s">
        <v>5412</v>
      </c>
    </row>
    <row r="4592" spans="1:2" x14ac:dyDescent="0.25">
      <c r="A4592" s="64" t="str">
        <f>HYPERLINK("http://www.twitter.com/GovisitScotland", "GovisitScotland")</f>
        <v>GovisitScotland</v>
      </c>
      <c r="B4592" s="65" t="s">
        <v>4019</v>
      </c>
    </row>
    <row r="4593" spans="1:2" x14ac:dyDescent="0.25">
      <c r="A4593" s="64" t="str">
        <f>HYPERLINK("http://www.twitter.com/Stirphil", "Stirphil")</f>
        <v>Stirphil</v>
      </c>
      <c r="B4593" s="65" t="s">
        <v>4092</v>
      </c>
    </row>
    <row r="4594" spans="1:2" x14ac:dyDescent="0.25">
      <c r="A4594" s="64" t="str">
        <f>HYPERLINK("http://www.twitter.com/theprehistorian", "theprehistorian")</f>
        <v>theprehistorian</v>
      </c>
      <c r="B4594" s="65" t="s">
        <v>5413</v>
      </c>
    </row>
    <row r="4595" spans="1:2" x14ac:dyDescent="0.25">
      <c r="A4595" s="64" t="str">
        <f>HYPERLINK("http://www.twitter.com/coistyloyal", "coistyloyal")</f>
        <v>coistyloyal</v>
      </c>
      <c r="B4595" s="65" t="s">
        <v>2007</v>
      </c>
    </row>
    <row r="4596" spans="1:2" x14ac:dyDescent="0.25">
      <c r="A4596" s="64" t="str">
        <f>HYPERLINK("http://www.twitter.com/eanncnsrp", "eanncnsrp")</f>
        <v>eanncnsrp</v>
      </c>
      <c r="B4596" s="65" t="s">
        <v>4959</v>
      </c>
    </row>
    <row r="4597" spans="1:2" x14ac:dyDescent="0.25">
      <c r="A4597" s="64" t="str">
        <f>HYPERLINK("http://www.twitter.com/davidkerr_", "davidkerr_")</f>
        <v>davidkerr_</v>
      </c>
      <c r="B4597" s="65" t="s">
        <v>5414</v>
      </c>
    </row>
    <row r="4598" spans="1:2" x14ac:dyDescent="0.25">
      <c r="A4598" s="64" t="str">
        <f>HYPERLINK("http://www.twitter.com/WeeKeith", "WeeKeith")</f>
        <v>WeeKeith</v>
      </c>
      <c r="B4598" s="65" t="s">
        <v>24</v>
      </c>
    </row>
    <row r="4599" spans="1:2" x14ac:dyDescent="0.25">
      <c r="A4599" s="64" t="str">
        <f>HYPERLINK("http://www.twitter.com/SarahSRK", "SarahSRK")</f>
        <v>SarahSRK</v>
      </c>
      <c r="B4599" s="65"/>
    </row>
    <row r="4600" spans="1:2" x14ac:dyDescent="0.25">
      <c r="A4600" s="64" t="str">
        <f>HYPERLINK("http://www.twitter.com/tompalmerauthor", "tompalmerauthor")</f>
        <v>tompalmerauthor</v>
      </c>
      <c r="B4600" s="65" t="s">
        <v>4501</v>
      </c>
    </row>
    <row r="4601" spans="1:2" x14ac:dyDescent="0.25">
      <c r="A4601" s="64" t="str">
        <f>HYPERLINK("http://www.twitter.com/f_thomson", "f_thomson")</f>
        <v>f_thomson</v>
      </c>
      <c r="B4601" s="65" t="s">
        <v>5415</v>
      </c>
    </row>
    <row r="4602" spans="1:2" x14ac:dyDescent="0.25">
      <c r="A4602" s="64" t="str">
        <f>HYPERLINK("http://www.twitter.com/RobinEdgar", "RobinEdgar")</f>
        <v>RobinEdgar</v>
      </c>
      <c r="B4602" s="65" t="s">
        <v>5416</v>
      </c>
    </row>
    <row r="4603" spans="1:2" x14ac:dyDescent="0.25">
      <c r="A4603" s="64" t="str">
        <f>HYPERLINK("http://www.twitter.com/Orkneywren", "Orkneywren")</f>
        <v>Orkneywren</v>
      </c>
      <c r="B4603" s="65" t="s">
        <v>20</v>
      </c>
    </row>
    <row r="4604" spans="1:2" x14ac:dyDescent="0.25">
      <c r="A4604" s="64" t="str">
        <f>HYPERLINK("http://www.twitter.com/4kirkbean", "4kirkbean")</f>
        <v>4kirkbean</v>
      </c>
      <c r="B4604" s="65" t="s">
        <v>517</v>
      </c>
    </row>
    <row r="4605" spans="1:2" x14ac:dyDescent="0.25">
      <c r="A4605" s="64" t="str">
        <f>HYPERLINK("http://www.twitter.com/Kyle_Books", "Kyle_Books")</f>
        <v>Kyle_Books</v>
      </c>
      <c r="B4605" s="65" t="s">
        <v>110</v>
      </c>
    </row>
    <row r="4606" spans="1:2" x14ac:dyDescent="0.25">
      <c r="A4606" s="64" t="str">
        <f>HYPERLINK("http://www.twitter.com/viddlesticks", "viddlesticks")</f>
        <v>viddlesticks</v>
      </c>
      <c r="B4606" s="65"/>
    </row>
    <row r="4607" spans="1:2" x14ac:dyDescent="0.25">
      <c r="A4607" s="64" t="str">
        <f>HYPERLINK("http://www.twitter.com/xscl", "xscl")</f>
        <v>xscl</v>
      </c>
      <c r="B4607" s="65" t="s">
        <v>2007</v>
      </c>
    </row>
    <row r="4608" spans="1:2" x14ac:dyDescent="0.25">
      <c r="A4608" s="64" t="str">
        <f>HYPERLINK("http://www.twitter.com/daveylittle", "daveylittle")</f>
        <v>daveylittle</v>
      </c>
      <c r="B4608" s="65" t="s">
        <v>5417</v>
      </c>
    </row>
    <row r="4609" spans="1:2" x14ac:dyDescent="0.25">
      <c r="A4609" s="64" t="str">
        <f>HYPERLINK("http://www.twitter.com/DanielSwerdlow", "DanielSwerdlow")</f>
        <v>DanielSwerdlow</v>
      </c>
      <c r="B4609" s="65" t="s">
        <v>110</v>
      </c>
    </row>
    <row r="4610" spans="1:2" x14ac:dyDescent="0.25">
      <c r="A4610" s="64" t="str">
        <f>HYPERLINK("http://www.twitter.com/Stuthefarmer", "Stuthefarmer")</f>
        <v>Stuthefarmer</v>
      </c>
      <c r="B4610" s="65" t="s">
        <v>5418</v>
      </c>
    </row>
    <row r="4611" spans="1:2" x14ac:dyDescent="0.25">
      <c r="A4611" s="64" t="str">
        <f>HYPERLINK("http://www.twitter.com/SweedeSpeed", "SweedeSpeed")</f>
        <v>SweedeSpeed</v>
      </c>
      <c r="B4611" s="65" t="s">
        <v>5419</v>
      </c>
    </row>
    <row r="4612" spans="1:2" x14ac:dyDescent="0.25">
      <c r="A4612" s="64" t="str">
        <f>HYPERLINK("http://www.twitter.com/LadyStellaWords", "LadyStellaWords")</f>
        <v>LadyStellaWords</v>
      </c>
      <c r="B4612" s="65" t="s">
        <v>36</v>
      </c>
    </row>
    <row r="4613" spans="1:2" x14ac:dyDescent="0.25">
      <c r="A4613" s="64" t="str">
        <f>HYPERLINK("http://www.twitter.com/egbeveridge", "egbeveridge")</f>
        <v>egbeveridge</v>
      </c>
      <c r="B4613" s="65" t="s">
        <v>5420</v>
      </c>
    </row>
    <row r="4614" spans="1:2" x14ac:dyDescent="0.25">
      <c r="A4614" s="64" t="str">
        <f>HYPERLINK("http://www.twitter.com/colingroves2", "colingroves2")</f>
        <v>colingroves2</v>
      </c>
      <c r="B4614" s="65" t="s">
        <v>5421</v>
      </c>
    </row>
    <row r="4615" spans="1:2" x14ac:dyDescent="0.25">
      <c r="A4615" s="64" t="str">
        <f>HYPERLINK("http://www.twitter.com/WednesdayShirts", "WednesdayShirts")</f>
        <v>WednesdayShirts</v>
      </c>
      <c r="B4615" s="65" t="s">
        <v>459</v>
      </c>
    </row>
    <row r="4616" spans="1:2" x14ac:dyDescent="0.25">
      <c r="A4616" s="64" t="str">
        <f>HYPERLINK("http://www.twitter.com/GwenMcKerrell", "GwenMcKerrell")</f>
        <v>GwenMcKerrell</v>
      </c>
      <c r="B4616" s="65" t="s">
        <v>5422</v>
      </c>
    </row>
    <row r="4617" spans="1:2" x14ac:dyDescent="0.25">
      <c r="A4617" s="64" t="str">
        <f>HYPERLINK("http://www.twitter.com/MrBarryJarvis", "MrBarryJarvis")</f>
        <v>MrBarryJarvis</v>
      </c>
      <c r="B4617" s="65" t="s">
        <v>5423</v>
      </c>
    </row>
    <row r="4618" spans="1:2" x14ac:dyDescent="0.25">
      <c r="A4618" s="64" t="str">
        <f>HYPERLINK("http://www.twitter.com/jacquicottrell", "jacquicottrell")</f>
        <v>jacquicottrell</v>
      </c>
      <c r="B4618" s="65" t="s">
        <v>296</v>
      </c>
    </row>
    <row r="4619" spans="1:2" x14ac:dyDescent="0.25">
      <c r="A4619" s="64" t="str">
        <f>HYPERLINK("http://www.twitter.com/janep49", "janep49")</f>
        <v>janep49</v>
      </c>
      <c r="B4619" s="65" t="s">
        <v>5424</v>
      </c>
    </row>
    <row r="4620" spans="1:2" x14ac:dyDescent="0.25">
      <c r="A4620" s="64" t="str">
        <f>HYPERLINK("http://www.twitter.com/shannon_tait", "shannon_tait")</f>
        <v>shannon_tait</v>
      </c>
      <c r="B4620" s="65" t="s">
        <v>5104</v>
      </c>
    </row>
    <row r="4621" spans="1:2" x14ac:dyDescent="0.25">
      <c r="A4621" s="64" t="str">
        <f>HYPERLINK("http://www.twitter.com/uncertainhis", "uncertainhis")</f>
        <v>uncertainhis</v>
      </c>
      <c r="B4621" s="65" t="s">
        <v>5425</v>
      </c>
    </row>
    <row r="4622" spans="1:2" x14ac:dyDescent="0.25">
      <c r="A4622" s="64" t="str">
        <f>HYPERLINK("http://www.twitter.com/fifer_scotland", "fifer_scotland")</f>
        <v>fifer_scotland</v>
      </c>
      <c r="B4622" s="65"/>
    </row>
    <row r="4623" spans="1:2" x14ac:dyDescent="0.25">
      <c r="A4623" s="64" t="str">
        <f>HYPERLINK("http://www.twitter.com/CalumRoss23", "CalumRoss23")</f>
        <v>CalumRoss23</v>
      </c>
      <c r="B4623" s="65" t="s">
        <v>5426</v>
      </c>
    </row>
    <row r="4624" spans="1:2" x14ac:dyDescent="0.25">
      <c r="A4624" s="64" t="str">
        <f>HYPERLINK("http://www.twitter.com/TravisHawke", "TravisHawke")</f>
        <v>TravisHawke</v>
      </c>
      <c r="B4624" s="65" t="s">
        <v>70</v>
      </c>
    </row>
    <row r="4625" spans="1:2" x14ac:dyDescent="0.25">
      <c r="A4625" s="64" t="str">
        <f>HYPERLINK("http://www.twitter.com/LucyRubyLakies", "LucyRubyLakies")</f>
        <v>LucyRubyLakies</v>
      </c>
      <c r="B4625" s="65" t="s">
        <v>4039</v>
      </c>
    </row>
    <row r="4626" spans="1:2" x14ac:dyDescent="0.25">
      <c r="A4626" s="64" t="str">
        <f>HYPERLINK("http://www.twitter.com/nickdowler3", "nickdowler3")</f>
        <v>nickdowler3</v>
      </c>
      <c r="B4626" s="65"/>
    </row>
    <row r="4627" spans="1:2" x14ac:dyDescent="0.25">
      <c r="A4627" s="64" t="str">
        <f>HYPERLINK("http://www.twitter.com/redverscrooks1", "redverscrooks1")</f>
        <v>redverscrooks1</v>
      </c>
      <c r="B4627" s="65" t="s">
        <v>5427</v>
      </c>
    </row>
    <row r="4628" spans="1:2" x14ac:dyDescent="0.25">
      <c r="A4628" s="64" t="str">
        <f>HYPERLINK("http://www.twitter.com/M_Grimley", "M_Grimley")</f>
        <v>M_Grimley</v>
      </c>
      <c r="B4628" s="65" t="s">
        <v>5428</v>
      </c>
    </row>
    <row r="4629" spans="1:2" x14ac:dyDescent="0.25">
      <c r="A4629" s="64" t="str">
        <f>HYPERLINK("http://www.twitter.com/brian_shearer", "brian_shearer")</f>
        <v>brian_shearer</v>
      </c>
      <c r="B4629" s="65" t="s">
        <v>5429</v>
      </c>
    </row>
    <row r="4630" spans="1:2" x14ac:dyDescent="0.25">
      <c r="A4630" s="64" t="str">
        <f>HYPERLINK("http://www.twitter.com/AndyDoesWords", "AndyDoesWords")</f>
        <v>AndyDoesWords</v>
      </c>
      <c r="B4630" s="65" t="s">
        <v>3457</v>
      </c>
    </row>
    <row r="4631" spans="1:2" x14ac:dyDescent="0.25">
      <c r="A4631" s="64" t="str">
        <f>HYPERLINK("http://www.twitter.com/Thehairyhaggis", "Thehairyhaggis")</f>
        <v>Thehairyhaggis</v>
      </c>
      <c r="B4631" s="65" t="s">
        <v>5430</v>
      </c>
    </row>
    <row r="4632" spans="1:2" x14ac:dyDescent="0.25">
      <c r="A4632" s="64" t="str">
        <f>HYPERLINK("http://www.twitter.com/DonnieMurray10", "DonnieMurray10")</f>
        <v>DonnieMurray10</v>
      </c>
      <c r="B4632" s="65" t="s">
        <v>2007</v>
      </c>
    </row>
    <row r="4633" spans="1:2" x14ac:dyDescent="0.25">
      <c r="A4633" s="64" t="str">
        <f>HYPERLINK("http://www.twitter.com/exsheltie", "exsheltie")</f>
        <v>exsheltie</v>
      </c>
      <c r="B4633" s="65" t="s">
        <v>5431</v>
      </c>
    </row>
    <row r="4634" spans="1:2" x14ac:dyDescent="0.25">
      <c r="A4634" s="64" t="str">
        <f>HYPERLINK("http://www.twitter.com/paranormalroma2", "paranormalroma2")</f>
        <v>paranormalroma2</v>
      </c>
      <c r="B4634" s="65" t="s">
        <v>5432</v>
      </c>
    </row>
    <row r="4635" spans="1:2" x14ac:dyDescent="0.25">
      <c r="A4635" s="64" t="str">
        <f>HYPERLINK("http://www.twitter.com/tots2travel", "tots2travel")</f>
        <v>tots2travel</v>
      </c>
      <c r="B4635" s="65" t="s">
        <v>569</v>
      </c>
    </row>
    <row r="4636" spans="1:2" x14ac:dyDescent="0.25">
      <c r="A4636" s="64" t="str">
        <f>HYPERLINK("http://www.twitter.com/blrbwmn", "blrbwmn")</f>
        <v>blrbwmn</v>
      </c>
      <c r="B4636" s="65" t="s">
        <v>5433</v>
      </c>
    </row>
    <row r="4637" spans="1:2" x14ac:dyDescent="0.25">
      <c r="A4637" s="64" t="str">
        <f>HYPERLINK("http://www.twitter.com/knight_saber01", "knight_saber01")</f>
        <v>knight_saber01</v>
      </c>
      <c r="B4637" s="65" t="s">
        <v>5434</v>
      </c>
    </row>
    <row r="4638" spans="1:2" x14ac:dyDescent="0.25">
      <c r="A4638" s="64" t="str">
        <f>HYPERLINK("http://www.twitter.com/Scotspozlad", "Scotspozlad")</f>
        <v>Scotspozlad</v>
      </c>
      <c r="B4638" s="65" t="s">
        <v>808</v>
      </c>
    </row>
    <row r="4639" spans="1:2" x14ac:dyDescent="0.25">
      <c r="A4639" s="64" t="str">
        <f>HYPERLINK("http://www.twitter.com/SteveColeBooks", "SteveColeBooks")</f>
        <v>SteveColeBooks</v>
      </c>
      <c r="B4639" s="65" t="s">
        <v>3677</v>
      </c>
    </row>
    <row r="4640" spans="1:2" x14ac:dyDescent="0.25">
      <c r="A4640" s="64" t="str">
        <f>HYPERLINK("http://www.twitter.com/megan_meldrum17", "megan_meldrum17")</f>
        <v>megan_meldrum17</v>
      </c>
      <c r="B4640" s="65" t="s">
        <v>4447</v>
      </c>
    </row>
    <row r="4641" spans="1:2" x14ac:dyDescent="0.25">
      <c r="A4641" s="64" t="str">
        <f>HYPERLINK("http://www.twitter.com/Tony1947Tony", "Tony1947Tony")</f>
        <v>Tony1947Tony</v>
      </c>
      <c r="B4641" s="65"/>
    </row>
    <row r="4642" spans="1:2" x14ac:dyDescent="0.25">
      <c r="A4642" s="64" t="str">
        <f>HYPERLINK("http://www.twitter.com/vita_cv", "vita_cv")</f>
        <v>vita_cv</v>
      </c>
      <c r="B4642" s="65"/>
    </row>
    <row r="4643" spans="1:2" x14ac:dyDescent="0.25">
      <c r="A4643" s="64" t="str">
        <f>HYPERLINK("http://www.twitter.com/Jorco11", "Jorco11")</f>
        <v>Jorco11</v>
      </c>
      <c r="B4643" s="65" t="s">
        <v>520</v>
      </c>
    </row>
    <row r="4644" spans="1:2" x14ac:dyDescent="0.25">
      <c r="A4644" s="64" t="str">
        <f>HYPERLINK("http://www.twitter.com/expyourmind", "expyourmind")</f>
        <v>expyourmind</v>
      </c>
      <c r="B4644" s="65" t="s">
        <v>4193</v>
      </c>
    </row>
    <row r="4645" spans="1:2" x14ac:dyDescent="0.25">
      <c r="A4645" s="64" t="str">
        <f>HYPERLINK("http://www.twitter.com/zigman123", "zigman123")</f>
        <v>zigman123</v>
      </c>
      <c r="B4645" s="65" t="s">
        <v>5435</v>
      </c>
    </row>
    <row r="4646" spans="1:2" x14ac:dyDescent="0.25">
      <c r="A4646" s="64" t="str">
        <f>HYPERLINK("http://www.twitter.com/ManweTheValar", "ManweTheValar")</f>
        <v>ManweTheValar</v>
      </c>
      <c r="B4646" s="65" t="s">
        <v>3948</v>
      </c>
    </row>
    <row r="4647" spans="1:2" x14ac:dyDescent="0.25">
      <c r="A4647" s="64" t="str">
        <f>HYPERLINK("http://www.twitter.com/syhahostelling", "syhahostelling")</f>
        <v>syhahostelling</v>
      </c>
      <c r="B4647" s="65" t="s">
        <v>517</v>
      </c>
    </row>
    <row r="4648" spans="1:2" x14ac:dyDescent="0.25">
      <c r="A4648" s="64" t="str">
        <f>HYPERLINK("http://www.twitter.com/bevthepainter", "bevthepainter")</f>
        <v>bevthepainter</v>
      </c>
      <c r="B4648" s="65" t="s">
        <v>5436</v>
      </c>
    </row>
    <row r="4649" spans="1:2" x14ac:dyDescent="0.25">
      <c r="A4649" s="64" t="str">
        <f>HYPERLINK("http://www.twitter.com/HaldaneTimaru77", "HaldaneTimaru77")</f>
        <v>HaldaneTimaru77</v>
      </c>
      <c r="B4649" s="65" t="s">
        <v>5437</v>
      </c>
    </row>
    <row r="4650" spans="1:2" x14ac:dyDescent="0.25">
      <c r="A4650" s="64" t="str">
        <f>HYPERLINK("http://www.twitter.com/CJJonesComposer", "CJJonesComposer")</f>
        <v>CJJonesComposer</v>
      </c>
      <c r="B4650" s="65"/>
    </row>
    <row r="4651" spans="1:2" x14ac:dyDescent="0.25">
      <c r="A4651" s="64" t="str">
        <f>HYPERLINK("http://www.twitter.com/Neil_Ford", "Neil_Ford")</f>
        <v>Neil_Ford</v>
      </c>
      <c r="B4651" s="65" t="s">
        <v>4519</v>
      </c>
    </row>
    <row r="4652" spans="1:2" x14ac:dyDescent="0.25">
      <c r="A4652" s="64" t="str">
        <f>HYPERLINK("http://www.twitter.com/acetaiesatrioni", "acetaiesatrioni")</f>
        <v>acetaiesatrioni</v>
      </c>
      <c r="B4652" s="65" t="s">
        <v>5438</v>
      </c>
    </row>
    <row r="4653" spans="1:2" x14ac:dyDescent="0.25">
      <c r="A4653" s="64" t="str">
        <f>HYPERLINK("http://www.twitter.com/JonathanSCraig", "JonathanSCraig")</f>
        <v>JonathanSCraig</v>
      </c>
      <c r="B4653" s="65" t="s">
        <v>138</v>
      </c>
    </row>
    <row r="4654" spans="1:2" x14ac:dyDescent="0.25">
      <c r="A4654" s="64" t="str">
        <f>HYPERLINK("http://www.twitter.com/lodmat", "lodmat")</f>
        <v>lodmat</v>
      </c>
      <c r="B4654" s="65" t="s">
        <v>5439</v>
      </c>
    </row>
    <row r="4655" spans="1:2" x14ac:dyDescent="0.25">
      <c r="A4655" s="64" t="str">
        <f>HYPERLINK("http://www.twitter.com/kirkwallkid", "kirkwallkid")</f>
        <v>kirkwallkid</v>
      </c>
      <c r="B4655" s="65"/>
    </row>
    <row r="4656" spans="1:2" x14ac:dyDescent="0.25">
      <c r="A4656" s="64" t="str">
        <f>HYPERLINK("http://www.twitter.com/cameronforres", "cameronforres")</f>
        <v>cameronforres</v>
      </c>
      <c r="B4656" s="65" t="s">
        <v>5440</v>
      </c>
    </row>
    <row r="4657" spans="1:2" x14ac:dyDescent="0.25">
      <c r="A4657" s="64" t="str">
        <f>HYPERLINK("http://www.twitter.com/nordicblackbird", "nordicblackbird")</f>
        <v>nordicblackbird</v>
      </c>
      <c r="B4657" s="65" t="s">
        <v>5441</v>
      </c>
    </row>
    <row r="4658" spans="1:2" x14ac:dyDescent="0.25">
      <c r="A4658" s="64" t="str">
        <f>HYPERLINK("http://www.twitter.com/Archaeopress", "Archaeopress")</f>
        <v>Archaeopress</v>
      </c>
      <c r="B4658" s="65" t="s">
        <v>1189</v>
      </c>
    </row>
    <row r="4659" spans="1:2" x14ac:dyDescent="0.25">
      <c r="A4659" s="64" t="str">
        <f>HYPERLINK("http://www.twitter.com/godelitsas", "godelitsas")</f>
        <v>godelitsas</v>
      </c>
      <c r="B4659" s="65" t="s">
        <v>5442</v>
      </c>
    </row>
    <row r="4660" spans="1:2" x14ac:dyDescent="0.25">
      <c r="A4660" s="64" t="str">
        <f>HYPERLINK("http://www.twitter.com/EVBaugh", "EVBaugh")</f>
        <v>EVBaugh</v>
      </c>
      <c r="B4660" s="65" t="s">
        <v>1377</v>
      </c>
    </row>
    <row r="4661" spans="1:2" x14ac:dyDescent="0.25">
      <c r="A4661" s="64" t="str">
        <f>HYPERLINK("http://www.twitter.com/ATUKGin", "ATUKGin")</f>
        <v>ATUKGin</v>
      </c>
      <c r="B4661" s="65" t="s">
        <v>70</v>
      </c>
    </row>
    <row r="4662" spans="1:2" x14ac:dyDescent="0.25">
      <c r="A4662" s="64" t="str">
        <f>HYPERLINK("http://www.twitter.com/David_Thailand", "David_Thailand")</f>
        <v>David_Thailand</v>
      </c>
      <c r="B4662" s="65" t="s">
        <v>487</v>
      </c>
    </row>
    <row r="4663" spans="1:2" x14ac:dyDescent="0.25">
      <c r="A4663" s="64" t="str">
        <f>HYPERLINK("http://www.twitter.com/Lillith_Sky", "Lillith_Sky")</f>
        <v>Lillith_Sky</v>
      </c>
      <c r="B4663" s="65" t="s">
        <v>5443</v>
      </c>
    </row>
    <row r="4664" spans="1:2" x14ac:dyDescent="0.25">
      <c r="A4664" s="64" t="str">
        <f>HYPERLINK("http://www.twitter.com/DefyingDutchman", "DefyingDutchman")</f>
        <v>DefyingDutchman</v>
      </c>
      <c r="B4664" s="65" t="s">
        <v>4570</v>
      </c>
    </row>
    <row r="4665" spans="1:2" x14ac:dyDescent="0.25">
      <c r="A4665" s="64" t="str">
        <f>HYPERLINK("http://www.twitter.com/Aldiviolin", "Aldiviolin")</f>
        <v>Aldiviolin</v>
      </c>
      <c r="B4665" s="65" t="s">
        <v>5444</v>
      </c>
    </row>
    <row r="4666" spans="1:2" x14ac:dyDescent="0.25">
      <c r="A4666" s="64" t="str">
        <f>HYPERLINK("http://www.twitter.com/adampjones89", "adampjones89")</f>
        <v>adampjones89</v>
      </c>
      <c r="B4666" s="65"/>
    </row>
    <row r="4667" spans="1:2" x14ac:dyDescent="0.25">
      <c r="A4667" s="64" t="str">
        <f>HYPERLINK("http://www.twitter.com/Marco_Freccero", "Marco_Freccero")</f>
        <v>Marco_Freccero</v>
      </c>
      <c r="B4667" s="65" t="s">
        <v>5445</v>
      </c>
    </row>
    <row r="4668" spans="1:2" x14ac:dyDescent="0.25">
      <c r="A4668" s="64" t="str">
        <f>HYPERLINK("http://www.twitter.com/pauline_rosie", "pauline_rosie")</f>
        <v>pauline_rosie</v>
      </c>
      <c r="B4668" s="65"/>
    </row>
    <row r="4669" spans="1:2" x14ac:dyDescent="0.25">
      <c r="A4669" s="64" t="str">
        <f>HYPERLINK("http://www.twitter.com/OutLandAnatomy", "OutLandAnatomy")</f>
        <v>OutLandAnatomy</v>
      </c>
      <c r="B4669" s="65" t="s">
        <v>4149</v>
      </c>
    </row>
    <row r="4670" spans="1:2" x14ac:dyDescent="0.25">
      <c r="A4670" s="64" t="str">
        <f>HYPERLINK("http://www.twitter.com/DavidEllis29", "DavidEllis29")</f>
        <v>DavidEllis29</v>
      </c>
      <c r="B4670" s="65" t="s">
        <v>1810</v>
      </c>
    </row>
    <row r="4671" spans="1:2" x14ac:dyDescent="0.25">
      <c r="A4671" s="64" t="str">
        <f>HYPERLINK("http://www.twitter.com/NKinossian", "NKinossian")</f>
        <v>NKinossian</v>
      </c>
      <c r="B4671" s="65"/>
    </row>
    <row r="4672" spans="1:2" x14ac:dyDescent="0.25">
      <c r="A4672" s="64" t="str">
        <f>HYPERLINK("http://www.twitter.com/thesandramillar", "thesandramillar")</f>
        <v>thesandramillar</v>
      </c>
      <c r="B4672" s="65"/>
    </row>
    <row r="4673" spans="1:2" x14ac:dyDescent="0.25">
      <c r="A4673" s="64" t="str">
        <f>HYPERLINK("http://www.twitter.com/sobore", "sobore")</f>
        <v>sobore</v>
      </c>
      <c r="B4673" s="65" t="s">
        <v>5446</v>
      </c>
    </row>
    <row r="4674" spans="1:2" x14ac:dyDescent="0.25">
      <c r="A4674" s="64" t="str">
        <f>HYPERLINK("http://www.twitter.com/iScotNews", "iScotNews")</f>
        <v>iScotNews</v>
      </c>
      <c r="B4674" s="65" t="s">
        <v>5447</v>
      </c>
    </row>
    <row r="4675" spans="1:2" x14ac:dyDescent="0.25">
      <c r="A4675" s="64" t="str">
        <f>HYPERLINK("http://www.twitter.com/malvibernasconi", "malvibernasconi")</f>
        <v>malvibernasconi</v>
      </c>
      <c r="B4675" s="65" t="s">
        <v>5448</v>
      </c>
    </row>
    <row r="4676" spans="1:2" x14ac:dyDescent="0.25">
      <c r="A4676" s="64" t="str">
        <f>HYPERLINK("http://www.twitter.com/landscapes365", "landscapes365")</f>
        <v>landscapes365</v>
      </c>
      <c r="B4676" s="65" t="s">
        <v>5449</v>
      </c>
    </row>
    <row r="4677" spans="1:2" x14ac:dyDescent="0.25">
      <c r="A4677" s="64" t="str">
        <f>HYPERLINK("http://www.twitter.com/matt_doggett", "matt_doggett")</f>
        <v>matt_doggett</v>
      </c>
      <c r="B4677" s="65" t="s">
        <v>296</v>
      </c>
    </row>
    <row r="4678" spans="1:2" x14ac:dyDescent="0.25">
      <c r="A4678" s="64" t="str">
        <f>HYPERLINK("http://www.twitter.com/GRAP_UB", "GRAP_UB")</f>
        <v>GRAP_UB</v>
      </c>
      <c r="B4678" s="65" t="s">
        <v>5450</v>
      </c>
    </row>
    <row r="4679" spans="1:2" x14ac:dyDescent="0.25">
      <c r="A4679" s="64" t="str">
        <f>HYPERLINK("http://www.twitter.com/stevemosby", "stevemosby")</f>
        <v>stevemosby</v>
      </c>
      <c r="B4679" s="65" t="s">
        <v>180</v>
      </c>
    </row>
    <row r="4680" spans="1:2" x14ac:dyDescent="0.25">
      <c r="A4680" s="64" t="str">
        <f>HYPERLINK("http://www.twitter.com/LaBandaEuropa", "LaBandaEuropa")</f>
        <v>LaBandaEuropa</v>
      </c>
      <c r="B4680" s="65"/>
    </row>
    <row r="4681" spans="1:2" x14ac:dyDescent="0.25">
      <c r="A4681" s="64" t="str">
        <f>HYPERLINK("http://www.twitter.com/SerendipitousMC", "SerendipitousMC")</f>
        <v>SerendipitousMC</v>
      </c>
      <c r="B4681" s="65" t="s">
        <v>5451</v>
      </c>
    </row>
    <row r="4682" spans="1:2" x14ac:dyDescent="0.25">
      <c r="A4682" s="64" t="str">
        <f>HYPERLINK("http://www.twitter.com/PWnorthwest", "PWnorthwest")</f>
        <v>PWnorthwest</v>
      </c>
      <c r="B4682" s="65" t="s">
        <v>5452</v>
      </c>
    </row>
    <row r="4683" spans="1:2" x14ac:dyDescent="0.25">
      <c r="A4683" s="64" t="str">
        <f>HYPERLINK("http://www.twitter.com/thepocketbears", "thepocketbears")</f>
        <v>thepocketbears</v>
      </c>
      <c r="B4683" s="65" t="s">
        <v>4674</v>
      </c>
    </row>
    <row r="4684" spans="1:2" x14ac:dyDescent="0.25">
      <c r="A4684" s="64" t="str">
        <f>HYPERLINK("http://www.twitter.com/DickKingSmith", "DickKingSmith")</f>
        <v>DickKingSmith</v>
      </c>
      <c r="B4684" s="65"/>
    </row>
    <row r="4685" spans="1:2" x14ac:dyDescent="0.25">
      <c r="A4685" s="64" t="str">
        <f>HYPERLINK("http://www.twitter.com/Creative_WS", "Creative_WS")</f>
        <v>Creative_WS</v>
      </c>
      <c r="B4685" s="65" t="s">
        <v>4862</v>
      </c>
    </row>
    <row r="4686" spans="1:2" x14ac:dyDescent="0.25">
      <c r="A4686" s="64" t="str">
        <f>HYPERLINK("http://www.twitter.com/SarahRPainter", "SarahRPainter")</f>
        <v>SarahRPainter</v>
      </c>
      <c r="B4686" s="65" t="s">
        <v>517</v>
      </c>
    </row>
    <row r="4687" spans="1:2" x14ac:dyDescent="0.25">
      <c r="A4687" s="64" t="str">
        <f>HYPERLINK("http://www.twitter.com/lies_dreaming", "lies_dreaming")</f>
        <v>lies_dreaming</v>
      </c>
      <c r="B4687" s="65"/>
    </row>
    <row r="4688" spans="1:2" x14ac:dyDescent="0.25">
      <c r="A4688" s="64" t="str">
        <f>HYPERLINK("http://www.twitter.com/Dukascopy_TV_PT", "Dukascopy_TV_PT")</f>
        <v>Dukascopy_TV_PT</v>
      </c>
      <c r="B4688" s="65" t="s">
        <v>5453</v>
      </c>
    </row>
    <row r="4689" spans="1:2" x14ac:dyDescent="0.25">
      <c r="A4689" s="64" t="str">
        <f>HYPERLINK("http://www.twitter.com/IAmJeffEmmerson", "IAmJeffEmmerson")</f>
        <v>IAmJeffEmmerson</v>
      </c>
      <c r="B4689" s="65" t="s">
        <v>3778</v>
      </c>
    </row>
    <row r="4690" spans="1:2" x14ac:dyDescent="0.25">
      <c r="A4690" s="64" t="str">
        <f>HYPERLINK("http://www.twitter.com/kovach_nicholas", "kovach_nicholas")</f>
        <v>kovach_nicholas</v>
      </c>
      <c r="B4690" s="65"/>
    </row>
    <row r="4691" spans="1:2" x14ac:dyDescent="0.25">
      <c r="A4691" s="64" t="str">
        <f>HYPERLINK("http://www.twitter.com/louisabradford", "louisabradford")</f>
        <v>louisabradford</v>
      </c>
      <c r="B4691" s="65"/>
    </row>
    <row r="4692" spans="1:2" x14ac:dyDescent="0.25">
      <c r="A4692" s="64" t="str">
        <f>HYPERLINK("http://www.twitter.com/BarraAndCarly", "BarraAndCarly")</f>
        <v>BarraAndCarly</v>
      </c>
      <c r="B4692" s="65" t="s">
        <v>517</v>
      </c>
    </row>
    <row r="4693" spans="1:2" x14ac:dyDescent="0.25">
      <c r="A4693" s="64" t="str">
        <f>HYPERLINK("http://www.twitter.com/HEdoubleN", "HEdoubleN")</f>
        <v>HEdoubleN</v>
      </c>
      <c r="B4693" s="65"/>
    </row>
    <row r="4694" spans="1:2" x14ac:dyDescent="0.25">
      <c r="A4694" s="64" t="str">
        <f>HYPERLINK("http://www.twitter.com/IndyLassie", "IndyLassie")</f>
        <v>IndyLassie</v>
      </c>
      <c r="B4694" s="65" t="s">
        <v>318</v>
      </c>
    </row>
    <row r="4695" spans="1:2" x14ac:dyDescent="0.25">
      <c r="A4695" s="64" t="str">
        <f>HYPERLINK("http://www.twitter.com/jpawood", "jpawood")</f>
        <v>jpawood</v>
      </c>
      <c r="B4695" s="65" t="s">
        <v>36</v>
      </c>
    </row>
    <row r="4696" spans="1:2" x14ac:dyDescent="0.25">
      <c r="A4696" s="64" t="str">
        <f>HYPERLINK("http://www.twitter.com/hughjconsulting", "hughjconsulting")</f>
        <v>hughjconsulting</v>
      </c>
      <c r="B4696" s="65" t="s">
        <v>1218</v>
      </c>
    </row>
    <row r="4697" spans="1:2" x14ac:dyDescent="0.25">
      <c r="A4697" s="64" t="str">
        <f>HYPERLINK("http://www.twitter.com/ChicoMagee", "ChicoMagee")</f>
        <v>ChicoMagee</v>
      </c>
      <c r="B4697" s="65" t="s">
        <v>5454</v>
      </c>
    </row>
    <row r="4698" spans="1:2" x14ac:dyDescent="0.25">
      <c r="A4698" s="64" t="str">
        <f>HYPERLINK("http://www.twitter.com/henrygemmell67", "henrygemmell67")</f>
        <v>henrygemmell67</v>
      </c>
      <c r="B4698" s="65"/>
    </row>
    <row r="4699" spans="1:2" x14ac:dyDescent="0.25">
      <c r="A4699" s="64" t="str">
        <f>HYPERLINK("http://www.twitter.com/soniacool7413", "soniacool7413")</f>
        <v>soniacool7413</v>
      </c>
      <c r="B4699" s="65" t="s">
        <v>5455</v>
      </c>
    </row>
    <row r="4700" spans="1:2" x14ac:dyDescent="0.25">
      <c r="A4700" s="64" t="str">
        <f>HYPERLINK("http://www.twitter.com/TheDalyFrog", "TheDalyFrog")</f>
        <v>TheDalyFrog</v>
      </c>
      <c r="B4700" s="65" t="s">
        <v>3988</v>
      </c>
    </row>
    <row r="4701" spans="1:2" x14ac:dyDescent="0.25">
      <c r="A4701" s="64" t="str">
        <f>HYPERLINK("http://www.twitter.com/LetsCroatia", "LetsCroatia")</f>
        <v>LetsCroatia</v>
      </c>
      <c r="B4701" s="65" t="s">
        <v>5456</v>
      </c>
    </row>
    <row r="4702" spans="1:2" x14ac:dyDescent="0.25">
      <c r="A4702" s="64" t="str">
        <f>HYPERLINK("http://www.twitter.com/JiggleDigitalTF", "JiggleDigitalTF")</f>
        <v>JiggleDigitalTF</v>
      </c>
      <c r="B4702" s="65" t="s">
        <v>5457</v>
      </c>
    </row>
    <row r="4703" spans="1:2" x14ac:dyDescent="0.25">
      <c r="A4703" s="64" t="str">
        <f>HYPERLINK("http://www.twitter.com/kaitlindianne20", "kaitlindianne20")</f>
        <v>kaitlindianne20</v>
      </c>
      <c r="B4703" s="65"/>
    </row>
    <row r="4704" spans="1:2" x14ac:dyDescent="0.25">
      <c r="A4704" s="64" t="str">
        <f>HYPERLINK("http://www.twitter.com/kewelworldcom", "kewelworldcom")</f>
        <v>kewelworldcom</v>
      </c>
      <c r="B4704" s="65"/>
    </row>
    <row r="4705" spans="1:2" x14ac:dyDescent="0.25">
      <c r="A4705" s="64" t="str">
        <f>HYPERLINK("http://www.twitter.com/subtweetopath", "subtweetopath")</f>
        <v>subtweetopath</v>
      </c>
      <c r="B4705" s="65" t="s">
        <v>5458</v>
      </c>
    </row>
    <row r="4706" spans="1:2" x14ac:dyDescent="0.25">
      <c r="A4706" s="64" t="str">
        <f>HYPERLINK("http://www.twitter.com/FCPL", "FCPL")</f>
        <v>FCPL</v>
      </c>
      <c r="B4706" s="65" t="s">
        <v>5459</v>
      </c>
    </row>
    <row r="4707" spans="1:2" x14ac:dyDescent="0.25">
      <c r="A4707" s="64" t="str">
        <f>HYPERLINK("http://www.twitter.com/BarryFriedmann", "BarryFriedmann")</f>
        <v>BarryFriedmann</v>
      </c>
      <c r="B4707" s="65" t="s">
        <v>5460</v>
      </c>
    </row>
    <row r="4708" spans="1:2" x14ac:dyDescent="0.25">
      <c r="A4708" s="64" t="str">
        <f>HYPERLINK("http://www.twitter.com/DasOrmy", "DasOrmy")</f>
        <v>DasOrmy</v>
      </c>
      <c r="B4708" s="65" t="s">
        <v>1739</v>
      </c>
    </row>
    <row r="4709" spans="1:2" x14ac:dyDescent="0.25">
      <c r="A4709" s="64" t="str">
        <f>HYPERLINK("http://www.twitter.com/Aimme454830921", "Aimme454830921")</f>
        <v>Aimme454830921</v>
      </c>
      <c r="B4709" s="65" t="s">
        <v>70</v>
      </c>
    </row>
    <row r="4710" spans="1:2" x14ac:dyDescent="0.25">
      <c r="A4710" s="64" t="str">
        <f>HYPERLINK("http://www.twitter.com/hiddenEurope", "hiddenEurope")</f>
        <v>hiddenEurope</v>
      </c>
      <c r="B4710" s="65" t="s">
        <v>5461</v>
      </c>
    </row>
    <row r="4711" spans="1:2" x14ac:dyDescent="0.25">
      <c r="A4711" s="64" t="str">
        <f>HYPERLINK("http://www.twitter.com/SteveMcEllis", "SteveMcEllis")</f>
        <v>SteveMcEllis</v>
      </c>
      <c r="B4711" s="65"/>
    </row>
    <row r="4712" spans="1:2" x14ac:dyDescent="0.25">
      <c r="A4712" s="64" t="str">
        <f>HYPERLINK("http://www.twitter.com/DJAlexanderProp", "DJAlexanderProp")</f>
        <v>DJAlexanderProp</v>
      </c>
      <c r="B4712" s="65" t="s">
        <v>487</v>
      </c>
    </row>
    <row r="4713" spans="1:2" x14ac:dyDescent="0.25">
      <c r="A4713" s="64" t="str">
        <f>HYPERLINK("http://www.twitter.com/robyncagemusic", "robyncagemusic")</f>
        <v>robyncagemusic</v>
      </c>
      <c r="B4713" s="65" t="s">
        <v>5462</v>
      </c>
    </row>
    <row r="4714" spans="1:2" x14ac:dyDescent="0.25">
      <c r="A4714" s="64" t="str">
        <f>HYPERLINK("http://www.twitter.com/HallsLifeKeele", "HallsLifeKeele")</f>
        <v>HallsLifeKeele</v>
      </c>
      <c r="B4714" s="65" t="s">
        <v>5463</v>
      </c>
    </row>
    <row r="4715" spans="1:2" x14ac:dyDescent="0.25">
      <c r="A4715" s="64" t="str">
        <f>HYPERLINK("http://www.twitter.com/ElginMuseum", "ElginMuseum")</f>
        <v>ElginMuseum</v>
      </c>
      <c r="B4715" s="65" t="s">
        <v>5464</v>
      </c>
    </row>
    <row r="4716" spans="1:2" x14ac:dyDescent="0.25">
      <c r="A4716" s="64" t="str">
        <f>HYPERLINK("http://www.twitter.com/winktothebreeze", "winktothebreeze")</f>
        <v>winktothebreeze</v>
      </c>
      <c r="B4716" s="65" t="s">
        <v>5156</v>
      </c>
    </row>
    <row r="4717" spans="1:2" x14ac:dyDescent="0.25">
      <c r="A4717" s="64" t="str">
        <f>HYPERLINK("http://www.twitter.com/SDTom46", "SDTom46")</f>
        <v>SDTom46</v>
      </c>
      <c r="B4717" s="65"/>
    </row>
    <row r="4718" spans="1:2" x14ac:dyDescent="0.25">
      <c r="A4718" s="64" t="str">
        <f>HYPERLINK("http://www.twitter.com/AEGibbons24", "AEGibbons24")</f>
        <v>AEGibbons24</v>
      </c>
      <c r="B4718" s="65" t="s">
        <v>5465</v>
      </c>
    </row>
    <row r="4719" spans="1:2" x14ac:dyDescent="0.25">
      <c r="A4719" s="64" t="str">
        <f>HYPERLINK("http://www.twitter.com/alicetheunique", "alicetheunique")</f>
        <v>alicetheunique</v>
      </c>
      <c r="B4719" s="65" t="s">
        <v>5466</v>
      </c>
    </row>
    <row r="4720" spans="1:2" x14ac:dyDescent="0.25">
      <c r="A4720" s="64" t="str">
        <f>HYPERLINK("http://www.twitter.com/mcgil93", "mcgil93")</f>
        <v>mcgil93</v>
      </c>
      <c r="B4720" s="65" t="s">
        <v>5467</v>
      </c>
    </row>
    <row r="4721" spans="1:2" x14ac:dyDescent="0.25">
      <c r="A4721" s="64" t="str">
        <f>HYPERLINK("http://www.twitter.com/wclibraryplus", "wclibraryplus")</f>
        <v>wclibraryplus</v>
      </c>
      <c r="B4721" s="65" t="s">
        <v>5468</v>
      </c>
    </row>
    <row r="4722" spans="1:2" x14ac:dyDescent="0.25">
      <c r="A4722" s="64" t="str">
        <f>HYPERLINK("http://www.twitter.com/Edunphy2Dunphy", "Edunphy2Dunphy")</f>
        <v>Edunphy2Dunphy</v>
      </c>
      <c r="B4722" s="65"/>
    </row>
    <row r="4723" spans="1:2" x14ac:dyDescent="0.25">
      <c r="A4723" s="64" t="str">
        <f>HYPERLINK("http://www.twitter.com/CreativiaPub", "CreativiaPub")</f>
        <v>CreativiaPub</v>
      </c>
      <c r="B4723" s="65"/>
    </row>
    <row r="4724" spans="1:2" x14ac:dyDescent="0.25">
      <c r="A4724" s="64" t="str">
        <f>HYPERLINK("http://www.twitter.com/iamvkr2496", "iamvkr2496")</f>
        <v>iamvkr2496</v>
      </c>
      <c r="B4724" s="65"/>
    </row>
    <row r="4725" spans="1:2" x14ac:dyDescent="0.25">
      <c r="A4725" s="64" t="str">
        <f>HYPERLINK("http://www.twitter.com/fakirra10", "fakirra10")</f>
        <v>fakirra10</v>
      </c>
      <c r="B4725" s="65" t="s">
        <v>4927</v>
      </c>
    </row>
    <row r="4726" spans="1:2" x14ac:dyDescent="0.25">
      <c r="A4726" s="64" t="str">
        <f>HYPERLINK("http://www.twitter.com/yesIMADE3D", "yesIMADE3D")</f>
        <v>yesIMADE3D</v>
      </c>
      <c r="B4726" s="65" t="s">
        <v>5469</v>
      </c>
    </row>
    <row r="4727" spans="1:2" x14ac:dyDescent="0.25">
      <c r="A4727" s="64" t="str">
        <f>HYPERLINK("http://www.twitter.com/GallopingSkirt", "GallopingSkirt")</f>
        <v>GallopingSkirt</v>
      </c>
      <c r="B4727" s="65" t="s">
        <v>4147</v>
      </c>
    </row>
    <row r="4728" spans="1:2" x14ac:dyDescent="0.25">
      <c r="A4728" s="64" t="str">
        <f>HYPERLINK("http://www.twitter.com/JahmeneM", "JahmeneM")</f>
        <v>JahmeneM</v>
      </c>
      <c r="B4728" s="65"/>
    </row>
    <row r="4729" spans="1:2" x14ac:dyDescent="0.25">
      <c r="A4729" s="64" t="str">
        <f>HYPERLINK("http://www.twitter.com/xoxo_kenzie_", "xoxo_kenzie_")</f>
        <v>xoxo_kenzie_</v>
      </c>
      <c r="B4729" s="65" t="s">
        <v>5470</v>
      </c>
    </row>
    <row r="4730" spans="1:2" x14ac:dyDescent="0.25">
      <c r="A4730" s="64" t="str">
        <f>HYPERLINK("http://www.twitter.com/Pontius_Suitnop", "Pontius_Suitnop")</f>
        <v>Pontius_Suitnop</v>
      </c>
      <c r="B4730" s="65" t="s">
        <v>4111</v>
      </c>
    </row>
    <row r="4731" spans="1:2" x14ac:dyDescent="0.25">
      <c r="A4731" s="64" t="str">
        <f>HYPERLINK("http://www.twitter.com/JCArtIllustrate", "JCArtIllustrate")</f>
        <v>JCArtIllustrate</v>
      </c>
      <c r="B4731" s="65" t="s">
        <v>1490</v>
      </c>
    </row>
    <row r="4732" spans="1:2" x14ac:dyDescent="0.25">
      <c r="A4732" s="64" t="str">
        <f>HYPERLINK("http://www.twitter.com/ekreeder", "ekreeder")</f>
        <v>ekreeder</v>
      </c>
      <c r="B4732" s="65"/>
    </row>
    <row r="4733" spans="1:2" x14ac:dyDescent="0.25">
      <c r="A4733" s="64" t="str">
        <f>HYPERLINK("http://www.twitter.com/NomsaNk07040867", "NomsaNk07040867")</f>
        <v>NomsaNk07040867</v>
      </c>
      <c r="B4733" s="65"/>
    </row>
    <row r="4734" spans="1:2" x14ac:dyDescent="0.25">
      <c r="A4734" s="64" t="str">
        <f>HYPERLINK("http://www.twitter.com/ElfyTree", "ElfyTree")</f>
        <v>ElfyTree</v>
      </c>
      <c r="B4734" s="65" t="s">
        <v>5471</v>
      </c>
    </row>
    <row r="4735" spans="1:2" x14ac:dyDescent="0.25">
      <c r="A4735" s="64" t="str">
        <f>HYPERLINK("http://www.twitter.com/tumbleweed_27", "tumbleweed_27")</f>
        <v>tumbleweed_27</v>
      </c>
      <c r="B4735" s="65"/>
    </row>
    <row r="4736" spans="1:2" x14ac:dyDescent="0.25">
      <c r="A4736" s="64" t="str">
        <f>HYPERLINK("http://www.twitter.com/LFLProject", "LFLProject")</f>
        <v>LFLProject</v>
      </c>
      <c r="B4736" s="65" t="s">
        <v>5472</v>
      </c>
    </row>
    <row r="4737" spans="1:2" x14ac:dyDescent="0.25">
      <c r="A4737" s="64" t="str">
        <f>HYPERLINK("http://www.twitter.com/DungNguyenUNT", "DungNguyenUNT")</f>
        <v>DungNguyenUNT</v>
      </c>
      <c r="B4737" s="65" t="s">
        <v>3776</v>
      </c>
    </row>
    <row r="4738" spans="1:2" x14ac:dyDescent="0.25">
      <c r="A4738" s="64" t="str">
        <f>HYPERLINK("http://www.twitter.com/sbnscot", "sbnscot")</f>
        <v>sbnscot</v>
      </c>
      <c r="B4738" s="65" t="s">
        <v>36</v>
      </c>
    </row>
    <row r="4739" spans="1:2" x14ac:dyDescent="0.25">
      <c r="A4739" s="64" t="str">
        <f>HYPERLINK("http://www.twitter.com/sarahsalway", "sarahsalway")</f>
        <v>sarahsalway</v>
      </c>
      <c r="B4739" s="65" t="s">
        <v>296</v>
      </c>
    </row>
    <row r="4740" spans="1:2" x14ac:dyDescent="0.25">
      <c r="A4740" s="64" t="str">
        <f>HYPERLINK("http://www.twitter.com/sinclairkyl", "sinclairkyl")</f>
        <v>sinclairkyl</v>
      </c>
      <c r="B4740" s="65" t="s">
        <v>3762</v>
      </c>
    </row>
    <row r="4741" spans="1:2" x14ac:dyDescent="0.25">
      <c r="A4741" s="64" t="str">
        <f>HYPERLINK("http://www.twitter.com/NYGPROMOZ", "NYGPROMOZ")</f>
        <v>NYGPROMOZ</v>
      </c>
      <c r="B4741" s="65" t="s">
        <v>5473</v>
      </c>
    </row>
    <row r="4742" spans="1:2" x14ac:dyDescent="0.25">
      <c r="A4742" s="64" t="str">
        <f>HYPERLINK("http://www.twitter.com/scot_literature", "scot_literature")</f>
        <v>scot_literature</v>
      </c>
      <c r="B4742" s="65"/>
    </row>
    <row r="4743" spans="1:2" x14ac:dyDescent="0.25">
      <c r="A4743" s="64" t="str">
        <f>HYPERLINK("http://www.twitter.com/HadleyLp", "HadleyLp")</f>
        <v>HadleyLp</v>
      </c>
      <c r="B4743" s="65" t="s">
        <v>5474</v>
      </c>
    </row>
    <row r="4744" spans="1:2" x14ac:dyDescent="0.25">
      <c r="A4744" s="64" t="str">
        <f>HYPERLINK("http://www.twitter.com/EAT2016", "EAT2016")</f>
        <v>EAT2016</v>
      </c>
      <c r="B4744" s="65"/>
    </row>
    <row r="4745" spans="1:2" x14ac:dyDescent="0.25">
      <c r="A4745" s="64" t="str">
        <f>HYPERLINK("http://www.twitter.com/AnotherReadCom", "AnotherReadCom")</f>
        <v>AnotherReadCom</v>
      </c>
      <c r="B4745" s="65" t="s">
        <v>477</v>
      </c>
    </row>
    <row r="4746" spans="1:2" x14ac:dyDescent="0.25">
      <c r="A4746" s="64" t="str">
        <f>HYPERLINK("http://www.twitter.com/CarysNon", "CarysNon")</f>
        <v>CarysNon</v>
      </c>
      <c r="B4746" s="65" t="s">
        <v>5475</v>
      </c>
    </row>
    <row r="4747" spans="1:2" x14ac:dyDescent="0.25">
      <c r="A4747" s="64" t="str">
        <f>HYPERLINK("http://www.twitter.com/CuratorLucy", "CuratorLucy")</f>
        <v>CuratorLucy</v>
      </c>
      <c r="B4747" s="65" t="s">
        <v>180</v>
      </c>
    </row>
    <row r="4748" spans="1:2" x14ac:dyDescent="0.25">
      <c r="A4748" s="64" t="str">
        <f>HYPERLINK("http://www.twitter.com/APPLESToNEPiX", "APPLESToNEPiX")</f>
        <v>APPLESToNEPiX</v>
      </c>
      <c r="B4748" s="65"/>
    </row>
    <row r="4749" spans="1:2" x14ac:dyDescent="0.25">
      <c r="A4749" s="64" t="str">
        <f>HYPERLINK("http://www.twitter.com/stu_foundation", "stu_foundation")</f>
        <v>stu_foundation</v>
      </c>
      <c r="B4749" s="65" t="s">
        <v>5476</v>
      </c>
    </row>
    <row r="4750" spans="1:2" x14ac:dyDescent="0.25">
      <c r="A4750" s="64" t="str">
        <f>HYPERLINK("http://www.twitter.com/Gedgerax", "Gedgerax")</f>
        <v>Gedgerax</v>
      </c>
      <c r="B4750" s="65" t="s">
        <v>33</v>
      </c>
    </row>
    <row r="4751" spans="1:2" x14ac:dyDescent="0.25">
      <c r="A4751" s="64" t="str">
        <f>HYPERLINK("http://www.twitter.com/Titankay", "Titankay")</f>
        <v>Titankay</v>
      </c>
      <c r="B4751" s="65"/>
    </row>
    <row r="4752" spans="1:2" x14ac:dyDescent="0.25">
      <c r="A4752" s="64" t="str">
        <f>HYPERLINK("http://www.twitter.com/skinner_rich", "skinner_rich")</f>
        <v>skinner_rich</v>
      </c>
      <c r="B4752" s="65"/>
    </row>
    <row r="4753" spans="1:2" x14ac:dyDescent="0.25">
      <c r="A4753" s="64" t="str">
        <f>HYPERLINK("http://www.twitter.com/carole_fogg", "carole_fogg")</f>
        <v>carole_fogg</v>
      </c>
      <c r="B4753" s="65"/>
    </row>
    <row r="4754" spans="1:2" x14ac:dyDescent="0.25">
      <c r="A4754" s="64" t="str">
        <f>HYPERLINK("http://www.twitter.com/NatalieRawel", "NatalieRawel")</f>
        <v>NatalieRawel</v>
      </c>
      <c r="B4754" s="65" t="s">
        <v>180</v>
      </c>
    </row>
    <row r="4755" spans="1:2" x14ac:dyDescent="0.25">
      <c r="A4755" s="64" t="str">
        <f>HYPERLINK("http://www.twitter.com/HelenRightNow", "HelenRightNow")</f>
        <v>HelenRightNow</v>
      </c>
      <c r="B4755" s="65" t="s">
        <v>296</v>
      </c>
    </row>
    <row r="4756" spans="1:2" x14ac:dyDescent="0.25">
      <c r="A4756" s="64" t="str">
        <f>HYPERLINK("http://www.twitter.com/NewHallLib", "NewHallLib")</f>
        <v>NewHallLib</v>
      </c>
      <c r="B4756" s="65" t="s">
        <v>2507</v>
      </c>
    </row>
    <row r="4757" spans="1:2" x14ac:dyDescent="0.25">
      <c r="A4757" s="64" t="str">
        <f>HYPERLINK("http://www.twitter.com/niccamor", "niccamor")</f>
        <v>niccamor</v>
      </c>
      <c r="B4757" s="65" t="s">
        <v>5477</v>
      </c>
    </row>
    <row r="4758" spans="1:2" x14ac:dyDescent="0.25">
      <c r="A4758" s="64" t="str">
        <f>HYPERLINK("http://www.twitter.com/andrewcusworth", "andrewcusworth")</f>
        <v>andrewcusworth</v>
      </c>
      <c r="B4758" s="65" t="s">
        <v>1221</v>
      </c>
    </row>
    <row r="4759" spans="1:2" x14ac:dyDescent="0.25">
      <c r="A4759" s="64" t="str">
        <f>HYPERLINK("http://www.twitter.com/pclee27", "pclee27")</f>
        <v>pclee27</v>
      </c>
      <c r="B4759" s="65"/>
    </row>
    <row r="4760" spans="1:2" x14ac:dyDescent="0.25">
      <c r="A4760" s="64" t="str">
        <f>HYPERLINK("http://www.twitter.com/keef123", "keef123")</f>
        <v>keef123</v>
      </c>
      <c r="B4760" s="65" t="s">
        <v>477</v>
      </c>
    </row>
    <row r="4761" spans="1:2" x14ac:dyDescent="0.25">
      <c r="A4761" s="64" t="str">
        <f>HYPERLINK("http://www.twitter.com/Jo_Haxby", "Jo_Haxby")</f>
        <v>Jo_Haxby</v>
      </c>
      <c r="B4761" s="65"/>
    </row>
    <row r="4762" spans="1:2" x14ac:dyDescent="0.25">
      <c r="A4762" s="64" t="str">
        <f>HYPERLINK("http://www.twitter.com/SLJcello", "SLJcello")</f>
        <v>SLJcello</v>
      </c>
      <c r="B4762" s="65" t="s">
        <v>505</v>
      </c>
    </row>
    <row r="4763" spans="1:2" x14ac:dyDescent="0.25">
      <c r="A4763" s="64" t="str">
        <f>HYPERLINK("http://www.twitter.com/SaqibNapster", "SaqibNapster")</f>
        <v>SaqibNapster</v>
      </c>
      <c r="B4763" s="65" t="s">
        <v>5478</v>
      </c>
    </row>
    <row r="4764" spans="1:2" x14ac:dyDescent="0.25">
      <c r="A4764" s="64" t="str">
        <f>HYPERLINK("http://www.twitter.com/VinceGreen53", "VinceGreen53")</f>
        <v>VinceGreen53</v>
      </c>
      <c r="B4764" s="65" t="s">
        <v>4193</v>
      </c>
    </row>
    <row r="4765" spans="1:2" x14ac:dyDescent="0.25">
      <c r="A4765" s="64" t="str">
        <f>HYPERLINK("http://www.twitter.com/helenmnye", "helenmnye")</f>
        <v>helenmnye</v>
      </c>
      <c r="B4765" s="65"/>
    </row>
    <row r="4766" spans="1:2" x14ac:dyDescent="0.25">
      <c r="A4766" s="64" t="str">
        <f>HYPERLINK("http://www.twitter.com/amneross", "amneross")</f>
        <v>amneross</v>
      </c>
      <c r="B4766" s="65"/>
    </row>
    <row r="4767" spans="1:2" x14ac:dyDescent="0.25">
      <c r="A4767" s="64" t="str">
        <f>HYPERLINK("http://www.twitter.com/LinkedSupply", "LinkedSupply")</f>
        <v>LinkedSupply</v>
      </c>
      <c r="B4767" s="65" t="s">
        <v>1377</v>
      </c>
    </row>
    <row r="4768" spans="1:2" x14ac:dyDescent="0.25">
      <c r="A4768" s="64" t="str">
        <f>HYPERLINK("http://www.twitter.com/BettyButty", "BettyButty")</f>
        <v>BettyButty</v>
      </c>
      <c r="B4768" s="65" t="s">
        <v>5479</v>
      </c>
    </row>
    <row r="4769" spans="1:2" x14ac:dyDescent="0.25">
      <c r="A4769" s="64" t="str">
        <f>HYPERLINK("http://www.twitter.com/jimmythegent187", "jimmythegent187")</f>
        <v>jimmythegent187</v>
      </c>
      <c r="B4769" s="65" t="s">
        <v>5480</v>
      </c>
    </row>
    <row r="4770" spans="1:2" x14ac:dyDescent="0.25">
      <c r="A4770" s="64" t="str">
        <f>HYPERLINK("http://www.twitter.com/gearedlogic", "gearedlogic")</f>
        <v>gearedlogic</v>
      </c>
      <c r="B4770" s="65" t="s">
        <v>70</v>
      </c>
    </row>
    <row r="4771" spans="1:2" x14ac:dyDescent="0.25">
      <c r="A4771" s="64" t="str">
        <f>HYPERLINK("http://www.twitter.com/Volsfan77", "Volsfan77")</f>
        <v>Volsfan77</v>
      </c>
      <c r="B4771" s="65"/>
    </row>
    <row r="4772" spans="1:2" x14ac:dyDescent="0.25">
      <c r="A4772" s="64" t="str">
        <f>HYPERLINK("http://www.twitter.com/youarelostleeds", "youarelostleeds")</f>
        <v>youarelostleeds</v>
      </c>
      <c r="B4772" s="65" t="s">
        <v>5481</v>
      </c>
    </row>
    <row r="4773" spans="1:2" x14ac:dyDescent="0.25">
      <c r="A4773" s="64" t="str">
        <f>HYPERLINK("http://www.twitter.com/Preethi03597118", "Preethi03597118")</f>
        <v>Preethi03597118</v>
      </c>
      <c r="B4773" s="65"/>
    </row>
    <row r="4774" spans="1:2" x14ac:dyDescent="0.25">
      <c r="A4774" s="64" t="str">
        <f>HYPERLINK("http://www.twitter.com/Sean_Nicol", "Sean_Nicol")</f>
        <v>Sean_Nicol</v>
      </c>
      <c r="B4774" s="65" t="s">
        <v>487</v>
      </c>
    </row>
    <row r="4775" spans="1:2" x14ac:dyDescent="0.25">
      <c r="A4775" s="64" t="str">
        <f>HYPERLINK("http://www.twitter.com/EllenRothAuthor", "EllenRothAuthor")</f>
        <v>EllenRothAuthor</v>
      </c>
      <c r="B4775" s="65"/>
    </row>
    <row r="4776" spans="1:2" x14ac:dyDescent="0.25">
      <c r="A4776" s="64" t="str">
        <f>HYPERLINK("http://www.twitter.com/oakley_stan", "oakley_stan")</f>
        <v>oakley_stan</v>
      </c>
      <c r="B4776" s="65"/>
    </row>
    <row r="4777" spans="1:2" x14ac:dyDescent="0.25">
      <c r="A4777" s="64" t="str">
        <f>HYPERLINK("http://www.twitter.com/FairtradeLeeds", "FairtradeLeeds")</f>
        <v>FairtradeLeeds</v>
      </c>
      <c r="B4777" s="65" t="s">
        <v>2774</v>
      </c>
    </row>
    <row r="4778" spans="1:2" x14ac:dyDescent="0.25">
      <c r="A4778" s="64" t="str">
        <f>HYPERLINK("http://www.twitter.com/nyrsio_morgan", "nyrsio_morgan")</f>
        <v>nyrsio_morgan</v>
      </c>
      <c r="B4778" s="65" t="s">
        <v>5482</v>
      </c>
    </row>
    <row r="4779" spans="1:2" x14ac:dyDescent="0.25">
      <c r="A4779" s="64" t="str">
        <f>HYPERLINK("http://www.twitter.com/furoryceilidh", "furoryceilidh")</f>
        <v>furoryceilidh</v>
      </c>
      <c r="B4779" s="65" t="s">
        <v>517</v>
      </c>
    </row>
    <row r="4780" spans="1:2" x14ac:dyDescent="0.25">
      <c r="A4780" s="64" t="str">
        <f>HYPERLINK("http://www.twitter.com/Geordie_Danny", "Geordie_Danny")</f>
        <v>Geordie_Danny</v>
      </c>
      <c r="B4780" s="65" t="s">
        <v>5483</v>
      </c>
    </row>
    <row r="4781" spans="1:2" x14ac:dyDescent="0.25">
      <c r="A4781" s="64" t="str">
        <f>HYPERLINK("http://www.twitter.com/Groundswellidea", "Groundswellidea")</f>
        <v>Groundswellidea</v>
      </c>
      <c r="B4781" s="65" t="s">
        <v>3949</v>
      </c>
    </row>
    <row r="4782" spans="1:2" x14ac:dyDescent="0.25">
      <c r="A4782" s="64" t="str">
        <f>HYPERLINK("http://www.twitter.com/rosiepereti", "rosiepereti")</f>
        <v>rosiepereti</v>
      </c>
      <c r="B4782" s="65"/>
    </row>
    <row r="4783" spans="1:2" x14ac:dyDescent="0.25">
      <c r="A4783" s="64" t="str">
        <f>HYPERLINK("http://www.twitter.com/ClaireThamesCo", "ClaireThamesCo")</f>
        <v>ClaireThamesCo</v>
      </c>
      <c r="B4783" s="65"/>
    </row>
    <row r="4784" spans="1:2" x14ac:dyDescent="0.25">
      <c r="A4784" s="64" t="str">
        <f>HYPERLINK("http://www.twitter.com/janedinas", "janedinas")</f>
        <v>janedinas</v>
      </c>
      <c r="B4784" s="65" t="s">
        <v>1221</v>
      </c>
    </row>
    <row r="4785" spans="1:2" x14ac:dyDescent="0.25">
      <c r="A4785" s="64" t="str">
        <f>HYPERLINK("http://www.twitter.com/CounterOfSheep", "CounterOfSheep")</f>
        <v>CounterOfSheep</v>
      </c>
      <c r="B4785" s="65" t="s">
        <v>61</v>
      </c>
    </row>
    <row r="4786" spans="1:2" x14ac:dyDescent="0.25">
      <c r="A4786" s="64" t="str">
        <f>HYPERLINK("http://www.twitter.com/irving_claire", "irving_claire")</f>
        <v>irving_claire</v>
      </c>
      <c r="B4786" s="65"/>
    </row>
    <row r="4787" spans="1:2" x14ac:dyDescent="0.25">
      <c r="A4787" s="64" t="str">
        <f>HYPERLINK("http://www.twitter.com/nataliemoore838", "nataliemoore838")</f>
        <v>nataliemoore838</v>
      </c>
      <c r="B4787" s="65" t="s">
        <v>5484</v>
      </c>
    </row>
    <row r="4788" spans="1:2" x14ac:dyDescent="0.25">
      <c r="A4788" s="64" t="str">
        <f>HYPERLINK("http://www.twitter.com/samwhatley17", "samwhatley17")</f>
        <v>samwhatley17</v>
      </c>
      <c r="B4788" s="65" t="s">
        <v>5485</v>
      </c>
    </row>
    <row r="4789" spans="1:2" x14ac:dyDescent="0.25">
      <c r="A4789" s="64" t="str">
        <f>HYPERLINK("http://www.twitter.com/nuriacomas1", "nuriacomas1")</f>
        <v>nuriacomas1</v>
      </c>
      <c r="B4789" s="65" t="s">
        <v>5486</v>
      </c>
    </row>
    <row r="4790" spans="1:2" x14ac:dyDescent="0.25">
      <c r="A4790" s="64" t="str">
        <f>HYPERLINK("http://www.twitter.com/wonder_presh", "wonder_presh")</f>
        <v>wonder_presh</v>
      </c>
      <c r="B4790" s="65"/>
    </row>
    <row r="4791" spans="1:2" x14ac:dyDescent="0.25">
      <c r="A4791" s="64" t="str">
        <f>HYPERLINK("http://www.twitter.com/mVd4nySzuUWAedP", "mVd4nySzuUWAedP")</f>
        <v>mVd4nySzuUWAedP</v>
      </c>
      <c r="B4791" s="65" t="s">
        <v>5487</v>
      </c>
    </row>
    <row r="4792" spans="1:2" x14ac:dyDescent="0.25">
      <c r="A4792" s="64" t="str">
        <f>HYPERLINK("http://www.twitter.com/ToyShark", "ToyShark")</f>
        <v>ToyShark</v>
      </c>
      <c r="B4792" s="65"/>
    </row>
    <row r="4793" spans="1:2" x14ac:dyDescent="0.25">
      <c r="A4793" s="64" t="str">
        <f>HYPERLINK("http://www.twitter.com/FCSCShetland", "FCSCShetland")</f>
        <v>FCSCShetland</v>
      </c>
      <c r="B4793" s="65" t="s">
        <v>5251</v>
      </c>
    </row>
    <row r="4794" spans="1:2" x14ac:dyDescent="0.25">
      <c r="A4794" s="64" t="str">
        <f>HYPERLINK("http://www.twitter.com/Jules_Mnx", "Jules_Mnx")</f>
        <v>Jules_Mnx</v>
      </c>
      <c r="B4794" s="65" t="s">
        <v>5366</v>
      </c>
    </row>
    <row r="4795" spans="1:2" x14ac:dyDescent="0.25">
      <c r="A4795" s="64" t="str">
        <f>HYPERLINK("http://www.twitter.com/HistoriesSecret", "HistoriesSecret")</f>
        <v>HistoriesSecret</v>
      </c>
      <c r="B4795" s="65" t="s">
        <v>5488</v>
      </c>
    </row>
    <row r="4796" spans="1:2" x14ac:dyDescent="0.25">
      <c r="A4796" s="64" t="str">
        <f>HYPERLINK("http://www.twitter.com/libby_h12", "libby_h12")</f>
        <v>libby_h12</v>
      </c>
      <c r="B4796" s="65" t="s">
        <v>36</v>
      </c>
    </row>
    <row r="4797" spans="1:2" x14ac:dyDescent="0.25">
      <c r="A4797" s="64" t="str">
        <f>HYPERLINK("http://www.twitter.com/melpoolie", "melpoolie")</f>
        <v>melpoolie</v>
      </c>
      <c r="B4797" s="65"/>
    </row>
    <row r="4798" spans="1:2" x14ac:dyDescent="0.25">
      <c r="A4798" s="64" t="str">
        <f>HYPERLINK("http://www.twitter.com/Tamarionette", "Tamarionette")</f>
        <v>Tamarionette</v>
      </c>
      <c r="B4798" s="65" t="s">
        <v>5489</v>
      </c>
    </row>
    <row r="4799" spans="1:2" x14ac:dyDescent="0.25">
      <c r="A4799" s="64" t="str">
        <f>HYPERLINK("http://www.twitter.com/ALSD_beuy", "ALSD_beuy")</f>
        <v>ALSD_beuy</v>
      </c>
      <c r="B4799" s="65"/>
    </row>
    <row r="4800" spans="1:2" x14ac:dyDescent="0.25">
      <c r="A4800" s="64" t="str">
        <f>HYPERLINK("http://www.twitter.com/suzyscavenger", "suzyscavenger")</f>
        <v>suzyscavenger</v>
      </c>
      <c r="B4800" s="65"/>
    </row>
    <row r="4801" spans="1:2" x14ac:dyDescent="0.25">
      <c r="A4801" s="64" t="str">
        <f>HYPERLINK("http://www.twitter.com/Lizzy11268", "Lizzy11268")</f>
        <v>Lizzy11268</v>
      </c>
      <c r="B4801" s="65" t="s">
        <v>5490</v>
      </c>
    </row>
    <row r="4802" spans="1:2" x14ac:dyDescent="0.25">
      <c r="A4802" s="64" t="str">
        <f>HYPERLINK("http://www.twitter.com/biolalibrary", "biolalibrary")</f>
        <v>biolalibrary</v>
      </c>
      <c r="B4802" s="65" t="s">
        <v>5491</v>
      </c>
    </row>
    <row r="4803" spans="1:2" x14ac:dyDescent="0.25">
      <c r="A4803" s="64" t="str">
        <f>HYPERLINK("http://www.twitter.com/LizIxer", "LizIxer")</f>
        <v>LizIxer</v>
      </c>
      <c r="B4803" s="65" t="s">
        <v>5492</v>
      </c>
    </row>
    <row r="4804" spans="1:2" x14ac:dyDescent="0.25">
      <c r="A4804" s="64" t="str">
        <f>HYPERLINK("http://www.twitter.com/karaaluke", "karaaluke")</f>
        <v>karaaluke</v>
      </c>
      <c r="B4804" s="65" t="s">
        <v>1490</v>
      </c>
    </row>
    <row r="4805" spans="1:2" x14ac:dyDescent="0.25">
      <c r="A4805" s="64" t="str">
        <f>HYPERLINK("http://www.twitter.com/Guernseyevacuee", "Guernseyevacuee")</f>
        <v>Guernseyevacuee</v>
      </c>
      <c r="B4805" s="65" t="s">
        <v>4561</v>
      </c>
    </row>
    <row r="4806" spans="1:2" x14ac:dyDescent="0.25">
      <c r="A4806" s="64" t="str">
        <f>HYPERLINK("http://www.twitter.com/ClaringtonLib", "ClaringtonLib")</f>
        <v>ClaringtonLib</v>
      </c>
      <c r="B4806" s="65" t="s">
        <v>4678</v>
      </c>
    </row>
    <row r="4807" spans="1:2" x14ac:dyDescent="0.25">
      <c r="A4807" s="64" t="str">
        <f>HYPERLINK("http://www.twitter.com/JudithFleitas1", "JudithFleitas1")</f>
        <v>JudithFleitas1</v>
      </c>
      <c r="B4807" s="65"/>
    </row>
    <row r="4808" spans="1:2" x14ac:dyDescent="0.25">
      <c r="A4808" s="64" t="str">
        <f>HYPERLINK("http://www.twitter.com/waldorfbear", "waldorfbear")</f>
        <v>waldorfbear</v>
      </c>
      <c r="B4808" s="65" t="s">
        <v>1377</v>
      </c>
    </row>
    <row r="4809" spans="1:2" x14ac:dyDescent="0.25">
      <c r="A4809" s="64" t="str">
        <f>HYPERLINK("http://www.twitter.com/Screenjunkie", "Screenjunkie")</f>
        <v>Screenjunkie</v>
      </c>
      <c r="B4809" s="65" t="s">
        <v>70</v>
      </c>
    </row>
    <row r="4810" spans="1:2" x14ac:dyDescent="0.25">
      <c r="A4810" s="64" t="str">
        <f>HYPERLINK("http://www.twitter.com/YetAnotherJon", "YetAnotherJon")</f>
        <v>YetAnotherJon</v>
      </c>
      <c r="B4810" s="65"/>
    </row>
    <row r="4811" spans="1:2" x14ac:dyDescent="0.25">
      <c r="A4811" s="64" t="str">
        <f>HYPERLINK("http://www.twitter.com/streamer2010", "streamer2010")</f>
        <v>streamer2010</v>
      </c>
      <c r="B4811" s="65"/>
    </row>
    <row r="4812" spans="1:2" x14ac:dyDescent="0.25">
      <c r="A4812" s="64" t="str">
        <f>HYPERLINK("http://www.twitter.com/WeeRedWriter", "WeeRedWriter")</f>
        <v>WeeRedWriter</v>
      </c>
      <c r="B4812" s="65" t="s">
        <v>24</v>
      </c>
    </row>
    <row r="4813" spans="1:2" x14ac:dyDescent="0.25">
      <c r="A4813" s="64" t="str">
        <f>HYPERLINK("http://www.twitter.com/LisaHarrowing", "LisaHarrowing")</f>
        <v>LisaHarrowing</v>
      </c>
      <c r="B4813" s="65" t="s">
        <v>5493</v>
      </c>
    </row>
    <row r="4814" spans="1:2" x14ac:dyDescent="0.25">
      <c r="A4814" s="64" t="str">
        <f>HYPERLINK("http://www.twitter.com/RhonaWillder", "RhonaWillder")</f>
        <v>RhonaWillder</v>
      </c>
      <c r="B4814" s="65" t="s">
        <v>487</v>
      </c>
    </row>
    <row r="4815" spans="1:2" x14ac:dyDescent="0.25">
      <c r="A4815" s="64" t="str">
        <f>HYPERLINK("http://www.twitter.com/KidsVsPhonics", "KidsVsPhonics")</f>
        <v>KidsVsPhonics</v>
      </c>
      <c r="B4815" s="65"/>
    </row>
    <row r="4816" spans="1:2" x14ac:dyDescent="0.25">
      <c r="A4816" s="64" t="str">
        <f>HYPERLINK("http://www.twitter.com/donaliain", "donaliain")</f>
        <v>donaliain</v>
      </c>
      <c r="B4816" s="65" t="s">
        <v>5494</v>
      </c>
    </row>
    <row r="4817" spans="1:2" x14ac:dyDescent="0.25">
      <c r="A4817" s="64" t="str">
        <f>HYPERLINK("http://www.twitter.com/bryancacahuet", "bryancacahuet")</f>
        <v>bryancacahuet</v>
      </c>
      <c r="B4817" s="65" t="s">
        <v>5495</v>
      </c>
    </row>
    <row r="4818" spans="1:2" x14ac:dyDescent="0.25">
      <c r="A4818" s="64" t="str">
        <f>HYPERLINK("http://www.twitter.com/StefMauritz", "StefMauritz")</f>
        <v>StefMauritz</v>
      </c>
      <c r="B4818" s="65" t="s">
        <v>1218</v>
      </c>
    </row>
    <row r="4819" spans="1:2" x14ac:dyDescent="0.25">
      <c r="A4819" s="64" t="str">
        <f>HYPERLINK("http://www.twitter.com/tonyman5", "tonyman5")</f>
        <v>tonyman5</v>
      </c>
      <c r="B4819" s="65" t="s">
        <v>5496</v>
      </c>
    </row>
    <row r="4820" spans="1:2" x14ac:dyDescent="0.25">
      <c r="A4820" s="64" t="str">
        <f>HYPERLINK("http://www.twitter.com/DaddyPudding", "DaddyPudding")</f>
        <v>DaddyPudding</v>
      </c>
      <c r="B4820" s="65" t="s">
        <v>180</v>
      </c>
    </row>
    <row r="4821" spans="1:2" x14ac:dyDescent="0.25">
      <c r="A4821" s="64" t="str">
        <f>HYPERLINK("http://www.twitter.com/PublizardNews", "PublizardNews")</f>
        <v>PublizardNews</v>
      </c>
      <c r="B4821" s="65" t="s">
        <v>5453</v>
      </c>
    </row>
    <row r="4822" spans="1:2" x14ac:dyDescent="0.25">
      <c r="A4822" s="64" t="str">
        <f>HYPERLINK("http://www.twitter.com/Jack20035", "Jack20035")</f>
        <v>Jack20035</v>
      </c>
      <c r="B4822" s="65"/>
    </row>
    <row r="4823" spans="1:2" x14ac:dyDescent="0.25">
      <c r="A4823" s="64" t="str">
        <f>HYPERLINK("http://www.twitter.com/KingBecky", "KingBecky")</f>
        <v>KingBecky</v>
      </c>
      <c r="B4823" s="65" t="s">
        <v>5497</v>
      </c>
    </row>
    <row r="4824" spans="1:2" x14ac:dyDescent="0.25">
      <c r="A4824" s="64" t="str">
        <f>HYPERLINK("http://www.twitter.com/walkscotland", "walkscotland")</f>
        <v>walkscotland</v>
      </c>
      <c r="B4824" s="65" t="s">
        <v>4231</v>
      </c>
    </row>
    <row r="4825" spans="1:2" x14ac:dyDescent="0.25">
      <c r="A4825" s="64" t="str">
        <f>HYPERLINK("http://www.twitter.com/markmacleo", "markmacleo")</f>
        <v>markmacleo</v>
      </c>
      <c r="B4825" s="65" t="s">
        <v>4721</v>
      </c>
    </row>
    <row r="4826" spans="1:2" x14ac:dyDescent="0.25">
      <c r="A4826" s="64" t="str">
        <f>HYPERLINK("http://www.twitter.com/popprintleeds", "popprintleeds")</f>
        <v>popprintleeds</v>
      </c>
      <c r="B4826" s="65" t="s">
        <v>70</v>
      </c>
    </row>
    <row r="4827" spans="1:2" x14ac:dyDescent="0.25">
      <c r="A4827" s="64" t="str">
        <f>HYPERLINK("http://www.twitter.com/kymtje", "kymtje")</f>
        <v>kymtje</v>
      </c>
      <c r="B4827" s="65" t="s">
        <v>5498</v>
      </c>
    </row>
    <row r="4828" spans="1:2" x14ac:dyDescent="0.25">
      <c r="A4828" s="64" t="str">
        <f>HYPERLINK("http://www.twitter.com/cvslibrary", "cvslibrary")</f>
        <v>cvslibrary</v>
      </c>
      <c r="B4828" s="65"/>
    </row>
    <row r="4829" spans="1:2" x14ac:dyDescent="0.25">
      <c r="A4829" s="64" t="str">
        <f>HYPERLINK("http://www.twitter.com/CSGUKLibraries", "CSGUKLibraries")</f>
        <v>CSGUKLibraries</v>
      </c>
      <c r="B4829" s="65" t="s">
        <v>296</v>
      </c>
    </row>
    <row r="4830" spans="1:2" x14ac:dyDescent="0.25">
      <c r="A4830" s="64" t="str">
        <f>HYPERLINK("http://www.twitter.com/ianhatten", "ianhatten")</f>
        <v>ianhatten</v>
      </c>
      <c r="B4830" s="65" t="s">
        <v>517</v>
      </c>
    </row>
    <row r="4831" spans="1:2" x14ac:dyDescent="0.25">
      <c r="A4831" s="64" t="str">
        <f>HYPERLINK("http://www.twitter.com/dionkartesios", "dionkartesios")</f>
        <v>dionkartesios</v>
      </c>
      <c r="B4831" s="65"/>
    </row>
    <row r="4832" spans="1:2" x14ac:dyDescent="0.25">
      <c r="A4832" s="64" t="str">
        <f>HYPERLINK("http://www.twitter.com/Cosmic_Carol", "Cosmic_Carol")</f>
        <v>Cosmic_Carol</v>
      </c>
      <c r="B4832" s="65" t="s">
        <v>2492</v>
      </c>
    </row>
    <row r="4833" spans="1:2" x14ac:dyDescent="0.25">
      <c r="A4833" s="64" t="str">
        <f>HYPERLINK("http://www.twitter.com/Informit_RMIT", "Informit_RMIT")</f>
        <v>Informit_RMIT</v>
      </c>
      <c r="B4833" s="65" t="s">
        <v>5499</v>
      </c>
    </row>
    <row r="4834" spans="1:2" x14ac:dyDescent="0.25">
      <c r="A4834" s="64" t="str">
        <f>HYPERLINK("http://www.twitter.com/dyespies", "dyespies")</f>
        <v>dyespies</v>
      </c>
      <c r="B4834" s="65" t="s">
        <v>5500</v>
      </c>
    </row>
    <row r="4835" spans="1:2" x14ac:dyDescent="0.25">
      <c r="A4835" s="64" t="str">
        <f>HYPERLINK("http://www.twitter.com/MalcmacX", "MalcmacX")</f>
        <v>MalcmacX</v>
      </c>
      <c r="B4835" s="65"/>
    </row>
    <row r="4836" spans="1:2" x14ac:dyDescent="0.25">
      <c r="A4836" s="64" t="str">
        <f>HYPERLINK("http://www.twitter.com/MBCYaLit", "MBCYaLit")</f>
        <v>MBCYaLit</v>
      </c>
      <c r="B4836" s="65"/>
    </row>
    <row r="4837" spans="1:2" x14ac:dyDescent="0.25">
      <c r="A4837" s="64" t="str">
        <f>HYPERLINK("http://www.twitter.com/catagain12", "catagain12")</f>
        <v>catagain12</v>
      </c>
      <c r="B4837" s="65" t="s">
        <v>5501</v>
      </c>
    </row>
    <row r="4838" spans="1:2" x14ac:dyDescent="0.25">
      <c r="A4838" s="64" t="str">
        <f>HYPERLINK("http://www.twitter.com/paulvcooke", "paulvcooke")</f>
        <v>paulvcooke</v>
      </c>
      <c r="B4838" s="65" t="s">
        <v>459</v>
      </c>
    </row>
    <row r="4839" spans="1:2" x14ac:dyDescent="0.25">
      <c r="A4839" s="64" t="str">
        <f>HYPERLINK("http://www.twitter.com/RossAndAli", "RossAndAli")</f>
        <v>RossAndAli</v>
      </c>
      <c r="B4839" s="65"/>
    </row>
    <row r="4840" spans="1:2" x14ac:dyDescent="0.25">
      <c r="A4840" s="64" t="str">
        <f>HYPERLINK("http://www.twitter.com/trucker_steve", "trucker_steve")</f>
        <v>trucker_steve</v>
      </c>
      <c r="B4840" s="65" t="s">
        <v>5502</v>
      </c>
    </row>
    <row r="4841" spans="1:2" x14ac:dyDescent="0.25">
      <c r="A4841" s="64" t="str">
        <f>HYPERLINK("http://www.twitter.com/cloudy_lemonade", "cloudy_lemonade")</f>
        <v>cloudy_lemonade</v>
      </c>
      <c r="B4841" s="65" t="s">
        <v>5503</v>
      </c>
    </row>
    <row r="4842" spans="1:2" x14ac:dyDescent="0.25">
      <c r="A4842" s="64" t="str">
        <f>HYPERLINK("http://www.twitter.com/wolfmvc", "wolfmvc")</f>
        <v>wolfmvc</v>
      </c>
      <c r="B4842" s="65" t="s">
        <v>2289</v>
      </c>
    </row>
    <row r="4843" spans="1:2" x14ac:dyDescent="0.25">
      <c r="A4843" s="64" t="str">
        <f>HYPERLINK("http://www.twitter.com/padraig_kenny", "padraig_kenny")</f>
        <v>padraig_kenny</v>
      </c>
      <c r="B4843" s="65" t="s">
        <v>5504</v>
      </c>
    </row>
    <row r="4844" spans="1:2" x14ac:dyDescent="0.25">
      <c r="A4844" s="64" t="str">
        <f>HYPERLINK("http://www.twitter.com/chrisbartter", "chrisbartter")</f>
        <v>chrisbartter</v>
      </c>
      <c r="B4844" s="65" t="s">
        <v>318</v>
      </c>
    </row>
    <row r="4845" spans="1:2" x14ac:dyDescent="0.25">
      <c r="A4845" s="64" t="str">
        <f>HYPERLINK("http://www.twitter.com/kiltedwalker", "kiltedwalker")</f>
        <v>kiltedwalker</v>
      </c>
      <c r="B4845" s="65" t="s">
        <v>296</v>
      </c>
    </row>
    <row r="4846" spans="1:2" x14ac:dyDescent="0.25">
      <c r="A4846" s="64" t="str">
        <f>HYPERLINK("http://www.twitter.com/JevansJill", "JevansJill")</f>
        <v>JevansJill</v>
      </c>
      <c r="B4846" s="65"/>
    </row>
    <row r="4847" spans="1:2" x14ac:dyDescent="0.25">
      <c r="A4847" s="64" t="str">
        <f>HYPERLINK("http://www.twitter.com/rosemary2727", "rosemary2727")</f>
        <v>rosemary2727</v>
      </c>
      <c r="B4847" s="65" t="s">
        <v>5505</v>
      </c>
    </row>
    <row r="4848" spans="1:2" x14ac:dyDescent="0.25">
      <c r="A4848" s="64" t="str">
        <f>HYPERLINK("http://www.twitter.com/HYWEL_ROBERTS", "HYWEL_ROBERTS")</f>
        <v>HYWEL_ROBERTS</v>
      </c>
      <c r="B4848" s="65" t="s">
        <v>296</v>
      </c>
    </row>
    <row r="4849" spans="1:2" x14ac:dyDescent="0.25">
      <c r="A4849" s="64" t="str">
        <f>HYPERLINK("http://www.twitter.com/ArtemisBlacksky", "ArtemisBlacksky")</f>
        <v>ArtemisBlacksky</v>
      </c>
      <c r="B4849" s="65" t="s">
        <v>296</v>
      </c>
    </row>
    <row r="4850" spans="1:2" x14ac:dyDescent="0.25">
      <c r="A4850" s="64" t="str">
        <f>HYPERLINK("http://www.twitter.com/MarcDavidJacobs", "MarcDavidJacobs")</f>
        <v>MarcDavidJacobs</v>
      </c>
      <c r="B4850" s="65" t="s">
        <v>5506</v>
      </c>
    </row>
    <row r="4851" spans="1:2" x14ac:dyDescent="0.25">
      <c r="A4851" s="64" t="str">
        <f>HYPERLINK("http://www.twitter.com/1richking", "1richking")</f>
        <v>1richking</v>
      </c>
      <c r="B4851" s="65" t="s">
        <v>5507</v>
      </c>
    </row>
    <row r="4852" spans="1:2" x14ac:dyDescent="0.25">
      <c r="A4852" s="64" t="str">
        <f>HYPERLINK("http://www.twitter.com/MadelineUmpleby", "MadelineUmpleby")</f>
        <v>MadelineUmpleby</v>
      </c>
      <c r="B4852" s="65"/>
    </row>
    <row r="4853" spans="1:2" x14ac:dyDescent="0.25">
      <c r="A4853" s="64" t="str">
        <f>HYPERLINK("http://www.twitter.com/Click_Write", "Click_Write")</f>
        <v>Click_Write</v>
      </c>
      <c r="B4853" s="65" t="s">
        <v>5045</v>
      </c>
    </row>
    <row r="4854" spans="1:2" x14ac:dyDescent="0.25">
      <c r="A4854" s="64" t="str">
        <f>HYPERLINK("http://www.twitter.com/wmmj70hz", "wmmj70hz")</f>
        <v>wmmj70hz</v>
      </c>
      <c r="B4854" s="65"/>
    </row>
    <row r="4855" spans="1:2" x14ac:dyDescent="0.25">
      <c r="A4855" s="64" t="str">
        <f>HYPERLINK("http://www.twitter.com/ArtemisScotland", "ArtemisScotland")</f>
        <v>ArtemisScotland</v>
      </c>
      <c r="B4855" s="65" t="s">
        <v>517</v>
      </c>
    </row>
    <row r="4856" spans="1:2" x14ac:dyDescent="0.25">
      <c r="A4856" s="64" t="str">
        <f>HYPERLINK("http://www.twitter.com/ECStewart", "ECStewart")</f>
        <v>ECStewart</v>
      </c>
      <c r="B4856" s="65" t="s">
        <v>5508</v>
      </c>
    </row>
    <row r="4857" spans="1:2" x14ac:dyDescent="0.25">
      <c r="A4857" s="64" t="str">
        <f>HYPERLINK("http://www.twitter.com/GoddessReading", "GoddessReading")</f>
        <v>GoddessReading</v>
      </c>
      <c r="B4857" s="65" t="s">
        <v>2007</v>
      </c>
    </row>
    <row r="4858" spans="1:2" x14ac:dyDescent="0.25">
      <c r="A4858" s="64" t="str">
        <f>HYPERLINK("http://www.twitter.com/lexmu", "lexmu")</f>
        <v>lexmu</v>
      </c>
      <c r="B4858" s="65" t="s">
        <v>5509</v>
      </c>
    </row>
    <row r="4859" spans="1:2" x14ac:dyDescent="0.25">
      <c r="A4859" s="64" t="str">
        <f>HYPERLINK("http://www.twitter.com/YTMojo", "YTMojo")</f>
        <v>YTMojo</v>
      </c>
      <c r="B4859" s="65" t="s">
        <v>5510</v>
      </c>
    </row>
    <row r="4860" spans="1:2" x14ac:dyDescent="0.25">
      <c r="A4860" s="64" t="str">
        <f>HYPERLINK("http://www.twitter.com/CELRobox", "CELRobox")</f>
        <v>CELRobox</v>
      </c>
      <c r="B4860" s="65" t="s">
        <v>5510</v>
      </c>
    </row>
    <row r="4861" spans="1:2" x14ac:dyDescent="0.25">
      <c r="A4861" s="64" t="str">
        <f>HYPERLINK("http://www.twitter.com/MoonlyMoonlyt", "MoonlyMoonlyt")</f>
        <v>MoonlyMoonlyt</v>
      </c>
      <c r="B4861" s="65"/>
    </row>
    <row r="4862" spans="1:2" x14ac:dyDescent="0.25">
      <c r="A4862" s="64" t="str">
        <f>HYPERLINK("http://www.twitter.com/KnittedClanger", "KnittedClanger")</f>
        <v>KnittedClanger</v>
      </c>
      <c r="B4862" s="65"/>
    </row>
    <row r="4863" spans="1:2" x14ac:dyDescent="0.25">
      <c r="A4863" s="64" t="str">
        <f>HYPERLINK("http://www.twitter.com/gaw_louise", "gaw_louise")</f>
        <v>gaw_louise</v>
      </c>
      <c r="B4863" s="65" t="s">
        <v>487</v>
      </c>
    </row>
    <row r="4864" spans="1:2" x14ac:dyDescent="0.25">
      <c r="A4864" s="64" t="str">
        <f>HYPERLINK("http://www.twitter.com/jctbolton", "jctbolton")</f>
        <v>jctbolton</v>
      </c>
      <c r="B4864" s="65" t="s">
        <v>5511</v>
      </c>
    </row>
    <row r="4865" spans="1:2" x14ac:dyDescent="0.25">
      <c r="A4865" s="64" t="str">
        <f>HYPERLINK("http://www.twitter.com/PeaceNoble", "PeaceNoble")</f>
        <v>PeaceNoble</v>
      </c>
      <c r="B4865" s="65" t="s">
        <v>5512</v>
      </c>
    </row>
    <row r="4866" spans="1:2" x14ac:dyDescent="0.25">
      <c r="A4866" s="64" t="str">
        <f>HYPERLINK("http://www.twitter.com/soul_poem_quote", "soul_poem_quote")</f>
        <v>soul_poem_quote</v>
      </c>
      <c r="B4866" s="65"/>
    </row>
    <row r="4867" spans="1:2" x14ac:dyDescent="0.25">
      <c r="A4867" s="64" t="str">
        <f>HYPERLINK("http://www.twitter.com/MatWilkie", "MatWilkie")</f>
        <v>MatWilkie</v>
      </c>
      <c r="B4867" s="65" t="s">
        <v>318</v>
      </c>
    </row>
    <row r="4868" spans="1:2" x14ac:dyDescent="0.25">
      <c r="A4868" s="64" t="str">
        <f>HYPERLINK("http://www.twitter.com/isaacalderman", "isaacalderman")</f>
        <v>isaacalderman</v>
      </c>
      <c r="B4868" s="65" t="s">
        <v>5513</v>
      </c>
    </row>
    <row r="4869" spans="1:2" x14ac:dyDescent="0.25">
      <c r="A4869" s="64" t="str">
        <f>HYPERLINK("http://www.twitter.com/Stupidmz", "Stupidmz")</f>
        <v>Stupidmz</v>
      </c>
      <c r="B4869" s="65" t="s">
        <v>5514</v>
      </c>
    </row>
    <row r="4870" spans="1:2" x14ac:dyDescent="0.25">
      <c r="A4870" s="64" t="str">
        <f>HYPERLINK("http://www.twitter.com/ymrowan", "ymrowan")</f>
        <v>ymrowan</v>
      </c>
      <c r="B4870" s="65"/>
    </row>
    <row r="4871" spans="1:2" x14ac:dyDescent="0.25">
      <c r="A4871" s="64" t="str">
        <f>HYPERLINK("http://www.twitter.com/zenon_olech", "zenon_olech")</f>
        <v>zenon_olech</v>
      </c>
      <c r="B4871" s="65"/>
    </row>
    <row r="4872" spans="1:2" x14ac:dyDescent="0.25">
      <c r="A4872" s="64" t="str">
        <f>HYPERLINK("http://www.twitter.com/SueHarrison123", "SueHarrison123")</f>
        <v>SueHarrison123</v>
      </c>
      <c r="B4872" s="65" t="s">
        <v>36</v>
      </c>
    </row>
    <row r="4873" spans="1:2" x14ac:dyDescent="0.25">
      <c r="A4873" s="64" t="str">
        <f>HYPERLINK("http://www.twitter.com/Pradip84421644", "Pradip84421644")</f>
        <v>Pradip84421644</v>
      </c>
      <c r="B4873" s="65" t="s">
        <v>5515</v>
      </c>
    </row>
    <row r="4874" spans="1:2" x14ac:dyDescent="0.25">
      <c r="A4874" s="64" t="str">
        <f>HYPERLINK("http://www.twitter.com/CREAT3Dprinters", "CREAT3Dprinters")</f>
        <v>CREAT3Dprinters</v>
      </c>
      <c r="B4874" s="65" t="s">
        <v>70</v>
      </c>
    </row>
    <row r="4875" spans="1:2" x14ac:dyDescent="0.25">
      <c r="A4875" s="64" t="str">
        <f>HYPERLINK("http://www.twitter.com/fredbarboo", "fredbarboo")</f>
        <v>fredbarboo</v>
      </c>
      <c r="B4875" s="65" t="s">
        <v>5516</v>
      </c>
    </row>
    <row r="4876" spans="1:2" x14ac:dyDescent="0.25">
      <c r="A4876" s="64" t="str">
        <f>HYPERLINK("http://www.twitter.com/mjfisher777", "mjfisher777")</f>
        <v>mjfisher777</v>
      </c>
      <c r="B4876" s="65" t="s">
        <v>5517</v>
      </c>
    </row>
    <row r="4877" spans="1:2" x14ac:dyDescent="0.25">
      <c r="A4877" s="64" t="str">
        <f>HYPERLINK("http://www.twitter.com/oliver_dw", "oliver_dw")</f>
        <v>oliver_dw</v>
      </c>
      <c r="B4877" s="65" t="s">
        <v>36</v>
      </c>
    </row>
    <row r="4878" spans="1:2" x14ac:dyDescent="0.25">
      <c r="A4878" s="64" t="str">
        <f>HYPERLINK("http://www.twitter.com/degutails", "degutails")</f>
        <v>degutails</v>
      </c>
      <c r="B4878" s="65" t="s">
        <v>5518</v>
      </c>
    </row>
    <row r="4879" spans="1:2" x14ac:dyDescent="0.25">
      <c r="A4879" s="64" t="str">
        <f>HYPERLINK("http://www.twitter.com/Hanadi63195299", "Hanadi63195299")</f>
        <v>Hanadi63195299</v>
      </c>
      <c r="B4879" s="65"/>
    </row>
    <row r="4880" spans="1:2" x14ac:dyDescent="0.25">
      <c r="A4880" s="64" t="str">
        <f>HYPERLINK("http://www.twitter.com/LizHudson82", "LizHudson82")</f>
        <v>LizHudson82</v>
      </c>
      <c r="B4880" s="65" t="s">
        <v>4501</v>
      </c>
    </row>
    <row r="4881" spans="1:2" x14ac:dyDescent="0.25">
      <c r="A4881" s="64" t="str">
        <f>HYPERLINK("http://www.twitter.com/bluestockclub", "bluestockclub")</f>
        <v>bluestockclub</v>
      </c>
      <c r="B4881" s="65" t="s">
        <v>477</v>
      </c>
    </row>
    <row r="4882" spans="1:2" x14ac:dyDescent="0.25">
      <c r="A4882" s="64" t="str">
        <f>HYPERLINK("http://www.twitter.com/neilrogers25", "neilrogers25")</f>
        <v>neilrogers25</v>
      </c>
      <c r="B4882" s="65"/>
    </row>
    <row r="4883" spans="1:2" x14ac:dyDescent="0.25">
      <c r="A4883" s="64" t="str">
        <f>HYPERLINK("http://www.twitter.com/mykdavies", "mykdavies")</f>
        <v>mykdavies</v>
      </c>
      <c r="B4883" s="65" t="s">
        <v>5519</v>
      </c>
    </row>
    <row r="4884" spans="1:2" x14ac:dyDescent="0.25">
      <c r="A4884" s="64" t="str">
        <f>HYPERLINK("http://www.twitter.com/epiphanyengine", "epiphanyengine")</f>
        <v>epiphanyengine</v>
      </c>
      <c r="B4884" s="65" t="s">
        <v>3978</v>
      </c>
    </row>
    <row r="4885" spans="1:2" x14ac:dyDescent="0.25">
      <c r="A4885" s="64" t="str">
        <f>HYPERLINK("http://www.twitter.com/IreneVass", "IreneVass")</f>
        <v>IreneVass</v>
      </c>
      <c r="B4885" s="65"/>
    </row>
    <row r="4886" spans="1:2" x14ac:dyDescent="0.25">
      <c r="A4886" s="64" t="str">
        <f>HYPERLINK("http://www.twitter.com/BenCPike", "BenCPike")</f>
        <v>BenCPike</v>
      </c>
      <c r="B4886" s="65"/>
    </row>
    <row r="4887" spans="1:2" x14ac:dyDescent="0.25">
      <c r="A4887" s="64" t="str">
        <f>HYPERLINK("http://www.twitter.com/ijunk2009", "ijunk2009")</f>
        <v>ijunk2009</v>
      </c>
      <c r="B4887" s="65" t="s">
        <v>5520</v>
      </c>
    </row>
    <row r="4888" spans="1:2" x14ac:dyDescent="0.25">
      <c r="A4888" s="64" t="str">
        <f>HYPERLINK("http://www.twitter.com/Jan21Straf", "Jan21Straf")</f>
        <v>Jan21Straf</v>
      </c>
      <c r="B4888" s="65" t="s">
        <v>33</v>
      </c>
    </row>
    <row r="4889" spans="1:2" x14ac:dyDescent="0.25">
      <c r="A4889" s="64" t="str">
        <f>HYPERLINK("http://www.twitter.com/contango", "contango")</f>
        <v>contango</v>
      </c>
      <c r="B4889" s="65" t="s">
        <v>5521</v>
      </c>
    </row>
    <row r="4890" spans="1:2" x14ac:dyDescent="0.25">
      <c r="A4890" s="64" t="str">
        <f>HYPERLINK("http://www.twitter.com/tashmahal", "tashmahal")</f>
        <v>tashmahal</v>
      </c>
      <c r="B4890" s="65" t="s">
        <v>3974</v>
      </c>
    </row>
    <row r="4891" spans="1:2" x14ac:dyDescent="0.25">
      <c r="A4891" s="64" t="str">
        <f>HYPERLINK("http://www.twitter.com/AlastairClyde", "AlastairClyde")</f>
        <v>AlastairClyde</v>
      </c>
      <c r="B4891" s="65" t="s">
        <v>2007</v>
      </c>
    </row>
    <row r="4892" spans="1:2" x14ac:dyDescent="0.25">
      <c r="A4892" s="64" t="str">
        <f>HYPERLINK("http://www.twitter.com/BGCY", "BGCY")</f>
        <v>BGCY</v>
      </c>
      <c r="B4892" s="65"/>
    </row>
    <row r="4893" spans="1:2" x14ac:dyDescent="0.25">
      <c r="A4893" s="64" t="str">
        <f>HYPERLINK("http://www.twitter.com/PhilLucas", "PhilLucas")</f>
        <v>PhilLucas</v>
      </c>
      <c r="B4893" s="65" t="s">
        <v>5522</v>
      </c>
    </row>
    <row r="4894" spans="1:2" x14ac:dyDescent="0.25">
      <c r="A4894" s="64" t="str">
        <f>HYPERLINK("http://www.twitter.com/PhilJerrod", "PhilJerrod")</f>
        <v>PhilJerrod</v>
      </c>
      <c r="B4894" s="65" t="s">
        <v>1841</v>
      </c>
    </row>
    <row r="4895" spans="1:2" x14ac:dyDescent="0.25">
      <c r="A4895" s="64" t="str">
        <f>HYPERLINK("http://www.twitter.com/chrishawes", "chrishawes")</f>
        <v>chrishawes</v>
      </c>
      <c r="B4895" s="65" t="s">
        <v>514</v>
      </c>
    </row>
    <row r="4896" spans="1:2" x14ac:dyDescent="0.25">
      <c r="A4896" s="64" t="str">
        <f>HYPERLINK("http://www.twitter.com/mrgajones", "mrgajones")</f>
        <v>mrgajones</v>
      </c>
      <c r="B4896" s="65" t="s">
        <v>5523</v>
      </c>
    </row>
    <row r="4897" spans="1:2" x14ac:dyDescent="0.25">
      <c r="A4897" s="64" t="str">
        <f>HYPERLINK("http://www.twitter.com/bouncingdan", "bouncingdan")</f>
        <v>bouncingdan</v>
      </c>
      <c r="B4897" s="65" t="s">
        <v>5524</v>
      </c>
    </row>
    <row r="4898" spans="1:2" x14ac:dyDescent="0.25">
      <c r="A4898" s="64" t="str">
        <f>HYPERLINK("http://www.twitter.com/ScotsBankingLaw", "ScotsBankingLaw")</f>
        <v>ScotsBankingLaw</v>
      </c>
      <c r="B4898" s="65" t="s">
        <v>24</v>
      </c>
    </row>
    <row r="4899" spans="1:2" x14ac:dyDescent="0.25">
      <c r="A4899" s="64" t="str">
        <f>HYPERLINK("http://www.twitter.com/Qld_Mythbuster", "Qld_Mythbuster")</f>
        <v>Qld_Mythbuster</v>
      </c>
      <c r="B4899" s="65" t="s">
        <v>5525</v>
      </c>
    </row>
    <row r="4900" spans="1:2" x14ac:dyDescent="0.25">
      <c r="A4900" s="64" t="str">
        <f>HYPERLINK("http://www.twitter.com/Saravan11619175", "Saravan11619175")</f>
        <v>Saravan11619175</v>
      </c>
      <c r="B4900" s="65"/>
    </row>
    <row r="4901" spans="1:2" x14ac:dyDescent="0.25">
      <c r="A4901" s="64" t="str">
        <f>HYPERLINK("http://www.twitter.com/sneakerslutkat", "sneakerslutkat")</f>
        <v>sneakerslutkat</v>
      </c>
      <c r="B4901" s="65" t="s">
        <v>5526</v>
      </c>
    </row>
    <row r="4902" spans="1:2" x14ac:dyDescent="0.25">
      <c r="A4902" s="64" t="str">
        <f>HYPERLINK("http://www.twitter.com/Girishg70587745", "Girishg70587745")</f>
        <v>Girishg70587745</v>
      </c>
      <c r="B4902" s="65" t="s">
        <v>5527</v>
      </c>
    </row>
    <row r="4903" spans="1:2" x14ac:dyDescent="0.25">
      <c r="A4903" s="64" t="str">
        <f>HYPERLINK("http://www.twitter.com/karLcx", "karLcx")</f>
        <v>karLcx</v>
      </c>
      <c r="B4903" s="65" t="s">
        <v>5528</v>
      </c>
    </row>
    <row r="4904" spans="1:2" x14ac:dyDescent="0.25">
      <c r="A4904" s="64" t="str">
        <f>HYPERLINK("http://www.twitter.com/manav7617", "manav7617")</f>
        <v>manav7617</v>
      </c>
      <c r="B4904" s="65"/>
    </row>
    <row r="4905" spans="1:2" x14ac:dyDescent="0.25">
      <c r="A4905" s="64" t="str">
        <f>HYPERLINK("http://www.twitter.com/patmcollis", "patmcollis")</f>
        <v>patmcollis</v>
      </c>
      <c r="B4905" s="65"/>
    </row>
    <row r="4906" spans="1:2" x14ac:dyDescent="0.25">
      <c r="A4906" s="64" t="str">
        <f>HYPERLINK("http://www.twitter.com/Borai_Music", "Borai_Music")</f>
        <v>Borai_Music</v>
      </c>
      <c r="B4906" s="65" t="s">
        <v>514</v>
      </c>
    </row>
    <row r="4907" spans="1:2" x14ac:dyDescent="0.25">
      <c r="A4907" s="64" t="str">
        <f>HYPERLINK("http://www.twitter.com/PraynHard", "PraynHard")</f>
        <v>PraynHard</v>
      </c>
      <c r="B4907" s="65" t="s">
        <v>5529</v>
      </c>
    </row>
    <row r="4908" spans="1:2" x14ac:dyDescent="0.25">
      <c r="A4908" s="64" t="str">
        <f>HYPERLINK("http://www.twitter.com/kartman0069", "kartman0069")</f>
        <v>kartman0069</v>
      </c>
      <c r="B4908" s="65"/>
    </row>
    <row r="4909" spans="1:2" x14ac:dyDescent="0.25">
      <c r="A4909" s="64" t="str">
        <f>HYPERLINK("http://www.twitter.com/PuspaBharti", "PuspaBharti")</f>
        <v>PuspaBharti</v>
      </c>
      <c r="B4909" s="65" t="s">
        <v>5530</v>
      </c>
    </row>
    <row r="4910" spans="1:2" x14ac:dyDescent="0.25">
      <c r="A4910" s="64" t="str">
        <f>HYPERLINK("http://www.twitter.com/Lucinda_Dixon", "Lucinda_Dixon")</f>
        <v>Lucinda_Dixon</v>
      </c>
      <c r="B4910" s="65"/>
    </row>
    <row r="4911" spans="1:2" x14ac:dyDescent="0.25">
      <c r="A4911" s="64" t="str">
        <f>HYPERLINK("http://www.twitter.com/CaptainGravity", "CaptainGravity")</f>
        <v>CaptainGravity</v>
      </c>
      <c r="B4911" s="65" t="s">
        <v>5531</v>
      </c>
    </row>
    <row r="4912" spans="1:2" x14ac:dyDescent="0.25">
      <c r="A4912" s="64" t="str">
        <f>HYPERLINK("http://www.twitter.com/fkingsafe", "fkingsafe")</f>
        <v>fkingsafe</v>
      </c>
      <c r="B4912" s="65" t="s">
        <v>1295</v>
      </c>
    </row>
    <row r="4913" spans="1:2" x14ac:dyDescent="0.25">
      <c r="A4913" s="64" t="str">
        <f>HYPERLINK("http://www.twitter.com/edinlibrarycat", "edinlibrarycat")</f>
        <v>edinlibrarycat</v>
      </c>
      <c r="B4913" s="65" t="s">
        <v>24</v>
      </c>
    </row>
    <row r="4914" spans="1:2" x14ac:dyDescent="0.25">
      <c r="A4914" s="64" t="str">
        <f>HYPERLINK("http://www.twitter.com/SNHbiodiversity", "SNHbiodiversity")</f>
        <v>SNHbiodiversity</v>
      </c>
      <c r="B4914" s="65" t="s">
        <v>2007</v>
      </c>
    </row>
    <row r="4915" spans="1:2" x14ac:dyDescent="0.25">
      <c r="A4915" s="64" t="str">
        <f>HYPERLINK("http://www.twitter.com/Bhavesh55614763", "Bhavesh55614763")</f>
        <v>Bhavesh55614763</v>
      </c>
      <c r="B4915" s="65" t="s">
        <v>5532</v>
      </c>
    </row>
    <row r="4916" spans="1:2" x14ac:dyDescent="0.25">
      <c r="A4916" s="64" t="str">
        <f>HYPERLINK("http://www.twitter.com/gwyntdc", "gwyntdc")</f>
        <v>gwyntdc</v>
      </c>
      <c r="B4916" s="65" t="s">
        <v>5533</v>
      </c>
    </row>
    <row r="4917" spans="1:2" x14ac:dyDescent="0.25">
      <c r="A4917" s="64" t="str">
        <f>HYPERLINK("http://www.twitter.com/djthinking", "djthinking")</f>
        <v>djthinking</v>
      </c>
      <c r="B4917" s="65" t="s">
        <v>5534</v>
      </c>
    </row>
    <row r="4918" spans="1:2" x14ac:dyDescent="0.25">
      <c r="A4918" s="64" t="str">
        <f>HYPERLINK("http://www.twitter.com/lardychap", "lardychap")</f>
        <v>lardychap</v>
      </c>
      <c r="B4918" s="65" t="s">
        <v>788</v>
      </c>
    </row>
    <row r="4919" spans="1:2" x14ac:dyDescent="0.25">
      <c r="A4919" s="64" t="str">
        <f>HYPERLINK("http://www.twitter.com/MetroQuest", "MetroQuest")</f>
        <v>MetroQuest</v>
      </c>
      <c r="B4919" s="65" t="s">
        <v>5535</v>
      </c>
    </row>
    <row r="4920" spans="1:2" x14ac:dyDescent="0.25">
      <c r="A4920" s="64" t="str">
        <f>HYPERLINK("http://www.twitter.com/RobEAGray", "RobEAGray")</f>
        <v>RobEAGray</v>
      </c>
      <c r="B4920" s="65" t="s">
        <v>1295</v>
      </c>
    </row>
    <row r="4921" spans="1:2" x14ac:dyDescent="0.25">
      <c r="A4921" s="64" t="str">
        <f>HYPERLINK("http://www.twitter.com/jamiedonuts", "jamiedonuts")</f>
        <v>jamiedonuts</v>
      </c>
      <c r="B4921" s="65" t="s">
        <v>1873</v>
      </c>
    </row>
    <row r="4922" spans="1:2" x14ac:dyDescent="0.25">
      <c r="A4922" s="64" t="str">
        <f>HYPERLINK("http://www.twitter.com/_katherine_may_", "_katherine_may_")</f>
        <v>_katherine_may_</v>
      </c>
      <c r="B4922" s="65" t="s">
        <v>5536</v>
      </c>
    </row>
    <row r="4923" spans="1:2" x14ac:dyDescent="0.25">
      <c r="A4923" s="64" t="str">
        <f>HYPERLINK("http://www.twitter.com/juanesse", "juanesse")</f>
        <v>juanesse</v>
      </c>
      <c r="B4923" s="65" t="s">
        <v>5537</v>
      </c>
    </row>
    <row r="4924" spans="1:2" x14ac:dyDescent="0.25">
      <c r="A4924" s="64" t="str">
        <f>HYPERLINK("http://www.twitter.com/DjDubBoy", "DjDubBoy")</f>
        <v>DjDubBoy</v>
      </c>
      <c r="B4924" s="65" t="s">
        <v>1295</v>
      </c>
    </row>
    <row r="4925" spans="1:2" x14ac:dyDescent="0.25">
      <c r="A4925" s="64" t="str">
        <f>HYPERLINK("http://www.twitter.com/Emmalina1973", "Emmalina1973")</f>
        <v>Emmalina1973</v>
      </c>
      <c r="B4925" s="65" t="s">
        <v>3894</v>
      </c>
    </row>
    <row r="4926" spans="1:2" x14ac:dyDescent="0.25">
      <c r="A4926" s="64" t="str">
        <f>HYPERLINK("http://www.twitter.com/F_in_Darke", "F_in_Darke")</f>
        <v>F_in_Darke</v>
      </c>
      <c r="B4926" s="65"/>
    </row>
    <row r="4927" spans="1:2" x14ac:dyDescent="0.25">
      <c r="A4927" s="64" t="str">
        <f>HYPERLINK("http://www.twitter.com/dacy_essex", "dacy_essex")</f>
        <v>dacy_essex</v>
      </c>
      <c r="B4927" s="65"/>
    </row>
    <row r="4928" spans="1:2" x14ac:dyDescent="0.25">
      <c r="A4928" s="64" t="str">
        <f>HYPERLINK("http://www.twitter.com/CarrieMMcG", "CarrieMMcG")</f>
        <v>CarrieMMcG</v>
      </c>
      <c r="B4928" s="65"/>
    </row>
    <row r="4929" spans="1:2" x14ac:dyDescent="0.25">
      <c r="A4929" s="64" t="str">
        <f>HYPERLINK("http://www.twitter.com/owen_cray", "owen_cray")</f>
        <v>owen_cray</v>
      </c>
      <c r="B4929" s="65" t="s">
        <v>883</v>
      </c>
    </row>
    <row r="4930" spans="1:2" x14ac:dyDescent="0.25">
      <c r="A4930" s="64" t="str">
        <f>HYPERLINK("http://www.twitter.com/StratfordLib1", "StratfordLib1")</f>
        <v>StratfordLib1</v>
      </c>
      <c r="B4930" s="65"/>
    </row>
    <row r="4931" spans="1:2" x14ac:dyDescent="0.25">
      <c r="A4931" s="64" t="str">
        <f>HYPERLINK("http://www.twitter.com/goldilocksrocks", "goldilocksrocks")</f>
        <v>goldilocksrocks</v>
      </c>
      <c r="B4931" s="65" t="s">
        <v>3040</v>
      </c>
    </row>
    <row r="4932" spans="1:2" x14ac:dyDescent="0.25">
      <c r="A4932" s="64" t="str">
        <f>HYPERLINK("http://www.twitter.com/AbingdonLibrary", "AbingdonLibrary")</f>
        <v>AbingdonLibrary</v>
      </c>
      <c r="B4932" s="65" t="s">
        <v>1036</v>
      </c>
    </row>
    <row r="4933" spans="1:2" x14ac:dyDescent="0.25">
      <c r="A4933" s="64" t="str">
        <f>HYPERLINK("http://www.twitter.com/bill_dwyer", "bill_dwyer")</f>
        <v>bill_dwyer</v>
      </c>
      <c r="B4933" s="65" t="s">
        <v>5538</v>
      </c>
    </row>
    <row r="4934" spans="1:2" x14ac:dyDescent="0.25">
      <c r="A4934" s="64" t="str">
        <f>HYPERLINK("http://www.twitter.com/EricksonPrime", "EricksonPrime")</f>
        <v>EricksonPrime</v>
      </c>
      <c r="B4934" s="65" t="s">
        <v>4702</v>
      </c>
    </row>
    <row r="4935" spans="1:2" x14ac:dyDescent="0.25">
      <c r="A4935" s="64" t="str">
        <f>HYPERLINK("http://www.twitter.com/TheElfRun", "TheElfRun")</f>
        <v>TheElfRun</v>
      </c>
      <c r="B4935" s="65" t="s">
        <v>5539</v>
      </c>
    </row>
    <row r="4936" spans="1:2" x14ac:dyDescent="0.25">
      <c r="A4936" s="64" t="str">
        <f>HYPERLINK("http://www.twitter.com/stevenmeek0", "stevenmeek0")</f>
        <v>stevenmeek0</v>
      </c>
      <c r="B4936" s="65"/>
    </row>
    <row r="4937" spans="1:2" x14ac:dyDescent="0.25">
      <c r="A4937" s="64" t="str">
        <f>HYPERLINK("http://www.twitter.com/lowlytree", "lowlytree")</f>
        <v>lowlytree</v>
      </c>
      <c r="B4937" s="65"/>
    </row>
    <row r="4938" spans="1:2" x14ac:dyDescent="0.25">
      <c r="A4938" s="64" t="str">
        <f>HYPERLINK("http://www.twitter.com/katewith4kids", "katewith4kids")</f>
        <v>katewith4kids</v>
      </c>
      <c r="B4938" s="65"/>
    </row>
    <row r="4939" spans="1:2" x14ac:dyDescent="0.25">
      <c r="A4939" s="64" t="str">
        <f>HYPERLINK("http://www.twitter.com/jandrews81", "jandrews81")</f>
        <v>jandrews81</v>
      </c>
      <c r="B4939" s="65" t="s">
        <v>4145</v>
      </c>
    </row>
    <row r="4940" spans="1:2" x14ac:dyDescent="0.25">
      <c r="A4940" s="64" t="str">
        <f>HYPERLINK("http://www.twitter.com/dpgilligan", "dpgilligan")</f>
        <v>dpgilligan</v>
      </c>
      <c r="B4940" s="65" t="s">
        <v>4062</v>
      </c>
    </row>
    <row r="4941" spans="1:2" x14ac:dyDescent="0.25">
      <c r="A4941" s="64" t="str">
        <f>HYPERLINK("http://www.twitter.com/adilla", "adilla")</f>
        <v>adilla</v>
      </c>
      <c r="B4941" s="65" t="s">
        <v>5540</v>
      </c>
    </row>
    <row r="4942" spans="1:2" x14ac:dyDescent="0.25">
      <c r="A4942" s="64" t="str">
        <f>HYPERLINK("http://www.twitter.com/luciesalg", "luciesalg")</f>
        <v>luciesalg</v>
      </c>
      <c r="B4942" s="65" t="s">
        <v>4837</v>
      </c>
    </row>
    <row r="4943" spans="1:2" x14ac:dyDescent="0.25">
      <c r="A4943" s="64" t="str">
        <f>HYPERLINK("http://www.twitter.com/pennerm", "pennerm")</f>
        <v>pennerm</v>
      </c>
      <c r="B4943" s="65"/>
    </row>
    <row r="4944" spans="1:2" x14ac:dyDescent="0.25">
      <c r="A4944" s="64" t="str">
        <f>HYPERLINK("http://www.twitter.com/Hokibil", "Hokibil")</f>
        <v>Hokibil</v>
      </c>
      <c r="B4944" s="65" t="s">
        <v>5541</v>
      </c>
    </row>
    <row r="4945" spans="1:2" x14ac:dyDescent="0.25">
      <c r="A4945" s="64" t="str">
        <f>HYPERLINK("http://www.twitter.com/mojodean", "mojodean")</f>
        <v>mojodean</v>
      </c>
      <c r="B4945" s="65" t="s">
        <v>5542</v>
      </c>
    </row>
    <row r="4946" spans="1:2" x14ac:dyDescent="0.25">
      <c r="A4946" s="64" t="str">
        <f>HYPERLINK("http://www.twitter.com/avabram", "avabram")</f>
        <v>avabram</v>
      </c>
      <c r="B4946" s="65"/>
    </row>
    <row r="4947" spans="1:2" x14ac:dyDescent="0.25">
      <c r="A4947" s="64" t="str">
        <f>HYPERLINK("http://www.twitter.com/BlueRaveFinn", "BlueRaveFinn")</f>
        <v>BlueRaveFinn</v>
      </c>
      <c r="B4947" s="65" t="s">
        <v>4678</v>
      </c>
    </row>
    <row r="4948" spans="1:2" x14ac:dyDescent="0.25">
      <c r="A4948" s="64" t="str">
        <f>HYPERLINK("http://www.twitter.com/HorizonsCTS", "HorizonsCTS")</f>
        <v>HorizonsCTS</v>
      </c>
      <c r="B4948" s="65"/>
    </row>
    <row r="4949" spans="1:2" x14ac:dyDescent="0.25">
      <c r="A4949" s="64" t="str">
        <f>HYPERLINK("http://www.twitter.com/HealGrowShine", "HealGrowShine")</f>
        <v>HealGrowShine</v>
      </c>
      <c r="B4949" s="65" t="s">
        <v>5543</v>
      </c>
    </row>
    <row r="4950" spans="1:2" x14ac:dyDescent="0.25">
      <c r="A4950" s="64" t="str">
        <f>HYPERLINK("http://www.twitter.com/AnneMarieClark6", "AnneMarieClark6")</f>
        <v>AnneMarieClark6</v>
      </c>
      <c r="B4950" s="65" t="s">
        <v>5544</v>
      </c>
    </row>
    <row r="4951" spans="1:2" x14ac:dyDescent="0.25">
      <c r="A4951" s="64" t="str">
        <f>HYPERLINK("http://www.twitter.com/PeterAWBlair", "PeterAWBlair")</f>
        <v>PeterAWBlair</v>
      </c>
      <c r="B4951" s="65" t="s">
        <v>3785</v>
      </c>
    </row>
    <row r="4952" spans="1:2" x14ac:dyDescent="0.25">
      <c r="A4952" s="64" t="str">
        <f>HYPERLINK("http://www.twitter.com/katewantstorun", "katewantstorun")</f>
        <v>katewantstorun</v>
      </c>
      <c r="B4952" s="65" t="s">
        <v>5545</v>
      </c>
    </row>
    <row r="4953" spans="1:2" x14ac:dyDescent="0.25">
      <c r="A4953" s="64" t="str">
        <f>HYPERLINK("http://www.twitter.com/jacobjerickson", "jacobjerickson")</f>
        <v>jacobjerickson</v>
      </c>
      <c r="B4953" s="65" t="s">
        <v>5546</v>
      </c>
    </row>
    <row r="4954" spans="1:2" x14ac:dyDescent="0.25">
      <c r="A4954" s="64" t="str">
        <f>HYPERLINK("http://www.twitter.com/sb_voice", "sb_voice")</f>
        <v>sb_voice</v>
      </c>
      <c r="B4954" s="65" t="s">
        <v>4324</v>
      </c>
    </row>
    <row r="4955" spans="1:2" x14ac:dyDescent="0.25">
      <c r="A4955" s="64" t="str">
        <f>HYPERLINK("http://www.twitter.com/ProductionAttic", "ProductionAttic")</f>
        <v>ProductionAttic</v>
      </c>
      <c r="B4955" s="65" t="s">
        <v>318</v>
      </c>
    </row>
    <row r="4956" spans="1:2" x14ac:dyDescent="0.25">
      <c r="A4956" s="64" t="str">
        <f>HYPERLINK("http://www.twitter.com/MissJLowery", "MissJLowery")</f>
        <v>MissJLowery</v>
      </c>
      <c r="B4956" s="65" t="s">
        <v>2007</v>
      </c>
    </row>
    <row r="4957" spans="1:2" x14ac:dyDescent="0.25">
      <c r="A4957" s="64" t="str">
        <f>HYPERLINK("http://www.twitter.com/AmyFMCL", "AmyFMCL")</f>
        <v>AmyFMCL</v>
      </c>
      <c r="B4957" s="65" t="s">
        <v>5547</v>
      </c>
    </row>
    <row r="4958" spans="1:2" x14ac:dyDescent="0.25">
      <c r="A4958" s="64" t="str">
        <f>HYPERLINK("http://www.twitter.com/BaronDJB", "BaronDJB")</f>
        <v>BaronDJB</v>
      </c>
      <c r="B4958" s="65" t="s">
        <v>5548</v>
      </c>
    </row>
    <row r="4959" spans="1:2" x14ac:dyDescent="0.25">
      <c r="A4959" s="64" t="str">
        <f>HYPERLINK("http://www.twitter.com/WaspSummer", "WaspSummer")</f>
        <v>WaspSummer</v>
      </c>
      <c r="B4959" s="65" t="s">
        <v>5089</v>
      </c>
    </row>
    <row r="4960" spans="1:2" x14ac:dyDescent="0.25">
      <c r="A4960" s="64" t="str">
        <f>HYPERLINK("http://www.twitter.com/TheRealStewbert", "TheRealStewbert")</f>
        <v>TheRealStewbert</v>
      </c>
      <c r="B4960" s="65"/>
    </row>
    <row r="4961" spans="1:2" x14ac:dyDescent="0.25">
      <c r="A4961" s="64" t="str">
        <f>HYPERLINK("http://www.twitter.com/TaylorWDriggers", "TaylorWDriggers")</f>
        <v>TaylorWDriggers</v>
      </c>
      <c r="B4961" s="65" t="s">
        <v>318</v>
      </c>
    </row>
    <row r="4962" spans="1:2" x14ac:dyDescent="0.25">
      <c r="A4962" s="64" t="str">
        <f>HYPERLINK("http://www.twitter.com/RebeccaJ", "RebeccaJ")</f>
        <v>RebeccaJ</v>
      </c>
      <c r="B4962" s="65" t="s">
        <v>5549</v>
      </c>
    </row>
    <row r="4963" spans="1:2" x14ac:dyDescent="0.25">
      <c r="A4963" s="64" t="str">
        <f>HYPERLINK("http://www.twitter.com/MDXLibrary", "MDXLibrary")</f>
        <v>MDXLibrary</v>
      </c>
      <c r="B4963" s="65" t="s">
        <v>36</v>
      </c>
    </row>
    <row r="4964" spans="1:2" x14ac:dyDescent="0.25">
      <c r="A4964" s="64" t="str">
        <f>HYPERLINK("http://www.twitter.com/MariaEcoGl", "MariaEcoGl")</f>
        <v>MariaEcoGl</v>
      </c>
      <c r="B4964" s="65" t="s">
        <v>138</v>
      </c>
    </row>
    <row r="4965" spans="1:2" x14ac:dyDescent="0.25">
      <c r="A4965" s="64" t="str">
        <f>HYPERLINK("http://www.twitter.com/mark_travers", "mark_travers")</f>
        <v>mark_travers</v>
      </c>
      <c r="B4965" s="65" t="s">
        <v>3817</v>
      </c>
    </row>
    <row r="4966" spans="1:2" x14ac:dyDescent="0.25">
      <c r="A4966" s="64" t="str">
        <f>HYPERLINK("http://www.twitter.com/tomdearie", "tomdearie")</f>
        <v>tomdearie</v>
      </c>
      <c r="B4966" s="65"/>
    </row>
    <row r="4967" spans="1:2" x14ac:dyDescent="0.25">
      <c r="A4967" s="64" t="str">
        <f>HYPERLINK("http://www.twitter.com/HIGlasgow", "HIGlasgow")</f>
        <v>HIGlasgow</v>
      </c>
      <c r="B4967" s="65" t="s">
        <v>318</v>
      </c>
    </row>
    <row r="4968" spans="1:2" x14ac:dyDescent="0.25">
      <c r="A4968" s="64" t="str">
        <f>HYPERLINK("http://www.twitter.com/ice_crystal", "ice_crystal")</f>
        <v>ice_crystal</v>
      </c>
      <c r="B4968" s="65" t="s">
        <v>296</v>
      </c>
    </row>
    <row r="4969" spans="1:2" x14ac:dyDescent="0.25">
      <c r="A4969" s="64" t="str">
        <f>HYPERLINK("http://www.twitter.com/rleyton", "rleyton")</f>
        <v>rleyton</v>
      </c>
      <c r="B4969" s="65" t="s">
        <v>318</v>
      </c>
    </row>
    <row r="4970" spans="1:2" x14ac:dyDescent="0.25">
      <c r="A4970" s="64" t="str">
        <f>HYPERLINK("http://www.twitter.com/tomsurlaplage", "tomsurlaplage")</f>
        <v>tomsurlaplage</v>
      </c>
      <c r="B4970" s="65" t="s">
        <v>5550</v>
      </c>
    </row>
    <row r="4971" spans="1:2" x14ac:dyDescent="0.25">
      <c r="A4971" s="64" t="str">
        <f>HYPERLINK("http://www.twitter.com/Dreamingof___", "Dreamingof___")</f>
        <v>Dreamingof___</v>
      </c>
      <c r="B4971" s="65" t="s">
        <v>3978</v>
      </c>
    </row>
    <row r="4972" spans="1:2" x14ac:dyDescent="0.25">
      <c r="A4972" s="64" t="str">
        <f>HYPERLINK("http://www.twitter.com/ngaiobee", "ngaiobee")</f>
        <v>ngaiobee</v>
      </c>
      <c r="B4972" s="65"/>
    </row>
    <row r="4973" spans="1:2" x14ac:dyDescent="0.25">
      <c r="A4973" s="64" t="str">
        <f>HYPERLINK("http://www.twitter.com/pastpictures_", "pastpictures_")</f>
        <v>pastpictures_</v>
      </c>
      <c r="B4973" s="65"/>
    </row>
    <row r="4974" spans="1:2" x14ac:dyDescent="0.25">
      <c r="A4974" s="64" t="str">
        <f>HYPERLINK("http://www.twitter.com/clairehalavage", "clairehalavage")</f>
        <v>clairehalavage</v>
      </c>
      <c r="B4974" s="65" t="s">
        <v>487</v>
      </c>
    </row>
    <row r="4975" spans="1:2" x14ac:dyDescent="0.25">
      <c r="A4975" s="64" t="str">
        <f>HYPERLINK("http://www.twitter.com/ksleverson", "ksleverson")</f>
        <v>ksleverson</v>
      </c>
      <c r="B4975" s="65" t="s">
        <v>36</v>
      </c>
    </row>
    <row r="4976" spans="1:2" x14ac:dyDescent="0.25">
      <c r="A4976" s="64" t="str">
        <f>HYPERLINK("http://www.twitter.com/Yogesh55842086", "Yogesh55842086")</f>
        <v>Yogesh55842086</v>
      </c>
      <c r="B4976" s="65"/>
    </row>
    <row r="4977" spans="1:2" x14ac:dyDescent="0.25">
      <c r="A4977" s="64" t="str">
        <f>HYPERLINK("http://www.twitter.com/ooumanna", "ooumanna")</f>
        <v>ooumanna</v>
      </c>
      <c r="B4977" s="65" t="s">
        <v>5551</v>
      </c>
    </row>
    <row r="4978" spans="1:2" x14ac:dyDescent="0.25">
      <c r="A4978" s="64" t="str">
        <f>HYPERLINK("http://www.twitter.com/MillenniumLRC", "MillenniumLRC")</f>
        <v>MillenniumLRC</v>
      </c>
      <c r="B4978" s="65" t="s">
        <v>296</v>
      </c>
    </row>
    <row r="4979" spans="1:2" x14ac:dyDescent="0.25">
      <c r="A4979" s="64" t="str">
        <f>HYPERLINK("http://www.twitter.com/Abdulaziz_k", "Abdulaziz_k")</f>
        <v>Abdulaziz_k</v>
      </c>
      <c r="B4979" s="65" t="s">
        <v>5552</v>
      </c>
    </row>
    <row r="4980" spans="1:2" x14ac:dyDescent="0.25">
      <c r="A4980" s="64" t="str">
        <f>HYPERLINK("http://www.twitter.com/HobartBooklover", "HobartBooklover")</f>
        <v>HobartBooklover</v>
      </c>
      <c r="B4980" s="65"/>
    </row>
    <row r="4981" spans="1:2" x14ac:dyDescent="0.25">
      <c r="A4981" s="64" t="str">
        <f>HYPERLINK("http://www.twitter.com/adelmofarias98", "adelmofarias98")</f>
        <v>adelmofarias98</v>
      </c>
      <c r="B4981" s="65"/>
    </row>
    <row r="4982" spans="1:2" x14ac:dyDescent="0.25">
      <c r="A4982" s="64" t="str">
        <f>HYPERLINK("http://www.twitter.com/DuPeng7", "DuPeng7")</f>
        <v>DuPeng7</v>
      </c>
      <c r="B4982" s="65"/>
    </row>
    <row r="4983" spans="1:2" x14ac:dyDescent="0.25">
      <c r="A4983" s="64" t="str">
        <f>HYPERLINK("http://www.twitter.com/SMizaraite", "SMizaraite")</f>
        <v>SMizaraite</v>
      </c>
      <c r="B4983" s="65" t="s">
        <v>477</v>
      </c>
    </row>
    <row r="4984" spans="1:2" x14ac:dyDescent="0.25">
      <c r="A4984" s="64" t="str">
        <f>HYPERLINK("http://www.twitter.com/JayGreen_292", "JayGreen_292")</f>
        <v>JayGreen_292</v>
      </c>
      <c r="B4984" s="65"/>
    </row>
    <row r="4985" spans="1:2" x14ac:dyDescent="0.25">
      <c r="A4985" s="64" t="str">
        <f>HYPERLINK("http://www.twitter.com/greggmanson", "greggmanson")</f>
        <v>greggmanson</v>
      </c>
      <c r="B4985" s="65" t="s">
        <v>569</v>
      </c>
    </row>
    <row r="4986" spans="1:2" x14ac:dyDescent="0.25">
      <c r="A4986" s="64" t="str">
        <f>HYPERLINK("http://www.twitter.com/eve_lacey", "eve_lacey")</f>
        <v>eve_lacey</v>
      </c>
      <c r="B4986" s="65"/>
    </row>
    <row r="4987" spans="1:2" x14ac:dyDescent="0.25">
      <c r="A4987" s="64" t="str">
        <f>HYPERLINK("http://www.twitter.com/ClaireNWalker", "ClaireNWalker")</f>
        <v>ClaireNWalker</v>
      </c>
      <c r="B4987" s="65" t="s">
        <v>5553</v>
      </c>
    </row>
    <row r="4988" spans="1:2" x14ac:dyDescent="0.25">
      <c r="A4988" s="64" t="str">
        <f>HYPERLINK("http://www.twitter.com/Skyjacker007", "Skyjacker007")</f>
        <v>Skyjacker007</v>
      </c>
      <c r="B4988" s="65" t="s">
        <v>318</v>
      </c>
    </row>
    <row r="4989" spans="1:2" x14ac:dyDescent="0.25">
      <c r="A4989" s="64" t="str">
        <f>HYPERLINK("http://www.twitter.com/HaywardLib", "HaywardLib")</f>
        <v>HaywardLib</v>
      </c>
      <c r="B4989" s="65" t="s">
        <v>5554</v>
      </c>
    </row>
    <row r="4990" spans="1:2" x14ac:dyDescent="0.25">
      <c r="A4990" s="64" t="str">
        <f>HYPERLINK("http://www.twitter.com/hujansarat", "hujansarat")</f>
        <v>hujansarat</v>
      </c>
      <c r="B4990" s="65"/>
    </row>
    <row r="4991" spans="1:2" x14ac:dyDescent="0.25">
      <c r="A4991" s="64" t="str">
        <f>HYPERLINK("http://www.twitter.com/pipweaver", "pipweaver")</f>
        <v>pipweaver</v>
      </c>
      <c r="B4991" s="65" t="s">
        <v>477</v>
      </c>
    </row>
    <row r="4992" spans="1:2" x14ac:dyDescent="0.25">
      <c r="A4992" s="64" t="str">
        <f>HYPERLINK("http://www.twitter.com/AuthorCFeehan", "AuthorCFeehan")</f>
        <v>AuthorCFeehan</v>
      </c>
      <c r="B4992" s="65" t="s">
        <v>4388</v>
      </c>
    </row>
    <row r="4993" spans="1:2" x14ac:dyDescent="0.25">
      <c r="A4993" s="64" t="str">
        <f>HYPERLINK("http://www.twitter.com/thesimpleparent", "thesimpleparent")</f>
        <v>thesimpleparent</v>
      </c>
      <c r="B4993" s="65" t="s">
        <v>5555</v>
      </c>
    </row>
    <row r="4994" spans="1:2" x14ac:dyDescent="0.25">
      <c r="A4994" s="64" t="str">
        <f>HYPERLINK("http://www.twitter.com/FieldMeasurer", "FieldMeasurer")</f>
        <v>FieldMeasurer</v>
      </c>
      <c r="B4994" s="65"/>
    </row>
    <row r="4995" spans="1:2" x14ac:dyDescent="0.25">
      <c r="A4995" s="64" t="str">
        <f>HYPERLINK("http://www.twitter.com/KayDrumbo", "KayDrumbo")</f>
        <v>KayDrumbo</v>
      </c>
      <c r="B4995" s="65" t="s">
        <v>2007</v>
      </c>
    </row>
    <row r="4996" spans="1:2" x14ac:dyDescent="0.25">
      <c r="A4996" s="64" t="str">
        <f>HYPERLINK("http://www.twitter.com/deanwilborn", "deanwilborn")</f>
        <v>deanwilborn</v>
      </c>
      <c r="B4996" s="65" t="s">
        <v>5556</v>
      </c>
    </row>
    <row r="4997" spans="1:2" x14ac:dyDescent="0.25">
      <c r="A4997" s="64" t="str">
        <f>HYPERLINK("http://www.twitter.com/Jenba16", "Jenba16")</f>
        <v>Jenba16</v>
      </c>
      <c r="B4997" s="65"/>
    </row>
    <row r="4998" spans="1:2" x14ac:dyDescent="0.25">
      <c r="A4998" s="64" t="str">
        <f>HYPERLINK("http://www.twitter.com/yarnolda", "yarnolda")</f>
        <v>yarnolda</v>
      </c>
      <c r="B4998" s="65"/>
    </row>
    <row r="4999" spans="1:2" x14ac:dyDescent="0.25">
      <c r="A4999" s="64" t="str">
        <f>HYPERLINK("http://www.twitter.com/Magpiemoth", "Magpiemoth")</f>
        <v>Magpiemoth</v>
      </c>
      <c r="B4999" s="65" t="s">
        <v>639</v>
      </c>
    </row>
    <row r="5000" spans="1:2" x14ac:dyDescent="0.25">
      <c r="A5000" s="64" t="str">
        <f>HYPERLINK("http://www.twitter.com/Xmas_highlights", "Xmas_highlights")</f>
        <v>Xmas_highlights</v>
      </c>
      <c r="B5000" s="65" t="s">
        <v>70</v>
      </c>
    </row>
    <row r="5001" spans="1:2" x14ac:dyDescent="0.25">
      <c r="A5001" s="64" t="str">
        <f>HYPERLINK("http://www.twitter.com/Knitsky", "Knitsky")</f>
        <v>Knitsky</v>
      </c>
      <c r="B5001" s="65"/>
    </row>
    <row r="5002" spans="1:2" x14ac:dyDescent="0.25">
      <c r="A5002" s="64" t="str">
        <f>HYPERLINK("http://www.twitter.com/Hilary_Alison", "Hilary_Alison")</f>
        <v>Hilary_Alison</v>
      </c>
      <c r="B5002" s="65" t="s">
        <v>477</v>
      </c>
    </row>
    <row r="5003" spans="1:2" x14ac:dyDescent="0.25">
      <c r="A5003" s="64" t="str">
        <f>HYPERLINK("http://www.twitter.com/AnnaHMeredith", "AnnaHMeredith")</f>
        <v>AnnaHMeredith</v>
      </c>
      <c r="B5003" s="65" t="s">
        <v>5557</v>
      </c>
    </row>
    <row r="5004" spans="1:2" x14ac:dyDescent="0.25">
      <c r="A5004" s="64" t="str">
        <f>HYPERLINK("http://www.twitter.com/historycompany", "historycompany")</f>
        <v>historycompany</v>
      </c>
      <c r="B5004" s="65" t="s">
        <v>5558</v>
      </c>
    </row>
    <row r="5005" spans="1:2" x14ac:dyDescent="0.25">
      <c r="A5005" s="64" t="str">
        <f>HYPERLINK("http://www.twitter.com/makersflare", "makersflare")</f>
        <v>makersflare</v>
      </c>
      <c r="B5005" s="65" t="s">
        <v>110</v>
      </c>
    </row>
    <row r="5006" spans="1:2" x14ac:dyDescent="0.25">
      <c r="A5006" s="64" t="str">
        <f>HYPERLINK("http://www.twitter.com/adrea_rj", "adrea_rj")</f>
        <v>adrea_rj</v>
      </c>
      <c r="B5006" s="65" t="s">
        <v>5313</v>
      </c>
    </row>
    <row r="5007" spans="1:2" x14ac:dyDescent="0.25">
      <c r="A5007" s="64" t="str">
        <f>HYPERLINK("http://www.twitter.com/SingamsettiSK", "SingamsettiSK")</f>
        <v>SingamsettiSK</v>
      </c>
      <c r="B5007" s="65"/>
    </row>
    <row r="5008" spans="1:2" x14ac:dyDescent="0.25">
      <c r="A5008" s="64" t="str">
        <f>HYPERLINK("http://www.twitter.com/kirstyyyyyy", "kirstyyyyyy")</f>
        <v>kirstyyyyyy</v>
      </c>
      <c r="B5008" s="65" t="s">
        <v>36</v>
      </c>
    </row>
    <row r="5009" spans="1:2" x14ac:dyDescent="0.25">
      <c r="A5009" s="64" t="str">
        <f>HYPERLINK("http://www.twitter.com/retweetSHINE", "retweetSHINE")</f>
        <v>retweetSHINE</v>
      </c>
      <c r="B5009" s="65" t="s">
        <v>3797</v>
      </c>
    </row>
    <row r="5010" spans="1:2" x14ac:dyDescent="0.25">
      <c r="A5010" s="64" t="str">
        <f>HYPERLINK("http://www.twitter.com/te_narayanan", "te_narayanan")</f>
        <v>te_narayanan</v>
      </c>
      <c r="B5010" s="65"/>
    </row>
    <row r="5011" spans="1:2" x14ac:dyDescent="0.25">
      <c r="A5011" s="64" t="str">
        <f>HYPERLINK("http://www.twitter.com/TMWPROMOZ", "TMWPROMOZ")</f>
        <v>TMWPROMOZ</v>
      </c>
      <c r="B5011" s="65" t="s">
        <v>5480</v>
      </c>
    </row>
    <row r="5012" spans="1:2" x14ac:dyDescent="0.25">
      <c r="A5012" s="64" t="str">
        <f>HYPERLINK("http://www.twitter.com/scottthorburn1", "scottthorburn1")</f>
        <v>scottthorburn1</v>
      </c>
      <c r="B5012" s="65" t="s">
        <v>5559</v>
      </c>
    </row>
    <row r="5013" spans="1:2" x14ac:dyDescent="0.25">
      <c r="A5013" s="64" t="str">
        <f>HYPERLINK("http://www.twitter.com/BurnsvilleWVPL", "BurnsvilleWVPL")</f>
        <v>BurnsvilleWVPL</v>
      </c>
      <c r="B5013" s="65" t="s">
        <v>5560</v>
      </c>
    </row>
    <row r="5014" spans="1:2" x14ac:dyDescent="0.25">
      <c r="A5014" s="64" t="str">
        <f>HYPERLINK("http://www.twitter.com/HollandPie", "HollandPie")</f>
        <v>HollandPie</v>
      </c>
      <c r="B5014" s="65"/>
    </row>
    <row r="5015" spans="1:2" x14ac:dyDescent="0.25">
      <c r="A5015" s="64" t="str">
        <f>HYPERLINK("http://www.twitter.com/KelMcGDeepBluC", "KelMcGDeepBluC")</f>
        <v>KelMcGDeepBluC</v>
      </c>
      <c r="B5015" s="65"/>
    </row>
    <row r="5016" spans="1:2" x14ac:dyDescent="0.25">
      <c r="A5016" s="64" t="str">
        <f>HYPERLINK("http://www.twitter.com/hollyj003", "hollyj003")</f>
        <v>hollyj003</v>
      </c>
      <c r="B5016" s="65"/>
    </row>
    <row r="5017" spans="1:2" x14ac:dyDescent="0.25">
      <c r="A5017" s="64" t="str">
        <f>HYPERLINK("http://www.twitter.com/Sh_am_Al", "Sh_am_Al")</f>
        <v>Sh_am_Al</v>
      </c>
      <c r="B5017" s="65" t="s">
        <v>5561</v>
      </c>
    </row>
    <row r="5018" spans="1:2" x14ac:dyDescent="0.25">
      <c r="A5018" s="64" t="str">
        <f>HYPERLINK("http://www.twitter.com/melanielgarrett", "melanielgarrett")</f>
        <v>melanielgarrett</v>
      </c>
      <c r="B5018" s="65" t="s">
        <v>70</v>
      </c>
    </row>
    <row r="5019" spans="1:2" x14ac:dyDescent="0.25">
      <c r="A5019" s="64" t="str">
        <f>HYPERLINK("http://www.twitter.com/authorsharleen", "authorsharleen")</f>
        <v>authorsharleen</v>
      </c>
      <c r="B5019" s="65" t="s">
        <v>3797</v>
      </c>
    </row>
    <row r="5020" spans="1:2" x14ac:dyDescent="0.25">
      <c r="A5020" s="64" t="str">
        <f>HYPERLINK("http://www.twitter.com/kellyorkney", "kellyorkney")</f>
        <v>kellyorkney</v>
      </c>
      <c r="B5020" s="65"/>
    </row>
    <row r="5021" spans="1:2" x14ac:dyDescent="0.25">
      <c r="A5021" s="64" t="str">
        <f>HYPERLINK("http://www.twitter.com/HIXGlasgow", "HIXGlasgow")</f>
        <v>HIXGlasgow</v>
      </c>
      <c r="B5021" s="65" t="s">
        <v>318</v>
      </c>
    </row>
    <row r="5022" spans="1:2" x14ac:dyDescent="0.25">
      <c r="A5022" s="64" t="str">
        <f>HYPERLINK("http://www.twitter.com/nochless", "nochless")</f>
        <v>nochless</v>
      </c>
      <c r="B5022" s="65"/>
    </row>
    <row r="5023" spans="1:2" x14ac:dyDescent="0.25">
      <c r="A5023" s="64" t="str">
        <f>HYPERLINK("http://www.twitter.com/blanketpress", "blanketpress")</f>
        <v>blanketpress</v>
      </c>
      <c r="B5023" s="65" t="s">
        <v>1739</v>
      </c>
    </row>
    <row r="5024" spans="1:2" x14ac:dyDescent="0.25">
      <c r="A5024" s="64" t="str">
        <f>HYPERLINK("http://www.twitter.com/regentslibrary", "regentslibrary")</f>
        <v>regentslibrary</v>
      </c>
      <c r="B5024" s="65" t="s">
        <v>1882</v>
      </c>
    </row>
    <row r="5025" spans="1:2" x14ac:dyDescent="0.25">
      <c r="A5025" s="64" t="str">
        <f>HYPERLINK("http://www.twitter.com/Greendaychic78", "Greendaychic78")</f>
        <v>Greendaychic78</v>
      </c>
      <c r="B5025" s="65" t="s">
        <v>5562</v>
      </c>
    </row>
    <row r="5026" spans="1:2" x14ac:dyDescent="0.25">
      <c r="A5026" s="64" t="str">
        <f>HYPERLINK("http://www.twitter.com/smartco", "smartco")</f>
        <v>smartco</v>
      </c>
      <c r="B5026" s="65"/>
    </row>
    <row r="5027" spans="1:2" x14ac:dyDescent="0.25">
      <c r="A5027" s="64" t="str">
        <f>HYPERLINK("http://www.twitter.com/hellywelly40", "hellywelly40")</f>
        <v>hellywelly40</v>
      </c>
      <c r="B5027" s="65" t="s">
        <v>517</v>
      </c>
    </row>
    <row r="5028" spans="1:2" x14ac:dyDescent="0.25">
      <c r="A5028" s="64" t="str">
        <f>HYPERLINK("http://www.twitter.com/steckoastro", "steckoastro")</f>
        <v>steckoastro</v>
      </c>
      <c r="B5028" s="65"/>
    </row>
    <row r="5029" spans="1:2" x14ac:dyDescent="0.25">
      <c r="A5029" s="64" t="str">
        <f>HYPERLINK("http://www.twitter.com/SarahBoydH", "SarahBoydH")</f>
        <v>SarahBoydH</v>
      </c>
      <c r="B5029" s="65" t="s">
        <v>2213</v>
      </c>
    </row>
    <row r="5030" spans="1:2" x14ac:dyDescent="0.25">
      <c r="A5030" s="64" t="str">
        <f>HYPERLINK("http://www.twitter.com/SonnyMaley", "SonnyMaley")</f>
        <v>SonnyMaley</v>
      </c>
      <c r="B5030" s="65" t="s">
        <v>138</v>
      </c>
    </row>
    <row r="5031" spans="1:2" x14ac:dyDescent="0.25">
      <c r="A5031" s="64" t="str">
        <f>HYPERLINK("http://www.twitter.com/dottymurf", "dottymurf")</f>
        <v>dottymurf</v>
      </c>
      <c r="B5031" s="65" t="s">
        <v>1799</v>
      </c>
    </row>
    <row r="5032" spans="1:2" x14ac:dyDescent="0.25">
      <c r="A5032" s="64" t="str">
        <f>HYPERLINK("http://www.twitter.com/Sikamikanico", "Sikamikanico")</f>
        <v>Sikamikanico</v>
      </c>
      <c r="B5032" s="65" t="s">
        <v>4275</v>
      </c>
    </row>
    <row r="5033" spans="1:2" x14ac:dyDescent="0.25">
      <c r="A5033" s="64" t="str">
        <f>HYPERLINK("http://www.twitter.com/Legohelmet", "Legohelmet")</f>
        <v>Legohelmet</v>
      </c>
      <c r="B5033" s="65" t="s">
        <v>4215</v>
      </c>
    </row>
    <row r="5034" spans="1:2" x14ac:dyDescent="0.25">
      <c r="A5034" s="64" t="str">
        <f>HYPERLINK("http://www.twitter.com/Aimuseums", "Aimuseums")</f>
        <v>Aimuseums</v>
      </c>
      <c r="B5034" s="65" t="s">
        <v>296</v>
      </c>
    </row>
    <row r="5035" spans="1:2" x14ac:dyDescent="0.25">
      <c r="A5035" s="64" t="str">
        <f>HYPERLINK("http://www.twitter.com/literature_wine", "literature_wine")</f>
        <v>literature_wine</v>
      </c>
      <c r="B5035" s="65" t="s">
        <v>24</v>
      </c>
    </row>
    <row r="5036" spans="1:2" x14ac:dyDescent="0.25">
      <c r="A5036" s="64" t="str">
        <f>HYPERLINK("http://www.twitter.com/LindaRiley8", "LindaRiley8")</f>
        <v>LindaRiley8</v>
      </c>
      <c r="B5036" s="65" t="s">
        <v>477</v>
      </c>
    </row>
    <row r="5037" spans="1:2" x14ac:dyDescent="0.25">
      <c r="A5037" s="64" t="str">
        <f>HYPERLINK("http://www.twitter.com/nordiskbooks", "nordiskbooks")</f>
        <v>nordiskbooks</v>
      </c>
      <c r="B5037" s="65" t="s">
        <v>477</v>
      </c>
    </row>
    <row r="5038" spans="1:2" x14ac:dyDescent="0.25">
      <c r="A5038" s="64" t="str">
        <f>HYPERLINK("http://www.twitter.com/Zzzorsha", "Zzzorsha")</f>
        <v>Zzzorsha</v>
      </c>
      <c r="B5038" s="65" t="s">
        <v>4446</v>
      </c>
    </row>
    <row r="5039" spans="1:2" x14ac:dyDescent="0.25">
      <c r="A5039" s="64" t="str">
        <f>HYPERLINK("http://www.twitter.com/catriona_cc", "catriona_cc")</f>
        <v>catriona_cc</v>
      </c>
      <c r="B5039" s="65" t="s">
        <v>5563</v>
      </c>
    </row>
    <row r="5040" spans="1:2" x14ac:dyDescent="0.25">
      <c r="A5040" s="64" t="str">
        <f>HYPERLINK("http://www.twitter.com/aidansmith07", "aidansmith07")</f>
        <v>aidansmith07</v>
      </c>
      <c r="B5040" s="65"/>
    </row>
    <row r="5041" spans="1:2" x14ac:dyDescent="0.25">
      <c r="A5041" s="64" t="str">
        <f>HYPERLINK("http://www.twitter.com/sarwari786akbar", "sarwari786akbar")</f>
        <v>sarwari786akbar</v>
      </c>
      <c r="B5041" s="65" t="s">
        <v>4777</v>
      </c>
    </row>
    <row r="5042" spans="1:2" x14ac:dyDescent="0.25">
      <c r="A5042" s="64" t="str">
        <f>HYPERLINK("http://www.twitter.com/CaseJones_UA", "CaseJones_UA")</f>
        <v>CaseJones_UA</v>
      </c>
      <c r="B5042" s="65" t="s">
        <v>4145</v>
      </c>
    </row>
    <row r="5043" spans="1:2" x14ac:dyDescent="0.25">
      <c r="A5043" s="64" t="str">
        <f>HYPERLINK("http://www.twitter.com/kbphotos", "kbphotos")</f>
        <v>kbphotos</v>
      </c>
      <c r="B5043" s="65" t="s">
        <v>5564</v>
      </c>
    </row>
    <row r="5044" spans="1:2" x14ac:dyDescent="0.25">
      <c r="A5044" s="64" t="str">
        <f>HYPERLINK("http://www.twitter.com/dothenextthing", "dothenextthing")</f>
        <v>dothenextthing</v>
      </c>
      <c r="B5044" s="65" t="s">
        <v>5565</v>
      </c>
    </row>
    <row r="5045" spans="1:2" x14ac:dyDescent="0.25">
      <c r="A5045" s="64" t="str">
        <f>HYPERLINK("http://www.twitter.com/VeronicaODonn17", "VeronicaODonn17")</f>
        <v>VeronicaODonn17</v>
      </c>
      <c r="B5045" s="65"/>
    </row>
    <row r="5046" spans="1:2" x14ac:dyDescent="0.25">
      <c r="A5046" s="64" t="str">
        <f>HYPERLINK("http://www.twitter.com/CarysNield", "CarysNield")</f>
        <v>CarysNield</v>
      </c>
      <c r="B5046" s="65"/>
    </row>
    <row r="5047" spans="1:2" x14ac:dyDescent="0.25">
      <c r="A5047" s="64" t="str">
        <f>HYPERLINK("http://www.twitter.com/laraamandamarsh", "laraamandamarsh")</f>
        <v>laraamandamarsh</v>
      </c>
      <c r="B5047" s="65" t="s">
        <v>477</v>
      </c>
    </row>
    <row r="5048" spans="1:2" x14ac:dyDescent="0.25">
      <c r="A5048" s="64" t="str">
        <f>HYPERLINK("http://www.twitter.com/shhsecretmints", "shhsecretmints")</f>
        <v>shhsecretmints</v>
      </c>
      <c r="B5048" s="65" t="s">
        <v>5171</v>
      </c>
    </row>
    <row r="5049" spans="1:2" x14ac:dyDescent="0.25">
      <c r="A5049" s="64" t="str">
        <f>HYPERLINK("http://www.twitter.com/morganoes", "morganoes")</f>
        <v>morganoes</v>
      </c>
      <c r="B5049" s="65"/>
    </row>
    <row r="5050" spans="1:2" x14ac:dyDescent="0.25">
      <c r="A5050" s="64" t="str">
        <f>HYPERLINK("http://www.twitter.com/hio0ohi", "hio0ohi")</f>
        <v>hio0ohi</v>
      </c>
      <c r="B5050" s="65"/>
    </row>
    <row r="5051" spans="1:2" x14ac:dyDescent="0.25">
      <c r="A5051" s="64" t="str">
        <f>HYPERLINK("http://www.twitter.com/ChristinePenkhu", "ChristinePenkhu")</f>
        <v>ChristinePenkhu</v>
      </c>
      <c r="B5051" s="65"/>
    </row>
    <row r="5052" spans="1:2" x14ac:dyDescent="0.25">
      <c r="A5052" s="64" t="str">
        <f>HYPERLINK("http://www.twitter.com/AnybookLtd", "AnybookLtd")</f>
        <v>AnybookLtd</v>
      </c>
      <c r="B5052" s="65" t="s">
        <v>5566</v>
      </c>
    </row>
    <row r="5053" spans="1:2" x14ac:dyDescent="0.25">
      <c r="A5053" s="64" t="str">
        <f>HYPERLINK("http://www.twitter.com/TessMcGregor2", "TessMcGregor2")</f>
        <v>TessMcGregor2</v>
      </c>
      <c r="B5053" s="65"/>
    </row>
    <row r="5054" spans="1:2" x14ac:dyDescent="0.25">
      <c r="A5054" s="64" t="str">
        <f>HYPERLINK("http://www.twitter.com/Canadian_Author", "Canadian_Author")</f>
        <v>Canadian_Author</v>
      </c>
      <c r="B5054" s="65" t="s">
        <v>4664</v>
      </c>
    </row>
    <row r="5055" spans="1:2" x14ac:dyDescent="0.25">
      <c r="A5055" s="64" t="str">
        <f>HYPERLINK("http://www.twitter.com/ashleyoutlander", "ashleyoutlander")</f>
        <v>ashleyoutlander</v>
      </c>
      <c r="B5055" s="65" t="s">
        <v>4308</v>
      </c>
    </row>
    <row r="5056" spans="1:2" x14ac:dyDescent="0.25">
      <c r="A5056" s="64" t="str">
        <f>HYPERLINK("http://www.twitter.com/philshapiro", "philshapiro")</f>
        <v>philshapiro</v>
      </c>
      <c r="B5056" s="65" t="s">
        <v>5567</v>
      </c>
    </row>
    <row r="5057" spans="1:2" x14ac:dyDescent="0.25">
      <c r="A5057" s="64" t="str">
        <f>HYPERLINK("http://www.twitter.com/MiniSquiddy", "MiniSquiddy")</f>
        <v>MiniSquiddy</v>
      </c>
      <c r="B5057" s="65" t="s">
        <v>3954</v>
      </c>
    </row>
    <row r="5058" spans="1:2" x14ac:dyDescent="0.25">
      <c r="A5058" s="64" t="str">
        <f>HYPERLINK("http://www.twitter.com/AnagramPress", "AnagramPress")</f>
        <v>AnagramPress</v>
      </c>
      <c r="B5058" s="65" t="s">
        <v>5357</v>
      </c>
    </row>
    <row r="5059" spans="1:2" x14ac:dyDescent="0.25">
      <c r="A5059" s="64" t="str">
        <f>HYPERLINK("http://www.twitter.com/librarysanibel", "librarysanibel")</f>
        <v>librarysanibel</v>
      </c>
      <c r="B5059" s="65" t="s">
        <v>5568</v>
      </c>
    </row>
    <row r="5060" spans="1:2" x14ac:dyDescent="0.25">
      <c r="A5060" s="64" t="str">
        <f>HYPERLINK("http://www.twitter.com/Ellie_11", "Ellie_11")</f>
        <v>Ellie_11</v>
      </c>
      <c r="B5060" s="65" t="s">
        <v>2007</v>
      </c>
    </row>
    <row r="5061" spans="1:2" x14ac:dyDescent="0.25">
      <c r="A5061" s="64" t="str">
        <f>HYPERLINK("http://www.twitter.com/5opciones", "5opciones")</f>
        <v>5opciones</v>
      </c>
      <c r="B5061" s="65"/>
    </row>
    <row r="5062" spans="1:2" x14ac:dyDescent="0.25">
      <c r="A5062" s="64" t="str">
        <f>HYPERLINK("http://www.twitter.com/marybu0626", "marybu0626")</f>
        <v>marybu0626</v>
      </c>
      <c r="B5062" s="65"/>
    </row>
    <row r="5063" spans="1:2" x14ac:dyDescent="0.25">
      <c r="A5063" s="64" t="str">
        <f>HYPERLINK("http://www.twitter.com/karmakimmie", "karmakimmie")</f>
        <v>karmakimmie</v>
      </c>
      <c r="B5063" s="65" t="s">
        <v>5569</v>
      </c>
    </row>
    <row r="5064" spans="1:2" x14ac:dyDescent="0.25">
      <c r="A5064" s="64" t="str">
        <f>HYPERLINK("http://www.twitter.com/ravenswingthog", "ravenswingthog")</f>
        <v>ravenswingthog</v>
      </c>
      <c r="B5064" s="65" t="s">
        <v>5570</v>
      </c>
    </row>
    <row r="5065" spans="1:2" x14ac:dyDescent="0.25">
      <c r="A5065" s="64" t="str">
        <f>HYPERLINK("http://www.twitter.com/LondonSounds", "LondonSounds")</f>
        <v>LondonSounds</v>
      </c>
      <c r="B5065" s="65"/>
    </row>
    <row r="5066" spans="1:2" x14ac:dyDescent="0.25">
      <c r="A5066" s="64" t="str">
        <f>HYPERLINK("http://www.twitter.com/LDN_Muscle", "LDN_Muscle")</f>
        <v>LDN_Muscle</v>
      </c>
      <c r="B5066" s="65" t="s">
        <v>5571</v>
      </c>
    </row>
    <row r="5067" spans="1:2" x14ac:dyDescent="0.25">
      <c r="A5067" s="64" t="str">
        <f>HYPERLINK("http://www.twitter.com/shahbazmajeed", "shahbazmajeed")</f>
        <v>shahbazmajeed</v>
      </c>
      <c r="B5067" s="65" t="s">
        <v>232</v>
      </c>
    </row>
    <row r="5068" spans="1:2" x14ac:dyDescent="0.25">
      <c r="A5068" s="64" t="str">
        <f>HYPERLINK("http://www.twitter.com/harrietbevans", "harrietbevans")</f>
        <v>harrietbevans</v>
      </c>
      <c r="B5068" s="65" t="s">
        <v>477</v>
      </c>
    </row>
    <row r="5069" spans="1:2" x14ac:dyDescent="0.25">
      <c r="A5069" s="64" t="str">
        <f>HYPERLINK("http://www.twitter.com/jossaladdays", "jossaladdays")</f>
        <v>jossaladdays</v>
      </c>
      <c r="B5069" s="65" t="s">
        <v>5572</v>
      </c>
    </row>
    <row r="5070" spans="1:2" x14ac:dyDescent="0.25">
      <c r="A5070" s="64" t="str">
        <f>HYPERLINK("http://www.twitter.com/nutview", "nutview")</f>
        <v>nutview</v>
      </c>
      <c r="B5070" s="65" t="s">
        <v>5573</v>
      </c>
    </row>
    <row r="5071" spans="1:2" x14ac:dyDescent="0.25">
      <c r="A5071" s="64" t="str">
        <f>HYPERLINK("http://www.twitter.com/baldandbeardy", "baldandbeardy")</f>
        <v>baldandbeardy</v>
      </c>
      <c r="B5071" s="65"/>
    </row>
    <row r="5072" spans="1:2" x14ac:dyDescent="0.25">
      <c r="A5072" s="64" t="str">
        <f>HYPERLINK("http://www.twitter.com/CollectibleEx", "CollectibleEx")</f>
        <v>CollectibleEx</v>
      </c>
      <c r="B5072" s="65"/>
    </row>
    <row r="5073" spans="1:2" x14ac:dyDescent="0.25">
      <c r="A5073" s="64" t="str">
        <f>HYPERLINK("http://www.twitter.com/mitdasein", "mitdasein")</f>
        <v>mitdasein</v>
      </c>
      <c r="B5073" s="65" t="s">
        <v>5574</v>
      </c>
    </row>
    <row r="5074" spans="1:2" x14ac:dyDescent="0.25">
      <c r="A5074" s="64" t="str">
        <f>HYPERLINK("http://www.twitter.com/alvinlindsay21", "alvinlindsay21")</f>
        <v>alvinlindsay21</v>
      </c>
      <c r="B5074" s="65" t="s">
        <v>5575</v>
      </c>
    </row>
    <row r="5075" spans="1:2" x14ac:dyDescent="0.25">
      <c r="A5075" s="64" t="str">
        <f>HYPERLINK("http://www.twitter.com/amywalduck", "amywalduck")</f>
        <v>amywalduck</v>
      </c>
      <c r="B5075" s="65" t="s">
        <v>1479</v>
      </c>
    </row>
    <row r="5076" spans="1:2" x14ac:dyDescent="0.25">
      <c r="A5076" s="64" t="str">
        <f>HYPERLINK("http://www.twitter.com/JulietL62636463", "JulietL62636463")</f>
        <v>JulietL62636463</v>
      </c>
      <c r="B5076" s="65"/>
    </row>
    <row r="5077" spans="1:2" x14ac:dyDescent="0.25">
      <c r="A5077" s="64" t="str">
        <f>HYPERLINK("http://www.twitter.com/CoopStephenk", "CoopStephenk")</f>
        <v>CoopStephenk</v>
      </c>
      <c r="B5077" s="65" t="s">
        <v>5576</v>
      </c>
    </row>
    <row r="5078" spans="1:2" x14ac:dyDescent="0.25">
      <c r="A5078" s="64" t="str">
        <f>HYPERLINK("http://www.twitter.com/LibrarianLyndy", "LibrarianLyndy")</f>
        <v>LibrarianLyndy</v>
      </c>
      <c r="B5078" s="65" t="s">
        <v>4237</v>
      </c>
    </row>
    <row r="5079" spans="1:2" x14ac:dyDescent="0.25">
      <c r="A5079" s="64" t="str">
        <f>HYPERLINK("http://www.twitter.com/Avielochan", "Avielochan")</f>
        <v>Avielochan</v>
      </c>
      <c r="B5079" s="65" t="s">
        <v>5577</v>
      </c>
    </row>
    <row r="5080" spans="1:2" x14ac:dyDescent="0.25">
      <c r="A5080" s="64" t="str">
        <f>HYPERLINK("http://www.twitter.com/722aalexGulick", "722aalexGulick")</f>
        <v>722aalexGulick</v>
      </c>
      <c r="B5080" s="65" t="s">
        <v>5578</v>
      </c>
    </row>
    <row r="5081" spans="1:2" x14ac:dyDescent="0.25">
      <c r="A5081" s="64" t="str">
        <f>HYPERLINK("http://www.twitter.com/craigireson", "craigireson")</f>
        <v>craigireson</v>
      </c>
      <c r="B5081" s="65" t="s">
        <v>5579</v>
      </c>
    </row>
    <row r="5082" spans="1:2" x14ac:dyDescent="0.25">
      <c r="A5082" s="64" t="str">
        <f>HYPERLINK("http://www.twitter.com/pj_press", "pj_press")</f>
        <v>pj_press</v>
      </c>
      <c r="B5082" s="65" t="s">
        <v>5580</v>
      </c>
    </row>
    <row r="5083" spans="1:2" x14ac:dyDescent="0.25">
      <c r="A5083" s="64" t="str">
        <f>HYPERLINK("http://www.twitter.com/YLeniuk", "YLeniuk")</f>
        <v>YLeniuk</v>
      </c>
      <c r="B5083" s="65"/>
    </row>
    <row r="5084" spans="1:2" x14ac:dyDescent="0.25">
      <c r="A5084" s="64" t="str">
        <f>HYPERLINK("http://www.twitter.com/_sashawilson_", "_sashawilson_")</f>
        <v>_sashawilson_</v>
      </c>
      <c r="B5084" s="65" t="s">
        <v>4147</v>
      </c>
    </row>
    <row r="5085" spans="1:2" x14ac:dyDescent="0.25">
      <c r="A5085" s="64" t="str">
        <f>HYPERLINK("http://www.twitter.com/kcblueberry", "kcblueberry")</f>
        <v>kcblueberry</v>
      </c>
      <c r="B5085" s="65"/>
    </row>
    <row r="5086" spans="1:2" x14ac:dyDescent="0.25">
      <c r="A5086" s="64" t="str">
        <f>HYPERLINK("http://www.twitter.com/Sparkivist", "Sparkivist")</f>
        <v>Sparkivist</v>
      </c>
      <c r="B5086" s="65" t="s">
        <v>318</v>
      </c>
    </row>
    <row r="5087" spans="1:2" x14ac:dyDescent="0.25">
      <c r="A5087" s="64" t="str">
        <f>HYPERLINK("http://www.twitter.com/judy19max", "judy19max")</f>
        <v>judy19max</v>
      </c>
      <c r="B5087" s="65" t="s">
        <v>4129</v>
      </c>
    </row>
    <row r="5088" spans="1:2" x14ac:dyDescent="0.25">
      <c r="A5088" s="64" t="str">
        <f>HYPERLINK("http://www.twitter.com/orangejodie", "orangejodie")</f>
        <v>orangejodie</v>
      </c>
      <c r="B5088" s="65" t="s">
        <v>3559</v>
      </c>
    </row>
    <row r="5089" spans="1:2" x14ac:dyDescent="0.25">
      <c r="A5089" s="64" t="str">
        <f>HYPERLINK("http://www.twitter.com/GenPegg", "GenPegg")</f>
        <v>GenPegg</v>
      </c>
      <c r="B5089" s="65"/>
    </row>
    <row r="5090" spans="1:2" x14ac:dyDescent="0.25">
      <c r="A5090" s="64" t="str">
        <f>HYPERLINK("http://www.twitter.com/MerriamWebster", "MerriamWebster")</f>
        <v>MerriamWebster</v>
      </c>
      <c r="B5090" s="65" t="s">
        <v>5581</v>
      </c>
    </row>
    <row r="5091" spans="1:2" x14ac:dyDescent="0.25">
      <c r="A5091" s="64" t="str">
        <f>HYPERLINK("http://www.twitter.com/CQEdinburgh", "CQEdinburgh")</f>
        <v>CQEdinburgh</v>
      </c>
      <c r="B5091" s="65" t="s">
        <v>5582</v>
      </c>
    </row>
    <row r="5092" spans="1:2" x14ac:dyDescent="0.25">
      <c r="A5092" s="64" t="str">
        <f>HYPERLINK("http://www.twitter.com/chrismosswire", "chrismosswire")</f>
        <v>chrismosswire</v>
      </c>
      <c r="B5092" s="65" t="s">
        <v>3660</v>
      </c>
    </row>
    <row r="5093" spans="1:2" x14ac:dyDescent="0.25">
      <c r="A5093" s="64" t="str">
        <f>HYPERLINK("http://www.twitter.com/electricland", "electricland")</f>
        <v>electricland</v>
      </c>
      <c r="B5093" s="65" t="s">
        <v>3778</v>
      </c>
    </row>
    <row r="5094" spans="1:2" x14ac:dyDescent="0.25">
      <c r="A5094" s="64" t="str">
        <f>HYPERLINK("http://www.twitter.com/sabitchin", "sabitchin")</f>
        <v>sabitchin</v>
      </c>
      <c r="B5094" s="65" t="s">
        <v>5583</v>
      </c>
    </row>
    <row r="5095" spans="1:2" x14ac:dyDescent="0.25">
      <c r="A5095" s="64" t="str">
        <f>HYPERLINK("http://www.twitter.com/linda_orwig", "linda_orwig")</f>
        <v>linda_orwig</v>
      </c>
      <c r="B5095" s="65"/>
    </row>
    <row r="5096" spans="1:2" x14ac:dyDescent="0.25">
      <c r="A5096" s="64" t="str">
        <f>HYPERLINK("http://www.twitter.com/allismspeaks", "allismspeaks")</f>
        <v>allismspeaks</v>
      </c>
      <c r="B5096" s="65" t="s">
        <v>5584</v>
      </c>
    </row>
    <row r="5097" spans="1:2" x14ac:dyDescent="0.25">
      <c r="A5097" s="64" t="str">
        <f>HYPERLINK("http://www.twitter.com/GrangeDrum", "GrangeDrum")</f>
        <v>GrangeDrum</v>
      </c>
      <c r="B5097" s="65" t="s">
        <v>4656</v>
      </c>
    </row>
    <row r="5098" spans="1:2" x14ac:dyDescent="0.25">
      <c r="A5098" s="64" t="str">
        <f>HYPERLINK("http://www.twitter.com/kirstyisla__", "kirstyisla__")</f>
        <v>kirstyisla__</v>
      </c>
      <c r="B5098" s="65" t="s">
        <v>318</v>
      </c>
    </row>
    <row r="5099" spans="1:2" x14ac:dyDescent="0.25">
      <c r="A5099" s="64" t="str">
        <f>HYPERLINK("http://www.twitter.com/DelhiDean", "DelhiDean")</f>
        <v>DelhiDean</v>
      </c>
      <c r="B5099" s="65"/>
    </row>
    <row r="5100" spans="1:2" x14ac:dyDescent="0.25">
      <c r="A5100" s="64" t="str">
        <f>HYPERLINK("http://www.twitter.com/meauxtx", "meauxtx")</f>
        <v>meauxtx</v>
      </c>
      <c r="B5100" s="65"/>
    </row>
    <row r="5101" spans="1:2" x14ac:dyDescent="0.25">
      <c r="A5101" s="64" t="str">
        <f>HYPERLINK("http://www.twitter.com/purpletammyn", "purpletammyn")</f>
        <v>purpletammyn</v>
      </c>
      <c r="B5101" s="65" t="s">
        <v>630</v>
      </c>
    </row>
    <row r="5102" spans="1:2" x14ac:dyDescent="0.25">
      <c r="A5102" s="64" t="str">
        <f>HYPERLINK("http://www.twitter.com/lishelper", "lishelper")</f>
        <v>lishelper</v>
      </c>
      <c r="B5102" s="65" t="s">
        <v>5585</v>
      </c>
    </row>
    <row r="5103" spans="1:2" x14ac:dyDescent="0.25">
      <c r="A5103" s="64" t="str">
        <f>HYPERLINK("http://www.twitter.com/luke21colin", "luke21colin")</f>
        <v>luke21colin</v>
      </c>
      <c r="B5103" s="65"/>
    </row>
    <row r="5104" spans="1:2" x14ac:dyDescent="0.25">
      <c r="A5104" s="64" t="str">
        <f>HYPERLINK("http://www.twitter.com/jazz_age_alice", "jazz_age_alice")</f>
        <v>jazz_age_alice</v>
      </c>
      <c r="B5104" s="65" t="s">
        <v>5586</v>
      </c>
    </row>
    <row r="5105" spans="1:2" x14ac:dyDescent="0.25">
      <c r="A5105" s="64" t="str">
        <f>HYPERLINK("http://www.twitter.com/charlottecaves", "charlottecaves")</f>
        <v>charlottecaves</v>
      </c>
      <c r="B5105" s="65" t="s">
        <v>296</v>
      </c>
    </row>
    <row r="5106" spans="1:2" x14ac:dyDescent="0.25">
      <c r="A5106" s="64" t="str">
        <f>HYPERLINK("http://www.twitter.com/JessicaRdctd", "JessicaRdctd")</f>
        <v>JessicaRdctd</v>
      </c>
      <c r="B5106" s="65" t="s">
        <v>487</v>
      </c>
    </row>
    <row r="5107" spans="1:2" x14ac:dyDescent="0.25">
      <c r="A5107" s="64" t="str">
        <f>HYPERLINK("http://www.twitter.com/casketfiction", "casketfiction")</f>
        <v>casketfiction</v>
      </c>
      <c r="B5107" s="65" t="s">
        <v>110</v>
      </c>
    </row>
    <row r="5108" spans="1:2" x14ac:dyDescent="0.25">
      <c r="A5108" s="64" t="str">
        <f>HYPERLINK("http://www.twitter.com/Lobo_Librarian", "Lobo_Librarian")</f>
        <v>Lobo_Librarian</v>
      </c>
      <c r="B5108" s="65"/>
    </row>
    <row r="5109" spans="1:2" x14ac:dyDescent="0.25">
      <c r="A5109" s="64" t="str">
        <f>HYPERLINK("http://www.twitter.com/EddieLois", "EddieLois")</f>
        <v>EddieLois</v>
      </c>
      <c r="B5109" s="65" t="s">
        <v>487</v>
      </c>
    </row>
    <row r="5110" spans="1:2" x14ac:dyDescent="0.25">
      <c r="A5110" s="64" t="str">
        <f>HYPERLINK("http://www.twitter.com/GlobaluxEdin", "GlobaluxEdin")</f>
        <v>GlobaluxEdin</v>
      </c>
      <c r="B5110" s="65" t="s">
        <v>4177</v>
      </c>
    </row>
    <row r="5111" spans="1:2" x14ac:dyDescent="0.25">
      <c r="A5111" s="64" t="str">
        <f>HYPERLINK("http://www.twitter.com/TarynMorgana", "TarynMorgana")</f>
        <v>TarynMorgana</v>
      </c>
      <c r="B5111" s="65"/>
    </row>
    <row r="5112" spans="1:2" x14ac:dyDescent="0.25">
      <c r="A5112" s="64" t="str">
        <f>HYPERLINK("http://www.twitter.com/moropa_palesa", "moropa_palesa")</f>
        <v>moropa_palesa</v>
      </c>
      <c r="B5112" s="65"/>
    </row>
    <row r="5113" spans="1:2" x14ac:dyDescent="0.25">
      <c r="A5113" s="64" t="str">
        <f>HYPERLINK("http://www.twitter.com/ScottWMcQ", "ScottWMcQ")</f>
        <v>ScottWMcQ</v>
      </c>
      <c r="B5113" s="65" t="s">
        <v>318</v>
      </c>
    </row>
    <row r="5114" spans="1:2" x14ac:dyDescent="0.25">
      <c r="A5114" s="64" t="str">
        <f>HYPERLINK("http://www.twitter.com/Birdiesouthwest", "Birdiesouthwest")</f>
        <v>Birdiesouthwest</v>
      </c>
      <c r="B5114" s="65" t="s">
        <v>2679</v>
      </c>
    </row>
    <row r="5115" spans="1:2" x14ac:dyDescent="0.25">
      <c r="A5115" s="64" t="str">
        <f>HYPERLINK("http://www.twitter.com/watsonlittle", "watsonlittle")</f>
        <v>watsonlittle</v>
      </c>
      <c r="B5115" s="65" t="s">
        <v>36</v>
      </c>
    </row>
    <row r="5116" spans="1:2" x14ac:dyDescent="0.25">
      <c r="A5116" s="64" t="str">
        <f>HYPERLINK("http://www.twitter.com/TiernanDouieb", "TiernanDouieb")</f>
        <v>TiernanDouieb</v>
      </c>
      <c r="B5116" s="65" t="s">
        <v>477</v>
      </c>
    </row>
    <row r="5117" spans="1:2" x14ac:dyDescent="0.25">
      <c r="A5117" s="64" t="str">
        <f>HYPERLINK("http://www.twitter.com/Grainnerr", "Grainnerr")</f>
        <v>Grainnerr</v>
      </c>
      <c r="B5117" s="65" t="s">
        <v>24</v>
      </c>
    </row>
    <row r="5118" spans="1:2" x14ac:dyDescent="0.25">
      <c r="A5118" s="64" t="str">
        <f>HYPERLINK("http://www.twitter.com/legenny", "legenny")</f>
        <v>legenny</v>
      </c>
      <c r="B5118" s="65" t="s">
        <v>4771</v>
      </c>
    </row>
    <row r="5119" spans="1:2" x14ac:dyDescent="0.25">
      <c r="A5119" s="64" t="str">
        <f>HYPERLINK("http://www.twitter.com/RideTheLlama", "RideTheLlama")</f>
        <v>RideTheLlama</v>
      </c>
      <c r="B5119" s="65" t="s">
        <v>5587</v>
      </c>
    </row>
    <row r="5120" spans="1:2" x14ac:dyDescent="0.25">
      <c r="A5120" s="64" t="str">
        <f>HYPERLINK("http://www.twitter.com/WomensPowerBook", "WomensPowerBook")</f>
        <v>WomensPowerBook</v>
      </c>
      <c r="B5120" s="65" t="s">
        <v>296</v>
      </c>
    </row>
    <row r="5121" spans="1:2" x14ac:dyDescent="0.25">
      <c r="A5121" s="64" t="str">
        <f>HYPERLINK("http://www.twitter.com/Russell_Andrews", "Russell_Andrews")</f>
        <v>Russell_Andrews</v>
      </c>
      <c r="B5121" s="65" t="s">
        <v>4247</v>
      </c>
    </row>
    <row r="5122" spans="1:2" x14ac:dyDescent="0.25">
      <c r="A5122" s="64" t="str">
        <f>HYPERLINK("http://www.twitter.com/Kate_Hogarth", "Kate_Hogarth")</f>
        <v>Kate_Hogarth</v>
      </c>
      <c r="B5122" s="65" t="s">
        <v>2007</v>
      </c>
    </row>
    <row r="5123" spans="1:2" x14ac:dyDescent="0.25">
      <c r="A5123" s="64" t="str">
        <f>HYPERLINK("http://www.twitter.com/HelenVMurray", "HelenVMurray")</f>
        <v>HelenVMurray</v>
      </c>
      <c r="B5123" s="65" t="s">
        <v>138</v>
      </c>
    </row>
    <row r="5124" spans="1:2" x14ac:dyDescent="0.25">
      <c r="A5124" s="64" t="str">
        <f>HYPERLINK("http://www.twitter.com/Moltivity_", "Moltivity_")</f>
        <v>Moltivity_</v>
      </c>
      <c r="B5124" s="65" t="s">
        <v>5588</v>
      </c>
    </row>
    <row r="5125" spans="1:2" x14ac:dyDescent="0.25">
      <c r="A5125" s="64" t="str">
        <f>HYPERLINK("http://www.twitter.com/KatyLoudonSNP", "KatyLoudonSNP")</f>
        <v>KatyLoudonSNP</v>
      </c>
      <c r="B5125" s="65"/>
    </row>
    <row r="5126" spans="1:2" x14ac:dyDescent="0.25">
      <c r="A5126" s="64" t="str">
        <f>HYPERLINK("http://www.twitter.com/Emmett_Family", "Emmett_Family")</f>
        <v>Emmett_Family</v>
      </c>
      <c r="B5126" s="65" t="s">
        <v>70</v>
      </c>
    </row>
    <row r="5127" spans="1:2" x14ac:dyDescent="0.25">
      <c r="A5127" s="64" t="str">
        <f>HYPERLINK("http://www.twitter.com/bethboorman", "bethboorman")</f>
        <v>bethboorman</v>
      </c>
      <c r="B5127" s="65" t="s">
        <v>5589</v>
      </c>
    </row>
    <row r="5128" spans="1:2" x14ac:dyDescent="0.25">
      <c r="A5128" s="64" t="str">
        <f>HYPERLINK("http://www.twitter.com/Nielititalib", "Nielititalib")</f>
        <v>Nielititalib</v>
      </c>
      <c r="B5128" s="65" t="s">
        <v>5590</v>
      </c>
    </row>
    <row r="5129" spans="1:2" x14ac:dyDescent="0.25">
      <c r="A5129" s="64" t="str">
        <f>HYPERLINK("http://www.twitter.com/lianzaoffice", "lianzaoffice")</f>
        <v>lianzaoffice</v>
      </c>
      <c r="B5129" s="65" t="s">
        <v>3974</v>
      </c>
    </row>
    <row r="5130" spans="1:2" x14ac:dyDescent="0.25">
      <c r="A5130" s="64" t="str">
        <f>HYPERLINK("http://www.twitter.com/BarbaraSerian", "BarbaraSerian")</f>
        <v>BarbaraSerian</v>
      </c>
      <c r="B5130" s="65" t="s">
        <v>4229</v>
      </c>
    </row>
    <row r="5131" spans="1:2" x14ac:dyDescent="0.25">
      <c r="A5131" s="64" t="str">
        <f>HYPERLINK("http://www.twitter.com/acriley", "acriley")</f>
        <v>acriley</v>
      </c>
      <c r="B5131" s="65" t="s">
        <v>5591</v>
      </c>
    </row>
    <row r="5132" spans="1:2" x14ac:dyDescent="0.25">
      <c r="A5132" s="64" t="str">
        <f>HYPERLINK("http://www.twitter.com/peedie_ink85", "peedie_ink85")</f>
        <v>peedie_ink85</v>
      </c>
      <c r="B5132" s="65"/>
    </row>
    <row r="5133" spans="1:2" x14ac:dyDescent="0.25">
      <c r="A5133" s="64" t="str">
        <f>HYPERLINK("http://www.twitter.com/princessmaddawg", "princessmaddawg")</f>
        <v>princessmaddawg</v>
      </c>
      <c r="B5133" s="65" t="s">
        <v>3797</v>
      </c>
    </row>
    <row r="5134" spans="1:2" x14ac:dyDescent="0.25">
      <c r="A5134" s="64" t="str">
        <f>HYPERLINK("http://www.twitter.com/PoetDeanwilson6", "PoetDeanwilson6")</f>
        <v>PoetDeanwilson6</v>
      </c>
      <c r="B5134" s="65" t="s">
        <v>2492</v>
      </c>
    </row>
    <row r="5135" spans="1:2" x14ac:dyDescent="0.25">
      <c r="A5135" s="64" t="str">
        <f>HYPERLINK("http://www.twitter.com/ChessaBe1", "ChessaBe1")</f>
        <v>ChessaBe1</v>
      </c>
      <c r="B5135" s="65"/>
    </row>
    <row r="5136" spans="1:2" x14ac:dyDescent="0.25">
      <c r="A5136" s="64" t="str">
        <f>HYPERLINK("http://www.twitter.com/david_emilia", "david_emilia")</f>
        <v>david_emilia</v>
      </c>
      <c r="B5136" s="65" t="s">
        <v>5592</v>
      </c>
    </row>
    <row r="5137" spans="1:2" x14ac:dyDescent="0.25">
      <c r="A5137" s="64" t="str">
        <f>HYPERLINK("http://www.twitter.com/intheprairie", "intheprairie")</f>
        <v>intheprairie</v>
      </c>
      <c r="B5137" s="65" t="s">
        <v>5593</v>
      </c>
    </row>
    <row r="5138" spans="1:2" x14ac:dyDescent="0.25">
      <c r="A5138" s="64" t="str">
        <f>HYPERLINK("http://www.twitter.com/nutunit", "nutunit")</f>
        <v>nutunit</v>
      </c>
      <c r="B5138" s="65" t="s">
        <v>5594</v>
      </c>
    </row>
    <row r="5139" spans="1:2" x14ac:dyDescent="0.25">
      <c r="A5139" s="64" t="str">
        <f>HYPERLINK("http://www.twitter.com/LuciRainford", "LuciRainford")</f>
        <v>LuciRainford</v>
      </c>
      <c r="B5139" s="65" t="s">
        <v>2067</v>
      </c>
    </row>
    <row r="5140" spans="1:2" x14ac:dyDescent="0.25">
      <c r="A5140" s="64" t="str">
        <f>HYPERLINK("http://www.twitter.com/reneevandeweert", "reneevandeweert")</f>
        <v>reneevandeweert</v>
      </c>
      <c r="B5140" s="65" t="s">
        <v>5595</v>
      </c>
    </row>
    <row r="5141" spans="1:2" x14ac:dyDescent="0.25">
      <c r="A5141" s="64" t="str">
        <f>HYPERLINK("http://www.twitter.com/AnnaELeask", "AnnaELeask")</f>
        <v>AnnaELeask</v>
      </c>
      <c r="B5141" s="65" t="s">
        <v>2805</v>
      </c>
    </row>
    <row r="5142" spans="1:2" x14ac:dyDescent="0.25">
      <c r="A5142" s="64" t="str">
        <f>HYPERLINK("http://www.twitter.com/cassieglows", "cassieglows")</f>
        <v>cassieglows</v>
      </c>
      <c r="B5142" s="65" t="s">
        <v>4924</v>
      </c>
    </row>
    <row r="5143" spans="1:2" x14ac:dyDescent="0.25">
      <c r="A5143" s="64" t="str">
        <f>HYPERLINK("http://www.twitter.com/PeejPeck2", "PeejPeck2")</f>
        <v>PeejPeck2</v>
      </c>
      <c r="B5143" s="65"/>
    </row>
    <row r="5144" spans="1:2" x14ac:dyDescent="0.25">
      <c r="A5144" s="64" t="str">
        <f>HYPERLINK("http://www.twitter.com/AkshayS73365829", "AkshayS73365829")</f>
        <v>AkshayS73365829</v>
      </c>
      <c r="B5144" s="65" t="s">
        <v>5596</v>
      </c>
    </row>
    <row r="5145" spans="1:2" x14ac:dyDescent="0.25">
      <c r="A5145" s="64" t="str">
        <f>HYPERLINK("http://www.twitter.com/pmbruce", "pmbruce")</f>
        <v>pmbruce</v>
      </c>
      <c r="B5145" s="65" t="s">
        <v>5597</v>
      </c>
    </row>
    <row r="5146" spans="1:2" x14ac:dyDescent="0.25">
      <c r="A5146" s="64" t="str">
        <f>HYPERLINK("http://www.twitter.com/GreenflashIE", "GreenflashIE")</f>
        <v>GreenflashIE</v>
      </c>
      <c r="B5146" s="65" t="s">
        <v>5598</v>
      </c>
    </row>
    <row r="5147" spans="1:2" x14ac:dyDescent="0.25">
      <c r="A5147" s="64" t="str">
        <f>HYPERLINK("http://www.twitter.com/BookspeedShona", "BookspeedShona")</f>
        <v>BookspeedShona</v>
      </c>
      <c r="B5147" s="65"/>
    </row>
    <row r="5148" spans="1:2" x14ac:dyDescent="0.25">
      <c r="A5148" s="64" t="str">
        <f>HYPERLINK("http://www.twitter.com/OluwaseanmiPoet", "OluwaseanmiPoet")</f>
        <v>OluwaseanmiPoet</v>
      </c>
      <c r="B5148" s="65" t="s">
        <v>5599</v>
      </c>
    </row>
    <row r="5149" spans="1:2" x14ac:dyDescent="0.25">
      <c r="A5149" s="64" t="str">
        <f>HYPERLINK("http://www.twitter.com/jawjard", "jawjard")</f>
        <v>jawjard</v>
      </c>
      <c r="B5149" s="65" t="s">
        <v>883</v>
      </c>
    </row>
    <row r="5150" spans="1:2" x14ac:dyDescent="0.25">
      <c r="A5150" s="64" t="str">
        <f>HYPERLINK("http://www.twitter.com/PurpleBirdGirl", "PurpleBirdGirl")</f>
        <v>PurpleBirdGirl</v>
      </c>
      <c r="B5150" s="65" t="s">
        <v>4632</v>
      </c>
    </row>
    <row r="5151" spans="1:2" x14ac:dyDescent="0.25">
      <c r="A5151" s="64" t="str">
        <f>HYPERLINK("http://www.twitter.com/MarianneOD1", "MarianneOD1")</f>
        <v>MarianneOD1</v>
      </c>
      <c r="B5151" s="65"/>
    </row>
    <row r="5152" spans="1:2" x14ac:dyDescent="0.25">
      <c r="A5152" s="64" t="str">
        <f>HYPERLINK("http://www.twitter.com/lacfederal", "lacfederal")</f>
        <v>lacfederal</v>
      </c>
      <c r="B5152" s="65" t="s">
        <v>5600</v>
      </c>
    </row>
    <row r="5153" spans="1:2" x14ac:dyDescent="0.25">
      <c r="A5153" s="64" t="str">
        <f>HYPERLINK("http://www.twitter.com/glenworking2", "glenworking2")</f>
        <v>glenworking2</v>
      </c>
      <c r="B5153" s="65" t="s">
        <v>5601</v>
      </c>
    </row>
    <row r="5154" spans="1:2" x14ac:dyDescent="0.25">
      <c r="A5154" s="64" t="str">
        <f>HYPERLINK("http://www.twitter.com/JCole311", "JCole311")</f>
        <v>JCole311</v>
      </c>
      <c r="B5154" s="65" t="s">
        <v>5602</v>
      </c>
    </row>
    <row r="5155" spans="1:2" x14ac:dyDescent="0.25">
      <c r="A5155" s="64" t="str">
        <f>HYPERLINK("http://www.twitter.com/Coffeeporter", "Coffeeporter")</f>
        <v>Coffeeporter</v>
      </c>
      <c r="B5155" s="65" t="s">
        <v>3894</v>
      </c>
    </row>
    <row r="5156" spans="1:2" x14ac:dyDescent="0.25">
      <c r="A5156" s="64" t="str">
        <f>HYPERLINK("http://www.twitter.com/thisisgorilla", "thisisgorilla")</f>
        <v>thisisgorilla</v>
      </c>
      <c r="B5156" s="65" t="s">
        <v>4040</v>
      </c>
    </row>
    <row r="5157" spans="1:2" x14ac:dyDescent="0.25">
      <c r="A5157" s="64" t="str">
        <f>HYPERLINK("http://www.twitter.com/niamh_etc", "niamh_etc")</f>
        <v>niamh_etc</v>
      </c>
      <c r="B5157" s="65" t="s">
        <v>5603</v>
      </c>
    </row>
    <row r="5158" spans="1:2" x14ac:dyDescent="0.25">
      <c r="A5158" s="64" t="str">
        <f>HYPERLINK("http://www.twitter.com/DeafInstitute", "DeafInstitute")</f>
        <v>DeafInstitute</v>
      </c>
      <c r="B5158" s="65" t="s">
        <v>33</v>
      </c>
    </row>
    <row r="5159" spans="1:2" x14ac:dyDescent="0.25">
      <c r="A5159" s="64" t="str">
        <f>HYPERLINK("http://www.twitter.com/caro22cc", "caro22cc")</f>
        <v>caro22cc</v>
      </c>
      <c r="B5159" s="65" t="s">
        <v>2595</v>
      </c>
    </row>
    <row r="5160" spans="1:2" x14ac:dyDescent="0.25">
      <c r="A5160" s="64" t="str">
        <f>HYPERLINK("http://www.twitter.com/BBALRC", "BBALRC")</f>
        <v>BBALRC</v>
      </c>
      <c r="B5160" s="65" t="s">
        <v>514</v>
      </c>
    </row>
    <row r="5161" spans="1:2" x14ac:dyDescent="0.25">
      <c r="A5161" s="64" t="str">
        <f>HYPERLINK("http://www.twitter.com/LindaOsborn1", "LindaOsborn1")</f>
        <v>LindaOsborn1</v>
      </c>
      <c r="B5161" s="65"/>
    </row>
    <row r="5162" spans="1:2" x14ac:dyDescent="0.25">
      <c r="A5162" s="64" t="str">
        <f>HYPERLINK("http://www.twitter.com/oliverHIBBS", "oliverHIBBS")</f>
        <v>oliverHIBBS</v>
      </c>
      <c r="B5162" s="65" t="s">
        <v>487</v>
      </c>
    </row>
    <row r="5163" spans="1:2" x14ac:dyDescent="0.25">
      <c r="A5163" s="64" t="str">
        <f>HYPERLINK("http://www.twitter.com/invisiblegoats", "invisiblegoats")</f>
        <v>invisiblegoats</v>
      </c>
      <c r="B5163" s="65" t="s">
        <v>2289</v>
      </c>
    </row>
    <row r="5164" spans="1:2" x14ac:dyDescent="0.25">
      <c r="A5164" s="64" t="str">
        <f>HYPERLINK("http://www.twitter.com/morvc", "morvc")</f>
        <v>morvc</v>
      </c>
      <c r="B5164" s="65" t="s">
        <v>24</v>
      </c>
    </row>
    <row r="5165" spans="1:2" x14ac:dyDescent="0.25">
      <c r="A5165" s="64" t="str">
        <f>HYPERLINK("http://www.twitter.com/HelenDCareers", "HelenDCareers")</f>
        <v>HelenDCareers</v>
      </c>
      <c r="B5165" s="65" t="s">
        <v>5604</v>
      </c>
    </row>
    <row r="5166" spans="1:2" x14ac:dyDescent="0.25">
      <c r="A5166" s="64" t="str">
        <f>HYPERLINK("http://www.twitter.com/darlingkat", "darlingkat")</f>
        <v>darlingkat</v>
      </c>
      <c r="B5166" s="65" t="s">
        <v>1189</v>
      </c>
    </row>
    <row r="5167" spans="1:2" x14ac:dyDescent="0.25">
      <c r="A5167" s="64" t="str">
        <f>HYPERLINK("http://www.twitter.com/craigfmcqueen", "craigfmcqueen")</f>
        <v>craigfmcqueen</v>
      </c>
      <c r="B5167" s="65" t="s">
        <v>138</v>
      </c>
    </row>
    <row r="5168" spans="1:2" x14ac:dyDescent="0.25">
      <c r="A5168" s="64" t="str">
        <f>HYPERLINK("http://www.twitter.com/Maxy_JHM", "Maxy_JHM")</f>
        <v>Maxy_JHM</v>
      </c>
      <c r="B5168" s="65" t="s">
        <v>1377</v>
      </c>
    </row>
    <row r="5169" spans="1:2" x14ac:dyDescent="0.25">
      <c r="A5169" s="64" t="str">
        <f>HYPERLINK("http://www.twitter.com/Mickey87427883", "Mickey87427883")</f>
        <v>Mickey87427883</v>
      </c>
      <c r="B5169" s="65"/>
    </row>
    <row r="5170" spans="1:2" x14ac:dyDescent="0.25">
      <c r="A5170" s="64" t="str">
        <f>HYPERLINK("http://www.twitter.com/ZwickySky", "ZwickySky")</f>
        <v>ZwickySky</v>
      </c>
      <c r="B5170" s="65" t="s">
        <v>4132</v>
      </c>
    </row>
    <row r="5171" spans="1:2" x14ac:dyDescent="0.25">
      <c r="A5171" s="64" t="str">
        <f>HYPERLINK("http://www.twitter.com/AndieAHA", "AndieAHA")</f>
        <v>AndieAHA</v>
      </c>
      <c r="B5171" s="65" t="s">
        <v>2471</v>
      </c>
    </row>
    <row r="5172" spans="1:2" x14ac:dyDescent="0.25">
      <c r="A5172" s="64" t="str">
        <f>HYPERLINK("http://www.twitter.com/fairpechtoot", "fairpechtoot")</f>
        <v>fairpechtoot</v>
      </c>
      <c r="B5172" s="65" t="s">
        <v>2007</v>
      </c>
    </row>
    <row r="5173" spans="1:2" x14ac:dyDescent="0.25">
      <c r="A5173" s="64" t="str">
        <f>HYPERLINK("http://www.twitter.com/ElizabethLewis9", "ElizabethLewis9")</f>
        <v>ElizabethLewis9</v>
      </c>
      <c r="B5173" s="65" t="s">
        <v>1765</v>
      </c>
    </row>
    <row r="5174" spans="1:2" x14ac:dyDescent="0.25">
      <c r="A5174" s="64" t="str">
        <f>HYPERLINK("http://www.twitter.com/HistoryforGirls", "HistoryforGirls")</f>
        <v>HistoryforGirls</v>
      </c>
      <c r="B5174" s="65" t="s">
        <v>180</v>
      </c>
    </row>
    <row r="5175" spans="1:2" x14ac:dyDescent="0.25">
      <c r="A5175" s="64" t="str">
        <f>HYPERLINK("http://www.twitter.com/Deeeeeeeeeexter", "Deeeeeeeeeexter")</f>
        <v>Deeeeeeeeeexter</v>
      </c>
      <c r="B5175" s="65"/>
    </row>
    <row r="5176" spans="1:2" x14ac:dyDescent="0.25">
      <c r="A5176" s="64" t="str">
        <f>HYPERLINK("http://www.twitter.com/DundeeFans", "DundeeFans")</f>
        <v>DundeeFans</v>
      </c>
      <c r="B5176" s="65" t="s">
        <v>5605</v>
      </c>
    </row>
    <row r="5177" spans="1:2" x14ac:dyDescent="0.25">
      <c r="A5177" s="64" t="str">
        <f>HYPERLINK("http://www.twitter.com/peekay1957", "peekay1957")</f>
        <v>peekay1957</v>
      </c>
      <c r="B5177" s="65"/>
    </row>
    <row r="5178" spans="1:2" x14ac:dyDescent="0.25">
      <c r="A5178" s="64" t="str">
        <f>HYPERLINK("http://www.twitter.com/ThursdayNextFan", "ThursdayNextFan")</f>
        <v>ThursdayNextFan</v>
      </c>
      <c r="B5178" s="65"/>
    </row>
    <row r="5179" spans="1:2" x14ac:dyDescent="0.25">
      <c r="A5179" s="64" t="str">
        <f>HYPERLINK("http://www.twitter.com/dansumption", "dansumption")</f>
        <v>dansumption</v>
      </c>
      <c r="B5179" s="65" t="s">
        <v>5606</v>
      </c>
    </row>
    <row r="5180" spans="1:2" x14ac:dyDescent="0.25">
      <c r="A5180" s="64" t="str">
        <f>HYPERLINK("http://www.twitter.com/jellacie", "jellacie")</f>
        <v>jellacie</v>
      </c>
      <c r="B5180" s="65"/>
    </row>
    <row r="5181" spans="1:2" x14ac:dyDescent="0.25">
      <c r="A5181" s="64" t="str">
        <f>HYPERLINK("http://www.twitter.com/HeathBooks", "HeathBooks")</f>
        <v>HeathBooks</v>
      </c>
      <c r="B5181" s="65" t="s">
        <v>296</v>
      </c>
    </row>
    <row r="5182" spans="1:2" x14ac:dyDescent="0.25">
      <c r="A5182" s="64" t="str">
        <f>HYPERLINK("http://www.twitter.com/Orkat3", "Orkat3")</f>
        <v>Orkat3</v>
      </c>
      <c r="B5182" s="65" t="s">
        <v>5607</v>
      </c>
    </row>
    <row r="5183" spans="1:2" x14ac:dyDescent="0.25">
      <c r="A5183" s="64" t="str">
        <f>HYPERLINK("http://www.twitter.com/OakdaleLib", "OakdaleLib")</f>
        <v>OakdaleLib</v>
      </c>
      <c r="B5183" s="65"/>
    </row>
    <row r="5184" spans="1:2" x14ac:dyDescent="0.25">
      <c r="A5184" s="64" t="str">
        <f>HYPERLINK("http://www.twitter.com/peediebumble", "peediebumble")</f>
        <v>peediebumble</v>
      </c>
      <c r="B5184" s="65" t="s">
        <v>3762</v>
      </c>
    </row>
    <row r="5185" spans="1:2" x14ac:dyDescent="0.25">
      <c r="A5185" s="64" t="str">
        <f>HYPERLINK("http://www.twitter.com/qikipedia", "qikipedia")</f>
        <v>qikipedia</v>
      </c>
      <c r="B5185" s="65" t="s">
        <v>5608</v>
      </c>
    </row>
    <row r="5186" spans="1:2" x14ac:dyDescent="0.25">
      <c r="A5186" s="64" t="str">
        <f>HYPERLINK("http://www.twitter.com/letty_ball", "letty_ball")</f>
        <v>letty_ball</v>
      </c>
      <c r="B5186" s="65" t="s">
        <v>1377</v>
      </c>
    </row>
    <row r="5187" spans="1:2" x14ac:dyDescent="0.25">
      <c r="A5187" s="64" t="str">
        <f>HYPERLINK("http://www.twitter.com/Rapharl_musn", "Rapharl_musn")</f>
        <v>Rapharl_musn</v>
      </c>
      <c r="B5187" s="65" t="s">
        <v>5609</v>
      </c>
    </row>
    <row r="5188" spans="1:2" x14ac:dyDescent="0.25">
      <c r="A5188" s="64" t="str">
        <f>HYPERLINK("http://www.twitter.com/Liesde1", "Liesde1")</f>
        <v>Liesde1</v>
      </c>
      <c r="B5188" s="65"/>
    </row>
    <row r="5189" spans="1:2" x14ac:dyDescent="0.25">
      <c r="A5189" s="64" t="str">
        <f>HYPERLINK("http://www.twitter.com/iskendermarmara", "iskendermarmara")</f>
        <v>iskendermarmara</v>
      </c>
      <c r="B5189" s="65"/>
    </row>
    <row r="5190" spans="1:2" x14ac:dyDescent="0.25">
      <c r="A5190" s="64" t="str">
        <f>HYPERLINK("http://www.twitter.com/ey_gee_ehm", "ey_gee_ehm")</f>
        <v>ey_gee_ehm</v>
      </c>
      <c r="B5190" s="65" t="s">
        <v>4584</v>
      </c>
    </row>
    <row r="5191" spans="1:2" x14ac:dyDescent="0.25">
      <c r="A5191" s="64" t="str">
        <f>HYPERLINK("http://www.twitter.com/wynne_jon", "wynne_jon")</f>
        <v>wynne_jon</v>
      </c>
      <c r="B5191" s="65" t="s">
        <v>578</v>
      </c>
    </row>
    <row r="5192" spans="1:2" x14ac:dyDescent="0.25">
      <c r="A5192" s="64" t="str">
        <f>HYPERLINK("http://www.twitter.com/erinebramwell", "erinebramwell")</f>
        <v>erinebramwell</v>
      </c>
      <c r="B5192" s="65" t="s">
        <v>3949</v>
      </c>
    </row>
    <row r="5193" spans="1:2" x14ac:dyDescent="0.25">
      <c r="A5193" s="64" t="str">
        <f>HYPERLINK("http://www.twitter.com/msloonycat", "msloonycat")</f>
        <v>msloonycat</v>
      </c>
      <c r="B5193" s="65" t="s">
        <v>4339</v>
      </c>
    </row>
    <row r="5194" spans="1:2" x14ac:dyDescent="0.25">
      <c r="A5194" s="64" t="str">
        <f>HYPERLINK("http://www.twitter.com/thealtkitchen", "thealtkitchen")</f>
        <v>thealtkitchen</v>
      </c>
      <c r="B5194" s="65" t="s">
        <v>2887</v>
      </c>
    </row>
    <row r="5195" spans="1:2" x14ac:dyDescent="0.25">
      <c r="A5195" s="64" t="str">
        <f>HYPERLINK("http://www.twitter.com/gordontraffic", "gordontraffic")</f>
        <v>gordontraffic</v>
      </c>
      <c r="B5195" s="65" t="s">
        <v>5610</v>
      </c>
    </row>
    <row r="5196" spans="1:2" x14ac:dyDescent="0.25">
      <c r="A5196" s="64" t="str">
        <f>HYPERLINK("http://www.twitter.com/TraveltoHeaven2", "TraveltoHeaven2")</f>
        <v>TraveltoHeaven2</v>
      </c>
      <c r="B5196" s="65" t="s">
        <v>4193</v>
      </c>
    </row>
    <row r="5197" spans="1:2" x14ac:dyDescent="0.25">
      <c r="A5197" s="64" t="str">
        <f>HYPERLINK("http://www.twitter.com/annolwriter", "annolwriter")</f>
        <v>annolwriter</v>
      </c>
      <c r="B5197" s="65" t="s">
        <v>5611</v>
      </c>
    </row>
    <row r="5198" spans="1:2" x14ac:dyDescent="0.25">
      <c r="A5198" s="64" t="str">
        <f>HYPERLINK("http://www.twitter.com/mygnu_", "mygnu_")</f>
        <v>mygnu_</v>
      </c>
      <c r="B5198" s="65" t="s">
        <v>517</v>
      </c>
    </row>
    <row r="5199" spans="1:2" x14ac:dyDescent="0.25">
      <c r="A5199" s="64" t="str">
        <f>HYPERLINK("http://www.twitter.com/leisgachdeagh", "leisgachdeagh")</f>
        <v>leisgachdeagh</v>
      </c>
      <c r="B5199" s="65" t="s">
        <v>318</v>
      </c>
    </row>
    <row r="5200" spans="1:2" x14ac:dyDescent="0.25">
      <c r="A5200" s="64" t="str">
        <f>HYPERLINK("http://www.twitter.com/LondonSongsters", "LondonSongsters")</f>
        <v>LondonSongsters</v>
      </c>
      <c r="B5200" s="65" t="s">
        <v>5398</v>
      </c>
    </row>
    <row r="5201" spans="1:2" x14ac:dyDescent="0.25">
      <c r="A5201" s="64" t="str">
        <f>HYPERLINK("http://www.twitter.com/customfolder", "customfolder")</f>
        <v>customfolder</v>
      </c>
      <c r="B5201" s="65" t="s">
        <v>4039</v>
      </c>
    </row>
    <row r="5202" spans="1:2" x14ac:dyDescent="0.25">
      <c r="A5202" s="64" t="str">
        <f>HYPERLINK("http://www.twitter.com/AuthorFriedli", "AuthorFriedli")</f>
        <v>AuthorFriedli</v>
      </c>
      <c r="B5202" s="65" t="s">
        <v>3797</v>
      </c>
    </row>
    <row r="5203" spans="1:2" x14ac:dyDescent="0.25">
      <c r="A5203" s="64" t="str">
        <f>HYPERLINK("http://www.twitter.com/novel_vague", "novel_vague")</f>
        <v>novel_vague</v>
      </c>
      <c r="B5203" s="65" t="s">
        <v>4500</v>
      </c>
    </row>
    <row r="5204" spans="1:2" x14ac:dyDescent="0.25">
      <c r="A5204" s="64" t="str">
        <f>HYPERLINK("http://www.twitter.com/hillock30", "hillock30")</f>
        <v>hillock30</v>
      </c>
      <c r="B5204" s="65"/>
    </row>
    <row r="5205" spans="1:2" x14ac:dyDescent="0.25">
      <c r="A5205" s="64" t="str">
        <f>HYPERLINK("http://www.twitter.com/denmcfarlane", "denmcfarlane")</f>
        <v>denmcfarlane</v>
      </c>
      <c r="B5205" s="65" t="s">
        <v>3256</v>
      </c>
    </row>
    <row r="5206" spans="1:2" x14ac:dyDescent="0.25">
      <c r="A5206" s="64" t="str">
        <f>HYPERLINK("http://www.twitter.com/ella_author", "ella_author")</f>
        <v>ella_author</v>
      </c>
      <c r="B5206" s="65" t="s">
        <v>1739</v>
      </c>
    </row>
    <row r="5207" spans="1:2" x14ac:dyDescent="0.25">
      <c r="A5207" s="64" t="str">
        <f>HYPERLINK("http://www.twitter.com/MayaChowdhry", "MayaChowdhry")</f>
        <v>MayaChowdhry</v>
      </c>
      <c r="B5207" s="65" t="s">
        <v>33</v>
      </c>
    </row>
    <row r="5208" spans="1:2" x14ac:dyDescent="0.25">
      <c r="A5208" s="64" t="str">
        <f>HYPERLINK("http://www.twitter.com/WildaboutScot", "WildaboutScot")</f>
        <v>WildaboutScot</v>
      </c>
      <c r="B5208" s="65" t="s">
        <v>517</v>
      </c>
    </row>
    <row r="5209" spans="1:2" x14ac:dyDescent="0.25">
      <c r="A5209" s="64" t="str">
        <f>HYPERLINK("http://www.twitter.com/Lookingglassbks", "Lookingglassbks")</f>
        <v>Lookingglassbks</v>
      </c>
      <c r="B5209" s="65" t="s">
        <v>24</v>
      </c>
    </row>
    <row r="5210" spans="1:2" x14ac:dyDescent="0.25">
      <c r="A5210" s="64" t="str">
        <f>HYPERLINK("http://www.twitter.com/CrystalPalaceFF", "CrystalPalaceFF")</f>
        <v>CrystalPalaceFF</v>
      </c>
      <c r="B5210" s="65" t="s">
        <v>5612</v>
      </c>
    </row>
    <row r="5211" spans="1:2" x14ac:dyDescent="0.25">
      <c r="A5211" s="64" t="str">
        <f>HYPERLINK("http://www.twitter.com/anneliesemack", "anneliesemack")</f>
        <v>anneliesemack</v>
      </c>
      <c r="B5211" s="65" t="s">
        <v>1295</v>
      </c>
    </row>
    <row r="5212" spans="1:2" x14ac:dyDescent="0.25">
      <c r="A5212" s="64" t="str">
        <f>HYPERLINK("http://www.twitter.com/civicalibraries", "civicalibraries")</f>
        <v>civicalibraries</v>
      </c>
      <c r="B5212" s="65" t="s">
        <v>180</v>
      </c>
    </row>
    <row r="5213" spans="1:2" x14ac:dyDescent="0.25">
      <c r="A5213" s="64" t="str">
        <f>HYPERLINK("http://www.twitter.com/7ony73", "7ony73")</f>
        <v>7ony73</v>
      </c>
      <c r="B5213" s="65"/>
    </row>
    <row r="5214" spans="1:2" x14ac:dyDescent="0.25">
      <c r="A5214" s="64" t="str">
        <f>HYPERLINK("http://www.twitter.com/RCPmuseum", "RCPmuseum")</f>
        <v>RCPmuseum</v>
      </c>
      <c r="B5214" s="65" t="s">
        <v>36</v>
      </c>
    </row>
    <row r="5215" spans="1:2" x14ac:dyDescent="0.25">
      <c r="A5215" s="64" t="str">
        <f>HYPERLINK("http://www.twitter.com/kinacadlibrary", "kinacadlibrary")</f>
        <v>kinacadlibrary</v>
      </c>
      <c r="B5215" s="65" t="s">
        <v>569</v>
      </c>
    </row>
    <row r="5216" spans="1:2" x14ac:dyDescent="0.25">
      <c r="A5216" s="64" t="str">
        <f>HYPERLINK("http://www.twitter.com/Greykaps", "Greykaps")</f>
        <v>Greykaps</v>
      </c>
      <c r="B5216" s="65"/>
    </row>
    <row r="5217" spans="1:2" x14ac:dyDescent="0.25">
      <c r="A5217" s="64" t="str">
        <f>HYPERLINK("http://www.twitter.com/GJsDiscos", "GJsDiscos")</f>
        <v>GJsDiscos</v>
      </c>
      <c r="B5217" s="65" t="s">
        <v>36</v>
      </c>
    </row>
    <row r="5218" spans="1:2" x14ac:dyDescent="0.25">
      <c r="A5218" s="64" t="str">
        <f>HYPERLINK("http://www.twitter.com/SamWhyte", "SamWhyte")</f>
        <v>SamWhyte</v>
      </c>
      <c r="B5218" s="65" t="s">
        <v>33</v>
      </c>
    </row>
    <row r="5219" spans="1:2" x14ac:dyDescent="0.25">
      <c r="A5219" s="64" t="str">
        <f>HYPERLINK("http://www.twitter.com/kittenparades", "kittenparades")</f>
        <v>kittenparades</v>
      </c>
      <c r="B5219" s="65" t="s">
        <v>36</v>
      </c>
    </row>
    <row r="5220" spans="1:2" x14ac:dyDescent="0.25">
      <c r="A5220" s="64" t="str">
        <f>HYPERLINK("http://www.twitter.com/wellcometrust", "wellcometrust")</f>
        <v>wellcometrust</v>
      </c>
      <c r="B5220" s="65" t="s">
        <v>4177</v>
      </c>
    </row>
    <row r="5221" spans="1:2" x14ac:dyDescent="0.25">
      <c r="A5221" s="64" t="str">
        <f>HYPERLINK("http://www.twitter.com/InfantileCradle", "InfantileCradle")</f>
        <v>InfantileCradle</v>
      </c>
      <c r="B5221" s="65" t="s">
        <v>5613</v>
      </c>
    </row>
    <row r="5222" spans="1:2" x14ac:dyDescent="0.25">
      <c r="A5222" s="64" t="str">
        <f>HYPERLINK("http://www.twitter.com/AlanHolberry", "AlanHolberry")</f>
        <v>AlanHolberry</v>
      </c>
      <c r="B5222" s="65" t="s">
        <v>4324</v>
      </c>
    </row>
    <row r="5223" spans="1:2" x14ac:dyDescent="0.25">
      <c r="A5223" s="64" t="str">
        <f>HYPERLINK("http://www.twitter.com/ResearchColls", "ResearchColls")</f>
        <v>ResearchColls</v>
      </c>
      <c r="B5223" s="65" t="s">
        <v>4291</v>
      </c>
    </row>
    <row r="5224" spans="1:2" x14ac:dyDescent="0.25">
      <c r="A5224" s="64" t="str">
        <f>HYPERLINK("http://www.twitter.com/contentdrift", "contentdrift")</f>
        <v>contentdrift</v>
      </c>
      <c r="B5224" s="65" t="s">
        <v>318</v>
      </c>
    </row>
    <row r="5225" spans="1:2" x14ac:dyDescent="0.25">
      <c r="A5225" s="64" t="str">
        <f>HYPERLINK("http://www.twitter.com/SarahEChurchil1", "SarahEChurchil1")</f>
        <v>SarahEChurchil1</v>
      </c>
      <c r="B5225" s="65"/>
    </row>
    <row r="5226" spans="1:2" x14ac:dyDescent="0.25">
      <c r="A5226" s="64" t="str">
        <f>HYPERLINK("http://www.twitter.com/MadeInKirky", "MadeInKirky")</f>
        <v>MadeInKirky</v>
      </c>
      <c r="B5226" s="65" t="s">
        <v>5614</v>
      </c>
    </row>
    <row r="5227" spans="1:2" x14ac:dyDescent="0.25">
      <c r="A5227" s="64" t="str">
        <f>HYPERLINK("http://www.twitter.com/EdUniLibraries", "EdUniLibraries")</f>
        <v>EdUniLibraries</v>
      </c>
      <c r="B5227" s="65" t="s">
        <v>487</v>
      </c>
    </row>
    <row r="5228" spans="1:2" x14ac:dyDescent="0.25">
      <c r="A5228" s="64" t="str">
        <f>HYPERLINK("http://www.twitter.com/historygill", "historygill")</f>
        <v>historygill</v>
      </c>
      <c r="B5228" s="65" t="s">
        <v>5615</v>
      </c>
    </row>
    <row r="5229" spans="1:2" x14ac:dyDescent="0.25">
      <c r="A5229" s="64" t="str">
        <f>HYPERLINK("http://www.twitter.com/SAGElibrarynews", "SAGElibrarynews")</f>
        <v>SAGElibrarynews</v>
      </c>
      <c r="B5229" s="65"/>
    </row>
    <row r="5230" spans="1:2" x14ac:dyDescent="0.25">
      <c r="A5230" s="64" t="str">
        <f>HYPERLINK("http://www.twitter.com/philperry01", "philperry01")</f>
        <v>philperry01</v>
      </c>
      <c r="B5230" s="65" t="s">
        <v>5616</v>
      </c>
    </row>
    <row r="5231" spans="1:2" x14ac:dyDescent="0.25">
      <c r="A5231" s="64" t="str">
        <f>HYPERLINK("http://www.twitter.com/thereadinglife", "thereadinglife")</f>
        <v>thereadinglife</v>
      </c>
      <c r="B5231" s="65"/>
    </row>
    <row r="5232" spans="1:2" x14ac:dyDescent="0.25">
      <c r="A5232" s="64" t="str">
        <f>HYPERLINK("http://www.twitter.com/KaySteven1", "KaySteven1")</f>
        <v>KaySteven1</v>
      </c>
      <c r="B5232" s="65" t="s">
        <v>1328</v>
      </c>
    </row>
    <row r="5233" spans="1:2" x14ac:dyDescent="0.25">
      <c r="A5233" s="64" t="str">
        <f>HYPERLINK("http://www.twitter.com/DHImusings", "DHImusings")</f>
        <v>DHImusings</v>
      </c>
      <c r="B5233" s="65" t="s">
        <v>24</v>
      </c>
    </row>
    <row r="5234" spans="1:2" x14ac:dyDescent="0.25">
      <c r="A5234" s="64" t="str">
        <f>HYPERLINK("http://www.twitter.com/caledoniaaward", "caledoniaaward")</f>
        <v>caledoniaaward</v>
      </c>
      <c r="B5234" s="65" t="s">
        <v>24</v>
      </c>
    </row>
    <row r="5235" spans="1:2" x14ac:dyDescent="0.25">
      <c r="A5235" s="64" t="str">
        <f>HYPERLINK("http://www.twitter.com/seawildearth", "seawildearth")</f>
        <v>seawildearth</v>
      </c>
      <c r="B5235" s="65" t="s">
        <v>5617</v>
      </c>
    </row>
    <row r="5236" spans="1:2" x14ac:dyDescent="0.25">
      <c r="A5236" s="64" t="str">
        <f>HYPERLINK("http://www.twitter.com/Paul_Fledge", "Paul_Fledge")</f>
        <v>Paul_Fledge</v>
      </c>
      <c r="B5236" s="65" t="s">
        <v>5618</v>
      </c>
    </row>
    <row r="5237" spans="1:2" x14ac:dyDescent="0.25">
      <c r="A5237" s="64" t="str">
        <f>HYPERLINK("http://www.twitter.com/Vixsterbee", "Vixsterbee")</f>
        <v>Vixsterbee</v>
      </c>
      <c r="B5237" s="65" t="s">
        <v>5619</v>
      </c>
    </row>
    <row r="5238" spans="1:2" x14ac:dyDescent="0.25">
      <c r="A5238" s="64" t="str">
        <f>HYPERLINK("http://www.twitter.com/SamiraAhmedUK", "SamiraAhmedUK")</f>
        <v>SamiraAhmedUK</v>
      </c>
      <c r="B5238" s="65" t="s">
        <v>5620</v>
      </c>
    </row>
    <row r="5239" spans="1:2" x14ac:dyDescent="0.25">
      <c r="A5239" s="64" t="str">
        <f>HYPERLINK("http://www.twitter.com/nealberk", "nealberk")</f>
        <v>nealberk</v>
      </c>
      <c r="B5239" s="65" t="s">
        <v>5621</v>
      </c>
    </row>
    <row r="5240" spans="1:2" x14ac:dyDescent="0.25">
      <c r="A5240" s="64" t="str">
        <f>HYPERLINK("http://www.twitter.com/litfests", "litfests")</f>
        <v>litfests</v>
      </c>
      <c r="B5240" s="65" t="s">
        <v>5622</v>
      </c>
    </row>
    <row r="5241" spans="1:2" x14ac:dyDescent="0.25">
      <c r="A5241" s="64" t="str">
        <f>HYPERLINK("http://www.twitter.com/Captain_Ned", "Captain_Ned")</f>
        <v>Captain_Ned</v>
      </c>
      <c r="B5241" s="65" t="s">
        <v>5167</v>
      </c>
    </row>
    <row r="5242" spans="1:2" x14ac:dyDescent="0.25">
      <c r="A5242" s="64" t="str">
        <f>HYPERLINK("http://www.twitter.com/IanBeesleyphoto", "IanBeesleyphoto")</f>
        <v>IanBeesleyphoto</v>
      </c>
      <c r="B5242" s="65" t="s">
        <v>4501</v>
      </c>
    </row>
    <row r="5243" spans="1:2" x14ac:dyDescent="0.25">
      <c r="A5243" s="64" t="str">
        <f>HYPERLINK("http://www.twitter.com/authorceallan", "authorceallan")</f>
        <v>authorceallan</v>
      </c>
      <c r="B5243" s="65" t="s">
        <v>4522</v>
      </c>
    </row>
    <row r="5244" spans="1:2" x14ac:dyDescent="0.25">
      <c r="A5244" s="64" t="str">
        <f>HYPERLINK("http://www.twitter.com/asmithdunnock", "asmithdunnock")</f>
        <v>asmithdunnock</v>
      </c>
      <c r="B5244" s="65"/>
    </row>
    <row r="5245" spans="1:2" x14ac:dyDescent="0.25">
      <c r="A5245" s="64" t="str">
        <f>HYPERLINK("http://www.twitter.com/StuffDecent", "StuffDecent")</f>
        <v>StuffDecent</v>
      </c>
      <c r="B5245" s="65"/>
    </row>
    <row r="5246" spans="1:2" x14ac:dyDescent="0.25">
      <c r="A5246" s="64" t="str">
        <f>HYPERLINK("http://www.twitter.com/hookagator", "hookagator")</f>
        <v>hookagator</v>
      </c>
      <c r="B5246" s="65" t="s">
        <v>2185</v>
      </c>
    </row>
    <row r="5247" spans="1:2" x14ac:dyDescent="0.25">
      <c r="A5247" s="64" t="str">
        <f>HYPERLINK("http://www.twitter.com/stewmelton", "stewmelton")</f>
        <v>stewmelton</v>
      </c>
      <c r="B5247" s="65"/>
    </row>
    <row r="5248" spans="1:2" x14ac:dyDescent="0.25">
      <c r="A5248" s="64" t="str">
        <f>HYPERLINK("http://www.twitter.com/clownbrown22", "clownbrown22")</f>
        <v>clownbrown22</v>
      </c>
      <c r="B5248" s="65" t="s">
        <v>5623</v>
      </c>
    </row>
    <row r="5249" spans="1:2" x14ac:dyDescent="0.25">
      <c r="A5249" s="64" t="str">
        <f>HYPERLINK("http://www.twitter.com/kailworm", "kailworm")</f>
        <v>kailworm</v>
      </c>
      <c r="B5249" s="65" t="s">
        <v>5624</v>
      </c>
    </row>
    <row r="5250" spans="1:2" x14ac:dyDescent="0.25">
      <c r="A5250" s="64" t="str">
        <f>HYPERLINK("http://www.twitter.com/tobiasksu", "tobiasksu")</f>
        <v>tobiasksu</v>
      </c>
      <c r="B5250" s="65" t="s">
        <v>5625</v>
      </c>
    </row>
    <row r="5251" spans="1:2" x14ac:dyDescent="0.25">
      <c r="A5251" s="64" t="str">
        <f>HYPERLINK("http://www.twitter.com/icouzin", "icouzin")</f>
        <v>icouzin</v>
      </c>
      <c r="B5251" s="65" t="s">
        <v>5626</v>
      </c>
    </row>
    <row r="5252" spans="1:2" x14ac:dyDescent="0.25">
      <c r="A5252" s="64" t="str">
        <f>HYPERLINK("http://www.twitter.com/Oggsterr", "Oggsterr")</f>
        <v>Oggsterr</v>
      </c>
      <c r="B5252" s="65"/>
    </row>
    <row r="5253" spans="1:2" x14ac:dyDescent="0.25">
      <c r="A5253" s="64" t="str">
        <f>HYPERLINK("http://www.twitter.com/chiggi", "chiggi")</f>
        <v>chiggi</v>
      </c>
      <c r="B5253" s="65" t="s">
        <v>5627</v>
      </c>
    </row>
    <row r="5254" spans="1:2" x14ac:dyDescent="0.25">
      <c r="A5254" s="64" t="str">
        <f>HYPERLINK("http://www.twitter.com/WDB79", "WDB79")</f>
        <v>WDB79</v>
      </c>
      <c r="B5254" s="65" t="s">
        <v>477</v>
      </c>
    </row>
    <row r="5255" spans="1:2" x14ac:dyDescent="0.25">
      <c r="A5255" s="64" t="str">
        <f>HYPERLINK("http://www.twitter.com/Melissafitzg", "Melissafitzg")</f>
        <v>Melissafitzg</v>
      </c>
      <c r="B5255" s="65"/>
    </row>
    <row r="5256" spans="1:2" x14ac:dyDescent="0.25">
      <c r="A5256" s="64" t="str">
        <f>HYPERLINK("http://www.twitter.com/GillHamilton", "GillHamilton")</f>
        <v>GillHamilton</v>
      </c>
      <c r="B5256" s="65" t="s">
        <v>5628</v>
      </c>
    </row>
    <row r="5257" spans="1:2" x14ac:dyDescent="0.25">
      <c r="A5257" s="64" t="str">
        <f>HYPERLINK("http://www.twitter.com/cristencaine", "cristencaine")</f>
        <v>cristencaine</v>
      </c>
      <c r="B5257" s="65" t="s">
        <v>5006</v>
      </c>
    </row>
    <row r="5258" spans="1:2" x14ac:dyDescent="0.25">
      <c r="A5258" s="64" t="str">
        <f>HYPERLINK("http://www.twitter.com/Jonessurname", "Jonessurname")</f>
        <v>Jonessurname</v>
      </c>
      <c r="B5258" s="65" t="s">
        <v>5629</v>
      </c>
    </row>
    <row r="5259" spans="1:2" x14ac:dyDescent="0.25">
      <c r="A5259" s="64" t="str">
        <f>HYPERLINK("http://www.twitter.com/TheAnorak", "TheAnorak")</f>
        <v>TheAnorak</v>
      </c>
      <c r="B5259" s="65" t="s">
        <v>296</v>
      </c>
    </row>
    <row r="5260" spans="1:2" x14ac:dyDescent="0.25">
      <c r="A5260" s="64" t="str">
        <f>HYPERLINK("http://www.twitter.com/JMFrankland", "JMFrankland")</f>
        <v>JMFrankland</v>
      </c>
      <c r="B5260" s="65" t="s">
        <v>5630</v>
      </c>
    </row>
    <row r="5261" spans="1:2" x14ac:dyDescent="0.25">
      <c r="A5261" s="64" t="str">
        <f>HYPERLINK("http://www.twitter.com/sorcerapprent", "sorcerapprent")</f>
        <v>sorcerapprent</v>
      </c>
      <c r="B5261" s="65"/>
    </row>
    <row r="5262" spans="1:2" x14ac:dyDescent="0.25">
      <c r="A5262" s="64" t="str">
        <f>HYPERLINK("http://www.twitter.com/ImaginateUK", "ImaginateUK")</f>
        <v>ImaginateUK</v>
      </c>
      <c r="B5262" s="65" t="s">
        <v>24</v>
      </c>
    </row>
    <row r="5263" spans="1:2" x14ac:dyDescent="0.25">
      <c r="A5263" s="64" t="str">
        <f>HYPERLINK("http://www.twitter.com/mattbnl", "mattbnl")</f>
        <v>mattbnl</v>
      </c>
      <c r="B5263" s="65" t="s">
        <v>5631</v>
      </c>
    </row>
    <row r="5264" spans="1:2" x14ac:dyDescent="0.25">
      <c r="A5264" s="64" t="str">
        <f>HYPERLINK("http://www.twitter.com/MkhanBanGasH", "MkhanBanGasH")</f>
        <v>MkhanBanGasH</v>
      </c>
      <c r="B5264" s="65" t="s">
        <v>5632</v>
      </c>
    </row>
    <row r="5265" spans="1:2" x14ac:dyDescent="0.25">
      <c r="A5265" s="64" t="str">
        <f>HYPERLINK("http://www.twitter.com/LanaSinyavskaya", "LanaSinyavskaya")</f>
        <v>LanaSinyavskaya</v>
      </c>
      <c r="B5265" s="65" t="s">
        <v>5633</v>
      </c>
    </row>
    <row r="5266" spans="1:2" x14ac:dyDescent="0.25">
      <c r="A5266" s="64" t="str">
        <f>HYPERLINK("http://www.twitter.com/Cat54", "Cat54")</f>
        <v>Cat54</v>
      </c>
      <c r="B5266" s="65" t="s">
        <v>5364</v>
      </c>
    </row>
    <row r="5267" spans="1:2" x14ac:dyDescent="0.25">
      <c r="A5267" s="64" t="str">
        <f>HYPERLINK("http://www.twitter.com/OrkneyGin", "OrkneyGin")</f>
        <v>OrkneyGin</v>
      </c>
      <c r="B5267" s="65" t="s">
        <v>3961</v>
      </c>
    </row>
    <row r="5268" spans="1:2" x14ac:dyDescent="0.25">
      <c r="A5268" s="64" t="str">
        <f>HYPERLINK("http://www.twitter.com/TweetYourBooks", "TweetYourBooks")</f>
        <v>TweetYourBooks</v>
      </c>
      <c r="B5268" s="65" t="s">
        <v>4149</v>
      </c>
    </row>
    <row r="5269" spans="1:2" x14ac:dyDescent="0.25">
      <c r="A5269" s="64" t="str">
        <f>HYPERLINK("http://www.twitter.com/ModelRocknSport", "ModelRocknSport")</f>
        <v>ModelRocknSport</v>
      </c>
      <c r="B5269" s="65"/>
    </row>
    <row r="5270" spans="1:2" x14ac:dyDescent="0.25">
      <c r="A5270" s="64" t="str">
        <f>HYPERLINK("http://www.twitter.com/HelenThompson66", "HelenThompson66")</f>
        <v>HelenThompson66</v>
      </c>
      <c r="B5270" s="65" t="s">
        <v>5634</v>
      </c>
    </row>
    <row r="5271" spans="1:2" x14ac:dyDescent="0.25">
      <c r="A5271" s="64" t="str">
        <f>HYPERLINK("http://www.twitter.com/IainFruitmarket", "IainFruitmarket")</f>
        <v>IainFruitmarket</v>
      </c>
      <c r="B5271" s="65" t="s">
        <v>67</v>
      </c>
    </row>
    <row r="5272" spans="1:2" x14ac:dyDescent="0.25">
      <c r="A5272" s="64" t="str">
        <f>HYPERLINK("http://www.twitter.com/KJWiliams", "KJWiliams")</f>
        <v>KJWiliams</v>
      </c>
      <c r="B5272" s="65"/>
    </row>
    <row r="5273" spans="1:2" x14ac:dyDescent="0.25">
      <c r="A5273" s="64" t="str">
        <f>HYPERLINK("http://www.twitter.com/paul_steele", "paul_steele")</f>
        <v>paul_steele</v>
      </c>
      <c r="B5273" s="65" t="s">
        <v>257</v>
      </c>
    </row>
    <row r="5274" spans="1:2" x14ac:dyDescent="0.25">
      <c r="A5274" s="64" t="str">
        <f>HYPERLINK("http://www.twitter.com/BKL_Library", "BKL_Library")</f>
        <v>BKL_Library</v>
      </c>
      <c r="B5274" s="65" t="s">
        <v>5635</v>
      </c>
    </row>
    <row r="5275" spans="1:2" x14ac:dyDescent="0.25">
      <c r="A5275" s="64" t="str">
        <f>HYPERLINK("http://www.twitter.com/UllapoolBookFes", "UllapoolBookFes")</f>
        <v>UllapoolBookFes</v>
      </c>
      <c r="B5275" s="65" t="s">
        <v>5636</v>
      </c>
    </row>
    <row r="5276" spans="1:2" x14ac:dyDescent="0.25">
      <c r="A5276" s="64" t="str">
        <f>HYPERLINK("http://www.twitter.com/OmarGuuto", "OmarGuuto")</f>
        <v>OmarGuuto</v>
      </c>
      <c r="B5276" s="65" t="s">
        <v>5637</v>
      </c>
    </row>
    <row r="5277" spans="1:2" x14ac:dyDescent="0.25">
      <c r="A5277" s="64" t="str">
        <f>HYPERLINK("http://www.twitter.com/CharlotteRae__", "CharlotteRae__")</f>
        <v>CharlotteRae__</v>
      </c>
      <c r="B5277" s="65"/>
    </row>
    <row r="5278" spans="1:2" x14ac:dyDescent="0.25">
      <c r="A5278" s="64" t="str">
        <f>HYPERLINK("http://www.twitter.com/gavinfranc", "gavinfranc")</f>
        <v>gavinfranc</v>
      </c>
      <c r="B5278" s="65" t="s">
        <v>24</v>
      </c>
    </row>
    <row r="5279" spans="1:2" x14ac:dyDescent="0.25">
      <c r="A5279" s="64" t="str">
        <f>HYPERLINK("http://www.twitter.com/alisonlang", "alisonlang")</f>
        <v>alisonlang</v>
      </c>
      <c r="B5279" s="65" t="s">
        <v>5638</v>
      </c>
    </row>
    <row r="5280" spans="1:2" x14ac:dyDescent="0.25">
      <c r="A5280" s="64" t="str">
        <f>HYPERLINK("http://www.twitter.com/AdelePatrickGWL", "AdelePatrickGWL")</f>
        <v>AdelePatrickGWL</v>
      </c>
      <c r="B5280" s="65" t="s">
        <v>318</v>
      </c>
    </row>
    <row r="5281" spans="1:2" x14ac:dyDescent="0.25">
      <c r="A5281" s="64" t="str">
        <f>HYPERLINK("http://www.twitter.com/LladoBuisan", "LladoBuisan")</f>
        <v>LladoBuisan</v>
      </c>
      <c r="B5281" s="65" t="s">
        <v>5639</v>
      </c>
    </row>
    <row r="5282" spans="1:2" x14ac:dyDescent="0.25">
      <c r="A5282" s="64" t="str">
        <f>HYPERLINK("http://www.twitter.com/clairelouise_99", "clairelouise_99")</f>
        <v>clairelouise_99</v>
      </c>
      <c r="B5282" s="65" t="s">
        <v>5640</v>
      </c>
    </row>
    <row r="5283" spans="1:2" x14ac:dyDescent="0.25">
      <c r="A5283" s="64" t="str">
        <f>HYPERLINK("http://www.twitter.com/JenacideBiblio", "JenacideBiblio")</f>
        <v>JenacideBiblio</v>
      </c>
      <c r="B5283" s="65" t="s">
        <v>4229</v>
      </c>
    </row>
    <row r="5284" spans="1:2" x14ac:dyDescent="0.25">
      <c r="A5284" s="64" t="str">
        <f>HYPERLINK("http://www.twitter.com/tweelearning", "tweelearning")</f>
        <v>tweelearning</v>
      </c>
      <c r="B5284" s="65" t="s">
        <v>24</v>
      </c>
    </row>
    <row r="5285" spans="1:2" x14ac:dyDescent="0.25">
      <c r="A5285" s="64" t="str">
        <f>HYPERLINK("http://www.twitter.com/HarvardMapColl", "HarvardMapColl")</f>
        <v>HarvardMapColl</v>
      </c>
      <c r="B5285" s="65" t="s">
        <v>5641</v>
      </c>
    </row>
    <row r="5286" spans="1:2" x14ac:dyDescent="0.25">
      <c r="A5286" s="64" t="str">
        <f>HYPERLINK("http://www.twitter.com/MercatToursLtd", "MercatToursLtd")</f>
        <v>MercatToursLtd</v>
      </c>
      <c r="B5286" s="65" t="s">
        <v>5642</v>
      </c>
    </row>
    <row r="5287" spans="1:2" x14ac:dyDescent="0.25">
      <c r="A5287" s="64" t="str">
        <f>HYPERLINK("http://www.twitter.com/ScottishWriters", "ScottishWriters")</f>
        <v>ScottishWriters</v>
      </c>
      <c r="B5287" s="65" t="s">
        <v>318</v>
      </c>
    </row>
    <row r="5288" spans="1:2" x14ac:dyDescent="0.25">
      <c r="A5288" s="64" t="str">
        <f>HYPERLINK("http://www.twitter.com/_widdershins", "_widdershins")</f>
        <v>_widdershins</v>
      </c>
      <c r="B5288" s="65" t="s">
        <v>5643</v>
      </c>
    </row>
    <row r="5289" spans="1:2" x14ac:dyDescent="0.25">
      <c r="A5289" s="64" t="str">
        <f>HYPERLINK("http://www.twitter.com/simply_spiffing", "simply_spiffing")</f>
        <v>simply_spiffing</v>
      </c>
      <c r="B5289" s="65" t="s">
        <v>296</v>
      </c>
    </row>
    <row r="5290" spans="1:2" x14ac:dyDescent="0.25">
      <c r="A5290" s="64" t="str">
        <f>HYPERLINK("http://www.twitter.com/OEPScotland", "OEPScotland")</f>
        <v>OEPScotland</v>
      </c>
      <c r="B5290" s="65" t="s">
        <v>5644</v>
      </c>
    </row>
    <row r="5291" spans="1:2" x14ac:dyDescent="0.25">
      <c r="A5291" s="64" t="str">
        <f>HYPERLINK("http://www.twitter.com/_andyduff", "_andyduff")</f>
        <v>_andyduff</v>
      </c>
      <c r="B5291" s="65" t="s">
        <v>36</v>
      </c>
    </row>
    <row r="5292" spans="1:2" x14ac:dyDescent="0.25">
      <c r="A5292" s="64" t="str">
        <f>HYPERLINK("http://www.twitter.com/RCPEHeritage", "RCPEHeritage")</f>
        <v>RCPEHeritage</v>
      </c>
      <c r="B5292" s="65" t="s">
        <v>487</v>
      </c>
    </row>
    <row r="5293" spans="1:2" x14ac:dyDescent="0.25">
      <c r="A5293" s="64" t="str">
        <f>HYPERLINK("http://www.twitter.com/Robin_Mitchell", "Robin_Mitchell")</f>
        <v>Robin_Mitchell</v>
      </c>
      <c r="B5293" s="65" t="s">
        <v>487</v>
      </c>
    </row>
    <row r="5294" spans="1:2" x14ac:dyDescent="0.25">
      <c r="A5294" s="64" t="str">
        <f>HYPERLINK("http://www.twitter.com/sarasheridan", "sarasheridan")</f>
        <v>sarasheridan</v>
      </c>
      <c r="B5294" s="65" t="s">
        <v>24</v>
      </c>
    </row>
    <row r="5295" spans="1:2" x14ac:dyDescent="0.25">
      <c r="A5295" s="64" t="str">
        <f>HYPERLINK("http://www.twitter.com/chrys_salt", "chrys_salt")</f>
        <v>chrys_salt</v>
      </c>
      <c r="B5295" s="65" t="s">
        <v>5645</v>
      </c>
    </row>
    <row r="5296" spans="1:2" x14ac:dyDescent="0.25">
      <c r="A5296" s="64" t="str">
        <f>HYPERLINK("http://www.twitter.com/RegistersOfScot", "RegistersOfScot")</f>
        <v>RegistersOfScot</v>
      </c>
      <c r="B5296" s="65" t="s">
        <v>5646</v>
      </c>
    </row>
    <row r="5297" spans="1:2" x14ac:dyDescent="0.25">
      <c r="A5297" s="64" t="str">
        <f>HYPERLINK("http://www.twitter.com/WiciCymru", "WiciCymru")</f>
        <v>WiciCymru</v>
      </c>
      <c r="B5297" s="65" t="s">
        <v>5647</v>
      </c>
    </row>
    <row r="5298" spans="1:2" x14ac:dyDescent="0.25">
      <c r="A5298" s="64" t="str">
        <f>HYPERLINK("http://www.twitter.com/BIGScotland", "BIGScotland")</f>
        <v>BIGScotland</v>
      </c>
      <c r="B5298" s="65" t="s">
        <v>517</v>
      </c>
    </row>
    <row r="5299" spans="1:2" x14ac:dyDescent="0.25">
      <c r="A5299" s="64" t="str">
        <f>HYPERLINK("http://www.twitter.com/mygovscot", "mygovscot")</f>
        <v>mygovscot</v>
      </c>
      <c r="B5299" s="65" t="s">
        <v>2007</v>
      </c>
    </row>
    <row r="5300" spans="1:2" x14ac:dyDescent="0.25">
      <c r="A5300" s="64" t="str">
        <f>HYPERLINK("http://www.twitter.com/EdinburghNapier", "EdinburghNapier")</f>
        <v>EdinburghNapier</v>
      </c>
      <c r="B5300" s="65" t="s">
        <v>487</v>
      </c>
    </row>
    <row r="5301" spans="1:2" x14ac:dyDescent="0.25">
      <c r="A5301" s="64" t="str">
        <f>HYPERLINK("http://www.twitter.com/MagiGibson", "MagiGibson")</f>
        <v>MagiGibson</v>
      </c>
      <c r="B5301" s="65" t="s">
        <v>138</v>
      </c>
    </row>
    <row r="5302" spans="1:2" x14ac:dyDescent="0.25">
      <c r="A5302" s="64" t="str">
        <f>HYPERLINK("http://www.twitter.com/DigitalColl", "DigitalColl")</f>
        <v>DigitalColl</v>
      </c>
      <c r="B5302" s="65" t="s">
        <v>5648</v>
      </c>
    </row>
    <row r="5303" spans="1:2" x14ac:dyDescent="0.25">
      <c r="A5303" s="64" t="str">
        <f>HYPERLINK("http://www.twitter.com/eddireader", "eddireader")</f>
        <v>eddireader</v>
      </c>
      <c r="B5303" s="65" t="s">
        <v>5649</v>
      </c>
    </row>
    <row r="5304" spans="1:2" x14ac:dyDescent="0.25">
      <c r="A5304" s="64" t="str">
        <f>HYPERLINK("http://www.twitter.com/AlisonWeirBooks", "AlisonWeirBooks")</f>
        <v>AlisonWeirBooks</v>
      </c>
      <c r="B5304" s="65" t="s">
        <v>5650</v>
      </c>
    </row>
    <row r="5305" spans="1:2" x14ac:dyDescent="0.25">
      <c r="A5305" s="64" t="str">
        <f>HYPERLINK("http://www.twitter.com/stuartlewis", "stuartlewis")</f>
        <v>stuartlewis</v>
      </c>
      <c r="B5305" s="65" t="s">
        <v>5007</v>
      </c>
    </row>
    <row r="5306" spans="1:2" x14ac:dyDescent="0.25">
      <c r="A5306" s="64" t="str">
        <f>HYPERLINK("http://www.twitter.com/Scotinform", "Scotinform")</f>
        <v>Scotinform</v>
      </c>
      <c r="B5306" s="65" t="s">
        <v>24</v>
      </c>
    </row>
    <row r="5307" spans="1:2" x14ac:dyDescent="0.25">
      <c r="A5307" s="64" t="str">
        <f>HYPERLINK("http://www.twitter.com/guthrieneil", "guthrieneil")</f>
        <v>guthrieneil</v>
      </c>
      <c r="B5307" s="65" t="s">
        <v>3778</v>
      </c>
    </row>
    <row r="5308" spans="1:2" x14ac:dyDescent="0.25">
      <c r="A5308" s="64" t="str">
        <f>HYPERLINK("http://www.twitter.com/imperiallibrary", "imperiallibrary")</f>
        <v>imperiallibrary</v>
      </c>
      <c r="B5308" s="65" t="s">
        <v>36</v>
      </c>
    </row>
    <row r="5309" spans="1:2" x14ac:dyDescent="0.25">
      <c r="A5309" s="64" t="str">
        <f>HYPERLINK("http://www.twitter.com/SocOfAdvocates", "SocOfAdvocates")</f>
        <v>SocOfAdvocates</v>
      </c>
      <c r="B5309" s="65" t="s">
        <v>808</v>
      </c>
    </row>
    <row r="5310" spans="1:2" x14ac:dyDescent="0.25">
      <c r="A5310" s="64" t="str">
        <f>HYPERLINK("http://www.twitter.com/Glasgow_Sport", "Glasgow_Sport")</f>
        <v>Glasgow_Sport</v>
      </c>
      <c r="B5310" s="65" t="s">
        <v>138</v>
      </c>
    </row>
    <row r="5311" spans="1:2" x14ac:dyDescent="0.25">
      <c r="A5311" s="64" t="str">
        <f>HYPERLINK("http://www.twitter.com/Istartbul", "Istartbul")</f>
        <v>Istartbul</v>
      </c>
      <c r="B5311" s="65"/>
    </row>
    <row r="5312" spans="1:2" x14ac:dyDescent="0.25">
      <c r="A5312" s="64" t="str">
        <f>HYPERLINK("http://www.twitter.com/marionmunro", "marionmunro")</f>
        <v>marionmunro</v>
      </c>
      <c r="B5312" s="65" t="s">
        <v>5651</v>
      </c>
    </row>
    <row r="5313" spans="1:2" x14ac:dyDescent="0.25">
      <c r="A5313" s="64" t="str">
        <f>HYPERLINK("http://www.twitter.com/Carlosalbamedia", "Carlosalbamedia")</f>
        <v>Carlosalbamedia</v>
      </c>
      <c r="B5313" s="65" t="s">
        <v>138</v>
      </c>
    </row>
    <row r="5314" spans="1:2" x14ac:dyDescent="0.25">
      <c r="A5314" s="64" t="str">
        <f>HYPERLINK("http://www.twitter.com/AHVolunteer", "AHVolunteer")</f>
        <v>AHVolunteer</v>
      </c>
      <c r="B5314" s="65" t="s">
        <v>24</v>
      </c>
    </row>
    <row r="5315" spans="1:2" x14ac:dyDescent="0.25">
      <c r="A5315" s="64" t="str">
        <f>HYPERLINK("http://www.twitter.com/FoxValleyFoodie", "FoxValleyFoodie")</f>
        <v>FoxValleyFoodie</v>
      </c>
      <c r="B5315" s="65" t="s">
        <v>5652</v>
      </c>
    </row>
    <row r="5316" spans="1:2" x14ac:dyDescent="0.25">
      <c r="A5316" s="64" t="str">
        <f>HYPERLINK("http://www.twitter.com/LisCurry", "LisCurry")</f>
        <v>LisCurry</v>
      </c>
      <c r="B5316" s="65" t="s">
        <v>514</v>
      </c>
    </row>
    <row r="5317" spans="1:2" x14ac:dyDescent="0.25">
      <c r="A5317" s="64" t="str">
        <f>HYPERLINK("http://www.twitter.com/Pergamum35", "Pergamum35")</f>
        <v>Pergamum35</v>
      </c>
      <c r="B5317" s="65"/>
    </row>
    <row r="5318" spans="1:2" x14ac:dyDescent="0.25">
      <c r="A5318" s="64" t="str">
        <f>HYPERLINK("http://www.twitter.com/El_Tonsco", "El_Tonsco")</f>
        <v>El_Tonsco</v>
      </c>
      <c r="B5318" s="65" t="s">
        <v>487</v>
      </c>
    </row>
    <row r="5319" spans="1:2" x14ac:dyDescent="0.25">
      <c r="A5319" s="64" t="str">
        <f>HYPERLINK("http://www.twitter.com/arcposse", "arcposse")</f>
        <v>arcposse</v>
      </c>
      <c r="B5319" s="65"/>
    </row>
    <row r="5320" spans="1:2" x14ac:dyDescent="0.25">
      <c r="A5320" s="64" t="str">
        <f>HYPERLINK("http://www.twitter.com/courteymmm", "courteymmm")</f>
        <v>courteymmm</v>
      </c>
      <c r="B5320" s="65"/>
    </row>
    <row r="5321" spans="1:2" x14ac:dyDescent="0.25">
      <c r="A5321" s="64" t="str">
        <f>HYPERLINK("http://www.twitter.com/OFalafel", "OFalafel")</f>
        <v>OFalafel</v>
      </c>
      <c r="B5321" s="65" t="s">
        <v>5653</v>
      </c>
    </row>
    <row r="5322" spans="1:2" x14ac:dyDescent="0.25">
      <c r="A5322" s="64" t="str">
        <f>HYPERLINK("http://www.twitter.com/12AoC", "12AoC")</f>
        <v>12AoC</v>
      </c>
      <c r="B5322" s="65" t="s">
        <v>477</v>
      </c>
    </row>
    <row r="5323" spans="1:2" x14ac:dyDescent="0.25">
      <c r="A5323" s="64" t="str">
        <f>HYPERLINK("http://www.twitter.com/HeathFitness", "HeathFitness")</f>
        <v>HeathFitness</v>
      </c>
      <c r="B5323" s="65" t="s">
        <v>4237</v>
      </c>
    </row>
    <row r="5324" spans="1:2" x14ac:dyDescent="0.25">
      <c r="A5324" s="64" t="str">
        <f>HYPERLINK("http://www.twitter.com/dale_southall", "dale_southall")</f>
        <v>dale_southall</v>
      </c>
      <c r="B5324" s="65" t="s">
        <v>1221</v>
      </c>
    </row>
    <row r="5325" spans="1:2" x14ac:dyDescent="0.25">
      <c r="A5325" s="64" t="str">
        <f>HYPERLINK("http://www.twitter.com/newyorkgrimaldi", "newyorkgrimaldi")</f>
        <v>newyorkgrimaldi</v>
      </c>
      <c r="B5325" s="65" t="s">
        <v>3998</v>
      </c>
    </row>
    <row r="5326" spans="1:2" x14ac:dyDescent="0.25">
      <c r="A5326" s="64" t="str">
        <f>HYPERLINK("http://www.twitter.com/karensheehy22", "karensheehy22")</f>
        <v>karensheehy22</v>
      </c>
      <c r="B5326" s="65"/>
    </row>
    <row r="5327" spans="1:2" x14ac:dyDescent="0.25">
      <c r="A5327" s="64" t="str">
        <f>HYPERLINK("http://www.twitter.com/JenBowden12", "JenBowden12")</f>
        <v>JenBowden12</v>
      </c>
      <c r="B5327" s="65" t="s">
        <v>5654</v>
      </c>
    </row>
    <row r="5328" spans="1:2" x14ac:dyDescent="0.25">
      <c r="A5328" s="64" t="str">
        <f>HYPERLINK("http://www.twitter.com/MarimbaMarguil1", "MarimbaMarguil1")</f>
        <v>MarimbaMarguil1</v>
      </c>
      <c r="B5328" s="65"/>
    </row>
    <row r="5329" spans="1:2" x14ac:dyDescent="0.25">
      <c r="A5329" s="64" t="str">
        <f>HYPERLINK("http://www.twitter.com/Curtisgwalker", "Curtisgwalker")</f>
        <v>Curtisgwalker</v>
      </c>
      <c r="B5329" s="65" t="s">
        <v>5655</v>
      </c>
    </row>
    <row r="5330" spans="1:2" x14ac:dyDescent="0.25">
      <c r="A5330" s="64" t="str">
        <f>HYPERLINK("http://www.twitter.com/theguyliner", "theguyliner")</f>
        <v>theguyliner</v>
      </c>
      <c r="B5330" s="65" t="s">
        <v>36</v>
      </c>
    </row>
    <row r="5331" spans="1:2" x14ac:dyDescent="0.25">
      <c r="A5331" s="64" t="str">
        <f>HYPERLINK("http://www.twitter.com/SisterKittee", "SisterKittee")</f>
        <v>SisterKittee</v>
      </c>
      <c r="B5331" s="65" t="s">
        <v>5656</v>
      </c>
    </row>
    <row r="5332" spans="1:2" x14ac:dyDescent="0.25">
      <c r="A5332" s="64" t="str">
        <f>HYPERLINK("http://www.twitter.com/CatSeveral", "CatSeveral")</f>
        <v>CatSeveral</v>
      </c>
      <c r="B5332" s="65"/>
    </row>
    <row r="5333" spans="1:2" x14ac:dyDescent="0.25">
      <c r="A5333" s="64" t="str">
        <f>HYPERLINK("http://www.twitter.com/thestorycafe_uk", "thestorycafe_uk")</f>
        <v>thestorycafe_uk</v>
      </c>
      <c r="B5333" s="65" t="s">
        <v>487</v>
      </c>
    </row>
    <row r="5334" spans="1:2" x14ac:dyDescent="0.25">
      <c r="A5334" s="64" t="str">
        <f>HYPERLINK("http://www.twitter.com/sellbigHQ", "sellbigHQ")</f>
        <v>sellbigHQ</v>
      </c>
      <c r="B5334" s="65"/>
    </row>
    <row r="5335" spans="1:2" x14ac:dyDescent="0.25">
      <c r="A5335" s="64" t="str">
        <f>HYPERLINK("http://www.twitter.com/Bjarni_Jonsson", "Bjarni_Jonsson")</f>
        <v>Bjarni_Jonsson</v>
      </c>
      <c r="B5335" s="65"/>
    </row>
    <row r="5336" spans="1:2" x14ac:dyDescent="0.25">
      <c r="A5336" s="64" t="str">
        <f>HYPERLINK("http://www.twitter.com/LeisaTay", "LeisaTay")</f>
        <v>LeisaTay</v>
      </c>
      <c r="B5336" s="65" t="s">
        <v>3816</v>
      </c>
    </row>
    <row r="5337" spans="1:2" x14ac:dyDescent="0.25">
      <c r="A5337" s="64" t="str">
        <f>HYPERLINK("http://www.twitter.com/afrikapresents", "afrikapresents")</f>
        <v>afrikapresents</v>
      </c>
      <c r="B5337" s="65" t="s">
        <v>487</v>
      </c>
    </row>
    <row r="5338" spans="1:2" x14ac:dyDescent="0.25">
      <c r="A5338" s="64" t="str">
        <f>HYPERLINK("http://www.twitter.com/OrkneyPhotos", "OrkneyPhotos")</f>
        <v>OrkneyPhotos</v>
      </c>
      <c r="B5338" s="65"/>
    </row>
    <row r="5339" spans="1:2" x14ac:dyDescent="0.25">
      <c r="A5339" s="64" t="str">
        <f>HYPERLINK("http://www.twitter.com/BirdandBeeCo", "BirdandBeeCo")</f>
        <v>BirdandBeeCo</v>
      </c>
      <c r="B5339" s="65" t="s">
        <v>5657</v>
      </c>
    </row>
    <row r="5340" spans="1:2" x14ac:dyDescent="0.25">
      <c r="A5340" s="64" t="str">
        <f>HYPERLINK("http://www.twitter.com/Gotham3", "Gotham3")</f>
        <v>Gotham3</v>
      </c>
      <c r="B5340" s="65" t="s">
        <v>5658</v>
      </c>
    </row>
    <row r="5341" spans="1:2" x14ac:dyDescent="0.25">
      <c r="A5341" s="64" t="str">
        <f>HYPERLINK("http://www.twitter.com/GHamilton129", "GHamilton129")</f>
        <v>GHamilton129</v>
      </c>
      <c r="B5341" s="65" t="s">
        <v>4094</v>
      </c>
    </row>
    <row r="5342" spans="1:2" x14ac:dyDescent="0.25">
      <c r="A5342" s="64" t="str">
        <f>HYPERLINK("http://www.twitter.com/byAliLand", "byAliLand")</f>
        <v>byAliLand</v>
      </c>
      <c r="B5342" s="65" t="s">
        <v>36</v>
      </c>
    </row>
    <row r="5343" spans="1:2" x14ac:dyDescent="0.25">
      <c r="A5343" s="64" t="str">
        <f>HYPERLINK("http://www.twitter.com/LouiseMorrish1", "LouiseMorrish1")</f>
        <v>LouiseMorrish1</v>
      </c>
      <c r="B5343" s="65" t="s">
        <v>296</v>
      </c>
    </row>
    <row r="5344" spans="1:2" x14ac:dyDescent="0.25">
      <c r="A5344" s="64" t="str">
        <f>HYPERLINK("http://www.twitter.com/evilmermaid1985", "evilmermaid1985")</f>
        <v>evilmermaid1985</v>
      </c>
      <c r="B5344" s="65"/>
    </row>
    <row r="5345" spans="1:2" x14ac:dyDescent="0.25">
      <c r="A5345" s="64" t="str">
        <f>HYPERLINK("http://www.twitter.com/freefromforces", "freefromforces")</f>
        <v>freefromforces</v>
      </c>
      <c r="B5345" s="65" t="s">
        <v>3777</v>
      </c>
    </row>
    <row r="5346" spans="1:2" x14ac:dyDescent="0.25">
      <c r="A5346" s="64" t="str">
        <f>HYPERLINK("http://www.twitter.com/ColorTheBooks", "ColorTheBooks")</f>
        <v>ColorTheBooks</v>
      </c>
      <c r="B5346" s="65" t="s">
        <v>5110</v>
      </c>
    </row>
    <row r="5347" spans="1:2" x14ac:dyDescent="0.25">
      <c r="A5347" s="64" t="str">
        <f>HYPERLINK("http://www.twitter.com/1o5CleanEnergy", "1o5CleanEnergy")</f>
        <v>1o5CleanEnergy</v>
      </c>
      <c r="B5347" s="65" t="s">
        <v>5659</v>
      </c>
    </row>
    <row r="5348" spans="1:2" x14ac:dyDescent="0.25">
      <c r="A5348" s="64" t="str">
        <f>HYPERLINK("http://www.twitter.com/GoldenHareBooks", "GoldenHareBooks")</f>
        <v>GoldenHareBooks</v>
      </c>
      <c r="B5348" s="65" t="s">
        <v>5660</v>
      </c>
    </row>
    <row r="5349" spans="1:2" x14ac:dyDescent="0.25">
      <c r="A5349" s="64" t="str">
        <f>HYPERLINK("http://www.twitter.com/socialmedia8868", "socialmedia8868")</f>
        <v>socialmedia8868</v>
      </c>
      <c r="B5349" s="65"/>
    </row>
    <row r="5350" spans="1:2" x14ac:dyDescent="0.25">
      <c r="A5350" s="64" t="str">
        <f>HYPERLINK("http://www.twitter.com/PureSafeTrained", "PureSafeTrained")</f>
        <v>PureSafeTrained</v>
      </c>
      <c r="B5350" s="65" t="s">
        <v>273</v>
      </c>
    </row>
    <row r="5351" spans="1:2" x14ac:dyDescent="0.25">
      <c r="A5351" s="64" t="str">
        <f>HYPERLINK("http://www.twitter.com/PaulaHouseman", "PaulaHouseman")</f>
        <v>PaulaHouseman</v>
      </c>
      <c r="B5351" s="65" t="s">
        <v>3817</v>
      </c>
    </row>
    <row r="5352" spans="1:2" x14ac:dyDescent="0.25">
      <c r="A5352" s="64" t="str">
        <f>HYPERLINK("http://www.twitter.com/GreggCollins76", "GreggCollins76")</f>
        <v>GreggCollins76</v>
      </c>
      <c r="B5352" s="65"/>
    </row>
    <row r="5353" spans="1:2" x14ac:dyDescent="0.25">
      <c r="A5353" s="64" t="str">
        <f>HYPERLINK("http://www.twitter.com/SafeKidsPro", "SafeKidsPro")</f>
        <v>SafeKidsPro</v>
      </c>
      <c r="B5353" s="65"/>
    </row>
    <row r="5354" spans="1:2" x14ac:dyDescent="0.25">
      <c r="A5354" s="64" t="str">
        <f>HYPERLINK("http://www.twitter.com/cobblersrisca", "cobblersrisca")</f>
        <v>cobblersrisca</v>
      </c>
      <c r="B5354" s="65" t="s">
        <v>5661</v>
      </c>
    </row>
    <row r="5355" spans="1:2" x14ac:dyDescent="0.25">
      <c r="A5355" s="64" t="str">
        <f>HYPERLINK("http://www.twitter.com/felixauthor", "felixauthor")</f>
        <v>felixauthor</v>
      </c>
      <c r="B5355" s="65" t="s">
        <v>4309</v>
      </c>
    </row>
    <row r="5356" spans="1:2" x14ac:dyDescent="0.25">
      <c r="A5356" s="64" t="str">
        <f>HYPERLINK("http://www.twitter.com/earlturner57", "earlturner57")</f>
        <v>earlturner57</v>
      </c>
      <c r="B5356" s="65" t="s">
        <v>477</v>
      </c>
    </row>
    <row r="5357" spans="1:2" x14ac:dyDescent="0.25">
      <c r="A5357" s="64" t="str">
        <f>HYPERLINK("http://www.twitter.com/Burkelicous", "Burkelicous")</f>
        <v>Burkelicous</v>
      </c>
      <c r="B5357" s="65"/>
    </row>
    <row r="5358" spans="1:2" x14ac:dyDescent="0.25">
      <c r="A5358" s="64" t="str">
        <f>HYPERLINK("http://www.twitter.com/LuxTravelExpert", "LuxTravelExpert")</f>
        <v>LuxTravelExpert</v>
      </c>
      <c r="B5358" s="65" t="s">
        <v>5662</v>
      </c>
    </row>
    <row r="5359" spans="1:2" x14ac:dyDescent="0.25">
      <c r="A5359" s="64" t="str">
        <f>HYPERLINK("http://www.twitter.com/pauline_hyland", "pauline_hyland")</f>
        <v>pauline_hyland</v>
      </c>
      <c r="B5359" s="65"/>
    </row>
    <row r="5360" spans="1:2" x14ac:dyDescent="0.25">
      <c r="A5360" s="64" t="str">
        <f>HYPERLINK("http://www.twitter.com/BroadcastSunny", "BroadcastSunny")</f>
        <v>BroadcastSunny</v>
      </c>
      <c r="B5360" s="65" t="s">
        <v>5663</v>
      </c>
    </row>
    <row r="5361" spans="1:2" x14ac:dyDescent="0.25">
      <c r="A5361" s="64" t="str">
        <f>HYPERLINK("http://www.twitter.com/vermilionaj", "vermilionaj")</f>
        <v>vermilionaj</v>
      </c>
      <c r="B5361" s="65"/>
    </row>
    <row r="5362" spans="1:2" x14ac:dyDescent="0.25">
      <c r="A5362" s="64" t="str">
        <f>HYPERLINK("http://www.twitter.com/erica_ca_ca_ca", "erica_ca_ca_ca")</f>
        <v>erica_ca_ca_ca</v>
      </c>
      <c r="B5362" s="65" t="s">
        <v>138</v>
      </c>
    </row>
    <row r="5363" spans="1:2" x14ac:dyDescent="0.25">
      <c r="A5363" s="64" t="str">
        <f>HYPERLINK("http://www.twitter.com/janemum1", "janemum1")</f>
        <v>janemum1</v>
      </c>
      <c r="B5363" s="65"/>
    </row>
    <row r="5364" spans="1:2" x14ac:dyDescent="0.25">
      <c r="A5364" s="64" t="str">
        <f>HYPERLINK("http://www.twitter.com/BrettWYale", "BrettWYale")</f>
        <v>BrettWYale</v>
      </c>
      <c r="B5364" s="65"/>
    </row>
    <row r="5365" spans="1:2" x14ac:dyDescent="0.25">
      <c r="A5365" s="64" t="str">
        <f>HYPERLINK("http://www.twitter.com/ScottGecko", "ScottGecko")</f>
        <v>ScottGecko</v>
      </c>
      <c r="B5365" s="65" t="s">
        <v>318</v>
      </c>
    </row>
    <row r="5366" spans="1:2" x14ac:dyDescent="0.25">
      <c r="A5366" s="64" t="str">
        <f>HYPERLINK("http://www.twitter.com/frenchade65", "frenchade65")</f>
        <v>frenchade65</v>
      </c>
      <c r="B5366" s="65"/>
    </row>
    <row r="5367" spans="1:2" x14ac:dyDescent="0.25">
      <c r="A5367" s="64" t="str">
        <f>HYPERLINK("http://www.twitter.com/OurCatDoor", "OurCatDoor")</f>
        <v>OurCatDoor</v>
      </c>
      <c r="B5367" s="65" t="s">
        <v>5664</v>
      </c>
    </row>
    <row r="5368" spans="1:2" x14ac:dyDescent="0.25">
      <c r="A5368" s="64" t="str">
        <f>HYPERLINK("http://www.twitter.com/wereviewbook", "wereviewbook")</f>
        <v>wereviewbook</v>
      </c>
      <c r="B5368" s="65"/>
    </row>
    <row r="5369" spans="1:2" x14ac:dyDescent="0.25">
      <c r="A5369" s="64" t="str">
        <f>HYPERLINK("http://www.twitter.com/Morv60", "Morv60")</f>
        <v>Morv60</v>
      </c>
      <c r="B5369" s="65"/>
    </row>
    <row r="5370" spans="1:2" x14ac:dyDescent="0.25">
      <c r="A5370" s="64" t="str">
        <f>HYPERLINK("http://www.twitter.com/3vaBruce", "3vaBruce")</f>
        <v>3vaBruce</v>
      </c>
      <c r="B5370" s="65" t="s">
        <v>5665</v>
      </c>
    </row>
    <row r="5371" spans="1:2" x14ac:dyDescent="0.25">
      <c r="A5371" s="64" t="str">
        <f>HYPERLINK("http://www.twitter.com/argantreeoflife", "argantreeoflife")</f>
        <v>argantreeoflife</v>
      </c>
      <c r="B5371" s="65" t="s">
        <v>70</v>
      </c>
    </row>
    <row r="5372" spans="1:2" x14ac:dyDescent="0.25">
      <c r="A5372" s="64" t="str">
        <f>HYPERLINK("http://www.twitter.com/mastersofmoney1", "mastersofmoney1")</f>
        <v>mastersofmoney1</v>
      </c>
      <c r="B5372" s="65" t="s">
        <v>5666</v>
      </c>
    </row>
    <row r="5373" spans="1:2" x14ac:dyDescent="0.25">
      <c r="A5373" s="64" t="str">
        <f>HYPERLINK("http://www.twitter.com/Beans_1975", "Beans_1975")</f>
        <v>Beans_1975</v>
      </c>
      <c r="B5373" s="65" t="s">
        <v>5667</v>
      </c>
    </row>
    <row r="5374" spans="1:2" x14ac:dyDescent="0.25">
      <c r="A5374" s="64" t="str">
        <f>HYPERLINK("http://www.twitter.com/Melbirchall", "Melbirchall")</f>
        <v>Melbirchall</v>
      </c>
      <c r="B5374" s="65" t="s">
        <v>1221</v>
      </c>
    </row>
    <row r="5375" spans="1:2" x14ac:dyDescent="0.25">
      <c r="A5375" s="64" t="str">
        <f>HYPERLINK("http://www.twitter.com/walkamileuk", "walkamileuk")</f>
        <v>walkamileuk</v>
      </c>
      <c r="B5375" s="65" t="s">
        <v>24</v>
      </c>
    </row>
    <row r="5376" spans="1:2" x14ac:dyDescent="0.25">
      <c r="A5376" s="64" t="str">
        <f>HYPERLINK("http://www.twitter.com/Thetweediebird", "Thetweediebird")</f>
        <v>Thetweediebird</v>
      </c>
      <c r="B5376" s="65" t="s">
        <v>5668</v>
      </c>
    </row>
    <row r="5377" spans="1:2" x14ac:dyDescent="0.25">
      <c r="A5377" s="64" t="str">
        <f>HYPERLINK("http://www.twitter.com/MikeWellsAuthor", "MikeWellsAuthor")</f>
        <v>MikeWellsAuthor</v>
      </c>
      <c r="B5377" s="65" t="s">
        <v>4489</v>
      </c>
    </row>
    <row r="5378" spans="1:2" x14ac:dyDescent="0.25">
      <c r="A5378" s="64" t="str">
        <f>HYPERLINK("http://www.twitter.com/soumayakezzim", "soumayakezzim")</f>
        <v>soumayakezzim</v>
      </c>
      <c r="B5378" s="65" t="s">
        <v>1377</v>
      </c>
    </row>
    <row r="5379" spans="1:2" x14ac:dyDescent="0.25">
      <c r="A5379" s="64" t="str">
        <f>HYPERLINK("http://www.twitter.com/nickapeacock", "nickapeacock")</f>
        <v>nickapeacock</v>
      </c>
      <c r="B5379" s="65" t="s">
        <v>36</v>
      </c>
    </row>
    <row r="5380" spans="1:2" x14ac:dyDescent="0.25">
      <c r="A5380" s="64" t="str">
        <f>HYPERLINK("http://www.twitter.com/GMacraeBurnet", "GMacraeBurnet")</f>
        <v>GMacraeBurnet</v>
      </c>
      <c r="B5380" s="65" t="s">
        <v>138</v>
      </c>
    </row>
    <row r="5381" spans="1:2" x14ac:dyDescent="0.25">
      <c r="A5381" s="64" t="str">
        <f>HYPERLINK("http://www.twitter.com/DareToBeHappier", "DareToBeHappier")</f>
        <v>DareToBeHappier</v>
      </c>
      <c r="B5381" s="65" t="s">
        <v>2007</v>
      </c>
    </row>
    <row r="5382" spans="1:2" x14ac:dyDescent="0.25">
      <c r="A5382" s="64" t="str">
        <f>HYPERLINK("http://www.twitter.com/bekelindsay", "bekelindsay")</f>
        <v>bekelindsay</v>
      </c>
      <c r="B5382" s="65"/>
    </row>
    <row r="5383" spans="1:2" x14ac:dyDescent="0.25">
      <c r="A5383" s="64" t="str">
        <f>HYPERLINK("http://www.twitter.com/tweet_suite", "tweet_suite")</f>
        <v>tweet_suite</v>
      </c>
      <c r="B5383" s="65" t="s">
        <v>2583</v>
      </c>
    </row>
    <row r="5384" spans="1:2" x14ac:dyDescent="0.25">
      <c r="A5384" s="64" t="str">
        <f>HYPERLINK("http://www.twitter.com/everydayreddy", "everydayreddy")</f>
        <v>everydayreddy</v>
      </c>
      <c r="B5384" s="65" t="s">
        <v>3797</v>
      </c>
    </row>
    <row r="5385" spans="1:2" x14ac:dyDescent="0.25">
      <c r="A5385" s="64" t="str">
        <f>HYPERLINK("http://www.twitter.com/seangbuckley", "seangbuckley")</f>
        <v>seangbuckley</v>
      </c>
      <c r="B5385" s="65" t="s">
        <v>33</v>
      </c>
    </row>
    <row r="5386" spans="1:2" x14ac:dyDescent="0.25">
      <c r="A5386" s="64" t="str">
        <f>HYPERLINK("http://www.twitter.com/mythscholar", "mythscholar")</f>
        <v>mythscholar</v>
      </c>
      <c r="B5386" s="65" t="s">
        <v>5669</v>
      </c>
    </row>
    <row r="5387" spans="1:2" x14ac:dyDescent="0.25">
      <c r="A5387" s="64" t="str">
        <f>HYPERLINK("http://www.twitter.com/jeybecques", "jeybecques")</f>
        <v>jeybecques</v>
      </c>
      <c r="B5387" s="65"/>
    </row>
    <row r="5388" spans="1:2" x14ac:dyDescent="0.25">
      <c r="A5388" s="64" t="str">
        <f>HYPERLINK("http://www.twitter.com/Iraqesque", "Iraqesque")</f>
        <v>Iraqesque</v>
      </c>
      <c r="B5388" s="65" t="s">
        <v>5670</v>
      </c>
    </row>
    <row r="5389" spans="1:2" x14ac:dyDescent="0.25">
      <c r="A5389" s="64" t="str">
        <f>HYPERLINK("http://www.twitter.com/RetweetBangBang", "RetweetBangBang")</f>
        <v>RetweetBangBang</v>
      </c>
      <c r="B5389" s="65"/>
    </row>
    <row r="5390" spans="1:2" x14ac:dyDescent="0.25">
      <c r="A5390" s="64" t="str">
        <f>HYPERLINK("http://www.twitter.com/shandmark", "shandmark")</f>
        <v>shandmark</v>
      </c>
      <c r="B5390" s="65"/>
    </row>
    <row r="5391" spans="1:2" x14ac:dyDescent="0.25">
      <c r="A5391" s="64" t="str">
        <f>HYPERLINK("http://www.twitter.com/mrluketaylor001", "mrluketaylor001")</f>
        <v>mrluketaylor001</v>
      </c>
      <c r="B5391" s="65"/>
    </row>
    <row r="5392" spans="1:2" x14ac:dyDescent="0.25">
      <c r="A5392" s="64" t="str">
        <f>HYPERLINK("http://www.twitter.com/x_bingham91", "x_bingham91")</f>
        <v>x_bingham91</v>
      </c>
      <c r="B5392" s="65" t="s">
        <v>5671</v>
      </c>
    </row>
    <row r="5393" spans="1:2" x14ac:dyDescent="0.25">
      <c r="A5393" s="64" t="str">
        <f>HYPERLINK("http://www.twitter.com/NaiveAutodidact", "NaiveAutodidact")</f>
        <v>NaiveAutodidact</v>
      </c>
      <c r="B5393" s="65" t="s">
        <v>5672</v>
      </c>
    </row>
    <row r="5394" spans="1:2" x14ac:dyDescent="0.25">
      <c r="A5394" s="64" t="str">
        <f>HYPERLINK("http://www.twitter.com/BrookesWLibrary", "BrookesWLibrary")</f>
        <v>BrookesWLibrary</v>
      </c>
      <c r="B5394" s="65" t="s">
        <v>2973</v>
      </c>
    </row>
    <row r="5395" spans="1:2" x14ac:dyDescent="0.25">
      <c r="A5395" s="64" t="str">
        <f>HYPERLINK("http://www.twitter.com/James_Phoenix66", "James_Phoenix66")</f>
        <v>James_Phoenix66</v>
      </c>
      <c r="B5395" s="65" t="s">
        <v>2289</v>
      </c>
    </row>
    <row r="5396" spans="1:2" x14ac:dyDescent="0.25">
      <c r="A5396" s="64" t="str">
        <f>HYPERLINK("http://www.twitter.com/BookTweep_", "BookTweep_")</f>
        <v>BookTweep_</v>
      </c>
      <c r="B5396" s="65" t="s">
        <v>5673</v>
      </c>
    </row>
    <row r="5397" spans="1:2" x14ac:dyDescent="0.25">
      <c r="A5397" s="64" t="str">
        <f>HYPERLINK("http://www.twitter.com/gavgilmour", "gavgilmour")</f>
        <v>gavgilmour</v>
      </c>
      <c r="B5397" s="65" t="s">
        <v>569</v>
      </c>
    </row>
    <row r="5398" spans="1:2" x14ac:dyDescent="0.25">
      <c r="A5398" s="64" t="str">
        <f>HYPERLINK("http://www.twitter.com/gourmetbutcher", "gourmetbutcher")</f>
        <v>gourmetbutcher</v>
      </c>
      <c r="B5398" s="65" t="s">
        <v>5674</v>
      </c>
    </row>
    <row r="5399" spans="1:2" x14ac:dyDescent="0.25">
      <c r="A5399" s="64" t="str">
        <f>HYPERLINK("http://www.twitter.com/Running_on_tea", "Running_on_tea")</f>
        <v>Running_on_tea</v>
      </c>
      <c r="B5399" s="65"/>
    </row>
    <row r="5400" spans="1:2" x14ac:dyDescent="0.25">
      <c r="A5400" s="64" t="str">
        <f>HYPERLINK("http://www.twitter.com/TUT_Library", "TUT_Library")</f>
        <v>TUT_Library</v>
      </c>
      <c r="B5400" s="65" t="s">
        <v>5675</v>
      </c>
    </row>
    <row r="5401" spans="1:2" x14ac:dyDescent="0.25">
      <c r="A5401" s="64" t="str">
        <f>HYPERLINK("http://www.twitter.com/TableLondon", "TableLondon")</f>
        <v>TableLondon</v>
      </c>
      <c r="B5401" s="65" t="s">
        <v>477</v>
      </c>
    </row>
    <row r="5402" spans="1:2" x14ac:dyDescent="0.25">
      <c r="A5402" s="64" t="str">
        <f>HYPERLINK("http://www.twitter.com/AceOfBaes", "AceOfBaes")</f>
        <v>AceOfBaes</v>
      </c>
      <c r="B5402" s="65" t="s">
        <v>5676</v>
      </c>
    </row>
    <row r="5403" spans="1:2" x14ac:dyDescent="0.25">
      <c r="A5403" s="64" t="str">
        <f>HYPERLINK("http://www.twitter.com/Miss_Thomson1", "Miss_Thomson1")</f>
        <v>Miss_Thomson1</v>
      </c>
      <c r="B5403" s="65" t="s">
        <v>808</v>
      </c>
    </row>
    <row r="5404" spans="1:2" x14ac:dyDescent="0.25">
      <c r="A5404" s="64" t="str">
        <f>HYPERLINK("http://www.twitter.com/greenkatie", "greenkatie")</f>
        <v>greenkatie</v>
      </c>
      <c r="B5404" s="65"/>
    </row>
    <row r="5405" spans="1:2" x14ac:dyDescent="0.25">
      <c r="A5405" s="64" t="str">
        <f>HYPERLINK("http://www.twitter.com/shutitannie", "shutitannie")</f>
        <v>shutitannie</v>
      </c>
      <c r="B5405" s="65" t="s">
        <v>2007</v>
      </c>
    </row>
    <row r="5406" spans="1:2" x14ac:dyDescent="0.25">
      <c r="A5406" s="64" t="str">
        <f>HYPERLINK("http://www.twitter.com/TalesILove", "TalesILove")</f>
        <v>TalesILove</v>
      </c>
      <c r="B5406" s="65" t="s">
        <v>5677</v>
      </c>
    </row>
    <row r="5407" spans="1:2" x14ac:dyDescent="0.25">
      <c r="A5407" s="64" t="str">
        <f>HYPERLINK("http://www.twitter.com/n2books", "n2books")</f>
        <v>n2books</v>
      </c>
      <c r="B5407" s="65" t="s">
        <v>5678</v>
      </c>
    </row>
    <row r="5408" spans="1:2" x14ac:dyDescent="0.25">
      <c r="A5408" s="64" t="str">
        <f>HYPERLINK("http://www.twitter.com/TwittPilotHQ", "TwittPilotHQ")</f>
        <v>TwittPilotHQ</v>
      </c>
      <c r="B5408" s="65"/>
    </row>
    <row r="5409" spans="1:2" x14ac:dyDescent="0.25">
      <c r="A5409" s="64" t="str">
        <f>HYPERLINK("http://www.twitter.com/travelgalNicole", "travelgalNicole")</f>
        <v>travelgalNicole</v>
      </c>
      <c r="B5409" s="65" t="s">
        <v>4247</v>
      </c>
    </row>
    <row r="5410" spans="1:2" x14ac:dyDescent="0.25">
      <c r="A5410" s="64" t="str">
        <f>HYPERLINK("http://www.twitter.com/sopheak_ke", "sopheak_ke")</f>
        <v>sopheak_ke</v>
      </c>
      <c r="B5410" s="65"/>
    </row>
    <row r="5411" spans="1:2" x14ac:dyDescent="0.25">
      <c r="A5411" s="64" t="str">
        <f>HYPERLINK("http://www.twitter.com/JoannaCannon", "JoannaCannon")</f>
        <v>JoannaCannon</v>
      </c>
      <c r="B5411" s="65" t="s">
        <v>5679</v>
      </c>
    </row>
    <row r="5412" spans="1:2" x14ac:dyDescent="0.25">
      <c r="A5412" s="64" t="str">
        <f>HYPERLINK("http://www.twitter.com/MosstrooperMum", "MosstrooperMum")</f>
        <v>MosstrooperMum</v>
      </c>
      <c r="B5412" s="65" t="s">
        <v>5680</v>
      </c>
    </row>
    <row r="5413" spans="1:2" x14ac:dyDescent="0.25">
      <c r="A5413" s="64" t="str">
        <f>HYPERLINK("http://www.twitter.com/alkaguilar", "alkaguilar")</f>
        <v>alkaguilar</v>
      </c>
      <c r="B5413" s="65"/>
    </row>
    <row r="5414" spans="1:2" x14ac:dyDescent="0.25">
      <c r="A5414" s="64" t="str">
        <f>HYPERLINK("http://www.twitter.com/StevieWildfires", "StevieWildfires")</f>
        <v>StevieWildfires</v>
      </c>
      <c r="B5414" s="65" t="s">
        <v>2399</v>
      </c>
    </row>
    <row r="5415" spans="1:2" x14ac:dyDescent="0.25">
      <c r="A5415" s="64" t="str">
        <f>HYPERLINK("http://www.twitter.com/Kinhead", "Kinhead")</f>
        <v>Kinhead</v>
      </c>
      <c r="B5415" s="65"/>
    </row>
    <row r="5416" spans="1:2" x14ac:dyDescent="0.25">
      <c r="A5416" s="64" t="str">
        <f>HYPERLINK("http://www.twitter.com/realAdrianBrown", "realAdrianBrown")</f>
        <v>realAdrianBrown</v>
      </c>
      <c r="B5416" s="65" t="s">
        <v>1490</v>
      </c>
    </row>
    <row r="5417" spans="1:2" x14ac:dyDescent="0.25">
      <c r="A5417" s="64" t="str">
        <f>HYPERLINK("http://www.twitter.com/scotclans", "scotclans")</f>
        <v>scotclans</v>
      </c>
      <c r="B5417" s="65" t="s">
        <v>24</v>
      </c>
    </row>
    <row r="5418" spans="1:2" x14ac:dyDescent="0.25">
      <c r="A5418" s="64" t="str">
        <f>HYPERLINK("http://www.twitter.com/MESalisbury", "MESalisbury")</f>
        <v>MESalisbury</v>
      </c>
      <c r="B5418" s="65" t="s">
        <v>5681</v>
      </c>
    </row>
    <row r="5419" spans="1:2" x14ac:dyDescent="0.25">
      <c r="A5419" s="64" t="str">
        <f>HYPERLINK("http://www.twitter.com/TangoZoneOrg", "TangoZoneOrg")</f>
        <v>TangoZoneOrg</v>
      </c>
      <c r="B5419" s="65"/>
    </row>
    <row r="5420" spans="1:2" x14ac:dyDescent="0.25">
      <c r="A5420" s="64" t="str">
        <f>HYPERLINK("http://www.twitter.com/GarrulusJay", "GarrulusJay")</f>
        <v>GarrulusJay</v>
      </c>
      <c r="B5420" s="65" t="s">
        <v>837</v>
      </c>
    </row>
    <row r="5421" spans="1:2" x14ac:dyDescent="0.25">
      <c r="A5421" s="64" t="str">
        <f>HYPERLINK("http://www.twitter.com/LucyBailey_1989", "LucyBailey_1989")</f>
        <v>LucyBailey_1989</v>
      </c>
      <c r="B5421" s="65"/>
    </row>
    <row r="5422" spans="1:2" x14ac:dyDescent="0.25">
      <c r="A5422" s="64" t="str">
        <f>HYPERLINK("http://www.twitter.com/DrippingLiz", "DrippingLiz")</f>
        <v>DrippingLiz</v>
      </c>
      <c r="B5422" s="65"/>
    </row>
    <row r="5423" spans="1:2" x14ac:dyDescent="0.25">
      <c r="A5423" s="64" t="str">
        <f>HYPERLINK("http://www.twitter.com/hisjlm", "hisjlm")</f>
        <v>hisjlm</v>
      </c>
      <c r="B5423" s="65" t="s">
        <v>5682</v>
      </c>
    </row>
    <row r="5424" spans="1:2" x14ac:dyDescent="0.25">
      <c r="A5424" s="64" t="str">
        <f>HYPERLINK("http://www.twitter.com/HargadonStephen", "HargadonStephen")</f>
        <v>HargadonStephen</v>
      </c>
      <c r="B5424" s="65" t="s">
        <v>5683</v>
      </c>
    </row>
    <row r="5425" spans="1:2" x14ac:dyDescent="0.25">
      <c r="A5425" s="64" t="str">
        <f>HYPERLINK("http://www.twitter.com/JagerArtist", "JagerArtist")</f>
        <v>JagerArtist</v>
      </c>
      <c r="B5425" s="65" t="s">
        <v>3797</v>
      </c>
    </row>
    <row r="5426" spans="1:2" x14ac:dyDescent="0.25">
      <c r="A5426" s="64" t="str">
        <f>HYPERLINK("http://www.twitter.com/Wstonesburysted", "Wstonesburysted")</f>
        <v>Wstonesburysted</v>
      </c>
      <c r="B5426" s="65" t="s">
        <v>5684</v>
      </c>
    </row>
    <row r="5427" spans="1:2" x14ac:dyDescent="0.25">
      <c r="A5427" s="64" t="str">
        <f>HYPERLINK("http://www.twitter.com/CarrJnaughton", "CarrJnaughton")</f>
        <v>CarrJnaughton</v>
      </c>
      <c r="B5427" s="65"/>
    </row>
    <row r="5428" spans="1:2" x14ac:dyDescent="0.25">
      <c r="A5428" s="64" t="str">
        <f>HYPERLINK("http://www.twitter.com/LiaIapaolo", "LiaIapaolo")</f>
        <v>LiaIapaolo</v>
      </c>
      <c r="B5428" s="65" t="s">
        <v>5591</v>
      </c>
    </row>
    <row r="5429" spans="1:2" x14ac:dyDescent="0.25">
      <c r="A5429" s="64" t="str">
        <f>HYPERLINK("http://www.twitter.com/FSaskLib", "FSaskLib")</f>
        <v>FSaskLib</v>
      </c>
      <c r="B5429" s="65" t="s">
        <v>5685</v>
      </c>
    </row>
    <row r="5430" spans="1:2" x14ac:dyDescent="0.25">
      <c r="A5430" s="64" t="str">
        <f>HYPERLINK("http://www.twitter.com/SophieGow", "SophieGow")</f>
        <v>SophieGow</v>
      </c>
      <c r="B5430" s="65" t="s">
        <v>517</v>
      </c>
    </row>
    <row r="5431" spans="1:2" x14ac:dyDescent="0.25">
      <c r="A5431" s="64" t="str">
        <f>HYPERLINK("http://www.twitter.com/ClareSmith16", "ClareSmith16")</f>
        <v>ClareSmith16</v>
      </c>
      <c r="B5431" s="65" t="s">
        <v>36</v>
      </c>
    </row>
    <row r="5432" spans="1:2" x14ac:dyDescent="0.25">
      <c r="A5432" s="64" t="str">
        <f>HYPERLINK("http://www.twitter.com/AbroadintheUSA", "AbroadintheUSA")</f>
        <v>AbroadintheUSA</v>
      </c>
      <c r="B5432" s="65" t="s">
        <v>5686</v>
      </c>
    </row>
    <row r="5433" spans="1:2" x14ac:dyDescent="0.25">
      <c r="A5433" s="64" t="str">
        <f>HYPERLINK("http://www.twitter.com/saraannleslie", "saraannleslie")</f>
        <v>saraannleslie</v>
      </c>
      <c r="B5433" s="65" t="s">
        <v>5687</v>
      </c>
    </row>
    <row r="5434" spans="1:2" x14ac:dyDescent="0.25">
      <c r="A5434" s="64" t="str">
        <f>HYPERLINK("http://www.twitter.com/kimfoleysweeney", "kimfoleysweeney")</f>
        <v>kimfoleysweeney</v>
      </c>
      <c r="B5434" s="65"/>
    </row>
    <row r="5435" spans="1:2" x14ac:dyDescent="0.25">
      <c r="A5435" s="64" t="str">
        <f>HYPERLINK("http://www.twitter.com/Manchester_Arts", "Manchester_Arts")</f>
        <v>Manchester_Arts</v>
      </c>
      <c r="B5435" s="65" t="s">
        <v>33</v>
      </c>
    </row>
    <row r="5436" spans="1:2" x14ac:dyDescent="0.25">
      <c r="A5436" s="64" t="str">
        <f>HYPERLINK("http://www.twitter.com/Espanyolman", "Espanyolman")</f>
        <v>Espanyolman</v>
      </c>
      <c r="B5436" s="65" t="s">
        <v>70</v>
      </c>
    </row>
    <row r="5437" spans="1:2" x14ac:dyDescent="0.25">
      <c r="A5437" s="64" t="str">
        <f>HYPERLINK("http://www.twitter.com/UrbanInventor", "UrbanInventor")</f>
        <v>UrbanInventor</v>
      </c>
      <c r="B5437" s="65" t="s">
        <v>5688</v>
      </c>
    </row>
    <row r="5438" spans="1:2" x14ac:dyDescent="0.25">
      <c r="A5438" s="64" t="str">
        <f>HYPERLINK("http://www.twitter.com/artsdevofficer", "artsdevofficer")</f>
        <v>artsdevofficer</v>
      </c>
      <c r="B5438" s="65" t="s">
        <v>135</v>
      </c>
    </row>
    <row r="5439" spans="1:2" x14ac:dyDescent="0.25">
      <c r="A5439" s="64" t="str">
        <f>HYPERLINK("http://www.twitter.com/acinthepack", "acinthepack")</f>
        <v>acinthepack</v>
      </c>
      <c r="B5439" s="65" t="s">
        <v>36</v>
      </c>
    </row>
    <row r="5440" spans="1:2" x14ac:dyDescent="0.25">
      <c r="A5440" s="64" t="str">
        <f>HYPERLINK("http://www.twitter.com/najibaab", "najibaab")</f>
        <v>najibaab</v>
      </c>
      <c r="B5440" s="65" t="s">
        <v>5689</v>
      </c>
    </row>
    <row r="5441" spans="1:2" x14ac:dyDescent="0.25">
      <c r="A5441" s="64" t="str">
        <f>HYPERLINK("http://www.twitter.com/RachelSVE", "RachelSVE")</f>
        <v>RachelSVE</v>
      </c>
      <c r="B5441" s="65" t="s">
        <v>3875</v>
      </c>
    </row>
    <row r="5442" spans="1:2" x14ac:dyDescent="0.25">
      <c r="A5442" s="64" t="str">
        <f>HYPERLINK("http://www.twitter.com/BlackwoodLib", "BlackwoodLib")</f>
        <v>BlackwoodLib</v>
      </c>
      <c r="B5442" s="65" t="s">
        <v>1460</v>
      </c>
    </row>
    <row r="5443" spans="1:2" x14ac:dyDescent="0.25">
      <c r="A5443" s="64" t="str">
        <f>HYPERLINK("http://www.twitter.com/flutist_kim", "flutist_kim")</f>
        <v>flutist_kim</v>
      </c>
      <c r="B5443" s="65" t="s">
        <v>5690</v>
      </c>
    </row>
    <row r="5444" spans="1:2" x14ac:dyDescent="0.25">
      <c r="A5444" s="64" t="str">
        <f>HYPERLINK("http://www.twitter.com/weedoogsa", "weedoogsa")</f>
        <v>weedoogsa</v>
      </c>
      <c r="B5444" s="65"/>
    </row>
    <row r="5445" spans="1:2" x14ac:dyDescent="0.25">
      <c r="A5445" s="64" t="str">
        <f>HYPERLINK("http://www.twitter.com/VickiRedpath", "VickiRedpath")</f>
        <v>VickiRedpath</v>
      </c>
      <c r="B5445" s="65" t="s">
        <v>4223</v>
      </c>
    </row>
    <row r="5446" spans="1:2" x14ac:dyDescent="0.25">
      <c r="A5446" s="64" t="str">
        <f>HYPERLINK("http://www.twitter.com/hopbopp", "hopbopp")</f>
        <v>hopbopp</v>
      </c>
      <c r="B5446" s="65"/>
    </row>
    <row r="5447" spans="1:2" x14ac:dyDescent="0.25">
      <c r="A5447" s="64" t="str">
        <f>HYPERLINK("http://www.twitter.com/NapoleonIIIrd", "NapoleonIIIrd")</f>
        <v>NapoleonIIIrd</v>
      </c>
      <c r="B5447" s="65"/>
    </row>
    <row r="5448" spans="1:2" x14ac:dyDescent="0.25">
      <c r="A5448" s="64" t="str">
        <f>HYPERLINK("http://www.twitter.com/andyinverness", "andyinverness")</f>
        <v>andyinverness</v>
      </c>
      <c r="B5448" s="65" t="s">
        <v>4050</v>
      </c>
    </row>
    <row r="5449" spans="1:2" x14ac:dyDescent="0.25">
      <c r="A5449" s="64" t="str">
        <f>HYPERLINK("http://www.twitter.com/agescotland", "agescotland")</f>
        <v>agescotland</v>
      </c>
      <c r="B5449" s="65" t="s">
        <v>487</v>
      </c>
    </row>
    <row r="5450" spans="1:2" x14ac:dyDescent="0.25">
      <c r="A5450" s="64" t="str">
        <f>HYPERLINK("http://www.twitter.com/what_she_wantss", "what_she_wantss")</f>
        <v>what_she_wantss</v>
      </c>
      <c r="B5450" s="65"/>
    </row>
    <row r="5451" spans="1:2" x14ac:dyDescent="0.25">
      <c r="A5451" s="64" t="str">
        <f>HYPERLINK("http://www.twitter.com/WA_OutThere", "WA_OutThere")</f>
        <v>WA_OutThere</v>
      </c>
      <c r="B5451" s="65" t="s">
        <v>70</v>
      </c>
    </row>
    <row r="5452" spans="1:2" x14ac:dyDescent="0.25">
      <c r="A5452" s="64" t="str">
        <f>HYPERLINK("http://www.twitter.com/suzanneemily2", "suzanneemily2")</f>
        <v>suzanneemily2</v>
      </c>
      <c r="B5452" s="65" t="s">
        <v>477</v>
      </c>
    </row>
    <row r="5453" spans="1:2" x14ac:dyDescent="0.25">
      <c r="A5453" s="64" t="str">
        <f>HYPERLINK("http://www.twitter.com/BachLibrary", "BachLibrary")</f>
        <v>BachLibrary</v>
      </c>
      <c r="B5453" s="65"/>
    </row>
    <row r="5454" spans="1:2" x14ac:dyDescent="0.25">
      <c r="A5454" s="64" t="str">
        <f>HYPERLINK("http://www.twitter.com/Hot_Toast", "Hot_Toast")</f>
        <v>Hot_Toast</v>
      </c>
      <c r="B5454" s="65"/>
    </row>
    <row r="5455" spans="1:2" x14ac:dyDescent="0.25">
      <c r="A5455" s="64" t="str">
        <f>HYPERLINK("http://www.twitter.com/Culzeancastle", "Culzeancastle")</f>
        <v>Culzeancastle</v>
      </c>
      <c r="B5455" s="65" t="s">
        <v>2232</v>
      </c>
    </row>
    <row r="5456" spans="1:2" x14ac:dyDescent="0.25">
      <c r="A5456" s="64" t="str">
        <f>HYPERLINK("http://www.twitter.com/YourFaceHereUK", "YourFaceHereUK")</f>
        <v>YourFaceHereUK</v>
      </c>
      <c r="B5456" s="65" t="s">
        <v>36</v>
      </c>
    </row>
    <row r="5457" spans="1:2" x14ac:dyDescent="0.25">
      <c r="A5457" s="64" t="str">
        <f>HYPERLINK("http://www.twitter.com/ManageFlitter", "ManageFlitter")</f>
        <v>ManageFlitter</v>
      </c>
      <c r="B5457" s="65" t="s">
        <v>4275</v>
      </c>
    </row>
    <row r="5458" spans="1:2" x14ac:dyDescent="0.25">
      <c r="A5458" s="64" t="str">
        <f>HYPERLINK("http://www.twitter.com/Hankinshaw", "Hankinshaw")</f>
        <v>Hankinshaw</v>
      </c>
      <c r="B5458" s="65" t="s">
        <v>808</v>
      </c>
    </row>
    <row r="5459" spans="1:2" x14ac:dyDescent="0.25">
      <c r="A5459" s="64" t="str">
        <f>HYPERLINK("http://www.twitter.com/karamina", "karamina")</f>
        <v>karamina</v>
      </c>
      <c r="B5459" s="65" t="s">
        <v>5691</v>
      </c>
    </row>
    <row r="5460" spans="1:2" x14ac:dyDescent="0.25">
      <c r="A5460" s="64" t="str">
        <f>HYPERLINK("http://www.twitter.com/mb_inthehutt", "mb_inthehutt")</f>
        <v>mb_inthehutt</v>
      </c>
      <c r="B5460" s="65" t="s">
        <v>4247</v>
      </c>
    </row>
    <row r="5461" spans="1:2" x14ac:dyDescent="0.25">
      <c r="A5461" s="64" t="str">
        <f>HYPERLINK("http://www.twitter.com/AhmedAlhasaniah", "AhmedAlhasaniah")</f>
        <v>AhmedAlhasaniah</v>
      </c>
      <c r="B5461" s="65" t="s">
        <v>5692</v>
      </c>
    </row>
    <row r="5462" spans="1:2" x14ac:dyDescent="0.25">
      <c r="A5462" s="64" t="str">
        <f>HYPERLINK("http://www.twitter.com/ArtantixPhotos", "ArtantixPhotos")</f>
        <v>ArtantixPhotos</v>
      </c>
      <c r="B5462" s="65" t="s">
        <v>1008</v>
      </c>
    </row>
    <row r="5463" spans="1:2" x14ac:dyDescent="0.25">
      <c r="A5463" s="64" t="str">
        <f>HYPERLINK("http://www.twitter.com/sarahmaule", "sarahmaule")</f>
        <v>sarahmaule</v>
      </c>
      <c r="B5463" s="65" t="s">
        <v>36</v>
      </c>
    </row>
    <row r="5464" spans="1:2" x14ac:dyDescent="0.25">
      <c r="A5464" s="64" t="str">
        <f>HYPERLINK("http://www.twitter.com/ANZOFs_United", "ANZOFs_United")</f>
        <v>ANZOFs_United</v>
      </c>
      <c r="B5464" s="65" t="s">
        <v>5693</v>
      </c>
    </row>
    <row r="5465" spans="1:2" x14ac:dyDescent="0.25">
      <c r="A5465" s="64" t="str">
        <f>HYPERLINK("http://www.twitter.com/sarah_mixtapes", "sarah_mixtapes")</f>
        <v>sarah_mixtapes</v>
      </c>
      <c r="B5465" s="65"/>
    </row>
    <row r="5466" spans="1:2" x14ac:dyDescent="0.25">
      <c r="A5466" s="64" t="str">
        <f>HYPERLINK("http://www.twitter.com/nrg4e4", "nrg4e4")</f>
        <v>nrg4e4</v>
      </c>
      <c r="B5466" s="65"/>
    </row>
    <row r="5467" spans="1:2" x14ac:dyDescent="0.25">
      <c r="A5467" s="64" t="str">
        <f>HYPERLINK("http://www.twitter.com/jennetw", "jennetw")</f>
        <v>jennetw</v>
      </c>
      <c r="B5467" s="65" t="s">
        <v>24</v>
      </c>
    </row>
    <row r="5468" spans="1:2" x14ac:dyDescent="0.25">
      <c r="A5468" s="64" t="str">
        <f>HYPERLINK("http://www.twitter.com/JenniferGreen00", "JenniferGreen00")</f>
        <v>JenniferGreen00</v>
      </c>
      <c r="B5468" s="65" t="s">
        <v>5694</v>
      </c>
    </row>
    <row r="5469" spans="1:2" x14ac:dyDescent="0.25">
      <c r="A5469" s="64" t="str">
        <f>HYPERLINK("http://www.twitter.com/hakim_arefi", "hakim_arefi")</f>
        <v>hakim_arefi</v>
      </c>
      <c r="B5469" s="65" t="s">
        <v>4777</v>
      </c>
    </row>
    <row r="5470" spans="1:2" x14ac:dyDescent="0.25">
      <c r="A5470" s="64" t="str">
        <f>HYPERLINK("http://www.twitter.com/mybooklists", "mybooklists")</f>
        <v>mybooklists</v>
      </c>
      <c r="B5470" s="65" t="s">
        <v>5695</v>
      </c>
    </row>
    <row r="5471" spans="1:2" x14ac:dyDescent="0.25">
      <c r="A5471" s="64" t="str">
        <f>HYPERLINK("http://www.twitter.com/TAHIRKHANTK2", "TAHIRKHANTK2")</f>
        <v>TAHIRKHANTK2</v>
      </c>
      <c r="B5471" s="65"/>
    </row>
    <row r="5472" spans="1:2" x14ac:dyDescent="0.25">
      <c r="A5472" s="64" t="str">
        <f>HYPERLINK("http://www.twitter.com/Daniel77818604", "Daniel77818604")</f>
        <v>Daniel77818604</v>
      </c>
      <c r="B5472" s="65" t="s">
        <v>5696</v>
      </c>
    </row>
    <row r="5473" spans="1:2" x14ac:dyDescent="0.25">
      <c r="A5473" s="64" t="str">
        <f>HYPERLINK("http://www.twitter.com/AutoimmunityDis", "AutoimmunityDis")</f>
        <v>AutoimmunityDis</v>
      </c>
      <c r="B5473" s="65" t="s">
        <v>4702</v>
      </c>
    </row>
    <row r="5474" spans="1:2" x14ac:dyDescent="0.25">
      <c r="A5474" s="64" t="str">
        <f>HYPERLINK("http://www.twitter.com/judymudd", "judymudd")</f>
        <v>judymudd</v>
      </c>
      <c r="B5474" s="65" t="s">
        <v>5697</v>
      </c>
    </row>
    <row r="5475" spans="1:2" x14ac:dyDescent="0.25">
      <c r="A5475" s="64" t="str">
        <f>HYPERLINK("http://www.twitter.com/pdmeyn", "pdmeyn")</f>
        <v>pdmeyn</v>
      </c>
      <c r="B5475" s="65"/>
    </row>
    <row r="5476" spans="1:2" x14ac:dyDescent="0.25">
      <c r="A5476" s="64" t="str">
        <f>HYPERLINK("http://www.twitter.com/imogenwalsh", "imogenwalsh")</f>
        <v>imogenwalsh</v>
      </c>
      <c r="B5476" s="65" t="s">
        <v>5698</v>
      </c>
    </row>
    <row r="5477" spans="1:2" x14ac:dyDescent="0.25">
      <c r="A5477" s="64" t="str">
        <f>HYPERLINK("http://www.twitter.com/mleklumpp", "mleklumpp")</f>
        <v>mleklumpp</v>
      </c>
      <c r="B5477" s="65" t="s">
        <v>5340</v>
      </c>
    </row>
    <row r="5478" spans="1:2" x14ac:dyDescent="0.25">
      <c r="A5478" s="64" t="str">
        <f>HYPERLINK("http://www.twitter.com/Adammorley7", "Adammorley7")</f>
        <v>Adammorley7</v>
      </c>
      <c r="B5478" s="65" t="s">
        <v>5699</v>
      </c>
    </row>
    <row r="5479" spans="1:2" x14ac:dyDescent="0.25">
      <c r="A5479" s="64" t="str">
        <f>HYPERLINK("http://www.twitter.com/balleryna", "balleryna")</f>
        <v>balleryna</v>
      </c>
      <c r="B5479" s="65" t="s">
        <v>5700</v>
      </c>
    </row>
    <row r="5480" spans="1:2" x14ac:dyDescent="0.25">
      <c r="A5480" s="64" t="str">
        <f>HYPERLINK("http://www.twitter.com/FrannybeeT", "FrannybeeT")</f>
        <v>FrannybeeT</v>
      </c>
      <c r="B5480" s="65" t="s">
        <v>1479</v>
      </c>
    </row>
    <row r="5481" spans="1:2" x14ac:dyDescent="0.25">
      <c r="A5481" s="64" t="str">
        <f>HYPERLINK("http://www.twitter.com/RosieJpoet", "RosieJpoet")</f>
        <v>RosieJpoet</v>
      </c>
      <c r="B5481" s="65" t="s">
        <v>5701</v>
      </c>
    </row>
    <row r="5482" spans="1:2" x14ac:dyDescent="0.25">
      <c r="A5482" s="64" t="str">
        <f>HYPERLINK("http://www.twitter.com/Charlie2695", "Charlie2695")</f>
        <v>Charlie2695</v>
      </c>
      <c r="B5482" s="65" t="s">
        <v>5702</v>
      </c>
    </row>
    <row r="5483" spans="1:2" x14ac:dyDescent="0.25">
      <c r="A5483" s="64" t="str">
        <f>HYPERLINK("http://www.twitter.com/marian_sharkey", "marian_sharkey")</f>
        <v>marian_sharkey</v>
      </c>
      <c r="B5483" s="65" t="s">
        <v>138</v>
      </c>
    </row>
    <row r="5484" spans="1:2" x14ac:dyDescent="0.25">
      <c r="A5484" s="64" t="str">
        <f>HYPERLINK("http://www.twitter.com/ColumnHugger", "ColumnHugger")</f>
        <v>ColumnHugger</v>
      </c>
      <c r="B5484" s="65" t="s">
        <v>477</v>
      </c>
    </row>
    <row r="5485" spans="1:2" x14ac:dyDescent="0.25">
      <c r="A5485" s="64" t="str">
        <f>HYPERLINK("http://www.twitter.com/Devonte_Riley", "Devonte_Riley")</f>
        <v>Devonte_Riley</v>
      </c>
      <c r="B5485" s="65" t="s">
        <v>5703</v>
      </c>
    </row>
    <row r="5486" spans="1:2" x14ac:dyDescent="0.25">
      <c r="A5486" s="64" t="str">
        <f>HYPERLINK("http://www.twitter.com/Katy_Heritage", "Katy_Heritage")</f>
        <v>Katy_Heritage</v>
      </c>
      <c r="B5486" s="65" t="s">
        <v>36</v>
      </c>
    </row>
    <row r="5487" spans="1:2" x14ac:dyDescent="0.25">
      <c r="A5487" s="64" t="str">
        <f>HYPERLINK("http://www.twitter.com/sorcha_woodrow", "sorcha_woodrow")</f>
        <v>sorcha_woodrow</v>
      </c>
      <c r="B5487" s="65" t="s">
        <v>3762</v>
      </c>
    </row>
    <row r="5488" spans="1:2" x14ac:dyDescent="0.25">
      <c r="A5488" s="64" t="str">
        <f>HYPERLINK("http://www.twitter.com/Alex__Barry", "Alex__Barry")</f>
        <v>Alex__Barry</v>
      </c>
      <c r="B5488" s="65" t="s">
        <v>5704</v>
      </c>
    </row>
    <row r="5489" spans="1:2" x14ac:dyDescent="0.25">
      <c r="A5489" s="64" t="str">
        <f>HYPERLINK("http://www.twitter.com/sdXpdx", "sdXpdx")</f>
        <v>sdXpdx</v>
      </c>
      <c r="B5489" s="65" t="s">
        <v>5705</v>
      </c>
    </row>
    <row r="5490" spans="1:2" x14ac:dyDescent="0.25">
      <c r="A5490" s="64" t="str">
        <f>HYPERLINK("http://www.twitter.com/pumpkincat13", "pumpkincat13")</f>
        <v>pumpkincat13</v>
      </c>
      <c r="B5490" s="65" t="s">
        <v>5706</v>
      </c>
    </row>
    <row r="5491" spans="1:2" x14ac:dyDescent="0.25">
      <c r="A5491" s="64" t="str">
        <f>HYPERLINK("http://www.twitter.com/bibliotequesSBD", "bibliotequesSBD")</f>
        <v>bibliotequesSBD</v>
      </c>
      <c r="B5491" s="65" t="s">
        <v>5707</v>
      </c>
    </row>
    <row r="5492" spans="1:2" x14ac:dyDescent="0.25">
      <c r="A5492" s="64" t="str">
        <f>HYPERLINK("http://www.twitter.com/suwright54", "suwright54")</f>
        <v>suwright54</v>
      </c>
      <c r="B5492" s="65"/>
    </row>
    <row r="5493" spans="1:2" x14ac:dyDescent="0.25">
      <c r="A5493" s="64" t="str">
        <f>HYPERLINK("http://www.twitter.com/HumbleScone", "HumbleScone")</f>
        <v>HumbleScone</v>
      </c>
      <c r="B5493" s="65"/>
    </row>
    <row r="5494" spans="1:2" x14ac:dyDescent="0.25">
      <c r="A5494" s="64" t="str">
        <f>HYPERLINK("http://www.twitter.com/MatthewPanzera", "MatthewPanzera")</f>
        <v>MatthewPanzera</v>
      </c>
      <c r="B5494" s="65" t="s">
        <v>4193</v>
      </c>
    </row>
    <row r="5495" spans="1:2" x14ac:dyDescent="0.25">
      <c r="A5495" s="64" t="str">
        <f>HYPERLINK("http://www.twitter.com/selenagomezzse", "selenagomezzse")</f>
        <v>selenagomezzse</v>
      </c>
      <c r="B5495" s="65" t="s">
        <v>1377</v>
      </c>
    </row>
    <row r="5496" spans="1:2" x14ac:dyDescent="0.25">
      <c r="A5496" s="64" t="str">
        <f>HYPERLINK("http://www.twitter.com/jomacdonald79", "jomacdonald79")</f>
        <v>jomacdonald79</v>
      </c>
      <c r="B5496" s="65" t="s">
        <v>543</v>
      </c>
    </row>
    <row r="5497" spans="1:2" x14ac:dyDescent="0.25">
      <c r="A5497" s="64" t="str">
        <f>HYPERLINK("http://www.twitter.com/BroEnglishDept", "BroEnglishDept")</f>
        <v>BroEnglishDept</v>
      </c>
      <c r="B5497" s="65" t="s">
        <v>2007</v>
      </c>
    </row>
    <row r="5498" spans="1:2" x14ac:dyDescent="0.25">
      <c r="A5498" s="64" t="str">
        <f>HYPERLINK("http://www.twitter.com/Amy_Drysdale", "Amy_Drysdale")</f>
        <v>Amy_Drysdale</v>
      </c>
      <c r="B5498" s="65" t="s">
        <v>517</v>
      </c>
    </row>
    <row r="5499" spans="1:2" x14ac:dyDescent="0.25">
      <c r="A5499" s="64" t="str">
        <f>HYPERLINK("http://www.twitter.com/SSAI13", "SSAI13")</f>
        <v>SSAI13</v>
      </c>
      <c r="B5499" s="65" t="s">
        <v>36</v>
      </c>
    </row>
    <row r="5500" spans="1:2" x14ac:dyDescent="0.25">
      <c r="A5500" s="64" t="str">
        <f>HYPERLINK("http://www.twitter.com/elvie_thompson", "elvie_thompson")</f>
        <v>elvie_thompson</v>
      </c>
      <c r="B5500" s="65"/>
    </row>
    <row r="5501" spans="1:2" x14ac:dyDescent="0.25">
      <c r="A5501" s="64" t="str">
        <f>HYPERLINK("http://www.twitter.com/ClaireGibsonEDI", "ClaireGibsonEDI")</f>
        <v>ClaireGibsonEDI</v>
      </c>
      <c r="B5501" s="65" t="s">
        <v>487</v>
      </c>
    </row>
    <row r="5502" spans="1:2" x14ac:dyDescent="0.25">
      <c r="A5502" s="64" t="str">
        <f>HYPERLINK("http://www.twitter.com/ChrisKydd", "ChrisKydd")</f>
        <v>ChrisKydd</v>
      </c>
      <c r="B5502" s="65" t="s">
        <v>24</v>
      </c>
    </row>
    <row r="5503" spans="1:2" x14ac:dyDescent="0.25">
      <c r="A5503" s="64" t="str">
        <f>HYPERLINK("http://www.twitter.com/alexgchale", "alexgchale")</f>
        <v>alexgchale</v>
      </c>
      <c r="B5503" s="65"/>
    </row>
    <row r="5504" spans="1:2" x14ac:dyDescent="0.25">
      <c r="A5504" s="64" t="str">
        <f>HYPERLINK("http://www.twitter.com/Doncaster_LRC", "Doncaster_LRC")</f>
        <v>Doncaster_LRC</v>
      </c>
      <c r="B5504" s="65" t="s">
        <v>1937</v>
      </c>
    </row>
    <row r="5505" spans="1:2" x14ac:dyDescent="0.25">
      <c r="A5505" s="64" t="str">
        <f>HYPERLINK("http://www.twitter.com/KateAbiMcC", "KateAbiMcC")</f>
        <v>KateAbiMcC</v>
      </c>
      <c r="B5505" s="65" t="s">
        <v>4052</v>
      </c>
    </row>
    <row r="5506" spans="1:2" x14ac:dyDescent="0.25">
      <c r="A5506" s="64" t="str">
        <f>HYPERLINK("http://www.twitter.com/ReadingEffigy", "ReadingEffigy")</f>
        <v>ReadingEffigy</v>
      </c>
      <c r="B5506" s="65"/>
    </row>
    <row r="5507" spans="1:2" x14ac:dyDescent="0.25">
      <c r="A5507" s="64" t="str">
        <f>HYPERLINK("http://www.twitter.com/christophroche", "christophroche")</f>
        <v>christophroche</v>
      </c>
      <c r="B5507" s="65" t="s">
        <v>36</v>
      </c>
    </row>
    <row r="5508" spans="1:2" x14ac:dyDescent="0.25">
      <c r="A5508" s="64" t="str">
        <f>HYPERLINK("http://www.twitter.com/cookiegirlkate", "cookiegirlkate")</f>
        <v>cookiegirlkate</v>
      </c>
      <c r="B5508" s="65" t="s">
        <v>2557</v>
      </c>
    </row>
    <row r="5509" spans="1:2" x14ac:dyDescent="0.25">
      <c r="A5509" s="64" t="str">
        <f>HYPERLINK("http://www.twitter.com/rosiefreckle", "rosiefreckle")</f>
        <v>rosiefreckle</v>
      </c>
      <c r="B5509" s="65" t="s">
        <v>296</v>
      </c>
    </row>
    <row r="5510" spans="1:2" x14ac:dyDescent="0.25">
      <c r="A5510" s="64" t="str">
        <f>HYPERLINK("http://www.twitter.com/maevomc", "maevomc")</f>
        <v>maevomc</v>
      </c>
      <c r="B5510" s="65" t="s">
        <v>5708</v>
      </c>
    </row>
    <row r="5511" spans="1:2" x14ac:dyDescent="0.25">
      <c r="A5511" s="64" t="str">
        <f>HYPERLINK("http://www.twitter.com/mickhumph", "mickhumph")</f>
        <v>mickhumph</v>
      </c>
      <c r="B5511" s="65"/>
    </row>
    <row r="5512" spans="1:2" x14ac:dyDescent="0.25">
      <c r="A5512" s="64" t="str">
        <f>HYPERLINK("http://www.twitter.com/engagevisualart", "engagevisualart")</f>
        <v>engagevisualart</v>
      </c>
      <c r="B5512" s="65" t="s">
        <v>110</v>
      </c>
    </row>
    <row r="5513" spans="1:2" x14ac:dyDescent="0.25">
      <c r="A5513" s="64" t="str">
        <f>HYPERLINK("http://www.twitter.com/rolfpink", "rolfpink")</f>
        <v>rolfpink</v>
      </c>
      <c r="B5513" s="65" t="s">
        <v>20</v>
      </c>
    </row>
    <row r="5514" spans="1:2" x14ac:dyDescent="0.25">
      <c r="A5514" s="64" t="str">
        <f>HYPERLINK("http://www.twitter.com/benfaster", "benfaster")</f>
        <v>benfaster</v>
      </c>
      <c r="B5514" s="65" t="s">
        <v>4308</v>
      </c>
    </row>
    <row r="5515" spans="1:2" x14ac:dyDescent="0.25">
      <c r="A5515" s="64" t="str">
        <f>HYPERLINK("http://www.twitter.com/tours_scotland", "tours_scotland")</f>
        <v>tours_scotland</v>
      </c>
      <c r="B5515" s="65" t="s">
        <v>2007</v>
      </c>
    </row>
    <row r="5516" spans="1:2" x14ac:dyDescent="0.25">
      <c r="A5516" s="64" t="str">
        <f>HYPERLINK("http://www.twitter.com/JoWilkins78", "JoWilkins78")</f>
        <v>JoWilkins78</v>
      </c>
      <c r="B5516" s="65" t="s">
        <v>5709</v>
      </c>
    </row>
    <row r="5517" spans="1:2" x14ac:dyDescent="0.25">
      <c r="A5517" s="64" t="str">
        <f>HYPERLINK("http://www.twitter.com/GillianMAuthor", "GillianMAuthor")</f>
        <v>GillianMAuthor</v>
      </c>
      <c r="B5517" s="65" t="s">
        <v>926</v>
      </c>
    </row>
    <row r="5518" spans="1:2" x14ac:dyDescent="0.25">
      <c r="A5518" s="64" t="str">
        <f>HYPERLINK("http://www.twitter.com/gyantapasarb", "gyantapasarb")</f>
        <v>gyantapasarb</v>
      </c>
      <c r="B5518" s="65"/>
    </row>
    <row r="5519" spans="1:2" x14ac:dyDescent="0.25">
      <c r="A5519" s="64" t="str">
        <f>HYPERLINK("http://www.twitter.com/ivokuleszaYT", "ivokuleszaYT")</f>
        <v>ivokuleszaYT</v>
      </c>
      <c r="B5519" s="65"/>
    </row>
    <row r="5520" spans="1:2" x14ac:dyDescent="0.25">
      <c r="A5520" s="64" t="str">
        <f>HYPERLINK("http://www.twitter.com/scandiscot", "scandiscot")</f>
        <v>scandiscot</v>
      </c>
      <c r="B5520" s="65" t="s">
        <v>569</v>
      </c>
    </row>
    <row r="5521" spans="1:2" x14ac:dyDescent="0.25">
      <c r="A5521" s="64" t="str">
        <f>HYPERLINK("http://www.twitter.com/dunnjons", "dunnjons")</f>
        <v>dunnjons</v>
      </c>
      <c r="B5521" s="65" t="s">
        <v>115</v>
      </c>
    </row>
    <row r="5522" spans="1:2" x14ac:dyDescent="0.25">
      <c r="A5522" s="64" t="str">
        <f>HYPERLINK("http://www.twitter.com/HeidiEgginton", "HeidiEgginton")</f>
        <v>HeidiEgginton</v>
      </c>
      <c r="B5522" s="65" t="s">
        <v>788</v>
      </c>
    </row>
    <row r="5523" spans="1:2" x14ac:dyDescent="0.25">
      <c r="A5523" s="64" t="str">
        <f>HYPERLINK("http://www.twitter.com/cutanddried", "cutanddried")</f>
        <v>cutanddried</v>
      </c>
      <c r="B5523" s="65"/>
    </row>
    <row r="5524" spans="1:2" x14ac:dyDescent="0.25">
      <c r="A5524" s="64" t="str">
        <f>HYPERLINK("http://www.twitter.com/marinescotland", "marinescotland")</f>
        <v>marinescotland</v>
      </c>
      <c r="B5524" s="65" t="s">
        <v>2007</v>
      </c>
    </row>
    <row r="5525" spans="1:2" x14ac:dyDescent="0.25">
      <c r="A5525" s="64" t="str">
        <f>HYPERLINK("http://www.twitter.com/iammarkwilson46", "iammarkwilson46")</f>
        <v>iammarkwilson46</v>
      </c>
      <c r="B5525" s="65"/>
    </row>
    <row r="5526" spans="1:2" x14ac:dyDescent="0.25">
      <c r="A5526" s="64" t="str">
        <f>HYPERLINK("http://www.twitter.com/RACC_College", "RACC_College")</f>
        <v>RACC_College</v>
      </c>
      <c r="B5526" s="65" t="s">
        <v>5710</v>
      </c>
    </row>
    <row r="5527" spans="1:2" x14ac:dyDescent="0.25">
      <c r="A5527" s="64" t="str">
        <f>HYPERLINK("http://www.twitter.com/mariandunn21", "mariandunn21")</f>
        <v>mariandunn21</v>
      </c>
      <c r="B5527" s="65"/>
    </row>
    <row r="5528" spans="1:2" x14ac:dyDescent="0.25">
      <c r="A5528" s="64" t="str">
        <f>HYPERLINK("http://www.twitter.com/rachelknuttel", "rachelknuttel")</f>
        <v>rachelknuttel</v>
      </c>
      <c r="B5528" s="65" t="s">
        <v>5711</v>
      </c>
    </row>
    <row r="5529" spans="1:2" x14ac:dyDescent="0.25">
      <c r="A5529" s="64" t="str">
        <f>HYPERLINK("http://www.twitter.com/anotheropenbook", "anotheropenbook")</f>
        <v>anotheropenbook</v>
      </c>
      <c r="B5529" s="65" t="s">
        <v>5712</v>
      </c>
    </row>
    <row r="5530" spans="1:2" x14ac:dyDescent="0.25">
      <c r="A5530" s="64" t="str">
        <f>HYPERLINK("http://www.twitter.com/MiriamBrett", "MiriamBrett")</f>
        <v>MiriamBrett</v>
      </c>
      <c r="B5530" s="65"/>
    </row>
    <row r="5531" spans="1:2" x14ac:dyDescent="0.25">
      <c r="A5531" s="64" t="str">
        <f>HYPERLINK("http://www.twitter.com/Atif3G", "Atif3G")</f>
        <v>Atif3G</v>
      </c>
      <c r="B5531" s="65" t="s">
        <v>5713</v>
      </c>
    </row>
    <row r="5532" spans="1:2" x14ac:dyDescent="0.25">
      <c r="A5532" s="64" t="str">
        <f>HYPERLINK("http://www.twitter.com/allison_wongsw", "allison_wongsw")</f>
        <v>allison_wongsw</v>
      </c>
      <c r="B5532" s="65" t="s">
        <v>5714</v>
      </c>
    </row>
    <row r="5533" spans="1:2" x14ac:dyDescent="0.25">
      <c r="A5533" s="64" t="str">
        <f>HYPERLINK("http://www.twitter.com/Mrs_Bentos", "Mrs_Bentos")</f>
        <v>Mrs_Bentos</v>
      </c>
      <c r="B5533" s="65" t="s">
        <v>5715</v>
      </c>
    </row>
    <row r="5534" spans="1:2" x14ac:dyDescent="0.25">
      <c r="A5534" s="64" t="str">
        <f>HYPERLINK("http://www.twitter.com/SomethingWordy", "SomethingWordy")</f>
        <v>SomethingWordy</v>
      </c>
      <c r="B5534" s="65" t="s">
        <v>24</v>
      </c>
    </row>
    <row r="5535" spans="1:2" x14ac:dyDescent="0.25">
      <c r="A5535" s="64" t="str">
        <f>HYPERLINK("http://www.twitter.com/CharlotteDawnA", "CharlotteDawnA")</f>
        <v>CharlotteDawnA</v>
      </c>
      <c r="B5535" s="65" t="s">
        <v>36</v>
      </c>
    </row>
    <row r="5536" spans="1:2" x14ac:dyDescent="0.25">
      <c r="A5536" s="64" t="str">
        <f>HYPERLINK("http://www.twitter.com/CarolineWaterer", "CarolineWaterer")</f>
        <v>CarolineWaterer</v>
      </c>
      <c r="B5536" s="65"/>
    </row>
    <row r="5537" spans="1:2" x14ac:dyDescent="0.25">
      <c r="A5537" s="64" t="str">
        <f>HYPERLINK("http://www.twitter.com/LoveIbizaVillas", "LoveIbizaVillas")</f>
        <v>LoveIbizaVillas</v>
      </c>
      <c r="B5537" s="65" t="s">
        <v>5716</v>
      </c>
    </row>
    <row r="5538" spans="1:2" x14ac:dyDescent="0.25">
      <c r="A5538" s="64" t="str">
        <f>HYPERLINK("http://www.twitter.com/cyntbustillos", "cyntbustillos")</f>
        <v>cyntbustillos</v>
      </c>
      <c r="B5538" s="65" t="s">
        <v>5717</v>
      </c>
    </row>
    <row r="5539" spans="1:2" x14ac:dyDescent="0.25">
      <c r="A5539" s="64" t="str">
        <f>HYPERLINK("http://www.twitter.com/gregfast_", "gregfast_")</f>
        <v>gregfast_</v>
      </c>
      <c r="B5539" s="65" t="s">
        <v>4118</v>
      </c>
    </row>
    <row r="5540" spans="1:2" x14ac:dyDescent="0.25">
      <c r="A5540" s="64" t="str">
        <f>HYPERLINK("http://www.twitter.com/Martin1Williams", "Martin1Williams")</f>
        <v>Martin1Williams</v>
      </c>
      <c r="B5540" s="65" t="s">
        <v>2007</v>
      </c>
    </row>
    <row r="5541" spans="1:2" x14ac:dyDescent="0.25">
      <c r="A5541" s="64" t="str">
        <f>HYPERLINK("http://www.twitter.com/ttlovesjc", "ttlovesjc")</f>
        <v>ttlovesjc</v>
      </c>
      <c r="B5541" s="65" t="s">
        <v>5718</v>
      </c>
    </row>
    <row r="5542" spans="1:2" x14ac:dyDescent="0.25">
      <c r="A5542" s="64" t="str">
        <f>HYPERLINK("http://www.twitter.com/bibliomary", "bibliomary")</f>
        <v>bibliomary</v>
      </c>
      <c r="B5542" s="65" t="s">
        <v>5719</v>
      </c>
    </row>
    <row r="5543" spans="1:2" x14ac:dyDescent="0.25">
      <c r="A5543" s="64" t="str">
        <f>HYPERLINK("http://www.twitter.com/Cloudbase31", "Cloudbase31")</f>
        <v>Cloudbase31</v>
      </c>
      <c r="B5543" s="65"/>
    </row>
    <row r="5544" spans="1:2" x14ac:dyDescent="0.25">
      <c r="A5544" s="64" t="str">
        <f>HYPERLINK("http://www.twitter.com/ChuArchives", "ChuArchives")</f>
        <v>ChuArchives</v>
      </c>
      <c r="B5544" s="65" t="s">
        <v>508</v>
      </c>
    </row>
    <row r="5545" spans="1:2" x14ac:dyDescent="0.25">
      <c r="A5545" s="64" t="str">
        <f>HYPERLINK("http://www.twitter.com/CopeLtd", "CopeLtd")</f>
        <v>CopeLtd</v>
      </c>
      <c r="B5545" s="65" t="s">
        <v>5720</v>
      </c>
    </row>
    <row r="5546" spans="1:2" x14ac:dyDescent="0.25">
      <c r="A5546" s="64" t="str">
        <f>HYPERLINK("http://www.twitter.com/InvRareBooks", "InvRareBooks")</f>
        <v>InvRareBooks</v>
      </c>
      <c r="B5546" s="65"/>
    </row>
    <row r="5547" spans="1:2" x14ac:dyDescent="0.25">
      <c r="A5547" s="64" t="str">
        <f>HYPERLINK("http://www.twitter.com/financialshit", "financialshit")</f>
        <v>financialshit</v>
      </c>
      <c r="B5547" s="65" t="s">
        <v>1189</v>
      </c>
    </row>
    <row r="5548" spans="1:2" x14ac:dyDescent="0.25">
      <c r="A5548" s="64" t="str">
        <f>HYPERLINK("http://www.twitter.com/JennySteinitz", "JennySteinitz")</f>
        <v>JennySteinitz</v>
      </c>
      <c r="B5548" s="65" t="s">
        <v>36</v>
      </c>
    </row>
    <row r="5549" spans="1:2" x14ac:dyDescent="0.25">
      <c r="A5549" s="64" t="str">
        <f>HYPERLINK("http://www.twitter.com/TheatrePerform", "TheatrePerform")</f>
        <v>TheatrePerform</v>
      </c>
      <c r="B5549" s="65" t="s">
        <v>36</v>
      </c>
    </row>
    <row r="5550" spans="1:2" x14ac:dyDescent="0.25">
      <c r="A5550" s="64" t="str">
        <f>HYPERLINK("http://www.twitter.com/Access2Books", "Access2Books")</f>
        <v>Access2Books</v>
      </c>
      <c r="B5550" s="65" t="s">
        <v>5721</v>
      </c>
    </row>
    <row r="5551" spans="1:2" x14ac:dyDescent="0.25">
      <c r="A5551" s="64" t="str">
        <f>HYPERLINK("http://www.twitter.com/eljaneevans", "eljaneevans")</f>
        <v>eljaneevans</v>
      </c>
      <c r="B5551" s="65" t="s">
        <v>5722</v>
      </c>
    </row>
    <row r="5552" spans="1:2" x14ac:dyDescent="0.25">
      <c r="A5552" s="64" t="str">
        <f>HYPERLINK("http://www.twitter.com/leeza_kelly", "leeza_kelly")</f>
        <v>leeza_kelly</v>
      </c>
      <c r="B5552" s="65" t="s">
        <v>5140</v>
      </c>
    </row>
    <row r="5553" spans="1:2" x14ac:dyDescent="0.25">
      <c r="A5553" s="64" t="str">
        <f>HYPERLINK("http://www.twitter.com/LitScotland", "LitScotland")</f>
        <v>LitScotland</v>
      </c>
      <c r="B5553" s="65" t="s">
        <v>2007</v>
      </c>
    </row>
    <row r="5554" spans="1:2" x14ac:dyDescent="0.25">
      <c r="A5554" s="64" t="str">
        <f>HYPERLINK("http://www.twitter.com/AliceFurse", "AliceFurse")</f>
        <v>AliceFurse</v>
      </c>
      <c r="B5554" s="65" t="s">
        <v>36</v>
      </c>
    </row>
    <row r="5555" spans="1:2" x14ac:dyDescent="0.25">
      <c r="A5555" s="64" t="str">
        <f>HYPERLINK("http://www.twitter.com/starangel76", "starangel76")</f>
        <v>starangel76</v>
      </c>
      <c r="B5555" s="65" t="s">
        <v>5723</v>
      </c>
    </row>
    <row r="5556" spans="1:2" x14ac:dyDescent="0.25">
      <c r="A5556" s="64" t="str">
        <f>HYPERLINK("http://www.twitter.com/Kunal_pp", "Kunal_pp")</f>
        <v>Kunal_pp</v>
      </c>
      <c r="B5556" s="65" t="s">
        <v>3823</v>
      </c>
    </row>
    <row r="5557" spans="1:2" x14ac:dyDescent="0.25">
      <c r="A5557" s="64" t="str">
        <f>HYPERLINK("http://www.twitter.com/skara217", "skara217")</f>
        <v>skara217</v>
      </c>
      <c r="B5557" s="65" t="s">
        <v>3762</v>
      </c>
    </row>
    <row r="5558" spans="1:2" x14ac:dyDescent="0.25">
      <c r="A5558" s="64" t="str">
        <f>HYPERLINK("http://www.twitter.com/BetterRunAudio", "BetterRunAudio")</f>
        <v>BetterRunAudio</v>
      </c>
      <c r="B5558" s="65" t="s">
        <v>487</v>
      </c>
    </row>
    <row r="5559" spans="1:2" x14ac:dyDescent="0.25">
      <c r="A5559" s="64" t="str">
        <f>HYPERLINK("http://www.twitter.com/ScotlandsSounds", "ScotlandsSounds")</f>
        <v>ScotlandsSounds</v>
      </c>
      <c r="B5559" s="65" t="s">
        <v>2007</v>
      </c>
    </row>
    <row r="5560" spans="1:2" x14ac:dyDescent="0.25">
      <c r="A5560" s="64" t="str">
        <f>HYPERLINK("http://www.twitter.com/BillDukes2", "BillDukes2")</f>
        <v>BillDukes2</v>
      </c>
      <c r="B5560" s="65" t="s">
        <v>3797</v>
      </c>
    </row>
    <row r="5561" spans="1:2" x14ac:dyDescent="0.25">
      <c r="A5561" s="64" t="str">
        <f>HYPERLINK("http://www.twitter.com/LaPetiteAussie", "LaPetiteAussie")</f>
        <v>LaPetiteAussie</v>
      </c>
      <c r="B5561" s="65" t="s">
        <v>5724</v>
      </c>
    </row>
    <row r="5562" spans="1:2" x14ac:dyDescent="0.25">
      <c r="A5562" s="64" t="str">
        <f>HYPERLINK("http://www.twitter.com/roseatebath", "roseatebath")</f>
        <v>roseatebath</v>
      </c>
      <c r="B5562" s="65" t="s">
        <v>5725</v>
      </c>
    </row>
    <row r="5563" spans="1:2" x14ac:dyDescent="0.25">
      <c r="A5563" s="64" t="str">
        <f>HYPERLINK("http://www.twitter.com/abbeyhotelbath", "abbeyhotelbath")</f>
        <v>abbeyhotelbath</v>
      </c>
      <c r="B5563" s="65" t="s">
        <v>2270</v>
      </c>
    </row>
    <row r="5564" spans="1:2" x14ac:dyDescent="0.25">
      <c r="A5564" s="64" t="str">
        <f>HYPERLINK("http://www.twitter.com/JC_Crowdcube", "JC_Crowdcube")</f>
        <v>JC_Crowdcube</v>
      </c>
      <c r="B5564" s="65" t="s">
        <v>5726</v>
      </c>
    </row>
    <row r="5565" spans="1:2" x14ac:dyDescent="0.25">
      <c r="A5565" s="64" t="str">
        <f>HYPERLINK("http://www.twitter.com/NLWVolunteering", "NLWVolunteering")</f>
        <v>NLWVolunteering</v>
      </c>
      <c r="B5565" s="65" t="s">
        <v>5727</v>
      </c>
    </row>
    <row r="5566" spans="1:2" x14ac:dyDescent="0.25">
      <c r="A5566" s="64" t="str">
        <f>HYPERLINK("http://www.twitter.com/TheWalterNash", "TheWalterNash")</f>
        <v>TheWalterNash</v>
      </c>
      <c r="B5566" s="65" t="s">
        <v>5728</v>
      </c>
    </row>
    <row r="5567" spans="1:2" x14ac:dyDescent="0.25">
      <c r="A5567" s="64" t="str">
        <f>HYPERLINK("http://www.twitter.com/amylame", "amylame")</f>
        <v>amylame</v>
      </c>
      <c r="B5567" s="65" t="s">
        <v>5729</v>
      </c>
    </row>
    <row r="5568" spans="1:2" x14ac:dyDescent="0.25">
      <c r="A5568" s="64" t="str">
        <f>HYPERLINK("http://www.twitter.com/joannabquinn", "joannabquinn")</f>
        <v>joannabquinn</v>
      </c>
      <c r="B5568" s="65" t="s">
        <v>3262</v>
      </c>
    </row>
    <row r="5569" spans="1:2" x14ac:dyDescent="0.25">
      <c r="A5569" s="64" t="str">
        <f>HYPERLINK("http://www.twitter.com/lowercasename", "lowercasename")</f>
        <v>lowercasename</v>
      </c>
      <c r="B5569" s="65" t="s">
        <v>477</v>
      </c>
    </row>
    <row r="5570" spans="1:2" x14ac:dyDescent="0.25">
      <c r="A5570" s="64" t="str">
        <f>HYPERLINK("http://www.twitter.com/sandrae19", "sandrae19")</f>
        <v>sandrae19</v>
      </c>
      <c r="B5570" s="65" t="s">
        <v>5730</v>
      </c>
    </row>
    <row r="5571" spans="1:2" x14ac:dyDescent="0.25">
      <c r="A5571" s="64" t="str">
        <f>HYPERLINK("http://www.twitter.com/pw5842", "pw5842")</f>
        <v>pw5842</v>
      </c>
      <c r="B5571" s="65" t="s">
        <v>2457</v>
      </c>
    </row>
    <row r="5572" spans="1:2" x14ac:dyDescent="0.25">
      <c r="A5572" s="64" t="str">
        <f>HYPERLINK("http://www.twitter.com/Sandra_Findlay", "Sandra_Findlay")</f>
        <v>Sandra_Findlay</v>
      </c>
      <c r="B5572" s="65" t="s">
        <v>3688</v>
      </c>
    </row>
    <row r="5573" spans="1:2" x14ac:dyDescent="0.25">
      <c r="A5573" s="64" t="str">
        <f>HYPERLINK("http://www.twitter.com/artyanneuist", "artyanneuist")</f>
        <v>artyanneuist</v>
      </c>
      <c r="B5573" s="65"/>
    </row>
    <row r="5574" spans="1:2" x14ac:dyDescent="0.25">
      <c r="A5574" s="64" t="str">
        <f>HYPERLINK("http://www.twitter.com/flint_writes", "flint_writes")</f>
        <v>flint_writes</v>
      </c>
      <c r="B5574" s="65" t="s">
        <v>5731</v>
      </c>
    </row>
    <row r="5575" spans="1:2" x14ac:dyDescent="0.25">
      <c r="A5575" s="64" t="str">
        <f>HYPERLINK("http://www.twitter.com/OrkneyVisit", "OrkneyVisit")</f>
        <v>OrkneyVisit</v>
      </c>
      <c r="B5575" s="65" t="s">
        <v>4519</v>
      </c>
    </row>
    <row r="5576" spans="1:2" x14ac:dyDescent="0.25">
      <c r="A5576" s="64" t="str">
        <f>HYPERLINK("http://www.twitter.com/EpsomCLibrary", "EpsomCLibrary")</f>
        <v>EpsomCLibrary</v>
      </c>
      <c r="B5576" s="65"/>
    </row>
    <row r="5577" spans="1:2" x14ac:dyDescent="0.25">
      <c r="A5577" s="64" t="str">
        <f>HYPERLINK("http://www.twitter.com/MuseumsMapping", "MuseumsMapping")</f>
        <v>MuseumsMapping</v>
      </c>
      <c r="B5577" s="65" t="s">
        <v>5732</v>
      </c>
    </row>
    <row r="5578" spans="1:2" x14ac:dyDescent="0.25">
      <c r="A5578" s="64" t="str">
        <f>HYPERLINK("http://www.twitter.com/TWMair", "TWMair")</f>
        <v>TWMair</v>
      </c>
      <c r="B5578" s="65" t="s">
        <v>3773</v>
      </c>
    </row>
    <row r="5579" spans="1:2" x14ac:dyDescent="0.25">
      <c r="A5579" s="64" t="str">
        <f>HYPERLINK("http://www.twitter.com/cobaltmale", "cobaltmale")</f>
        <v>cobaltmale</v>
      </c>
      <c r="B5579" s="65" t="s">
        <v>5733</v>
      </c>
    </row>
    <row r="5580" spans="1:2" x14ac:dyDescent="0.25">
      <c r="A5580" s="64" t="str">
        <f>HYPERLINK("http://www.twitter.com/Lapwingsings", "Lapwingsings")</f>
        <v>Lapwingsings</v>
      </c>
      <c r="B5580" s="65" t="s">
        <v>4936</v>
      </c>
    </row>
    <row r="5581" spans="1:2" x14ac:dyDescent="0.25">
      <c r="A5581" s="64" t="str">
        <f>HYPERLINK("http://www.twitter.com/levski52", "levski52")</f>
        <v>levski52</v>
      </c>
      <c r="B5581" s="65"/>
    </row>
    <row r="5582" spans="1:2" x14ac:dyDescent="0.25">
      <c r="A5582" s="64" t="str">
        <f>HYPERLINK("http://www.twitter.com/weehoolit", "weehoolit")</f>
        <v>weehoolit</v>
      </c>
      <c r="B5582" s="65" t="s">
        <v>5734</v>
      </c>
    </row>
    <row r="5583" spans="1:2" x14ac:dyDescent="0.25">
      <c r="A5583" s="64" t="str">
        <f>HYPERLINK("http://www.twitter.com/REastmond", "REastmond")</f>
        <v>REastmond</v>
      </c>
      <c r="B5583" s="65"/>
    </row>
    <row r="5584" spans="1:2" x14ac:dyDescent="0.25">
      <c r="A5584" s="64" t="str">
        <f>HYPERLINK("http://www.twitter.com/cumbriasteve", "cumbriasteve")</f>
        <v>cumbriasteve</v>
      </c>
      <c r="B5584" s="65" t="s">
        <v>296</v>
      </c>
    </row>
    <row r="5585" spans="1:2" x14ac:dyDescent="0.25">
      <c r="A5585" s="64" t="str">
        <f>HYPERLINK("http://www.twitter.com/jamiesont", "jamiesont")</f>
        <v>jamiesont</v>
      </c>
      <c r="B5585" s="65" t="s">
        <v>5735</v>
      </c>
    </row>
    <row r="5586" spans="1:2" x14ac:dyDescent="0.25">
      <c r="A5586" s="64" t="str">
        <f>HYPERLINK("http://www.twitter.com/WoolfJames", "WoolfJames")</f>
        <v>WoolfJames</v>
      </c>
      <c r="B5586" s="65" t="s">
        <v>4716</v>
      </c>
    </row>
    <row r="5587" spans="1:2" x14ac:dyDescent="0.25">
      <c r="A5587" s="64" t="str">
        <f>HYPERLINK("http://www.twitter.com/Trumpington2", "Trumpington2")</f>
        <v>Trumpington2</v>
      </c>
      <c r="B5587" s="65"/>
    </row>
    <row r="5588" spans="1:2" x14ac:dyDescent="0.25">
      <c r="A5588" s="64" t="str">
        <f>HYPERLINK("http://www.twitter.com/MissWordSalad", "MissWordSalad")</f>
        <v>MissWordSalad</v>
      </c>
      <c r="B5588" s="65" t="s">
        <v>1218</v>
      </c>
    </row>
    <row r="5589" spans="1:2" x14ac:dyDescent="0.25">
      <c r="A5589" s="64" t="str">
        <f>HYPERLINK("http://www.twitter.com/simon_stevenson", "simon_stevenson")</f>
        <v>simon_stevenson</v>
      </c>
      <c r="B5589" s="65" t="s">
        <v>5736</v>
      </c>
    </row>
    <row r="5590" spans="1:2" x14ac:dyDescent="0.25">
      <c r="A5590" s="64" t="str">
        <f>HYPERLINK("http://www.twitter.com/helenrye", "helenrye")</f>
        <v>helenrye</v>
      </c>
      <c r="B5590" s="65" t="s">
        <v>5737</v>
      </c>
    </row>
    <row r="5591" spans="1:2" x14ac:dyDescent="0.25">
      <c r="A5591" s="64" t="str">
        <f>HYPERLINK("http://www.twitter.com/fisherman1985", "fisherman1985")</f>
        <v>fisherman1985</v>
      </c>
      <c r="B5591" s="65" t="s">
        <v>1841</v>
      </c>
    </row>
    <row r="5592" spans="1:2" x14ac:dyDescent="0.25">
      <c r="A5592" s="64" t="str">
        <f>HYPERLINK("http://www.twitter.com/realstevebrent", "realstevebrent")</f>
        <v>realstevebrent</v>
      </c>
      <c r="B5592" s="65"/>
    </row>
    <row r="5593" spans="1:2" x14ac:dyDescent="0.25">
      <c r="A5593" s="64" t="str">
        <f>HYPERLINK("http://www.twitter.com/shkembe_soup", "shkembe_soup")</f>
        <v>shkembe_soup</v>
      </c>
      <c r="B5593" s="65" t="s">
        <v>5738</v>
      </c>
    </row>
    <row r="5594" spans="1:2" x14ac:dyDescent="0.25">
      <c r="A5594" s="64" t="str">
        <f>HYPERLINK("http://www.twitter.com/lauriffle", "lauriffle")</f>
        <v>lauriffle</v>
      </c>
      <c r="B5594" s="65" t="s">
        <v>5739</v>
      </c>
    </row>
    <row r="5595" spans="1:2" x14ac:dyDescent="0.25">
      <c r="A5595" s="64" t="str">
        <f>HYPERLINK("http://www.twitter.com/shennachie", "shennachie")</f>
        <v>shennachie</v>
      </c>
      <c r="B5595" s="65"/>
    </row>
    <row r="5596" spans="1:2" x14ac:dyDescent="0.25">
      <c r="A5596" s="64" t="str">
        <f>HYPERLINK("http://www.twitter.com/JoannaSeamab", "JoannaSeamab")</f>
        <v>JoannaSeamab</v>
      </c>
      <c r="B5596" s="65" t="s">
        <v>517</v>
      </c>
    </row>
    <row r="5597" spans="1:2" x14ac:dyDescent="0.25">
      <c r="A5597" s="64" t="str">
        <f>HYPERLINK("http://www.twitter.com/alunllwilliams", "alunllwilliams")</f>
        <v>alunllwilliams</v>
      </c>
      <c r="B5597" s="65" t="s">
        <v>4889</v>
      </c>
    </row>
    <row r="5598" spans="1:2" x14ac:dyDescent="0.25">
      <c r="A5598" s="64" t="str">
        <f>HYPERLINK("http://www.twitter.com/andripesak", "andripesak")</f>
        <v>andripesak</v>
      </c>
      <c r="B5598" s="65"/>
    </row>
    <row r="5599" spans="1:2" x14ac:dyDescent="0.25">
      <c r="A5599" s="64" t="str">
        <f>HYPERLINK("http://www.twitter.com/Maliq_Barry", "Maliq_Barry")</f>
        <v>Maliq_Barry</v>
      </c>
      <c r="B5599" s="65" t="s">
        <v>70</v>
      </c>
    </row>
    <row r="5600" spans="1:2" x14ac:dyDescent="0.25">
      <c r="A5600" s="64" t="str">
        <f>HYPERLINK("http://www.twitter.com/alirobot1", "alirobot1")</f>
        <v>alirobot1</v>
      </c>
      <c r="B5600" s="65"/>
    </row>
    <row r="5601" spans="1:2" x14ac:dyDescent="0.25">
      <c r="A5601" s="64" t="str">
        <f>HYPERLINK("http://www.twitter.com/kingroboscot", "kingroboscot")</f>
        <v>kingroboscot</v>
      </c>
      <c r="B5601" s="65"/>
    </row>
    <row r="5602" spans="1:2" x14ac:dyDescent="0.25">
      <c r="A5602" s="64" t="str">
        <f>HYPERLINK("http://www.twitter.com/boorach2", "boorach2")</f>
        <v>boorach2</v>
      </c>
      <c r="B5602" s="65" t="s">
        <v>569</v>
      </c>
    </row>
    <row r="5603" spans="1:2" x14ac:dyDescent="0.25">
      <c r="A5603" s="64" t="str">
        <f>HYPERLINK("http://www.twitter.com/TheMarkETurner", "TheMarkETurner")</f>
        <v>TheMarkETurner</v>
      </c>
      <c r="B5603" s="65" t="s">
        <v>5740</v>
      </c>
    </row>
    <row r="5604" spans="1:2" x14ac:dyDescent="0.25">
      <c r="A5604" s="64" t="str">
        <f>HYPERLINK("http://www.twitter.com/slowwtwwitter", "slowwtwwitter")</f>
        <v>slowwtwwitter</v>
      </c>
      <c r="B5604" s="65" t="s">
        <v>3040</v>
      </c>
    </row>
    <row r="5605" spans="1:2" x14ac:dyDescent="0.25">
      <c r="A5605" s="64" t="str">
        <f>HYPERLINK("http://www.twitter.com/maltwhiskybar", "maltwhiskybar")</f>
        <v>maltwhiskybar</v>
      </c>
      <c r="B5605" s="65" t="s">
        <v>5741</v>
      </c>
    </row>
    <row r="5606" spans="1:2" x14ac:dyDescent="0.25">
      <c r="A5606" s="64" t="str">
        <f>HYPERLINK("http://www.twitter.com/StephenMcHugh3", "StephenMcHugh3")</f>
        <v>StephenMcHugh3</v>
      </c>
      <c r="B5606" s="65"/>
    </row>
    <row r="5607" spans="1:2" x14ac:dyDescent="0.25">
      <c r="A5607" s="64" t="str">
        <f>HYPERLINK("http://www.twitter.com/LangKenny", "LangKenny")</f>
        <v>LangKenny</v>
      </c>
      <c r="B5607" s="65"/>
    </row>
    <row r="5608" spans="1:2" x14ac:dyDescent="0.25">
      <c r="A5608" s="64" t="str">
        <f>HYPERLINK("http://www.twitter.com/busterlulu", "busterlulu")</f>
        <v>busterlulu</v>
      </c>
      <c r="B5608" s="65"/>
    </row>
    <row r="5609" spans="1:2" x14ac:dyDescent="0.25">
      <c r="A5609" s="64" t="str">
        <f>HYPERLINK("http://www.twitter.com/kteltowers", "kteltowers")</f>
        <v>kteltowers</v>
      </c>
      <c r="B5609" s="65"/>
    </row>
    <row r="5610" spans="1:2" x14ac:dyDescent="0.25">
      <c r="A5610" s="64" t="str">
        <f>HYPERLINK("http://www.twitter.com/terabyte_knox", "terabyte_knox")</f>
        <v>terabyte_knox</v>
      </c>
      <c r="B5610" s="65" t="s">
        <v>2007</v>
      </c>
    </row>
    <row r="5611" spans="1:2" x14ac:dyDescent="0.25">
      <c r="A5611" s="64" t="str">
        <f>HYPERLINK("http://www.twitter.com/LorissaKinna", "LorissaKinna")</f>
        <v>LorissaKinna</v>
      </c>
      <c r="B5611" s="65"/>
    </row>
    <row r="5612" spans="1:2" x14ac:dyDescent="0.25">
      <c r="A5612" s="64" t="str">
        <f>HYPERLINK("http://www.twitter.com/KateyGoodwin", "KateyGoodwin")</f>
        <v>KateyGoodwin</v>
      </c>
      <c r="B5612" s="65" t="s">
        <v>3650</v>
      </c>
    </row>
    <row r="5613" spans="1:2" x14ac:dyDescent="0.25">
      <c r="A5613" s="64" t="str">
        <f>HYPERLINK("http://www.twitter.com/rudolph27", "rudolph27")</f>
        <v>rudolph27</v>
      </c>
      <c r="B5613" s="65" t="s">
        <v>2007</v>
      </c>
    </row>
    <row r="5614" spans="1:2" x14ac:dyDescent="0.25">
      <c r="A5614" s="64" t="str">
        <f>HYPERLINK("http://www.twitter.com/Carterbar", "Carterbar")</f>
        <v>Carterbar</v>
      </c>
      <c r="B5614" s="65"/>
    </row>
    <row r="5615" spans="1:2" x14ac:dyDescent="0.25">
      <c r="A5615" s="64" t="str">
        <f>HYPERLINK("http://www.twitter.com/SantaClaraLib", "SantaClaraLib")</f>
        <v>SantaClaraLib</v>
      </c>
      <c r="B5615" s="65" t="s">
        <v>5742</v>
      </c>
    </row>
    <row r="5616" spans="1:2" x14ac:dyDescent="0.25">
      <c r="A5616" s="64" t="str">
        <f>HYPERLINK("http://www.twitter.com/tootsdeville", "tootsdeville")</f>
        <v>tootsdeville</v>
      </c>
      <c r="B5616" s="65" t="s">
        <v>5743</v>
      </c>
    </row>
    <row r="5617" spans="1:2" x14ac:dyDescent="0.25">
      <c r="A5617" s="64" t="str">
        <f>HYPERLINK("http://www.twitter.com/rockavist", "rockavist")</f>
        <v>rockavist</v>
      </c>
      <c r="B5617" s="65" t="s">
        <v>5744</v>
      </c>
    </row>
    <row r="5618" spans="1:2" x14ac:dyDescent="0.25">
      <c r="A5618" s="64" t="str">
        <f>HYPERLINK("http://www.twitter.com/MuswellPress", "MuswellPress")</f>
        <v>MuswellPress</v>
      </c>
      <c r="B5618" s="65" t="s">
        <v>36</v>
      </c>
    </row>
    <row r="5619" spans="1:2" x14ac:dyDescent="0.25">
      <c r="A5619" s="64" t="str">
        <f>HYPERLINK("http://www.twitter.com/OmegaJak", "OmegaJak")</f>
        <v>OmegaJak</v>
      </c>
      <c r="B5619" s="65" t="s">
        <v>1873</v>
      </c>
    </row>
    <row r="5620" spans="1:2" x14ac:dyDescent="0.25">
      <c r="A5620" s="64" t="str">
        <f>HYPERLINK("http://www.twitter.com/JaneMaltby1", "JaneMaltby1")</f>
        <v>JaneMaltby1</v>
      </c>
      <c r="B5620" s="65" t="s">
        <v>5745</v>
      </c>
    </row>
    <row r="5621" spans="1:2" x14ac:dyDescent="0.25">
      <c r="A5621" s="64" t="str">
        <f>HYPERLINK("http://www.twitter.com/SA_Hollywood", "SA_Hollywood")</f>
        <v>SA_Hollywood</v>
      </c>
      <c r="B5621" s="65" t="s">
        <v>24</v>
      </c>
    </row>
    <row r="5622" spans="1:2" x14ac:dyDescent="0.25">
      <c r="A5622" s="64" t="str">
        <f>HYPERLINK("http://www.twitter.com/nearlythere", "nearlythere")</f>
        <v>nearlythere</v>
      </c>
      <c r="B5622" s="65" t="s">
        <v>248</v>
      </c>
    </row>
    <row r="5623" spans="1:2" x14ac:dyDescent="0.25">
      <c r="A5623" s="64" t="str">
        <f>HYPERLINK("http://www.twitter.com/SSEheritage", "SSEheritage")</f>
        <v>SSEheritage</v>
      </c>
      <c r="B5623" s="65" t="s">
        <v>70</v>
      </c>
    </row>
    <row r="5624" spans="1:2" x14ac:dyDescent="0.25">
      <c r="A5624" s="64" t="str">
        <f>HYPERLINK("http://www.twitter.com/GlancyAndrew", "GlancyAndrew")</f>
        <v>GlancyAndrew</v>
      </c>
      <c r="B5624" s="65"/>
    </row>
    <row r="5625" spans="1:2" x14ac:dyDescent="0.25">
      <c r="A5625" s="64" t="str">
        <f>HYPERLINK("http://www.twitter.com/sianlilepastore", "sianlilepastore")</f>
        <v>sianlilepastore</v>
      </c>
      <c r="B5625" s="65" t="s">
        <v>5746</v>
      </c>
    </row>
    <row r="5626" spans="1:2" x14ac:dyDescent="0.25">
      <c r="A5626" s="64" t="str">
        <f>HYPERLINK("http://www.twitter.com/trixymalixy", "trixymalixy")</f>
        <v>trixymalixy</v>
      </c>
      <c r="B5626" s="65"/>
    </row>
    <row r="5627" spans="1:2" x14ac:dyDescent="0.25">
      <c r="A5627" s="64" t="str">
        <f>HYPERLINK("http://www.twitter.com/katmes27", "katmes27")</f>
        <v>katmes27</v>
      </c>
      <c r="B5627" s="65"/>
    </row>
    <row r="5628" spans="1:2" x14ac:dyDescent="0.25">
      <c r="A5628" s="64" t="str">
        <f>HYPERLINK("http://www.twitter.com/jonpinnock", "jonpinnock")</f>
        <v>jonpinnock</v>
      </c>
      <c r="B5628" s="65"/>
    </row>
    <row r="5629" spans="1:2" x14ac:dyDescent="0.25">
      <c r="A5629" s="64" t="str">
        <f>HYPERLINK("http://www.twitter.com/VaidicS", "VaidicS")</f>
        <v>VaidicS</v>
      </c>
      <c r="B5629" s="65" t="s">
        <v>3823</v>
      </c>
    </row>
    <row r="5630" spans="1:2" x14ac:dyDescent="0.25">
      <c r="A5630" s="64" t="str">
        <f>HYPERLINK("http://www.twitter.com/grampa_sea", "grampa_sea")</f>
        <v>grampa_sea</v>
      </c>
      <c r="B5630" s="65" t="s">
        <v>1377</v>
      </c>
    </row>
    <row r="5631" spans="1:2" x14ac:dyDescent="0.25">
      <c r="A5631" s="64" t="str">
        <f>HYPERLINK("http://www.twitter.com/ParkerAE15", "ParkerAE15")</f>
        <v>ParkerAE15</v>
      </c>
      <c r="B5631" s="65" t="s">
        <v>3921</v>
      </c>
    </row>
    <row r="5632" spans="1:2" x14ac:dyDescent="0.25">
      <c r="A5632" s="64" t="str">
        <f>HYPERLINK("http://www.twitter.com/saraost", "saraost")</f>
        <v>saraost</v>
      </c>
      <c r="B5632" s="65" t="s">
        <v>4229</v>
      </c>
    </row>
    <row r="5633" spans="1:2" x14ac:dyDescent="0.25">
      <c r="A5633" s="64" t="str">
        <f>HYPERLINK("http://www.twitter.com/armstrongkath", "armstrongkath")</f>
        <v>armstrongkath</v>
      </c>
      <c r="B5633" s="65"/>
    </row>
    <row r="5634" spans="1:2" x14ac:dyDescent="0.25">
      <c r="A5634" s="64" t="str">
        <f>HYPERLINK("http://www.twitter.com/heskinradio", "heskinradio")</f>
        <v>heskinradio</v>
      </c>
      <c r="B5634" s="65" t="s">
        <v>5747</v>
      </c>
    </row>
    <row r="5635" spans="1:2" x14ac:dyDescent="0.25">
      <c r="A5635" s="64" t="str">
        <f>HYPERLINK("http://www.twitter.com/davidralphlewis", "davidralphlewis")</f>
        <v>davidralphlewis</v>
      </c>
      <c r="B5635" s="65" t="s">
        <v>939</v>
      </c>
    </row>
    <row r="5636" spans="1:2" x14ac:dyDescent="0.25">
      <c r="A5636" s="64" t="str">
        <f>HYPERLINK("http://www.twitter.com/GallowayLodge", "GallowayLodge")</f>
        <v>GallowayLodge</v>
      </c>
      <c r="B5636" s="65" t="s">
        <v>5748</v>
      </c>
    </row>
    <row r="5637" spans="1:2" x14ac:dyDescent="0.25">
      <c r="A5637" s="64" t="str">
        <f>HYPERLINK("http://www.twitter.com/st_pepp", "st_pepp")</f>
        <v>st_pepp</v>
      </c>
      <c r="B5637" s="65"/>
    </row>
    <row r="5638" spans="1:2" x14ac:dyDescent="0.25">
      <c r="A5638" s="64" t="str">
        <f>HYPERLINK("http://www.twitter.com/seoheroesguide", "seoheroesguide")</f>
        <v>seoheroesguide</v>
      </c>
      <c r="B5638" s="65"/>
    </row>
    <row r="5639" spans="1:2" x14ac:dyDescent="0.25">
      <c r="A5639" s="64" t="str">
        <f>HYPERLINK("http://www.twitter.com/wllorach", "wllorach")</f>
        <v>wllorach</v>
      </c>
      <c r="B5639" s="65" t="s">
        <v>5749</v>
      </c>
    </row>
    <row r="5640" spans="1:2" x14ac:dyDescent="0.25">
      <c r="A5640" s="64" t="str">
        <f>HYPERLINK("http://www.twitter.com/xenadd", "xenadd")</f>
        <v>xenadd</v>
      </c>
      <c r="B5640" s="65"/>
    </row>
    <row r="5641" spans="1:2" x14ac:dyDescent="0.25">
      <c r="A5641" s="64" t="str">
        <f>HYPERLINK("http://www.twitter.com/johngnk1", "johngnk1")</f>
        <v>johngnk1</v>
      </c>
      <c r="B5641" s="65"/>
    </row>
    <row r="5642" spans="1:2" x14ac:dyDescent="0.25">
      <c r="A5642" s="64" t="str">
        <f>HYPERLINK("http://www.twitter.com/Carey_Art", "Carey_Art")</f>
        <v>Carey_Art</v>
      </c>
      <c r="B5642" s="65" t="s">
        <v>296</v>
      </c>
    </row>
    <row r="5643" spans="1:2" x14ac:dyDescent="0.25">
      <c r="A5643" s="64" t="str">
        <f>HYPERLINK("http://www.twitter.com/rosie_rowan", "rosie_rowan")</f>
        <v>rosie_rowan</v>
      </c>
      <c r="B5643" s="65"/>
    </row>
    <row r="5644" spans="1:2" x14ac:dyDescent="0.25">
      <c r="A5644" s="64" t="str">
        <f>HYPERLINK("http://www.twitter.com/cram_j", "cram_j")</f>
        <v>cram_j</v>
      </c>
      <c r="B5644" s="65"/>
    </row>
    <row r="5645" spans="1:2" x14ac:dyDescent="0.25">
      <c r="A5645" s="64" t="str">
        <f>HYPERLINK("http://www.twitter.com/Guildenstern_11", "Guildenstern_11")</f>
        <v>Guildenstern_11</v>
      </c>
      <c r="B5645" s="65"/>
    </row>
    <row r="5646" spans="1:2" x14ac:dyDescent="0.25">
      <c r="A5646" s="64" t="str">
        <f>HYPERLINK("http://www.twitter.com/Cevirimiz", "Cevirimiz")</f>
        <v>Cevirimiz</v>
      </c>
      <c r="B5646" s="65" t="s">
        <v>883</v>
      </c>
    </row>
    <row r="5647" spans="1:2" x14ac:dyDescent="0.25">
      <c r="A5647" s="64" t="str">
        <f>HYPERLINK("http://www.twitter.com/FlorrieVee", "FlorrieVee")</f>
        <v>FlorrieVee</v>
      </c>
      <c r="B5647" s="65" t="s">
        <v>487</v>
      </c>
    </row>
    <row r="5648" spans="1:2" x14ac:dyDescent="0.25">
      <c r="A5648" s="64" t="str">
        <f>HYPERLINK("http://www.twitter.com/kirstyhannam", "kirstyhannam")</f>
        <v>kirstyhannam</v>
      </c>
      <c r="B5648" s="65" t="s">
        <v>5750</v>
      </c>
    </row>
    <row r="5649" spans="1:2" x14ac:dyDescent="0.25">
      <c r="A5649" s="64" t="str">
        <f>HYPERLINK("http://www.twitter.com/lucytakesphotos", "lucytakesphotos")</f>
        <v>lucytakesphotos</v>
      </c>
      <c r="B5649" s="65" t="s">
        <v>36</v>
      </c>
    </row>
    <row r="5650" spans="1:2" x14ac:dyDescent="0.25">
      <c r="A5650" s="64" t="str">
        <f>HYPERLINK("http://www.twitter.com/albaquine", "albaquine")</f>
        <v>albaquine</v>
      </c>
      <c r="B5650" s="65" t="s">
        <v>5751</v>
      </c>
    </row>
    <row r="5651" spans="1:2" x14ac:dyDescent="0.25">
      <c r="A5651" s="64" t="str">
        <f>HYPERLINK("http://www.twitter.com/ejuans", "ejuans")</f>
        <v>ejuans</v>
      </c>
      <c r="B5651" s="65" t="s">
        <v>5752</v>
      </c>
    </row>
    <row r="5652" spans="1:2" x14ac:dyDescent="0.25">
      <c r="A5652" s="64" t="str">
        <f>HYPERLINK("http://www.twitter.com/MariusAguilera", "MariusAguilera")</f>
        <v>MariusAguilera</v>
      </c>
      <c r="B5652" s="65"/>
    </row>
    <row r="5653" spans="1:2" x14ac:dyDescent="0.25">
      <c r="A5653" s="64" t="str">
        <f>HYPERLINK("http://www.twitter.com/GeorgiaLinares", "GeorgiaLinares")</f>
        <v>GeorgiaLinares</v>
      </c>
      <c r="B5653" s="65" t="s">
        <v>5753</v>
      </c>
    </row>
    <row r="5654" spans="1:2" x14ac:dyDescent="0.25">
      <c r="A5654" s="64" t="str">
        <f>HYPERLINK("http://www.twitter.com/LuisaLoisM", "LuisaLoisM")</f>
        <v>LuisaLoisM</v>
      </c>
      <c r="B5654" s="65" t="s">
        <v>5754</v>
      </c>
    </row>
    <row r="5655" spans="1:2" x14ac:dyDescent="0.25">
      <c r="A5655" s="64" t="str">
        <f>HYPERLINK("http://www.twitter.com/fpjerez", "fpjerez")</f>
        <v>fpjerez</v>
      </c>
      <c r="B5655" s="65" t="s">
        <v>5755</v>
      </c>
    </row>
    <row r="5656" spans="1:2" x14ac:dyDescent="0.25">
      <c r="A5656" s="64" t="str">
        <f>HYPERLINK("http://www.twitter.com/aluina", "aluina")</f>
        <v>aluina</v>
      </c>
      <c r="B5656" s="65"/>
    </row>
    <row r="5657" spans="1:2" x14ac:dyDescent="0.25">
      <c r="A5657" s="64" t="str">
        <f>HYPERLINK("http://www.twitter.com/sesesansi", "sesesansi")</f>
        <v>sesesansi</v>
      </c>
      <c r="B5657" s="65"/>
    </row>
    <row r="5658" spans="1:2" x14ac:dyDescent="0.25">
      <c r="A5658" s="64" t="str">
        <f>HYPERLINK("http://www.twitter.com/BibEsparreguera", "BibEsparreguera")</f>
        <v>BibEsparreguera</v>
      </c>
      <c r="B5658" s="65" t="s">
        <v>5756</v>
      </c>
    </row>
    <row r="5659" spans="1:2" x14ac:dyDescent="0.25">
      <c r="A5659" s="64" t="str">
        <f>HYPERLINK("http://www.twitter.com/CFKWedding", "CFKWedding")</f>
        <v>CFKWedding</v>
      </c>
      <c r="B5659" s="65" t="s">
        <v>2864</v>
      </c>
    </row>
    <row r="5660" spans="1:2" x14ac:dyDescent="0.25">
      <c r="A5660" s="64" t="str">
        <f>HYPERLINK("http://www.twitter.com/kkinsella83", "kkinsella83")</f>
        <v>kkinsella83</v>
      </c>
      <c r="B5660" s="65" t="s">
        <v>2864</v>
      </c>
    </row>
    <row r="5661" spans="1:2" x14ac:dyDescent="0.25">
      <c r="A5661" s="64" t="str">
        <f>HYPERLINK("http://www.twitter.com/Jamie1Sharp", "Jamie1Sharp")</f>
        <v>Jamie1Sharp</v>
      </c>
      <c r="B5661" s="65" t="s">
        <v>5757</v>
      </c>
    </row>
    <row r="5662" spans="1:2" x14ac:dyDescent="0.25">
      <c r="A5662" s="64" t="str">
        <f>HYPERLINK("http://www.twitter.com/blellison", "blellison")</f>
        <v>blellison</v>
      </c>
      <c r="B5662" s="65" t="s">
        <v>5758</v>
      </c>
    </row>
    <row r="5663" spans="1:2" x14ac:dyDescent="0.25">
      <c r="A5663" s="64" t="str">
        <f>HYPERLINK("http://www.twitter.com/mari_reiza", "mari_reiza")</f>
        <v>mari_reiza</v>
      </c>
      <c r="B5663" s="65" t="s">
        <v>477</v>
      </c>
    </row>
    <row r="5664" spans="1:2" x14ac:dyDescent="0.25">
      <c r="A5664" s="64" t="str">
        <f>HYPERLINK("http://www.twitter.com/kimsalmons", "kimsalmons")</f>
        <v>kimsalmons</v>
      </c>
      <c r="B5664" s="65" t="s">
        <v>36</v>
      </c>
    </row>
    <row r="5665" spans="1:2" x14ac:dyDescent="0.25">
      <c r="A5665" s="64" t="str">
        <f>HYPERLINK("http://www.twitter.com/lincslibraries", "lincslibraries")</f>
        <v>lincslibraries</v>
      </c>
      <c r="B5665" s="65" t="s">
        <v>2592</v>
      </c>
    </row>
    <row r="5666" spans="1:2" x14ac:dyDescent="0.25">
      <c r="A5666" s="64" t="str">
        <f>HYPERLINK("http://www.twitter.com/lexkohn", "lexkohn")</f>
        <v>lexkohn</v>
      </c>
      <c r="B5666" s="65" t="s">
        <v>5059</v>
      </c>
    </row>
    <row r="5667" spans="1:2" x14ac:dyDescent="0.25">
      <c r="A5667" s="64" t="str">
        <f>HYPERLINK("http://www.twitter.com/thepostman66", "thepostman66")</f>
        <v>thepostman66</v>
      </c>
      <c r="B5667" s="65"/>
    </row>
    <row r="5668" spans="1:2" x14ac:dyDescent="0.25">
      <c r="A5668" s="64" t="str">
        <f>HYPERLINK("http://www.twitter.com/shonakm", "shonakm")</f>
        <v>shonakm</v>
      </c>
      <c r="B5668" s="65"/>
    </row>
    <row r="5669" spans="1:2" x14ac:dyDescent="0.25">
      <c r="A5669" s="64" t="str">
        <f>HYPERLINK("http://www.twitter.com/SalleyVickers", "SalleyVickers")</f>
        <v>SalleyVickers</v>
      </c>
      <c r="B5669" s="65"/>
    </row>
    <row r="5670" spans="1:2" x14ac:dyDescent="0.25">
      <c r="A5670" s="64" t="str">
        <f>HYPERLINK("http://www.twitter.com/MargaretBarnesy", "MargaretBarnesy")</f>
        <v>MargaretBarnesy</v>
      </c>
      <c r="B5670" s="65"/>
    </row>
    <row r="5671" spans="1:2" x14ac:dyDescent="0.25">
      <c r="A5671" s="64" t="str">
        <f>HYPERLINK("http://www.twitter.com/RareBooksOfBod", "RareBooksOfBod")</f>
        <v>RareBooksOfBod</v>
      </c>
      <c r="B5671" s="65" t="s">
        <v>12</v>
      </c>
    </row>
    <row r="5672" spans="1:2" x14ac:dyDescent="0.25">
      <c r="A5672" s="64" t="str">
        <f>HYPERLINK("http://www.twitter.com/SarahMoth", "SarahMoth")</f>
        <v>SarahMoth</v>
      </c>
      <c r="B5672" s="65"/>
    </row>
    <row r="5673" spans="1:2" x14ac:dyDescent="0.25">
      <c r="A5673" s="64" t="str">
        <f>HYPERLINK("http://www.twitter.com/RachelRSquaredM", "RachelRSquaredM")</f>
        <v>RachelRSquaredM</v>
      </c>
      <c r="B5673" s="65" t="s">
        <v>5759</v>
      </c>
    </row>
    <row r="5674" spans="1:2" x14ac:dyDescent="0.25">
      <c r="A5674" s="64" t="str">
        <f>HYPERLINK("http://www.twitter.com/ubookman", "ubookman")</f>
        <v>ubookman</v>
      </c>
      <c r="B5674" s="65"/>
    </row>
    <row r="5675" spans="1:2" x14ac:dyDescent="0.25">
      <c r="A5675" s="64" t="str">
        <f>HYPERLINK("http://www.twitter.com/NormaSnose", "NormaSnose")</f>
        <v>NormaSnose</v>
      </c>
      <c r="B5675" s="65"/>
    </row>
    <row r="5676" spans="1:2" x14ac:dyDescent="0.25">
      <c r="A5676" s="64" t="str">
        <f>HYPERLINK("http://www.twitter.com/JulieBanim", "JulieBanim")</f>
        <v>JulieBanim</v>
      </c>
      <c r="B5676" s="65"/>
    </row>
    <row r="5677" spans="1:2" x14ac:dyDescent="0.25">
      <c r="A5677" s="64" t="str">
        <f>HYPERLINK("http://www.twitter.com/arenaofshrugs", "arenaofshrugs")</f>
        <v>arenaofshrugs</v>
      </c>
      <c r="B5677" s="65" t="s">
        <v>487</v>
      </c>
    </row>
    <row r="5678" spans="1:2" x14ac:dyDescent="0.25">
      <c r="A5678" s="64" t="str">
        <f>HYPERLINK("http://www.twitter.com/selectivearing", "selectivearing")</f>
        <v>selectivearing</v>
      </c>
      <c r="B5678" s="65"/>
    </row>
    <row r="5679" spans="1:2" x14ac:dyDescent="0.25">
      <c r="A5679" s="64" t="str">
        <f>HYPERLINK("http://www.twitter.com/WallyWorld11", "WallyWorld11")</f>
        <v>WallyWorld11</v>
      </c>
      <c r="B5679" s="65" t="s">
        <v>5760</v>
      </c>
    </row>
    <row r="5680" spans="1:2" x14ac:dyDescent="0.25">
      <c r="A5680" s="64" t="str">
        <f>HYPERLINK("http://www.twitter.com/charlesfbennett", "charlesfbennett")</f>
        <v>charlesfbennett</v>
      </c>
      <c r="B5680" s="65" t="s">
        <v>5761</v>
      </c>
    </row>
    <row r="5681" spans="1:2" x14ac:dyDescent="0.25">
      <c r="A5681" s="64" t="str">
        <f>HYPERLINK("http://www.twitter.com/Bobquomodo", "Bobquomodo")</f>
        <v>Bobquomodo</v>
      </c>
      <c r="B5681" s="65"/>
    </row>
    <row r="5682" spans="1:2" x14ac:dyDescent="0.25">
      <c r="A5682" s="64" t="str">
        <f>HYPERLINK("http://www.twitter.com/LeeSinclair15", "LeeSinclair15")</f>
        <v>LeeSinclair15</v>
      </c>
      <c r="B5682" s="65"/>
    </row>
    <row r="5683" spans="1:2" x14ac:dyDescent="0.25">
      <c r="A5683" s="64" t="str">
        <f>HYPERLINK("http://www.twitter.com/BirnieLinzi", "BirnieLinzi")</f>
        <v>BirnieLinzi</v>
      </c>
      <c r="B5683" s="65"/>
    </row>
    <row r="5684" spans="1:2" x14ac:dyDescent="0.25">
      <c r="A5684" s="64" t="str">
        <f>HYPERLINK("http://www.twitter.com/joegrey1", "joegrey1")</f>
        <v>joegrey1</v>
      </c>
      <c r="B5684" s="65" t="s">
        <v>5762</v>
      </c>
    </row>
    <row r="5685" spans="1:2" x14ac:dyDescent="0.25">
      <c r="A5685" s="64" t="str">
        <f>HYPERLINK("http://www.twitter.com/elsie_73", "elsie_73")</f>
        <v>elsie_73</v>
      </c>
      <c r="B5685" s="65"/>
    </row>
    <row r="5686" spans="1:2" x14ac:dyDescent="0.25">
      <c r="A5686" s="64" t="str">
        <f>HYPERLINK("http://www.twitter.com/meringutan", "meringutan")</f>
        <v>meringutan</v>
      </c>
      <c r="B5686" s="65" t="s">
        <v>24</v>
      </c>
    </row>
    <row r="5687" spans="1:2" x14ac:dyDescent="0.25">
      <c r="A5687" s="64" t="str">
        <f>HYPERLINK("http://www.twitter.com/Ruthstress", "Ruthstress")</f>
        <v>Ruthstress</v>
      </c>
      <c r="B5687" s="65" t="s">
        <v>5763</v>
      </c>
    </row>
    <row r="5688" spans="1:2" x14ac:dyDescent="0.25">
      <c r="A5688" s="64" t="str">
        <f>HYPERLINK("http://www.twitter.com/AnilieseWright", "AnilieseWright")</f>
        <v>AnilieseWright</v>
      </c>
      <c r="B5688" s="65" t="s">
        <v>5764</v>
      </c>
    </row>
    <row r="5689" spans="1:2" x14ac:dyDescent="0.25">
      <c r="A5689" s="64" t="str">
        <f>HYPERLINK("http://www.twitter.com/Rarebooks4ever", "Rarebooks4ever")</f>
        <v>Rarebooks4ever</v>
      </c>
      <c r="B5689" s="65" t="s">
        <v>70</v>
      </c>
    </row>
    <row r="5690" spans="1:2" x14ac:dyDescent="0.25">
      <c r="A5690" s="64" t="str">
        <f>HYPERLINK("http://www.twitter.com/girvan_claire", "girvan_claire")</f>
        <v>girvan_claire</v>
      </c>
      <c r="B5690" s="65"/>
    </row>
    <row r="5691" spans="1:2" x14ac:dyDescent="0.25">
      <c r="A5691" s="64" t="str">
        <f>HYPERLINK("http://www.twitter.com/danicquinn", "danicquinn")</f>
        <v>danicquinn</v>
      </c>
      <c r="B5691" s="65" t="s">
        <v>477</v>
      </c>
    </row>
    <row r="5692" spans="1:2" x14ac:dyDescent="0.25">
      <c r="A5692" s="64" t="str">
        <f>HYPERLINK("http://www.twitter.com/Popppppy", "Popppppy")</f>
        <v>Popppppy</v>
      </c>
      <c r="B5692" s="65" t="s">
        <v>2595</v>
      </c>
    </row>
    <row r="5693" spans="1:2" x14ac:dyDescent="0.25">
      <c r="A5693" s="64" t="str">
        <f>HYPERLINK("http://www.twitter.com/AngelDeverell", "AngelDeverell")</f>
        <v>AngelDeverell</v>
      </c>
      <c r="B5693" s="65"/>
    </row>
    <row r="5694" spans="1:2" x14ac:dyDescent="0.25">
      <c r="A5694" s="64" t="str">
        <f>HYPERLINK("http://www.twitter.com/NikkiWho_", "NikkiWho_")</f>
        <v>NikkiWho_</v>
      </c>
      <c r="B5694" s="65" t="s">
        <v>5765</v>
      </c>
    </row>
    <row r="5695" spans="1:2" x14ac:dyDescent="0.25">
      <c r="A5695" s="64" t="str">
        <f>HYPERLINK("http://www.twitter.com/awithsmith", "awithsmith")</f>
        <v>awithsmith</v>
      </c>
      <c r="B5695" s="65" t="s">
        <v>477</v>
      </c>
    </row>
    <row r="5696" spans="1:2" x14ac:dyDescent="0.25">
      <c r="A5696" s="64" t="str">
        <f>HYPERLINK("http://www.twitter.com/Jacqui_R_Walsh", "Jacqui_R_Walsh")</f>
        <v>Jacqui_R_Walsh</v>
      </c>
      <c r="B5696" s="65"/>
    </row>
    <row r="5697" spans="1:2" x14ac:dyDescent="0.25">
      <c r="A5697" s="64" t="str">
        <f>HYPERLINK("http://www.twitter.com/jhay192", "jhay192")</f>
        <v>jhay192</v>
      </c>
      <c r="B5697" s="65"/>
    </row>
    <row r="5698" spans="1:2" x14ac:dyDescent="0.25">
      <c r="A5698" s="64" t="str">
        <f>HYPERLINK("http://www.twitter.com/ArcBroom", "ArcBroom")</f>
        <v>ArcBroom</v>
      </c>
      <c r="B5698" s="65"/>
    </row>
    <row r="5699" spans="1:2" x14ac:dyDescent="0.25">
      <c r="A5699" s="64" t="str">
        <f>HYPERLINK("http://www.twitter.com/smitchos", "smitchos")</f>
        <v>smitchos</v>
      </c>
      <c r="B5699" s="65" t="s">
        <v>5767</v>
      </c>
    </row>
    <row r="5700" spans="1:2" x14ac:dyDescent="0.25">
      <c r="A5700" s="64" t="str">
        <f>HYPERLINK("http://www.twitter.com/PBCyfnewidGwyb", "PBCyfnewidGwyb")</f>
        <v>PBCyfnewidGwyb</v>
      </c>
      <c r="B5700" s="65" t="s">
        <v>5768</v>
      </c>
    </row>
    <row r="5701" spans="1:2" x14ac:dyDescent="0.25">
      <c r="A5701" s="64" t="str">
        <f>HYPERLINK("http://www.twitter.com/Mavish_74", "Mavish_74")</f>
        <v>Mavish_74</v>
      </c>
      <c r="B5701" s="65"/>
    </row>
    <row r="5702" spans="1:2" x14ac:dyDescent="0.25">
      <c r="A5702" s="64" t="str">
        <f>HYPERLINK("http://www.twitter.com/jgpmolloy", "jgpmolloy")</f>
        <v>jgpmolloy</v>
      </c>
      <c r="B5702" s="65" t="s">
        <v>5769</v>
      </c>
    </row>
    <row r="5703" spans="1:2" x14ac:dyDescent="0.25">
      <c r="A5703" s="64" t="str">
        <f>HYPERLINK("http://www.twitter.com/calmcc3", "calmcc3")</f>
        <v>calmcc3</v>
      </c>
      <c r="B5703" s="65" t="s">
        <v>36</v>
      </c>
    </row>
    <row r="5704" spans="1:2" x14ac:dyDescent="0.25">
      <c r="A5704" s="64" t="str">
        <f>HYPERLINK("http://www.twitter.com/ScottFraser37", "ScottFraser37")</f>
        <v>ScottFraser37</v>
      </c>
      <c r="B5704" s="65"/>
    </row>
    <row r="5705" spans="1:2" x14ac:dyDescent="0.25">
      <c r="A5705" s="64" t="str">
        <f>HYPERLINK("http://www.twitter.com/FutureScot_News", "FutureScot_News")</f>
        <v>FutureScot_News</v>
      </c>
      <c r="B5705" s="65" t="s">
        <v>487</v>
      </c>
    </row>
    <row r="5706" spans="1:2" x14ac:dyDescent="0.25">
      <c r="A5706" s="64" t="str">
        <f>HYPERLINK("http://www.twitter.com/jimtodd88", "jimtodd88")</f>
        <v>jimtodd88</v>
      </c>
      <c r="B5706" s="65" t="s">
        <v>3395</v>
      </c>
    </row>
    <row r="5707" spans="1:2" x14ac:dyDescent="0.25">
      <c r="A5707" s="64" t="str">
        <f>HYPERLINK("http://www.twitter.com/AntiSocialnetw1", "AntiSocialnetw1")</f>
        <v>AntiSocialnetw1</v>
      </c>
      <c r="B5707" s="65"/>
    </row>
    <row r="5708" spans="1:2" x14ac:dyDescent="0.25">
      <c r="A5708" s="64" t="str">
        <f>HYPERLINK("http://www.twitter.com/dbiswas555", "dbiswas555")</f>
        <v>dbiswas555</v>
      </c>
      <c r="B5708" s="65" t="s">
        <v>36</v>
      </c>
    </row>
    <row r="5709" spans="1:2" x14ac:dyDescent="0.25">
      <c r="A5709" s="64" t="str">
        <f>HYPERLINK("http://www.twitter.com/lauren_d_murray", "lauren_d_murray")</f>
        <v>lauren_d_murray</v>
      </c>
      <c r="B5709" s="65" t="s">
        <v>477</v>
      </c>
    </row>
    <row r="5710" spans="1:2" x14ac:dyDescent="0.25">
      <c r="A5710" s="64" t="str">
        <f>HYPERLINK("http://www.twitter.com/fionawatsonprod", "fionawatsonprod")</f>
        <v>fionawatsonprod</v>
      </c>
      <c r="B5710" s="65" t="s">
        <v>36</v>
      </c>
    </row>
    <row r="5711" spans="1:2" x14ac:dyDescent="0.25">
      <c r="A5711" s="64" t="str">
        <f>HYPERLINK("http://www.twitter.com/BRockTextiles", "BRockTextiles")</f>
        <v>BRockTextiles</v>
      </c>
      <c r="B5711" s="65" t="s">
        <v>421</v>
      </c>
    </row>
    <row r="5712" spans="1:2" x14ac:dyDescent="0.25">
      <c r="A5712" s="64" t="str">
        <f>HYPERLINK("http://www.twitter.com/vrtnbl_g", "vrtnbl_g")</f>
        <v>vrtnbl_g</v>
      </c>
      <c r="B5712" s="65"/>
    </row>
    <row r="5713" spans="1:2" x14ac:dyDescent="0.25">
      <c r="A5713" s="64" t="str">
        <f>HYPERLINK("http://www.twitter.com/CooperKimcoop", "CooperKimcoop")</f>
        <v>CooperKimcoop</v>
      </c>
      <c r="B5713" s="65"/>
    </row>
    <row r="5714" spans="1:2" x14ac:dyDescent="0.25">
      <c r="A5714" s="64" t="str">
        <f>HYPERLINK("http://www.twitter.com/Ashintully1745", "Ashintully1745")</f>
        <v>Ashintully1745</v>
      </c>
      <c r="B5714" s="65" t="s">
        <v>2007</v>
      </c>
    </row>
    <row r="5715" spans="1:2" x14ac:dyDescent="0.25">
      <c r="A5715" s="64" t="str">
        <f>HYPERLINK("http://www.twitter.com/powderhamcastle", "powderhamcastle")</f>
        <v>powderhamcastle</v>
      </c>
      <c r="B5715" s="65" t="s">
        <v>5770</v>
      </c>
    </row>
    <row r="5716" spans="1:2" x14ac:dyDescent="0.25">
      <c r="A5716" s="64" t="str">
        <f>HYPERLINK("http://www.twitter.com/Melody_qxh", "Melody_qxh")</f>
        <v>Melody_qxh</v>
      </c>
      <c r="B5716" s="65" t="s">
        <v>3971</v>
      </c>
    </row>
    <row r="5717" spans="1:2" x14ac:dyDescent="0.25">
      <c r="A5717" s="64" t="str">
        <f>HYPERLINK("http://www.twitter.com/friendsobl", "friendsobl")</f>
        <v>friendsobl</v>
      </c>
      <c r="B5717" s="65"/>
    </row>
    <row r="5718" spans="1:2" x14ac:dyDescent="0.25">
      <c r="A5718" s="64" t="str">
        <f>HYPERLINK("http://www.twitter.com/fasorkney", "fasorkney")</f>
        <v>fasorkney</v>
      </c>
      <c r="B5718" s="65" t="s">
        <v>3762</v>
      </c>
    </row>
    <row r="5719" spans="1:2" x14ac:dyDescent="0.25">
      <c r="A5719" s="64" t="str">
        <f>HYPERLINK("http://www.twitter.com/poppingin", "poppingin")</f>
        <v>poppingin</v>
      </c>
      <c r="B5719" s="65" t="s">
        <v>36</v>
      </c>
    </row>
    <row r="5720" spans="1:2" x14ac:dyDescent="0.25">
      <c r="A5720" s="64" t="str">
        <f>HYPERLINK("http://www.twitter.com/shahp478", "shahp478")</f>
        <v>shahp478</v>
      </c>
      <c r="B5720" s="65"/>
    </row>
    <row r="5721" spans="1:2" x14ac:dyDescent="0.25">
      <c r="A5721" s="64" t="str">
        <f>HYPERLINK("http://www.twitter.com/Meghanaidu03", "Meghanaidu03")</f>
        <v>Meghanaidu03</v>
      </c>
      <c r="B5721" s="65"/>
    </row>
    <row r="5722" spans="1:2" x14ac:dyDescent="0.25">
      <c r="A5722" s="64" t="str">
        <f>HYPERLINK("http://www.twitter.com/lollyhughes1", "lollyhughes1")</f>
        <v>lollyhughes1</v>
      </c>
      <c r="B5722" s="65"/>
    </row>
    <row r="5723" spans="1:2" x14ac:dyDescent="0.25">
      <c r="A5723" s="64" t="str">
        <f>HYPERLINK("http://www.twitter.com/baden_haus", "baden_haus")</f>
        <v>baden_haus</v>
      </c>
      <c r="B5723" s="65" t="s">
        <v>5771</v>
      </c>
    </row>
    <row r="5724" spans="1:2" x14ac:dyDescent="0.25">
      <c r="A5724" s="64" t="str">
        <f>HYPERLINK("http://www.twitter.com/Tinamur45519922", "Tinamur45519922")</f>
        <v>Tinamur45519922</v>
      </c>
      <c r="B5724" s="65" t="s">
        <v>3854</v>
      </c>
    </row>
    <row r="5725" spans="1:2" x14ac:dyDescent="0.25">
      <c r="A5725" s="64" t="str">
        <f>HYPERLINK("http://www.twitter.com/LDNLibraries", "LDNLibraries")</f>
        <v>LDNLibraries</v>
      </c>
      <c r="B5725" s="65" t="s">
        <v>477</v>
      </c>
    </row>
    <row r="5726" spans="1:2" x14ac:dyDescent="0.25">
      <c r="A5726" s="64" t="str">
        <f>HYPERLINK("http://www.twitter.com/Moore1971Moore", "Moore1971Moore")</f>
        <v>Moore1971Moore</v>
      </c>
      <c r="B5726" s="65"/>
    </row>
    <row r="5727" spans="1:2" x14ac:dyDescent="0.25">
      <c r="A5727" s="64" t="str">
        <f>HYPERLINK("http://www.twitter.com/Fiona_C_Smith", "Fiona_C_Smith")</f>
        <v>Fiona_C_Smith</v>
      </c>
      <c r="B5727" s="65" t="s">
        <v>5772</v>
      </c>
    </row>
    <row r="5728" spans="1:2" x14ac:dyDescent="0.25">
      <c r="A5728" s="64" t="str">
        <f>HYPERLINK("http://www.twitter.com/smithandbaxter", "smithandbaxter")</f>
        <v>smithandbaxter</v>
      </c>
      <c r="B5728" s="65" t="s">
        <v>36</v>
      </c>
    </row>
    <row r="5729" spans="1:2" x14ac:dyDescent="0.25">
      <c r="A5729" s="64" t="str">
        <f>HYPERLINK("http://www.twitter.com/rosiechristiana", "rosiechristiana")</f>
        <v>rosiechristiana</v>
      </c>
      <c r="B5729" s="65" t="s">
        <v>2595</v>
      </c>
    </row>
    <row r="5730" spans="1:2" x14ac:dyDescent="0.25">
      <c r="A5730" s="64" t="str">
        <f>HYPERLINK("http://www.twitter.com/OwusuSandy3", "OwusuSandy3")</f>
        <v>OwusuSandy3</v>
      </c>
      <c r="B5730" s="65"/>
    </row>
    <row r="5731" spans="1:2" x14ac:dyDescent="0.25">
      <c r="A5731" s="64" t="str">
        <f>HYPERLINK("http://www.twitter.com/VivienBramwell", "VivienBramwell")</f>
        <v>VivienBramwell</v>
      </c>
      <c r="B5731" s="65" t="s">
        <v>477</v>
      </c>
    </row>
    <row r="5732" spans="1:2" x14ac:dyDescent="0.25">
      <c r="A5732" s="64" t="str">
        <f>HYPERLINK("http://www.twitter.com/ManchesterStill", "ManchesterStill")</f>
        <v>ManchesterStill</v>
      </c>
      <c r="B5732" s="65" t="s">
        <v>2289</v>
      </c>
    </row>
    <row r="5733" spans="1:2" x14ac:dyDescent="0.25">
      <c r="A5733" s="64" t="str">
        <f>HYPERLINK("http://www.twitter.com/nakedblonde", "nakedblonde")</f>
        <v>nakedblonde</v>
      </c>
      <c r="B5733" s="65" t="s">
        <v>427</v>
      </c>
    </row>
    <row r="5734" spans="1:2" x14ac:dyDescent="0.25">
      <c r="A5734" s="64" t="str">
        <f>HYPERLINK("http://www.twitter.com/mingus2", "mingus2")</f>
        <v>mingus2</v>
      </c>
      <c r="B5734" s="65"/>
    </row>
    <row r="5735" spans="1:2" x14ac:dyDescent="0.25">
      <c r="A5735" s="64" t="str">
        <f>HYPERLINK("http://www.twitter.com/ejholden91", "ejholden91")</f>
        <v>ejholden91</v>
      </c>
      <c r="B5735" s="65"/>
    </row>
    <row r="5736" spans="1:2" x14ac:dyDescent="0.25">
      <c r="A5736" s="64" t="str">
        <f>HYPERLINK("http://www.twitter.com/Kate_Thmsn", "Kate_Thmsn")</f>
        <v>Kate_Thmsn</v>
      </c>
      <c r="B5736" s="65"/>
    </row>
    <row r="5737" spans="1:2" x14ac:dyDescent="0.25">
      <c r="A5737" s="64" t="str">
        <f>HYPERLINK("http://www.twitter.com/jacktrelawny", "jacktrelawny")</f>
        <v>jacktrelawny</v>
      </c>
      <c r="B5737" s="65" t="s">
        <v>5773</v>
      </c>
    </row>
    <row r="5738" spans="1:2" x14ac:dyDescent="0.25">
      <c r="A5738" s="64" t="str">
        <f>HYPERLINK("http://www.twitter.com/AzzamMarilyn", "AzzamMarilyn")</f>
        <v>AzzamMarilyn</v>
      </c>
      <c r="B5738" s="65"/>
    </row>
    <row r="5739" spans="1:2" x14ac:dyDescent="0.25">
      <c r="A5739" s="64" t="str">
        <f>HYPERLINK("http://www.twitter.com/bubblesmoloney", "bubblesmoloney")</f>
        <v>bubblesmoloney</v>
      </c>
      <c r="B5739" s="65" t="s">
        <v>5774</v>
      </c>
    </row>
    <row r="5740" spans="1:2" x14ac:dyDescent="0.25">
      <c r="A5740" s="64" t="str">
        <f>HYPERLINK("http://www.twitter.com/nichannn", "nichannn")</f>
        <v>nichannn</v>
      </c>
      <c r="B5740" s="65"/>
    </row>
    <row r="5741" spans="1:2" x14ac:dyDescent="0.25">
      <c r="A5741" s="64" t="str">
        <f>HYPERLINK("http://www.twitter.com/davafisk", "davafisk")</f>
        <v>davafisk</v>
      </c>
      <c r="B5741" s="65"/>
    </row>
    <row r="5742" spans="1:2" x14ac:dyDescent="0.25">
      <c r="A5742" s="64" t="str">
        <f>HYPERLINK("http://www.twitter.com/Mergusmerganser", "Mergusmerganser")</f>
        <v>Mergusmerganser</v>
      </c>
      <c r="B5742" s="65"/>
    </row>
    <row r="5743" spans="1:2" x14ac:dyDescent="0.25">
      <c r="A5743" s="64" t="str">
        <f>HYPERLINK("http://www.twitter.com/KEVINPARKIN3", "KEVINPARKIN3")</f>
        <v>KEVINPARKIN3</v>
      </c>
      <c r="B5743" s="65" t="s">
        <v>5775</v>
      </c>
    </row>
    <row r="5744" spans="1:2" x14ac:dyDescent="0.25">
      <c r="A5744" s="64" t="str">
        <f>HYPERLINK("http://www.twitter.com/georgiaewalters", "georgiaewalters")</f>
        <v>georgiaewalters</v>
      </c>
      <c r="B5744" s="65" t="s">
        <v>36</v>
      </c>
    </row>
    <row r="5745" spans="1:2" x14ac:dyDescent="0.25">
      <c r="A5745" s="64" t="str">
        <f>HYPERLINK("http://www.twitter.com/Neuroethology_", "Neuroethology_")</f>
        <v>Neuroethology_</v>
      </c>
      <c r="B5745" s="65" t="s">
        <v>4530</v>
      </c>
    </row>
    <row r="5746" spans="1:2" x14ac:dyDescent="0.25">
      <c r="A5746" s="64" t="str">
        <f>HYPERLINK("http://www.twitter.com/EdwardstheL", "EdwardstheL")</f>
        <v>EdwardstheL</v>
      </c>
      <c r="B5746" s="65"/>
    </row>
    <row r="5747" spans="1:2" x14ac:dyDescent="0.25">
      <c r="A5747" s="64" t="str">
        <f>HYPERLINK("http://www.twitter.com/Bainosaurus", "Bainosaurus")</f>
        <v>Bainosaurus</v>
      </c>
      <c r="B5747" s="65"/>
    </row>
    <row r="5748" spans="1:2" x14ac:dyDescent="0.25">
      <c r="A5748" s="64" t="str">
        <f>HYPERLINK("http://www.twitter.com/CarronLittle", "CarronLittle")</f>
        <v>CarronLittle</v>
      </c>
      <c r="B5748" s="65" t="s">
        <v>5776</v>
      </c>
    </row>
    <row r="5749" spans="1:2" x14ac:dyDescent="0.25">
      <c r="A5749" s="64" t="str">
        <f>HYPERLINK("http://www.twitter.com/Talfuntowitz", "Talfuntowitz")</f>
        <v>Talfuntowitz</v>
      </c>
      <c r="B5749" s="65" t="s">
        <v>4804</v>
      </c>
    </row>
    <row r="5750" spans="1:2" x14ac:dyDescent="0.25">
      <c r="A5750" s="64" t="str">
        <f>HYPERLINK("http://www.twitter.com/scottishiain", "scottishiain")</f>
        <v>scottishiain</v>
      </c>
      <c r="B5750" s="65" t="s">
        <v>5777</v>
      </c>
    </row>
    <row r="5751" spans="1:2" x14ac:dyDescent="0.25">
      <c r="A5751" s="64" t="str">
        <f>HYPERLINK("http://www.twitter.com/KateorkatyO", "KateorkatyO")</f>
        <v>KateorkatyO</v>
      </c>
      <c r="B5751" s="65" t="s">
        <v>36</v>
      </c>
    </row>
    <row r="5752" spans="1:2" x14ac:dyDescent="0.25">
      <c r="A5752" s="64" t="str">
        <f>HYPERLINK("http://www.twitter.com/poorwench", "poorwench")</f>
        <v>poorwench</v>
      </c>
      <c r="B5752" s="65" t="s">
        <v>5778</v>
      </c>
    </row>
    <row r="5753" spans="1:2" x14ac:dyDescent="0.25">
      <c r="A5753" s="64" t="str">
        <f>HYPERLINK("http://www.twitter.com/maryfngrieve", "maryfngrieve")</f>
        <v>maryfngrieve</v>
      </c>
      <c r="B5753" s="65" t="s">
        <v>3762</v>
      </c>
    </row>
    <row r="5754" spans="1:2" x14ac:dyDescent="0.25">
      <c r="A5754" s="64" t="str">
        <f>HYPERLINK("http://www.twitter.com/A481Z", "A481Z")</f>
        <v>A481Z</v>
      </c>
      <c r="B5754" s="65"/>
    </row>
    <row r="5755" spans="1:2" x14ac:dyDescent="0.25">
      <c r="A5755" s="64" t="str">
        <f>HYPERLINK("http://www.twitter.com/BlueEdge1", "BlueEdge1")</f>
        <v>BlueEdge1</v>
      </c>
      <c r="B5755" s="65" t="s">
        <v>5779</v>
      </c>
    </row>
    <row r="5756" spans="1:2" x14ac:dyDescent="0.25">
      <c r="A5756" s="64" t="str">
        <f>HYPERLINK("http://www.twitter.com/VersionPardner", "VersionPardner")</f>
        <v>VersionPardner</v>
      </c>
      <c r="B5756" s="65" t="s">
        <v>2267</v>
      </c>
    </row>
    <row r="5757" spans="1:2" x14ac:dyDescent="0.25">
      <c r="A5757" s="64" t="str">
        <f>HYPERLINK("http://www.twitter.com/angela_leask", "angela_leask")</f>
        <v>angela_leask</v>
      </c>
      <c r="B5757" s="65"/>
    </row>
    <row r="5758" spans="1:2" x14ac:dyDescent="0.25">
      <c r="A5758" s="64" t="str">
        <f>HYPERLINK("http://www.twitter.com/jmhmonyash", "jmhmonyash")</f>
        <v>jmhmonyash</v>
      </c>
      <c r="B5758" s="65"/>
    </row>
    <row r="5759" spans="1:2" x14ac:dyDescent="0.25">
      <c r="A5759" s="64" t="str">
        <f>HYPERLINK("http://www.twitter.com/MottramIan", "MottramIan")</f>
        <v>MottramIan</v>
      </c>
      <c r="B5759" s="65"/>
    </row>
    <row r="5760" spans="1:2" x14ac:dyDescent="0.25">
      <c r="A5760" s="64" t="str">
        <f>HYPERLINK("http://www.twitter.com/MeganLorance", "MeganLorance")</f>
        <v>MeganLorance</v>
      </c>
      <c r="B5760" s="65"/>
    </row>
    <row r="5761" spans="1:2" x14ac:dyDescent="0.25">
      <c r="A5761" s="64" t="str">
        <f>HYPERLINK("http://www.twitter.com/pip_teacher", "pip_teacher")</f>
        <v>pip_teacher</v>
      </c>
      <c r="B5761" s="65" t="s">
        <v>5780</v>
      </c>
    </row>
    <row r="5762" spans="1:2" x14ac:dyDescent="0.25">
      <c r="A5762" s="64" t="str">
        <f>HYPERLINK("http://www.twitter.com/MaureenJ53", "MaureenJ53")</f>
        <v>MaureenJ53</v>
      </c>
      <c r="B5762" s="65"/>
    </row>
    <row r="5763" spans="1:2" x14ac:dyDescent="0.25">
      <c r="A5763" s="64" t="str">
        <f>HYPERLINK("http://www.twitter.com/Catherine1090", "Catherine1090")</f>
        <v>Catherine1090</v>
      </c>
      <c r="B5763" s="65" t="s">
        <v>5208</v>
      </c>
    </row>
    <row r="5764" spans="1:2" x14ac:dyDescent="0.25">
      <c r="A5764" s="64" t="str">
        <f>HYPERLINK("http://www.twitter.com/bensbrand", "bensbrand")</f>
        <v>bensbrand</v>
      </c>
      <c r="B5764" s="65" t="s">
        <v>4145</v>
      </c>
    </row>
    <row r="5765" spans="1:2" x14ac:dyDescent="0.25">
      <c r="A5765" s="64" t="str">
        <f>HYPERLINK("http://www.twitter.com/tweetbytheriver", "tweetbytheriver")</f>
        <v>tweetbytheriver</v>
      </c>
      <c r="B5765" s="65" t="s">
        <v>5781</v>
      </c>
    </row>
    <row r="5766" spans="1:2" x14ac:dyDescent="0.25">
      <c r="A5766" s="64" t="str">
        <f>HYPERLINK("http://www.twitter.com/AgnieszkaWalica", "AgnieszkaWalica")</f>
        <v>AgnieszkaWalica</v>
      </c>
      <c r="B5766" s="65"/>
    </row>
    <row r="5767" spans="1:2" x14ac:dyDescent="0.25">
      <c r="A5767" s="64" t="str">
        <f>HYPERLINK("http://www.twitter.com/rahrahrawr", "rahrahrawr")</f>
        <v>rahrahrawr</v>
      </c>
      <c r="B5767" s="65"/>
    </row>
    <row r="5768" spans="1:2" x14ac:dyDescent="0.25">
      <c r="A5768" s="64" t="str">
        <f>HYPERLINK("http://www.twitter.com/quokkakat", "quokkakat")</f>
        <v>quokkakat</v>
      </c>
      <c r="B5768" s="65"/>
    </row>
    <row r="5769" spans="1:2" x14ac:dyDescent="0.25">
      <c r="A5769" s="64" t="str">
        <f>HYPERLINK("http://www.twitter.com/workspaceoxford", "workspaceoxford")</f>
        <v>workspaceoxford</v>
      </c>
      <c r="B5769" s="65" t="s">
        <v>5782</v>
      </c>
    </row>
    <row r="5770" spans="1:2" x14ac:dyDescent="0.25">
      <c r="A5770" s="64" t="str">
        <f>HYPERLINK("http://www.twitter.com/Kilvo29", "Kilvo29")</f>
        <v>Kilvo29</v>
      </c>
      <c r="B5770" s="65"/>
    </row>
    <row r="5771" spans="1:2" x14ac:dyDescent="0.25">
      <c r="A5771" s="64" t="str">
        <f>HYPERLINK("http://www.twitter.com/PJFMiller", "PJFMiller")</f>
        <v>PJFMiller</v>
      </c>
      <c r="B5771" s="65" t="s">
        <v>1377</v>
      </c>
    </row>
    <row r="5772" spans="1:2" x14ac:dyDescent="0.25">
      <c r="A5772" s="64" t="str">
        <f>HYPERLINK("http://www.twitter.com/fionnuala_b", "fionnuala_b")</f>
        <v>fionnuala_b</v>
      </c>
      <c r="B5772" s="65" t="s">
        <v>5783</v>
      </c>
    </row>
    <row r="5773" spans="1:2" x14ac:dyDescent="0.25">
      <c r="A5773" s="64" t="str">
        <f>HYPERLINK("http://www.twitter.com/inkacardco", "inkacardco")</f>
        <v>inkacardco</v>
      </c>
      <c r="B5773" s="65"/>
    </row>
    <row r="5774" spans="1:2" x14ac:dyDescent="0.25">
      <c r="A5774" s="64" t="str">
        <f>HYPERLINK("http://www.twitter.com/RVHS_school", "RVHS_school")</f>
        <v>RVHS_school</v>
      </c>
      <c r="B5774" s="65" t="s">
        <v>5784</v>
      </c>
    </row>
    <row r="5775" spans="1:2" x14ac:dyDescent="0.25">
      <c r="A5775" s="64" t="str">
        <f>HYPERLINK("http://www.twitter.com/DianeEv14205743", "DianeEv14205743")</f>
        <v>DianeEv14205743</v>
      </c>
      <c r="B5775" s="65"/>
    </row>
    <row r="5776" spans="1:2" x14ac:dyDescent="0.25">
      <c r="A5776" s="64" t="str">
        <f>HYPERLINK("http://www.twitter.com/FarzanaDe", "FarzanaDe")</f>
        <v>FarzanaDe</v>
      </c>
      <c r="B5776" s="65" t="s">
        <v>5785</v>
      </c>
    </row>
    <row r="5777" spans="1:2" x14ac:dyDescent="0.25">
      <c r="A5777" s="64" t="str">
        <f>HYPERLINK("http://www.twitter.com/artshed", "artshed")</f>
        <v>artshed</v>
      </c>
      <c r="B5777" s="65" t="s">
        <v>5786</v>
      </c>
    </row>
    <row r="5778" spans="1:2" x14ac:dyDescent="0.25">
      <c r="A5778" s="64" t="str">
        <f>HYPERLINK("http://www.twitter.com/liam_patton", "liam_patton")</f>
        <v>liam_patton</v>
      </c>
      <c r="B5778" s="65" t="s">
        <v>3262</v>
      </c>
    </row>
    <row r="5779" spans="1:2" x14ac:dyDescent="0.25">
      <c r="A5779" s="64" t="str">
        <f>HYPERLINK("http://www.twitter.com/gabrielfeps", "gabrielfeps")</f>
        <v>gabrielfeps</v>
      </c>
      <c r="B5779" s="65" t="s">
        <v>4837</v>
      </c>
    </row>
    <row r="5780" spans="1:2" x14ac:dyDescent="0.25">
      <c r="A5780" s="64" t="str">
        <f>HYPERLINK("http://www.twitter.com/gloriabluebell", "gloriabluebell")</f>
        <v>gloriabluebell</v>
      </c>
      <c r="B5780" s="65"/>
    </row>
    <row r="5781" spans="1:2" x14ac:dyDescent="0.25">
      <c r="A5781" s="64" t="str">
        <f>HYPERLINK("http://www.twitter.com/SashaAwramenko", "SashaAwramenko")</f>
        <v>SashaAwramenko</v>
      </c>
      <c r="B5781" s="65" t="s">
        <v>5787</v>
      </c>
    </row>
    <row r="5782" spans="1:2" x14ac:dyDescent="0.25">
      <c r="A5782" s="64" t="str">
        <f>HYPERLINK("http://www.twitter.com/anouskaavaiko", "anouskaavaiko")</f>
        <v>anouskaavaiko</v>
      </c>
      <c r="B5782" s="65"/>
    </row>
    <row r="5783" spans="1:2" x14ac:dyDescent="0.25">
      <c r="A5783" s="64" t="str">
        <f>HYPERLINK("http://www.twitter.com/TinySuze", "TinySuze")</f>
        <v>TinySuze</v>
      </c>
      <c r="B5783" s="65"/>
    </row>
    <row r="5784" spans="1:2" x14ac:dyDescent="0.25">
      <c r="A5784" s="64" t="str">
        <f>HYPERLINK("http://www.twitter.com/Mafepda", "Mafepda")</f>
        <v>Mafepda</v>
      </c>
      <c r="B5784" s="65"/>
    </row>
    <row r="5785" spans="1:2" x14ac:dyDescent="0.25">
      <c r="A5785" s="64" t="str">
        <f>HYPERLINK("http://www.twitter.com/ArtyLib", "ArtyLib")</f>
        <v>ArtyLib</v>
      </c>
      <c r="B5785" s="65" t="s">
        <v>1739</v>
      </c>
    </row>
    <row r="5786" spans="1:2" x14ac:dyDescent="0.25">
      <c r="A5786" s="64" t="str">
        <f>HYPERLINK("http://www.twitter.com/ChrisSpreadbury", "ChrisSpreadbury")</f>
        <v>ChrisSpreadbury</v>
      </c>
      <c r="B5786" s="65" t="s">
        <v>5788</v>
      </c>
    </row>
    <row r="5787" spans="1:2" x14ac:dyDescent="0.25">
      <c r="A5787" s="64" t="str">
        <f>HYPERLINK("http://www.twitter.com/janeyckidd", "janeyckidd")</f>
        <v>janeyckidd</v>
      </c>
      <c r="B5787" s="65" t="s">
        <v>5789</v>
      </c>
    </row>
    <row r="5788" spans="1:2" x14ac:dyDescent="0.25">
      <c r="A5788" s="64" t="str">
        <f>HYPERLINK("http://www.twitter.com/bookthrower", "bookthrower")</f>
        <v>bookthrower</v>
      </c>
      <c r="B5788" s="65"/>
    </row>
    <row r="5789" spans="1:2" x14ac:dyDescent="0.25">
      <c r="A5789" s="64" t="str">
        <f>HYPERLINK("http://www.twitter.com/ScholarlySocial", "ScholarlySocial")</f>
        <v>ScholarlySocial</v>
      </c>
      <c r="B5789" s="65" t="s">
        <v>36</v>
      </c>
    </row>
    <row r="5790" spans="1:2" x14ac:dyDescent="0.25">
      <c r="A5790" s="64" t="str">
        <f>HYPERLINK("http://www.twitter.com/RaniaVmk", "RaniaVmk")</f>
        <v>RaniaVmk</v>
      </c>
      <c r="B5790" s="65" t="s">
        <v>427</v>
      </c>
    </row>
    <row r="5791" spans="1:2" x14ac:dyDescent="0.25">
      <c r="A5791" s="64" t="str">
        <f>HYPERLINK("http://www.twitter.com/markgwilson1999", "markgwilson1999")</f>
        <v>markgwilson1999</v>
      </c>
      <c r="B5791" s="65" t="s">
        <v>296</v>
      </c>
    </row>
    <row r="5792" spans="1:2" x14ac:dyDescent="0.25">
      <c r="A5792" s="64" t="str">
        <f>HYPERLINK("http://www.twitter.com/CelticMitchell", "CelticMitchell")</f>
        <v>CelticMitchell</v>
      </c>
      <c r="B5792" s="65"/>
    </row>
    <row r="5793" spans="1:2" x14ac:dyDescent="0.25">
      <c r="A5793" s="64" t="str">
        <f>HYPERLINK("http://www.twitter.com/DaniellexCxD", "DaniellexCxD")</f>
        <v>DaniellexCxD</v>
      </c>
      <c r="B5793" s="65" t="s">
        <v>5790</v>
      </c>
    </row>
    <row r="5794" spans="1:2" x14ac:dyDescent="0.25">
      <c r="A5794" s="64" t="str">
        <f>HYPERLINK("http://www.twitter.com/bebodaar", "bebodaar")</f>
        <v>bebodaar</v>
      </c>
      <c r="B5794" s="65"/>
    </row>
    <row r="5795" spans="1:2" x14ac:dyDescent="0.25">
      <c r="A5795" s="64" t="str">
        <f>HYPERLINK("http://www.twitter.com/MightyElk", "MightyElk")</f>
        <v>MightyElk</v>
      </c>
      <c r="B5795" s="65" t="s">
        <v>5791</v>
      </c>
    </row>
    <row r="5796" spans="1:2" x14ac:dyDescent="0.25">
      <c r="A5796" s="64" t="str">
        <f>HYPERLINK("http://www.twitter.com/ElsiePeaUSA", "ElsiePeaUSA")</f>
        <v>ElsiePeaUSA</v>
      </c>
      <c r="B5796" s="65"/>
    </row>
    <row r="5797" spans="1:2" x14ac:dyDescent="0.25">
      <c r="A5797" s="64" t="str">
        <f>HYPERLINK("http://www.twitter.com/OutdoorGearShop", "OutdoorGearShop")</f>
        <v>OutdoorGearShop</v>
      </c>
      <c r="B5797" s="65" t="s">
        <v>251</v>
      </c>
    </row>
    <row r="5798" spans="1:2" x14ac:dyDescent="0.25">
      <c r="A5798" s="64" t="str">
        <f>HYPERLINK("http://www.twitter.com/Niall_Nolan", "Niall_Nolan")</f>
        <v>Niall_Nolan</v>
      </c>
      <c r="B5798" s="65" t="s">
        <v>5792</v>
      </c>
    </row>
    <row r="5799" spans="1:2" x14ac:dyDescent="0.25">
      <c r="A5799" s="64" t="str">
        <f>HYPERLINK("http://www.twitter.com/Kate_bob", "Kate_bob")</f>
        <v>Kate_bob</v>
      </c>
      <c r="B5799" s="65" t="s">
        <v>5793</v>
      </c>
    </row>
    <row r="5800" spans="1:2" x14ac:dyDescent="0.25">
      <c r="A5800" s="64" t="str">
        <f>HYPERLINK("http://www.twitter.com/RMcake", "RMcake")</f>
        <v>RMcake</v>
      </c>
      <c r="B5800" s="65" t="s">
        <v>70</v>
      </c>
    </row>
    <row r="5801" spans="1:2" x14ac:dyDescent="0.25">
      <c r="A5801" s="64" t="str">
        <f>HYPERLINK("http://www.twitter.com/LuandMissLu", "LuandMissLu")</f>
        <v>LuandMissLu</v>
      </c>
      <c r="B5801" s="65" t="s">
        <v>3633</v>
      </c>
    </row>
    <row r="5802" spans="1:2" x14ac:dyDescent="0.25">
      <c r="A5802" s="64" t="str">
        <f>HYPERLINK("http://www.twitter.com/NaomiHTruscott", "NaomiHTruscott")</f>
        <v>NaomiHTruscott</v>
      </c>
      <c r="B5802" s="65"/>
    </row>
    <row r="5803" spans="1:2" x14ac:dyDescent="0.25">
      <c r="A5803" s="64" t="str">
        <f>HYPERLINK("http://www.twitter.com/BrianHill18", "BrianHill18")</f>
        <v>BrianHill18</v>
      </c>
      <c r="B5803" s="65"/>
    </row>
    <row r="5804" spans="1:2" x14ac:dyDescent="0.25">
      <c r="A5804" s="64" t="str">
        <f>HYPERLINK("http://www.twitter.com/msmeganoliver", "msmeganoliver")</f>
        <v>msmeganoliver</v>
      </c>
      <c r="B5804" s="65" t="s">
        <v>4867</v>
      </c>
    </row>
    <row r="5805" spans="1:2" x14ac:dyDescent="0.25">
      <c r="A5805" s="64" t="str">
        <f>HYPERLINK("http://www.twitter.com/sfindlaySP", "sfindlaySP")</f>
        <v>sfindlaySP</v>
      </c>
      <c r="B5805" s="65" t="s">
        <v>4050</v>
      </c>
    </row>
    <row r="5806" spans="1:2" x14ac:dyDescent="0.25">
      <c r="A5806" s="64" t="str">
        <f>HYPERLINK("http://www.twitter.com/ray00mond", "ray00mond")</f>
        <v>ray00mond</v>
      </c>
      <c r="B5806" s="65"/>
    </row>
    <row r="5807" spans="1:2" x14ac:dyDescent="0.25">
      <c r="A5807" s="64" t="str">
        <f>HYPERLINK("http://www.twitter.com/happyscotsearch", "happyscotsearch")</f>
        <v>happyscotsearch</v>
      </c>
      <c r="B5807" s="65" t="s">
        <v>2007</v>
      </c>
    </row>
    <row r="5808" spans="1:2" x14ac:dyDescent="0.25">
      <c r="A5808" s="64" t="str">
        <f>HYPERLINK("http://www.twitter.com/NorthernMGirl", "NorthernMGirl")</f>
        <v>NorthernMGirl</v>
      </c>
      <c r="B5808" s="65"/>
    </row>
    <row r="5809" spans="1:2" x14ac:dyDescent="0.25">
      <c r="A5809" s="64" t="str">
        <f>HYPERLINK("http://www.twitter.com/kevinmcginley16", "kevinmcginley16")</f>
        <v>kevinmcginley16</v>
      </c>
      <c r="B5809" s="65" t="s">
        <v>5794</v>
      </c>
    </row>
    <row r="5810" spans="1:2" x14ac:dyDescent="0.25">
      <c r="A5810" s="64" t="str">
        <f>HYPERLINK("http://www.twitter.com/margueritec55", "margueritec55")</f>
        <v>margueritec55</v>
      </c>
      <c r="B5810" s="65"/>
    </row>
    <row r="5811" spans="1:2" x14ac:dyDescent="0.25">
      <c r="A5811" s="64" t="str">
        <f>HYPERLINK("http://www.twitter.com/SigneSJohansen", "SigneSJohansen")</f>
        <v>SigneSJohansen</v>
      </c>
      <c r="B5811" s="65"/>
    </row>
    <row r="5812" spans="1:2" x14ac:dyDescent="0.25">
      <c r="A5812" s="64" t="str">
        <f>HYPERLINK("http://www.twitter.com/TheGoodFindUK", "TheGoodFindUK")</f>
        <v>TheGoodFindUK</v>
      </c>
      <c r="B5812" s="65" t="s">
        <v>5166</v>
      </c>
    </row>
    <row r="5813" spans="1:2" x14ac:dyDescent="0.25">
      <c r="A5813" s="64" t="str">
        <f>HYPERLINK("http://www.twitter.com/PolsonJanet", "PolsonJanet")</f>
        <v>PolsonJanet</v>
      </c>
      <c r="B5813" s="65" t="s">
        <v>5795</v>
      </c>
    </row>
    <row r="5814" spans="1:2" x14ac:dyDescent="0.25">
      <c r="A5814" s="64" t="str">
        <f>HYPERLINK("http://www.twitter.com/ANewLibrary", "ANewLibrary")</f>
        <v>ANewLibrary</v>
      </c>
      <c r="B5814" s="65" t="s">
        <v>477</v>
      </c>
    </row>
    <row r="5815" spans="1:2" x14ac:dyDescent="0.25">
      <c r="A5815" s="64" t="str">
        <f>HYPERLINK("http://www.twitter.com/ChrisTaylor_UK", "ChrisTaylor_UK")</f>
        <v>ChrisTaylor_UK</v>
      </c>
      <c r="B5815" s="65" t="s">
        <v>871</v>
      </c>
    </row>
    <row r="5816" spans="1:2" x14ac:dyDescent="0.25">
      <c r="A5816" s="64" t="str">
        <f>HYPERLINK("http://www.twitter.com/barbara12877", "barbara12877")</f>
        <v>barbara12877</v>
      </c>
      <c r="B5816" s="65"/>
    </row>
    <row r="5817" spans="1:2" x14ac:dyDescent="0.25">
      <c r="A5817" s="64" t="str">
        <f>HYPERLINK("http://www.twitter.com/moakir", "moakir")</f>
        <v>moakir</v>
      </c>
      <c r="B5817" s="65"/>
    </row>
    <row r="5818" spans="1:2" x14ac:dyDescent="0.25">
      <c r="A5818" s="64" t="str">
        <f>HYPERLINK("http://www.twitter.com/forarthistory", "forarthistory")</f>
        <v>forarthistory</v>
      </c>
      <c r="B5818" s="65" t="s">
        <v>110</v>
      </c>
    </row>
    <row r="5819" spans="1:2" x14ac:dyDescent="0.25">
      <c r="A5819" s="64" t="str">
        <f>HYPERLINK("http://www.twitter.com/3a2ee0d920e34e2", "3a2ee0d920e34e2")</f>
        <v>3a2ee0d920e34e2</v>
      </c>
      <c r="B5819" s="65"/>
    </row>
    <row r="5820" spans="1:2" x14ac:dyDescent="0.25">
      <c r="A5820" s="64" t="str">
        <f>HYPERLINK("http://www.twitter.com/lourush19", "lourush19")</f>
        <v>lourush19</v>
      </c>
      <c r="B5820" s="65"/>
    </row>
    <row r="5821" spans="1:2" x14ac:dyDescent="0.25">
      <c r="A5821" s="64" t="str">
        <f>HYPERLINK("http://www.twitter.com/helloammba", "helloammba")</f>
        <v>helloammba</v>
      </c>
      <c r="B5821" s="65" t="s">
        <v>477</v>
      </c>
    </row>
    <row r="5822" spans="1:2" x14ac:dyDescent="0.25">
      <c r="A5822" s="64" t="str">
        <f>HYPERLINK("http://www.twitter.com/matbroughty", "matbroughty")</f>
        <v>matbroughty</v>
      </c>
      <c r="B5822" s="65" t="s">
        <v>5796</v>
      </c>
    </row>
    <row r="5823" spans="1:2" x14ac:dyDescent="0.25">
      <c r="A5823" s="64" t="str">
        <f>HYPERLINK("http://www.twitter.com/chazell_tv", "chazell_tv")</f>
        <v>chazell_tv</v>
      </c>
      <c r="B5823" s="65" t="s">
        <v>5797</v>
      </c>
    </row>
    <row r="5824" spans="1:2" x14ac:dyDescent="0.25">
      <c r="A5824" s="64" t="str">
        <f>HYPERLINK("http://www.twitter.com/VeeBergin", "VeeBergin")</f>
        <v>VeeBergin</v>
      </c>
      <c r="B5824" s="65" t="s">
        <v>1873</v>
      </c>
    </row>
    <row r="5825" spans="1:2" x14ac:dyDescent="0.25">
      <c r="A5825" s="64" t="str">
        <f>HYPERLINK("http://www.twitter.com/timmiethedog", "timmiethedog")</f>
        <v>timmiethedog</v>
      </c>
      <c r="B5825" s="65"/>
    </row>
    <row r="5826" spans="1:2" x14ac:dyDescent="0.25">
      <c r="A5826" s="64" t="str">
        <f>HYPERLINK("http://www.twitter.com/elaine_vaughan", "elaine_vaughan")</f>
        <v>elaine_vaughan</v>
      </c>
      <c r="B5826" s="65"/>
    </row>
    <row r="5827" spans="1:2" x14ac:dyDescent="0.25">
      <c r="A5827" s="64" t="str">
        <f>HYPERLINK("http://www.twitter.com/OldAtlantaPub", "OldAtlantaPub")</f>
        <v>OldAtlantaPub</v>
      </c>
      <c r="B5827" s="65" t="s">
        <v>5798</v>
      </c>
    </row>
    <row r="5828" spans="1:2" x14ac:dyDescent="0.25">
      <c r="A5828" s="64" t="str">
        <f>HYPERLINK("http://www.twitter.com/mistersusan", "mistersusan")</f>
        <v>mistersusan</v>
      </c>
      <c r="B5828" s="65"/>
    </row>
    <row r="5829" spans="1:2" x14ac:dyDescent="0.25">
      <c r="A5829" s="64" t="str">
        <f>HYPERLINK("http://www.twitter.com/magsmclarty", "magsmclarty")</f>
        <v>magsmclarty</v>
      </c>
      <c r="B5829" s="65" t="s">
        <v>517</v>
      </c>
    </row>
    <row r="5830" spans="1:2" x14ac:dyDescent="0.25">
      <c r="A5830" s="64" t="str">
        <f>HYPERLINK("http://www.twitter.com/AlleyEvola", "AlleyEvola")</f>
        <v>AlleyEvola</v>
      </c>
      <c r="B5830" s="65" t="s">
        <v>5799</v>
      </c>
    </row>
    <row r="5831" spans="1:2" x14ac:dyDescent="0.25">
      <c r="A5831" s="64" t="str">
        <f>HYPERLINK("http://www.twitter.com/clarecadogan", "clarecadogan")</f>
        <v>clarecadogan</v>
      </c>
      <c r="B5831" s="65" t="s">
        <v>4624</v>
      </c>
    </row>
    <row r="5832" spans="1:2" x14ac:dyDescent="0.25">
      <c r="A5832" s="64" t="str">
        <f>HYPERLINK("http://www.twitter.com/IbizaLuxuryLife", "IbizaLuxuryLife")</f>
        <v>IbizaLuxuryLife</v>
      </c>
      <c r="B5832" s="65" t="s">
        <v>5800</v>
      </c>
    </row>
    <row r="5833" spans="1:2" x14ac:dyDescent="0.25">
      <c r="A5833" s="64" t="str">
        <f>HYPERLINK("http://www.twitter.com/thomas_urquhart", "thomas_urquhart")</f>
        <v>thomas_urquhart</v>
      </c>
      <c r="B5833" s="65" t="s">
        <v>5801</v>
      </c>
    </row>
    <row r="5834" spans="1:2" x14ac:dyDescent="0.25">
      <c r="A5834" s="64" t="str">
        <f>HYPERLINK("http://www.twitter.com/ToucanG", "ToucanG")</f>
        <v>ToucanG</v>
      </c>
      <c r="B5834" s="65" t="s">
        <v>1598</v>
      </c>
    </row>
    <row r="5835" spans="1:2" x14ac:dyDescent="0.25">
      <c r="A5835" s="64" t="str">
        <f>HYPERLINK("http://www.twitter.com/Lucy_HS_Dean", "Lucy_HS_Dean")</f>
        <v>Lucy_HS_Dean</v>
      </c>
      <c r="B5835" s="65" t="s">
        <v>3767</v>
      </c>
    </row>
    <row r="5836" spans="1:2" x14ac:dyDescent="0.25">
      <c r="A5836" s="64" t="str">
        <f>HYPERLINK("http://www.twitter.com/abbeyviewcafe", "abbeyviewcafe")</f>
        <v>abbeyviewcafe</v>
      </c>
      <c r="B5836" s="65" t="s">
        <v>5802</v>
      </c>
    </row>
    <row r="5837" spans="1:2" x14ac:dyDescent="0.25">
      <c r="A5837" s="64" t="str">
        <f>HYPERLINK("http://www.twitter.com/rosemarykhall", "rosemarykhall")</f>
        <v>rosemarykhall</v>
      </c>
      <c r="B5837" s="65"/>
    </row>
    <row r="5838" spans="1:2" x14ac:dyDescent="0.25">
      <c r="A5838" s="64" t="str">
        <f>HYPERLINK("http://www.twitter.com/HannahJRowe", "HannahJRowe")</f>
        <v>HannahJRowe</v>
      </c>
      <c r="B5838" s="65"/>
    </row>
    <row r="5839" spans="1:2" x14ac:dyDescent="0.25">
      <c r="A5839" s="64" t="str">
        <f>HYPERLINK("http://www.twitter.com/BHLRC", "BHLRC")</f>
        <v>BHLRC</v>
      </c>
      <c r="B5839" s="65" t="s">
        <v>5803</v>
      </c>
    </row>
    <row r="5840" spans="1:2" x14ac:dyDescent="0.25">
      <c r="A5840" s="64" t="str">
        <f>HYPERLINK("http://www.twitter.com/saratype2", "saratype2")</f>
        <v>saratype2</v>
      </c>
      <c r="B5840" s="65"/>
    </row>
    <row r="5841" spans="1:2" x14ac:dyDescent="0.25">
      <c r="A5841" s="64" t="str">
        <f>HYPERLINK("http://www.twitter.com/IanMitchell_art", "IanMitchell_art")</f>
        <v>IanMitchell_art</v>
      </c>
      <c r="B5841" s="65" t="s">
        <v>296</v>
      </c>
    </row>
    <row r="5842" spans="1:2" x14ac:dyDescent="0.25">
      <c r="A5842" s="64" t="str">
        <f>HYPERLINK("http://www.twitter.com/bexstonehill", "bexstonehill")</f>
        <v>bexstonehill</v>
      </c>
      <c r="B5842" s="65" t="s">
        <v>5804</v>
      </c>
    </row>
    <row r="5843" spans="1:2" x14ac:dyDescent="0.25">
      <c r="A5843" s="64" t="str">
        <f>HYPERLINK("http://www.twitter.com/louisaholly", "louisaholly")</f>
        <v>louisaholly</v>
      </c>
      <c r="B5843" s="65" t="s">
        <v>3819</v>
      </c>
    </row>
    <row r="5844" spans="1:2" x14ac:dyDescent="0.25">
      <c r="A5844" s="64" t="str">
        <f>HYPERLINK("http://www.twitter.com/B002111", "B002111")</f>
        <v>B002111</v>
      </c>
      <c r="B5844" s="65" t="s">
        <v>517</v>
      </c>
    </row>
    <row r="5845" spans="1:2" x14ac:dyDescent="0.25">
      <c r="A5845" s="64" t="str">
        <f>HYPERLINK("http://www.twitter.com/GJamesGough", "GJamesGough")</f>
        <v>GJamesGough</v>
      </c>
      <c r="B5845" s="65" t="s">
        <v>5805</v>
      </c>
    </row>
    <row r="5846" spans="1:2" x14ac:dyDescent="0.25">
      <c r="A5846" s="64" t="str">
        <f>HYPERLINK("http://www.twitter.com/admski1", "admski1")</f>
        <v>admski1</v>
      </c>
      <c r="B5846" s="65"/>
    </row>
    <row r="5847" spans="1:2" x14ac:dyDescent="0.25">
      <c r="A5847" s="64" t="str">
        <f>HYPERLINK("http://www.twitter.com/nomnomtravel", "nomnomtravel")</f>
        <v>nomnomtravel</v>
      </c>
      <c r="B5847" s="65" t="s">
        <v>296</v>
      </c>
    </row>
    <row r="5848" spans="1:2" x14ac:dyDescent="0.25">
      <c r="A5848" s="64" t="str">
        <f>HYPERLINK("http://www.twitter.com/mr_duxbury", "mr_duxbury")</f>
        <v>mr_duxbury</v>
      </c>
      <c r="B5848" s="65" t="s">
        <v>5806</v>
      </c>
    </row>
    <row r="5849" spans="1:2" x14ac:dyDescent="0.25">
      <c r="A5849" s="64" t="str">
        <f>HYPERLINK("http://www.twitter.com/CAP_Ltd", "CAP_Ltd")</f>
        <v>CAP_Ltd</v>
      </c>
      <c r="B5849" s="65" t="s">
        <v>717</v>
      </c>
    </row>
    <row r="5850" spans="1:2" x14ac:dyDescent="0.25">
      <c r="A5850" s="64" t="str">
        <f>HYPERLINK("http://www.twitter.com/MartinHyden", "MartinHyden")</f>
        <v>MartinHyden</v>
      </c>
      <c r="B5850" s="65"/>
    </row>
    <row r="5851" spans="1:2" x14ac:dyDescent="0.25">
      <c r="A5851" s="64" t="str">
        <f>HYPERLINK("http://www.twitter.com/JORDANMOTORS1", "JORDANMOTORS1")</f>
        <v>JORDANMOTORS1</v>
      </c>
      <c r="B5851" s="65" t="s">
        <v>3559</v>
      </c>
    </row>
    <row r="5852" spans="1:2" x14ac:dyDescent="0.25">
      <c r="A5852" s="64" t="str">
        <f>HYPERLINK("http://www.twitter.com/tinybirdtextile", "tinybirdtextile")</f>
        <v>tinybirdtextile</v>
      </c>
      <c r="B5852" s="65" t="s">
        <v>5301</v>
      </c>
    </row>
    <row r="5853" spans="1:2" x14ac:dyDescent="0.25">
      <c r="A5853" s="64" t="str">
        <f>HYPERLINK("http://www.twitter.com/DaveVal52", "DaveVal52")</f>
        <v>DaveVal52</v>
      </c>
      <c r="B5853" s="65" t="s">
        <v>5807</v>
      </c>
    </row>
    <row r="5854" spans="1:2" x14ac:dyDescent="0.25">
      <c r="A5854" s="64" t="str">
        <f>HYPERLINK("http://www.twitter.com/ali_oag", "ali_oag")</f>
        <v>ali_oag</v>
      </c>
      <c r="B5854" s="65" t="s">
        <v>808</v>
      </c>
    </row>
    <row r="5855" spans="1:2" x14ac:dyDescent="0.25">
      <c r="A5855" s="64" t="str">
        <f>HYPERLINK("http://www.twitter.com/MCLK", "MCLK")</f>
        <v>MCLK</v>
      </c>
      <c r="B5855" s="65" t="s">
        <v>5808</v>
      </c>
    </row>
    <row r="5856" spans="1:2" x14ac:dyDescent="0.25">
      <c r="A5856" s="64" t="str">
        <f>HYPERLINK("http://www.twitter.com/OlgunKiyici", "OlgunKiyici")</f>
        <v>OlgunKiyici</v>
      </c>
      <c r="B5856" s="65"/>
    </row>
    <row r="5857" spans="1:2" x14ac:dyDescent="0.25">
      <c r="A5857" s="64" t="str">
        <f>HYPERLINK("http://www.twitter.com/iamhoov", "iamhoov")</f>
        <v>iamhoov</v>
      </c>
      <c r="B5857" s="65" t="s">
        <v>5809</v>
      </c>
    </row>
    <row r="5858" spans="1:2" x14ac:dyDescent="0.25">
      <c r="A5858" s="64" t="str">
        <f>HYPERLINK("http://www.twitter.com/ShorePoets", "ShorePoets")</f>
        <v>ShorePoets</v>
      </c>
      <c r="B5858" s="65" t="s">
        <v>487</v>
      </c>
    </row>
    <row r="5859" spans="1:2" x14ac:dyDescent="0.25">
      <c r="A5859" s="64" t="str">
        <f>HYPERLINK("http://www.twitter.com/MacMorganne", "MacMorganne")</f>
        <v>MacMorganne</v>
      </c>
      <c r="B5859" s="65" t="s">
        <v>5810</v>
      </c>
    </row>
    <row r="5860" spans="1:2" x14ac:dyDescent="0.25">
      <c r="A5860" s="64" t="str">
        <f>HYPERLINK("http://www.twitter.com/YoHugsy", "YoHugsy")</f>
        <v>YoHugsy</v>
      </c>
      <c r="B5860" s="65"/>
    </row>
    <row r="5861" spans="1:2" x14ac:dyDescent="0.25">
      <c r="A5861" s="64" t="str">
        <f>HYPERLINK("http://www.twitter.com/SJGault", "SJGault")</f>
        <v>SJGault</v>
      </c>
      <c r="B5861" s="65"/>
    </row>
    <row r="5862" spans="1:2" x14ac:dyDescent="0.25">
      <c r="A5862" s="64" t="str">
        <f>HYPERLINK("http://www.twitter.com/geddary", "geddary")</f>
        <v>geddary</v>
      </c>
      <c r="B5862" s="65" t="s">
        <v>505</v>
      </c>
    </row>
    <row r="5863" spans="1:2" x14ac:dyDescent="0.25">
      <c r="A5863" s="64" t="str">
        <f>HYPERLINK("http://www.twitter.com/jjanettaylorbur", "jjanettaylorbur")</f>
        <v>jjanettaylorbur</v>
      </c>
      <c r="B5863" s="65" t="s">
        <v>477</v>
      </c>
    </row>
    <row r="5864" spans="1:2" x14ac:dyDescent="0.25">
      <c r="A5864" s="64" t="str">
        <f>HYPERLINK("http://www.twitter.com/RevaSaurus", "RevaSaurus")</f>
        <v>RevaSaurus</v>
      </c>
      <c r="B5864" s="65"/>
    </row>
    <row r="5865" spans="1:2" x14ac:dyDescent="0.25">
      <c r="A5865" s="64" t="str">
        <f>HYPERLINK("http://www.twitter.com/curlotte", "curlotte")</f>
        <v>curlotte</v>
      </c>
      <c r="B5865" s="65" t="s">
        <v>5811</v>
      </c>
    </row>
    <row r="5866" spans="1:2" x14ac:dyDescent="0.25">
      <c r="A5866" s="64" t="str">
        <f>HYPERLINK("http://www.twitter.com/rawaldram", "rawaldram")</f>
        <v>rawaldram</v>
      </c>
      <c r="B5866" s="65"/>
    </row>
    <row r="5867" spans="1:2" x14ac:dyDescent="0.25">
      <c r="A5867" s="64" t="str">
        <f>HYPERLINK("http://www.twitter.com/hmclarkie", "hmclarkie")</f>
        <v>hmclarkie</v>
      </c>
      <c r="B5867" s="65"/>
    </row>
    <row r="5868" spans="1:2" x14ac:dyDescent="0.25">
      <c r="A5868" s="64" t="str">
        <f>HYPERLINK("http://www.twitter.com/MolesArch", "MolesArch")</f>
        <v>MolesArch</v>
      </c>
      <c r="B5868" s="65" t="s">
        <v>4149</v>
      </c>
    </row>
    <row r="5869" spans="1:2" x14ac:dyDescent="0.25">
      <c r="A5869" s="64" t="str">
        <f>HYPERLINK("http://www.twitter.com/neilemson", "neilemson")</f>
        <v>neilemson</v>
      </c>
      <c r="B5869" s="65" t="s">
        <v>5812</v>
      </c>
    </row>
    <row r="5870" spans="1:2" x14ac:dyDescent="0.25">
      <c r="A5870" s="64" t="str">
        <f>HYPERLINK("http://www.twitter.com/northeann", "northeann")</f>
        <v>northeann</v>
      </c>
      <c r="B5870" s="65" t="s">
        <v>5813</v>
      </c>
    </row>
    <row r="5871" spans="1:2" x14ac:dyDescent="0.25">
      <c r="A5871" s="64" t="str">
        <f>HYPERLINK("http://www.twitter.com/orkneybell", "orkneybell")</f>
        <v>orkneybell</v>
      </c>
      <c r="B5871" s="65" t="s">
        <v>5814</v>
      </c>
    </row>
    <row r="5872" spans="1:2" x14ac:dyDescent="0.25">
      <c r="A5872" s="64" t="str">
        <f>HYPERLINK("http://www.twitter.com/SpinyUK", "SpinyUK")</f>
        <v>SpinyUK</v>
      </c>
      <c r="B5872" s="65" t="s">
        <v>5815</v>
      </c>
    </row>
    <row r="5873" spans="1:2" x14ac:dyDescent="0.25">
      <c r="A5873" s="64" t="str">
        <f>HYPERLINK("http://www.twitter.com/spikeislandcafe", "spikeislandcafe")</f>
        <v>spikeislandcafe</v>
      </c>
      <c r="B5873" s="65" t="s">
        <v>514</v>
      </c>
    </row>
    <row r="5874" spans="1:2" x14ac:dyDescent="0.25">
      <c r="A5874" s="64" t="str">
        <f>HYPERLINK("http://www.twitter.com/UK_Booklover", "UK_Booklover")</f>
        <v>UK_Booklover</v>
      </c>
      <c r="B5874" s="65" t="s">
        <v>1490</v>
      </c>
    </row>
    <row r="5875" spans="1:2" x14ac:dyDescent="0.25">
      <c r="A5875" s="64" t="str">
        <f>HYPERLINK("http://www.twitter.com/xycutes", "xycutes")</f>
        <v>xycutes</v>
      </c>
      <c r="B5875" s="65" t="s">
        <v>318</v>
      </c>
    </row>
    <row r="5876" spans="1:2" x14ac:dyDescent="0.25">
      <c r="A5876" s="64" t="str">
        <f>HYPERLINK("http://www.twitter.com/bflangers", "bflangers")</f>
        <v>bflangers</v>
      </c>
      <c r="B5876" s="65"/>
    </row>
    <row r="5877" spans="1:2" x14ac:dyDescent="0.25">
      <c r="A5877" s="64" t="str">
        <f>HYPERLINK("http://www.twitter.com/ciarawebbonweb", "ciarawebbonweb")</f>
        <v>ciarawebbonweb</v>
      </c>
      <c r="B5877" s="65"/>
    </row>
    <row r="5878" spans="1:2" x14ac:dyDescent="0.25">
      <c r="A5878" s="64" t="str">
        <f>HYPERLINK("http://www.twitter.com/janerowley02", "janerowley02")</f>
        <v>janerowley02</v>
      </c>
      <c r="B5878" s="65"/>
    </row>
    <row r="5879" spans="1:2" x14ac:dyDescent="0.25">
      <c r="A5879" s="64" t="str">
        <f>HYPERLINK("http://www.twitter.com/moonbites", "moonbites")</f>
        <v>moonbites</v>
      </c>
      <c r="B5879" s="65" t="s">
        <v>5816</v>
      </c>
    </row>
    <row r="5880" spans="1:2" x14ac:dyDescent="0.25">
      <c r="A5880" s="64" t="str">
        <f>HYPERLINK("http://www.twitter.com/Hardy1Leigh", "Hardy1Leigh")</f>
        <v>Hardy1Leigh</v>
      </c>
      <c r="B5880" s="65"/>
    </row>
    <row r="5881" spans="1:2" x14ac:dyDescent="0.25">
      <c r="A5881" s="64" t="str">
        <f>HYPERLINK("http://www.twitter.com/BookBunny1", "BookBunny1")</f>
        <v>BookBunny1</v>
      </c>
      <c r="B5881" s="65"/>
    </row>
    <row r="5882" spans="1:2" x14ac:dyDescent="0.25">
      <c r="A5882" s="64" t="str">
        <f>HYPERLINK("http://www.twitter.com/MarkHuna", "MarkHuna")</f>
        <v>MarkHuna</v>
      </c>
      <c r="B5882" s="65" t="s">
        <v>5818</v>
      </c>
    </row>
    <row r="5883" spans="1:2" x14ac:dyDescent="0.25">
      <c r="A5883" s="64" t="str">
        <f>HYPERLINK("http://www.twitter.com/droylsden123", "droylsden123")</f>
        <v>droylsden123</v>
      </c>
      <c r="B5883" s="65"/>
    </row>
    <row r="5884" spans="1:2" x14ac:dyDescent="0.25">
      <c r="A5884" s="64" t="str">
        <f>HYPERLINK("http://www.twitter.com/PaulJonWest1", "PaulJonWest1")</f>
        <v>PaulJonWest1</v>
      </c>
      <c r="B5884" s="65" t="s">
        <v>5819</v>
      </c>
    </row>
    <row r="5885" spans="1:2" x14ac:dyDescent="0.25">
      <c r="A5885" s="64" t="str">
        <f>HYPERLINK("http://www.twitter.com/beverlyingle", "beverlyingle")</f>
        <v>beverlyingle</v>
      </c>
      <c r="B5885" s="65" t="s">
        <v>3835</v>
      </c>
    </row>
    <row r="5886" spans="1:2" x14ac:dyDescent="0.25">
      <c r="A5886" s="64" t="str">
        <f>HYPERLINK("http://www.twitter.com/PeterThePeddler", "PeterThePeddler")</f>
        <v>PeterThePeddler</v>
      </c>
      <c r="B5886" s="65" t="s">
        <v>5820</v>
      </c>
    </row>
    <row r="5887" spans="1:2" x14ac:dyDescent="0.25">
      <c r="A5887" s="64" t="str">
        <f>HYPERLINK("http://www.twitter.com/AlHoldom", "AlHoldom")</f>
        <v>AlHoldom</v>
      </c>
      <c r="B5887" s="65"/>
    </row>
    <row r="5888" spans="1:2" x14ac:dyDescent="0.25">
      <c r="A5888" s="64" t="str">
        <f>HYPERLINK("http://www.twitter.com/Chris_Pinot", "Chris_Pinot")</f>
        <v>Chris_Pinot</v>
      </c>
      <c r="B5888" s="65"/>
    </row>
    <row r="5889" spans="1:2" x14ac:dyDescent="0.25">
      <c r="A5889" s="64" t="str">
        <f>HYPERLINK("http://www.twitter.com/lizafletchere17", "lizafletchere17")</f>
        <v>lizafletchere17</v>
      </c>
      <c r="B5889" s="65" t="s">
        <v>5208</v>
      </c>
    </row>
    <row r="5890" spans="1:2" x14ac:dyDescent="0.25">
      <c r="A5890" s="64" t="str">
        <f>HYPERLINK("http://www.twitter.com/hamilton45_j", "hamilton45_j")</f>
        <v>hamilton45_j</v>
      </c>
      <c r="B5890" s="65"/>
    </row>
    <row r="5891" spans="1:2" x14ac:dyDescent="0.25">
      <c r="A5891" s="64" t="str">
        <f>HYPERLINK("http://www.twitter.com/Hallo_Potter", "Hallo_Potter")</f>
        <v>Hallo_Potter</v>
      </c>
      <c r="B5891" s="65"/>
    </row>
    <row r="5892" spans="1:2" x14ac:dyDescent="0.25">
      <c r="A5892" s="64" t="str">
        <f>HYPERLINK("http://www.twitter.com/samuel2clough", "samuel2clough")</f>
        <v>samuel2clough</v>
      </c>
      <c r="B5892" s="65" t="s">
        <v>1873</v>
      </c>
    </row>
    <row r="5893" spans="1:2" x14ac:dyDescent="0.25">
      <c r="A5893" s="64" t="str">
        <f>HYPERLINK("http://www.twitter.com/salebell", "salebell")</f>
        <v>salebell</v>
      </c>
      <c r="B5893" s="65" t="s">
        <v>5821</v>
      </c>
    </row>
    <row r="5894" spans="1:2" x14ac:dyDescent="0.25">
      <c r="A5894" s="64" t="str">
        <f>HYPERLINK("http://www.twitter.com/Lindsay944", "Lindsay944")</f>
        <v>Lindsay944</v>
      </c>
      <c r="B5894" s="65" t="s">
        <v>5822</v>
      </c>
    </row>
    <row r="5895" spans="1:2" x14ac:dyDescent="0.25">
      <c r="A5895" s="64" t="str">
        <f>HYPERLINK("http://www.twitter.com/susannafornow", "susannafornow")</f>
        <v>susannafornow</v>
      </c>
      <c r="B5895" s="65" t="s">
        <v>36</v>
      </c>
    </row>
    <row r="5896" spans="1:2" x14ac:dyDescent="0.25">
      <c r="A5896" s="64" t="str">
        <f>HYPERLINK("http://www.twitter.com/kirstyawoods1", "kirstyawoods1")</f>
        <v>kirstyawoods1</v>
      </c>
      <c r="B5896" s="65" t="s">
        <v>487</v>
      </c>
    </row>
    <row r="5897" spans="1:2" x14ac:dyDescent="0.25">
      <c r="A5897" s="64" t="str">
        <f>HYPERLINK("http://www.twitter.com/Martinin1984", "Martinin1984")</f>
        <v>Martinin1984</v>
      </c>
      <c r="B5897" s="65"/>
    </row>
    <row r="5898" spans="1:2" x14ac:dyDescent="0.25">
      <c r="A5898" s="64" t="str">
        <f>HYPERLINK("http://www.twitter.com/RosaEaton", "RosaEaton")</f>
        <v>RosaEaton</v>
      </c>
      <c r="B5898" s="65" t="s">
        <v>1295</v>
      </c>
    </row>
    <row r="5899" spans="1:2" x14ac:dyDescent="0.25">
      <c r="A5899" s="64" t="str">
        <f>HYPERLINK("http://www.twitter.com/gill_tasker", "gill_tasker")</f>
        <v>gill_tasker</v>
      </c>
      <c r="B5899" s="65" t="s">
        <v>24</v>
      </c>
    </row>
    <row r="5900" spans="1:2" x14ac:dyDescent="0.25">
      <c r="A5900" s="64" t="str">
        <f>HYPERLINK("http://www.twitter.com/__rona", "__rona")</f>
        <v>__rona</v>
      </c>
      <c r="B5900" s="65" t="s">
        <v>115</v>
      </c>
    </row>
    <row r="5901" spans="1:2" x14ac:dyDescent="0.25">
      <c r="A5901" s="64" t="str">
        <f>HYPERLINK("http://www.twitter.com/Walkjill", "Walkjill")</f>
        <v>Walkjill</v>
      </c>
      <c r="B5901" s="65" t="s">
        <v>3773</v>
      </c>
    </row>
    <row r="5902" spans="1:2" x14ac:dyDescent="0.25">
      <c r="A5902" s="64" t="str">
        <f>HYPERLINK("http://www.twitter.com/Howndog01Lee", "Howndog01Lee")</f>
        <v>Howndog01Lee</v>
      </c>
      <c r="B5902" s="65" t="s">
        <v>5823</v>
      </c>
    </row>
    <row r="5903" spans="1:2" x14ac:dyDescent="0.25">
      <c r="A5903" s="64" t="str">
        <f>HYPERLINK("http://www.twitter.com/thesonghunter", "thesonghunter")</f>
        <v>thesonghunter</v>
      </c>
      <c r="B5903" s="65"/>
    </row>
    <row r="5904" spans="1:2" x14ac:dyDescent="0.25">
      <c r="A5904" s="64" t="str">
        <f>HYPERLINK("http://www.twitter.com/eccojuliet", "eccojuliet")</f>
        <v>eccojuliet</v>
      </c>
      <c r="B5904" s="65" t="s">
        <v>5824</v>
      </c>
    </row>
    <row r="5905" spans="1:2" x14ac:dyDescent="0.25">
      <c r="A5905" s="64" t="str">
        <f>HYPERLINK("http://www.twitter.com/choffy27", "choffy27")</f>
        <v>choffy27</v>
      </c>
      <c r="B5905" s="65"/>
    </row>
    <row r="5906" spans="1:2" x14ac:dyDescent="0.25">
      <c r="A5906" s="64" t="str">
        <f>HYPERLINK("http://www.twitter.com/smalltounboy", "smalltounboy")</f>
        <v>smalltounboy</v>
      </c>
      <c r="B5906" s="65" t="s">
        <v>5825</v>
      </c>
    </row>
    <row r="5907" spans="1:2" x14ac:dyDescent="0.25">
      <c r="A5907" s="64" t="str">
        <f>HYPERLINK("http://www.twitter.com/AshGroveBlade", "AshGroveBlade")</f>
        <v>AshGroveBlade</v>
      </c>
      <c r="B5907" s="65"/>
    </row>
    <row r="5908" spans="1:2" x14ac:dyDescent="0.25">
      <c r="A5908" s="64" t="str">
        <f>HYPERLINK("http://www.twitter.com/clubVESPA", "clubVESPA")</f>
        <v>clubVESPA</v>
      </c>
      <c r="B5908" s="65" t="s">
        <v>5826</v>
      </c>
    </row>
    <row r="5909" spans="1:2" x14ac:dyDescent="0.25">
      <c r="A5909" s="64" t="str">
        <f>HYPERLINK("http://www.twitter.com/mmshie", "mmshie")</f>
        <v>mmshie</v>
      </c>
      <c r="B5909" s="65" t="s">
        <v>5827</v>
      </c>
    </row>
    <row r="5910" spans="1:2" x14ac:dyDescent="0.25">
      <c r="A5910" s="64" t="str">
        <f>HYPERLINK("http://www.twitter.com/garrethhayes", "garrethhayes")</f>
        <v>garrethhayes</v>
      </c>
      <c r="B5910" s="65"/>
    </row>
    <row r="5911" spans="1:2" x14ac:dyDescent="0.25">
      <c r="A5911" s="64" t="str">
        <f>HYPERLINK("http://www.twitter.com/saheaney", "saheaney")</f>
        <v>saheaney</v>
      </c>
      <c r="B5911" s="65"/>
    </row>
    <row r="5912" spans="1:2" x14ac:dyDescent="0.25">
      <c r="A5912" s="64" t="str">
        <f>HYPERLINK("http://www.twitter.com/nicola71362956", "nicola71362956")</f>
        <v>nicola71362956</v>
      </c>
      <c r="B5912" s="65"/>
    </row>
    <row r="5913" spans="1:2" x14ac:dyDescent="0.25">
      <c r="A5913" s="64" t="str">
        <f>HYPERLINK("http://www.twitter.com/SunloverKaren", "SunloverKaren")</f>
        <v>SunloverKaren</v>
      </c>
      <c r="B5913" s="65" t="s">
        <v>5828</v>
      </c>
    </row>
    <row r="5914" spans="1:2" x14ac:dyDescent="0.25">
      <c r="A5914" s="64" t="str">
        <f>HYPERLINK("http://www.twitter.com/Yukiko_Duke", "Yukiko_Duke")</f>
        <v>Yukiko_Duke</v>
      </c>
      <c r="B5914" s="65" t="s">
        <v>5829</v>
      </c>
    </row>
    <row r="5915" spans="1:2" x14ac:dyDescent="0.25">
      <c r="A5915" s="64" t="str">
        <f>HYPERLINK("http://www.twitter.com/FolkyGaz", "FolkyGaz")</f>
        <v>FolkyGaz</v>
      </c>
      <c r="B5915" s="65" t="s">
        <v>5135</v>
      </c>
    </row>
    <row r="5916" spans="1:2" x14ac:dyDescent="0.25">
      <c r="A5916" s="64" t="str">
        <f>HYPERLINK("http://www.twitter.com/JamiesonHelenA", "JamiesonHelenA")</f>
        <v>JamiesonHelenA</v>
      </c>
      <c r="B5916" s="65"/>
    </row>
    <row r="5917" spans="1:2" x14ac:dyDescent="0.25">
      <c r="A5917" s="64" t="str">
        <f>HYPERLINK("http://www.twitter.com/karenthornburn", "karenthornburn")</f>
        <v>karenthornburn</v>
      </c>
      <c r="B5917" s="65"/>
    </row>
    <row r="5918" spans="1:2" x14ac:dyDescent="0.25">
      <c r="A5918" s="64" t="str">
        <f>HYPERLINK("http://www.twitter.com/hmarry2013", "hmarry2013")</f>
        <v>hmarry2013</v>
      </c>
      <c r="B5918" s="65"/>
    </row>
    <row r="5919" spans="1:2" x14ac:dyDescent="0.25">
      <c r="A5919" s="64" t="str">
        <f>HYPERLINK("http://www.twitter.com/rhubarbzebra", "rhubarbzebra")</f>
        <v>rhubarbzebra</v>
      </c>
      <c r="B5919" s="65" t="s">
        <v>5830</v>
      </c>
    </row>
    <row r="5920" spans="1:2" x14ac:dyDescent="0.25">
      <c r="A5920" s="64" t="str">
        <f>HYPERLINK("http://www.twitter.com/markjleach", "markjleach")</f>
        <v>markjleach</v>
      </c>
      <c r="B5920" s="65" t="s">
        <v>1295</v>
      </c>
    </row>
    <row r="5921" spans="1:2" x14ac:dyDescent="0.25">
      <c r="A5921" s="64" t="str">
        <f>HYPERLINK("http://www.twitter.com/xeniamo", "xeniamo")</f>
        <v>xeniamo</v>
      </c>
      <c r="B5921" s="65" t="s">
        <v>4848</v>
      </c>
    </row>
    <row r="5922" spans="1:2" x14ac:dyDescent="0.25">
      <c r="A5922" s="64" t="str">
        <f>HYPERLINK("http://www.twitter.com/BabyCassieD", "BabyCassieD")</f>
        <v>BabyCassieD</v>
      </c>
      <c r="B5922" s="65"/>
    </row>
    <row r="5923" spans="1:2" x14ac:dyDescent="0.25">
      <c r="A5923" s="64" t="str">
        <f>HYPERLINK("http://www.twitter.com/MsTT_EnglishY11", "MsTT_EnglishY11")</f>
        <v>MsTT_EnglishY11</v>
      </c>
      <c r="B5923" s="65"/>
    </row>
    <row r="5924" spans="1:2" x14ac:dyDescent="0.25">
      <c r="A5924" s="64" t="str">
        <f>HYPERLINK("http://www.twitter.com/littlemisstiny8", "littlemisstiny8")</f>
        <v>littlemisstiny8</v>
      </c>
      <c r="B5924" s="65"/>
    </row>
    <row r="5925" spans="1:2" x14ac:dyDescent="0.25">
      <c r="A5925" s="64" t="str">
        <f>HYPERLINK("http://www.twitter.com/fritzymccourt", "fritzymccourt")</f>
        <v>fritzymccourt</v>
      </c>
      <c r="B5925" s="65"/>
    </row>
    <row r="5926" spans="1:2" x14ac:dyDescent="0.25">
      <c r="A5926" s="64" t="str">
        <f>HYPERLINK("http://www.twitter.com/Growveg_info", "Growveg_info")</f>
        <v>Growveg_info</v>
      </c>
      <c r="B5926" s="65" t="s">
        <v>5831</v>
      </c>
    </row>
    <row r="5927" spans="1:2" x14ac:dyDescent="0.25">
      <c r="A5927" s="64" t="str">
        <f>HYPERLINK("http://www.twitter.com/nckvghn", "nckvghn")</f>
        <v>nckvghn</v>
      </c>
      <c r="B5927" s="65"/>
    </row>
    <row r="5928" spans="1:2" x14ac:dyDescent="0.25">
      <c r="A5928" s="64" t="str">
        <f>HYPERLINK("http://www.twitter.com/CatbytheC", "CatbytheC")</f>
        <v>CatbytheC</v>
      </c>
      <c r="B5928" s="65"/>
    </row>
    <row r="5929" spans="1:2" x14ac:dyDescent="0.25">
      <c r="A5929" s="64" t="str">
        <f>HYPERLINK("http://www.twitter.com/BethanRoberts8", "BethanRoberts8")</f>
        <v>BethanRoberts8</v>
      </c>
      <c r="B5929" s="65" t="s">
        <v>1980</v>
      </c>
    </row>
    <row r="5930" spans="1:2" x14ac:dyDescent="0.25">
      <c r="A5930" s="64" t="str">
        <f>HYPERLINK("http://www.twitter.com/TimBenjamin", "TimBenjamin")</f>
        <v>TimBenjamin</v>
      </c>
      <c r="B5930" s="65" t="s">
        <v>36</v>
      </c>
    </row>
    <row r="5931" spans="1:2" x14ac:dyDescent="0.25">
      <c r="A5931" s="64" t="str">
        <f>HYPERLINK("http://www.twitter.com/Eavanmac", "Eavanmac")</f>
        <v>Eavanmac</v>
      </c>
      <c r="B5931" s="65" t="s">
        <v>5212</v>
      </c>
    </row>
    <row r="5932" spans="1:2" x14ac:dyDescent="0.25">
      <c r="A5932" s="64" t="str">
        <f>HYPERLINK("http://www.twitter.com/LizzySaunders", "LizzySaunders")</f>
        <v>LizzySaunders</v>
      </c>
      <c r="B5932" s="65" t="s">
        <v>5832</v>
      </c>
    </row>
    <row r="5933" spans="1:2" x14ac:dyDescent="0.25">
      <c r="A5933" s="64" t="str">
        <f>HYPERLINK("http://www.twitter.com/JohnnyBoy34", "JohnnyBoy34")</f>
        <v>JohnnyBoy34</v>
      </c>
      <c r="B5933" s="65"/>
    </row>
    <row r="5934" spans="1:2" x14ac:dyDescent="0.25">
      <c r="A5934" s="64" t="str">
        <f>HYPERLINK("http://www.twitter.com/shiiieeeeeet", "shiiieeeeeet")</f>
        <v>shiiieeeeeet</v>
      </c>
      <c r="B5934" s="65" t="s">
        <v>5718</v>
      </c>
    </row>
    <row r="5935" spans="1:2" x14ac:dyDescent="0.25">
      <c r="A5935" s="64" t="str">
        <f>HYPERLINK("http://www.twitter.com/vickyloras", "vickyloras")</f>
        <v>vickyloras</v>
      </c>
      <c r="B5935" s="65" t="s">
        <v>5833</v>
      </c>
    </row>
    <row r="5936" spans="1:2" x14ac:dyDescent="0.25">
      <c r="A5936" s="64" t="str">
        <f>HYPERLINK("http://www.twitter.com/orkneydruid", "orkneydruid")</f>
        <v>orkneydruid</v>
      </c>
      <c r="B5936" s="65" t="s">
        <v>4519</v>
      </c>
    </row>
    <row r="5937" spans="1:2" x14ac:dyDescent="0.25">
      <c r="A5937" s="64" t="str">
        <f>HYPERLINK("http://www.twitter.com/GGreenshields03", "GGreenshields03")</f>
        <v>GGreenshields03</v>
      </c>
      <c r="B5937" s="65"/>
    </row>
    <row r="5938" spans="1:2" x14ac:dyDescent="0.25">
      <c r="A5938" s="64" t="str">
        <f>HYPERLINK("http://www.twitter.com/fair_sales", "fair_sales")</f>
        <v>fair_sales</v>
      </c>
      <c r="B5938" s="65" t="s">
        <v>514</v>
      </c>
    </row>
    <row r="5939" spans="1:2" x14ac:dyDescent="0.25">
      <c r="A5939" s="64" t="str">
        <f>HYPERLINK("http://www.twitter.com/PMT1231", "PMT1231")</f>
        <v>PMT1231</v>
      </c>
      <c r="B5939" s="65"/>
    </row>
    <row r="5940" spans="1:2" x14ac:dyDescent="0.25">
      <c r="A5940" s="64" t="str">
        <f>HYPERLINK("http://www.twitter.com/PMJONES1", "PMJONES1")</f>
        <v>PMJONES1</v>
      </c>
      <c r="B5940" s="65" t="s">
        <v>24</v>
      </c>
    </row>
    <row r="5941" spans="1:2" x14ac:dyDescent="0.25">
      <c r="A5941" s="64" t="str">
        <f>HYPERLINK("http://www.twitter.com/KNIGHTPAINTER", "KNIGHTPAINTER")</f>
        <v>KNIGHTPAINTER</v>
      </c>
      <c r="B5941" s="65" t="s">
        <v>5834</v>
      </c>
    </row>
    <row r="5942" spans="1:2" x14ac:dyDescent="0.25">
      <c r="A5942" s="64" t="str">
        <f>HYPERLINK("http://www.twitter.com/HeatherLawren17", "HeatherLawren17")</f>
        <v>HeatherLawren17</v>
      </c>
      <c r="B5942" s="65"/>
    </row>
    <row r="5943" spans="1:2" x14ac:dyDescent="0.25">
      <c r="A5943" s="64" t="str">
        <f>HYPERLINK("http://www.twitter.com/harrywragg", "harrywragg")</f>
        <v>harrywragg</v>
      </c>
      <c r="B5943" s="65" t="s">
        <v>24</v>
      </c>
    </row>
    <row r="5944" spans="1:2" x14ac:dyDescent="0.25">
      <c r="A5944" s="64" t="str">
        <f>HYPERLINK("http://www.twitter.com/samgaudion", "samgaudion")</f>
        <v>samgaudion</v>
      </c>
      <c r="B5944" s="65" t="s">
        <v>5835</v>
      </c>
    </row>
    <row r="5945" spans="1:2" x14ac:dyDescent="0.25">
      <c r="A5945" s="64" t="str">
        <f>HYPERLINK("http://www.twitter.com/janicedrum", "janicedrum")</f>
        <v>janicedrum</v>
      </c>
      <c r="B5945" s="65"/>
    </row>
    <row r="5946" spans="1:2" x14ac:dyDescent="0.25">
      <c r="A5946" s="64" t="str">
        <f>HYPERLINK("http://www.twitter.com/AuroraMetro", "AuroraMetro")</f>
        <v>AuroraMetro</v>
      </c>
      <c r="B5946" s="65" t="s">
        <v>5836</v>
      </c>
    </row>
    <row r="5947" spans="1:2" x14ac:dyDescent="0.25">
      <c r="A5947" s="64" t="str">
        <f>HYPERLINK("http://www.twitter.com/cannich1234", "cannich1234")</f>
        <v>cannich1234</v>
      </c>
      <c r="B5947" s="65"/>
    </row>
    <row r="5948" spans="1:2" x14ac:dyDescent="0.25">
      <c r="A5948" s="64" t="str">
        <f>HYPERLINK("http://www.twitter.com/michaelrwillia4", "michaelrwillia4")</f>
        <v>michaelrwillia4</v>
      </c>
      <c r="B5948" s="65"/>
    </row>
    <row r="5949" spans="1:2" x14ac:dyDescent="0.25">
      <c r="A5949" s="64" t="str">
        <f>HYPERLINK("http://www.twitter.com/DecidedlyKyle", "DecidedlyKyle")</f>
        <v>DecidedlyKyle</v>
      </c>
      <c r="B5949" s="65"/>
    </row>
    <row r="5950" spans="1:2" x14ac:dyDescent="0.25">
      <c r="A5950" s="64" t="str">
        <f>HYPERLINK("http://www.twitter.com/Bazsuds", "Bazsuds")</f>
        <v>Bazsuds</v>
      </c>
      <c r="B5950" s="65" t="s">
        <v>24</v>
      </c>
    </row>
    <row r="5951" spans="1:2" x14ac:dyDescent="0.25">
      <c r="A5951" s="64" t="str">
        <f>HYPERLINK("http://www.twitter.com/johnjewers", "johnjewers")</f>
        <v>johnjewers</v>
      </c>
      <c r="B5951" s="65" t="s">
        <v>5837</v>
      </c>
    </row>
    <row r="5952" spans="1:2" x14ac:dyDescent="0.25">
      <c r="A5952" s="64" t="str">
        <f>HYPERLINK("http://www.twitter.com/PinnellKevin", "PinnellKevin")</f>
        <v>PinnellKevin</v>
      </c>
      <c r="B5952" s="65"/>
    </row>
    <row r="5953" spans="1:2" x14ac:dyDescent="0.25">
      <c r="A5953" s="64" t="str">
        <f>HYPERLINK("http://www.twitter.com/PaulMcLaw", "PaulMcLaw")</f>
        <v>PaulMcLaw</v>
      </c>
      <c r="B5953" s="65" t="s">
        <v>487</v>
      </c>
    </row>
    <row r="5954" spans="1:2" x14ac:dyDescent="0.25">
      <c r="A5954" s="64" t="str">
        <f>HYPERLINK("http://www.twitter.com/thepaxtonpub", "thepaxtonpub")</f>
        <v>thepaxtonpub</v>
      </c>
      <c r="B5954" s="65" t="s">
        <v>5838</v>
      </c>
    </row>
    <row r="5955" spans="1:2" x14ac:dyDescent="0.25">
      <c r="A5955" s="64" t="str">
        <f>HYPERLINK("http://www.twitter.com/Clairey1971", "Clairey1971")</f>
        <v>Clairey1971</v>
      </c>
      <c r="B5955" s="65" t="s">
        <v>5839</v>
      </c>
    </row>
    <row r="5956" spans="1:2" x14ac:dyDescent="0.25">
      <c r="A5956" s="64" t="str">
        <f>HYPERLINK("http://www.twitter.com/bridges_tom", "bridges_tom")</f>
        <v>bridges_tom</v>
      </c>
      <c r="B5956" s="65" t="s">
        <v>4501</v>
      </c>
    </row>
    <row r="5957" spans="1:2" x14ac:dyDescent="0.25">
      <c r="A5957" s="64" t="str">
        <f>HYPERLINK("http://www.twitter.com/alijladywell", "alijladywell")</f>
        <v>alijladywell</v>
      </c>
      <c r="B5957" s="65"/>
    </row>
    <row r="5958" spans="1:2" x14ac:dyDescent="0.25">
      <c r="A5958" s="64" t="str">
        <f>HYPERLINK("http://www.twitter.com/theharrisonfile", "theharrisonfile")</f>
        <v>theharrisonfile</v>
      </c>
      <c r="B5958" s="65" t="s">
        <v>5840</v>
      </c>
    </row>
    <row r="5959" spans="1:2" x14ac:dyDescent="0.25">
      <c r="A5959" s="64" t="str">
        <f>HYPERLINK("http://www.twitter.com/Cathfleming", "Cathfleming")</f>
        <v>Cathfleming</v>
      </c>
      <c r="B5959" s="65" t="s">
        <v>36</v>
      </c>
    </row>
    <row r="5960" spans="1:2" x14ac:dyDescent="0.25">
      <c r="A5960" s="64" t="str">
        <f>HYPERLINK("http://www.twitter.com/EdinburghElle", "EdinburghElle")</f>
        <v>EdinburghElle</v>
      </c>
      <c r="B5960" s="65" t="s">
        <v>5841</v>
      </c>
    </row>
    <row r="5961" spans="1:2" x14ac:dyDescent="0.25">
      <c r="A5961" s="64" t="str">
        <f>HYPERLINK("http://www.twitter.com/lawbyname", "lawbyname")</f>
        <v>lawbyname</v>
      </c>
      <c r="B5961" s="65" t="s">
        <v>477</v>
      </c>
    </row>
    <row r="5962" spans="1:2" x14ac:dyDescent="0.25">
      <c r="A5962" s="64" t="str">
        <f>HYPERLINK("http://www.twitter.com/mkfoodbank", "mkfoodbank")</f>
        <v>mkfoodbank</v>
      </c>
      <c r="B5962" s="65" t="s">
        <v>3781</v>
      </c>
    </row>
    <row r="5963" spans="1:2" x14ac:dyDescent="0.25">
      <c r="A5963" s="64" t="str">
        <f>HYPERLINK("http://www.twitter.com/AndrewGJohnston", "AndrewGJohnston")</f>
        <v>AndrewGJohnston</v>
      </c>
      <c r="B5963" s="65" t="s">
        <v>1155</v>
      </c>
    </row>
    <row r="5964" spans="1:2" x14ac:dyDescent="0.25">
      <c r="A5964" s="64" t="str">
        <f>HYPERLINK("http://www.twitter.com/christoleach", "christoleach")</f>
        <v>christoleach</v>
      </c>
      <c r="B5964" s="65" t="s">
        <v>1377</v>
      </c>
    </row>
    <row r="5965" spans="1:2" x14ac:dyDescent="0.25">
      <c r="A5965" s="64" t="str">
        <f>HYPERLINK("http://www.twitter.com/AberdeenLegacy", "AberdeenLegacy")</f>
        <v>AberdeenLegacy</v>
      </c>
      <c r="B5965" s="65" t="s">
        <v>569</v>
      </c>
    </row>
    <row r="5966" spans="1:2" x14ac:dyDescent="0.25">
      <c r="A5966" s="64" t="str">
        <f>HYPERLINK("http://www.twitter.com/jonesgarethp", "jonesgarethp")</f>
        <v>jonesgarethp</v>
      </c>
      <c r="B5966" s="65" t="s">
        <v>5842</v>
      </c>
    </row>
    <row r="5967" spans="1:2" x14ac:dyDescent="0.25">
      <c r="A5967" s="64" t="str">
        <f>HYPERLINK("http://www.twitter.com/rareredheadgirl", "rareredheadgirl")</f>
        <v>rareredheadgirl</v>
      </c>
      <c r="B5967" s="65"/>
    </row>
    <row r="5968" spans="1:2" x14ac:dyDescent="0.25">
      <c r="A5968" s="64" t="str">
        <f>HYPERLINK("http://www.twitter.com/tomaszjohnson", "tomaszjohnson")</f>
        <v>tomaszjohnson</v>
      </c>
      <c r="B5968" s="65"/>
    </row>
    <row r="5969" spans="1:2" x14ac:dyDescent="0.25">
      <c r="A5969" s="64" t="str">
        <f>HYPERLINK("http://www.twitter.com/craigieboy2", "craigieboy2")</f>
        <v>craigieboy2</v>
      </c>
      <c r="B5969" s="65"/>
    </row>
    <row r="5970" spans="1:2" x14ac:dyDescent="0.25">
      <c r="A5970" s="64" t="str">
        <f>HYPERLINK("http://www.twitter.com/maroussisdw", "maroussisdw")</f>
        <v>maroussisdw</v>
      </c>
      <c r="B5970" s="65"/>
    </row>
    <row r="5971" spans="1:2" x14ac:dyDescent="0.25">
      <c r="A5971" s="64" t="str">
        <f>HYPERLINK("http://www.twitter.com/Clive_Giles", "Clive_Giles")</f>
        <v>Clive_Giles</v>
      </c>
      <c r="B5971" s="65" t="s">
        <v>203</v>
      </c>
    </row>
    <row r="5972" spans="1:2" x14ac:dyDescent="0.25">
      <c r="A5972" s="64" t="str">
        <f>HYPERLINK("http://www.twitter.com/LucyEastLondon", "LucyEastLondon")</f>
        <v>LucyEastLondon</v>
      </c>
      <c r="B5972" s="65" t="s">
        <v>36</v>
      </c>
    </row>
    <row r="5973" spans="1:2" x14ac:dyDescent="0.25">
      <c r="A5973" s="64" t="str">
        <f>HYPERLINK("http://www.twitter.com/tkendallhatter", "tkendallhatter")</f>
        <v>tkendallhatter</v>
      </c>
      <c r="B5973" s="65" t="s">
        <v>5843</v>
      </c>
    </row>
    <row r="5974" spans="1:2" x14ac:dyDescent="0.25">
      <c r="A5974" s="64" t="str">
        <f>HYPERLINK("http://www.twitter.com/TShellens", "TShellens")</f>
        <v>TShellens</v>
      </c>
      <c r="B5974" s="65"/>
    </row>
    <row r="5975" spans="1:2" x14ac:dyDescent="0.25">
      <c r="A5975" s="64" t="str">
        <f>HYPERLINK("http://www.twitter.com/twillistration", "twillistration")</f>
        <v>twillistration</v>
      </c>
      <c r="B5975" s="65" t="s">
        <v>5844</v>
      </c>
    </row>
    <row r="5976" spans="1:2" x14ac:dyDescent="0.25">
      <c r="A5976" s="64" t="str">
        <f>HYPERLINK("http://www.twitter.com/VegAnd2Veg", "VegAnd2Veg")</f>
        <v>VegAnd2Veg</v>
      </c>
      <c r="B5976" s="65" t="s">
        <v>514</v>
      </c>
    </row>
    <row r="5977" spans="1:2" x14ac:dyDescent="0.25">
      <c r="A5977" s="64" t="str">
        <f>HYPERLINK("http://www.twitter.com/CliffdotMac", "CliffdotMac")</f>
        <v>CliffdotMac</v>
      </c>
      <c r="B5977" s="65" t="s">
        <v>248</v>
      </c>
    </row>
    <row r="5978" spans="1:2" x14ac:dyDescent="0.25">
      <c r="A5978" s="64" t="str">
        <f>HYPERLINK("http://www.twitter.com/ilovelucy57", "ilovelucy57")</f>
        <v>ilovelucy57</v>
      </c>
      <c r="B5978" s="65"/>
    </row>
    <row r="5979" spans="1:2" x14ac:dyDescent="0.25">
      <c r="A5979" s="64" t="str">
        <f>HYPERLINK("http://www.twitter.com/Menage_A_Moi", "Menage_A_Moi")</f>
        <v>Menage_A_Moi</v>
      </c>
      <c r="B5979" s="65" t="s">
        <v>5845</v>
      </c>
    </row>
    <row r="5980" spans="1:2" x14ac:dyDescent="0.25">
      <c r="A5980" s="64" t="str">
        <f>HYPERLINK("http://www.twitter.com/HJMandleberg", "HJMandleberg")</f>
        <v>HJMandleberg</v>
      </c>
      <c r="B5980" s="65"/>
    </row>
    <row r="5981" spans="1:2" x14ac:dyDescent="0.25">
      <c r="A5981" s="64" t="str">
        <f>HYPERLINK("http://www.twitter.com/RESGray", "RESGray")</f>
        <v>RESGray</v>
      </c>
      <c r="B5981" s="65" t="s">
        <v>36</v>
      </c>
    </row>
    <row r="5982" spans="1:2" x14ac:dyDescent="0.25">
      <c r="A5982" s="64" t="str">
        <f>HYPERLINK("http://www.twitter.com/anoamo1", "anoamo1")</f>
        <v>anoamo1</v>
      </c>
      <c r="B5982" s="65"/>
    </row>
    <row r="5983" spans="1:2" x14ac:dyDescent="0.25">
      <c r="A5983" s="64" t="str">
        <f>HYPERLINK("http://www.twitter.com/ejhhhhhh", "ejhhhhhh")</f>
        <v>ejhhhhhh</v>
      </c>
      <c r="B5983" s="65" t="s">
        <v>5846</v>
      </c>
    </row>
    <row r="5984" spans="1:2" x14ac:dyDescent="0.25">
      <c r="A5984" s="64" t="str">
        <f>HYPERLINK("http://www.twitter.com/dfmcallister", "dfmcallister")</f>
        <v>dfmcallister</v>
      </c>
      <c r="B5984" s="65" t="s">
        <v>487</v>
      </c>
    </row>
    <row r="5985" spans="1:2" x14ac:dyDescent="0.25">
      <c r="A5985" s="64" t="str">
        <f>HYPERLINK("http://www.twitter.com/isabelfield", "isabelfield")</f>
        <v>isabelfield</v>
      </c>
      <c r="B5985" s="65" t="s">
        <v>5848</v>
      </c>
    </row>
    <row r="5986" spans="1:2" x14ac:dyDescent="0.25">
      <c r="A5986" s="64" t="str">
        <f>HYPERLINK("http://www.twitter.com/sarahmcquaid", "sarahmcquaid")</f>
        <v>sarahmcquaid</v>
      </c>
      <c r="B5986" s="65" t="s">
        <v>5849</v>
      </c>
    </row>
    <row r="5987" spans="1:2" x14ac:dyDescent="0.25">
      <c r="A5987" s="64" t="str">
        <f>HYPERLINK("http://www.twitter.com/toby_norrell", "toby_norrell")</f>
        <v>toby_norrell</v>
      </c>
      <c r="B5987" s="65"/>
    </row>
    <row r="5988" spans="1:2" x14ac:dyDescent="0.25">
      <c r="A5988" s="64" t="str">
        <f>HYPERLINK("http://www.twitter.com/PG1Twits", "PG1Twits")</f>
        <v>PG1Twits</v>
      </c>
      <c r="B5988" s="65"/>
    </row>
    <row r="5989" spans="1:2" x14ac:dyDescent="0.25">
      <c r="A5989" s="64" t="str">
        <f>HYPERLINK("http://www.twitter.com/stephenjack60", "stephenjack60")</f>
        <v>stephenjack60</v>
      </c>
      <c r="B5989" s="65"/>
    </row>
    <row r="5990" spans="1:2" x14ac:dyDescent="0.25">
      <c r="A5990" s="64" t="str">
        <f>HYPERLINK("http://www.twitter.com/mmacdonald05", "mmacdonald05")</f>
        <v>mmacdonald05</v>
      </c>
      <c r="B5990" s="65" t="s">
        <v>5850</v>
      </c>
    </row>
    <row r="5991" spans="1:2" x14ac:dyDescent="0.25">
      <c r="A5991" s="64" t="str">
        <f>HYPERLINK("http://www.twitter.com/La_Qualia", "La_Qualia")</f>
        <v>La_Qualia</v>
      </c>
      <c r="B5991" s="65"/>
    </row>
    <row r="5992" spans="1:2" x14ac:dyDescent="0.25">
      <c r="A5992" s="64" t="str">
        <f>HYPERLINK("http://www.twitter.com/devonhoney", "devonhoney")</f>
        <v>devonhoney</v>
      </c>
      <c r="B5992" s="65" t="s">
        <v>5851</v>
      </c>
    </row>
    <row r="5993" spans="1:2" x14ac:dyDescent="0.25">
      <c r="A5993" s="64" t="str">
        <f>HYPERLINK("http://www.twitter.com/JurassicLen", "JurassicLen")</f>
        <v>JurassicLen</v>
      </c>
      <c r="B5993" s="65" t="s">
        <v>36</v>
      </c>
    </row>
    <row r="5994" spans="1:2" x14ac:dyDescent="0.25">
      <c r="A5994" s="64" t="str">
        <f>HYPERLINK("http://www.twitter.com/ggallop", "ggallop")</f>
        <v>ggallop</v>
      </c>
      <c r="B5994" s="65" t="s">
        <v>36</v>
      </c>
    </row>
    <row r="5995" spans="1:2" x14ac:dyDescent="0.25">
      <c r="A5995" s="64" t="str">
        <f>HYPERLINK("http://www.twitter.com/gorbal30", "gorbal30")</f>
        <v>gorbal30</v>
      </c>
      <c r="B5995" s="65" t="s">
        <v>138</v>
      </c>
    </row>
    <row r="5996" spans="1:2" x14ac:dyDescent="0.25">
      <c r="A5996" s="64" t="str">
        <f>HYPERLINK("http://www.twitter.com/f164KyLewis", "f164KyLewis")</f>
        <v>f164KyLewis</v>
      </c>
      <c r="B5996" s="65" t="s">
        <v>36</v>
      </c>
    </row>
    <row r="5997" spans="1:2" x14ac:dyDescent="0.25">
      <c r="A5997" s="64" t="str">
        <f>HYPERLINK("http://www.twitter.com/makedoandmenduk", "makedoandmenduk")</f>
        <v>makedoandmenduk</v>
      </c>
      <c r="B5997" s="65" t="s">
        <v>327</v>
      </c>
    </row>
    <row r="5998" spans="1:2" x14ac:dyDescent="0.25">
      <c r="A5998" s="64" t="str">
        <f>HYPERLINK("http://www.twitter.com/Sallyrtwt", "Sallyrtwt")</f>
        <v>Sallyrtwt</v>
      </c>
      <c r="B5998" s="65" t="s">
        <v>2864</v>
      </c>
    </row>
    <row r="5999" spans="1:2" x14ac:dyDescent="0.25">
      <c r="A5999" s="64" t="str">
        <f>HYPERLINK("http://www.twitter.com/doubleknit", "doubleknit")</f>
        <v>doubleknit</v>
      </c>
      <c r="B5999" s="65" t="s">
        <v>1221</v>
      </c>
    </row>
    <row r="6000" spans="1:2" x14ac:dyDescent="0.25">
      <c r="A6000" s="64" t="str">
        <f>HYPERLINK("http://www.twitter.com/Dukeofessex", "Dukeofessex")</f>
        <v>Dukeofessex</v>
      </c>
      <c r="B6000" s="65" t="s">
        <v>36</v>
      </c>
    </row>
    <row r="6001" spans="1:2" x14ac:dyDescent="0.25">
      <c r="A6001" s="64" t="str">
        <f>HYPERLINK("http://www.twitter.com/JDPeaceCars1", "JDPeaceCars1")</f>
        <v>JDPeaceCars1</v>
      </c>
      <c r="B6001" s="65" t="s">
        <v>5852</v>
      </c>
    </row>
    <row r="6002" spans="1:2" x14ac:dyDescent="0.25">
      <c r="A6002" s="64" t="str">
        <f>HYPERLINK("http://www.twitter.com/richardbrophy", "richardbrophy")</f>
        <v>richardbrophy</v>
      </c>
      <c r="B6002" s="65" t="s">
        <v>36</v>
      </c>
    </row>
    <row r="6003" spans="1:2" x14ac:dyDescent="0.25">
      <c r="A6003" s="64" t="str">
        <f>HYPERLINK("http://www.twitter.com/kidscallitout", "kidscallitout")</f>
        <v>kidscallitout</v>
      </c>
      <c r="B6003" s="65" t="s">
        <v>2679</v>
      </c>
    </row>
    <row r="6004" spans="1:2" x14ac:dyDescent="0.25">
      <c r="A6004" s="64" t="str">
        <f>HYPERLINK("http://www.twitter.com/KRoncoroni", "KRoncoroni")</f>
        <v>KRoncoroni</v>
      </c>
      <c r="B6004" s="65" t="s">
        <v>477</v>
      </c>
    </row>
    <row r="6005" spans="1:2" x14ac:dyDescent="0.25">
      <c r="A6005" s="64" t="str">
        <f>HYPERLINK("http://www.twitter.com/louiseburt75", "louiseburt75")</f>
        <v>louiseburt75</v>
      </c>
      <c r="B6005" s="65"/>
    </row>
    <row r="6006" spans="1:2" x14ac:dyDescent="0.25">
      <c r="A6006" s="64" t="str">
        <f>HYPERLINK("http://www.twitter.com/samdicksamsam", "samdicksamsam")</f>
        <v>samdicksamsam</v>
      </c>
      <c r="B6006" s="65"/>
    </row>
    <row r="6007" spans="1:2" x14ac:dyDescent="0.25">
      <c r="A6007" s="64" t="str">
        <f>HYPERLINK("http://www.twitter.com/Claire_Turnip", "Claire_Turnip")</f>
        <v>Claire_Turnip</v>
      </c>
      <c r="B6007" s="65"/>
    </row>
    <row r="6008" spans="1:2" x14ac:dyDescent="0.25">
      <c r="A6008" s="64" t="str">
        <f>HYPERLINK("http://www.twitter.com/nigelcsmith", "nigelcsmith")</f>
        <v>nigelcsmith</v>
      </c>
      <c r="B6008" s="65" t="s">
        <v>36</v>
      </c>
    </row>
    <row r="6009" spans="1:2" x14ac:dyDescent="0.25">
      <c r="A6009" s="64" t="str">
        <f>HYPERLINK("http://www.twitter.com/PenMclean", "PenMclean")</f>
        <v>PenMclean</v>
      </c>
      <c r="B6009" s="65" t="s">
        <v>36</v>
      </c>
    </row>
    <row r="6010" spans="1:2" x14ac:dyDescent="0.25">
      <c r="A6010" s="64" t="str">
        <f>HYPERLINK("http://www.twitter.com/scotmale2016", "scotmale2016")</f>
        <v>scotmale2016</v>
      </c>
      <c r="B6010" s="65"/>
    </row>
    <row r="6011" spans="1:2" x14ac:dyDescent="0.25">
      <c r="A6011" s="64" t="str">
        <f>HYPERLINK("http://www.twitter.com/aocvm", "aocvm")</f>
        <v>aocvm</v>
      </c>
      <c r="B6011" s="65"/>
    </row>
    <row r="6012" spans="1:2" x14ac:dyDescent="0.25">
      <c r="A6012" s="64" t="str">
        <f>HYPERLINK("http://www.twitter.com/ballardinix", "ballardinix")</f>
        <v>ballardinix</v>
      </c>
      <c r="B6012" s="65" t="s">
        <v>1980</v>
      </c>
    </row>
    <row r="6013" spans="1:2" x14ac:dyDescent="0.25">
      <c r="A6013" s="64" t="str">
        <f>HYPERLINK("http://www.twitter.com/pudkai", "pudkai")</f>
        <v>pudkai</v>
      </c>
      <c r="B6013" s="65"/>
    </row>
    <row r="6014" spans="1:2" x14ac:dyDescent="0.25">
      <c r="A6014" s="64" t="str">
        <f>HYPERLINK("http://www.twitter.com/iachild", "iachild")</f>
        <v>iachild</v>
      </c>
      <c r="B6014" s="65" t="s">
        <v>1490</v>
      </c>
    </row>
    <row r="6015" spans="1:2" x14ac:dyDescent="0.25">
      <c r="A6015" s="64" t="str">
        <f>HYPERLINK("http://www.twitter.com/IanPaulOnions", "IanPaulOnions")</f>
        <v>IanPaulOnions</v>
      </c>
      <c r="B6015" s="65" t="s">
        <v>5853</v>
      </c>
    </row>
    <row r="6016" spans="1:2" x14ac:dyDescent="0.25">
      <c r="A6016" s="64" t="str">
        <f>HYPERLINK("http://www.twitter.com/Rwills3567Wills", "Rwills3567Wills")</f>
        <v>Rwills3567Wills</v>
      </c>
      <c r="B6016" s="65" t="s">
        <v>5854</v>
      </c>
    </row>
    <row r="6017" spans="1:2" x14ac:dyDescent="0.25">
      <c r="A6017" s="64" t="str">
        <f>HYPERLINK("http://www.twitter.com/abigail_parties", "abigail_parties")</f>
        <v>abigail_parties</v>
      </c>
      <c r="B6017" s="65"/>
    </row>
    <row r="6018" spans="1:2" x14ac:dyDescent="0.25">
      <c r="A6018" s="64" t="str">
        <f>HYPERLINK("http://www.twitter.com/aranmatazz", "aranmatazz")</f>
        <v>aranmatazz</v>
      </c>
      <c r="B6018" s="65" t="s">
        <v>318</v>
      </c>
    </row>
    <row r="6019" spans="1:2" x14ac:dyDescent="0.25">
      <c r="A6019" s="64" t="str">
        <f>HYPERLINK("http://www.twitter.com/SoozCheapDate", "SoozCheapDate")</f>
        <v>SoozCheapDate</v>
      </c>
      <c r="B6019" s="65"/>
    </row>
    <row r="6020" spans="1:2" x14ac:dyDescent="0.25">
      <c r="A6020" s="64" t="str">
        <f>HYPERLINK("http://www.twitter.com/huwjperry", "huwjperry")</f>
        <v>huwjperry</v>
      </c>
      <c r="B6020" s="65" t="s">
        <v>1218</v>
      </c>
    </row>
    <row r="6021" spans="1:2" x14ac:dyDescent="0.25">
      <c r="A6021" s="64" t="str">
        <f>HYPERLINK("http://www.twitter.com/snap_forest", "snap_forest")</f>
        <v>snap_forest</v>
      </c>
      <c r="B6021" s="65"/>
    </row>
    <row r="6022" spans="1:2" x14ac:dyDescent="0.25">
      <c r="A6022" s="64" t="str">
        <f>HYPERLINK("http://www.twitter.com/marigriff", "marigriff")</f>
        <v>marigriff</v>
      </c>
      <c r="B6022" s="65"/>
    </row>
    <row r="6023" spans="1:2" x14ac:dyDescent="0.25">
      <c r="A6023" s="64" t="str">
        <f>HYPERLINK("http://www.twitter.com/Dougaldowntown", "Dougaldowntown")</f>
        <v>Dougaldowntown</v>
      </c>
      <c r="B6023" s="65" t="s">
        <v>5855</v>
      </c>
    </row>
    <row r="6024" spans="1:2" x14ac:dyDescent="0.25">
      <c r="A6024" s="64" t="str">
        <f>HYPERLINK("http://www.twitter.com/germanicfan", "germanicfan")</f>
        <v>germanicfan</v>
      </c>
      <c r="B6024" s="65"/>
    </row>
    <row r="6025" spans="1:2" x14ac:dyDescent="0.25">
      <c r="A6025" s="64" t="str">
        <f>HYPERLINK("http://www.twitter.com/gazongazouille", "gazongazouille")</f>
        <v>gazongazouille</v>
      </c>
      <c r="B6025" s="65" t="s">
        <v>203</v>
      </c>
    </row>
    <row r="6026" spans="1:2" x14ac:dyDescent="0.25">
      <c r="A6026" s="64" t="str">
        <f>HYPERLINK("http://www.twitter.com/sshermida", "sshermida")</f>
        <v>sshermida</v>
      </c>
      <c r="B6026" s="65"/>
    </row>
    <row r="6027" spans="1:2" x14ac:dyDescent="0.25">
      <c r="A6027" s="64" t="str">
        <f>HYPERLINK("http://www.twitter.com/AnnMariePowell", "AnnMariePowell")</f>
        <v>AnnMariePowell</v>
      </c>
      <c r="B6027" s="65" t="s">
        <v>5856</v>
      </c>
    </row>
    <row r="6028" spans="1:2" x14ac:dyDescent="0.25">
      <c r="A6028" s="64" t="str">
        <f>HYPERLINK("http://www.twitter.com/joanne_does_it", "joanne_does_it")</f>
        <v>joanne_does_it</v>
      </c>
      <c r="B6028" s="65" t="s">
        <v>477</v>
      </c>
    </row>
    <row r="6029" spans="1:2" x14ac:dyDescent="0.25">
      <c r="A6029" s="64" t="str">
        <f>HYPERLINK("http://www.twitter.com/garriochB", "garriochB")</f>
        <v>garriochB</v>
      </c>
      <c r="B6029" s="65" t="s">
        <v>5777</v>
      </c>
    </row>
    <row r="6030" spans="1:2" x14ac:dyDescent="0.25">
      <c r="A6030" s="64" t="str">
        <f>HYPERLINK("http://www.twitter.com/TicCrystal", "TicCrystal")</f>
        <v>TicCrystal</v>
      </c>
      <c r="B6030" s="65" t="s">
        <v>477</v>
      </c>
    </row>
    <row r="6031" spans="1:2" x14ac:dyDescent="0.25">
      <c r="A6031" s="64" t="str">
        <f>HYPERLINK("http://www.twitter.com/drjonrees", "drjonrees")</f>
        <v>drjonrees</v>
      </c>
      <c r="B6031" s="65" t="s">
        <v>514</v>
      </c>
    </row>
    <row r="6032" spans="1:2" x14ac:dyDescent="0.25">
      <c r="A6032" s="64" t="str">
        <f>HYPERLINK("http://www.twitter.com/ww07biker", "ww07biker")</f>
        <v>ww07biker</v>
      </c>
      <c r="B6032" s="65"/>
    </row>
    <row r="6033" spans="1:2" x14ac:dyDescent="0.25">
      <c r="A6033" s="64" t="str">
        <f>HYPERLINK("http://www.twitter.com/colhot", "colhot")</f>
        <v>colhot</v>
      </c>
      <c r="B6033" s="65"/>
    </row>
    <row r="6034" spans="1:2" x14ac:dyDescent="0.25">
      <c r="A6034" s="64" t="str">
        <f>HYPERLINK("http://www.twitter.com/33MarkD", "33MarkD")</f>
        <v>33MarkD</v>
      </c>
      <c r="B6034" s="65"/>
    </row>
    <row r="6035" spans="1:2" x14ac:dyDescent="0.25">
      <c r="A6035" s="64" t="str">
        <f>HYPERLINK("http://www.twitter.com/val_cave", "val_cave")</f>
        <v>val_cave</v>
      </c>
      <c r="B6035" s="65"/>
    </row>
    <row r="6036" spans="1:2" x14ac:dyDescent="0.25">
      <c r="A6036" s="64" t="str">
        <f>HYPERLINK("http://www.twitter.com/KateRay83", "KateRay83")</f>
        <v>KateRay83</v>
      </c>
      <c r="B6036" s="65" t="s">
        <v>5857</v>
      </c>
    </row>
    <row r="6037" spans="1:2" x14ac:dyDescent="0.25">
      <c r="A6037" s="64" t="str">
        <f>HYPERLINK("http://www.twitter.com/TheRealPAVEL", "TheRealPAVEL")</f>
        <v>TheRealPAVEL</v>
      </c>
      <c r="B6037" s="65" t="s">
        <v>5858</v>
      </c>
    </row>
    <row r="6038" spans="1:2" x14ac:dyDescent="0.25">
      <c r="A6038" s="64" t="str">
        <f>HYPERLINK("http://www.twitter.com/kcquietcorner", "kcquietcorner")</f>
        <v>kcquietcorner</v>
      </c>
      <c r="B6038" s="65"/>
    </row>
    <row r="6039" spans="1:2" x14ac:dyDescent="0.25">
      <c r="A6039" s="64" t="str">
        <f>HYPERLINK("http://www.twitter.com/MaryMalyon", "MaryMalyon")</f>
        <v>MaryMalyon</v>
      </c>
      <c r="B6039" s="65" t="s">
        <v>1434</v>
      </c>
    </row>
    <row r="6040" spans="1:2" x14ac:dyDescent="0.25">
      <c r="A6040" s="64" t="str">
        <f>HYPERLINK("http://www.twitter.com/glassarmy", "glassarmy")</f>
        <v>glassarmy</v>
      </c>
      <c r="B6040" s="65" t="s">
        <v>24</v>
      </c>
    </row>
    <row r="6041" spans="1:2" x14ac:dyDescent="0.25">
      <c r="A6041" s="64" t="str">
        <f>HYPERLINK("http://www.twitter.com/JohnRobertRend2", "JohnRobertRend2")</f>
        <v>JohnRobertRend2</v>
      </c>
      <c r="B6041" s="65"/>
    </row>
    <row r="6042" spans="1:2" x14ac:dyDescent="0.25">
      <c r="A6042" s="64" t="str">
        <f>HYPERLINK("http://www.twitter.com/MikeyCuddihy1", "MikeyCuddihy1")</f>
        <v>MikeyCuddihy1</v>
      </c>
      <c r="B6042" s="65" t="s">
        <v>5859</v>
      </c>
    </row>
    <row r="6043" spans="1:2" x14ac:dyDescent="0.25">
      <c r="A6043" s="64" t="str">
        <f>HYPERLINK("http://www.twitter.com/moirsb", "moirsb")</f>
        <v>moirsb</v>
      </c>
      <c r="B6043" s="65" t="s">
        <v>24</v>
      </c>
    </row>
    <row r="6044" spans="1:2" x14ac:dyDescent="0.25">
      <c r="A6044" s="64" t="str">
        <f>HYPERLINK("http://www.twitter.com/i_am_voice", "i_am_voice")</f>
        <v>i_am_voice</v>
      </c>
      <c r="B6044" s="65" t="s">
        <v>93</v>
      </c>
    </row>
    <row r="6045" spans="1:2" x14ac:dyDescent="0.25">
      <c r="A6045" s="64" t="str">
        <f>HYPERLINK("http://www.twitter.com/hfwong", "hfwong")</f>
        <v>hfwong</v>
      </c>
      <c r="B6045" s="65" t="s">
        <v>5860</v>
      </c>
    </row>
    <row r="6046" spans="1:2" x14ac:dyDescent="0.25">
      <c r="A6046" s="64" t="str">
        <f>HYPERLINK("http://www.twitter.com/ruth_maccormick", "ruth_maccormick")</f>
        <v>ruth_maccormick</v>
      </c>
      <c r="B6046" s="65" t="s">
        <v>318</v>
      </c>
    </row>
    <row r="6047" spans="1:2" x14ac:dyDescent="0.25">
      <c r="A6047" s="64" t="str">
        <f>HYPERLINK("http://www.twitter.com/arcadia_la", "arcadia_la")</f>
        <v>arcadia_la</v>
      </c>
      <c r="B6047" s="65" t="s">
        <v>4501</v>
      </c>
    </row>
    <row r="6048" spans="1:2" x14ac:dyDescent="0.25">
      <c r="A6048" s="64" t="str">
        <f>HYPERLINK("http://www.twitter.com/jologo", "jologo")</f>
        <v>jologo</v>
      </c>
      <c r="B6048" s="65"/>
    </row>
    <row r="6049" spans="1:2" x14ac:dyDescent="0.25">
      <c r="A6049" s="64" t="str">
        <f>HYPERLINK("http://www.twitter.com/Clivemorrison1", "Clivemorrison1")</f>
        <v>Clivemorrison1</v>
      </c>
      <c r="B6049" s="65" t="s">
        <v>24</v>
      </c>
    </row>
    <row r="6050" spans="1:2" x14ac:dyDescent="0.25">
      <c r="A6050" s="64" t="str">
        <f>HYPERLINK("http://www.twitter.com/Chrissyboy102", "Chrissyboy102")</f>
        <v>Chrissyboy102</v>
      </c>
      <c r="B6050" s="65"/>
    </row>
    <row r="6051" spans="1:2" x14ac:dyDescent="0.25">
      <c r="A6051" s="64" t="str">
        <f>HYPERLINK("http://www.twitter.com/theHyperbolic", "theHyperbolic")</f>
        <v>theHyperbolic</v>
      </c>
      <c r="B6051" s="65" t="s">
        <v>180</v>
      </c>
    </row>
    <row r="6052" spans="1:2" x14ac:dyDescent="0.25">
      <c r="A6052" s="64" t="str">
        <f>HYPERLINK("http://www.twitter.com/BCSAnderson", "BCSAnderson")</f>
        <v>BCSAnderson</v>
      </c>
      <c r="B6052" s="65"/>
    </row>
    <row r="6053" spans="1:2" x14ac:dyDescent="0.25">
      <c r="A6053" s="64" t="str">
        <f>HYPERLINK("http://www.twitter.com/MarsdenLibrary", "MarsdenLibrary")</f>
        <v>MarsdenLibrary</v>
      </c>
      <c r="B6053" s="65" t="s">
        <v>5861</v>
      </c>
    </row>
    <row r="6054" spans="1:2" x14ac:dyDescent="0.25">
      <c r="A6054" s="64" t="str">
        <f>HYPERLINK("http://www.twitter.com/HillyCooke", "HillyCooke")</f>
        <v>HillyCooke</v>
      </c>
      <c r="B6054" s="65"/>
    </row>
    <row r="6055" spans="1:2" x14ac:dyDescent="0.25">
      <c r="A6055" s="64" t="str">
        <f>HYPERLINK("http://www.twitter.com/Ali_Elmo", "Ali_Elmo")</f>
        <v>Ali_Elmo</v>
      </c>
      <c r="B6055" s="65" t="s">
        <v>138</v>
      </c>
    </row>
    <row r="6056" spans="1:2" x14ac:dyDescent="0.25">
      <c r="A6056" s="64" t="str">
        <f>HYPERLINK("http://www.twitter.com/samatherton", "samatherton")</f>
        <v>samatherton</v>
      </c>
      <c r="B6056" s="65" t="s">
        <v>1790</v>
      </c>
    </row>
    <row r="6057" spans="1:2" x14ac:dyDescent="0.25">
      <c r="A6057" s="64" t="str">
        <f>HYPERLINK("http://www.twitter.com/Emmavt1234", "Emmavt1234")</f>
        <v>Emmavt1234</v>
      </c>
      <c r="B6057" s="65"/>
    </row>
    <row r="6058" spans="1:2" x14ac:dyDescent="0.25">
      <c r="A6058" s="64" t="str">
        <f>HYPERLINK("http://www.twitter.com/AgricDiploma", "AgricDiploma")</f>
        <v>AgricDiploma</v>
      </c>
      <c r="B6058" s="65" t="s">
        <v>5862</v>
      </c>
    </row>
    <row r="6059" spans="1:2" x14ac:dyDescent="0.25">
      <c r="A6059" s="64" t="str">
        <f>HYPERLINK("http://www.twitter.com/CStannard1", "CStannard1")</f>
        <v>CStannard1</v>
      </c>
      <c r="B6059" s="65"/>
    </row>
    <row r="6060" spans="1:2" x14ac:dyDescent="0.25">
      <c r="A6060" s="64" t="str">
        <f>HYPERLINK("http://www.twitter.com/dustymittens", "dustymittens")</f>
        <v>dustymittens</v>
      </c>
      <c r="B6060" s="65" t="s">
        <v>5863</v>
      </c>
    </row>
    <row r="6061" spans="1:2" x14ac:dyDescent="0.25">
      <c r="A6061" s="64" t="str">
        <f>HYPERLINK("http://www.twitter.com/swerupa", "swerupa")</f>
        <v>swerupa</v>
      </c>
      <c r="B6061" s="65" t="s">
        <v>1046</v>
      </c>
    </row>
    <row r="6062" spans="1:2" x14ac:dyDescent="0.25">
      <c r="A6062" s="64" t="str">
        <f>HYPERLINK("http://www.twitter.com/AnitaSpurway", "AnitaSpurway")</f>
        <v>AnitaSpurway</v>
      </c>
      <c r="B6062" s="65"/>
    </row>
    <row r="6063" spans="1:2" x14ac:dyDescent="0.25">
      <c r="A6063" s="64" t="str">
        <f>HYPERLINK("http://www.twitter.com/SueDymoke", "SueDymoke")</f>
        <v>SueDymoke</v>
      </c>
      <c r="B6063" s="65" t="s">
        <v>5864</v>
      </c>
    </row>
    <row r="6064" spans="1:2" x14ac:dyDescent="0.25">
      <c r="A6064" s="64" t="str">
        <f>HYPERLINK("http://www.twitter.com/WRENSHIP", "WRENSHIP")</f>
        <v>WRENSHIP</v>
      </c>
      <c r="B6064" s="65" t="s">
        <v>36</v>
      </c>
    </row>
    <row r="6065" spans="1:2" x14ac:dyDescent="0.25">
      <c r="A6065" s="64" t="str">
        <f>HYPERLINK("http://www.twitter.com/jim_jimbone", "jim_jimbone")</f>
        <v>jim_jimbone</v>
      </c>
      <c r="B6065" s="65" t="s">
        <v>5865</v>
      </c>
    </row>
    <row r="6066" spans="1:2" x14ac:dyDescent="0.25">
      <c r="A6066" s="64" t="str">
        <f>HYPERLINK("http://www.twitter.com/Angelden", "Angelden")</f>
        <v>Angelden</v>
      </c>
      <c r="B6066" s="65" t="s">
        <v>5866</v>
      </c>
    </row>
    <row r="6067" spans="1:2" x14ac:dyDescent="0.25">
      <c r="A6067" s="64" t="str">
        <f>HYPERLINK("http://www.twitter.com/Evereilis", "Evereilis")</f>
        <v>Evereilis</v>
      </c>
      <c r="B6067" s="65"/>
    </row>
    <row r="6068" spans="1:2" x14ac:dyDescent="0.25">
      <c r="A6068" s="64" t="str">
        <f>HYPERLINK("http://www.twitter.com/willnorman", "willnorman")</f>
        <v>willnorman</v>
      </c>
      <c r="B6068" s="65"/>
    </row>
    <row r="6069" spans="1:2" x14ac:dyDescent="0.25">
      <c r="A6069" s="64" t="str">
        <f>HYPERLINK("http://www.twitter.com/zoejnewman8", "zoejnewman8")</f>
        <v>zoejnewman8</v>
      </c>
      <c r="B6069" s="65" t="s">
        <v>96</v>
      </c>
    </row>
    <row r="6070" spans="1:2" x14ac:dyDescent="0.25">
      <c r="A6070" s="64" t="str">
        <f>HYPERLINK("http://www.twitter.com/filmhubscotland", "filmhubscotland")</f>
        <v>filmhubscotland</v>
      </c>
      <c r="B6070" s="65" t="s">
        <v>517</v>
      </c>
    </row>
    <row r="6071" spans="1:2" x14ac:dyDescent="0.25">
      <c r="A6071" s="64" t="str">
        <f>HYPERLINK("http://www.twitter.com/borderbloke81", "borderbloke81")</f>
        <v>borderbloke81</v>
      </c>
      <c r="B6071" s="65" t="s">
        <v>487</v>
      </c>
    </row>
    <row r="6072" spans="1:2" x14ac:dyDescent="0.25">
      <c r="A6072" s="64" t="str">
        <f>HYPERLINK("http://www.twitter.com/alunmw221", "alunmw221")</f>
        <v>alunmw221</v>
      </c>
      <c r="B6072" s="65" t="s">
        <v>3801</v>
      </c>
    </row>
    <row r="6073" spans="1:2" x14ac:dyDescent="0.25">
      <c r="A6073" s="64" t="str">
        <f>HYPERLINK("http://www.twitter.com/randyolph", "randyolph")</f>
        <v>randyolph</v>
      </c>
      <c r="B6073" s="65" t="s">
        <v>2289</v>
      </c>
    </row>
    <row r="6074" spans="1:2" x14ac:dyDescent="0.25">
      <c r="A6074" s="64" t="str">
        <f>HYPERLINK("http://www.twitter.com/BazleyJohn", "BazleyJohn")</f>
        <v>BazleyJohn</v>
      </c>
      <c r="B6074" s="65"/>
    </row>
    <row r="6075" spans="1:2" x14ac:dyDescent="0.25">
      <c r="A6075" s="64" t="str">
        <f>HYPERLINK("http://www.twitter.com/MarthaInStLouis", "MarthaInStLouis")</f>
        <v>MarthaInStLouis</v>
      </c>
      <c r="B6075" s="65" t="s">
        <v>5867</v>
      </c>
    </row>
    <row r="6076" spans="1:2" x14ac:dyDescent="0.25">
      <c r="A6076" s="64" t="str">
        <f>HYPERLINK("http://www.twitter.com/dbtwr", "dbtwr")</f>
        <v>dbtwr</v>
      </c>
      <c r="B6076" s="65" t="s">
        <v>36</v>
      </c>
    </row>
    <row r="6077" spans="1:2" x14ac:dyDescent="0.25">
      <c r="A6077" s="64" t="str">
        <f>HYPERLINK("http://www.twitter.com/csbCarlybel", "csbCarlybel")</f>
        <v>csbCarlybel</v>
      </c>
      <c r="B6077" s="65"/>
    </row>
    <row r="6078" spans="1:2" x14ac:dyDescent="0.25">
      <c r="A6078" s="64" t="str">
        <f>HYPERLINK("http://www.twitter.com/Noidletalk", "Noidletalk")</f>
        <v>Noidletalk</v>
      </c>
      <c r="B6078" s="65" t="s">
        <v>318</v>
      </c>
    </row>
    <row r="6079" spans="1:2" x14ac:dyDescent="0.25">
      <c r="A6079" s="64" t="str">
        <f>HYPERLINK("http://www.twitter.com/squirrelbunker", "squirrelbunker")</f>
        <v>squirrelbunker</v>
      </c>
      <c r="B6079" s="65"/>
    </row>
    <row r="6080" spans="1:2" x14ac:dyDescent="0.25">
      <c r="A6080" s="64" t="str">
        <f>HYPERLINK("http://www.twitter.com/casimpso", "casimpso")</f>
        <v>casimpso</v>
      </c>
      <c r="B6080" s="65"/>
    </row>
    <row r="6081" spans="1:2" x14ac:dyDescent="0.25">
      <c r="A6081" s="64" t="str">
        <f>HYPERLINK("http://www.twitter.com/loulouthebrave", "loulouthebrave")</f>
        <v>loulouthebrave</v>
      </c>
      <c r="B6081" s="65" t="s">
        <v>477</v>
      </c>
    </row>
    <row r="6082" spans="1:2" x14ac:dyDescent="0.25">
      <c r="A6082" s="64" t="str">
        <f>HYPERLINK("http://www.twitter.com/6_tailed_comet", "6_tailed_comet")</f>
        <v>6_tailed_comet</v>
      </c>
      <c r="B6082" s="65" t="s">
        <v>4902</v>
      </c>
    </row>
    <row r="6083" spans="1:2" x14ac:dyDescent="0.25">
      <c r="A6083" s="64" t="str">
        <f>HYPERLINK("http://www.twitter.com/RachaelRodway", "RachaelRodway")</f>
        <v>RachaelRodway</v>
      </c>
      <c r="B6083" s="65"/>
    </row>
    <row r="6084" spans="1:2" x14ac:dyDescent="0.25">
      <c r="A6084" s="64" t="str">
        <f>HYPERLINK("http://www.twitter.com/kev_calpin", "kev_calpin")</f>
        <v>kev_calpin</v>
      </c>
      <c r="B6084" s="65"/>
    </row>
    <row r="6085" spans="1:2" x14ac:dyDescent="0.25">
      <c r="A6085" s="64" t="str">
        <f>HYPERLINK("http://www.twitter.com/Moooping", "Moooping")</f>
        <v>Moooping</v>
      </c>
      <c r="B6085" s="65" t="s">
        <v>36</v>
      </c>
    </row>
    <row r="6086" spans="1:2" x14ac:dyDescent="0.25">
      <c r="A6086" s="64" t="str">
        <f>HYPERLINK("http://www.twitter.com/DrJonWoodcock", "DrJonWoodcock")</f>
        <v>DrJonWoodcock</v>
      </c>
      <c r="B6086" s="65" t="s">
        <v>296</v>
      </c>
    </row>
    <row r="6087" spans="1:2" x14ac:dyDescent="0.25">
      <c r="A6087" s="64" t="str">
        <f>HYPERLINK("http://www.twitter.com/immymakin", "immymakin")</f>
        <v>immymakin</v>
      </c>
      <c r="B6087" s="65"/>
    </row>
    <row r="6088" spans="1:2" x14ac:dyDescent="0.25">
      <c r="A6088" s="64" t="str">
        <f>HYPERLINK("http://www.twitter.com/JustAndyGraham", "JustAndyGraham")</f>
        <v>JustAndyGraham</v>
      </c>
      <c r="B6088" s="65" t="s">
        <v>5868</v>
      </c>
    </row>
    <row r="6089" spans="1:2" x14ac:dyDescent="0.25">
      <c r="A6089" s="64" t="str">
        <f>HYPERLINK("http://www.twitter.com/mason_garry", "mason_garry")</f>
        <v>mason_garry</v>
      </c>
      <c r="B6089" s="65" t="s">
        <v>2107</v>
      </c>
    </row>
    <row r="6090" spans="1:2" x14ac:dyDescent="0.25">
      <c r="A6090" s="64" t="str">
        <f>HYPERLINK("http://www.twitter.com/JILLRAAEN", "JILLRAAEN")</f>
        <v>JILLRAAEN</v>
      </c>
      <c r="B6090" s="65" t="s">
        <v>5869</v>
      </c>
    </row>
    <row r="6091" spans="1:2" x14ac:dyDescent="0.25">
      <c r="A6091" s="64" t="str">
        <f>HYPERLINK("http://www.twitter.com/johnfotohouse", "johnfotohouse")</f>
        <v>johnfotohouse</v>
      </c>
      <c r="B6091" s="65" t="s">
        <v>180</v>
      </c>
    </row>
    <row r="6092" spans="1:2" x14ac:dyDescent="0.25">
      <c r="A6092" s="64" t="str">
        <f>HYPERLINK("http://www.twitter.com/nixwillett", "nixwillett")</f>
        <v>nixwillett</v>
      </c>
      <c r="B6092" s="65" t="s">
        <v>5870</v>
      </c>
    </row>
    <row r="6093" spans="1:2" x14ac:dyDescent="0.25">
      <c r="A6093" s="64" t="str">
        <f>HYPERLINK("http://www.twitter.com/LiamLivings", "LiamLivings")</f>
        <v>LiamLivings</v>
      </c>
      <c r="B6093" s="65" t="s">
        <v>5871</v>
      </c>
    </row>
    <row r="6094" spans="1:2" x14ac:dyDescent="0.25">
      <c r="A6094" s="64" t="str">
        <f>HYPERLINK("http://www.twitter.com/Ruth_Webbo", "Ruth_Webbo")</f>
        <v>Ruth_Webbo</v>
      </c>
      <c r="B6094" s="65" t="s">
        <v>318</v>
      </c>
    </row>
    <row r="6095" spans="1:2" x14ac:dyDescent="0.25">
      <c r="A6095" s="64" t="str">
        <f>HYPERLINK("http://www.twitter.com/lynnanderson442", "lynnanderson442")</f>
        <v>lynnanderson442</v>
      </c>
      <c r="B6095" s="65"/>
    </row>
    <row r="6096" spans="1:2" x14ac:dyDescent="0.25">
      <c r="A6096" s="64" t="str">
        <f>HYPERLINK("http://www.twitter.com/robjwill73", "robjwill73")</f>
        <v>robjwill73</v>
      </c>
      <c r="B6096" s="65" t="s">
        <v>5872</v>
      </c>
    </row>
    <row r="6097" spans="1:2" x14ac:dyDescent="0.25">
      <c r="A6097" s="64" t="str">
        <f>HYPERLINK("http://www.twitter.com/CraigTurnbull1", "CraigTurnbull1")</f>
        <v>CraigTurnbull1</v>
      </c>
      <c r="B6097" s="65"/>
    </row>
    <row r="6098" spans="1:2" x14ac:dyDescent="0.25">
      <c r="A6098" s="64" t="str">
        <f>HYPERLINK("http://www.twitter.com/LLCoolMage", "LLCoolMage")</f>
        <v>LLCoolMage</v>
      </c>
      <c r="B6098" s="65" t="s">
        <v>487</v>
      </c>
    </row>
    <row r="6099" spans="1:2" x14ac:dyDescent="0.25">
      <c r="A6099" s="64" t="str">
        <f>HYPERLINK("http://www.twitter.com/jessicajlee", "jessicajlee")</f>
        <v>jessicajlee</v>
      </c>
      <c r="B6099" s="65" t="s">
        <v>5873</v>
      </c>
    </row>
    <row r="6100" spans="1:2" x14ac:dyDescent="0.25">
      <c r="A6100" s="64" t="str">
        <f>HYPERLINK("http://www.twitter.com/PaulineBaldry", "PaulineBaldry")</f>
        <v>PaulineBaldry</v>
      </c>
      <c r="B6100" s="65"/>
    </row>
    <row r="6101" spans="1:2" x14ac:dyDescent="0.25">
      <c r="A6101" s="64" t="str">
        <f>HYPERLINK("http://www.twitter.com/HelenGH", "HelenGH")</f>
        <v>HelenGH</v>
      </c>
      <c r="B6101" s="65" t="s">
        <v>2997</v>
      </c>
    </row>
    <row r="6102" spans="1:2" x14ac:dyDescent="0.25">
      <c r="A6102" s="64" t="str">
        <f>HYPERLINK("http://www.twitter.com/rjharnden", "rjharnden")</f>
        <v>rjharnden</v>
      </c>
      <c r="B6102" s="65" t="s">
        <v>4210</v>
      </c>
    </row>
    <row r="6103" spans="1:2" x14ac:dyDescent="0.25">
      <c r="A6103" s="64" t="str">
        <f>HYPERLINK("http://www.twitter.com/regitsac", "regitsac")</f>
        <v>regitsac</v>
      </c>
      <c r="B6103" s="65" t="s">
        <v>5874</v>
      </c>
    </row>
    <row r="6104" spans="1:2" x14ac:dyDescent="0.25">
      <c r="A6104" s="64" t="str">
        <f>HYPERLINK("http://www.twitter.com/RosieBTravels", "RosieBTravels")</f>
        <v>RosieBTravels</v>
      </c>
      <c r="B6104" s="65" t="s">
        <v>5875</v>
      </c>
    </row>
    <row r="6105" spans="1:2" x14ac:dyDescent="0.25">
      <c r="A6105" s="64" t="str">
        <f>HYPERLINK("http://www.twitter.com/EJGreen2015", "EJGreen2015")</f>
        <v>EJGreen2015</v>
      </c>
      <c r="B6105" s="65"/>
    </row>
    <row r="6106" spans="1:2" x14ac:dyDescent="0.25">
      <c r="A6106" s="64" t="str">
        <f>HYPERLINK("http://www.twitter.com/MayHamilton14", "MayHamilton14")</f>
        <v>MayHamilton14</v>
      </c>
      <c r="B6106" s="65" t="s">
        <v>5876</v>
      </c>
    </row>
    <row r="6107" spans="1:2" x14ac:dyDescent="0.25">
      <c r="A6107" s="64" t="str">
        <f>HYPERLINK("http://www.twitter.com/HoMellemsether", "HoMellemsether")</f>
        <v>HoMellemsether</v>
      </c>
      <c r="B6107" s="65" t="s">
        <v>5877</v>
      </c>
    </row>
    <row r="6108" spans="1:2" x14ac:dyDescent="0.25">
      <c r="A6108" s="64" t="str">
        <f>HYPERLINK("http://www.twitter.com/sdrake33", "sdrake33")</f>
        <v>sdrake33</v>
      </c>
      <c r="B6108" s="65"/>
    </row>
    <row r="6109" spans="1:2" x14ac:dyDescent="0.25">
      <c r="A6109" s="64" t="str">
        <f>HYPERLINK("http://www.twitter.com/owoeisme2", "owoeisme2")</f>
        <v>owoeisme2</v>
      </c>
      <c r="B6109" s="65" t="s">
        <v>5878</v>
      </c>
    </row>
    <row r="6110" spans="1:2" x14ac:dyDescent="0.25">
      <c r="A6110" s="64" t="str">
        <f>HYPERLINK("http://www.twitter.com/russellf9", "russellf9")</f>
        <v>russellf9</v>
      </c>
      <c r="B6110" s="65" t="s">
        <v>110</v>
      </c>
    </row>
    <row r="6111" spans="1:2" x14ac:dyDescent="0.25">
      <c r="A6111" s="64" t="str">
        <f>HYPERLINK("http://www.twitter.com/handfordlea", "handfordlea")</f>
        <v>handfordlea</v>
      </c>
      <c r="B6111" s="65"/>
    </row>
    <row r="6112" spans="1:2" x14ac:dyDescent="0.25">
      <c r="A6112" s="64" t="str">
        <f>HYPERLINK("http://www.twitter.com/carlacjm801", "carlacjm801")</f>
        <v>carlacjm801</v>
      </c>
      <c r="B6112" s="65"/>
    </row>
    <row r="6113" spans="1:2" x14ac:dyDescent="0.25">
      <c r="A6113" s="64" t="str">
        <f>HYPERLINK("http://www.twitter.com/doctorwattsuk", "doctorwattsuk")</f>
        <v>doctorwattsuk</v>
      </c>
      <c r="B6113" s="65"/>
    </row>
    <row r="6114" spans="1:2" x14ac:dyDescent="0.25">
      <c r="A6114" s="64" t="str">
        <f>HYPERLINK("http://www.twitter.com/sarahpryor", "sarahpryor")</f>
        <v>sarahpryor</v>
      </c>
      <c r="B6114" s="65" t="s">
        <v>5879</v>
      </c>
    </row>
    <row r="6115" spans="1:2" x14ac:dyDescent="0.25">
      <c r="A6115" s="64" t="str">
        <f>HYPERLINK("http://www.twitter.com/patrickn_d", "patrickn_d")</f>
        <v>patrickn_d</v>
      </c>
      <c r="B6115" s="65" t="s">
        <v>5570</v>
      </c>
    </row>
    <row r="6116" spans="1:2" x14ac:dyDescent="0.25">
      <c r="A6116" s="64" t="str">
        <f>HYPERLINK("http://www.twitter.com/stevewillshaw", "stevewillshaw")</f>
        <v>stevewillshaw</v>
      </c>
      <c r="B6116" s="65" t="s">
        <v>4887</v>
      </c>
    </row>
    <row r="6117" spans="1:2" x14ac:dyDescent="0.25">
      <c r="A6117" s="64" t="str">
        <f>HYPERLINK("http://www.twitter.com/rhcreativeltd", "rhcreativeltd")</f>
        <v>rhcreativeltd</v>
      </c>
      <c r="B6117" s="65"/>
    </row>
    <row r="6118" spans="1:2" x14ac:dyDescent="0.25">
      <c r="A6118" s="64" t="str">
        <f>HYPERLINK("http://www.twitter.com/Hazelina", "Hazelina")</f>
        <v>Hazelina</v>
      </c>
      <c r="B6118" s="65" t="s">
        <v>5880</v>
      </c>
    </row>
    <row r="6119" spans="1:2" x14ac:dyDescent="0.25">
      <c r="A6119" s="64" t="str">
        <f>HYPERLINK("http://www.twitter.com/Betty_Murphy", "Betty_Murphy")</f>
        <v>Betty_Murphy</v>
      </c>
      <c r="B6119" s="65" t="s">
        <v>5881</v>
      </c>
    </row>
    <row r="6120" spans="1:2" x14ac:dyDescent="0.25">
      <c r="A6120" s="64" t="str">
        <f>HYPERLINK("http://www.twitter.com/HartshornH", "HartshornH")</f>
        <v>HartshornH</v>
      </c>
      <c r="B6120" s="65" t="s">
        <v>93</v>
      </c>
    </row>
    <row r="6121" spans="1:2" x14ac:dyDescent="0.25">
      <c r="A6121" s="64" t="str">
        <f>HYPERLINK("http://www.twitter.com/aodhnaitdonnel1", "aodhnaitdonnel1")</f>
        <v>aodhnaitdonnel1</v>
      </c>
      <c r="B6121" s="65" t="s">
        <v>5882</v>
      </c>
    </row>
    <row r="6122" spans="1:2" x14ac:dyDescent="0.25">
      <c r="A6122" s="64" t="str">
        <f>HYPERLINK("http://www.twitter.com/CarolineBideas", "CarolineBideas")</f>
        <v>CarolineBideas</v>
      </c>
      <c r="B6122" s="65"/>
    </row>
    <row r="6123" spans="1:2" x14ac:dyDescent="0.25">
      <c r="A6123" s="64" t="str">
        <f>HYPERLINK("http://www.twitter.com/Gurdo", "Gurdo")</f>
        <v>Gurdo</v>
      </c>
      <c r="B6123" s="65" t="s">
        <v>5883</v>
      </c>
    </row>
    <row r="6124" spans="1:2" x14ac:dyDescent="0.25">
      <c r="A6124" s="64" t="str">
        <f>HYPERLINK("http://www.twitter.com/nickixero", "nickixero")</f>
        <v>nickixero</v>
      </c>
      <c r="B6124" s="65" t="s">
        <v>456</v>
      </c>
    </row>
    <row r="6125" spans="1:2" x14ac:dyDescent="0.25">
      <c r="A6125" s="64" t="str">
        <f>HYPERLINK("http://www.twitter.com/HobbsLeander", "HobbsLeander")</f>
        <v>HobbsLeander</v>
      </c>
      <c r="B6125" s="65" t="s">
        <v>5884</v>
      </c>
    </row>
    <row r="6126" spans="1:2" x14ac:dyDescent="0.25">
      <c r="A6126" s="64" t="str">
        <f>HYPERLINK("http://www.twitter.com/GreenMansQuarry", "GreenMansQuarry")</f>
        <v>GreenMansQuarry</v>
      </c>
      <c r="B6126" s="65" t="s">
        <v>2679</v>
      </c>
    </row>
    <row r="6127" spans="1:2" x14ac:dyDescent="0.25">
      <c r="A6127" s="64" t="str">
        <f>HYPERLINK("http://www.twitter.com/ambivalandy", "ambivalandy")</f>
        <v>ambivalandy</v>
      </c>
      <c r="B6127" s="65" t="s">
        <v>36</v>
      </c>
    </row>
    <row r="6128" spans="1:2" x14ac:dyDescent="0.25">
      <c r="A6128" s="64" t="str">
        <f>HYPERLINK("http://www.twitter.com/stuartberry1", "stuartberry1")</f>
        <v>stuartberry1</v>
      </c>
      <c r="B6128" s="65" t="s">
        <v>5885</v>
      </c>
    </row>
    <row r="6129" spans="1:2" x14ac:dyDescent="0.25">
      <c r="A6129" s="64" t="str">
        <f>HYPERLINK("http://www.twitter.com/badgerylady", "badgerylady")</f>
        <v>badgerylady</v>
      </c>
      <c r="B6129" s="65" t="s">
        <v>3633</v>
      </c>
    </row>
    <row r="6130" spans="1:2" x14ac:dyDescent="0.25">
      <c r="A6130" s="64" t="str">
        <f>HYPERLINK("http://www.twitter.com/nlennn", "nlennn")</f>
        <v>nlennn</v>
      </c>
      <c r="B6130" s="65" t="s">
        <v>5886</v>
      </c>
    </row>
    <row r="6131" spans="1:2" x14ac:dyDescent="0.25">
      <c r="A6131" s="64" t="str">
        <f>HYPERLINK("http://www.twitter.com/DialR4Robin", "DialR4Robin")</f>
        <v>DialR4Robin</v>
      </c>
      <c r="B6131" s="65" t="s">
        <v>5887</v>
      </c>
    </row>
    <row r="6132" spans="1:2" x14ac:dyDescent="0.25">
      <c r="A6132" s="64" t="str">
        <f>HYPERLINK("http://www.twitter.com/naomiedmondson", "naomiedmondson")</f>
        <v>naomiedmondson</v>
      </c>
      <c r="B6132" s="65" t="s">
        <v>36</v>
      </c>
    </row>
    <row r="6133" spans="1:2" x14ac:dyDescent="0.25">
      <c r="A6133" s="64" t="str">
        <f>HYPERLINK("http://www.twitter.com/samwylie5", "samwylie5")</f>
        <v>samwylie5</v>
      </c>
      <c r="B6133" s="65"/>
    </row>
    <row r="6134" spans="1:2" x14ac:dyDescent="0.25">
      <c r="A6134" s="64" t="str">
        <f>HYPERLINK("http://www.twitter.com/teachertomo", "teachertomo")</f>
        <v>teachertomo</v>
      </c>
      <c r="B6134" s="65"/>
    </row>
    <row r="6135" spans="1:2" x14ac:dyDescent="0.25">
      <c r="A6135" s="64" t="str">
        <f>HYPERLINK("http://www.twitter.com/BoilermanJames", "BoilermanJames")</f>
        <v>BoilermanJames</v>
      </c>
      <c r="B6135" s="65" t="s">
        <v>505</v>
      </c>
    </row>
    <row r="6136" spans="1:2" x14ac:dyDescent="0.25">
      <c r="A6136" s="64" t="str">
        <f>HYPERLINK("http://www.twitter.com/ScotOutdoors", "ScotOutdoors")</f>
        <v>ScotOutdoors</v>
      </c>
      <c r="B6136" s="65" t="s">
        <v>517</v>
      </c>
    </row>
    <row r="6137" spans="1:2" x14ac:dyDescent="0.25">
      <c r="A6137" s="64" t="str">
        <f>HYPERLINK("http://www.twitter.com/wrasuk", "wrasuk")</f>
        <v>wrasuk</v>
      </c>
      <c r="B6137" s="65" t="s">
        <v>5888</v>
      </c>
    </row>
    <row r="6138" spans="1:2" x14ac:dyDescent="0.25">
      <c r="A6138" s="64" t="str">
        <f>HYPERLINK("http://www.twitter.com/Faith_A_Jones", "Faith_A_Jones")</f>
        <v>Faith_A_Jones</v>
      </c>
      <c r="B6138" s="65" t="s">
        <v>5889</v>
      </c>
    </row>
    <row r="6139" spans="1:2" x14ac:dyDescent="0.25">
      <c r="A6139" s="64" t="str">
        <f>HYPERLINK("http://www.twitter.com/OliGarrud", "OliGarrud")</f>
        <v>OliGarrud</v>
      </c>
      <c r="B6139" s="65" t="s">
        <v>5890</v>
      </c>
    </row>
    <row r="6140" spans="1:2" x14ac:dyDescent="0.25">
      <c r="A6140" s="64" t="str">
        <f>HYPERLINK("http://www.twitter.com/James_W_Greig", "James_W_Greig")</f>
        <v>James_W_Greig</v>
      </c>
      <c r="B6140" s="65" t="s">
        <v>477</v>
      </c>
    </row>
    <row r="6141" spans="1:2" x14ac:dyDescent="0.25">
      <c r="A6141" s="64" t="str">
        <f>HYPERLINK("http://www.twitter.com/failbettercw", "failbettercw")</f>
        <v>failbettercw</v>
      </c>
      <c r="B6141" s="65" t="s">
        <v>5891</v>
      </c>
    </row>
    <row r="6142" spans="1:2" x14ac:dyDescent="0.25">
      <c r="A6142" s="64" t="str">
        <f>HYPERLINK("http://www.twitter.com/dusted1969", "dusted1969")</f>
        <v>dusted1969</v>
      </c>
      <c r="B6142" s="65" t="s">
        <v>5892</v>
      </c>
    </row>
    <row r="6143" spans="1:2" x14ac:dyDescent="0.25">
      <c r="A6143" s="64" t="str">
        <f>HYPERLINK("http://www.twitter.com/AndyMcDowall14", "AndyMcDowall14")</f>
        <v>AndyMcDowall14</v>
      </c>
      <c r="B6143" s="65"/>
    </row>
    <row r="6144" spans="1:2" x14ac:dyDescent="0.25">
      <c r="A6144" s="64" t="str">
        <f>HYPERLINK("http://www.twitter.com/wilsymons", "wilsymons")</f>
        <v>wilsymons</v>
      </c>
      <c r="B6144" s="65" t="s">
        <v>477</v>
      </c>
    </row>
    <row r="6145" spans="1:2" x14ac:dyDescent="0.25">
      <c r="A6145" s="64" t="str">
        <f>HYPERLINK("http://www.twitter.com/SnapperSnooks", "SnapperSnooks")</f>
        <v>SnapperSnooks</v>
      </c>
      <c r="B6145" s="65" t="s">
        <v>5893</v>
      </c>
    </row>
    <row r="6146" spans="1:2" x14ac:dyDescent="0.25">
      <c r="A6146" s="64" t="str">
        <f>HYPERLINK("http://www.twitter.com/hsorrell", "hsorrell")</f>
        <v>hsorrell</v>
      </c>
      <c r="B6146" s="65" t="s">
        <v>110</v>
      </c>
    </row>
    <row r="6147" spans="1:2" x14ac:dyDescent="0.25">
      <c r="A6147" s="64" t="str">
        <f>HYPERLINK("http://www.twitter.com/ChristieTucker", "ChristieTucker")</f>
        <v>ChristieTucker</v>
      </c>
      <c r="B6147" s="65" t="s">
        <v>477</v>
      </c>
    </row>
    <row r="6148" spans="1:2" x14ac:dyDescent="0.25">
      <c r="A6148" s="64" t="str">
        <f>HYPERLINK("http://www.twitter.com/barneybubble", "barneybubble")</f>
        <v>barneybubble</v>
      </c>
      <c r="B6148" s="65" t="s">
        <v>4050</v>
      </c>
    </row>
    <row r="6149" spans="1:2" x14ac:dyDescent="0.25">
      <c r="A6149" s="64" t="str">
        <f>HYPERLINK("http://www.twitter.com/rachelcarter1", "rachelcarter1")</f>
        <v>rachelcarter1</v>
      </c>
      <c r="B6149" s="65" t="s">
        <v>5839</v>
      </c>
    </row>
    <row r="6150" spans="1:2" x14ac:dyDescent="0.25">
      <c r="A6150" s="64" t="str">
        <f>HYPERLINK("http://www.twitter.com/nixon_tod", "nixon_tod")</f>
        <v>nixon_tod</v>
      </c>
      <c r="B6150" s="65" t="s">
        <v>5894</v>
      </c>
    </row>
    <row r="6151" spans="1:2" x14ac:dyDescent="0.25">
      <c r="A6151" s="64" t="str">
        <f>HYPERLINK("http://www.twitter.com/HelenTimbrell", "HelenTimbrell")</f>
        <v>HelenTimbrell</v>
      </c>
      <c r="B6151" s="65"/>
    </row>
    <row r="6152" spans="1:2" x14ac:dyDescent="0.25">
      <c r="A6152" s="64" t="str">
        <f>HYPERLINK("http://www.twitter.com/gulpworld", "gulpworld")</f>
        <v>gulpworld</v>
      </c>
      <c r="B6152" s="65" t="s">
        <v>5895</v>
      </c>
    </row>
    <row r="6153" spans="1:2" x14ac:dyDescent="0.25">
      <c r="A6153" s="64" t="str">
        <f>HYPERLINK("http://www.twitter.com/oxfordmoss", "oxfordmoss")</f>
        <v>oxfordmoss</v>
      </c>
      <c r="B6153" s="65"/>
    </row>
    <row r="6154" spans="1:2" x14ac:dyDescent="0.25">
      <c r="A6154" s="64" t="str">
        <f>HYPERLINK("http://www.twitter.com/erigorh", "erigorh")</f>
        <v>erigorh</v>
      </c>
      <c r="B6154" s="65"/>
    </row>
    <row r="6155" spans="1:2" x14ac:dyDescent="0.25">
      <c r="A6155" s="64" t="str">
        <f>HYPERLINK("http://www.twitter.com/tabor_abby", "tabor_abby")</f>
        <v>tabor_abby</v>
      </c>
      <c r="B6155" s="65" t="s">
        <v>2270</v>
      </c>
    </row>
    <row r="6156" spans="1:2" x14ac:dyDescent="0.25">
      <c r="A6156" s="64" t="str">
        <f>HYPERLINK("http://www.twitter.com/LeKuzu", "LeKuzu")</f>
        <v>LeKuzu</v>
      </c>
      <c r="B6156" s="65" t="s">
        <v>5896</v>
      </c>
    </row>
    <row r="6157" spans="1:2" x14ac:dyDescent="0.25">
      <c r="A6157" s="64" t="str">
        <f>HYPERLINK("http://www.twitter.com/AlexNancol", "AlexNancol")</f>
        <v>AlexNancol</v>
      </c>
      <c r="B6157" s="65"/>
    </row>
    <row r="6158" spans="1:2" x14ac:dyDescent="0.25">
      <c r="A6158" s="64" t="str">
        <f>HYPERLINK("http://www.twitter.com/dundan0508", "dundan0508")</f>
        <v>dundan0508</v>
      </c>
      <c r="B6158" s="65" t="s">
        <v>5897</v>
      </c>
    </row>
    <row r="6159" spans="1:2" x14ac:dyDescent="0.25">
      <c r="A6159" s="64" t="str">
        <f>HYPERLINK("http://www.twitter.com/Clomoss", "Clomoss")</f>
        <v>Clomoss</v>
      </c>
      <c r="B6159" s="65"/>
    </row>
    <row r="6160" spans="1:2" x14ac:dyDescent="0.25">
      <c r="A6160" s="64" t="str">
        <f>HYPERLINK("http://www.twitter.com/garimaccoll", "garimaccoll")</f>
        <v>garimaccoll</v>
      </c>
      <c r="B6160" s="65" t="s">
        <v>5898</v>
      </c>
    </row>
    <row r="6161" spans="1:2" x14ac:dyDescent="0.25">
      <c r="A6161" s="64" t="str">
        <f>HYPERLINK("http://www.twitter.com/RachElizRose", "RachElizRose")</f>
        <v>RachElizRose</v>
      </c>
      <c r="B6161" s="65" t="s">
        <v>70</v>
      </c>
    </row>
    <row r="6162" spans="1:2" x14ac:dyDescent="0.25">
      <c r="A6162" s="64" t="str">
        <f>HYPERLINK("http://www.twitter.com/MagpieEmily", "MagpieEmily")</f>
        <v>MagpieEmily</v>
      </c>
      <c r="B6162" s="65" t="s">
        <v>310</v>
      </c>
    </row>
    <row r="6163" spans="1:2" x14ac:dyDescent="0.25">
      <c r="A6163" s="64" t="str">
        <f>HYPERLINK("http://www.twitter.com/CoopFayB", "CoopFayB")</f>
        <v>CoopFayB</v>
      </c>
      <c r="B6163" s="65" t="s">
        <v>5899</v>
      </c>
    </row>
    <row r="6164" spans="1:2" x14ac:dyDescent="0.25">
      <c r="A6164" s="64" t="str">
        <f>HYPERLINK("http://www.twitter.com/midcenturylass", "midcenturylass")</f>
        <v>midcenturylass</v>
      </c>
      <c r="B6164" s="65" t="s">
        <v>5900</v>
      </c>
    </row>
    <row r="6165" spans="1:2" x14ac:dyDescent="0.25">
      <c r="A6165" s="64" t="str">
        <f>HYPERLINK("http://www.twitter.com/NicolaatDH", "NicolaatDH")</f>
        <v>NicolaatDH</v>
      </c>
      <c r="B6165" s="65" t="s">
        <v>5901</v>
      </c>
    </row>
    <row r="6166" spans="1:2" x14ac:dyDescent="0.25">
      <c r="A6166" s="64" t="str">
        <f>HYPERLINK("http://www.twitter.com/AndrewRBarr", "AndrewRBarr")</f>
        <v>AndrewRBarr</v>
      </c>
      <c r="B6166" s="65" t="s">
        <v>517</v>
      </c>
    </row>
    <row r="6167" spans="1:2" x14ac:dyDescent="0.25">
      <c r="A6167" s="64" t="str">
        <f>HYPERLINK("http://www.twitter.com/daysawayadv", "daysawayadv")</f>
        <v>daysawayadv</v>
      </c>
      <c r="B6167" s="65" t="s">
        <v>3964</v>
      </c>
    </row>
    <row r="6168" spans="1:2" x14ac:dyDescent="0.25">
      <c r="A6168" s="64" t="str">
        <f>HYPERLINK("http://www.twitter.com/catherine_hann", "catherine_hann")</f>
        <v>catherine_hann</v>
      </c>
      <c r="B6168" s="65" t="s">
        <v>5902</v>
      </c>
    </row>
    <row r="6169" spans="1:2" x14ac:dyDescent="0.25">
      <c r="A6169" s="64" t="str">
        <f>HYPERLINK("http://www.twitter.com/edintigertony", "edintigertony")</f>
        <v>edintigertony</v>
      </c>
      <c r="B6169" s="65" t="s">
        <v>5903</v>
      </c>
    </row>
    <row r="6170" spans="1:2" x14ac:dyDescent="0.25">
      <c r="A6170" s="64" t="str">
        <f>HYPERLINK("http://www.twitter.com/vblair25", "vblair25")</f>
        <v>vblair25</v>
      </c>
      <c r="B6170" s="65"/>
    </row>
    <row r="6171" spans="1:2" x14ac:dyDescent="0.25">
      <c r="A6171" s="64" t="str">
        <f>HYPERLINK("http://www.twitter.com/paulclark72", "paulclark72")</f>
        <v>paulclark72</v>
      </c>
      <c r="B6171" s="65" t="s">
        <v>5904</v>
      </c>
    </row>
    <row r="6172" spans="1:2" x14ac:dyDescent="0.25">
      <c r="A6172" s="64" t="str">
        <f>HYPERLINK("http://www.twitter.com/roisingreta", "roisingreta")</f>
        <v>roisingreta</v>
      </c>
      <c r="B6172" s="65" t="s">
        <v>477</v>
      </c>
    </row>
    <row r="6173" spans="1:2" x14ac:dyDescent="0.25">
      <c r="A6173" s="64" t="str">
        <f>HYPERLINK("http://www.twitter.com/Vintagevision01", "Vintagevision01")</f>
        <v>Vintagevision01</v>
      </c>
      <c r="B6173" s="65" t="s">
        <v>5336</v>
      </c>
    </row>
    <row r="6174" spans="1:2" x14ac:dyDescent="0.25">
      <c r="A6174" s="64" t="str">
        <f>HYPERLINK("http://www.twitter.com/docrussjackson", "docrussjackson")</f>
        <v>docrussjackson</v>
      </c>
      <c r="B6174" s="65" t="s">
        <v>5905</v>
      </c>
    </row>
    <row r="6175" spans="1:2" x14ac:dyDescent="0.25">
      <c r="A6175" s="64" t="str">
        <f>HYPERLINK("http://www.twitter.com/AngelaF1998", "AngelaF1998")</f>
        <v>AngelaF1998</v>
      </c>
      <c r="B6175" s="65" t="s">
        <v>5906</v>
      </c>
    </row>
    <row r="6176" spans="1:2" x14ac:dyDescent="0.25">
      <c r="A6176" s="64" t="str">
        <f>HYPERLINK("http://www.twitter.com/Mrs_Moons", "Mrs_Moons")</f>
        <v>Mrs_Moons</v>
      </c>
      <c r="B6176" s="65" t="s">
        <v>5907</v>
      </c>
    </row>
    <row r="6177" spans="1:2" x14ac:dyDescent="0.25">
      <c r="A6177" s="64" t="str">
        <f>HYPERLINK("http://www.twitter.com/federstein7", "federstein7")</f>
        <v>federstein7</v>
      </c>
      <c r="B6177" s="65" t="s">
        <v>36</v>
      </c>
    </row>
    <row r="6178" spans="1:2" x14ac:dyDescent="0.25">
      <c r="A6178" s="64" t="str">
        <f>HYPERLINK("http://www.twitter.com/anniehard19", "anniehard19")</f>
        <v>anniehard19</v>
      </c>
      <c r="B6178" s="65"/>
    </row>
    <row r="6179" spans="1:2" x14ac:dyDescent="0.25">
      <c r="A6179" s="64" t="str">
        <f>HYPERLINK("http://www.twitter.com/AdrianaFrancis5", "AdrianaFrancis5")</f>
        <v>AdrianaFrancis5</v>
      </c>
      <c r="B6179" s="65"/>
    </row>
    <row r="6180" spans="1:2" x14ac:dyDescent="0.25">
      <c r="A6180" s="64" t="str">
        <f>HYPERLINK("http://www.twitter.com/JrRoutledge", "JrRoutledge")</f>
        <v>JrRoutledge</v>
      </c>
      <c r="B6180" s="65" t="s">
        <v>5908</v>
      </c>
    </row>
    <row r="6181" spans="1:2" x14ac:dyDescent="0.25">
      <c r="A6181" s="64" t="str">
        <f>HYPERLINK("http://www.twitter.com/JaneWhitts", "JaneWhitts")</f>
        <v>JaneWhitts</v>
      </c>
      <c r="B6181" s="65"/>
    </row>
    <row r="6182" spans="1:2" x14ac:dyDescent="0.25">
      <c r="A6182" s="64" t="str">
        <f>HYPERLINK("http://www.twitter.com/stw62", "stw62")</f>
        <v>stw62</v>
      </c>
      <c r="B6182" s="65" t="s">
        <v>4501</v>
      </c>
    </row>
    <row r="6183" spans="1:2" x14ac:dyDescent="0.25">
      <c r="A6183" s="64" t="str">
        <f>HYPERLINK("http://www.twitter.com/trcy", "trcy")</f>
        <v>trcy</v>
      </c>
      <c r="B6183" s="65"/>
    </row>
    <row r="6184" spans="1:2" x14ac:dyDescent="0.25">
      <c r="A6184" s="64" t="str">
        <f>HYPERLINK("http://www.twitter.com/ColliOBrien", "ColliOBrien")</f>
        <v>ColliOBrien</v>
      </c>
      <c r="B6184" s="65" t="s">
        <v>5909</v>
      </c>
    </row>
    <row r="6185" spans="1:2" x14ac:dyDescent="0.25">
      <c r="A6185" s="64" t="str">
        <f>HYPERLINK("http://www.twitter.com/FlettJenni", "FlettJenni")</f>
        <v>FlettJenni</v>
      </c>
      <c r="B6185" s="65" t="s">
        <v>24</v>
      </c>
    </row>
    <row r="6186" spans="1:2" x14ac:dyDescent="0.25">
      <c r="A6186" s="64" t="str">
        <f>HYPERLINK("http://www.twitter.com/RachelLBurnsme", "RachelLBurnsme")</f>
        <v>RachelLBurnsme</v>
      </c>
      <c r="B6186" s="65" t="s">
        <v>837</v>
      </c>
    </row>
    <row r="6187" spans="1:2" x14ac:dyDescent="0.25">
      <c r="A6187" s="64" t="str">
        <f>HYPERLINK("http://www.twitter.com/ecowhisky", "ecowhisky")</f>
        <v>ecowhisky</v>
      </c>
      <c r="B6187" s="65" t="s">
        <v>24</v>
      </c>
    </row>
    <row r="6188" spans="1:2" x14ac:dyDescent="0.25">
      <c r="A6188" s="64" t="str">
        <f>HYPERLINK("http://www.twitter.com/smithcate", "smithcate")</f>
        <v>smithcate</v>
      </c>
      <c r="B6188" s="65" t="s">
        <v>24</v>
      </c>
    </row>
    <row r="6189" spans="1:2" x14ac:dyDescent="0.25">
      <c r="A6189" s="64" t="str">
        <f>HYPERLINK("http://www.twitter.com/aikidr", "aikidr")</f>
        <v>aikidr</v>
      </c>
      <c r="B6189" s="65" t="s">
        <v>4147</v>
      </c>
    </row>
    <row r="6190" spans="1:2" x14ac:dyDescent="0.25">
      <c r="A6190" s="64" t="str">
        <f>HYPERLINK("http://www.twitter.com/footlefrankie", "footlefrankie")</f>
        <v>footlefrankie</v>
      </c>
      <c r="B6190" s="65"/>
    </row>
    <row r="6191" spans="1:2" x14ac:dyDescent="0.25">
      <c r="A6191" s="64" t="str">
        <f>HYPERLINK("http://www.twitter.com/PretheroL", "PretheroL")</f>
        <v>PretheroL</v>
      </c>
      <c r="B6191" s="65"/>
    </row>
    <row r="6192" spans="1:2" x14ac:dyDescent="0.25">
      <c r="A6192" s="64" t="str">
        <f>HYPERLINK("http://www.twitter.com/growing_lad", "growing_lad")</f>
        <v>growing_lad</v>
      </c>
      <c r="B6192" s="65"/>
    </row>
    <row r="6193" spans="1:2" x14ac:dyDescent="0.25">
      <c r="A6193" s="64" t="str">
        <f>HYPERLINK("http://www.twitter.com/baztench", "baztench")</f>
        <v>baztench</v>
      </c>
      <c r="B6193" s="65" t="s">
        <v>5910</v>
      </c>
    </row>
    <row r="6194" spans="1:2" x14ac:dyDescent="0.25">
      <c r="A6194" s="64" t="str">
        <f>HYPERLINK("http://www.twitter.com/CassianWheeler", "CassianWheeler")</f>
        <v>CassianWheeler</v>
      </c>
      <c r="B6194" s="65" t="s">
        <v>5911</v>
      </c>
    </row>
    <row r="6195" spans="1:2" x14ac:dyDescent="0.25">
      <c r="A6195" s="64" t="str">
        <f>HYPERLINK("http://www.twitter.com/campbellkaren22", "campbellkaren22")</f>
        <v>campbellkaren22</v>
      </c>
      <c r="B6195" s="65"/>
    </row>
    <row r="6196" spans="1:2" x14ac:dyDescent="0.25">
      <c r="A6196" s="64" t="str">
        <f>HYPERLINK("http://www.twitter.com/DrVicSimms", "DrVicSimms")</f>
        <v>DrVicSimms</v>
      </c>
      <c r="B6196" s="65" t="s">
        <v>607</v>
      </c>
    </row>
    <row r="6197" spans="1:2" x14ac:dyDescent="0.25">
      <c r="A6197" s="64" t="str">
        <f>HYPERLINK("http://www.twitter.com/fay_fay_fay", "fay_fay_fay")</f>
        <v>fay_fay_fay</v>
      </c>
      <c r="B6197" s="65"/>
    </row>
    <row r="6198" spans="1:2" x14ac:dyDescent="0.25">
      <c r="A6198" s="64" t="str">
        <f>HYPERLINK("http://www.twitter.com/sdelgadolizarr1", "sdelgadolizarr1")</f>
        <v>sdelgadolizarr1</v>
      </c>
      <c r="B6198" s="65"/>
    </row>
    <row r="6199" spans="1:2" x14ac:dyDescent="0.25">
      <c r="A6199" s="64" t="str">
        <f>HYPERLINK("http://www.twitter.com/AnnaSpicer1", "AnnaSpicer1")</f>
        <v>AnnaSpicer1</v>
      </c>
      <c r="B6199" s="65"/>
    </row>
    <row r="6200" spans="1:2" x14ac:dyDescent="0.25">
      <c r="A6200" s="64" t="str">
        <f>HYPERLINK("http://www.twitter.com/Pharkie", "Pharkie")</f>
        <v>Pharkie</v>
      </c>
      <c r="B6200" s="65" t="s">
        <v>36</v>
      </c>
    </row>
    <row r="6201" spans="1:2" x14ac:dyDescent="0.25">
      <c r="A6201" s="64" t="str">
        <f>HYPERLINK("http://www.twitter.com/Thom5Kate", "Thom5Kate")</f>
        <v>Thom5Kate</v>
      </c>
      <c r="B6201" s="65"/>
    </row>
    <row r="6202" spans="1:2" x14ac:dyDescent="0.25">
      <c r="A6202" s="64" t="str">
        <f>HYPERLINK("http://www.twitter.com/snowhitetanya", "snowhitetanya")</f>
        <v>snowhitetanya</v>
      </c>
      <c r="B6202" s="65"/>
    </row>
    <row r="6203" spans="1:2" x14ac:dyDescent="0.25">
      <c r="A6203" s="64" t="str">
        <f>HYPERLINK("http://www.twitter.com/Brendan_Surrey", "Brendan_Surrey")</f>
        <v>Brendan_Surrey</v>
      </c>
      <c r="B6203" s="65" t="s">
        <v>5912</v>
      </c>
    </row>
    <row r="6204" spans="1:2" x14ac:dyDescent="0.25">
      <c r="A6204" s="64" t="str">
        <f>HYPERLINK("http://www.twitter.com/rossmusgrove", "rossmusgrove")</f>
        <v>rossmusgrove</v>
      </c>
      <c r="B6204" s="65" t="s">
        <v>36</v>
      </c>
    </row>
    <row r="6205" spans="1:2" x14ac:dyDescent="0.25">
      <c r="A6205" s="64" t="str">
        <f>HYPERLINK("http://www.twitter.com/MatthewThorn1", "MatthewThorn1")</f>
        <v>MatthewThorn1</v>
      </c>
      <c r="B6205" s="65"/>
    </row>
    <row r="6206" spans="1:2" x14ac:dyDescent="0.25">
      <c r="A6206" s="64" t="str">
        <f>HYPERLINK("http://www.twitter.com/jilltheharris", "jilltheharris")</f>
        <v>jilltheharris</v>
      </c>
      <c r="B6206" s="65" t="s">
        <v>1649</v>
      </c>
    </row>
    <row r="6207" spans="1:2" x14ac:dyDescent="0.25">
      <c r="A6207" s="64" t="str">
        <f>HYPERLINK("http://www.twitter.com/thejudge09", "thejudge09")</f>
        <v>thejudge09</v>
      </c>
      <c r="B6207" s="65"/>
    </row>
    <row r="6208" spans="1:2" x14ac:dyDescent="0.25">
      <c r="A6208" s="64" t="str">
        <f>HYPERLINK("http://www.twitter.com/surfarose", "surfarose")</f>
        <v>surfarose</v>
      </c>
      <c r="B6208" s="65"/>
    </row>
    <row r="6209" spans="1:2" x14ac:dyDescent="0.25">
      <c r="A6209" s="64" t="str">
        <f>HYPERLINK("http://www.twitter.com/timbaker2012", "timbaker2012")</f>
        <v>timbaker2012</v>
      </c>
      <c r="B6209" s="65" t="s">
        <v>5913</v>
      </c>
    </row>
    <row r="6210" spans="1:2" x14ac:dyDescent="0.25">
      <c r="A6210" s="64" t="str">
        <f>HYPERLINK("http://www.twitter.com/LouisaMacIver", "LouisaMacIver")</f>
        <v>LouisaMacIver</v>
      </c>
      <c r="B6210" s="65"/>
    </row>
    <row r="6211" spans="1:2" x14ac:dyDescent="0.25">
      <c r="A6211" s="64" t="str">
        <f>HYPERLINK("http://www.twitter.com/lotw1952", "lotw1952")</f>
        <v>lotw1952</v>
      </c>
      <c r="B6211" s="65" t="s">
        <v>5914</v>
      </c>
    </row>
    <row r="6212" spans="1:2" x14ac:dyDescent="0.25">
      <c r="A6212" s="64" t="str">
        <f>HYPERLINK("http://www.twitter.com/LaTambourine", "LaTambourine")</f>
        <v>LaTambourine</v>
      </c>
      <c r="B6212" s="65" t="s">
        <v>1180</v>
      </c>
    </row>
    <row r="6213" spans="1:2" x14ac:dyDescent="0.25">
      <c r="A6213" s="64" t="str">
        <f>HYPERLINK("http://www.twitter.com/DMainsAl", "DMainsAl")</f>
        <v>DMainsAl</v>
      </c>
      <c r="B6213" s="65" t="s">
        <v>24</v>
      </c>
    </row>
    <row r="6214" spans="1:2" x14ac:dyDescent="0.25">
      <c r="A6214" s="64" t="str">
        <f>HYPERLINK("http://www.twitter.com/kaffodd", "kaffodd")</f>
        <v>kaffodd</v>
      </c>
      <c r="B6214" s="65"/>
    </row>
    <row r="6215" spans="1:2" x14ac:dyDescent="0.25">
      <c r="A6215" s="64" t="str">
        <f>HYPERLINK("http://www.twitter.com/aff9ceb873b5496", "aff9ceb873b5496")</f>
        <v>aff9ceb873b5496</v>
      </c>
      <c r="B6215" s="65"/>
    </row>
    <row r="6216" spans="1:2" x14ac:dyDescent="0.25">
      <c r="A6216" s="64" t="str">
        <f>HYPERLINK("http://www.twitter.com/sajagates", "sajagates")</f>
        <v>sajagates</v>
      </c>
      <c r="B6216" s="65"/>
    </row>
    <row r="6217" spans="1:2" x14ac:dyDescent="0.25">
      <c r="A6217" s="64" t="str">
        <f>HYPERLINK("http://www.twitter.com/ElizabethMurton", "ElizabethMurton")</f>
        <v>ElizabethMurton</v>
      </c>
      <c r="B6217" s="65"/>
    </row>
    <row r="6218" spans="1:2" x14ac:dyDescent="0.25">
      <c r="A6218" s="64" t="str">
        <f>HYPERLINK("http://www.twitter.com/nlawrence2014", "nlawrence2014")</f>
        <v>nlawrence2014</v>
      </c>
      <c r="B6218" s="65" t="s">
        <v>4289</v>
      </c>
    </row>
    <row r="6219" spans="1:2" x14ac:dyDescent="0.25">
      <c r="A6219" s="64" t="str">
        <f>HYPERLINK("http://www.twitter.com/katec345", "katec345")</f>
        <v>katec345</v>
      </c>
      <c r="B6219" s="65" t="s">
        <v>871</v>
      </c>
    </row>
    <row r="6220" spans="1:2" x14ac:dyDescent="0.25">
      <c r="A6220" s="64" t="str">
        <f>HYPERLINK("http://www.twitter.com/DonaldsonIsobel", "DonaldsonIsobel")</f>
        <v>DonaldsonIsobel</v>
      </c>
      <c r="B6220" s="65"/>
    </row>
    <row r="6221" spans="1:2" x14ac:dyDescent="0.25">
      <c r="A6221" s="64" t="str">
        <f>HYPERLINK("http://www.twitter.com/CONWAYandYOUNG", "CONWAYandYOUNG")</f>
        <v>CONWAYandYOUNG</v>
      </c>
      <c r="B6221" s="65"/>
    </row>
    <row r="6222" spans="1:2" x14ac:dyDescent="0.25">
      <c r="A6222" s="64" t="str">
        <f>HYPERLINK("http://www.twitter.com/gdfriends2know", "gdfriends2know")</f>
        <v>gdfriends2know</v>
      </c>
      <c r="B6222" s="65"/>
    </row>
    <row r="6223" spans="1:2" x14ac:dyDescent="0.25">
      <c r="A6223" s="64" t="str">
        <f>HYPERLINK("http://www.twitter.com/Kayosyoga", "Kayosyoga")</f>
        <v>Kayosyoga</v>
      </c>
      <c r="B6223" s="65" t="s">
        <v>5915</v>
      </c>
    </row>
    <row r="6224" spans="1:2" x14ac:dyDescent="0.25">
      <c r="A6224" s="64" t="str">
        <f>HYPERLINK("http://www.twitter.com/iscotta73", "iscotta73")</f>
        <v>iscotta73</v>
      </c>
      <c r="B6224" s="65"/>
    </row>
    <row r="6225" spans="1:2" x14ac:dyDescent="0.25">
      <c r="A6225" s="64" t="str">
        <f>HYPERLINK("http://www.twitter.com/RosieLaydon", "RosieLaydon")</f>
        <v>RosieLaydon</v>
      </c>
      <c r="B6225" s="65" t="s">
        <v>36</v>
      </c>
    </row>
    <row r="6226" spans="1:2" x14ac:dyDescent="0.25">
      <c r="A6226" s="64" t="str">
        <f>HYPERLINK("http://www.twitter.com/juptrking", "juptrking")</f>
        <v>juptrking</v>
      </c>
      <c r="B6226" s="65" t="s">
        <v>36</v>
      </c>
    </row>
    <row r="6227" spans="1:2" x14ac:dyDescent="0.25">
      <c r="A6227" s="64" t="str">
        <f>HYPERLINK("http://www.twitter.com/LaBarnicoat", "LaBarnicoat")</f>
        <v>LaBarnicoat</v>
      </c>
      <c r="B6227" s="65"/>
    </row>
    <row r="6228" spans="1:2" x14ac:dyDescent="0.25">
      <c r="A6228" s="64" t="str">
        <f>HYPERLINK("http://www.twitter.com/twitofmartyn", "twitofmartyn")</f>
        <v>twitofmartyn</v>
      </c>
      <c r="B6228" s="65"/>
    </row>
    <row r="6229" spans="1:2" x14ac:dyDescent="0.25">
      <c r="A6229" s="64" t="str">
        <f>HYPERLINK("http://www.twitter.com/perkinr", "perkinr")</f>
        <v>perkinr</v>
      </c>
      <c r="B6229" s="65" t="s">
        <v>1098</v>
      </c>
    </row>
    <row r="6230" spans="1:2" x14ac:dyDescent="0.25">
      <c r="A6230" s="64" t="str">
        <f>HYPERLINK("http://www.twitter.com/thebowett", "thebowett")</f>
        <v>thebowett</v>
      </c>
      <c r="B6230" s="65" t="s">
        <v>3787</v>
      </c>
    </row>
    <row r="6231" spans="1:2" x14ac:dyDescent="0.25">
      <c r="A6231" s="64" t="str">
        <f>HYPERLINK("http://www.twitter.com/suzfl", "suzfl")</f>
        <v>suzfl</v>
      </c>
      <c r="B6231" s="65" t="s">
        <v>318</v>
      </c>
    </row>
    <row r="6232" spans="1:2" x14ac:dyDescent="0.25">
      <c r="A6232" s="64" t="str">
        <f>HYPERLINK("http://www.twitter.com/HarryFarmer", "HarryFarmer")</f>
        <v>HarryFarmer</v>
      </c>
      <c r="B6232" s="65" t="s">
        <v>5916</v>
      </c>
    </row>
    <row r="6233" spans="1:2" x14ac:dyDescent="0.25">
      <c r="A6233" s="64" t="str">
        <f>HYPERLINK("http://www.twitter.com/CopemanPatricia", "CopemanPatricia")</f>
        <v>CopemanPatricia</v>
      </c>
      <c r="B6233" s="65"/>
    </row>
    <row r="6234" spans="1:2" x14ac:dyDescent="0.25">
      <c r="A6234" s="64" t="str">
        <f>HYPERLINK("http://www.twitter.com/travellingmoose", "travellingmoose")</f>
        <v>travellingmoose</v>
      </c>
      <c r="B6234" s="65" t="s">
        <v>36</v>
      </c>
    </row>
    <row r="6235" spans="1:2" x14ac:dyDescent="0.25">
      <c r="A6235" s="64" t="str">
        <f>HYPERLINK("http://www.twitter.com/michaelgogerty", "michaelgogerty")</f>
        <v>michaelgogerty</v>
      </c>
      <c r="B6235" s="65"/>
    </row>
    <row r="6236" spans="1:2" x14ac:dyDescent="0.25">
      <c r="A6236" s="64" t="str">
        <f>HYPERLINK("http://www.twitter.com/julietmcook", "julietmcook")</f>
        <v>julietmcook</v>
      </c>
      <c r="B6236" s="65"/>
    </row>
    <row r="6237" spans="1:2" x14ac:dyDescent="0.25">
      <c r="A6237" s="64" t="str">
        <f>HYPERLINK("http://www.twitter.com/Suzanne_Shadow", "Suzanne_Shadow")</f>
        <v>Suzanne_Shadow</v>
      </c>
      <c r="B6237" s="65" t="s">
        <v>1980</v>
      </c>
    </row>
    <row r="6238" spans="1:2" x14ac:dyDescent="0.25">
      <c r="A6238" s="64" t="str">
        <f>HYPERLINK("http://www.twitter.com/theoxbowlake", "theoxbowlake")</f>
        <v>theoxbowlake</v>
      </c>
      <c r="B6238" s="65" t="s">
        <v>5917</v>
      </c>
    </row>
    <row r="6239" spans="1:2" x14ac:dyDescent="0.25">
      <c r="A6239" s="64" t="str">
        <f>HYPERLINK("http://www.twitter.com/pinklady40s", "pinklady40s")</f>
        <v>pinklady40s</v>
      </c>
      <c r="B6239" s="65" t="s">
        <v>70</v>
      </c>
    </row>
    <row r="6240" spans="1:2" x14ac:dyDescent="0.25">
      <c r="A6240" s="64" t="str">
        <f>HYPERLINK("http://www.twitter.com/ratchett17", "ratchett17")</f>
        <v>ratchett17</v>
      </c>
      <c r="B6240" s="65"/>
    </row>
    <row r="6241" spans="1:2" x14ac:dyDescent="0.25">
      <c r="A6241" s="64" t="str">
        <f>HYPERLINK("http://www.twitter.com/Arty_Liza", "Arty_Liza")</f>
        <v>Arty_Liza</v>
      </c>
      <c r="B6241" s="65"/>
    </row>
    <row r="6242" spans="1:2" x14ac:dyDescent="0.25">
      <c r="A6242" s="64" t="str">
        <f>HYPERLINK("http://www.twitter.com/shputnik", "shputnik")</f>
        <v>shputnik</v>
      </c>
      <c r="B6242" s="65"/>
    </row>
    <row r="6243" spans="1:2" x14ac:dyDescent="0.25">
      <c r="A6243" s="64" t="str">
        <f>HYPERLINK("http://www.twitter.com/lovinglife500", "lovinglife500")</f>
        <v>lovinglife500</v>
      </c>
      <c r="B6243" s="65"/>
    </row>
    <row r="6244" spans="1:2" x14ac:dyDescent="0.25">
      <c r="A6244" s="64" t="str">
        <f>HYPERLINK("http://www.twitter.com/JulieCowans1", "JulieCowans1")</f>
        <v>JulieCowans1</v>
      </c>
      <c r="B6244" s="65" t="s">
        <v>3787</v>
      </c>
    </row>
    <row r="6245" spans="1:2" x14ac:dyDescent="0.25">
      <c r="A6245" s="64" t="str">
        <f>HYPERLINK("http://www.twitter.com/MNewell586", "MNewell586")</f>
        <v>MNewell586</v>
      </c>
      <c r="B6245" s="65"/>
    </row>
    <row r="6246" spans="1:2" x14ac:dyDescent="0.25">
      <c r="A6246" s="64" t="str">
        <f>HYPERLINK("http://www.twitter.com/lindybooo", "lindybooo")</f>
        <v>lindybooo</v>
      </c>
      <c r="B6246" s="65" t="s">
        <v>5918</v>
      </c>
    </row>
    <row r="6247" spans="1:2" x14ac:dyDescent="0.25">
      <c r="A6247" s="64" t="str">
        <f>HYPERLINK("http://www.twitter.com/bgiulia", "bgiulia")</f>
        <v>bgiulia</v>
      </c>
      <c r="B6247" s="65" t="s">
        <v>5919</v>
      </c>
    </row>
    <row r="6248" spans="1:2" x14ac:dyDescent="0.25">
      <c r="A6248" s="64" t="str">
        <f>HYPERLINK("http://www.twitter.com/itsdrmac", "itsdrmac")</f>
        <v>itsdrmac</v>
      </c>
      <c r="B6248" s="65" t="s">
        <v>5807</v>
      </c>
    </row>
    <row r="6249" spans="1:2" x14ac:dyDescent="0.25">
      <c r="A6249" s="64" t="str">
        <f>HYPERLINK("http://www.twitter.com/LouiseHartrey", "LouiseHartrey")</f>
        <v>LouiseHartrey</v>
      </c>
      <c r="B6249" s="65" t="s">
        <v>5920</v>
      </c>
    </row>
    <row r="6250" spans="1:2" x14ac:dyDescent="0.25">
      <c r="A6250" s="64" t="str">
        <f>HYPERLINK("http://www.twitter.com/JuliaCaroHB", "JuliaCaroHB")</f>
        <v>JuliaCaroHB</v>
      </c>
      <c r="B6250" s="65" t="s">
        <v>5921</v>
      </c>
    </row>
    <row r="6251" spans="1:2" x14ac:dyDescent="0.25">
      <c r="A6251" s="64" t="str">
        <f>HYPERLINK("http://www.twitter.com/SWhitlie", "SWhitlie")</f>
        <v>SWhitlie</v>
      </c>
      <c r="B6251" s="65"/>
    </row>
    <row r="6252" spans="1:2" x14ac:dyDescent="0.25">
      <c r="A6252" s="64" t="str">
        <f>HYPERLINK("http://www.twitter.com/NikStawiarski", "NikStawiarski")</f>
        <v>NikStawiarski</v>
      </c>
      <c r="B6252" s="65" t="s">
        <v>1649</v>
      </c>
    </row>
    <row r="6253" spans="1:2" x14ac:dyDescent="0.25">
      <c r="A6253" s="64" t="str">
        <f>HYPERLINK("http://www.twitter.com/moorstours", "moorstours")</f>
        <v>moorstours</v>
      </c>
      <c r="B6253" s="65" t="s">
        <v>5922</v>
      </c>
    </row>
    <row r="6254" spans="1:2" x14ac:dyDescent="0.25">
      <c r="A6254" s="64" t="str">
        <f>HYPERLINK("http://www.twitter.com/OliviaGianelli", "OliviaGianelli")</f>
        <v>OliviaGianelli</v>
      </c>
      <c r="B6254" s="65"/>
    </row>
    <row r="6255" spans="1:2" x14ac:dyDescent="0.25">
      <c r="A6255" s="64" t="str">
        <f>HYPERLINK("http://www.twitter.com/_amy_ferguson_", "_amy_ferguson_")</f>
        <v>_amy_ferguson_</v>
      </c>
      <c r="B6255" s="65"/>
    </row>
    <row r="6256" spans="1:2" x14ac:dyDescent="0.25">
      <c r="A6256" s="64" t="str">
        <f>HYPERLINK("http://www.twitter.com/chebrava", "chebrava")</f>
        <v>chebrava</v>
      </c>
      <c r="B6256" s="65" t="s">
        <v>1841</v>
      </c>
    </row>
    <row r="6257" spans="1:2" x14ac:dyDescent="0.25">
      <c r="A6257" s="64" t="str">
        <f>HYPERLINK("http://www.twitter.com/mister_arnold", "mister_arnold")</f>
        <v>mister_arnold</v>
      </c>
      <c r="B6257" s="65" t="s">
        <v>3483</v>
      </c>
    </row>
    <row r="6258" spans="1:2" x14ac:dyDescent="0.25">
      <c r="A6258" s="64" t="str">
        <f>HYPERLINK("http://www.twitter.com/louisearber", "louisearber")</f>
        <v>louisearber</v>
      </c>
      <c r="B6258" s="65" t="s">
        <v>5923</v>
      </c>
    </row>
    <row r="6259" spans="1:2" x14ac:dyDescent="0.25">
      <c r="A6259" s="64" t="str">
        <f>HYPERLINK("http://www.twitter.com/saltburnfog", "saltburnfog")</f>
        <v>saltburnfog</v>
      </c>
      <c r="B6259" s="65" t="s">
        <v>5924</v>
      </c>
    </row>
    <row r="6260" spans="1:2" x14ac:dyDescent="0.25">
      <c r="A6260" s="64" t="str">
        <f>HYPERLINK("http://www.twitter.com/LittleOtterE", "LittleOtterE")</f>
        <v>LittleOtterE</v>
      </c>
      <c r="B6260" s="65" t="s">
        <v>427</v>
      </c>
    </row>
    <row r="6261" spans="1:2" x14ac:dyDescent="0.25">
      <c r="A6261" s="64" t="str">
        <f>HYPERLINK("http://www.twitter.com/the_c00ler_king", "the_c00ler_king")</f>
        <v>the_c00ler_king</v>
      </c>
      <c r="B6261" s="65" t="s">
        <v>24</v>
      </c>
    </row>
    <row r="6262" spans="1:2" x14ac:dyDescent="0.25">
      <c r="A6262" s="64" t="str">
        <f>HYPERLINK("http://www.twitter.com/mjstewarty", "mjstewarty")</f>
        <v>mjstewarty</v>
      </c>
      <c r="B6262" s="65"/>
    </row>
    <row r="6263" spans="1:2" x14ac:dyDescent="0.25">
      <c r="A6263" s="64" t="str">
        <f>HYPERLINK("http://www.twitter.com/Dr_Robert_Lomas", "Dr_Robert_Lomas")</f>
        <v>Dr_Robert_Lomas</v>
      </c>
      <c r="B6263" s="65" t="s">
        <v>5925</v>
      </c>
    </row>
    <row r="6264" spans="1:2" x14ac:dyDescent="0.25">
      <c r="A6264" s="64" t="str">
        <f>HYPERLINK("http://www.twitter.com/helfash", "helfash")</f>
        <v>helfash</v>
      </c>
      <c r="B6264" s="65"/>
    </row>
    <row r="6265" spans="1:2" x14ac:dyDescent="0.25">
      <c r="A6265" s="64" t="str">
        <f>HYPERLINK("http://www.twitter.com/gabriellemyoung", "gabriellemyoung")</f>
        <v>gabriellemyoung</v>
      </c>
      <c r="B6265" s="65" t="s">
        <v>477</v>
      </c>
    </row>
    <row r="6266" spans="1:2" x14ac:dyDescent="0.25">
      <c r="A6266" s="64" t="str">
        <f>HYPERLINK("http://www.twitter.com/Rebel_Science", "Rebel_Science")</f>
        <v>Rebel_Science</v>
      </c>
      <c r="B6266" s="65"/>
    </row>
    <row r="6267" spans="1:2" x14ac:dyDescent="0.25">
      <c r="A6267" s="64" t="str">
        <f>HYPERLINK("http://www.twitter.com/charlycropbish", "charlycropbish")</f>
        <v>charlycropbish</v>
      </c>
      <c r="B6267" s="65"/>
    </row>
    <row r="6268" spans="1:2" x14ac:dyDescent="0.25">
      <c r="A6268" s="64" t="str">
        <f>HYPERLINK("http://www.twitter.com/MarcusTait79", "MarcusTait79")</f>
        <v>MarcusTait79</v>
      </c>
      <c r="B6268" s="65" t="s">
        <v>2007</v>
      </c>
    </row>
    <row r="6269" spans="1:2" x14ac:dyDescent="0.25">
      <c r="A6269" s="64" t="str">
        <f>HYPERLINK("http://www.twitter.com/Piecaramba", "Piecaramba")</f>
        <v>Piecaramba</v>
      </c>
      <c r="B6269" s="65" t="s">
        <v>5926</v>
      </c>
    </row>
    <row r="6270" spans="1:2" x14ac:dyDescent="0.25">
      <c r="A6270" s="64" t="str">
        <f>HYPERLINK("http://www.twitter.com/MDafydd", "MDafydd")</f>
        <v>MDafydd</v>
      </c>
      <c r="B6270" s="65" t="s">
        <v>883</v>
      </c>
    </row>
    <row r="6271" spans="1:2" x14ac:dyDescent="0.25">
      <c r="A6271" s="64" t="str">
        <f>HYPERLINK("http://www.twitter.com/EmmaStringfell1", "EmmaStringfell1")</f>
        <v>EmmaStringfell1</v>
      </c>
      <c r="B6271" s="65"/>
    </row>
    <row r="6272" spans="1:2" x14ac:dyDescent="0.25">
      <c r="A6272" s="64" t="str">
        <f>HYPERLINK("http://www.twitter.com/RaeSnape", "RaeSnape")</f>
        <v>RaeSnape</v>
      </c>
      <c r="B6272" s="65" t="s">
        <v>788</v>
      </c>
    </row>
    <row r="6273" spans="1:2" x14ac:dyDescent="0.25">
      <c r="A6273" s="64" t="str">
        <f>HYPERLINK("http://www.twitter.com/KathrynEGarden", "KathrynEGarden")</f>
        <v>KathrynEGarden</v>
      </c>
      <c r="B6273" s="65" t="s">
        <v>5927</v>
      </c>
    </row>
    <row r="6274" spans="1:2" x14ac:dyDescent="0.25">
      <c r="A6274" s="64" t="str">
        <f>HYPERLINK("http://www.twitter.com/meredithove", "meredithove")</f>
        <v>meredithove</v>
      </c>
      <c r="B6274" s="65" t="s">
        <v>5928</v>
      </c>
    </row>
    <row r="6275" spans="1:2" x14ac:dyDescent="0.25">
      <c r="A6275" s="64" t="str">
        <f>HYPERLINK("http://www.twitter.com/la_temple", "la_temple")</f>
        <v>la_temple</v>
      </c>
      <c r="B6275" s="65" t="s">
        <v>110</v>
      </c>
    </row>
    <row r="6276" spans="1:2" x14ac:dyDescent="0.25">
      <c r="A6276" s="64" t="str">
        <f>HYPERLINK("http://www.twitter.com/hannahengelkamp", "hannahengelkamp")</f>
        <v>hannahengelkamp</v>
      </c>
      <c r="B6276" s="65"/>
    </row>
    <row r="6277" spans="1:2" x14ac:dyDescent="0.25">
      <c r="A6277" s="64" t="str">
        <f>HYPERLINK("http://www.twitter.com/andtheHare", "andtheHare")</f>
        <v>andtheHare</v>
      </c>
      <c r="B6277" s="65" t="s">
        <v>5929</v>
      </c>
    </row>
    <row r="6278" spans="1:2" x14ac:dyDescent="0.25">
      <c r="A6278" s="64" t="str">
        <f>HYPERLINK("http://www.twitter.com/RudelyAwoken", "RudelyAwoken")</f>
        <v>RudelyAwoken</v>
      </c>
      <c r="B6278" s="65" t="s">
        <v>5930</v>
      </c>
    </row>
    <row r="6279" spans="1:2" x14ac:dyDescent="0.25">
      <c r="A6279" s="64" t="str">
        <f>HYPERLINK("http://www.twitter.com/amytheleader", "amytheleader")</f>
        <v>amytheleader</v>
      </c>
      <c r="B6279" s="65" t="s">
        <v>4501</v>
      </c>
    </row>
    <row r="6280" spans="1:2" x14ac:dyDescent="0.25">
      <c r="A6280" s="64" t="str">
        <f>HYPERLINK("http://www.twitter.com/BetoJetO", "BetoJetO")</f>
        <v>BetoJetO</v>
      </c>
      <c r="B6280" s="65" t="s">
        <v>115</v>
      </c>
    </row>
    <row r="6281" spans="1:2" x14ac:dyDescent="0.25">
      <c r="A6281" s="64" t="str">
        <f>HYPERLINK("http://www.twitter.com/Canongate_Art", "Canongate_Art")</f>
        <v>Canongate_Art</v>
      </c>
      <c r="B6281" s="65" t="s">
        <v>5195</v>
      </c>
    </row>
    <row r="6282" spans="1:2" x14ac:dyDescent="0.25">
      <c r="A6282" s="64" t="str">
        <f>HYPERLINK("http://www.twitter.com/vrosssmith", "vrosssmith")</f>
        <v>vrosssmith</v>
      </c>
      <c r="B6282" s="65" t="s">
        <v>5931</v>
      </c>
    </row>
    <row r="6283" spans="1:2" x14ac:dyDescent="0.25">
      <c r="A6283" s="64" t="str">
        <f>HYPERLINK("http://www.twitter.com/sharonlstephen", "sharonlstephen")</f>
        <v>sharonlstephen</v>
      </c>
      <c r="B6283" s="65" t="s">
        <v>138</v>
      </c>
    </row>
    <row r="6284" spans="1:2" x14ac:dyDescent="0.25">
      <c r="A6284" s="64" t="str">
        <f>HYPERLINK("http://www.twitter.com/PeterMurrell", "PeterMurrell")</f>
        <v>PeterMurrell</v>
      </c>
      <c r="B6284" s="65" t="s">
        <v>138</v>
      </c>
    </row>
    <row r="6285" spans="1:2" x14ac:dyDescent="0.25">
      <c r="A6285" s="64" t="str">
        <f>HYPERLINK("http://www.twitter.com/victoirebourhis", "victoirebourhis")</f>
        <v>victoirebourhis</v>
      </c>
      <c r="B6285" s="65" t="s">
        <v>5325</v>
      </c>
    </row>
    <row r="6286" spans="1:2" x14ac:dyDescent="0.25">
      <c r="A6286" s="64" t="str">
        <f>HYPERLINK("http://www.twitter.com/pennyanne771", "pennyanne771")</f>
        <v>pennyanne771</v>
      </c>
      <c r="B6286" s="65" t="s">
        <v>427</v>
      </c>
    </row>
    <row r="6287" spans="1:2" x14ac:dyDescent="0.25">
      <c r="A6287" s="64" t="str">
        <f>HYPERLINK("http://www.twitter.com/LeesLowSue", "LeesLowSue")</f>
        <v>LeesLowSue</v>
      </c>
      <c r="B6287" s="65" t="s">
        <v>477</v>
      </c>
    </row>
    <row r="6288" spans="1:2" x14ac:dyDescent="0.25">
      <c r="A6288" s="64" t="str">
        <f>HYPERLINK("http://www.twitter.com/Rosiespex", "Rosiespex")</f>
        <v>Rosiespex</v>
      </c>
      <c r="B6288" s="65" t="s">
        <v>5932</v>
      </c>
    </row>
    <row r="6289" spans="1:2" x14ac:dyDescent="0.25">
      <c r="A6289" s="64" t="str">
        <f>HYPERLINK("http://www.twitter.com/cwmaddix", "cwmaddix")</f>
        <v>cwmaddix</v>
      </c>
      <c r="B6289" s="65"/>
    </row>
    <row r="6290" spans="1:2" x14ac:dyDescent="0.25">
      <c r="A6290" s="64" t="str">
        <f>HYPERLINK("http://www.twitter.com/HistHolsScot", "HistHolsScot")</f>
        <v>HistHolsScot</v>
      </c>
      <c r="B6290" s="65" t="s">
        <v>5933</v>
      </c>
    </row>
    <row r="6291" spans="1:2" x14ac:dyDescent="0.25">
      <c r="A6291" s="64" t="str">
        <f>HYPERLINK("http://www.twitter.com/bubblebugster", "bubblebugster")</f>
        <v>bubblebugster</v>
      </c>
      <c r="B6291" s="65"/>
    </row>
    <row r="6292" spans="1:2" x14ac:dyDescent="0.25">
      <c r="A6292" s="64" t="str">
        <f>HYPERLINK("http://www.twitter.com/Delipsquish", "Delipsquish")</f>
        <v>Delipsquish</v>
      </c>
      <c r="B6292" s="65" t="s">
        <v>5923</v>
      </c>
    </row>
    <row r="6293" spans="1:2" x14ac:dyDescent="0.25">
      <c r="A6293" s="64" t="str">
        <f>HYPERLINK("http://www.twitter.com/gabibble", "gabibble")</f>
        <v>gabibble</v>
      </c>
      <c r="B6293" s="65" t="s">
        <v>5934</v>
      </c>
    </row>
    <row r="6294" spans="1:2" x14ac:dyDescent="0.25">
      <c r="A6294" s="64" t="str">
        <f>HYPERLINK("http://www.twitter.com/mikeonabike3", "mikeonabike3")</f>
        <v>mikeonabike3</v>
      </c>
      <c r="B6294" s="65"/>
    </row>
    <row r="6295" spans="1:2" x14ac:dyDescent="0.25">
      <c r="A6295" s="64" t="str">
        <f>HYPERLINK("http://www.twitter.com/Simmons_Vic", "Simmons_Vic")</f>
        <v>Simmons_Vic</v>
      </c>
      <c r="B6295" s="65" t="s">
        <v>4501</v>
      </c>
    </row>
    <row r="6296" spans="1:2" x14ac:dyDescent="0.25">
      <c r="A6296" s="64" t="str">
        <f>HYPERLINK("http://www.twitter.com/Jux_Harris", "Jux_Harris")</f>
        <v>Jux_Harris</v>
      </c>
      <c r="B6296" s="65"/>
    </row>
    <row r="6297" spans="1:2" x14ac:dyDescent="0.25">
      <c r="A6297" s="64" t="str">
        <f>HYPERLINK("http://www.twitter.com/chumkiu", "chumkiu")</f>
        <v>chumkiu</v>
      </c>
      <c r="B6297" s="65"/>
    </row>
    <row r="6298" spans="1:2" x14ac:dyDescent="0.25">
      <c r="A6298" s="64" t="str">
        <f>HYPERLINK("http://www.twitter.com/sameoldshaz", "sameoldshaz")</f>
        <v>sameoldshaz</v>
      </c>
      <c r="B6298" s="65" t="s">
        <v>5935</v>
      </c>
    </row>
    <row r="6299" spans="1:2" x14ac:dyDescent="0.25">
      <c r="A6299" s="64" t="str">
        <f>HYPERLINK("http://www.twitter.com/dwoozley", "dwoozley")</f>
        <v>dwoozley</v>
      </c>
      <c r="B6299" s="65" t="s">
        <v>5936</v>
      </c>
    </row>
    <row r="6300" spans="1:2" x14ac:dyDescent="0.25">
      <c r="A6300" s="64" t="str">
        <f>HYPERLINK("http://www.twitter.com/JaneDwyer58", "JaneDwyer58")</f>
        <v>JaneDwyer58</v>
      </c>
      <c r="B6300" s="65"/>
    </row>
    <row r="6301" spans="1:2" x14ac:dyDescent="0.25">
      <c r="A6301" s="64" t="str">
        <f>HYPERLINK("http://www.twitter.com/alterarconsults", "alterarconsults")</f>
        <v>alterarconsults</v>
      </c>
      <c r="B6301" s="65" t="s">
        <v>70</v>
      </c>
    </row>
    <row r="6302" spans="1:2" x14ac:dyDescent="0.25">
      <c r="A6302" s="64" t="str">
        <f>HYPERLINK("http://www.twitter.com/BGSteenreads", "BGSteenreads")</f>
        <v>BGSteenreads</v>
      </c>
      <c r="B6302" s="65" t="s">
        <v>2876</v>
      </c>
    </row>
    <row r="6303" spans="1:2" x14ac:dyDescent="0.25">
      <c r="A6303" s="64" t="str">
        <f>HYPERLINK("http://www.twitter.com/Yossarian_sco", "Yossarian_sco")</f>
        <v>Yossarian_sco</v>
      </c>
      <c r="B6303" s="65" t="s">
        <v>5937</v>
      </c>
    </row>
    <row r="6304" spans="1:2" x14ac:dyDescent="0.25">
      <c r="A6304" s="64" t="str">
        <f>HYPERLINK("http://www.twitter.com/deb_111", "deb_111")</f>
        <v>deb_111</v>
      </c>
      <c r="B6304" s="65" t="s">
        <v>5938</v>
      </c>
    </row>
    <row r="6305" spans="1:2" x14ac:dyDescent="0.25">
      <c r="A6305" s="64" t="str">
        <f>HYPERLINK("http://www.twitter.com/gpshewan", "gpshewan")</f>
        <v>gpshewan</v>
      </c>
      <c r="B6305" s="65" t="s">
        <v>5939</v>
      </c>
    </row>
    <row r="6306" spans="1:2" x14ac:dyDescent="0.25">
      <c r="A6306" s="64" t="str">
        <f>HYPERLINK("http://www.twitter.com/bigjme", "bigjme")</f>
        <v>bigjme</v>
      </c>
      <c r="B6306" s="65" t="s">
        <v>138</v>
      </c>
    </row>
    <row r="6307" spans="1:2" x14ac:dyDescent="0.25">
      <c r="A6307" s="64" t="str">
        <f>HYPERLINK("http://www.twitter.com/CateField", "CateField")</f>
        <v>CateField</v>
      </c>
      <c r="B6307" s="65" t="s">
        <v>296</v>
      </c>
    </row>
    <row r="6308" spans="1:2" x14ac:dyDescent="0.25">
      <c r="A6308" s="64" t="str">
        <f>HYPERLINK("http://www.twitter.com/hanplews", "hanplews")</f>
        <v>hanplews</v>
      </c>
      <c r="B6308" s="65" t="s">
        <v>2289</v>
      </c>
    </row>
    <row r="6309" spans="1:2" x14ac:dyDescent="0.25">
      <c r="A6309" s="64" t="str">
        <f>HYPERLINK("http://www.twitter.com/pacoverdale", "pacoverdale")</f>
        <v>pacoverdale</v>
      </c>
      <c r="B6309" s="65" t="s">
        <v>1980</v>
      </c>
    </row>
    <row r="6310" spans="1:2" x14ac:dyDescent="0.25">
      <c r="A6310" s="64" t="str">
        <f>HYPERLINK("http://www.twitter.com/Abdct43819", "Abdct43819")</f>
        <v>Abdct43819</v>
      </c>
      <c r="B6310" s="65"/>
    </row>
    <row r="6311" spans="1:2" x14ac:dyDescent="0.25">
      <c r="A6311" s="64" t="str">
        <f>HYPERLINK("http://www.twitter.com/wardietony", "wardietony")</f>
        <v>wardietony</v>
      </c>
      <c r="B6311" s="65" t="s">
        <v>5940</v>
      </c>
    </row>
    <row r="6312" spans="1:2" x14ac:dyDescent="0.25">
      <c r="A6312" s="64" t="str">
        <f>HYPERLINK("http://www.twitter.com/kath_watson", "kath_watson")</f>
        <v>kath_watson</v>
      </c>
      <c r="B6312" s="65"/>
    </row>
    <row r="6313" spans="1:2" x14ac:dyDescent="0.25">
      <c r="A6313" s="64" t="str">
        <f>HYPERLINK("http://www.twitter.com/IrisNerysIsMe", "IrisNerysIsMe")</f>
        <v>IrisNerysIsMe</v>
      </c>
      <c r="B6313" s="65" t="s">
        <v>5941</v>
      </c>
    </row>
    <row r="6314" spans="1:2" x14ac:dyDescent="0.25">
      <c r="A6314" s="64" t="str">
        <f>HYPERLINK("http://www.twitter.com/rslearmonth", "rslearmonth")</f>
        <v>rslearmonth</v>
      </c>
      <c r="B6314" s="65" t="s">
        <v>3762</v>
      </c>
    </row>
    <row r="6315" spans="1:2" x14ac:dyDescent="0.25">
      <c r="A6315" s="64" t="str">
        <f>HYPERLINK("http://www.twitter.com/Hobie90205", "Hobie90205")</f>
        <v>Hobie90205</v>
      </c>
      <c r="B6315" s="65"/>
    </row>
    <row r="6316" spans="1:2" x14ac:dyDescent="0.25">
      <c r="A6316" s="64" t="str">
        <f>HYPERLINK("http://www.twitter.com/Montag_Calling", "Montag_Calling")</f>
        <v>Montag_Calling</v>
      </c>
      <c r="B6316" s="65"/>
    </row>
    <row r="6317" spans="1:2" x14ac:dyDescent="0.25">
      <c r="A6317" s="64" t="str">
        <f>HYPERLINK("http://www.twitter.com/MrsReedWarbler", "MrsReedWarbler")</f>
        <v>MrsReedWarbler</v>
      </c>
      <c r="B6317" s="65" t="s">
        <v>296</v>
      </c>
    </row>
    <row r="6318" spans="1:2" x14ac:dyDescent="0.25">
      <c r="A6318" s="64" t="str">
        <f>HYPERLINK("http://www.twitter.com/V_Maxwell", "V_Maxwell")</f>
        <v>V_Maxwell</v>
      </c>
      <c r="B6318" s="65" t="s">
        <v>232</v>
      </c>
    </row>
    <row r="6319" spans="1:2" x14ac:dyDescent="0.25">
      <c r="A6319" s="64" t="str">
        <f>HYPERLINK("http://www.twitter.com/Karenle76444903", "Karenle76444903")</f>
        <v>Karenle76444903</v>
      </c>
      <c r="B6319" s="65"/>
    </row>
    <row r="6320" spans="1:2" x14ac:dyDescent="0.25">
      <c r="A6320" s="64" t="str">
        <f>HYPERLINK("http://www.twitter.com/MaddieEdgoose", "MaddieEdgoose")</f>
        <v>MaddieEdgoose</v>
      </c>
      <c r="B6320" s="65" t="s">
        <v>5942</v>
      </c>
    </row>
    <row r="6321" spans="1:2" x14ac:dyDescent="0.25">
      <c r="A6321" s="64" t="str">
        <f>HYPERLINK("http://www.twitter.com/Bert_Ass", "Bert_Ass")</f>
        <v>Bert_Ass</v>
      </c>
      <c r="B6321" s="65"/>
    </row>
    <row r="6322" spans="1:2" x14ac:dyDescent="0.25">
      <c r="A6322" s="64" t="str">
        <f>HYPERLINK("http://www.twitter.com/littlenora72", "littlenora72")</f>
        <v>littlenora72</v>
      </c>
      <c r="B6322" s="65"/>
    </row>
    <row r="6323" spans="1:2" x14ac:dyDescent="0.25">
      <c r="A6323" s="64" t="str">
        <f>HYPERLINK("http://www.twitter.com/page_123", "page_123")</f>
        <v>page_123</v>
      </c>
      <c r="B6323" s="65" t="s">
        <v>5943</v>
      </c>
    </row>
    <row r="6324" spans="1:2" x14ac:dyDescent="0.25">
      <c r="A6324" s="64" t="str">
        <f>HYPERLINK("http://www.twitter.com/taiter74", "taiter74")</f>
        <v>taiter74</v>
      </c>
      <c r="B6324" s="65" t="s">
        <v>5944</v>
      </c>
    </row>
    <row r="6325" spans="1:2" x14ac:dyDescent="0.25">
      <c r="A6325" s="64" t="str">
        <f>HYPERLINK("http://www.twitter.com/arttrav", "arttrav")</f>
        <v>arttrav</v>
      </c>
      <c r="B6325" s="65" t="s">
        <v>5945</v>
      </c>
    </row>
    <row r="6326" spans="1:2" x14ac:dyDescent="0.25">
      <c r="A6326" s="64" t="str">
        <f>HYPERLINK("http://www.twitter.com/EmiilyDowneyjr", "EmiilyDowneyjr")</f>
        <v>EmiilyDowneyjr</v>
      </c>
      <c r="B6326" s="65" t="s">
        <v>5946</v>
      </c>
    </row>
    <row r="6327" spans="1:2" x14ac:dyDescent="0.25">
      <c r="A6327" s="64" t="str">
        <f>HYPERLINK("http://www.twitter.com/ronpaste", "ronpaste")</f>
        <v>ronpaste</v>
      </c>
      <c r="B6327" s="65"/>
    </row>
    <row r="6328" spans="1:2" x14ac:dyDescent="0.25">
      <c r="A6328" s="64" t="str">
        <f>HYPERLINK("http://www.twitter.com/jgjgwilliams", "jgjgwilliams")</f>
        <v>jgjgwilliams</v>
      </c>
      <c r="B6328" s="65" t="s">
        <v>5947</v>
      </c>
    </row>
    <row r="6329" spans="1:2" x14ac:dyDescent="0.25">
      <c r="A6329" s="64" t="str">
        <f>HYPERLINK("http://www.twitter.com/petestick", "petestick")</f>
        <v>petestick</v>
      </c>
      <c r="B6329" s="65" t="s">
        <v>5948</v>
      </c>
    </row>
    <row r="6330" spans="1:2" x14ac:dyDescent="0.25">
      <c r="A6330" s="64" t="str">
        <f>HYPERLINK("http://www.twitter.com/TheHonn", "TheHonn")</f>
        <v>TheHonn</v>
      </c>
      <c r="B6330" s="65" t="s">
        <v>5949</v>
      </c>
    </row>
    <row r="6331" spans="1:2" x14ac:dyDescent="0.25">
      <c r="A6331" s="64" t="str">
        <f>HYPERLINK("http://www.twitter.com/tranalli", "tranalli")</f>
        <v>tranalli</v>
      </c>
      <c r="B6331" s="65" t="s">
        <v>5455</v>
      </c>
    </row>
    <row r="6332" spans="1:2" x14ac:dyDescent="0.25">
      <c r="A6332" s="64" t="str">
        <f>HYPERLINK("http://www.twitter.com/ejanedavies", "ejanedavies")</f>
        <v>ejanedavies</v>
      </c>
      <c r="B6332" s="65" t="s">
        <v>5950</v>
      </c>
    </row>
    <row r="6333" spans="1:2" x14ac:dyDescent="0.25">
      <c r="A6333" s="64" t="str">
        <f>HYPERLINK("http://www.twitter.com/Gary_Flockhart", "Gary_Flockhart")</f>
        <v>Gary_Flockhart</v>
      </c>
      <c r="B6333" s="65" t="s">
        <v>601</v>
      </c>
    </row>
    <row r="6334" spans="1:2" x14ac:dyDescent="0.25">
      <c r="A6334" s="64" t="str">
        <f>HYPERLINK("http://www.twitter.com/mel_w2011", "mel_w2011")</f>
        <v>mel_w2011</v>
      </c>
      <c r="B6334" s="65"/>
    </row>
    <row r="6335" spans="1:2" x14ac:dyDescent="0.25">
      <c r="A6335" s="64" t="str">
        <f>HYPERLINK("http://www.twitter.com/Whisky_Mac", "Whisky_Mac")</f>
        <v>Whisky_Mac</v>
      </c>
      <c r="B6335" s="65"/>
    </row>
    <row r="6336" spans="1:2" x14ac:dyDescent="0.25">
      <c r="A6336" s="64" t="str">
        <f>HYPERLINK("http://www.twitter.com/auldyboy", "auldyboy")</f>
        <v>auldyboy</v>
      </c>
      <c r="B6336" s="65"/>
    </row>
    <row r="6337" spans="1:2" x14ac:dyDescent="0.25">
      <c r="A6337" s="64" t="str">
        <f>HYPERLINK("http://www.twitter.com/TheBookshopBand", "TheBookshopBand")</f>
        <v>TheBookshopBand</v>
      </c>
      <c r="B6337" s="65" t="s">
        <v>1098</v>
      </c>
    </row>
    <row r="6338" spans="1:2" x14ac:dyDescent="0.25">
      <c r="A6338" s="64" t="str">
        <f>HYPERLINK("http://www.twitter.com/Duma365", "Duma365")</f>
        <v>Duma365</v>
      </c>
      <c r="B6338" s="65" t="s">
        <v>110</v>
      </c>
    </row>
    <row r="6339" spans="1:2" x14ac:dyDescent="0.25">
      <c r="A6339" s="64" t="str">
        <f>HYPERLINK("http://www.twitter.com/deividas4461", "deividas4461")</f>
        <v>deividas4461</v>
      </c>
      <c r="B6339" s="65"/>
    </row>
    <row r="6340" spans="1:2" x14ac:dyDescent="0.25">
      <c r="A6340" s="64" t="str">
        <f>HYPERLINK("http://www.twitter.com/toooldtoougly", "toooldtoougly")</f>
        <v>toooldtoougly</v>
      </c>
      <c r="B6340" s="65"/>
    </row>
    <row r="6341" spans="1:2" x14ac:dyDescent="0.25">
      <c r="A6341" s="64" t="str">
        <f>HYPERLINK("http://www.twitter.com/Amazingbruce", "Amazingbruce")</f>
        <v>Amazingbruce</v>
      </c>
      <c r="B6341" s="65" t="s">
        <v>5951</v>
      </c>
    </row>
    <row r="6342" spans="1:2" x14ac:dyDescent="0.25">
      <c r="A6342" s="64" t="str">
        <f>HYPERLINK("http://www.twitter.com/KR_author", "KR_author")</f>
        <v>KR_author</v>
      </c>
      <c r="B6342" s="65" t="s">
        <v>147</v>
      </c>
    </row>
    <row r="6343" spans="1:2" x14ac:dyDescent="0.25">
      <c r="A6343" s="64" t="str">
        <f>HYPERLINK("http://www.twitter.com/johnnyaber", "johnnyaber")</f>
        <v>johnnyaber</v>
      </c>
      <c r="B6343" s="65"/>
    </row>
    <row r="6344" spans="1:2" x14ac:dyDescent="0.25">
      <c r="A6344" s="64" t="str">
        <f>HYPERLINK("http://www.twitter.com/milesevanspr", "milesevanspr")</f>
        <v>milesevanspr</v>
      </c>
      <c r="B6344" s="65"/>
    </row>
    <row r="6345" spans="1:2" x14ac:dyDescent="0.25">
      <c r="A6345" s="64" t="str">
        <f>HYPERLINK("http://www.twitter.com/SarahSuch", "SarahSuch")</f>
        <v>SarahSuch</v>
      </c>
      <c r="B6345" s="65" t="s">
        <v>110</v>
      </c>
    </row>
    <row r="6346" spans="1:2" x14ac:dyDescent="0.25">
      <c r="A6346" s="64" t="str">
        <f>HYPERLINK("http://www.twitter.com/splatpest", "splatpest")</f>
        <v>splatpest</v>
      </c>
      <c r="B6346" s="65" t="s">
        <v>2007</v>
      </c>
    </row>
    <row r="6347" spans="1:2" x14ac:dyDescent="0.25">
      <c r="A6347" s="64" t="str">
        <f>HYPERLINK("http://www.twitter.com/JimMiller23", "JimMiller23")</f>
        <v>JimMiller23</v>
      </c>
      <c r="B6347" s="65" t="s">
        <v>5952</v>
      </c>
    </row>
    <row r="6348" spans="1:2" x14ac:dyDescent="0.25">
      <c r="A6348" s="64" t="str">
        <f>HYPERLINK("http://www.twitter.com/Helen_Jess", "Helen_Jess")</f>
        <v>Helen_Jess</v>
      </c>
      <c r="B6348" s="65" t="s">
        <v>3988</v>
      </c>
    </row>
    <row r="6349" spans="1:2" x14ac:dyDescent="0.25">
      <c r="A6349" s="64" t="str">
        <f>HYPERLINK("http://www.twitter.com/lwillm", "lwillm")</f>
        <v>lwillm</v>
      </c>
      <c r="B6349" s="65" t="s">
        <v>36</v>
      </c>
    </row>
    <row r="6350" spans="1:2" x14ac:dyDescent="0.25">
      <c r="A6350" s="64" t="str">
        <f>HYPERLINK("http://www.twitter.com/CraigTmb97", "CraigTmb97")</f>
        <v>CraigTmb97</v>
      </c>
      <c r="B6350" s="65"/>
    </row>
    <row r="6351" spans="1:2" x14ac:dyDescent="0.25">
      <c r="A6351" s="64" t="str">
        <f>HYPERLINK("http://www.twitter.com/aAikers", "aAikers")</f>
        <v>aAikers</v>
      </c>
      <c r="B6351" s="65" t="s">
        <v>1873</v>
      </c>
    </row>
    <row r="6352" spans="1:2" x14ac:dyDescent="0.25">
      <c r="A6352" s="64" t="str">
        <f>HYPERLINK("http://www.twitter.com/jane_richardson", "jane_richardson")</f>
        <v>jane_richardson</v>
      </c>
      <c r="B6352" s="65"/>
    </row>
    <row r="6353" spans="1:2" x14ac:dyDescent="0.25">
      <c r="A6353" s="64" t="str">
        <f>HYPERLINK("http://www.twitter.com/Zoe_Stevens26", "Zoe_Stevens26")</f>
        <v>Zoe_Stevens26</v>
      </c>
      <c r="B6353" s="65" t="s">
        <v>1098</v>
      </c>
    </row>
    <row r="6354" spans="1:2" x14ac:dyDescent="0.25">
      <c r="A6354" s="64" t="str">
        <f>HYPERLINK("http://www.twitter.com/nemonemonemo", "nemonemonemo")</f>
        <v>nemonemonemo</v>
      </c>
      <c r="B6354" s="65" t="s">
        <v>36</v>
      </c>
    </row>
    <row r="6355" spans="1:2" x14ac:dyDescent="0.25">
      <c r="A6355" s="64" t="str">
        <f>HYPERLINK("http://www.twitter.com/SlowJoKeeling", "SlowJoKeeling")</f>
        <v>SlowJoKeeling</v>
      </c>
      <c r="B6355" s="65" t="s">
        <v>2102</v>
      </c>
    </row>
    <row r="6356" spans="1:2" x14ac:dyDescent="0.25">
      <c r="A6356" s="64" t="str">
        <f>HYPERLINK("http://www.twitter.com/wombatcottage", "wombatcottage")</f>
        <v>wombatcottage</v>
      </c>
      <c r="B6356" s="65" t="s">
        <v>5954</v>
      </c>
    </row>
    <row r="6357" spans="1:2" x14ac:dyDescent="0.25">
      <c r="A6357" s="64" t="str">
        <f>HYPERLINK("http://www.twitter.com/lydmizz", "lydmizz")</f>
        <v>lydmizz</v>
      </c>
      <c r="B6357" s="65"/>
    </row>
    <row r="6358" spans="1:2" x14ac:dyDescent="0.25">
      <c r="A6358" s="64" t="str">
        <f>HYPERLINK("http://www.twitter.com/goodeff", "goodeff")</f>
        <v>goodeff</v>
      </c>
      <c r="B6358" s="65" t="s">
        <v>5955</v>
      </c>
    </row>
    <row r="6359" spans="1:2" x14ac:dyDescent="0.25">
      <c r="A6359" s="64" t="str">
        <f>HYPERLINK("http://www.twitter.com/WitchySwede", "WitchySwede")</f>
        <v>WitchySwede</v>
      </c>
      <c r="B6359" s="65"/>
    </row>
    <row r="6360" spans="1:2" x14ac:dyDescent="0.25">
      <c r="A6360" s="64" t="str">
        <f>HYPERLINK("http://www.twitter.com/fayewing", "fayewing")</f>
        <v>fayewing</v>
      </c>
      <c r="B6360" s="65"/>
    </row>
    <row r="6361" spans="1:2" x14ac:dyDescent="0.25">
      <c r="A6361" s="64" t="str">
        <f>HYPERLINK("http://www.twitter.com/PineappleLB_JK", "PineappleLB_JK")</f>
        <v>PineappleLB_JK</v>
      </c>
      <c r="B6361" s="65" t="s">
        <v>487</v>
      </c>
    </row>
    <row r="6362" spans="1:2" x14ac:dyDescent="0.25">
      <c r="A6362" s="64" t="str">
        <f>HYPERLINK("http://www.twitter.com/lisburnett", "lisburnett")</f>
        <v>lisburnett</v>
      </c>
      <c r="B6362" s="65" t="s">
        <v>5956</v>
      </c>
    </row>
    <row r="6363" spans="1:2" x14ac:dyDescent="0.25">
      <c r="A6363" s="64" t="str">
        <f>HYPERLINK("http://www.twitter.com/digi_gill", "digi_gill")</f>
        <v>digi_gill</v>
      </c>
      <c r="B6363" s="65" t="s">
        <v>487</v>
      </c>
    </row>
    <row r="6364" spans="1:2" x14ac:dyDescent="0.25">
      <c r="A6364" s="64" t="str">
        <f>HYPERLINK("http://www.twitter.com/ktmcnl", "ktmcnl")</f>
        <v>ktmcnl</v>
      </c>
      <c r="B6364" s="65" t="s">
        <v>2007</v>
      </c>
    </row>
    <row r="6365" spans="1:2" x14ac:dyDescent="0.25">
      <c r="A6365" s="64" t="str">
        <f>HYPERLINK("http://www.twitter.com/tombrownlowe", "tombrownlowe")</f>
        <v>tombrownlowe</v>
      </c>
      <c r="B6365" s="65" t="s">
        <v>427</v>
      </c>
    </row>
    <row r="6366" spans="1:2" x14ac:dyDescent="0.25">
      <c r="A6366" s="64" t="str">
        <f>HYPERLINK("http://www.twitter.com/zstoz", "zstoz")</f>
        <v>zstoz</v>
      </c>
      <c r="B6366" s="65" t="s">
        <v>318</v>
      </c>
    </row>
    <row r="6367" spans="1:2" x14ac:dyDescent="0.25">
      <c r="A6367" s="64" t="str">
        <f>HYPERLINK("http://www.twitter.com/SophiaLooney", "SophiaLooney")</f>
        <v>SophiaLooney</v>
      </c>
      <c r="B6367" s="65" t="s">
        <v>1377</v>
      </c>
    </row>
    <row r="6368" spans="1:2" x14ac:dyDescent="0.25">
      <c r="A6368" s="64" t="str">
        <f>HYPERLINK("http://www.twitter.com/berniemon0512", "berniemon0512")</f>
        <v>berniemon0512</v>
      </c>
      <c r="B6368" s="65" t="s">
        <v>33</v>
      </c>
    </row>
    <row r="6369" spans="1:2" x14ac:dyDescent="0.25">
      <c r="A6369" s="64" t="str">
        <f>HYPERLINK("http://www.twitter.com/mistry_helen", "mistry_helen")</f>
        <v>mistry_helen</v>
      </c>
      <c r="B6369" s="65"/>
    </row>
    <row r="6370" spans="1:2" x14ac:dyDescent="0.25">
      <c r="A6370" s="64" t="str">
        <f>HYPERLINK("http://www.twitter.com/BBCRadio4Extra", "BBCRadio4Extra")</f>
        <v>BBCRadio4Extra</v>
      </c>
      <c r="B6370" s="65" t="s">
        <v>477</v>
      </c>
    </row>
    <row r="6371" spans="1:2" x14ac:dyDescent="0.25">
      <c r="A6371" s="64" t="str">
        <f>HYPERLINK("http://www.twitter.com/JessicasAshford", "JessicasAshford")</f>
        <v>JessicasAshford</v>
      </c>
      <c r="B6371" s="65" t="s">
        <v>2007</v>
      </c>
    </row>
    <row r="6372" spans="1:2" x14ac:dyDescent="0.25">
      <c r="A6372" s="64" t="str">
        <f>HYPERLINK("http://www.twitter.com/s4rah", "s4rah")</f>
        <v>s4rah</v>
      </c>
      <c r="B6372" s="65" t="s">
        <v>1537</v>
      </c>
    </row>
    <row r="6373" spans="1:2" x14ac:dyDescent="0.25">
      <c r="A6373" s="64" t="str">
        <f>HYPERLINK("http://www.twitter.com/Mor1Hesgog", "Mor1Hesgog")</f>
        <v>Mor1Hesgog</v>
      </c>
      <c r="B6373" s="65" t="s">
        <v>5957</v>
      </c>
    </row>
    <row r="6374" spans="1:2" x14ac:dyDescent="0.25">
      <c r="A6374" s="64" t="str">
        <f>HYPERLINK("http://www.twitter.com/guyab_", "guyab_")</f>
        <v>guyab_</v>
      </c>
      <c r="B6374" s="65" t="s">
        <v>1765</v>
      </c>
    </row>
    <row r="6375" spans="1:2" x14ac:dyDescent="0.25">
      <c r="A6375" s="64" t="str">
        <f>HYPERLINK("http://www.twitter.com/littlearfer", "littlearfer")</f>
        <v>littlearfer</v>
      </c>
      <c r="B6375" s="65" t="s">
        <v>5958</v>
      </c>
    </row>
    <row r="6376" spans="1:2" x14ac:dyDescent="0.25">
      <c r="A6376" s="64" t="str">
        <f>HYPERLINK("http://www.twitter.com/ShirleyMerriott", "ShirleyMerriott")</f>
        <v>ShirleyMerriott</v>
      </c>
      <c r="B6376" s="65"/>
    </row>
    <row r="6377" spans="1:2" x14ac:dyDescent="0.25">
      <c r="A6377" s="64" t="str">
        <f>HYPERLINK("http://www.twitter.com/purple62shorty", "purple62shorty")</f>
        <v>purple62shorty</v>
      </c>
      <c r="B6377" s="65" t="s">
        <v>2267</v>
      </c>
    </row>
    <row r="6378" spans="1:2" x14ac:dyDescent="0.25">
      <c r="A6378" s="64" t="str">
        <f>HYPERLINK("http://www.twitter.com/keithgarrow", "keithgarrow")</f>
        <v>keithgarrow</v>
      </c>
      <c r="B6378" s="65" t="s">
        <v>296</v>
      </c>
    </row>
    <row r="6379" spans="1:2" x14ac:dyDescent="0.25">
      <c r="A6379" s="64" t="str">
        <f>HYPERLINK("http://www.twitter.com/Th_Captain_", "Th_Captain_")</f>
        <v>Th_Captain_</v>
      </c>
      <c r="B6379" s="65" t="s">
        <v>459</v>
      </c>
    </row>
    <row r="6380" spans="1:2" x14ac:dyDescent="0.25">
      <c r="A6380" s="64" t="str">
        <f>HYPERLINK("http://www.twitter.com/spoffle2", "spoffle2")</f>
        <v>spoffle2</v>
      </c>
      <c r="B6380" s="65" t="s">
        <v>5959</v>
      </c>
    </row>
    <row r="6381" spans="1:2" x14ac:dyDescent="0.25">
      <c r="A6381" s="64" t="str">
        <f>HYPERLINK("http://www.twitter.com/viceverger", "viceverger")</f>
        <v>viceverger</v>
      </c>
      <c r="B6381" s="65" t="s">
        <v>5960</v>
      </c>
    </row>
    <row r="6382" spans="1:2" x14ac:dyDescent="0.25">
      <c r="A6382" s="64" t="str">
        <f>HYPERLINK("http://www.twitter.com/mermaidmc", "mermaidmc")</f>
        <v>mermaidmc</v>
      </c>
      <c r="B6382" s="65" t="s">
        <v>5961</v>
      </c>
    </row>
    <row r="6383" spans="1:2" x14ac:dyDescent="0.25">
      <c r="A6383" s="64" t="str">
        <f>HYPERLINK("http://www.twitter.com/SMotherwell", "SMotherwell")</f>
        <v>SMotherwell</v>
      </c>
      <c r="B6383" s="65"/>
    </row>
    <row r="6384" spans="1:2" x14ac:dyDescent="0.25">
      <c r="A6384" s="64" t="str">
        <f>HYPERLINK("http://www.twitter.com/BernieTGardiner", "BernieTGardiner")</f>
        <v>BernieTGardiner</v>
      </c>
      <c r="B6384" s="65" t="s">
        <v>5962</v>
      </c>
    </row>
    <row r="6385" spans="1:2" x14ac:dyDescent="0.25">
      <c r="A6385" s="64" t="str">
        <f>HYPERLINK("http://www.twitter.com/JoeCatcheside", "JoeCatcheside")</f>
        <v>JoeCatcheside</v>
      </c>
      <c r="B6385" s="65" t="s">
        <v>1716</v>
      </c>
    </row>
    <row r="6386" spans="1:2" x14ac:dyDescent="0.25">
      <c r="A6386" s="64" t="str">
        <f>HYPERLINK("http://www.twitter.com/EEharv1", "EEharv1")</f>
        <v>EEharv1</v>
      </c>
      <c r="B6386" s="65" t="s">
        <v>487</v>
      </c>
    </row>
    <row r="6387" spans="1:2" x14ac:dyDescent="0.25">
      <c r="A6387" s="64" t="str">
        <f>HYPERLINK("http://www.twitter.com/AlJones38", "AlJones38")</f>
        <v>AlJones38</v>
      </c>
      <c r="B6387" s="65" t="s">
        <v>1218</v>
      </c>
    </row>
    <row r="6388" spans="1:2" x14ac:dyDescent="0.25">
      <c r="A6388" s="64" t="str">
        <f>HYPERLINK("http://www.twitter.com/jaccrosbie", "jaccrosbie")</f>
        <v>jaccrosbie</v>
      </c>
      <c r="B6388" s="65" t="s">
        <v>5963</v>
      </c>
    </row>
    <row r="6389" spans="1:2" x14ac:dyDescent="0.25">
      <c r="A6389" s="64" t="str">
        <f>HYPERLINK("http://www.twitter.com/sallyld", "sallyld")</f>
        <v>sallyld</v>
      </c>
      <c r="B6389" s="65" t="s">
        <v>5964</v>
      </c>
    </row>
    <row r="6390" spans="1:2" x14ac:dyDescent="0.25">
      <c r="A6390" s="64" t="str">
        <f>HYPERLINK("http://www.twitter.com/annasoneill", "annasoneill")</f>
        <v>annasoneill</v>
      </c>
      <c r="B6390" s="65" t="s">
        <v>5965</v>
      </c>
    </row>
    <row r="6391" spans="1:2" x14ac:dyDescent="0.25">
      <c r="A6391" s="64" t="str">
        <f>HYPERLINK("http://www.twitter.com/ClarkePrue", "ClarkePrue")</f>
        <v>ClarkePrue</v>
      </c>
      <c r="B6391" s="65"/>
    </row>
    <row r="6392" spans="1:2" x14ac:dyDescent="0.25">
      <c r="A6392" s="64" t="str">
        <f>HYPERLINK("http://www.twitter.com/David_Goddin", "David_Goddin")</f>
        <v>David_Goddin</v>
      </c>
      <c r="B6392" s="65" t="s">
        <v>5966</v>
      </c>
    </row>
    <row r="6393" spans="1:2" x14ac:dyDescent="0.25">
      <c r="A6393" s="64" t="str">
        <f>HYPERLINK("http://www.twitter.com/TripFiction", "TripFiction")</f>
        <v>TripFiction</v>
      </c>
      <c r="B6393" s="65" t="s">
        <v>5967</v>
      </c>
    </row>
    <row r="6394" spans="1:2" x14ac:dyDescent="0.25">
      <c r="A6394" s="64" t="str">
        <f>HYPERLINK("http://www.twitter.com/GameSh1ft", "GameSh1ft")</f>
        <v>GameSh1ft</v>
      </c>
      <c r="B6394" s="65" t="s">
        <v>5968</v>
      </c>
    </row>
    <row r="6395" spans="1:2" x14ac:dyDescent="0.25">
      <c r="A6395" s="64" t="str">
        <f>HYPERLINK("http://www.twitter.com/shrydar", "shrydar")</f>
        <v>shrydar</v>
      </c>
      <c r="B6395" s="65" t="s">
        <v>4271</v>
      </c>
    </row>
    <row r="6396" spans="1:2" x14ac:dyDescent="0.25">
      <c r="A6396" s="64" t="str">
        <f>HYPERLINK("http://www.twitter.com/sarahestlyn", "sarahestlyn")</f>
        <v>sarahestlyn</v>
      </c>
      <c r="B6396" s="65"/>
    </row>
    <row r="6397" spans="1:2" x14ac:dyDescent="0.25">
      <c r="A6397" s="64" t="str">
        <f>HYPERLINK("http://www.twitter.com/GarySawyer77", "GarySawyer77")</f>
        <v>GarySawyer77</v>
      </c>
      <c r="B6397" s="65"/>
    </row>
    <row r="6398" spans="1:2" x14ac:dyDescent="0.25">
      <c r="A6398" s="64" t="str">
        <f>HYPERLINK("http://www.twitter.com/malacleit", "malacleit")</f>
        <v>malacleit</v>
      </c>
      <c r="B6398" s="65"/>
    </row>
    <row r="6399" spans="1:2" x14ac:dyDescent="0.25">
      <c r="A6399" s="64" t="str">
        <f>HYPERLINK("http://www.twitter.com/Byronbyron", "Byronbyron")</f>
        <v>Byronbyron</v>
      </c>
      <c r="B6399" s="65"/>
    </row>
    <row r="6400" spans="1:2" x14ac:dyDescent="0.25">
      <c r="A6400" s="64" t="str">
        <f>HYPERLINK("http://www.twitter.com/GrahamPAlcock", "GrahamPAlcock")</f>
        <v>GrahamPAlcock</v>
      </c>
      <c r="B6400" s="65" t="s">
        <v>5969</v>
      </c>
    </row>
    <row r="6401" spans="1:2" x14ac:dyDescent="0.25">
      <c r="A6401" s="64" t="str">
        <f>HYPERLINK("http://www.twitter.com/carlyseller", "carlyseller")</f>
        <v>carlyseller</v>
      </c>
      <c r="B6401" s="65" t="s">
        <v>5970</v>
      </c>
    </row>
    <row r="6402" spans="1:2" x14ac:dyDescent="0.25">
      <c r="A6402" s="64" t="str">
        <f>HYPERLINK("http://www.twitter.com/melanie7andrews", "melanie7andrews")</f>
        <v>melanie7andrews</v>
      </c>
      <c r="B6402" s="65" t="s">
        <v>883</v>
      </c>
    </row>
    <row r="6403" spans="1:2" x14ac:dyDescent="0.25">
      <c r="A6403" s="64" t="str">
        <f>HYPERLINK("http://www.twitter.com/dramaticbird", "dramaticbird")</f>
        <v>dramaticbird</v>
      </c>
      <c r="B6403" s="65"/>
    </row>
    <row r="6404" spans="1:2" x14ac:dyDescent="0.25">
      <c r="A6404" s="64" t="str">
        <f>HYPERLINK("http://www.twitter.com/MarcusBevvius", "MarcusBevvius")</f>
        <v>MarcusBevvius</v>
      </c>
      <c r="B6404" s="65" t="s">
        <v>5971</v>
      </c>
    </row>
    <row r="6405" spans="1:2" x14ac:dyDescent="0.25">
      <c r="A6405" s="64" t="str">
        <f>HYPERLINK("http://www.twitter.com/surfsherpa", "surfsherpa")</f>
        <v>surfsherpa</v>
      </c>
      <c r="B6405" s="65" t="s">
        <v>5972</v>
      </c>
    </row>
    <row r="6406" spans="1:2" x14ac:dyDescent="0.25">
      <c r="A6406" s="64" t="str">
        <f>HYPERLINK("http://www.twitter.com/wkhreuther", "wkhreuther")</f>
        <v>wkhreuther</v>
      </c>
      <c r="B6406" s="65" t="s">
        <v>5973</v>
      </c>
    </row>
    <row r="6407" spans="1:2" x14ac:dyDescent="0.25">
      <c r="A6407" s="64" t="str">
        <f>HYPERLINK("http://www.twitter.com/NicolaHolloway7", "NicolaHolloway7")</f>
        <v>NicolaHolloway7</v>
      </c>
      <c r="B6407" s="65" t="s">
        <v>110</v>
      </c>
    </row>
    <row r="6408" spans="1:2" x14ac:dyDescent="0.25">
      <c r="A6408" s="64" t="str">
        <f>HYPERLINK("http://www.twitter.com/tweedreads", "tweedreads")</f>
        <v>tweedreads</v>
      </c>
      <c r="B6408" s="65"/>
    </row>
    <row r="6409" spans="1:2" x14ac:dyDescent="0.25">
      <c r="A6409" s="64" t="str">
        <f>HYPERLINK("http://www.twitter.com/RebeccaRoffey", "RebeccaRoffey")</f>
        <v>RebeccaRoffey</v>
      </c>
      <c r="B6409" s="65"/>
    </row>
    <row r="6410" spans="1:2" x14ac:dyDescent="0.25">
      <c r="A6410" s="64" t="str">
        <f>HYPERLINK("http://www.twitter.com/benndii", "benndii")</f>
        <v>benndii</v>
      </c>
      <c r="B6410" s="65" t="s">
        <v>5974</v>
      </c>
    </row>
    <row r="6411" spans="1:2" x14ac:dyDescent="0.25">
      <c r="A6411" s="64" t="str">
        <f>HYPERLINK("http://www.twitter.com/davelaw22", "davelaw22")</f>
        <v>davelaw22</v>
      </c>
      <c r="B6411" s="65" t="s">
        <v>926</v>
      </c>
    </row>
    <row r="6412" spans="1:2" x14ac:dyDescent="0.25">
      <c r="A6412" s="64" t="str">
        <f>HYPERLINK("http://www.twitter.com/Steakyshoe", "Steakyshoe")</f>
        <v>Steakyshoe</v>
      </c>
      <c r="B6412" s="65"/>
    </row>
    <row r="6413" spans="1:2" x14ac:dyDescent="0.25">
      <c r="A6413" s="64" t="str">
        <f>HYPERLINK("http://www.twitter.com/doktorb", "doktorb")</f>
        <v>doktorb</v>
      </c>
      <c r="B6413" s="65" t="s">
        <v>5975</v>
      </c>
    </row>
    <row r="6414" spans="1:2" x14ac:dyDescent="0.25">
      <c r="A6414" s="64" t="str">
        <f>HYPERLINK("http://www.twitter.com/AuditorGenScot", "AuditorGenScot")</f>
        <v>AuditorGenScot</v>
      </c>
      <c r="B6414" s="65" t="s">
        <v>487</v>
      </c>
    </row>
    <row r="6415" spans="1:2" x14ac:dyDescent="0.25">
      <c r="A6415" s="64" t="str">
        <f>HYPERLINK("http://www.twitter.com/lilie1981", "lilie1981")</f>
        <v>lilie1981</v>
      </c>
      <c r="B6415" s="65" t="s">
        <v>5330</v>
      </c>
    </row>
    <row r="6416" spans="1:2" x14ac:dyDescent="0.25">
      <c r="A6416" s="64" t="str">
        <f>HYPERLINK("http://www.twitter.com/cushty_chavy", "cushty_chavy")</f>
        <v>cushty_chavy</v>
      </c>
      <c r="B6416" s="65" t="s">
        <v>2007</v>
      </c>
    </row>
    <row r="6417" spans="1:2" x14ac:dyDescent="0.25">
      <c r="A6417" s="64" t="str">
        <f>HYPERLINK("http://www.twitter.com/BradLifeLib", "BradLifeLib")</f>
        <v>BradLifeLib</v>
      </c>
      <c r="B6417" s="65" t="s">
        <v>5976</v>
      </c>
    </row>
    <row r="6418" spans="1:2" x14ac:dyDescent="0.25">
      <c r="A6418" s="64" t="str">
        <f>HYPERLINK("http://www.twitter.com/Annemarieward", "Annemarieward")</f>
        <v>Annemarieward</v>
      </c>
      <c r="B6418" s="65" t="s">
        <v>138</v>
      </c>
    </row>
    <row r="6419" spans="1:2" x14ac:dyDescent="0.25">
      <c r="A6419" s="64" t="str">
        <f>HYPERLINK("http://www.twitter.com/Technowifie", "Technowifie")</f>
        <v>Technowifie</v>
      </c>
      <c r="B6419" s="65"/>
    </row>
    <row r="6420" spans="1:2" x14ac:dyDescent="0.25">
      <c r="A6420" s="64" t="str">
        <f>HYPERLINK("http://www.twitter.com/DruidEstelle", "DruidEstelle")</f>
        <v>DruidEstelle</v>
      </c>
      <c r="B6420" s="65" t="s">
        <v>1377</v>
      </c>
    </row>
    <row r="6421" spans="1:2" x14ac:dyDescent="0.25">
      <c r="A6421" s="64" t="str">
        <f>HYPERLINK("http://www.twitter.com/WakefieldJo", "WakefieldJo")</f>
        <v>WakefieldJo</v>
      </c>
      <c r="B6421" s="65" t="s">
        <v>4153</v>
      </c>
    </row>
    <row r="6422" spans="1:2" x14ac:dyDescent="0.25">
      <c r="A6422" s="64" t="str">
        <f>HYPERLINK("http://www.twitter.com/karenjbirch", "karenjbirch")</f>
        <v>karenjbirch</v>
      </c>
      <c r="B6422" s="65" t="s">
        <v>5977</v>
      </c>
    </row>
    <row r="6423" spans="1:2" x14ac:dyDescent="0.25">
      <c r="A6423" s="64" t="str">
        <f>HYPERLINK("http://www.twitter.com/ScarletVintage", "ScarletVintage")</f>
        <v>ScarletVintage</v>
      </c>
      <c r="B6423" s="65" t="s">
        <v>5978</v>
      </c>
    </row>
    <row r="6424" spans="1:2" x14ac:dyDescent="0.25">
      <c r="A6424" s="64" t="str">
        <f>HYPERLINK("http://www.twitter.com/GervaseTopp", "GervaseTopp")</f>
        <v>GervaseTopp</v>
      </c>
      <c r="B6424" s="65" t="s">
        <v>5979</v>
      </c>
    </row>
    <row r="6425" spans="1:2" x14ac:dyDescent="0.25">
      <c r="A6425" s="64" t="str">
        <f>HYPERLINK("http://www.twitter.com/redrio3", "redrio3")</f>
        <v>redrio3</v>
      </c>
      <c r="B6425" s="65"/>
    </row>
    <row r="6426" spans="1:2" x14ac:dyDescent="0.25">
      <c r="A6426" s="64" t="str">
        <f>HYPERLINK("http://www.twitter.com/hunstantonsmith", "hunstantonsmith")</f>
        <v>hunstantonsmith</v>
      </c>
      <c r="B6426" s="65"/>
    </row>
    <row r="6427" spans="1:2" x14ac:dyDescent="0.25">
      <c r="A6427" s="64" t="str">
        <f>HYPERLINK("http://www.twitter.com/Judybai", "Judybai")</f>
        <v>Judybai</v>
      </c>
      <c r="B6427" s="65" t="s">
        <v>5980</v>
      </c>
    </row>
    <row r="6428" spans="1:2" x14ac:dyDescent="0.25">
      <c r="A6428" s="64" t="str">
        <f>HYPERLINK("http://www.twitter.com/WhitefordWhale", "WhitefordWhale")</f>
        <v>WhitefordWhale</v>
      </c>
      <c r="B6428" s="65" t="s">
        <v>5981</v>
      </c>
    </row>
    <row r="6429" spans="1:2" x14ac:dyDescent="0.25">
      <c r="A6429" s="64" t="str">
        <f>HYPERLINK("http://www.twitter.com/fusspotcentral", "fusspotcentral")</f>
        <v>fusspotcentral</v>
      </c>
      <c r="B6429" s="65"/>
    </row>
    <row r="6430" spans="1:2" x14ac:dyDescent="0.25">
      <c r="A6430" s="64" t="str">
        <f>HYPERLINK("http://www.twitter.com/lin666", "lin666")</f>
        <v>lin666</v>
      </c>
      <c r="B6430" s="65"/>
    </row>
    <row r="6431" spans="1:2" x14ac:dyDescent="0.25">
      <c r="A6431" s="64" t="str">
        <f>HYPERLINK("http://www.twitter.com/SallyHawken", "SallyHawken")</f>
        <v>SallyHawken</v>
      </c>
      <c r="B6431" s="65" t="s">
        <v>5982</v>
      </c>
    </row>
    <row r="6432" spans="1:2" x14ac:dyDescent="0.25">
      <c r="A6432" s="64" t="str">
        <f>HYPERLINK("http://www.twitter.com/rotonion", "rotonion")</f>
        <v>rotonion</v>
      </c>
      <c r="B6432" s="65"/>
    </row>
    <row r="6433" spans="1:2" x14ac:dyDescent="0.25">
      <c r="A6433" s="64" t="str">
        <f>HYPERLINK("http://www.twitter.com/DianeHague1", "DianeHague1")</f>
        <v>DianeHague1</v>
      </c>
      <c r="B6433" s="65"/>
    </row>
    <row r="6434" spans="1:2" x14ac:dyDescent="0.25">
      <c r="A6434" s="64" t="str">
        <f>HYPERLINK("http://www.twitter.com/yasminlibrarian", "yasminlibrarian")</f>
        <v>yasminlibrarian</v>
      </c>
      <c r="B6434" s="65" t="s">
        <v>5983</v>
      </c>
    </row>
    <row r="6435" spans="1:2" x14ac:dyDescent="0.25">
      <c r="A6435" s="64" t="str">
        <f>HYPERLINK("http://www.twitter.com/AnneFinnis", "AnneFinnis")</f>
        <v>AnneFinnis</v>
      </c>
      <c r="B6435" s="65"/>
    </row>
    <row r="6436" spans="1:2" x14ac:dyDescent="0.25">
      <c r="A6436" s="64" t="str">
        <f>HYPERLINK("http://www.twitter.com/piff_paff_poff", "piff_paff_poff")</f>
        <v>piff_paff_poff</v>
      </c>
      <c r="B6436" s="65" t="s">
        <v>318</v>
      </c>
    </row>
    <row r="6437" spans="1:2" x14ac:dyDescent="0.25">
      <c r="A6437" s="64" t="str">
        <f>HYPERLINK("http://www.twitter.com/MELONHEED", "MELONHEED")</f>
        <v>MELONHEED</v>
      </c>
      <c r="B6437" s="65" t="s">
        <v>5984</v>
      </c>
    </row>
    <row r="6438" spans="1:2" x14ac:dyDescent="0.25">
      <c r="A6438" s="64" t="str">
        <f>HYPERLINK("http://www.twitter.com/library_ladder", "library_ladder")</f>
        <v>library_ladder</v>
      </c>
      <c r="B6438" s="65"/>
    </row>
    <row r="6439" spans="1:2" x14ac:dyDescent="0.25">
      <c r="A6439" s="64" t="str">
        <f>HYPERLINK("http://www.twitter.com/SarahBLearns", "SarahBLearns")</f>
        <v>SarahBLearns</v>
      </c>
      <c r="B6439" s="65" t="s">
        <v>4928</v>
      </c>
    </row>
    <row r="6440" spans="1:2" x14ac:dyDescent="0.25">
      <c r="A6440" s="64" t="str">
        <f>HYPERLINK("http://www.twitter.com/sparky_rich", "sparky_rich")</f>
        <v>sparky_rich</v>
      </c>
      <c r="B6440" s="65" t="s">
        <v>1218</v>
      </c>
    </row>
    <row r="6441" spans="1:2" x14ac:dyDescent="0.25">
      <c r="A6441" s="64" t="str">
        <f>HYPERLINK("http://www.twitter.com/wildecat89", "wildecat89")</f>
        <v>wildecat89</v>
      </c>
      <c r="B6441" s="65" t="s">
        <v>5985</v>
      </c>
    </row>
    <row r="6442" spans="1:2" x14ac:dyDescent="0.25">
      <c r="A6442" s="64" t="str">
        <f>HYPERLINK("http://www.twitter.com/sailsailor", "sailsailor")</f>
        <v>sailsailor</v>
      </c>
      <c r="B6442" s="65"/>
    </row>
    <row r="6443" spans="1:2" x14ac:dyDescent="0.25">
      <c r="A6443" s="64" t="str">
        <f>HYPERLINK("http://www.twitter.com/TimBurca", "TimBurca")</f>
        <v>TimBurca</v>
      </c>
      <c r="B6443" s="65" t="s">
        <v>3951</v>
      </c>
    </row>
    <row r="6444" spans="1:2" x14ac:dyDescent="0.25">
      <c r="A6444" s="64" t="str">
        <f>HYPERLINK("http://www.twitter.com/HCMMG", "HCMMG")</f>
        <v>HCMMG</v>
      </c>
      <c r="B6444" s="65"/>
    </row>
    <row r="6445" spans="1:2" x14ac:dyDescent="0.25">
      <c r="A6445" s="64" t="str">
        <f>HYPERLINK("http://www.twitter.com/johnmccusker", "johnmccusker")</f>
        <v>johnmccusker</v>
      </c>
      <c r="B6445" s="65" t="s">
        <v>24</v>
      </c>
    </row>
    <row r="6446" spans="1:2" x14ac:dyDescent="0.25">
      <c r="A6446" s="64" t="str">
        <f>HYPERLINK("http://www.twitter.com/barrowtash", "barrowtash")</f>
        <v>barrowtash</v>
      </c>
      <c r="B6446" s="65"/>
    </row>
    <row r="6447" spans="1:2" x14ac:dyDescent="0.25">
      <c r="A6447" s="64" t="str">
        <f>HYPERLINK("http://www.twitter.com/PartnersInTwine", "PartnersInTwine")</f>
        <v>PartnersInTwine</v>
      </c>
      <c r="B6447" s="65"/>
    </row>
    <row r="6448" spans="1:2" x14ac:dyDescent="0.25">
      <c r="A6448" s="64" t="str">
        <f>HYPERLINK("http://www.twitter.com/iandavis309", "iandavis309")</f>
        <v>iandavis309</v>
      </c>
      <c r="B6448" s="65"/>
    </row>
    <row r="6449" spans="1:2" x14ac:dyDescent="0.25">
      <c r="A6449" s="64" t="str">
        <f>HYPERLINK("http://www.twitter.com/AliceTheElder", "AliceTheElder")</f>
        <v>AliceTheElder</v>
      </c>
      <c r="B6449" s="65"/>
    </row>
    <row r="6450" spans="1:2" x14ac:dyDescent="0.25">
      <c r="A6450" s="64" t="str">
        <f>HYPERLINK("http://www.twitter.com/Gobnait", "Gobnait")</f>
        <v>Gobnait</v>
      </c>
      <c r="B6450" s="65" t="s">
        <v>3760</v>
      </c>
    </row>
    <row r="6451" spans="1:2" x14ac:dyDescent="0.25">
      <c r="A6451" s="64" t="str">
        <f>HYPERLINK("http://www.twitter.com/MaudeandMildred", "MaudeandMildred")</f>
        <v>MaudeandMildred</v>
      </c>
      <c r="B6451" s="65"/>
    </row>
    <row r="6452" spans="1:2" x14ac:dyDescent="0.25">
      <c r="A6452" s="64" t="str">
        <f>HYPERLINK("http://www.twitter.com/SotOtter", "SotOtter")</f>
        <v>SotOtter</v>
      </c>
      <c r="B6452" s="65" t="s">
        <v>5986</v>
      </c>
    </row>
    <row r="6453" spans="1:2" x14ac:dyDescent="0.25">
      <c r="A6453" s="64" t="str">
        <f>HYPERLINK("http://www.twitter.com/AoifeSM", "AoifeSM")</f>
        <v>AoifeSM</v>
      </c>
      <c r="B6453" s="65"/>
    </row>
    <row r="6454" spans="1:2" x14ac:dyDescent="0.25">
      <c r="A6454" s="64" t="str">
        <f>HYPERLINK("http://www.twitter.com/tessjanebrady", "tessjanebrady")</f>
        <v>tessjanebrady</v>
      </c>
      <c r="B6454" s="65" t="s">
        <v>5987</v>
      </c>
    </row>
    <row r="6455" spans="1:2" x14ac:dyDescent="0.25">
      <c r="A6455" s="64" t="str">
        <f>HYPERLINK("http://www.twitter.com/HelloMrBrowning", "HelloMrBrowning")</f>
        <v>HelloMrBrowning</v>
      </c>
      <c r="B6455" s="65" t="s">
        <v>5988</v>
      </c>
    </row>
    <row r="6456" spans="1:2" x14ac:dyDescent="0.25">
      <c r="A6456" s="64" t="str">
        <f>HYPERLINK("http://www.twitter.com/cymrualba", "cymrualba")</f>
        <v>cymrualba</v>
      </c>
      <c r="B6456" s="65" t="s">
        <v>5989</v>
      </c>
    </row>
    <row r="6457" spans="1:2" x14ac:dyDescent="0.25">
      <c r="A6457" s="64" t="str">
        <f>HYPERLINK("http://www.twitter.com/Shy_magpie", "Shy_magpie")</f>
        <v>Shy_magpie</v>
      </c>
      <c r="B6457" s="65"/>
    </row>
    <row r="6458" spans="1:2" x14ac:dyDescent="0.25">
      <c r="A6458" s="64" t="str">
        <f>HYPERLINK("http://www.twitter.com/sootapmac", "sootapmac")</f>
        <v>sootapmac</v>
      </c>
      <c r="B6458" s="65" t="s">
        <v>5990</v>
      </c>
    </row>
    <row r="6459" spans="1:2" x14ac:dyDescent="0.25">
      <c r="A6459" s="64" t="str">
        <f>HYPERLINK("http://www.twitter.com/mccormack_c", "mccormack_c")</f>
        <v>mccormack_c</v>
      </c>
      <c r="B6459" s="65" t="s">
        <v>477</v>
      </c>
    </row>
    <row r="6460" spans="1:2" x14ac:dyDescent="0.25">
      <c r="A6460" s="64" t="str">
        <f>HYPERLINK("http://www.twitter.com/hebbs11", "hebbs11")</f>
        <v>hebbs11</v>
      </c>
      <c r="B6460" s="65" t="s">
        <v>782</v>
      </c>
    </row>
    <row r="6461" spans="1:2" x14ac:dyDescent="0.25">
      <c r="A6461" s="64" t="str">
        <f>HYPERLINK("http://www.twitter.com/helenkbarrow", "helenkbarrow")</f>
        <v>helenkbarrow</v>
      </c>
      <c r="B6461" s="65" t="s">
        <v>5991</v>
      </c>
    </row>
    <row r="6462" spans="1:2" x14ac:dyDescent="0.25">
      <c r="A6462" s="64" t="str">
        <f>HYPERLINK("http://www.twitter.com/catherinerriley", "catherinerriley")</f>
        <v>catherinerriley</v>
      </c>
      <c r="B6462" s="65"/>
    </row>
    <row r="6463" spans="1:2" x14ac:dyDescent="0.25">
      <c r="A6463" s="64" t="str">
        <f>HYPERLINK("http://www.twitter.com/mountHooly", "mountHooly")</f>
        <v>mountHooly</v>
      </c>
      <c r="B6463" s="65" t="s">
        <v>5992</v>
      </c>
    </row>
    <row r="6464" spans="1:2" x14ac:dyDescent="0.25">
      <c r="A6464" s="64" t="str">
        <f>HYPERLINK("http://www.twitter.com/RachelPeach1", "RachelPeach1")</f>
        <v>RachelPeach1</v>
      </c>
      <c r="B6464" s="65"/>
    </row>
    <row r="6465" spans="1:2" x14ac:dyDescent="0.25">
      <c r="A6465" s="64" t="str">
        <f>HYPERLINK("http://www.twitter.com/AndyHoaen", "AndyHoaen")</f>
        <v>AndyHoaen</v>
      </c>
      <c r="B6465" s="65"/>
    </row>
    <row r="6466" spans="1:2" x14ac:dyDescent="0.25">
      <c r="A6466" s="64" t="str">
        <f>HYPERLINK("http://www.twitter.com/FoxN16", "FoxN16")</f>
        <v>FoxN16</v>
      </c>
      <c r="B6466" s="65" t="s">
        <v>5993</v>
      </c>
    </row>
    <row r="6467" spans="1:2" x14ac:dyDescent="0.25">
      <c r="A6467" s="64" t="str">
        <f>HYPERLINK("http://www.twitter.com/Gerry0504", "Gerry0504")</f>
        <v>Gerry0504</v>
      </c>
      <c r="B6467" s="65"/>
    </row>
    <row r="6468" spans="1:2" x14ac:dyDescent="0.25">
      <c r="A6468" s="64" t="str">
        <f>HYPERLINK("http://www.twitter.com/lepusprods", "lepusprods")</f>
        <v>lepusprods</v>
      </c>
      <c r="B6468" s="65"/>
    </row>
    <row r="6469" spans="1:2" x14ac:dyDescent="0.25">
      <c r="A6469" s="64" t="str">
        <f>HYPERLINK("http://www.twitter.com/clare_whitehead", "clare_whitehead")</f>
        <v>clare_whitehead</v>
      </c>
      <c r="B6469" s="65" t="s">
        <v>3040</v>
      </c>
    </row>
    <row r="6470" spans="1:2" x14ac:dyDescent="0.25">
      <c r="A6470" s="64" t="str">
        <f>HYPERLINK("http://www.twitter.com/wakou2", "wakou2")</f>
        <v>wakou2</v>
      </c>
      <c r="B6470" s="65"/>
    </row>
    <row r="6471" spans="1:2" x14ac:dyDescent="0.25">
      <c r="A6471" s="64" t="str">
        <f>HYPERLINK("http://www.twitter.com/phipps_nic", "phipps_nic")</f>
        <v>phipps_nic</v>
      </c>
      <c r="B6471" s="65" t="s">
        <v>5994</v>
      </c>
    </row>
    <row r="6472" spans="1:2" x14ac:dyDescent="0.25">
      <c r="A6472" s="64" t="str">
        <f>HYPERLINK("http://www.twitter.com/thutch277", "thutch277")</f>
        <v>thutch277</v>
      </c>
      <c r="B6472" s="65"/>
    </row>
    <row r="6473" spans="1:2" x14ac:dyDescent="0.25">
      <c r="A6473" s="64" t="str">
        <f>HYPERLINK("http://www.twitter.com/EileenMcCann1", "EileenMcCann1")</f>
        <v>EileenMcCann1</v>
      </c>
      <c r="B6473" s="65" t="s">
        <v>5995</v>
      </c>
    </row>
    <row r="6474" spans="1:2" x14ac:dyDescent="0.25">
      <c r="A6474" s="64" t="str">
        <f>HYPERLINK("http://www.twitter.com/LisaPrince16", "LisaPrince16")</f>
        <v>LisaPrince16</v>
      </c>
      <c r="B6474" s="65" t="s">
        <v>652</v>
      </c>
    </row>
    <row r="6475" spans="1:2" x14ac:dyDescent="0.25">
      <c r="A6475" s="64" t="str">
        <f>HYPERLINK("http://www.twitter.com/seytony", "seytony")</f>
        <v>seytony</v>
      </c>
      <c r="B6475" s="65"/>
    </row>
    <row r="6476" spans="1:2" x14ac:dyDescent="0.25">
      <c r="A6476" s="64" t="str">
        <f>HYPERLINK("http://www.twitter.com/scope67", "scope67")</f>
        <v>scope67</v>
      </c>
      <c r="B6476" s="65"/>
    </row>
    <row r="6477" spans="1:2" x14ac:dyDescent="0.25">
      <c r="A6477" s="64" t="str">
        <f>HYPERLINK("http://www.twitter.com/HedgePigPaul", "HedgePigPaul")</f>
        <v>HedgePigPaul</v>
      </c>
      <c r="B6477" s="65" t="s">
        <v>2679</v>
      </c>
    </row>
    <row r="6478" spans="1:2" x14ac:dyDescent="0.25">
      <c r="A6478" s="64" t="str">
        <f>HYPERLINK("http://www.twitter.com/MikePollitt", "MikePollitt")</f>
        <v>MikePollitt</v>
      </c>
      <c r="B6478" s="65" t="s">
        <v>4147</v>
      </c>
    </row>
    <row r="6479" spans="1:2" x14ac:dyDescent="0.25">
      <c r="A6479" s="64" t="str">
        <f>HYPERLINK("http://www.twitter.com/bedee22", "bedee22")</f>
        <v>bedee22</v>
      </c>
      <c r="B6479" s="65"/>
    </row>
    <row r="6480" spans="1:2" x14ac:dyDescent="0.25">
      <c r="A6480" s="64" t="str">
        <f>HYPERLINK("http://www.twitter.com/xNearDark", "xNearDark")</f>
        <v>xNearDark</v>
      </c>
      <c r="B6480" s="65" t="s">
        <v>5942</v>
      </c>
    </row>
    <row r="6481" spans="1:2" x14ac:dyDescent="0.25">
      <c r="A6481" s="64" t="str">
        <f>HYPERLINK("http://www.twitter.com/CaroleCharter", "CaroleCharter")</f>
        <v>CaroleCharter</v>
      </c>
      <c r="B6481" s="65"/>
    </row>
    <row r="6482" spans="1:2" x14ac:dyDescent="0.25">
      <c r="A6482" s="64" t="str">
        <f>HYPERLINK("http://www.twitter.com/jdurkan91", "jdurkan91")</f>
        <v>jdurkan91</v>
      </c>
      <c r="B6482" s="65" t="s">
        <v>5996</v>
      </c>
    </row>
    <row r="6483" spans="1:2" x14ac:dyDescent="0.25">
      <c r="A6483" s="64" t="str">
        <f>HYPERLINK("http://www.twitter.com/hugoNdrsvp", "hugoNdrsvp")</f>
        <v>hugoNdrsvp</v>
      </c>
      <c r="B6483" s="65"/>
    </row>
    <row r="6484" spans="1:2" x14ac:dyDescent="0.25">
      <c r="A6484" s="64" t="str">
        <f>HYPERLINK("http://www.twitter.com/PerdutaGente", "PerdutaGente")</f>
        <v>PerdutaGente</v>
      </c>
      <c r="B6484" s="65" t="s">
        <v>5997</v>
      </c>
    </row>
    <row r="6485" spans="1:2" x14ac:dyDescent="0.25">
      <c r="A6485" s="64" t="str">
        <f>HYPERLINK("http://www.twitter.com/SheelaghRussel1", "SheelaghRussel1")</f>
        <v>SheelaghRussel1</v>
      </c>
      <c r="B6485" s="65" t="s">
        <v>5998</v>
      </c>
    </row>
    <row r="6486" spans="1:2" x14ac:dyDescent="0.25">
      <c r="A6486" s="64" t="str">
        <f>HYPERLINK("http://www.twitter.com/epsilon1060", "epsilon1060")</f>
        <v>epsilon1060</v>
      </c>
      <c r="B6486" s="65" t="s">
        <v>526</v>
      </c>
    </row>
    <row r="6487" spans="1:2" x14ac:dyDescent="0.25">
      <c r="A6487" s="64" t="str">
        <f>HYPERLINK("http://www.twitter.com/AlasdairMSmith", "AlasdairMSmith")</f>
        <v>AlasdairMSmith</v>
      </c>
      <c r="B6487" s="65"/>
    </row>
    <row r="6488" spans="1:2" x14ac:dyDescent="0.25">
      <c r="A6488" s="64" t="str">
        <f>HYPERLINK("http://www.twitter.com/mycrofholmes225", "mycrofholmes225")</f>
        <v>mycrofholmes225</v>
      </c>
      <c r="B6488" s="65" t="s">
        <v>138</v>
      </c>
    </row>
    <row r="6489" spans="1:2" x14ac:dyDescent="0.25">
      <c r="A6489" s="64" t="str">
        <f>HYPERLINK("http://www.twitter.com/cianmurray", "cianmurray")</f>
        <v>cianmurray</v>
      </c>
      <c r="B6489" s="65"/>
    </row>
    <row r="6490" spans="1:2" x14ac:dyDescent="0.25">
      <c r="A6490" s="64" t="str">
        <f>HYPERLINK("http://www.twitter.com/judywhittaker", "judywhittaker")</f>
        <v>judywhittaker</v>
      </c>
      <c r="B6490" s="65"/>
    </row>
    <row r="6491" spans="1:2" x14ac:dyDescent="0.25">
      <c r="A6491" s="64" t="str">
        <f>HYPERLINK("http://www.twitter.com/Barbwatt", "Barbwatt")</f>
        <v>Barbwatt</v>
      </c>
      <c r="B6491" s="65" t="s">
        <v>5999</v>
      </c>
    </row>
    <row r="6492" spans="1:2" x14ac:dyDescent="0.25">
      <c r="A6492" s="64" t="str">
        <f>HYPERLINK("http://www.twitter.com/Catkx", "Catkx")</f>
        <v>Catkx</v>
      </c>
      <c r="B6492" s="65"/>
    </row>
    <row r="6493" spans="1:2" x14ac:dyDescent="0.25">
      <c r="A6493" s="64" t="str">
        <f>HYPERLINK("http://www.twitter.com/UrquhartGary", "UrquhartGary")</f>
        <v>UrquhartGary</v>
      </c>
      <c r="B6493" s="65" t="s">
        <v>138</v>
      </c>
    </row>
    <row r="6494" spans="1:2" x14ac:dyDescent="0.25">
      <c r="A6494" s="64" t="str">
        <f>HYPERLINK("http://www.twitter.com/lucy_dillon", "lucy_dillon")</f>
        <v>lucy_dillon</v>
      </c>
      <c r="B6494" s="65" t="s">
        <v>6000</v>
      </c>
    </row>
    <row r="6495" spans="1:2" x14ac:dyDescent="0.25">
      <c r="A6495" s="64" t="str">
        <f>HYPERLINK("http://www.twitter.com/0QayD5YFspatz4U", "0QayD5YFspatz4U")</f>
        <v>0QayD5YFspatz4U</v>
      </c>
      <c r="B6495" s="65" t="s">
        <v>24</v>
      </c>
    </row>
    <row r="6496" spans="1:2" x14ac:dyDescent="0.25">
      <c r="A6496" s="64" t="str">
        <f>HYPERLINK("http://www.twitter.com/annabewick", "annabewick")</f>
        <v>annabewick</v>
      </c>
      <c r="B6496" s="65" t="s">
        <v>36</v>
      </c>
    </row>
    <row r="6497" spans="1:2" x14ac:dyDescent="0.25">
      <c r="A6497" s="64" t="str">
        <f>HYPERLINK("http://www.twitter.com/EledaReeth", "EledaReeth")</f>
        <v>EledaReeth</v>
      </c>
      <c r="B6497" s="65" t="s">
        <v>70</v>
      </c>
    </row>
    <row r="6498" spans="1:2" x14ac:dyDescent="0.25">
      <c r="A6498" s="64" t="str">
        <f>HYPERLINK("http://www.twitter.com/amycwood", "amycwood")</f>
        <v>amycwood</v>
      </c>
      <c r="B6498" s="65" t="s">
        <v>36</v>
      </c>
    </row>
    <row r="6499" spans="1:2" x14ac:dyDescent="0.25">
      <c r="A6499" s="64" t="str">
        <f>HYPERLINK("http://www.twitter.com/akc_0123", "akc_0123")</f>
        <v>akc_0123</v>
      </c>
      <c r="B6499" s="65" t="s">
        <v>1862</v>
      </c>
    </row>
    <row r="6500" spans="1:2" x14ac:dyDescent="0.25">
      <c r="A6500" s="64" t="str">
        <f>HYPERLINK("http://www.twitter.com/Frasmi", "Frasmi")</f>
        <v>Frasmi</v>
      </c>
      <c r="B6500" s="65" t="s">
        <v>6001</v>
      </c>
    </row>
    <row r="6501" spans="1:2" x14ac:dyDescent="0.25">
      <c r="A6501" s="64" t="str">
        <f>HYPERLINK("http://www.twitter.com/Cath1m", "Cath1m")</f>
        <v>Cath1m</v>
      </c>
      <c r="B6501" s="65"/>
    </row>
    <row r="6502" spans="1:2" x14ac:dyDescent="0.25">
      <c r="A6502" s="64" t="str">
        <f>HYPERLINK("http://www.twitter.com/McAuleyMick", "McAuleyMick")</f>
        <v>McAuleyMick</v>
      </c>
      <c r="B6502" s="65"/>
    </row>
    <row r="6503" spans="1:2" x14ac:dyDescent="0.25">
      <c r="A6503" s="64" t="str">
        <f>HYPERLINK("http://www.twitter.com/dunedinhen", "dunedinhen")</f>
        <v>dunedinhen</v>
      </c>
      <c r="B6503" s="65" t="s">
        <v>6002</v>
      </c>
    </row>
    <row r="6504" spans="1:2" x14ac:dyDescent="0.25">
      <c r="A6504" s="64" t="str">
        <f>HYPERLINK("http://www.twitter.com/jennywalkabout", "jennywalkabout")</f>
        <v>jennywalkabout</v>
      </c>
      <c r="B6504" s="65" t="s">
        <v>296</v>
      </c>
    </row>
    <row r="6505" spans="1:2" x14ac:dyDescent="0.25">
      <c r="A6505" s="64" t="str">
        <f>HYPERLINK("http://www.twitter.com/kathryn_dickie", "kathryn_dickie")</f>
        <v>kathryn_dickie</v>
      </c>
      <c r="B6505" s="65"/>
    </row>
    <row r="6506" spans="1:2" x14ac:dyDescent="0.25">
      <c r="A6506" s="64" t="str">
        <f>HYPERLINK("http://www.twitter.com/suzannaswims", "suzannaswims")</f>
        <v>suzannaswims</v>
      </c>
      <c r="B6506" s="65" t="s">
        <v>1417</v>
      </c>
    </row>
    <row r="6507" spans="1:2" x14ac:dyDescent="0.25">
      <c r="A6507" s="64" t="str">
        <f>HYPERLINK("http://www.twitter.com/JamieACooke", "JamieACooke")</f>
        <v>JamieACooke</v>
      </c>
      <c r="B6507" s="65" t="s">
        <v>6003</v>
      </c>
    </row>
    <row r="6508" spans="1:2" x14ac:dyDescent="0.25">
      <c r="A6508" s="64" t="str">
        <f>HYPERLINK("http://www.twitter.com/socialvic", "socialvic")</f>
        <v>socialvic</v>
      </c>
      <c r="B6508" s="65" t="s">
        <v>1490</v>
      </c>
    </row>
    <row r="6509" spans="1:2" x14ac:dyDescent="0.25">
      <c r="A6509" s="64" t="str">
        <f>HYPERLINK("http://www.twitter.com/Adelai05", "Adelai05")</f>
        <v>Adelai05</v>
      </c>
      <c r="B6509" s="65" t="s">
        <v>6004</v>
      </c>
    </row>
    <row r="6510" spans="1:2" x14ac:dyDescent="0.25">
      <c r="A6510" s="64" t="str">
        <f>HYPERLINK("http://www.twitter.com/SwimmingCat100", "SwimmingCat100")</f>
        <v>SwimmingCat100</v>
      </c>
      <c r="B6510" s="65"/>
    </row>
    <row r="6511" spans="1:2" x14ac:dyDescent="0.25">
      <c r="A6511" s="64" t="str">
        <f>HYPERLINK("http://www.twitter.com/mytwoshillings", "mytwoshillings")</f>
        <v>mytwoshillings</v>
      </c>
      <c r="B6511" s="65" t="s">
        <v>138</v>
      </c>
    </row>
    <row r="6512" spans="1:2" x14ac:dyDescent="0.25">
      <c r="A6512" s="64" t="str">
        <f>HYPERLINK("http://www.twitter.com/MoBukowska", "MoBukowska")</f>
        <v>MoBukowska</v>
      </c>
      <c r="B6512" s="65"/>
    </row>
    <row r="6513" spans="1:2" x14ac:dyDescent="0.25">
      <c r="A6513" s="64" t="str">
        <f>HYPERLINK("http://www.twitter.com/PeteAusten", "PeteAusten")</f>
        <v>PeteAusten</v>
      </c>
      <c r="B6513" s="65" t="s">
        <v>6005</v>
      </c>
    </row>
    <row r="6514" spans="1:2" x14ac:dyDescent="0.25">
      <c r="A6514" s="64" t="str">
        <f>HYPERLINK("http://www.twitter.com/wickedsadie", "wickedsadie")</f>
        <v>wickedsadie</v>
      </c>
      <c r="B6514" s="65" t="s">
        <v>6006</v>
      </c>
    </row>
    <row r="6515" spans="1:2" x14ac:dyDescent="0.25">
      <c r="A6515" s="64" t="str">
        <f>HYPERLINK("http://www.twitter.com/sianydavies", "sianydavies")</f>
        <v>sianydavies</v>
      </c>
      <c r="B6515" s="65" t="s">
        <v>1218</v>
      </c>
    </row>
    <row r="6516" spans="1:2" x14ac:dyDescent="0.25">
      <c r="A6516" s="64" t="str">
        <f>HYPERLINK("http://www.twitter.com/JasonHazeley", "JasonHazeley")</f>
        <v>JasonHazeley</v>
      </c>
      <c r="B6516" s="65"/>
    </row>
    <row r="6517" spans="1:2" x14ac:dyDescent="0.25">
      <c r="A6517" s="64" t="str">
        <f>HYPERLINK("http://www.twitter.com/vckelsey6", "vckelsey6")</f>
        <v>vckelsey6</v>
      </c>
      <c r="B6517" s="65" t="s">
        <v>6007</v>
      </c>
    </row>
    <row r="6518" spans="1:2" x14ac:dyDescent="0.25">
      <c r="A6518" s="64" t="str">
        <f>HYPERLINK("http://www.twitter.com/StephaneSteufja", "StephaneSteufja")</f>
        <v>StephaneSteufja</v>
      </c>
      <c r="B6518" s="65" t="s">
        <v>5325</v>
      </c>
    </row>
    <row r="6519" spans="1:2" x14ac:dyDescent="0.25">
      <c r="A6519" s="64" t="str">
        <f>HYPERLINK("http://www.twitter.com/DocSteph", "DocSteph")</f>
        <v>DocSteph</v>
      </c>
      <c r="B6519" s="65" t="s">
        <v>3778</v>
      </c>
    </row>
    <row r="6520" spans="1:2" x14ac:dyDescent="0.25">
      <c r="A6520" s="64" t="str">
        <f>HYPERLINK("http://www.twitter.com/utterjoe", "utterjoe")</f>
        <v>utterjoe</v>
      </c>
      <c r="B6520" s="65" t="s">
        <v>6008</v>
      </c>
    </row>
    <row r="6521" spans="1:2" x14ac:dyDescent="0.25">
      <c r="A6521" s="64" t="str">
        <f>HYPERLINK("http://www.twitter.com/evanwilliam23", "evanwilliam23")</f>
        <v>evanwilliam23</v>
      </c>
      <c r="B6521" s="65"/>
    </row>
    <row r="6522" spans="1:2" x14ac:dyDescent="0.25">
      <c r="A6522" s="64" t="str">
        <f>HYPERLINK("http://www.twitter.com/Corieltauvia", "Corieltauvia")</f>
        <v>Corieltauvia</v>
      </c>
      <c r="B6522" s="65"/>
    </row>
    <row r="6523" spans="1:2" x14ac:dyDescent="0.25">
      <c r="A6523" s="64" t="str">
        <f>HYPERLINK("http://www.twitter.com/1Muttie", "1Muttie")</f>
        <v>1Muttie</v>
      </c>
      <c r="B6523" s="65"/>
    </row>
    <row r="6524" spans="1:2" x14ac:dyDescent="0.25">
      <c r="A6524" s="64" t="str">
        <f>HYPERLINK("http://www.twitter.com/Acton_Mainline", "Acton_Mainline")</f>
        <v>Acton_Mainline</v>
      </c>
      <c r="B6524" s="65" t="s">
        <v>6009</v>
      </c>
    </row>
    <row r="6525" spans="1:2" x14ac:dyDescent="0.25">
      <c r="A6525" s="64" t="str">
        <f>HYPERLINK("http://www.twitter.com/carolineelpayne", "carolineelpayne")</f>
        <v>carolineelpayne</v>
      </c>
      <c r="B6525" s="65"/>
    </row>
    <row r="6526" spans="1:2" x14ac:dyDescent="0.25">
      <c r="A6526" s="64" t="str">
        <f>HYPERLINK("http://www.twitter.com/Mrs_Foo_Cough", "Mrs_Foo_Cough")</f>
        <v>Mrs_Foo_Cough</v>
      </c>
      <c r="B6526" s="65" t="s">
        <v>6010</v>
      </c>
    </row>
    <row r="6527" spans="1:2" x14ac:dyDescent="0.25">
      <c r="A6527" s="64" t="str">
        <f>HYPERLINK("http://www.twitter.com/stephiecoster", "stephiecoster")</f>
        <v>stephiecoster</v>
      </c>
      <c r="B6527" s="65"/>
    </row>
    <row r="6528" spans="1:2" x14ac:dyDescent="0.25">
      <c r="A6528" s="64" t="str">
        <f>HYPERLINK("http://www.twitter.com/miriampeck6", "miriampeck6")</f>
        <v>miriampeck6</v>
      </c>
      <c r="B6528" s="65" t="s">
        <v>477</v>
      </c>
    </row>
    <row r="6529" spans="1:2" x14ac:dyDescent="0.25">
      <c r="A6529" s="64" t="str">
        <f>HYPERLINK("http://www.twitter.com/chrissygloves", "chrissygloves")</f>
        <v>chrissygloves</v>
      </c>
      <c r="B6529" s="65"/>
    </row>
    <row r="6530" spans="1:2" x14ac:dyDescent="0.25">
      <c r="A6530" s="64" t="str">
        <f>HYPERLINK("http://www.twitter.com/N1David", "N1David")</f>
        <v>N1David</v>
      </c>
      <c r="B6530" s="65" t="s">
        <v>110</v>
      </c>
    </row>
    <row r="6531" spans="1:2" x14ac:dyDescent="0.25">
      <c r="A6531" s="64" t="str">
        <f>HYPERLINK("http://www.twitter.com/daraghN", "daraghN")</f>
        <v>daraghN</v>
      </c>
      <c r="B6531" s="65" t="s">
        <v>6011</v>
      </c>
    </row>
    <row r="6532" spans="1:2" x14ac:dyDescent="0.25">
      <c r="A6532" s="64" t="str">
        <f>HYPERLINK("http://www.twitter.com/incrediblyEU", "incrediblyEU")</f>
        <v>incrediblyEU</v>
      </c>
      <c r="B6532" s="65"/>
    </row>
    <row r="6533" spans="1:2" x14ac:dyDescent="0.25">
      <c r="A6533" s="64" t="str">
        <f>HYPERLINK("http://www.twitter.com/stalypete", "stalypete")</f>
        <v>stalypete</v>
      </c>
      <c r="B6533" s="65" t="s">
        <v>6012</v>
      </c>
    </row>
    <row r="6534" spans="1:2" x14ac:dyDescent="0.25">
      <c r="A6534" s="64" t="str">
        <f>HYPERLINK("http://www.twitter.com/laspiano", "laspiano")</f>
        <v>laspiano</v>
      </c>
      <c r="B6534" s="65" t="s">
        <v>1739</v>
      </c>
    </row>
    <row r="6535" spans="1:2" x14ac:dyDescent="0.25">
      <c r="A6535" s="64" t="str">
        <f>HYPERLINK("http://www.twitter.com/JonPLawrence", "JonPLawrence")</f>
        <v>JonPLawrence</v>
      </c>
      <c r="B6535" s="65"/>
    </row>
    <row r="6536" spans="1:2" x14ac:dyDescent="0.25">
      <c r="A6536" s="64" t="str">
        <f>HYPERLINK("http://www.twitter.com/spikyhedgehog", "spikyhedgehog")</f>
        <v>spikyhedgehog</v>
      </c>
      <c r="B6536" s="65" t="s">
        <v>5339</v>
      </c>
    </row>
    <row r="6537" spans="1:2" x14ac:dyDescent="0.25">
      <c r="A6537" s="64" t="str">
        <f>HYPERLINK("http://www.twitter.com/FionaPBurns", "FionaPBurns")</f>
        <v>FionaPBurns</v>
      </c>
      <c r="B6537" s="65"/>
    </row>
    <row r="6538" spans="1:2" x14ac:dyDescent="0.25">
      <c r="A6538" s="64" t="str">
        <f>HYPERLINK("http://www.twitter.com/ADRoden", "ADRoden")</f>
        <v>ADRoden</v>
      </c>
      <c r="B6538" s="65" t="s">
        <v>2134</v>
      </c>
    </row>
    <row r="6539" spans="1:2" x14ac:dyDescent="0.25">
      <c r="A6539" s="64" t="str">
        <f>HYPERLINK("http://www.twitter.com/JamScones95", "JamScones95")</f>
        <v>JamScones95</v>
      </c>
      <c r="B6539" s="65" t="s">
        <v>6013</v>
      </c>
    </row>
    <row r="6540" spans="1:2" x14ac:dyDescent="0.25">
      <c r="A6540" s="64" t="str">
        <f>HYPERLINK("http://www.twitter.com/AlisonBeck5", "AlisonBeck5")</f>
        <v>AlisonBeck5</v>
      </c>
      <c r="B6540" s="65"/>
    </row>
    <row r="6541" spans="1:2" x14ac:dyDescent="0.25">
      <c r="A6541" s="64" t="str">
        <f>HYPERLINK("http://www.twitter.com/NeilevansEvans", "NeilevansEvans")</f>
        <v>NeilevansEvans</v>
      </c>
      <c r="B6541" s="65"/>
    </row>
    <row r="6542" spans="1:2" x14ac:dyDescent="0.25">
      <c r="A6542" s="64" t="str">
        <f>HYPERLINK("http://www.twitter.com/melaniebbikes", "melaniebbikes")</f>
        <v>melaniebbikes</v>
      </c>
      <c r="B6542" s="65" t="s">
        <v>346</v>
      </c>
    </row>
    <row r="6543" spans="1:2" x14ac:dyDescent="0.25">
      <c r="A6543" s="64" t="str">
        <f>HYPERLINK("http://www.twitter.com/PimTarkin", "PimTarkin")</f>
        <v>PimTarkin</v>
      </c>
      <c r="B6543" s="65" t="s">
        <v>6014</v>
      </c>
    </row>
    <row r="6544" spans="1:2" x14ac:dyDescent="0.25">
      <c r="A6544" s="64" t="str">
        <f>HYPERLINK("http://www.twitter.com/DAVEPHOTOUK", "DAVEPHOTOUK")</f>
        <v>DAVEPHOTOUK</v>
      </c>
      <c r="B6544" s="65" t="s">
        <v>1180</v>
      </c>
    </row>
    <row r="6545" spans="1:2" x14ac:dyDescent="0.25">
      <c r="A6545" s="64" t="str">
        <f>HYPERLINK("http://www.twitter.com/janeob9", "janeob9")</f>
        <v>janeob9</v>
      </c>
      <c r="B6545" s="65" t="s">
        <v>296</v>
      </c>
    </row>
    <row r="6546" spans="1:2" x14ac:dyDescent="0.25">
      <c r="A6546" s="64" t="str">
        <f>HYPERLINK("http://www.twitter.com/gold_audrey", "gold_audrey")</f>
        <v>gold_audrey</v>
      </c>
      <c r="B6546" s="65"/>
    </row>
    <row r="6547" spans="1:2" x14ac:dyDescent="0.25">
      <c r="A6547" s="64" t="str">
        <f>HYPERLINK("http://www.twitter.com/edwinbrady", "edwinbrady")</f>
        <v>edwinbrady</v>
      </c>
      <c r="B6547" s="65" t="s">
        <v>4049</v>
      </c>
    </row>
    <row r="6548" spans="1:2" x14ac:dyDescent="0.25">
      <c r="A6548" s="64" t="str">
        <f>HYPERLINK("http://www.twitter.com/BeerNouveau", "BeerNouveau")</f>
        <v>BeerNouveau</v>
      </c>
      <c r="B6548" s="65" t="s">
        <v>2289</v>
      </c>
    </row>
    <row r="6549" spans="1:2" x14ac:dyDescent="0.25">
      <c r="A6549" s="64" t="str">
        <f>HYPERLINK("http://www.twitter.com/leicesterlizzie", "leicesterlizzie")</f>
        <v>leicesterlizzie</v>
      </c>
      <c r="B6549" s="65" t="s">
        <v>3559</v>
      </c>
    </row>
    <row r="6550" spans="1:2" x14ac:dyDescent="0.25">
      <c r="A6550" s="64" t="str">
        <f>HYPERLINK("http://www.twitter.com/CeriFielding", "CeriFielding")</f>
        <v>CeriFielding</v>
      </c>
      <c r="B6550" s="65" t="s">
        <v>1146</v>
      </c>
    </row>
    <row r="6551" spans="1:2" x14ac:dyDescent="0.25">
      <c r="A6551" s="64" t="str">
        <f>HYPERLINK("http://www.twitter.com/James_bass86", "James_bass86")</f>
        <v>James_bass86</v>
      </c>
      <c r="B6551" s="65" t="s">
        <v>4291</v>
      </c>
    </row>
    <row r="6552" spans="1:2" x14ac:dyDescent="0.25">
      <c r="A6552" s="64" t="str">
        <f>HYPERLINK("http://www.twitter.com/yvonnezlam", "yvonnezlam")</f>
        <v>yvonnezlam</v>
      </c>
      <c r="B6552" s="65" t="s">
        <v>5156</v>
      </c>
    </row>
    <row r="6553" spans="1:2" x14ac:dyDescent="0.25">
      <c r="A6553" s="64" t="str">
        <f>HYPERLINK("http://www.twitter.com/howardhardiman", "howardhardiman")</f>
        <v>howardhardiman</v>
      </c>
      <c r="B6553" s="65"/>
    </row>
    <row r="6554" spans="1:2" x14ac:dyDescent="0.25">
      <c r="A6554" s="64" t="str">
        <f>HYPERLINK("http://www.twitter.com/scribbles78", "scribbles78")</f>
        <v>scribbles78</v>
      </c>
      <c r="B6554" s="65" t="s">
        <v>318</v>
      </c>
    </row>
    <row r="6555" spans="1:2" x14ac:dyDescent="0.25">
      <c r="A6555" s="64" t="str">
        <f>HYPERLINK("http://www.twitter.com/eilidhmuz", "eilidhmuz")</f>
        <v>eilidhmuz</v>
      </c>
      <c r="B6555" s="65" t="s">
        <v>520</v>
      </c>
    </row>
    <row r="6556" spans="1:2" x14ac:dyDescent="0.25">
      <c r="A6556" s="64" t="str">
        <f>HYPERLINK("http://www.twitter.com/Brynglas70", "Brynglas70")</f>
        <v>Brynglas70</v>
      </c>
      <c r="B6556" s="65" t="s">
        <v>6015</v>
      </c>
    </row>
    <row r="6557" spans="1:2" x14ac:dyDescent="0.25">
      <c r="A6557" s="64" t="str">
        <f>HYPERLINK("http://www.twitter.com/TinaOndine", "TinaOndine")</f>
        <v>TinaOndine</v>
      </c>
      <c r="B6557" s="65"/>
    </row>
    <row r="6558" spans="1:2" x14ac:dyDescent="0.25">
      <c r="A6558" s="64" t="str">
        <f>HYPERLINK("http://www.twitter.com/S1R1USme", "S1R1USme")</f>
        <v>S1R1USme</v>
      </c>
      <c r="B6558" s="65" t="s">
        <v>4111</v>
      </c>
    </row>
    <row r="6559" spans="1:2" x14ac:dyDescent="0.25">
      <c r="A6559" s="64" t="str">
        <f>HYPERLINK("http://www.twitter.com/suzyp56", "suzyp56")</f>
        <v>suzyp56</v>
      </c>
      <c r="B6559" s="65"/>
    </row>
    <row r="6560" spans="1:2" x14ac:dyDescent="0.25">
      <c r="A6560" s="64" t="str">
        <f>HYPERLINK("http://www.twitter.com/kacarleton", "kacarleton")</f>
        <v>kacarleton</v>
      </c>
      <c r="B6560" s="65" t="s">
        <v>6016</v>
      </c>
    </row>
    <row r="6561" spans="1:2" x14ac:dyDescent="0.25">
      <c r="A6561" s="64" t="str">
        <f>HYPERLINK("http://www.twitter.com/lmtjames", "lmtjames")</f>
        <v>lmtjames</v>
      </c>
      <c r="B6561" s="65"/>
    </row>
    <row r="6562" spans="1:2" x14ac:dyDescent="0.25">
      <c r="A6562" s="64" t="str">
        <f>HYPERLINK("http://www.twitter.com/amyeckers", "amyeckers")</f>
        <v>amyeckers</v>
      </c>
      <c r="B6562" s="65"/>
    </row>
    <row r="6563" spans="1:2" x14ac:dyDescent="0.25">
      <c r="A6563" s="64" t="str">
        <f>HYPERLINK("http://www.twitter.com/nealko", "nealko")</f>
        <v>nealko</v>
      </c>
      <c r="B6563" s="65" t="s">
        <v>93</v>
      </c>
    </row>
    <row r="6564" spans="1:2" x14ac:dyDescent="0.25">
      <c r="A6564" s="64" t="str">
        <f>HYPERLINK("http://www.twitter.com/EdTechTV", "EdTechTV")</f>
        <v>EdTechTV</v>
      </c>
      <c r="B6564" s="65"/>
    </row>
    <row r="6565" spans="1:2" x14ac:dyDescent="0.25">
      <c r="A6565" s="64" t="str">
        <f>HYPERLINK("http://www.twitter.com/hdarjub", "hdarjub")</f>
        <v>hdarjub</v>
      </c>
      <c r="B6565" s="65"/>
    </row>
    <row r="6566" spans="1:2" x14ac:dyDescent="0.25">
      <c r="A6566" s="64" t="str">
        <f>HYPERLINK("http://www.twitter.com/mandyhstanton", "mandyhstanton")</f>
        <v>mandyhstanton</v>
      </c>
      <c r="B6566" s="65" t="s">
        <v>3955</v>
      </c>
    </row>
    <row r="6567" spans="1:2" x14ac:dyDescent="0.25">
      <c r="A6567" s="64" t="str">
        <f>HYPERLINK("http://www.twitter.com/Trawler1x1", "Trawler1x1")</f>
        <v>Trawler1x1</v>
      </c>
      <c r="B6567" s="65" t="s">
        <v>6017</v>
      </c>
    </row>
    <row r="6568" spans="1:2" x14ac:dyDescent="0.25">
      <c r="A6568" s="64" t="str">
        <f>HYPERLINK("http://www.twitter.com/joctibeet", "joctibeet")</f>
        <v>joctibeet</v>
      </c>
      <c r="B6568" s="65"/>
    </row>
    <row r="6569" spans="1:2" x14ac:dyDescent="0.25">
      <c r="A6569" s="64" t="str">
        <f>HYPERLINK("http://www.twitter.com/NHSinTrouble", "NHSinTrouble")</f>
        <v>NHSinTrouble</v>
      </c>
      <c r="B6569" s="65" t="s">
        <v>36</v>
      </c>
    </row>
    <row r="6570" spans="1:2" x14ac:dyDescent="0.25">
      <c r="A6570" s="64" t="str">
        <f>HYPERLINK("http://www.twitter.com/MrEFinch", "MrEFinch")</f>
        <v>MrEFinch</v>
      </c>
      <c r="B6570" s="65"/>
    </row>
    <row r="6571" spans="1:2" x14ac:dyDescent="0.25">
      <c r="A6571" s="64" t="str">
        <f>HYPERLINK("http://www.twitter.com/DesertIslandDID", "DesertIslandDID")</f>
        <v>DesertIslandDID</v>
      </c>
      <c r="B6571" s="65" t="s">
        <v>6018</v>
      </c>
    </row>
    <row r="6572" spans="1:2" x14ac:dyDescent="0.25">
      <c r="A6572" s="64" t="str">
        <f>HYPERLINK("http://www.twitter.com/emsical", "emsical")</f>
        <v>emsical</v>
      </c>
      <c r="B6572" s="65" t="s">
        <v>36</v>
      </c>
    </row>
    <row r="6573" spans="1:2" x14ac:dyDescent="0.25">
      <c r="A6573" s="64" t="str">
        <f>HYPERLINK("http://www.twitter.com/matthewsmaria92", "matthewsmaria92")</f>
        <v>matthewsmaria92</v>
      </c>
      <c r="B6573" s="65" t="s">
        <v>6019</v>
      </c>
    </row>
    <row r="6574" spans="1:2" x14ac:dyDescent="0.25">
      <c r="A6574" s="64" t="str">
        <f>HYPERLINK("http://www.twitter.com/HavensChick", "HavensChick")</f>
        <v>HavensChick</v>
      </c>
      <c r="B6574" s="65" t="s">
        <v>6020</v>
      </c>
    </row>
    <row r="6575" spans="1:2" x14ac:dyDescent="0.25">
      <c r="A6575" s="64" t="str">
        <f>HYPERLINK("http://www.twitter.com/AngelaDutton", "AngelaDutton")</f>
        <v>AngelaDutton</v>
      </c>
      <c r="B6575" s="65" t="s">
        <v>1146</v>
      </c>
    </row>
    <row r="6576" spans="1:2" x14ac:dyDescent="0.25">
      <c r="A6576" s="64" t="str">
        <f>HYPERLINK("http://www.twitter.com/ntoniadona", "ntoniadona")</f>
        <v>ntoniadona</v>
      </c>
      <c r="B6576" s="65"/>
    </row>
    <row r="6577" spans="1:2" x14ac:dyDescent="0.25">
      <c r="A6577" s="64" t="str">
        <f>HYPERLINK("http://www.twitter.com/piedpiperofhale", "piedpiperofhale")</f>
        <v>piedpiperofhale</v>
      </c>
      <c r="B6577" s="65" t="s">
        <v>6021</v>
      </c>
    </row>
    <row r="6578" spans="1:2" x14ac:dyDescent="0.25">
      <c r="A6578" s="64" t="str">
        <f>HYPERLINK("http://www.twitter.com/jockflypuppy", "jockflypuppy")</f>
        <v>jockflypuppy</v>
      </c>
      <c r="B6578" s="65" t="s">
        <v>6022</v>
      </c>
    </row>
    <row r="6579" spans="1:2" x14ac:dyDescent="0.25">
      <c r="A6579" s="64" t="str">
        <f>HYPERLINK("http://www.twitter.com/Fraudham", "Fraudham")</f>
        <v>Fraudham</v>
      </c>
      <c r="B6579" s="65" t="s">
        <v>517</v>
      </c>
    </row>
    <row r="6580" spans="1:2" x14ac:dyDescent="0.25">
      <c r="A6580" s="64" t="str">
        <f>HYPERLINK("http://www.twitter.com/mc_jeffo", "mc_jeffo")</f>
        <v>mc_jeffo</v>
      </c>
      <c r="B6580" s="65" t="s">
        <v>514</v>
      </c>
    </row>
    <row r="6581" spans="1:2" x14ac:dyDescent="0.25">
      <c r="A6581" s="64" t="str">
        <f>HYPERLINK("http://www.twitter.com/dannielleruns", "dannielleruns")</f>
        <v>dannielleruns</v>
      </c>
      <c r="B6581" s="65" t="s">
        <v>4147</v>
      </c>
    </row>
    <row r="6582" spans="1:2" x14ac:dyDescent="0.25">
      <c r="A6582" s="64" t="str">
        <f>HYPERLINK("http://www.twitter.com/jobrannan", "jobrannan")</f>
        <v>jobrannan</v>
      </c>
      <c r="B6582" s="65"/>
    </row>
    <row r="6583" spans="1:2" x14ac:dyDescent="0.25">
      <c r="A6583" s="64" t="str">
        <f>HYPERLINK("http://www.twitter.com/LloydLibraryMus", "LloydLibraryMus")</f>
        <v>LloydLibraryMus</v>
      </c>
      <c r="B6583" s="65" t="s">
        <v>5144</v>
      </c>
    </row>
    <row r="6584" spans="1:2" x14ac:dyDescent="0.25">
      <c r="A6584" s="64" t="str">
        <f>HYPERLINK("http://www.twitter.com/maudeygirl", "maudeygirl")</f>
        <v>maudeygirl</v>
      </c>
      <c r="B6584" s="65" t="s">
        <v>3978</v>
      </c>
    </row>
    <row r="6585" spans="1:2" x14ac:dyDescent="0.25">
      <c r="A6585" s="64" t="str">
        <f>HYPERLINK("http://www.twitter.com/DunsRun", "DunsRun")</f>
        <v>DunsRun</v>
      </c>
      <c r="B6585" s="65"/>
    </row>
    <row r="6586" spans="1:2" x14ac:dyDescent="0.25">
      <c r="A6586" s="64" t="str">
        <f>HYPERLINK("http://www.twitter.com/hodgesmajor", "hodgesmajor")</f>
        <v>hodgesmajor</v>
      </c>
      <c r="B6586" s="65"/>
    </row>
    <row r="6587" spans="1:2" x14ac:dyDescent="0.25">
      <c r="A6587" s="64" t="str">
        <f>HYPERLINK("http://www.twitter.com/robbybullen", "robbybullen")</f>
        <v>robbybullen</v>
      </c>
      <c r="B6587" s="65" t="s">
        <v>6023</v>
      </c>
    </row>
    <row r="6588" spans="1:2" x14ac:dyDescent="0.25">
      <c r="A6588" s="64" t="str">
        <f>HYPERLINK("http://www.twitter.com/RendallVicki", "RendallVicki")</f>
        <v>RendallVicki</v>
      </c>
      <c r="B6588" s="65"/>
    </row>
    <row r="6589" spans="1:2" x14ac:dyDescent="0.25">
      <c r="A6589" s="64" t="str">
        <f>HYPERLINK("http://www.twitter.com/Dunjimnot", "Dunjimnot")</f>
        <v>Dunjimnot</v>
      </c>
      <c r="B6589" s="65"/>
    </row>
    <row r="6590" spans="1:2" x14ac:dyDescent="0.25">
      <c r="A6590" s="64" t="str">
        <f>HYPERLINK("http://www.twitter.com/AnitaBu06929708", "AnitaBu06929708")</f>
        <v>AnitaBu06929708</v>
      </c>
      <c r="B6590" s="65"/>
    </row>
    <row r="6591" spans="1:2" x14ac:dyDescent="0.25">
      <c r="A6591" s="64" t="str">
        <f>HYPERLINK("http://www.twitter.com/MrLogic_", "MrLogic_")</f>
        <v>MrLogic_</v>
      </c>
      <c r="B6591" s="65"/>
    </row>
    <row r="6592" spans="1:2" x14ac:dyDescent="0.25">
      <c r="A6592" s="64" t="str">
        <f>HYPERLINK("http://www.twitter.com/hannah333", "hannah333")</f>
        <v>hannah333</v>
      </c>
      <c r="B6592" s="65"/>
    </row>
    <row r="6593" spans="1:2" x14ac:dyDescent="0.25">
      <c r="A6593" s="64" t="str">
        <f>HYPERLINK("http://www.twitter.com/lottiebiscotti", "lottiebiscotti")</f>
        <v>lottiebiscotti</v>
      </c>
      <c r="B6593" s="65" t="s">
        <v>2997</v>
      </c>
    </row>
    <row r="6594" spans="1:2" x14ac:dyDescent="0.25">
      <c r="A6594" s="64" t="str">
        <f>HYPERLINK("http://www.twitter.com/ctur282388", "ctur282388")</f>
        <v>ctur282388</v>
      </c>
      <c r="B6594" s="65" t="s">
        <v>6024</v>
      </c>
    </row>
    <row r="6595" spans="1:2" x14ac:dyDescent="0.25">
      <c r="A6595" s="64" t="str">
        <f>HYPERLINK("http://www.twitter.com/howardbatey", "howardbatey")</f>
        <v>howardbatey</v>
      </c>
      <c r="B6595" s="65" t="s">
        <v>6025</v>
      </c>
    </row>
    <row r="6596" spans="1:2" x14ac:dyDescent="0.25">
      <c r="A6596" s="64" t="str">
        <f>HYPERLINK("http://www.twitter.com/rowanmorrison", "rowanmorrison")</f>
        <v>rowanmorrison</v>
      </c>
      <c r="B6596" s="65" t="s">
        <v>24</v>
      </c>
    </row>
    <row r="6597" spans="1:2" x14ac:dyDescent="0.25">
      <c r="A6597" s="64" t="str">
        <f>HYPERLINK("http://www.twitter.com/alijmcc", "alijmcc")</f>
        <v>alijmcc</v>
      </c>
      <c r="B6597" s="65"/>
    </row>
    <row r="6598" spans="1:2" x14ac:dyDescent="0.25">
      <c r="A6598" s="64" t="str">
        <f>HYPERLINK("http://www.twitter.com/alunojones", "alunojones")</f>
        <v>alunojones</v>
      </c>
      <c r="B6598" s="65"/>
    </row>
    <row r="6599" spans="1:2" x14ac:dyDescent="0.25">
      <c r="A6599" s="64" t="str">
        <f>HYPERLINK("http://www.twitter.com/xabl", "xabl")</f>
        <v>xabl</v>
      </c>
      <c r="B6599" s="65" t="s">
        <v>1295</v>
      </c>
    </row>
    <row r="6600" spans="1:2" x14ac:dyDescent="0.25">
      <c r="A6600" s="64" t="str">
        <f>HYPERLINK("http://www.twitter.com/claireesalt", "claireesalt")</f>
        <v>claireesalt</v>
      </c>
      <c r="B6600" s="65"/>
    </row>
    <row r="6601" spans="1:2" x14ac:dyDescent="0.25">
      <c r="A6601" s="64" t="str">
        <f>HYPERLINK("http://www.twitter.com/jenmgal", "jenmgal")</f>
        <v>jenmgal</v>
      </c>
      <c r="B6601" s="65"/>
    </row>
    <row r="6602" spans="1:2" x14ac:dyDescent="0.25">
      <c r="A6602" s="64" t="str">
        <f>HYPERLINK("http://www.twitter.com/joewwalker", "joewwalker")</f>
        <v>joewwalker</v>
      </c>
      <c r="B6602" s="65" t="s">
        <v>6026</v>
      </c>
    </row>
    <row r="6603" spans="1:2" x14ac:dyDescent="0.25">
      <c r="A6603" s="64" t="str">
        <f>HYPERLINK("http://www.twitter.com/ianperkins69", "ianperkins69")</f>
        <v>ianperkins69</v>
      </c>
      <c r="B6603" s="65" t="s">
        <v>6027</v>
      </c>
    </row>
    <row r="6604" spans="1:2" x14ac:dyDescent="0.25">
      <c r="A6604" s="64" t="str">
        <f>HYPERLINK("http://www.twitter.com/BruceBurchell", "BruceBurchell")</f>
        <v>BruceBurchell</v>
      </c>
      <c r="B6604" s="65"/>
    </row>
    <row r="6605" spans="1:2" x14ac:dyDescent="0.25">
      <c r="A6605" s="64" t="str">
        <f>HYPERLINK("http://www.twitter.com/sundayroasten5", "sundayroasten5")</f>
        <v>sundayroasten5</v>
      </c>
      <c r="B6605" s="65" t="s">
        <v>36</v>
      </c>
    </row>
    <row r="6606" spans="1:2" x14ac:dyDescent="0.25">
      <c r="A6606" s="64" t="str">
        <f>HYPERLINK("http://www.twitter.com/NeBnns", "NeBnns")</f>
        <v>NeBnns</v>
      </c>
      <c r="B6606" s="65"/>
    </row>
    <row r="6607" spans="1:2" x14ac:dyDescent="0.25">
      <c r="A6607" s="64" t="str">
        <f>HYPERLINK("http://www.twitter.com/Babhdan", "Babhdan")</f>
        <v>Babhdan</v>
      </c>
      <c r="B6607" s="65" t="s">
        <v>4763</v>
      </c>
    </row>
    <row r="6608" spans="1:2" x14ac:dyDescent="0.25">
      <c r="A6608" s="64" t="str">
        <f>HYPERLINK("http://www.twitter.com/1tonya", "1tonya")</f>
        <v>1tonya</v>
      </c>
      <c r="B6608" s="65" t="s">
        <v>6028</v>
      </c>
    </row>
    <row r="6609" spans="1:2" x14ac:dyDescent="0.25">
      <c r="A6609" s="64" t="str">
        <f>HYPERLINK("http://www.twitter.com/sinew99", "sinew99")</f>
        <v>sinew99</v>
      </c>
      <c r="B6609" s="65"/>
    </row>
    <row r="6610" spans="1:2" x14ac:dyDescent="0.25">
      <c r="A6610" s="64" t="str">
        <f>HYPERLINK("http://www.twitter.com/goatbhoy", "goatbhoy")</f>
        <v>goatbhoy</v>
      </c>
      <c r="B6610" s="65"/>
    </row>
    <row r="6611" spans="1:2" x14ac:dyDescent="0.25">
      <c r="A6611" s="64" t="str">
        <f>HYPERLINK("http://www.twitter.com/plasllanina", "plasllanina")</f>
        <v>plasllanina</v>
      </c>
      <c r="B6611" s="65" t="s">
        <v>6029</v>
      </c>
    </row>
    <row r="6612" spans="1:2" x14ac:dyDescent="0.25">
      <c r="A6612" s="64" t="str">
        <f>HYPERLINK("http://www.twitter.com/Fyrret71", "Fyrret71")</f>
        <v>Fyrret71</v>
      </c>
      <c r="B6612" s="65" t="s">
        <v>6030</v>
      </c>
    </row>
    <row r="6613" spans="1:2" x14ac:dyDescent="0.25">
      <c r="A6613" s="64" t="str">
        <f>HYPERLINK("http://www.twitter.com/wildcityedu", "wildcityedu")</f>
        <v>wildcityedu</v>
      </c>
      <c r="B6613" s="65" t="s">
        <v>477</v>
      </c>
    </row>
    <row r="6614" spans="1:2" x14ac:dyDescent="0.25">
      <c r="A6614" s="64" t="str">
        <f>HYPERLINK("http://www.twitter.com/HowlinHig", "HowlinHig")</f>
        <v>HowlinHig</v>
      </c>
      <c r="B6614" s="65" t="s">
        <v>505</v>
      </c>
    </row>
    <row r="6615" spans="1:2" x14ac:dyDescent="0.25">
      <c r="A6615" s="64" t="str">
        <f>HYPERLINK("http://www.twitter.com/mattthetax", "mattthetax")</f>
        <v>mattthetax</v>
      </c>
      <c r="B6615" s="65"/>
    </row>
    <row r="6616" spans="1:2" x14ac:dyDescent="0.25">
      <c r="A6616" s="64" t="str">
        <f>HYPERLINK("http://www.twitter.com/Pease2013", "Pease2013")</f>
        <v>Pease2013</v>
      </c>
      <c r="B6616" s="65" t="s">
        <v>427</v>
      </c>
    </row>
    <row r="6617" spans="1:2" x14ac:dyDescent="0.25">
      <c r="A6617" s="64" t="str">
        <f>HYPERLINK("http://www.twitter.com/deftly_admiral", "deftly_admiral")</f>
        <v>deftly_admiral</v>
      </c>
      <c r="B6617" s="65" t="s">
        <v>477</v>
      </c>
    </row>
    <row r="6618" spans="1:2" x14ac:dyDescent="0.25">
      <c r="A6618" s="64" t="str">
        <f>HYPERLINK("http://www.twitter.com/glitterpoems", "glitterpoems")</f>
        <v>glitterpoems</v>
      </c>
      <c r="B6618" s="65" t="s">
        <v>6031</v>
      </c>
    </row>
    <row r="6619" spans="1:2" x14ac:dyDescent="0.25">
      <c r="A6619" s="64" t="str">
        <f>HYPERLINK("http://www.twitter.com/SwimmersEars", "SwimmersEars")</f>
        <v>SwimmersEars</v>
      </c>
      <c r="B6619" s="65"/>
    </row>
    <row r="6620" spans="1:2" x14ac:dyDescent="0.25">
      <c r="A6620" s="64" t="str">
        <f>HYPERLINK("http://www.twitter.com/cornishant", "cornishant")</f>
        <v>cornishant</v>
      </c>
      <c r="B6620" s="65" t="s">
        <v>5045</v>
      </c>
    </row>
    <row r="6621" spans="1:2" x14ac:dyDescent="0.25">
      <c r="A6621" s="64" t="str">
        <f>HYPERLINK("http://www.twitter.com/nigelreid10", "nigelreid10")</f>
        <v>nigelreid10</v>
      </c>
      <c r="B6621" s="65" t="s">
        <v>6032</v>
      </c>
    </row>
    <row r="6622" spans="1:2" x14ac:dyDescent="0.25">
      <c r="A6622" s="64" t="str">
        <f>HYPERLINK("http://www.twitter.com/jennylandreth", "jennylandreth")</f>
        <v>jennylandreth</v>
      </c>
      <c r="B6622" s="65" t="s">
        <v>6033</v>
      </c>
    </row>
    <row r="6623" spans="1:2" x14ac:dyDescent="0.25">
      <c r="A6623" s="64" t="str">
        <f>HYPERLINK("http://www.twitter.com/TimDParrish", "TimDParrish")</f>
        <v>TimDParrish</v>
      </c>
      <c r="B6623" s="65" t="s">
        <v>6034</v>
      </c>
    </row>
    <row r="6624" spans="1:2" x14ac:dyDescent="0.25">
      <c r="A6624" s="64" t="str">
        <f>HYPERLINK("http://www.twitter.com/Galaxatron", "Galaxatron")</f>
        <v>Galaxatron</v>
      </c>
      <c r="B6624" s="65" t="s">
        <v>6035</v>
      </c>
    </row>
    <row r="6625" spans="1:2" x14ac:dyDescent="0.25">
      <c r="A6625" s="64" t="str">
        <f>HYPERLINK("http://www.twitter.com/jaamdunne", "jaamdunne")</f>
        <v>jaamdunne</v>
      </c>
      <c r="B6625" s="65"/>
    </row>
    <row r="6626" spans="1:2" x14ac:dyDescent="0.25">
      <c r="A6626" s="64" t="str">
        <f>HYPERLINK("http://www.twitter.com/SiobhanCorc", "SiobhanCorc")</f>
        <v>SiobhanCorc</v>
      </c>
      <c r="B6626" s="65" t="s">
        <v>6036</v>
      </c>
    </row>
    <row r="6627" spans="1:2" x14ac:dyDescent="0.25">
      <c r="A6627" s="64" t="str">
        <f>HYPERLINK("http://www.twitter.com/wombat747", "wombat747")</f>
        <v>wombat747</v>
      </c>
      <c r="B6627" s="65" t="s">
        <v>24</v>
      </c>
    </row>
    <row r="6628" spans="1:2" x14ac:dyDescent="0.25">
      <c r="A6628" s="64" t="str">
        <f>HYPERLINK("http://www.twitter.com/wilsonchloe2003", "wilsonchloe2003")</f>
        <v>wilsonchloe2003</v>
      </c>
      <c r="B6628" s="65" t="s">
        <v>4519</v>
      </c>
    </row>
    <row r="6629" spans="1:2" x14ac:dyDescent="0.25">
      <c r="A6629" s="64" t="str">
        <f>HYPERLINK("http://www.twitter.com/wayoutwest11", "wayoutwest11")</f>
        <v>wayoutwest11</v>
      </c>
      <c r="B6629" s="65"/>
    </row>
    <row r="6630" spans="1:2" x14ac:dyDescent="0.25">
      <c r="A6630" s="64" t="str">
        <f>HYPERLINK("http://www.twitter.com/arniebal", "arniebal")</f>
        <v>arniebal</v>
      </c>
      <c r="B6630" s="65" t="s">
        <v>36</v>
      </c>
    </row>
    <row r="6631" spans="1:2" x14ac:dyDescent="0.25">
      <c r="A6631" s="64" t="str">
        <f>HYPERLINK("http://www.twitter.com/DervishAbides", "DervishAbides")</f>
        <v>DervishAbides</v>
      </c>
      <c r="B6631" s="65" t="s">
        <v>36</v>
      </c>
    </row>
    <row r="6632" spans="1:2" x14ac:dyDescent="0.25">
      <c r="A6632" s="64" t="str">
        <f>HYPERLINK("http://www.twitter.com/Pizzarepairman", "Pizzarepairman")</f>
        <v>Pizzarepairman</v>
      </c>
      <c r="B6632" s="65" t="s">
        <v>6037</v>
      </c>
    </row>
    <row r="6633" spans="1:2" x14ac:dyDescent="0.25">
      <c r="A6633" s="64" t="str">
        <f>HYPERLINK("http://www.twitter.com/Drholso", "Drholso")</f>
        <v>Drholso</v>
      </c>
      <c r="B6633" s="65"/>
    </row>
    <row r="6634" spans="1:2" x14ac:dyDescent="0.25">
      <c r="A6634" s="64" t="str">
        <f>HYPERLINK("http://www.twitter.com/johnnyjonjonny", "johnnyjonjonny")</f>
        <v>johnnyjonjonny</v>
      </c>
      <c r="B6634" s="65" t="s">
        <v>6038</v>
      </c>
    </row>
    <row r="6635" spans="1:2" x14ac:dyDescent="0.25">
      <c r="A6635" s="64" t="str">
        <f>HYPERLINK("http://www.twitter.com/simonblackwell", "simonblackwell")</f>
        <v>simonblackwell</v>
      </c>
      <c r="B6635" s="65" t="s">
        <v>6039</v>
      </c>
    </row>
    <row r="6636" spans="1:2" x14ac:dyDescent="0.25">
      <c r="A6636" s="64" t="str">
        <f>HYPERLINK("http://www.twitter.com/ThisDave", "ThisDave")</f>
        <v>ThisDave</v>
      </c>
      <c r="B6636" s="65"/>
    </row>
    <row r="6637" spans="1:2" x14ac:dyDescent="0.25">
      <c r="A6637" s="64" t="str">
        <f>HYPERLINK("http://www.twitter.com/Gwyntaglaw", "Gwyntaglaw")</f>
        <v>Gwyntaglaw</v>
      </c>
      <c r="B6637" s="65" t="s">
        <v>3988</v>
      </c>
    </row>
    <row r="6638" spans="1:2" x14ac:dyDescent="0.25">
      <c r="A6638" s="64" t="str">
        <f>HYPERLINK("http://www.twitter.com/sunshinesdaily", "sunshinesdaily")</f>
        <v>sunshinesdaily</v>
      </c>
      <c r="B6638" s="65" t="s">
        <v>36</v>
      </c>
    </row>
    <row r="6639" spans="1:2" x14ac:dyDescent="0.25">
      <c r="A6639" s="64" t="str">
        <f>HYPERLINK("http://www.twitter.com/sharonfsneddon", "sharonfsneddon")</f>
        <v>sharonfsneddon</v>
      </c>
      <c r="B6639" s="65" t="s">
        <v>138</v>
      </c>
    </row>
    <row r="6640" spans="1:2" x14ac:dyDescent="0.25">
      <c r="A6640" s="64" t="str">
        <f>HYPERLINK("http://www.twitter.com/fiddler_mike", "fiddler_mike")</f>
        <v>fiddler_mike</v>
      </c>
      <c r="B6640" s="65"/>
    </row>
    <row r="6641" spans="1:2" x14ac:dyDescent="0.25">
      <c r="A6641" s="64" t="str">
        <f>HYPERLINK("http://www.twitter.com/jm_mcgrath", "jm_mcgrath")</f>
        <v>jm_mcgrath</v>
      </c>
      <c r="B6641" s="65" t="s">
        <v>3778</v>
      </c>
    </row>
    <row r="6642" spans="1:2" x14ac:dyDescent="0.25">
      <c r="A6642" s="64" t="str">
        <f>HYPERLINK("http://www.twitter.com/magso5", "magso5")</f>
        <v>magso5</v>
      </c>
      <c r="B6642" s="65" t="s">
        <v>517</v>
      </c>
    </row>
    <row r="6643" spans="1:2" x14ac:dyDescent="0.25">
      <c r="A6643" s="64" t="str">
        <f>HYPERLINK("http://www.twitter.com/scottmack79", "scottmack79")</f>
        <v>scottmack79</v>
      </c>
      <c r="B6643" s="65" t="s">
        <v>355</v>
      </c>
    </row>
    <row r="6644" spans="1:2" x14ac:dyDescent="0.25">
      <c r="A6644" s="64" t="str">
        <f>HYPERLINK("http://www.twitter.com/EwanMitchell", "EwanMitchell")</f>
        <v>EwanMitchell</v>
      </c>
      <c r="B6644" s="65" t="s">
        <v>180</v>
      </c>
    </row>
    <row r="6645" spans="1:2" x14ac:dyDescent="0.25">
      <c r="A6645" s="64" t="str">
        <f>HYPERLINK("http://www.twitter.com/MandaMScott", "MandaMScott")</f>
        <v>MandaMScott</v>
      </c>
      <c r="B6645" s="65" t="s">
        <v>6040</v>
      </c>
    </row>
    <row r="6646" spans="1:2" x14ac:dyDescent="0.25">
      <c r="A6646" s="64" t="str">
        <f>HYPERLINK("http://www.twitter.com/liamr86", "liamr86")</f>
        <v>liamr86</v>
      </c>
      <c r="B6646" s="65" t="s">
        <v>6041</v>
      </c>
    </row>
    <row r="6647" spans="1:2" x14ac:dyDescent="0.25">
      <c r="A6647" s="64" t="str">
        <f>HYPERLINK("http://www.twitter.com/abibarrington", "abibarrington")</f>
        <v>abibarrington</v>
      </c>
      <c r="B6647" s="65" t="s">
        <v>3137</v>
      </c>
    </row>
    <row r="6648" spans="1:2" x14ac:dyDescent="0.25">
      <c r="A6648" s="64" t="str">
        <f>HYPERLINK("http://www.twitter.com/Monsterlander", "Monsterlander")</f>
        <v>Monsterlander</v>
      </c>
      <c r="B6648" s="65"/>
    </row>
    <row r="6649" spans="1:2" x14ac:dyDescent="0.25">
      <c r="A6649" s="64" t="str">
        <f>HYPERLINK("http://www.twitter.com/FionaLeaning", "FionaLeaning")</f>
        <v>FionaLeaning</v>
      </c>
      <c r="B6649" s="65"/>
    </row>
    <row r="6650" spans="1:2" x14ac:dyDescent="0.25">
      <c r="A6650" s="64" t="str">
        <f>HYPERLINK("http://www.twitter.com/friendmonkeymar", "friendmonkeymar")</f>
        <v>friendmonkeymar</v>
      </c>
      <c r="B6650" s="65"/>
    </row>
    <row r="6651" spans="1:2" x14ac:dyDescent="0.25">
      <c r="A6651" s="64" t="str">
        <f>HYPERLINK("http://www.twitter.com/ffiniol14", "ffiniol14")</f>
        <v>ffiniol14</v>
      </c>
      <c r="B6651" s="65" t="s">
        <v>296</v>
      </c>
    </row>
    <row r="6652" spans="1:2" x14ac:dyDescent="0.25">
      <c r="A6652" s="64" t="str">
        <f>HYPERLINK("http://www.twitter.com/RobM67", "RobM67")</f>
        <v>RobM67</v>
      </c>
      <c r="B6652" s="65" t="s">
        <v>6042</v>
      </c>
    </row>
    <row r="6653" spans="1:2" x14ac:dyDescent="0.25">
      <c r="A6653" s="64" t="str">
        <f>HYPERLINK("http://www.twitter.com/MHanson62", "MHanson62")</f>
        <v>MHanson62</v>
      </c>
      <c r="B6653" s="65" t="s">
        <v>4230</v>
      </c>
    </row>
    <row r="6654" spans="1:2" x14ac:dyDescent="0.25">
      <c r="A6654" s="64" t="str">
        <f>HYPERLINK("http://www.twitter.com/Davidnorth1", "Davidnorth1")</f>
        <v>Davidnorth1</v>
      </c>
      <c r="B6654" s="65"/>
    </row>
    <row r="6655" spans="1:2" x14ac:dyDescent="0.25">
      <c r="A6655" s="64" t="str">
        <f>HYPERLINK("http://www.twitter.com/ashleyking1985", "ashleyking1985")</f>
        <v>ashleyking1985</v>
      </c>
      <c r="B6655" s="65" t="s">
        <v>3569</v>
      </c>
    </row>
    <row r="6656" spans="1:2" x14ac:dyDescent="0.25">
      <c r="A6656" s="64" t="str">
        <f>HYPERLINK("http://www.twitter.com/alibear08", "alibear08")</f>
        <v>alibear08</v>
      </c>
      <c r="B6656" s="65" t="s">
        <v>138</v>
      </c>
    </row>
    <row r="6657" spans="1:2" x14ac:dyDescent="0.25">
      <c r="A6657" s="64" t="str">
        <f>HYPERLINK("http://www.twitter.com/tone_curran", "tone_curran")</f>
        <v>tone_curran</v>
      </c>
      <c r="B6657" s="65" t="s">
        <v>6043</v>
      </c>
    </row>
    <row r="6658" spans="1:2" x14ac:dyDescent="0.25">
      <c r="A6658" s="64" t="str">
        <f>HYPERLINK("http://www.twitter.com/Bix_Barton_SW6", "Bix_Barton_SW6")</f>
        <v>Bix_Barton_SW6</v>
      </c>
      <c r="B6658" s="65" t="s">
        <v>6044</v>
      </c>
    </row>
    <row r="6659" spans="1:2" x14ac:dyDescent="0.25">
      <c r="A6659" s="64" t="str">
        <f>HYPERLINK("http://www.twitter.com/scousepie", "scousepie")</f>
        <v>scousepie</v>
      </c>
      <c r="B6659" s="65"/>
    </row>
    <row r="6660" spans="1:2" x14ac:dyDescent="0.25">
      <c r="A6660" s="64" t="str">
        <f>HYPERLINK("http://www.twitter.com/Shaun1903", "Shaun1903")</f>
        <v>Shaun1903</v>
      </c>
      <c r="B6660" s="65" t="s">
        <v>1841</v>
      </c>
    </row>
    <row r="6661" spans="1:2" x14ac:dyDescent="0.25">
      <c r="A6661" s="64" t="str">
        <f>HYPERLINK("http://www.twitter.com/TrunkyPickett", "TrunkyPickett")</f>
        <v>TrunkyPickett</v>
      </c>
      <c r="B6661" s="65" t="s">
        <v>6045</v>
      </c>
    </row>
    <row r="6662" spans="1:2" x14ac:dyDescent="0.25">
      <c r="A6662" s="64" t="str">
        <f>HYPERLINK("http://www.twitter.com/3littlepirates", "3littlepirates")</f>
        <v>3littlepirates</v>
      </c>
      <c r="B6662" s="65" t="s">
        <v>296</v>
      </c>
    </row>
    <row r="6663" spans="1:2" x14ac:dyDescent="0.25">
      <c r="A6663" s="64" t="str">
        <f>HYPERLINK("http://www.twitter.com/LonRANDALL", "LonRANDALL")</f>
        <v>LonRANDALL</v>
      </c>
      <c r="B6663" s="65"/>
    </row>
    <row r="6664" spans="1:2" x14ac:dyDescent="0.25">
      <c r="A6664" s="64" t="str">
        <f>HYPERLINK("http://www.twitter.com/sjkconnelly", "sjkconnelly")</f>
        <v>sjkconnelly</v>
      </c>
      <c r="B6664" s="65" t="s">
        <v>6046</v>
      </c>
    </row>
    <row r="6665" spans="1:2" x14ac:dyDescent="0.25">
      <c r="A6665" s="64" t="str">
        <f>HYPERLINK("http://www.twitter.com/GHS_ZA", "GHS_ZA")</f>
        <v>GHS_ZA</v>
      </c>
      <c r="B6665" s="65" t="s">
        <v>508</v>
      </c>
    </row>
    <row r="6666" spans="1:2" x14ac:dyDescent="0.25">
      <c r="A6666" s="64" t="str">
        <f>HYPERLINK("http://www.twitter.com/mvitag", "mvitag")</f>
        <v>mvitag</v>
      </c>
      <c r="B6666" s="65"/>
    </row>
    <row r="6667" spans="1:2" x14ac:dyDescent="0.25">
      <c r="A6667" s="64" t="str">
        <f>HYPERLINK("http://www.twitter.com/OBollocks", "OBollocks")</f>
        <v>OBollocks</v>
      </c>
      <c r="B6667" s="65" t="s">
        <v>296</v>
      </c>
    </row>
    <row r="6668" spans="1:2" x14ac:dyDescent="0.25">
      <c r="A6668" s="64" t="str">
        <f>HYPERLINK("http://www.twitter.com/CardiffRead", "CardiffRead")</f>
        <v>CardiffRead</v>
      </c>
      <c r="B6668" s="65" t="s">
        <v>6047</v>
      </c>
    </row>
    <row r="6669" spans="1:2" x14ac:dyDescent="0.25">
      <c r="A6669" s="64" t="str">
        <f>HYPERLINK("http://www.twitter.com/daiderby", "daiderby")</f>
        <v>daiderby</v>
      </c>
      <c r="B6669" s="65" t="s">
        <v>6048</v>
      </c>
    </row>
    <row r="6670" spans="1:2" x14ac:dyDescent="0.25">
      <c r="A6670" s="64" t="str">
        <f>HYPERLINK("http://www.twitter.com/Ticklecustomers", "Ticklecustomers")</f>
        <v>Ticklecustomers</v>
      </c>
      <c r="B6670" s="65" t="s">
        <v>6049</v>
      </c>
    </row>
    <row r="6671" spans="1:2" x14ac:dyDescent="0.25">
      <c r="A6671" s="64" t="str">
        <f>HYPERLINK("http://www.twitter.com/123iev", "123iev")</f>
        <v>123iev</v>
      </c>
      <c r="B6671" s="65"/>
    </row>
    <row r="6672" spans="1:2" x14ac:dyDescent="0.25">
      <c r="A6672" s="64" t="str">
        <f>HYPERLINK("http://www.twitter.com/AngelaStillwell", "AngelaStillwell")</f>
        <v>AngelaStillwell</v>
      </c>
      <c r="B6672" s="65" t="s">
        <v>24</v>
      </c>
    </row>
    <row r="6673" spans="1:2" x14ac:dyDescent="0.25">
      <c r="A6673" s="64" t="str">
        <f>HYPERLINK("http://www.twitter.com/figiginn", "figiginn")</f>
        <v>figiginn</v>
      </c>
      <c r="B6673" s="65"/>
    </row>
    <row r="6674" spans="1:2" x14ac:dyDescent="0.25">
      <c r="A6674" s="64" t="str">
        <f>HYPERLINK("http://www.twitter.com/mcmillwynd", "mcmillwynd")</f>
        <v>mcmillwynd</v>
      </c>
      <c r="B6674" s="65"/>
    </row>
    <row r="6675" spans="1:2" x14ac:dyDescent="0.25">
      <c r="A6675" s="64" t="str">
        <f>HYPERLINK("http://www.twitter.com/OOdonohoe", "OOdonohoe")</f>
        <v>OOdonohoe</v>
      </c>
      <c r="B6675" s="65"/>
    </row>
    <row r="6676" spans="1:2" x14ac:dyDescent="0.25">
      <c r="A6676" s="64" t="str">
        <f>HYPERLINK("http://www.twitter.com/DancingLeaf06", "DancingLeaf06")</f>
        <v>DancingLeaf06</v>
      </c>
      <c r="B6676" s="65" t="s">
        <v>6050</v>
      </c>
    </row>
    <row r="6677" spans="1:2" x14ac:dyDescent="0.25">
      <c r="A6677" s="64" t="str">
        <f>HYPERLINK("http://www.twitter.com/GentlemanGrimm", "GentlemanGrimm")</f>
        <v>GentlemanGrimm</v>
      </c>
      <c r="B6677" s="65" t="s">
        <v>3665</v>
      </c>
    </row>
    <row r="6678" spans="1:2" x14ac:dyDescent="0.25">
      <c r="A6678" s="64" t="str">
        <f>HYPERLINK("http://www.twitter.com/Bridgeanne", "Bridgeanne")</f>
        <v>Bridgeanne</v>
      </c>
      <c r="B6678" s="65" t="s">
        <v>1739</v>
      </c>
    </row>
    <row r="6679" spans="1:2" x14ac:dyDescent="0.25">
      <c r="A6679" s="64" t="str">
        <f>HYPERLINK("http://www.twitter.com/bobobalti", "bobobalti")</f>
        <v>bobobalti</v>
      </c>
      <c r="B6679" s="65" t="s">
        <v>6051</v>
      </c>
    </row>
    <row r="6680" spans="1:2" x14ac:dyDescent="0.25">
      <c r="A6680" s="64" t="str">
        <f>HYPERLINK("http://www.twitter.com/BadgerRay", "BadgerRay")</f>
        <v>BadgerRay</v>
      </c>
      <c r="B6680" s="65"/>
    </row>
    <row r="6681" spans="1:2" x14ac:dyDescent="0.25">
      <c r="A6681" s="64" t="str">
        <f>HYPERLINK("http://www.twitter.com/Jarlie86", "Jarlie86")</f>
        <v>Jarlie86</v>
      </c>
      <c r="B6681" s="65" t="s">
        <v>4153</v>
      </c>
    </row>
    <row r="6682" spans="1:2" x14ac:dyDescent="0.25">
      <c r="A6682" s="64" t="str">
        <f>HYPERLINK("http://www.twitter.com/puffin2503", "puffin2503")</f>
        <v>puffin2503</v>
      </c>
      <c r="B6682" s="65" t="s">
        <v>61</v>
      </c>
    </row>
    <row r="6683" spans="1:2" x14ac:dyDescent="0.25">
      <c r="A6683" s="64" t="str">
        <f>HYPERLINK("http://www.twitter.com/mark_mh5", "mark_mh5")</f>
        <v>mark_mh5</v>
      </c>
      <c r="B6683" s="65" t="s">
        <v>6052</v>
      </c>
    </row>
    <row r="6684" spans="1:2" x14ac:dyDescent="0.25">
      <c r="A6684" s="64" t="str">
        <f>HYPERLINK("http://www.twitter.com/Jenclutterbuck", "Jenclutterbuck")</f>
        <v>Jenclutterbuck</v>
      </c>
      <c r="B6684" s="65" t="s">
        <v>5029</v>
      </c>
    </row>
    <row r="6685" spans="1:2" x14ac:dyDescent="0.25">
      <c r="A6685" s="64" t="str">
        <f>HYPERLINK("http://www.twitter.com/stu_kenny", "stu_kenny")</f>
        <v>stu_kenny</v>
      </c>
      <c r="B6685" s="65"/>
    </row>
    <row r="6686" spans="1:2" x14ac:dyDescent="0.25">
      <c r="A6686" s="64" t="str">
        <f>HYPERLINK("http://www.twitter.com/tonymerchison", "tonymerchison")</f>
        <v>tonymerchison</v>
      </c>
      <c r="B6686" s="65" t="s">
        <v>6053</v>
      </c>
    </row>
    <row r="6687" spans="1:2" x14ac:dyDescent="0.25">
      <c r="A6687" s="64" t="str">
        <f>HYPERLINK("http://www.twitter.com/mywaxwing", "mywaxwing")</f>
        <v>mywaxwing</v>
      </c>
      <c r="B6687" s="65" t="s">
        <v>1221</v>
      </c>
    </row>
    <row r="6688" spans="1:2" x14ac:dyDescent="0.25">
      <c r="A6688" s="64" t="str">
        <f>HYPERLINK("http://www.twitter.com/ibell79", "ibell79")</f>
        <v>ibell79</v>
      </c>
      <c r="B6688" s="65"/>
    </row>
    <row r="6689" spans="1:2" x14ac:dyDescent="0.25">
      <c r="A6689" s="64" t="str">
        <f>HYPERLINK("http://www.twitter.com/halftheisland", "halftheisland")</f>
        <v>halftheisland</v>
      </c>
      <c r="B6689" s="65"/>
    </row>
    <row r="6690" spans="1:2" x14ac:dyDescent="0.25">
      <c r="A6690" s="64" t="str">
        <f>HYPERLINK("http://www.twitter.com/annamariakam", "annamariakam")</f>
        <v>annamariakam</v>
      </c>
      <c r="B6690" s="65" t="s">
        <v>6054</v>
      </c>
    </row>
    <row r="6691" spans="1:2" x14ac:dyDescent="0.25">
      <c r="A6691" s="64" t="str">
        <f>HYPERLINK("http://www.twitter.com/jayniebax", "jayniebax")</f>
        <v>jayniebax</v>
      </c>
      <c r="B6691" s="65" t="s">
        <v>5169</v>
      </c>
    </row>
    <row r="6692" spans="1:2" x14ac:dyDescent="0.25">
      <c r="A6692" s="64" t="str">
        <f>HYPERLINK("http://www.twitter.com/fens_commuter", "fens_commuter")</f>
        <v>fens_commuter</v>
      </c>
      <c r="B6692" s="65" t="s">
        <v>6055</v>
      </c>
    </row>
    <row r="6693" spans="1:2" x14ac:dyDescent="0.25">
      <c r="A6693" s="64" t="str">
        <f>HYPERLINK("http://www.twitter.com/LousyLibrarian", "LousyLibrarian")</f>
        <v>LousyLibrarian</v>
      </c>
      <c r="B6693" s="65"/>
    </row>
    <row r="6694" spans="1:2" x14ac:dyDescent="0.25">
      <c r="A6694" s="64" t="str">
        <f>HYPERLINK("http://www.twitter.com/natalieharrower", "natalieharrower")</f>
        <v>natalieharrower</v>
      </c>
      <c r="B6694" s="65" t="s">
        <v>6056</v>
      </c>
    </row>
    <row r="6695" spans="1:2" x14ac:dyDescent="0.25">
      <c r="A6695" s="64" t="str">
        <f>HYPERLINK("http://www.twitter.com/loxleylorax", "loxleylorax")</f>
        <v>loxleylorax</v>
      </c>
      <c r="B6695" s="65" t="s">
        <v>2592</v>
      </c>
    </row>
    <row r="6696" spans="1:2" x14ac:dyDescent="0.25">
      <c r="A6696" s="64" t="str">
        <f>HYPERLINK("http://www.twitter.com/Lilypoprocks", "Lilypoprocks")</f>
        <v>Lilypoprocks</v>
      </c>
      <c r="B6696" s="65"/>
    </row>
    <row r="6697" spans="1:2" x14ac:dyDescent="0.25">
      <c r="A6697" s="64" t="str">
        <f>HYPERLINK("http://www.twitter.com/emmaloupitviper", "emmaloupitviper")</f>
        <v>emmaloupitviper</v>
      </c>
      <c r="B6697" s="65" t="s">
        <v>6057</v>
      </c>
    </row>
    <row r="6698" spans="1:2" x14ac:dyDescent="0.25">
      <c r="A6698" s="64" t="str">
        <f>HYPERLINK("http://www.twitter.com/mummykat", "mummykat")</f>
        <v>mummykat</v>
      </c>
      <c r="B6698" s="65"/>
    </row>
    <row r="6699" spans="1:2" x14ac:dyDescent="0.25">
      <c r="A6699" s="64" t="str">
        <f>HYPERLINK("http://www.twitter.com/trishaw", "trishaw")</f>
        <v>trishaw</v>
      </c>
      <c r="B6699" s="65" t="s">
        <v>6058</v>
      </c>
    </row>
    <row r="6700" spans="1:2" x14ac:dyDescent="0.25">
      <c r="A6700" s="64" t="str">
        <f>HYPERLINK("http://www.twitter.com/DWestwater", "DWestwater")</f>
        <v>DWestwater</v>
      </c>
      <c r="B6700" s="65" t="s">
        <v>4019</v>
      </c>
    </row>
    <row r="6701" spans="1:2" x14ac:dyDescent="0.25">
      <c r="A6701" s="64" t="str">
        <f>HYPERLINK("http://www.twitter.com/Redpolitics", "Redpolitics")</f>
        <v>Redpolitics</v>
      </c>
      <c r="B6701" s="65" t="s">
        <v>36</v>
      </c>
    </row>
    <row r="6702" spans="1:2" x14ac:dyDescent="0.25">
      <c r="A6702" s="64" t="str">
        <f>HYPERLINK("http://www.twitter.com/carolinmcmillan", "carolinmcmillan")</f>
        <v>carolinmcmillan</v>
      </c>
      <c r="B6702" s="65" t="s">
        <v>6059</v>
      </c>
    </row>
    <row r="6703" spans="1:2" x14ac:dyDescent="0.25">
      <c r="A6703" s="64" t="str">
        <f>HYPERLINK("http://www.twitter.com/Deegtastic", "Deegtastic")</f>
        <v>Deegtastic</v>
      </c>
      <c r="B6703" s="65" t="s">
        <v>6060</v>
      </c>
    </row>
    <row r="6704" spans="1:2" x14ac:dyDescent="0.25">
      <c r="A6704" s="64" t="str">
        <f>HYPERLINK("http://www.twitter.com/KR_HJ", "KR_HJ")</f>
        <v>KR_HJ</v>
      </c>
      <c r="B6704" s="65"/>
    </row>
    <row r="6705" spans="1:2" x14ac:dyDescent="0.25">
      <c r="A6705" s="64" t="str">
        <f>HYPERLINK("http://www.twitter.com/stefaniehillen", "stefaniehillen")</f>
        <v>stefaniehillen</v>
      </c>
      <c r="B6705" s="65" t="s">
        <v>487</v>
      </c>
    </row>
    <row r="6706" spans="1:2" x14ac:dyDescent="0.25">
      <c r="A6706" s="64" t="str">
        <f>HYPERLINK("http://www.twitter.com/kitkatsruleme", "kitkatsruleme")</f>
        <v>kitkatsruleme</v>
      </c>
      <c r="B6706" s="65"/>
    </row>
    <row r="6707" spans="1:2" x14ac:dyDescent="0.25">
      <c r="A6707" s="64" t="str">
        <f>HYPERLINK("http://www.twitter.com/sarahanderton14", "sarahanderton14")</f>
        <v>sarahanderton14</v>
      </c>
      <c r="B6707" s="65"/>
    </row>
    <row r="6708" spans="1:2" x14ac:dyDescent="0.25">
      <c r="A6708" s="64" t="str">
        <f>HYPERLINK("http://www.twitter.com/DrBillyo_", "DrBillyo_")</f>
        <v>DrBillyo_</v>
      </c>
      <c r="B6708" s="65" t="s">
        <v>6061</v>
      </c>
    </row>
    <row r="6709" spans="1:2" x14ac:dyDescent="0.25">
      <c r="A6709" s="64" t="str">
        <f>HYPERLINK("http://www.twitter.com/morven_ash", "morven_ash")</f>
        <v>morven_ash</v>
      </c>
      <c r="B6709" s="65" t="s">
        <v>517</v>
      </c>
    </row>
    <row r="6710" spans="1:2" x14ac:dyDescent="0.25">
      <c r="A6710" s="64" t="str">
        <f>HYPERLINK("http://www.twitter.com/jstantoni", "jstantoni")</f>
        <v>jstantoni</v>
      </c>
      <c r="B6710" s="65"/>
    </row>
    <row r="6711" spans="1:2" x14ac:dyDescent="0.25">
      <c r="A6711" s="64" t="str">
        <f>HYPERLINK("http://www.twitter.com/thinking_bean", "thinking_bean")</f>
        <v>thinking_bean</v>
      </c>
      <c r="B6711" s="65" t="s">
        <v>36</v>
      </c>
    </row>
    <row r="6712" spans="1:2" x14ac:dyDescent="0.25">
      <c r="A6712" s="64" t="str">
        <f>HYPERLINK("http://www.twitter.com/Missmoxey", "Missmoxey")</f>
        <v>Missmoxey</v>
      </c>
      <c r="B6712" s="65" t="s">
        <v>5260</v>
      </c>
    </row>
    <row r="6713" spans="1:2" x14ac:dyDescent="0.25">
      <c r="A6713" s="64" t="str">
        <f>HYPERLINK("http://www.twitter.com/Annuh_SJ", "Annuh_SJ")</f>
        <v>Annuh_SJ</v>
      </c>
      <c r="B6713" s="65" t="s">
        <v>883</v>
      </c>
    </row>
    <row r="6714" spans="1:2" x14ac:dyDescent="0.25">
      <c r="A6714" s="64" t="str">
        <f>HYPERLINK("http://www.twitter.com/ShottsStPats", "ShottsStPats")</f>
        <v>ShottsStPats</v>
      </c>
      <c r="B6714" s="65"/>
    </row>
    <row r="6715" spans="1:2" x14ac:dyDescent="0.25">
      <c r="A6715" s="64" t="str">
        <f>HYPERLINK("http://www.twitter.com/le_petit_cochon", "le_petit_cochon")</f>
        <v>le_petit_cochon</v>
      </c>
      <c r="B6715" s="65" t="s">
        <v>6062</v>
      </c>
    </row>
    <row r="6716" spans="1:2" x14ac:dyDescent="0.25">
      <c r="A6716" s="64" t="str">
        <f>HYPERLINK("http://www.twitter.com/AucklandIsland", "AucklandIsland")</f>
        <v>AucklandIsland</v>
      </c>
      <c r="B6716" s="65" t="s">
        <v>6063</v>
      </c>
    </row>
    <row r="6717" spans="1:2" x14ac:dyDescent="0.25">
      <c r="A6717" s="64" t="str">
        <f>HYPERLINK("http://www.twitter.com/scott_sjt", "scott_sjt")</f>
        <v>scott_sjt</v>
      </c>
      <c r="B6717" s="65" t="s">
        <v>456</v>
      </c>
    </row>
    <row r="6718" spans="1:2" x14ac:dyDescent="0.25">
      <c r="A6718" s="64" t="str">
        <f>HYPERLINK("http://www.twitter.com/JoyRhoades1", "JoyRhoades1")</f>
        <v>JoyRhoades1</v>
      </c>
      <c r="B6718" s="65" t="s">
        <v>6064</v>
      </c>
    </row>
    <row r="6719" spans="1:2" x14ac:dyDescent="0.25">
      <c r="A6719" s="64" t="str">
        <f>HYPERLINK("http://www.twitter.com/Butterflies9791", "Butterflies9791")</f>
        <v>Butterflies9791</v>
      </c>
      <c r="B6719" s="65"/>
    </row>
    <row r="6720" spans="1:2" x14ac:dyDescent="0.25">
      <c r="A6720" s="64" t="str">
        <f>HYPERLINK("http://www.twitter.com/cmaitken", "cmaitken")</f>
        <v>cmaitken</v>
      </c>
      <c r="B6720" s="65" t="s">
        <v>24</v>
      </c>
    </row>
    <row r="6721" spans="1:2" x14ac:dyDescent="0.25">
      <c r="A6721" s="64" t="str">
        <f>HYPERLINK("http://www.twitter.com/reginaldslight", "reginaldslight")</f>
        <v>reginaldslight</v>
      </c>
      <c r="B6721" s="65"/>
    </row>
    <row r="6722" spans="1:2" x14ac:dyDescent="0.25">
      <c r="A6722" s="64" t="str">
        <f>HYPERLINK("http://www.twitter.com/karenvargagreen", "karenvargagreen")</f>
        <v>karenvargagreen</v>
      </c>
      <c r="B6722" s="65" t="s">
        <v>6065</v>
      </c>
    </row>
    <row r="6723" spans="1:2" x14ac:dyDescent="0.25">
      <c r="A6723" s="64" t="str">
        <f>HYPERLINK("http://www.twitter.com/rascaldj", "rascaldj")</f>
        <v>rascaldj</v>
      </c>
      <c r="B6723" s="65" t="s">
        <v>6066</v>
      </c>
    </row>
    <row r="6724" spans="1:2" x14ac:dyDescent="0.25">
      <c r="A6724" s="64" t="str">
        <f>HYPERLINK("http://www.twitter.com/MirnMac", "MirnMac")</f>
        <v>MirnMac</v>
      </c>
      <c r="B6724" s="65" t="s">
        <v>517</v>
      </c>
    </row>
    <row r="6725" spans="1:2" x14ac:dyDescent="0.25">
      <c r="A6725" s="64" t="str">
        <f>HYPERLINK("http://www.twitter.com/LISDISConf", "LISDISConf")</f>
        <v>LISDISConf</v>
      </c>
      <c r="B6725" s="65"/>
    </row>
    <row r="6726" spans="1:2" x14ac:dyDescent="0.25">
      <c r="A6726" s="64" t="str">
        <f>HYPERLINK("http://www.twitter.com/MsRoche", "MsRoche")</f>
        <v>MsRoche</v>
      </c>
      <c r="B6726" s="65"/>
    </row>
    <row r="6727" spans="1:2" x14ac:dyDescent="0.25">
      <c r="A6727" s="64" t="str">
        <f>HYPERLINK("http://www.twitter.com/nearlyateacher", "nearlyateacher")</f>
        <v>nearlyateacher</v>
      </c>
      <c r="B6727" s="65" t="s">
        <v>318</v>
      </c>
    </row>
    <row r="6728" spans="1:2" x14ac:dyDescent="0.25">
      <c r="A6728" s="64" t="str">
        <f>HYPERLINK("http://www.twitter.com/DashingtonHedge", "DashingtonHedge")</f>
        <v>DashingtonHedge</v>
      </c>
      <c r="B6728" s="65" t="s">
        <v>5417</v>
      </c>
    </row>
    <row r="6729" spans="1:2" x14ac:dyDescent="0.25">
      <c r="A6729" s="64" t="str">
        <f>HYPERLINK("http://www.twitter.com/weecass1888", "weecass1888")</f>
        <v>weecass1888</v>
      </c>
      <c r="B6729" s="65"/>
    </row>
    <row r="6730" spans="1:2" x14ac:dyDescent="0.25">
      <c r="A6730" s="64" t="str">
        <f>HYPERLINK("http://www.twitter.com/Midgeb68", "Midgeb68")</f>
        <v>Midgeb68</v>
      </c>
      <c r="B6730" s="65"/>
    </row>
    <row r="6731" spans="1:2" x14ac:dyDescent="0.25">
      <c r="A6731" s="64" t="str">
        <f>HYPERLINK("http://www.twitter.com/thorneyjane", "thorneyjane")</f>
        <v>thorneyjane</v>
      </c>
      <c r="B6731" s="65" t="s">
        <v>1810</v>
      </c>
    </row>
    <row r="6732" spans="1:2" x14ac:dyDescent="0.25">
      <c r="A6732" s="64" t="str">
        <f>HYPERLINK("http://www.twitter.com/izzymact", "izzymact")</f>
        <v>izzymact</v>
      </c>
      <c r="B6732" s="65" t="s">
        <v>6067</v>
      </c>
    </row>
    <row r="6733" spans="1:2" x14ac:dyDescent="0.25">
      <c r="A6733" s="64" t="str">
        <f>HYPERLINK("http://www.twitter.com/yannekah", "yannekah")</f>
        <v>yannekah</v>
      </c>
      <c r="B6733" s="65"/>
    </row>
    <row r="6734" spans="1:2" x14ac:dyDescent="0.25">
      <c r="A6734" s="64" t="str">
        <f>HYPERLINK("http://www.twitter.com/beverlymcfarl14", "beverlymcfarl14")</f>
        <v>beverlymcfarl14</v>
      </c>
      <c r="B6734" s="65"/>
    </row>
    <row r="6735" spans="1:2" x14ac:dyDescent="0.25">
      <c r="A6735" s="64" t="str">
        <f>HYPERLINK("http://www.twitter.com/MatthewJDalby", "MatthewJDalby")</f>
        <v>MatthewJDalby</v>
      </c>
      <c r="B6735" s="65" t="s">
        <v>257</v>
      </c>
    </row>
    <row r="6736" spans="1:2" x14ac:dyDescent="0.25">
      <c r="A6736" s="64" t="str">
        <f>HYPERLINK("http://www.twitter.com/BenDavis1972", "BenDavis1972")</f>
        <v>BenDavis1972</v>
      </c>
      <c r="B6736" s="65" t="s">
        <v>3040</v>
      </c>
    </row>
    <row r="6737" spans="1:2" x14ac:dyDescent="0.25">
      <c r="A6737" s="64" t="str">
        <f>HYPERLINK("http://www.twitter.com/tangynick", "tangynick")</f>
        <v>tangynick</v>
      </c>
      <c r="B6737" s="65" t="s">
        <v>6068</v>
      </c>
    </row>
    <row r="6738" spans="1:2" x14ac:dyDescent="0.25">
      <c r="A6738" s="64" t="str">
        <f>HYPERLINK("http://www.twitter.com/CatherineAReid", "CatherineAReid")</f>
        <v>CatherineAReid</v>
      </c>
      <c r="B6738" s="65" t="s">
        <v>788</v>
      </c>
    </row>
    <row r="6739" spans="1:2" x14ac:dyDescent="0.25">
      <c r="A6739" s="64" t="str">
        <f>HYPERLINK("http://www.twitter.com/RanaKadiri", "RanaKadiri")</f>
        <v>RanaKadiri</v>
      </c>
      <c r="B6739" s="65" t="s">
        <v>6069</v>
      </c>
    </row>
    <row r="6740" spans="1:2" x14ac:dyDescent="0.25">
      <c r="A6740" s="64" t="str">
        <f>HYPERLINK("http://www.twitter.com/womtells", "womtells")</f>
        <v>womtells</v>
      </c>
      <c r="B6740" s="65" t="s">
        <v>2492</v>
      </c>
    </row>
    <row r="6741" spans="1:2" x14ac:dyDescent="0.25">
      <c r="A6741" s="64" t="str">
        <f>HYPERLINK("http://www.twitter.com/jonpoole", "jonpoole")</f>
        <v>jonpoole</v>
      </c>
      <c r="B6741" s="65" t="s">
        <v>6070</v>
      </c>
    </row>
    <row r="6742" spans="1:2" x14ac:dyDescent="0.25">
      <c r="A6742" s="64" t="str">
        <f>HYPERLINK("http://www.twitter.com/BookshopIOM", "BookshopIOM")</f>
        <v>BookshopIOM</v>
      </c>
      <c r="B6742" s="65" t="s">
        <v>5366</v>
      </c>
    </row>
    <row r="6743" spans="1:2" x14ac:dyDescent="0.25">
      <c r="A6743" s="64" t="str">
        <f>HYPERLINK("http://www.twitter.com/highforties", "highforties")</f>
        <v>highforties</v>
      </c>
      <c r="B6743" s="65" t="s">
        <v>6071</v>
      </c>
    </row>
    <row r="6744" spans="1:2" x14ac:dyDescent="0.25">
      <c r="A6744" s="64" t="str">
        <f>HYPERLINK("http://www.twitter.com/bryan_mcfall", "bryan_mcfall")</f>
        <v>bryan_mcfall</v>
      </c>
      <c r="B6744" s="65"/>
    </row>
    <row r="6745" spans="1:2" x14ac:dyDescent="0.25">
      <c r="A6745" s="64" t="str">
        <f>HYPERLINK("http://www.twitter.com/CarolineLawrenc", "CarolineLawrenc")</f>
        <v>CarolineLawrenc</v>
      </c>
      <c r="B6745" s="65" t="s">
        <v>6072</v>
      </c>
    </row>
    <row r="6746" spans="1:2" x14ac:dyDescent="0.25">
      <c r="A6746" s="64" t="str">
        <f>HYPERLINK("http://www.twitter.com/Pollylwh", "Pollylwh")</f>
        <v>Pollylwh</v>
      </c>
      <c r="B6746" s="65" t="s">
        <v>296</v>
      </c>
    </row>
    <row r="6747" spans="1:2" x14ac:dyDescent="0.25">
      <c r="A6747" s="64" t="str">
        <f>HYPERLINK("http://www.twitter.com/janiceabers", "janiceabers")</f>
        <v>janiceabers</v>
      </c>
      <c r="B6747" s="65"/>
    </row>
    <row r="6748" spans="1:2" x14ac:dyDescent="0.25">
      <c r="A6748" s="64" t="str">
        <f>HYPERLINK("http://www.twitter.com/Steve_andJulie", "Steve_andJulie")</f>
        <v>Steve_andJulie</v>
      </c>
      <c r="B6748" s="65" t="s">
        <v>6073</v>
      </c>
    </row>
    <row r="6749" spans="1:2" x14ac:dyDescent="0.25">
      <c r="A6749" s="64" t="str">
        <f>HYPERLINK("http://www.twitter.com/dwbswanson", "dwbswanson")</f>
        <v>dwbswanson</v>
      </c>
      <c r="B6749" s="65" t="s">
        <v>6074</v>
      </c>
    </row>
    <row r="6750" spans="1:2" x14ac:dyDescent="0.25">
      <c r="A6750" s="64" t="str">
        <f>HYPERLINK("http://www.twitter.com/ces43", "ces43")</f>
        <v>ces43</v>
      </c>
      <c r="B6750" s="65" t="s">
        <v>61</v>
      </c>
    </row>
    <row r="6751" spans="1:2" x14ac:dyDescent="0.25">
      <c r="A6751" s="64" t="str">
        <f>HYPERLINK("http://www.twitter.com/GillConnelly", "GillConnelly")</f>
        <v>GillConnelly</v>
      </c>
      <c r="B6751" s="65" t="s">
        <v>4215</v>
      </c>
    </row>
    <row r="6752" spans="1:2" x14ac:dyDescent="0.25">
      <c r="A6752" s="64" t="str">
        <f>HYPERLINK("http://www.twitter.com/kerstinsailer", "kerstinsailer")</f>
        <v>kerstinsailer</v>
      </c>
      <c r="B6752" s="65" t="s">
        <v>110</v>
      </c>
    </row>
    <row r="6753" spans="1:2" x14ac:dyDescent="0.25">
      <c r="A6753" s="64" t="str">
        <f>HYPERLINK("http://www.twitter.com/Markkilroy", "Markkilroy")</f>
        <v>Markkilroy</v>
      </c>
      <c r="B6753" s="65" t="s">
        <v>4501</v>
      </c>
    </row>
    <row r="6754" spans="1:2" x14ac:dyDescent="0.25">
      <c r="A6754" s="64" t="str">
        <f>HYPERLINK("http://www.twitter.com/kirstylmerriman", "kirstylmerriman")</f>
        <v>kirstylmerriman</v>
      </c>
      <c r="B6754" s="65"/>
    </row>
    <row r="6755" spans="1:2" x14ac:dyDescent="0.25">
      <c r="A6755" s="64" t="str">
        <f>HYPERLINK("http://www.twitter.com/alanmlittle", "alanmlittle")</f>
        <v>alanmlittle</v>
      </c>
      <c r="B6755" s="65" t="s">
        <v>6075</v>
      </c>
    </row>
    <row r="6756" spans="1:2" x14ac:dyDescent="0.25">
      <c r="A6756" s="64" t="str">
        <f>HYPERLINK("http://www.twitter.com/whiteheather17", "whiteheather17")</f>
        <v>whiteheather17</v>
      </c>
      <c r="B6756" s="65" t="s">
        <v>487</v>
      </c>
    </row>
    <row r="6757" spans="1:2" x14ac:dyDescent="0.25">
      <c r="A6757" s="64" t="str">
        <f>HYPERLINK("http://www.twitter.com/KathHalloran", "KathHalloran")</f>
        <v>KathHalloran</v>
      </c>
      <c r="B6757" s="65" t="s">
        <v>6076</v>
      </c>
    </row>
    <row r="6758" spans="1:2" x14ac:dyDescent="0.25">
      <c r="A6758" s="64" t="str">
        <f>HYPERLINK("http://www.twitter.com/sharplespesq", "sharplespesq")</f>
        <v>sharplespesq</v>
      </c>
      <c r="B6758" s="65" t="s">
        <v>310</v>
      </c>
    </row>
    <row r="6759" spans="1:2" x14ac:dyDescent="0.25">
      <c r="A6759" s="64" t="str">
        <f>HYPERLINK("http://www.twitter.com/jmrewinski", "jmrewinski")</f>
        <v>jmrewinski</v>
      </c>
      <c r="B6759" s="65"/>
    </row>
    <row r="6760" spans="1:2" x14ac:dyDescent="0.25">
      <c r="A6760" s="64" t="str">
        <f>HYPERLINK("http://www.twitter.com/JW_Firth", "JW_Firth")</f>
        <v>JW_Firth</v>
      </c>
      <c r="B6760" s="65" t="s">
        <v>318</v>
      </c>
    </row>
    <row r="6761" spans="1:2" x14ac:dyDescent="0.25">
      <c r="A6761" s="64" t="str">
        <f>HYPERLINK("http://www.twitter.com/Nailedblog", "Nailedblog")</f>
        <v>Nailedblog</v>
      </c>
      <c r="B6761" s="65"/>
    </row>
    <row r="6762" spans="1:2" x14ac:dyDescent="0.25">
      <c r="A6762" s="64" t="str">
        <f>HYPERLINK("http://www.twitter.com/bernieinnapier", "bernieinnapier")</f>
        <v>bernieinnapier</v>
      </c>
      <c r="B6762" s="65" t="s">
        <v>6077</v>
      </c>
    </row>
    <row r="6763" spans="1:2" x14ac:dyDescent="0.25">
      <c r="A6763" s="64" t="str">
        <f>HYPERLINK("http://www.twitter.com/_Sam_D_", "_Sam_D_")</f>
        <v>_Sam_D_</v>
      </c>
      <c r="B6763" s="65" t="s">
        <v>477</v>
      </c>
    </row>
    <row r="6764" spans="1:2" x14ac:dyDescent="0.25">
      <c r="A6764" s="64" t="str">
        <f>HYPERLINK("http://www.twitter.com/Lee_Jam_W", "Lee_Jam_W")</f>
        <v>Lee_Jam_W</v>
      </c>
      <c r="B6764" s="65" t="s">
        <v>1377</v>
      </c>
    </row>
    <row r="6765" spans="1:2" x14ac:dyDescent="0.25">
      <c r="A6765" s="64" t="str">
        <f>HYPERLINK("http://www.twitter.com/williamstafford", "williamstafford")</f>
        <v>williamstafford</v>
      </c>
      <c r="B6765" s="65" t="s">
        <v>6078</v>
      </c>
    </row>
    <row r="6766" spans="1:2" x14ac:dyDescent="0.25">
      <c r="A6766" s="64" t="str">
        <f>HYPERLINK("http://www.twitter.com/heather1917", "heather1917")</f>
        <v>heather1917</v>
      </c>
      <c r="B6766" s="65"/>
    </row>
    <row r="6767" spans="1:2" x14ac:dyDescent="0.25">
      <c r="A6767" s="64" t="str">
        <f>HYPERLINK("http://www.twitter.com/rebecca_mclau", "rebecca_mclau")</f>
        <v>rebecca_mclau</v>
      </c>
      <c r="B6767" s="65" t="s">
        <v>6079</v>
      </c>
    </row>
    <row r="6768" spans="1:2" x14ac:dyDescent="0.25">
      <c r="A6768" s="64" t="str">
        <f>HYPERLINK("http://www.twitter.com/holliejhughes", "holliejhughes")</f>
        <v>holliejhughes</v>
      </c>
      <c r="B6768" s="65" t="s">
        <v>296</v>
      </c>
    </row>
    <row r="6769" spans="1:2" x14ac:dyDescent="0.25">
      <c r="A6769" s="64" t="str">
        <f>HYPERLINK("http://www.twitter.com/rosiechook", "rosiechook")</f>
        <v>rosiechook</v>
      </c>
      <c r="B6769" s="65" t="s">
        <v>4464</v>
      </c>
    </row>
    <row r="6770" spans="1:2" x14ac:dyDescent="0.25">
      <c r="A6770" s="64" t="str">
        <f>HYPERLINK("http://www.twitter.com/loublou1212", "loublou1212")</f>
        <v>loublou1212</v>
      </c>
      <c r="B6770" s="65"/>
    </row>
    <row r="6771" spans="1:2" x14ac:dyDescent="0.25">
      <c r="A6771" s="64" t="str">
        <f>HYPERLINK("http://www.twitter.com/MCathcartFroden", "MCathcartFroden")</f>
        <v>MCathcartFroden</v>
      </c>
      <c r="B6771" s="65"/>
    </row>
    <row r="6772" spans="1:2" x14ac:dyDescent="0.25">
      <c r="A6772" s="64" t="str">
        <f>HYPERLINK("http://www.twitter.com/jacoyork", "jacoyork")</f>
        <v>jacoyork</v>
      </c>
      <c r="B6772" s="65" t="s">
        <v>6080</v>
      </c>
    </row>
    <row r="6773" spans="1:2" x14ac:dyDescent="0.25">
      <c r="A6773" s="64" t="str">
        <f>HYPERLINK("http://www.twitter.com/nickiflh", "nickiflh")</f>
        <v>nickiflh</v>
      </c>
      <c r="B6773" s="65" t="s">
        <v>1810</v>
      </c>
    </row>
    <row r="6774" spans="1:2" x14ac:dyDescent="0.25">
      <c r="A6774" s="64" t="str">
        <f>HYPERLINK("http://www.twitter.com/FrequentFrames", "FrequentFrames")</f>
        <v>FrequentFrames</v>
      </c>
      <c r="B6774" s="65"/>
    </row>
    <row r="6775" spans="1:2" x14ac:dyDescent="0.25">
      <c r="A6775" s="64" t="str">
        <f>HYPERLINK("http://www.twitter.com/MabralIdiomas", "MabralIdiomas")</f>
        <v>MabralIdiomas</v>
      </c>
      <c r="B6775" s="65"/>
    </row>
    <row r="6776" spans="1:2" x14ac:dyDescent="0.25">
      <c r="A6776" s="64" t="str">
        <f>HYPERLINK("http://www.twitter.com/OuenP", "OuenP")</f>
        <v>OuenP</v>
      </c>
      <c r="B6776" s="65" t="s">
        <v>296</v>
      </c>
    </row>
    <row r="6777" spans="1:2" x14ac:dyDescent="0.25">
      <c r="A6777" s="64" t="str">
        <f>HYPERLINK("http://www.twitter.com/KatyMackenzie2", "KatyMackenzie2")</f>
        <v>KatyMackenzie2</v>
      </c>
      <c r="B6777" s="65" t="s">
        <v>6081</v>
      </c>
    </row>
    <row r="6778" spans="1:2" x14ac:dyDescent="0.25">
      <c r="A6778" s="64" t="str">
        <f>HYPERLINK("http://www.twitter.com/TrinitasLibrary", "TrinitasLibrary")</f>
        <v>TrinitasLibrary</v>
      </c>
      <c r="B6778" s="65" t="s">
        <v>6082</v>
      </c>
    </row>
    <row r="6779" spans="1:2" x14ac:dyDescent="0.25">
      <c r="A6779" s="64" t="str">
        <f>HYPERLINK("http://www.twitter.com/Designrbarr", "Designrbarr")</f>
        <v>Designrbarr</v>
      </c>
      <c r="B6779" s="65" t="s">
        <v>6083</v>
      </c>
    </row>
    <row r="6780" spans="1:2" x14ac:dyDescent="0.25">
      <c r="A6780" s="64" t="str">
        <f>HYPERLINK("http://www.twitter.com/BillEndres", "BillEndres")</f>
        <v>BillEndres</v>
      </c>
      <c r="B6780" s="65" t="s">
        <v>6084</v>
      </c>
    </row>
    <row r="6781" spans="1:2" x14ac:dyDescent="0.25">
      <c r="A6781" s="64" t="str">
        <f>HYPERLINK("http://www.twitter.com/KingEddiesLRC", "KingEddiesLRC")</f>
        <v>KingEddiesLRC</v>
      </c>
      <c r="B6781" s="65" t="s">
        <v>6085</v>
      </c>
    </row>
    <row r="6782" spans="1:2" x14ac:dyDescent="0.25">
      <c r="A6782" s="64" t="str">
        <f>HYPERLINK("http://www.twitter.com/DonnaHeddle", "DonnaHeddle")</f>
        <v>DonnaHeddle</v>
      </c>
      <c r="B6782" s="65"/>
    </row>
    <row r="6783" spans="1:2" x14ac:dyDescent="0.25">
      <c r="A6783" s="64" t="str">
        <f>HYPERLINK("http://www.twitter.com/realmuttley", "realmuttley")</f>
        <v>realmuttley</v>
      </c>
      <c r="B6783" s="65"/>
    </row>
    <row r="6784" spans="1:2" x14ac:dyDescent="0.25">
      <c r="A6784" s="64" t="str">
        <f>HYPERLINK("http://www.twitter.com/isobelkdew", "isobelkdew")</f>
        <v>isobelkdew</v>
      </c>
      <c r="B6784" s="65" t="s">
        <v>24</v>
      </c>
    </row>
    <row r="6785" spans="1:2" x14ac:dyDescent="0.25">
      <c r="A6785" s="64" t="str">
        <f>HYPERLINK("http://www.twitter.com/LLCoolLucy", "LLCoolLucy")</f>
        <v>LLCoolLucy</v>
      </c>
      <c r="B6785" s="65" t="s">
        <v>6086</v>
      </c>
    </row>
    <row r="6786" spans="1:2" x14ac:dyDescent="0.25">
      <c r="A6786" s="64" t="str">
        <f>HYPERLINK("http://www.twitter.com/Lindabell15", "Lindabell15")</f>
        <v>Lindabell15</v>
      </c>
      <c r="B6786" s="65" t="s">
        <v>318</v>
      </c>
    </row>
    <row r="6787" spans="1:2" x14ac:dyDescent="0.25">
      <c r="A6787" s="64" t="str">
        <f>HYPERLINK("http://www.twitter.com/LuisDeLaPeJ", "LuisDeLaPeJ")</f>
        <v>LuisDeLaPeJ</v>
      </c>
      <c r="B6787" s="65" t="s">
        <v>6087</v>
      </c>
    </row>
    <row r="6788" spans="1:2" x14ac:dyDescent="0.25">
      <c r="A6788" s="64" t="str">
        <f>HYPERLINK("http://www.twitter.com/VickyPearson16", "VickyPearson16")</f>
        <v>VickyPearson16</v>
      </c>
      <c r="B6788" s="65"/>
    </row>
    <row r="6789" spans="1:2" x14ac:dyDescent="0.25">
      <c r="A6789" s="64" t="str">
        <f>HYPERLINK("http://www.twitter.com/Shivcatherine", "Shivcatherine")</f>
        <v>Shivcatherine</v>
      </c>
      <c r="B6789" s="65" t="s">
        <v>93</v>
      </c>
    </row>
    <row r="6790" spans="1:2" x14ac:dyDescent="0.25">
      <c r="A6790" s="64" t="str">
        <f>HYPERLINK("http://www.twitter.com/L0ttielou74", "L0ttielou74")</f>
        <v>L0ttielou74</v>
      </c>
      <c r="B6790" s="65"/>
    </row>
    <row r="6791" spans="1:2" x14ac:dyDescent="0.25">
      <c r="A6791" s="64" t="str">
        <f>HYPERLINK("http://www.twitter.com/laurenvrhodes", "laurenvrhodes")</f>
        <v>laurenvrhodes</v>
      </c>
      <c r="B6791" s="65" t="s">
        <v>6088</v>
      </c>
    </row>
    <row r="6792" spans="1:2" x14ac:dyDescent="0.25">
      <c r="A6792" s="64" t="str">
        <f>HYPERLINK("http://www.twitter.com/mitesthelens", "mitesthelens")</f>
        <v>mitesthelens</v>
      </c>
      <c r="B6792" s="65" t="s">
        <v>6089</v>
      </c>
    </row>
    <row r="6793" spans="1:2" x14ac:dyDescent="0.25">
      <c r="A6793" s="64" t="str">
        <f>HYPERLINK("http://www.twitter.com/GalwayMr", "GalwayMr")</f>
        <v>GalwayMr</v>
      </c>
      <c r="B6793" s="65" t="s">
        <v>6090</v>
      </c>
    </row>
    <row r="6794" spans="1:2" x14ac:dyDescent="0.25">
      <c r="A6794" s="64" t="str">
        <f>HYPERLINK("http://www.twitter.com/obscureyarns", "obscureyarns")</f>
        <v>obscureyarns</v>
      </c>
      <c r="B6794" s="65" t="s">
        <v>487</v>
      </c>
    </row>
    <row r="6795" spans="1:2" x14ac:dyDescent="0.25">
      <c r="A6795" s="64" t="str">
        <f>HYPERLINK("http://www.twitter.com/Newport_Library", "Newport_Library")</f>
        <v>Newport_Library</v>
      </c>
      <c r="B6795" s="65" t="s">
        <v>6091</v>
      </c>
    </row>
    <row r="6796" spans="1:2" x14ac:dyDescent="0.25">
      <c r="A6796" s="64" t="str">
        <f>HYPERLINK("http://www.twitter.com/rmelling1", "rmelling1")</f>
        <v>rmelling1</v>
      </c>
      <c r="B6796" s="65" t="s">
        <v>6092</v>
      </c>
    </row>
    <row r="6797" spans="1:2" x14ac:dyDescent="0.25">
      <c r="A6797" s="64" t="str">
        <f>HYPERLINK("http://www.twitter.com/hannah91ok", "hannah91ok")</f>
        <v>hannah91ok</v>
      </c>
      <c r="B6797" s="65" t="s">
        <v>6093</v>
      </c>
    </row>
    <row r="6798" spans="1:2" x14ac:dyDescent="0.25">
      <c r="A6798" s="64" t="str">
        <f>HYPERLINK("http://www.twitter.com/LesleyWhyte", "LesleyWhyte")</f>
        <v>LesleyWhyte</v>
      </c>
      <c r="B6798" s="65" t="s">
        <v>1455</v>
      </c>
    </row>
    <row r="6799" spans="1:2" x14ac:dyDescent="0.25">
      <c r="A6799" s="64" t="str">
        <f>HYPERLINK("http://www.twitter.com/GregPridgeon", "GregPridgeon")</f>
        <v>GregPridgeon</v>
      </c>
      <c r="B6799" s="65"/>
    </row>
    <row r="6800" spans="1:2" x14ac:dyDescent="0.25">
      <c r="A6800" s="64" t="str">
        <f>HYPERLINK("http://www.twitter.com/IOELibrary", "IOELibrary")</f>
        <v>IOELibrary</v>
      </c>
      <c r="B6800" s="65" t="s">
        <v>36</v>
      </c>
    </row>
    <row r="6801" spans="1:2" x14ac:dyDescent="0.25">
      <c r="A6801" s="64" t="str">
        <f>HYPERLINK("http://www.twitter.com/red_termite", "red_termite")</f>
        <v>red_termite</v>
      </c>
      <c r="B6801" s="65" t="s">
        <v>144</v>
      </c>
    </row>
    <row r="6802" spans="1:2" x14ac:dyDescent="0.25">
      <c r="A6802" s="64" t="str">
        <f>HYPERLINK("http://www.twitter.com/jbj", "jbj")</f>
        <v>jbj</v>
      </c>
      <c r="B6802" s="65" t="s">
        <v>6094</v>
      </c>
    </row>
    <row r="6803" spans="1:2" x14ac:dyDescent="0.25">
      <c r="A6803" s="64" t="str">
        <f>HYPERLINK("http://www.twitter.com/eilidh_wiseman", "eilidh_wiseman")</f>
        <v>eilidh_wiseman</v>
      </c>
      <c r="B6803" s="65" t="s">
        <v>487</v>
      </c>
    </row>
    <row r="6804" spans="1:2" x14ac:dyDescent="0.25">
      <c r="A6804" s="64" t="str">
        <f>HYPERLINK("http://www.twitter.com/martab_lib", "martab_lib")</f>
        <v>martab_lib</v>
      </c>
      <c r="B6804" s="65"/>
    </row>
    <row r="6805" spans="1:2" x14ac:dyDescent="0.25">
      <c r="A6805" s="64" t="str">
        <f>HYPERLINK("http://www.twitter.com/TheMissAlice", "TheMissAlice")</f>
        <v>TheMissAlice</v>
      </c>
      <c r="B6805" s="65" t="s">
        <v>4222</v>
      </c>
    </row>
    <row r="6806" spans="1:2" x14ac:dyDescent="0.25">
      <c r="A6806" s="64" t="str">
        <f>HYPERLINK("http://www.twitter.com/Lomquiche", "Lomquiche")</f>
        <v>Lomquiche</v>
      </c>
      <c r="B6806" s="65" t="s">
        <v>296</v>
      </c>
    </row>
    <row r="6807" spans="1:2" x14ac:dyDescent="0.25">
      <c r="A6807" s="64" t="str">
        <f>HYPERLINK("http://www.twitter.com/incertusagnosis", "incertusagnosis")</f>
        <v>incertusagnosis</v>
      </c>
      <c r="B6807" s="65"/>
    </row>
    <row r="6808" spans="1:2" x14ac:dyDescent="0.25">
      <c r="A6808" s="64" t="str">
        <f>HYPERLINK("http://www.twitter.com/thist_uzh", "thist_uzh")</f>
        <v>thist_uzh</v>
      </c>
      <c r="B6808" s="65" t="s">
        <v>6095</v>
      </c>
    </row>
    <row r="6809" spans="1:2" x14ac:dyDescent="0.25">
      <c r="A6809" s="64" t="str">
        <f>HYPERLINK("http://www.twitter.com/chrismouldink", "chrismouldink")</f>
        <v>chrismouldink</v>
      </c>
      <c r="B6809" s="65" t="s">
        <v>6096</v>
      </c>
    </row>
    <row r="6810" spans="1:2" x14ac:dyDescent="0.25">
      <c r="A6810" s="64" t="str">
        <f>HYPERLINK("http://www.twitter.com/thstockinger", "thstockinger")</f>
        <v>thstockinger</v>
      </c>
      <c r="B6810" s="65" t="s">
        <v>6097</v>
      </c>
    </row>
    <row r="6811" spans="1:2" x14ac:dyDescent="0.25">
      <c r="A6811" s="64" t="str">
        <f>HYPERLINK("http://www.twitter.com/CamBigData", "CamBigData")</f>
        <v>CamBigData</v>
      </c>
      <c r="B6811" s="65" t="s">
        <v>61</v>
      </c>
    </row>
    <row r="6812" spans="1:2" x14ac:dyDescent="0.25">
      <c r="A6812" s="64" t="str">
        <f>HYPERLINK("http://www.twitter.com/LauraJELC", "LauraJELC")</f>
        <v>LauraJELC</v>
      </c>
      <c r="B6812" s="65"/>
    </row>
    <row r="6813" spans="1:2" x14ac:dyDescent="0.25">
      <c r="A6813" s="64" t="str">
        <f>HYPERLINK("http://www.twitter.com/madebymodren", "madebymodren")</f>
        <v>madebymodren</v>
      </c>
      <c r="B6813" s="65" t="s">
        <v>6098</v>
      </c>
    </row>
    <row r="6814" spans="1:2" x14ac:dyDescent="0.25">
      <c r="A6814" s="64" t="str">
        <f>HYPERLINK("http://www.twitter.com/jfwinters", "jfwinters")</f>
        <v>jfwinters</v>
      </c>
      <c r="B6814" s="65"/>
    </row>
    <row r="6815" spans="1:2" x14ac:dyDescent="0.25">
      <c r="A6815" s="64" t="str">
        <f>HYPERLINK("http://www.twitter.com/JazzhandsGail", "JazzhandsGail")</f>
        <v>JazzhandsGail</v>
      </c>
      <c r="B6815" s="65" t="s">
        <v>6099</v>
      </c>
    </row>
    <row r="6816" spans="1:2" x14ac:dyDescent="0.25">
      <c r="A6816" s="64" t="str">
        <f>HYPERLINK("http://www.twitter.com/paulasimoes", "paulasimoes")</f>
        <v>paulasimoes</v>
      </c>
      <c r="B6816" s="65"/>
    </row>
    <row r="6817" spans="1:2" x14ac:dyDescent="0.25">
      <c r="A6817" s="64" t="str">
        <f>HYPERLINK("http://www.twitter.com/NevinsLibrary1", "NevinsLibrary1")</f>
        <v>NevinsLibrary1</v>
      </c>
      <c r="B6817" s="65" t="s">
        <v>6100</v>
      </c>
    </row>
    <row r="6818" spans="1:2" x14ac:dyDescent="0.25">
      <c r="A6818" s="64" t="str">
        <f>HYPERLINK("http://www.twitter.com/ducklingsmith", "ducklingsmith")</f>
        <v>ducklingsmith</v>
      </c>
      <c r="B6818" s="65" t="s">
        <v>642</v>
      </c>
    </row>
    <row r="6819" spans="1:2" x14ac:dyDescent="0.25">
      <c r="A6819" s="64" t="str">
        <f>HYPERLINK("http://www.twitter.com/SarahMBridgman", "SarahMBridgman")</f>
        <v>SarahMBridgman</v>
      </c>
      <c r="B6819" s="65" t="s">
        <v>6101</v>
      </c>
    </row>
    <row r="6820" spans="1:2" x14ac:dyDescent="0.25">
      <c r="A6820" s="64" t="str">
        <f>HYPERLINK("http://www.twitter.com/Jonny_Nabb", "Jonny_Nabb")</f>
        <v>Jonny_Nabb</v>
      </c>
      <c r="B6820" s="65" t="s">
        <v>6102</v>
      </c>
    </row>
    <row r="6821" spans="1:2" x14ac:dyDescent="0.25">
      <c r="A6821" s="64" t="str">
        <f>HYPERLINK("http://www.twitter.com/cleansteven", "cleansteven")</f>
        <v>cleansteven</v>
      </c>
      <c r="B6821" s="65"/>
    </row>
    <row r="6822" spans="1:2" x14ac:dyDescent="0.25">
      <c r="A6822" s="64" t="str">
        <f>HYPERLINK("http://www.twitter.com/AndreaMann", "AndreaMann")</f>
        <v>AndreaMann</v>
      </c>
      <c r="B6822" s="65" t="s">
        <v>6103</v>
      </c>
    </row>
    <row r="6823" spans="1:2" x14ac:dyDescent="0.25">
      <c r="A6823" s="64" t="str">
        <f>HYPERLINK("http://www.twitter.com/terrystiastny", "terrystiastny")</f>
        <v>terrystiastny</v>
      </c>
      <c r="B6823" s="65" t="s">
        <v>36</v>
      </c>
    </row>
    <row r="6824" spans="1:2" x14ac:dyDescent="0.25">
      <c r="A6824" s="64" t="str">
        <f>HYPERLINK("http://www.twitter.com/ChasesCalendar", "ChasesCalendar")</f>
        <v>ChasesCalendar</v>
      </c>
      <c r="B6824" s="65" t="s">
        <v>6104</v>
      </c>
    </row>
    <row r="6825" spans="1:2" x14ac:dyDescent="0.25">
      <c r="A6825" s="64" t="str">
        <f>HYPERLINK("http://www.twitter.com/bloopdeebleep", "bloopdeebleep")</f>
        <v>bloopdeebleep</v>
      </c>
      <c r="B6825" s="65" t="s">
        <v>477</v>
      </c>
    </row>
    <row r="6826" spans="1:2" x14ac:dyDescent="0.25">
      <c r="A6826" s="64" t="str">
        <f>HYPERLINK("http://www.twitter.com/LornaMCampbell", "LornaMCampbell")</f>
        <v>LornaMCampbell</v>
      </c>
      <c r="B6826" s="65" t="s">
        <v>138</v>
      </c>
    </row>
    <row r="6827" spans="1:2" x14ac:dyDescent="0.25">
      <c r="A6827" s="64" t="str">
        <f>HYPERLINK("http://www.twitter.com/ilSolano", "ilSolano")</f>
        <v>ilSolano</v>
      </c>
      <c r="B6827" s="65" t="s">
        <v>517</v>
      </c>
    </row>
    <row r="6828" spans="1:2" x14ac:dyDescent="0.25">
      <c r="A6828" s="64" t="str">
        <f>HYPERLINK("http://www.twitter.com/Stewart1509", "Stewart1509")</f>
        <v>Stewart1509</v>
      </c>
      <c r="B6828" s="65"/>
    </row>
    <row r="6829" spans="1:2" x14ac:dyDescent="0.25">
      <c r="A6829" s="64" t="str">
        <f>HYPERLINK("http://www.twitter.com/amaginnit", "amaginnit")</f>
        <v>amaginnit</v>
      </c>
      <c r="B6829" s="65" t="s">
        <v>6105</v>
      </c>
    </row>
    <row r="6830" spans="1:2" x14ac:dyDescent="0.25">
      <c r="A6830" s="64" t="str">
        <f>HYPERLINK("http://www.twitter.com/Strachanovich", "Strachanovich")</f>
        <v>Strachanovich</v>
      </c>
      <c r="B6830" s="65" t="s">
        <v>6106</v>
      </c>
    </row>
    <row r="6831" spans="1:2" x14ac:dyDescent="0.25">
      <c r="A6831" s="64" t="str">
        <f>HYPERLINK("http://www.twitter.com/Fizzimyst", "Fizzimyst")</f>
        <v>Fizzimyst</v>
      </c>
      <c r="B6831" s="65" t="s">
        <v>4985</v>
      </c>
    </row>
    <row r="6832" spans="1:2" x14ac:dyDescent="0.25">
      <c r="A6832" s="64" t="str">
        <f>HYPERLINK("http://www.twitter.com/mckinlay_liz", "mckinlay_liz")</f>
        <v>mckinlay_liz</v>
      </c>
      <c r="B6832" s="65" t="s">
        <v>6107</v>
      </c>
    </row>
    <row r="6833" spans="1:2" x14ac:dyDescent="0.25">
      <c r="A6833" s="64" t="str">
        <f>HYPERLINK("http://www.twitter.com/comicbookspork", "comicbookspork")</f>
        <v>comicbookspork</v>
      </c>
      <c r="B6833" s="65"/>
    </row>
    <row r="6834" spans="1:2" x14ac:dyDescent="0.25">
      <c r="A6834" s="64" t="str">
        <f>HYPERLINK("http://www.twitter.com/atomiumlondon", "atomiumlondon")</f>
        <v>atomiumlondon</v>
      </c>
      <c r="B6834" s="65" t="s">
        <v>36</v>
      </c>
    </row>
    <row r="6835" spans="1:2" x14ac:dyDescent="0.25">
      <c r="A6835" s="64" t="str">
        <f>HYPERLINK("http://www.twitter.com/HGSLibrary", "HGSLibrary")</f>
        <v>HGSLibrary</v>
      </c>
      <c r="B6835" s="65" t="s">
        <v>74</v>
      </c>
    </row>
    <row r="6836" spans="1:2" x14ac:dyDescent="0.25">
      <c r="A6836" s="64" t="str">
        <f>HYPERLINK("http://www.twitter.com/i_am_lisa", "i_am_lisa")</f>
        <v>i_am_lisa</v>
      </c>
      <c r="B6836" s="65" t="s">
        <v>6108</v>
      </c>
    </row>
    <row r="6837" spans="1:2" x14ac:dyDescent="0.25">
      <c r="A6837" s="64" t="str">
        <f>HYPERLINK("http://www.twitter.com/nabsharris", "nabsharris")</f>
        <v>nabsharris</v>
      </c>
      <c r="B6837" s="65" t="s">
        <v>4039</v>
      </c>
    </row>
    <row r="6838" spans="1:2" x14ac:dyDescent="0.25">
      <c r="A6838" s="64" t="str">
        <f>HYPERLINK("http://www.twitter.com/soepstad", "soepstad")</f>
        <v>soepstad</v>
      </c>
      <c r="B6838" s="65" t="s">
        <v>6109</v>
      </c>
    </row>
    <row r="6839" spans="1:2" x14ac:dyDescent="0.25">
      <c r="A6839" s="64" t="str">
        <f>HYPERLINK("http://www.twitter.com/_supersonya", "_supersonya")</f>
        <v>_supersonya</v>
      </c>
      <c r="B6839" s="65" t="s">
        <v>4254</v>
      </c>
    </row>
    <row r="6840" spans="1:2" x14ac:dyDescent="0.25">
      <c r="A6840" s="64" t="str">
        <f>HYPERLINK("http://www.twitter.com/millerlaurac18", "millerlaurac18")</f>
        <v>millerlaurac18</v>
      </c>
      <c r="B6840" s="65" t="s">
        <v>6110</v>
      </c>
    </row>
    <row r="6841" spans="1:2" x14ac:dyDescent="0.25">
      <c r="A6841" s="64" t="str">
        <f>HYPERLINK("http://www.twitter.com/rhodesjoshua0", "rhodesjoshua0")</f>
        <v>rhodesjoshua0</v>
      </c>
      <c r="B6841" s="65" t="s">
        <v>2270</v>
      </c>
    </row>
    <row r="6842" spans="1:2" x14ac:dyDescent="0.25">
      <c r="A6842" s="64" t="str">
        <f>HYPERLINK("http://www.twitter.com/tgilhou", "tgilhou")</f>
        <v>tgilhou</v>
      </c>
      <c r="B6842" s="65" t="s">
        <v>6111</v>
      </c>
    </row>
    <row r="6843" spans="1:2" x14ac:dyDescent="0.25">
      <c r="A6843" s="64" t="str">
        <f>HYPERLINK("http://www.twitter.com/RenWednesday", "RenWednesday")</f>
        <v>RenWednesday</v>
      </c>
      <c r="B6843" s="65" t="s">
        <v>138</v>
      </c>
    </row>
    <row r="6844" spans="1:2" x14ac:dyDescent="0.25">
      <c r="A6844" s="64" t="str">
        <f>HYPERLINK("http://www.twitter.com/JoeyLou37", "JoeyLou37")</f>
        <v>JoeyLou37</v>
      </c>
      <c r="B6844" s="65"/>
    </row>
    <row r="6845" spans="1:2" x14ac:dyDescent="0.25">
      <c r="A6845" s="64" t="str">
        <f>HYPERLINK("http://www.twitter.com/nickostler", "nickostler")</f>
        <v>nickostler</v>
      </c>
      <c r="B6845" s="65" t="s">
        <v>70</v>
      </c>
    </row>
    <row r="6846" spans="1:2" x14ac:dyDescent="0.25">
      <c r="A6846" s="64" t="str">
        <f>HYPERLINK("http://www.twitter.com/PEILibrary", "PEILibrary")</f>
        <v>PEILibrary</v>
      </c>
      <c r="B6846" s="65" t="s">
        <v>6112</v>
      </c>
    </row>
    <row r="6847" spans="1:2" x14ac:dyDescent="0.25">
      <c r="A6847" s="64" t="str">
        <f>HYPERLINK("http://www.twitter.com/Malkielee", "Malkielee")</f>
        <v>Malkielee</v>
      </c>
      <c r="B6847" s="65"/>
    </row>
    <row r="6848" spans="1:2" x14ac:dyDescent="0.25">
      <c r="A6848" s="64" t="str">
        <f>HYPERLINK("http://www.twitter.com/CitAdviceScot", "CitAdviceScot")</f>
        <v>CitAdviceScot</v>
      </c>
      <c r="B6848" s="65" t="s">
        <v>517</v>
      </c>
    </row>
    <row r="6849" spans="1:2" x14ac:dyDescent="0.25">
      <c r="A6849" s="64" t="str">
        <f>HYPERLINK("http://www.twitter.com/fakethom", "fakethom")</f>
        <v>fakethom</v>
      </c>
      <c r="B6849" s="65" t="s">
        <v>487</v>
      </c>
    </row>
    <row r="6850" spans="1:2" x14ac:dyDescent="0.25">
      <c r="A6850" s="64" t="str">
        <f>HYPERLINK("http://www.twitter.com/W_e_e_b_s", "W_e_e_b_s")</f>
        <v>W_e_e_b_s</v>
      </c>
      <c r="B6850" s="65" t="s">
        <v>6113</v>
      </c>
    </row>
    <row r="6851" spans="1:2" x14ac:dyDescent="0.25">
      <c r="A6851" s="64" t="str">
        <f>HYPERLINK("http://www.twitter.com/Khensane_H", "Khensane_H")</f>
        <v>Khensane_H</v>
      </c>
      <c r="B6851" s="65"/>
    </row>
    <row r="6852" spans="1:2" x14ac:dyDescent="0.25">
      <c r="A6852" s="64" t="str">
        <f>HYPERLINK("http://www.twitter.com/fruitbatwalton", "fruitbatwalton")</f>
        <v>fruitbatwalton</v>
      </c>
      <c r="B6852" s="65" t="s">
        <v>6114</v>
      </c>
    </row>
    <row r="6853" spans="1:2" x14ac:dyDescent="0.25">
      <c r="A6853" s="64" t="str">
        <f>HYPERLINK("http://www.twitter.com/SharonHepburn4", "SharonHepburn4")</f>
        <v>SharonHepburn4</v>
      </c>
      <c r="B6853" s="65"/>
    </row>
    <row r="6854" spans="1:2" x14ac:dyDescent="0.25">
      <c r="A6854" s="64" t="str">
        <f>HYPERLINK("http://www.twitter.com/HE_Lane", "HE_Lane")</f>
        <v>HE_Lane</v>
      </c>
      <c r="B6854" s="65" t="s">
        <v>3660</v>
      </c>
    </row>
    <row r="6855" spans="1:2" x14ac:dyDescent="0.25">
      <c r="A6855" s="64" t="str">
        <f>HYPERLINK("http://www.twitter.com/damyantipatel", "damyantipatel")</f>
        <v>damyantipatel</v>
      </c>
      <c r="B6855" s="65" t="s">
        <v>6115</v>
      </c>
    </row>
    <row r="6856" spans="1:2" x14ac:dyDescent="0.25">
      <c r="A6856" s="64" t="str">
        <f>HYPERLINK("http://www.twitter.com/XantheClay", "XantheClay")</f>
        <v>XantheClay</v>
      </c>
      <c r="B6856" s="65"/>
    </row>
    <row r="6857" spans="1:2" x14ac:dyDescent="0.25">
      <c r="A6857" s="64" t="str">
        <f>HYPERLINK("http://www.twitter.com/krazkoplawy", "krazkoplawy")</f>
        <v>krazkoplawy</v>
      </c>
      <c r="B6857" s="65" t="s">
        <v>3797</v>
      </c>
    </row>
    <row r="6858" spans="1:2" x14ac:dyDescent="0.25">
      <c r="A6858" s="64" t="str">
        <f>HYPERLINK("http://www.twitter.com/MyBookCorner", "MyBookCorner")</f>
        <v>MyBookCorner</v>
      </c>
      <c r="B6858" s="65" t="s">
        <v>6116</v>
      </c>
    </row>
    <row r="6859" spans="1:2" x14ac:dyDescent="0.25">
      <c r="A6859" s="64" t="str">
        <f>HYPERLINK("http://www.twitter.com/_EmmaPerry", "_EmmaPerry")</f>
        <v>_EmmaPerry</v>
      </c>
      <c r="B6859" s="65" t="s">
        <v>1098</v>
      </c>
    </row>
    <row r="6860" spans="1:2" x14ac:dyDescent="0.25">
      <c r="A6860" s="64" t="str">
        <f>HYPERLINK("http://www.twitter.com/tracyshopkins", "tracyshopkins")</f>
        <v>tracyshopkins</v>
      </c>
      <c r="B6860" s="65" t="s">
        <v>6117</v>
      </c>
    </row>
    <row r="6861" spans="1:2" x14ac:dyDescent="0.25">
      <c r="A6861" s="64" t="str">
        <f>HYPERLINK("http://www.twitter.com/CampdenLibrary", "CampdenLibrary")</f>
        <v>CampdenLibrary</v>
      </c>
      <c r="B6861" s="65" t="s">
        <v>2150</v>
      </c>
    </row>
    <row r="6862" spans="1:2" x14ac:dyDescent="0.25">
      <c r="A6862" s="64" t="str">
        <f>HYPERLINK("http://www.twitter.com/eflcam", "eflcam")</f>
        <v>eflcam</v>
      </c>
      <c r="B6862" s="65" t="s">
        <v>788</v>
      </c>
    </row>
    <row r="6863" spans="1:2" x14ac:dyDescent="0.25">
      <c r="A6863" s="64" t="str">
        <f>HYPERLINK("http://www.twitter.com/lesley_scel", "lesley_scel")</f>
        <v>lesley_scel</v>
      </c>
      <c r="B6863" s="65" t="s">
        <v>318</v>
      </c>
    </row>
    <row r="6864" spans="1:2" x14ac:dyDescent="0.25">
      <c r="A6864" s="64" t="str">
        <f>HYPERLINK("http://www.twitter.com/LLRlsbu", "LLRlsbu")</f>
        <v>LLRlsbu</v>
      </c>
      <c r="B6864" s="65" t="s">
        <v>477</v>
      </c>
    </row>
    <row r="6865" spans="1:2" x14ac:dyDescent="0.25">
      <c r="A6865" s="64" t="str">
        <f>HYPERLINK("http://www.twitter.com/oneofthosebooks", "oneofthosebooks")</f>
        <v>oneofthosebooks</v>
      </c>
      <c r="B6865" s="65"/>
    </row>
    <row r="6866" spans="1:2" x14ac:dyDescent="0.25">
      <c r="A6866" s="64" t="str">
        <f>HYPERLINK("http://www.twitter.com/fee_haddow", "fee_haddow")</f>
        <v>fee_haddow</v>
      </c>
      <c r="B6866" s="65" t="s">
        <v>318</v>
      </c>
    </row>
    <row r="6867" spans="1:2" x14ac:dyDescent="0.25">
      <c r="A6867" s="64" t="str">
        <f>HYPERLINK("http://www.twitter.com/UHICareers", "UHICareers")</f>
        <v>UHICareers</v>
      </c>
      <c r="B6867" s="65" t="s">
        <v>5336</v>
      </c>
    </row>
    <row r="6868" spans="1:2" x14ac:dyDescent="0.25">
      <c r="A6868" s="64" t="str">
        <f>HYPERLINK("http://www.twitter.com/iangiles01", "iangiles01")</f>
        <v>iangiles01</v>
      </c>
      <c r="B6868" s="65" t="s">
        <v>6118</v>
      </c>
    </row>
    <row r="6869" spans="1:2" x14ac:dyDescent="0.25">
      <c r="A6869" s="64" t="str">
        <f>HYPERLINK("http://www.twitter.com/fiona_sked", "fiona_sked")</f>
        <v>fiona_sked</v>
      </c>
      <c r="B6869" s="65" t="s">
        <v>5009</v>
      </c>
    </row>
    <row r="6870" spans="1:2" x14ac:dyDescent="0.25">
      <c r="A6870" s="64" t="str">
        <f>HYPERLINK("http://www.twitter.com/darkstarhotel", "darkstarhotel")</f>
        <v>darkstarhotel</v>
      </c>
      <c r="B6870" s="65"/>
    </row>
    <row r="6871" spans="1:2" x14ac:dyDescent="0.25">
      <c r="A6871" s="64" t="str">
        <f>HYPERLINK("http://www.twitter.com/sallybate", "sallybate")</f>
        <v>sallybate</v>
      </c>
      <c r="B6871" s="65" t="s">
        <v>2788</v>
      </c>
    </row>
    <row r="6872" spans="1:2" x14ac:dyDescent="0.25">
      <c r="A6872" s="64" t="str">
        <f>HYPERLINK("http://www.twitter.com/RuthMcCann8", "RuthMcCann8")</f>
        <v>RuthMcCann8</v>
      </c>
      <c r="B6872" s="65"/>
    </row>
    <row r="6873" spans="1:2" x14ac:dyDescent="0.25">
      <c r="A6873" s="64" t="str">
        <f>HYPERLINK("http://www.twitter.com/erlinggarriock", "erlinggarriock")</f>
        <v>erlinggarriock</v>
      </c>
      <c r="B6873" s="65" t="s">
        <v>4057</v>
      </c>
    </row>
    <row r="6874" spans="1:2" x14ac:dyDescent="0.25">
      <c r="A6874" s="64" t="str">
        <f>HYPERLINK("http://www.twitter.com/Wislon55", "Wislon55")</f>
        <v>Wislon55</v>
      </c>
      <c r="B6874" s="65" t="s">
        <v>6119</v>
      </c>
    </row>
    <row r="6875" spans="1:2" x14ac:dyDescent="0.25">
      <c r="A6875" s="64" t="str">
        <f>HYPERLINK("http://www.twitter.com/lovatt4", "lovatt4")</f>
        <v>lovatt4</v>
      </c>
      <c r="B6875" s="65"/>
    </row>
    <row r="6876" spans="1:2" x14ac:dyDescent="0.25">
      <c r="A6876" s="64" t="str">
        <f>HYPERLINK("http://www.twitter.com/lindahaellgren", "lindahaellgren")</f>
        <v>lindahaellgren</v>
      </c>
      <c r="B6876" s="65" t="s">
        <v>6120</v>
      </c>
    </row>
    <row r="6877" spans="1:2" x14ac:dyDescent="0.25">
      <c r="A6877" s="64" t="str">
        <f>HYPERLINK("http://www.twitter.com/judesara27", "judesara27")</f>
        <v>judesara27</v>
      </c>
      <c r="B6877" s="65"/>
    </row>
    <row r="6878" spans="1:2" x14ac:dyDescent="0.25">
      <c r="A6878" s="64" t="str">
        <f>HYPERLINK("http://www.twitter.com/cdavis_bu", "cdavis_bu")</f>
        <v>cdavis_bu</v>
      </c>
      <c r="B6878" s="65" t="s">
        <v>6121</v>
      </c>
    </row>
    <row r="6879" spans="1:2" x14ac:dyDescent="0.25">
      <c r="A6879" s="64" t="str">
        <f>HYPERLINK("http://www.twitter.com/karenhaggarty", "karenhaggarty")</f>
        <v>karenhaggarty</v>
      </c>
      <c r="B6879" s="65"/>
    </row>
    <row r="6880" spans="1:2" x14ac:dyDescent="0.25">
      <c r="A6880" s="64" t="str">
        <f>HYPERLINK("http://www.twitter.com/carrievasios", "carrievasios")</f>
        <v>carrievasios</v>
      </c>
      <c r="B6880" s="65" t="s">
        <v>4145</v>
      </c>
    </row>
    <row r="6881" spans="1:2" x14ac:dyDescent="0.25">
      <c r="A6881" s="64" t="str">
        <f>HYPERLINK("http://www.twitter.com/MaureenDaisley", "MaureenDaisley")</f>
        <v>MaureenDaisley</v>
      </c>
      <c r="B6881" s="65" t="s">
        <v>2007</v>
      </c>
    </row>
    <row r="6882" spans="1:2" x14ac:dyDescent="0.25">
      <c r="A6882" s="64" t="str">
        <f>HYPERLINK("http://www.twitter.com/nickjmaloney", "nickjmaloney")</f>
        <v>nickjmaloney</v>
      </c>
      <c r="B6882" s="65" t="s">
        <v>2102</v>
      </c>
    </row>
    <row r="6883" spans="1:2" x14ac:dyDescent="0.25">
      <c r="A6883" s="64" t="str">
        <f>HYPERLINK("http://www.twitter.com/the_mcquade", "the_mcquade")</f>
        <v>the_mcquade</v>
      </c>
      <c r="B6883" s="65" t="s">
        <v>6122</v>
      </c>
    </row>
    <row r="6884" spans="1:2" x14ac:dyDescent="0.25">
      <c r="A6884" s="64" t="str">
        <f>HYPERLINK("http://www.twitter.com/BLedger7", "BLedger7")</f>
        <v>BLedger7</v>
      </c>
      <c r="B6884" s="65"/>
    </row>
    <row r="6885" spans="1:2" x14ac:dyDescent="0.25">
      <c r="A6885" s="64" t="str">
        <f>HYPERLINK("http://www.twitter.com/JaneKSilver", "JaneKSilver")</f>
        <v>JaneKSilver</v>
      </c>
      <c r="B6885" s="65" t="s">
        <v>6123</v>
      </c>
    </row>
    <row r="6886" spans="1:2" x14ac:dyDescent="0.25">
      <c r="A6886" s="64" t="str">
        <f>HYPERLINK("http://www.twitter.com/tovelemb", "tovelemb")</f>
        <v>tovelemb</v>
      </c>
      <c r="B6886" s="65" t="s">
        <v>5465</v>
      </c>
    </row>
    <row r="6887" spans="1:2" x14ac:dyDescent="0.25">
      <c r="A6887" s="64" t="str">
        <f>HYPERLINK("http://www.twitter.com/BonVsCompanion", "BonVsCompanion")</f>
        <v>BonVsCompanion</v>
      </c>
      <c r="B6887" s="65" t="s">
        <v>6124</v>
      </c>
    </row>
    <row r="6888" spans="1:2" x14ac:dyDescent="0.25">
      <c r="A6888" s="64" t="str">
        <f>HYPERLINK("http://www.twitter.com/baron_garry", "baron_garry")</f>
        <v>baron_garry</v>
      </c>
      <c r="B6888" s="65" t="s">
        <v>6125</v>
      </c>
    </row>
    <row r="6889" spans="1:2" x14ac:dyDescent="0.25">
      <c r="A6889" s="64" t="str">
        <f>HYPERLINK("http://www.twitter.com/bairdyclothing", "bairdyclothing")</f>
        <v>bairdyclothing</v>
      </c>
      <c r="B6889" s="65" t="s">
        <v>6126</v>
      </c>
    </row>
    <row r="6890" spans="1:2" x14ac:dyDescent="0.25">
      <c r="A6890" s="64" t="str">
        <f>HYPERLINK("http://www.twitter.com/hoochmagandy", "hoochmagandy")</f>
        <v>hoochmagandy</v>
      </c>
      <c r="B6890" s="65"/>
    </row>
    <row r="6891" spans="1:2" x14ac:dyDescent="0.25">
      <c r="A6891" s="64" t="str">
        <f>HYPERLINK("http://www.twitter.com/ElizabethNethe1", "ElizabethNethe1")</f>
        <v>ElizabethNethe1</v>
      </c>
      <c r="B6891" s="65"/>
    </row>
    <row r="6892" spans="1:2" x14ac:dyDescent="0.25">
      <c r="A6892" s="64" t="str">
        <f>HYPERLINK("http://www.twitter.com/blondeinhiding7", "blondeinhiding7")</f>
        <v>blondeinhiding7</v>
      </c>
      <c r="B6892" s="65"/>
    </row>
    <row r="6893" spans="1:2" x14ac:dyDescent="0.25">
      <c r="A6893" s="64" t="str">
        <f>HYPERLINK("http://www.twitter.com/TheGoodLifeExp", "TheGoodLifeExp")</f>
        <v>TheGoodLifeExp</v>
      </c>
      <c r="B6893" s="65" t="s">
        <v>6127</v>
      </c>
    </row>
    <row r="6894" spans="1:2" x14ac:dyDescent="0.25">
      <c r="A6894" s="64" t="str">
        <f>HYPERLINK("http://www.twitter.com/burford_library", "burford_library")</f>
        <v>burford_library</v>
      </c>
      <c r="B6894" s="65" t="s">
        <v>1180</v>
      </c>
    </row>
    <row r="6895" spans="1:2" x14ac:dyDescent="0.25">
      <c r="A6895" s="64" t="str">
        <f>HYPERLINK("http://www.twitter.com/patsymademedoit", "patsymademedoit")</f>
        <v>patsymademedoit</v>
      </c>
      <c r="B6895" s="65" t="s">
        <v>3779</v>
      </c>
    </row>
    <row r="6896" spans="1:2" x14ac:dyDescent="0.25">
      <c r="A6896" s="64" t="str">
        <f>HYPERLINK("http://www.twitter.com/SHOWNONAME", "SHOWNONAME")</f>
        <v>SHOWNONAME</v>
      </c>
      <c r="B6896" s="65" t="s">
        <v>33</v>
      </c>
    </row>
    <row r="6897" spans="1:2" x14ac:dyDescent="0.25">
      <c r="A6897" s="64" t="str">
        <f>HYPERLINK("http://www.twitter.com/lordfanny1723", "lordfanny1723")</f>
        <v>lordfanny1723</v>
      </c>
      <c r="B6897" s="65" t="s">
        <v>20</v>
      </c>
    </row>
    <row r="6898" spans="1:2" x14ac:dyDescent="0.25">
      <c r="A6898" s="64" t="str">
        <f>HYPERLINK("http://www.twitter.com/EnyajYralih", "EnyajYralih")</f>
        <v>EnyajYralih</v>
      </c>
      <c r="B6898" s="65"/>
    </row>
    <row r="6899" spans="1:2" x14ac:dyDescent="0.25">
      <c r="A6899" s="64" t="str">
        <f>HYPERLINK("http://www.twitter.com/jenny_kit", "jenny_kit")</f>
        <v>jenny_kit</v>
      </c>
      <c r="B6899" s="65" t="s">
        <v>4040</v>
      </c>
    </row>
    <row r="6900" spans="1:2" x14ac:dyDescent="0.25">
      <c r="A6900" s="64" t="str">
        <f>HYPERLINK("http://www.twitter.com/RDonnellan", "RDonnellan")</f>
        <v>RDonnellan</v>
      </c>
      <c r="B6900" s="65" t="s">
        <v>6128</v>
      </c>
    </row>
    <row r="6901" spans="1:2" x14ac:dyDescent="0.25">
      <c r="A6901" s="64" t="str">
        <f>HYPERLINK("http://www.twitter.com/JonNagl", "JonNagl")</f>
        <v>JonNagl</v>
      </c>
      <c r="B6901" s="65" t="s">
        <v>421</v>
      </c>
    </row>
    <row r="6902" spans="1:2" x14ac:dyDescent="0.25">
      <c r="A6902" s="64" t="str">
        <f>HYPERLINK("http://www.twitter.com/Meldrum04", "Meldrum04")</f>
        <v>Meldrum04</v>
      </c>
      <c r="B6902" s="65" t="s">
        <v>6129</v>
      </c>
    </row>
    <row r="6903" spans="1:2" x14ac:dyDescent="0.25">
      <c r="A6903" s="64" t="str">
        <f>HYPERLINK("http://www.twitter.com/ThisIhavedone", "ThisIhavedone")</f>
        <v>ThisIhavedone</v>
      </c>
      <c r="B6903" s="65"/>
    </row>
    <row r="6904" spans="1:2" x14ac:dyDescent="0.25">
      <c r="A6904" s="64" t="str">
        <f>HYPERLINK("http://www.twitter.com/JDARUSSELL", "JDARUSSELL")</f>
        <v>JDARUSSELL</v>
      </c>
      <c r="B6904" s="65" t="s">
        <v>6130</v>
      </c>
    </row>
    <row r="6905" spans="1:2" x14ac:dyDescent="0.25">
      <c r="A6905" s="64" t="str">
        <f>HYPERLINK("http://www.twitter.com/faye_bird", "faye_bird")</f>
        <v>faye_bird</v>
      </c>
      <c r="B6905" s="65" t="s">
        <v>477</v>
      </c>
    </row>
    <row r="6906" spans="1:2" x14ac:dyDescent="0.25">
      <c r="A6906" s="64" t="str">
        <f>HYPERLINK("http://www.twitter.com/eilisssssss", "eilisssssss")</f>
        <v>eilisssssss</v>
      </c>
      <c r="B6906" s="65" t="s">
        <v>6131</v>
      </c>
    </row>
    <row r="6907" spans="1:2" x14ac:dyDescent="0.25">
      <c r="A6907" s="64" t="str">
        <f>HYPERLINK("http://www.twitter.com/Pyreneangirl", "Pyreneangirl")</f>
        <v>Pyreneangirl</v>
      </c>
      <c r="B6907" s="65" t="s">
        <v>6132</v>
      </c>
    </row>
    <row r="6908" spans="1:2" x14ac:dyDescent="0.25">
      <c r="A6908" s="64" t="str">
        <f>HYPERLINK("http://www.twitter.com/daverodney", "daverodney")</f>
        <v>daverodney</v>
      </c>
      <c r="B6908" s="65" t="s">
        <v>36</v>
      </c>
    </row>
    <row r="6909" spans="1:2" x14ac:dyDescent="0.25">
      <c r="A6909" s="64" t="str">
        <f>HYPERLINK("http://www.twitter.com/JohnHX2", "JohnHX2")</f>
        <v>JohnHX2</v>
      </c>
      <c r="B6909" s="65" t="s">
        <v>5339</v>
      </c>
    </row>
    <row r="6910" spans="1:2" x14ac:dyDescent="0.25">
      <c r="A6910" s="64" t="str">
        <f>HYPERLINK("http://www.twitter.com/CaeruleanSea", "CaeruleanSea")</f>
        <v>CaeruleanSea</v>
      </c>
      <c r="B6910" s="65" t="s">
        <v>6133</v>
      </c>
    </row>
    <row r="6911" spans="1:2" x14ac:dyDescent="0.25">
      <c r="A6911" s="64" t="str">
        <f>HYPERLINK("http://www.twitter.com/davidsharp27", "davidsharp27")</f>
        <v>davidsharp27</v>
      </c>
      <c r="B6911" s="65"/>
    </row>
    <row r="6912" spans="1:2" x14ac:dyDescent="0.25">
      <c r="A6912" s="64" t="str">
        <f>HYPERLINK("http://www.twitter.com/Strathaven_Indy", "Strathaven_Indy")</f>
        <v>Strathaven_Indy</v>
      </c>
      <c r="B6912" s="65" t="s">
        <v>517</v>
      </c>
    </row>
    <row r="6913" spans="1:2" x14ac:dyDescent="0.25">
      <c r="A6913" s="64" t="str">
        <f>HYPERLINK("http://www.twitter.com/simonblundell91", "simonblundell91")</f>
        <v>simonblundell91</v>
      </c>
      <c r="B6913" s="65"/>
    </row>
    <row r="6914" spans="1:2" x14ac:dyDescent="0.25">
      <c r="A6914" s="64" t="str">
        <f>HYPERLINK("http://www.twitter.com/tornfacescot", "tornfacescot")</f>
        <v>tornfacescot</v>
      </c>
      <c r="B6914" s="65" t="s">
        <v>24</v>
      </c>
    </row>
    <row r="6915" spans="1:2" x14ac:dyDescent="0.25">
      <c r="A6915" s="64" t="str">
        <f>HYPERLINK("http://www.twitter.com/WTJerwood", "WTJerwood")</f>
        <v>WTJerwood</v>
      </c>
      <c r="B6915" s="65" t="s">
        <v>6134</v>
      </c>
    </row>
    <row r="6916" spans="1:2" x14ac:dyDescent="0.25">
      <c r="A6916" s="64" t="str">
        <f>HYPERLINK("http://www.twitter.com/jwbstead", "jwbstead")</f>
        <v>jwbstead</v>
      </c>
      <c r="B6916" s="65"/>
    </row>
    <row r="6917" spans="1:2" x14ac:dyDescent="0.25">
      <c r="A6917" s="64" t="str">
        <f>HYPERLINK("http://www.twitter.com/PoliticaNicola", "PoliticaNicola")</f>
        <v>PoliticaNicola</v>
      </c>
      <c r="B6917" s="65" t="s">
        <v>6135</v>
      </c>
    </row>
    <row r="6918" spans="1:2" x14ac:dyDescent="0.25">
      <c r="A6918" s="64" t="str">
        <f>HYPERLINK("http://www.twitter.com/Dymphna_Flynn", "Dymphna_Flynn")</f>
        <v>Dymphna_Flynn</v>
      </c>
      <c r="B6918" s="65" t="s">
        <v>1980</v>
      </c>
    </row>
    <row r="6919" spans="1:2" x14ac:dyDescent="0.25">
      <c r="A6919" s="64" t="str">
        <f>HYPERLINK("http://www.twitter.com/smoothopsprod", "smoothopsprod")</f>
        <v>smoothopsprod</v>
      </c>
      <c r="B6919" s="65" t="s">
        <v>6136</v>
      </c>
    </row>
    <row r="6920" spans="1:2" x14ac:dyDescent="0.25">
      <c r="A6920" s="64" t="str">
        <f>HYPERLINK("http://www.twitter.com/jonalewis", "jonalewis")</f>
        <v>jonalewis</v>
      </c>
      <c r="B6920" s="65" t="s">
        <v>6137</v>
      </c>
    </row>
    <row r="6921" spans="1:2" x14ac:dyDescent="0.25">
      <c r="A6921" s="64" t="str">
        <f>HYPERLINK("http://www.twitter.com/AlWalter3", "AlWalter3")</f>
        <v>AlWalter3</v>
      </c>
      <c r="B6921" s="65"/>
    </row>
    <row r="6922" spans="1:2" x14ac:dyDescent="0.25">
      <c r="A6922" s="64" t="str">
        <f>HYPERLINK("http://www.twitter.com/ISaidAye", "ISaidAye")</f>
        <v>ISaidAye</v>
      </c>
      <c r="B6922" s="65" t="s">
        <v>517</v>
      </c>
    </row>
    <row r="6923" spans="1:2" x14ac:dyDescent="0.25">
      <c r="A6923" s="64" t="str">
        <f>HYPERLINK("http://www.twitter.com/TheFailedShark", "TheFailedShark")</f>
        <v>TheFailedShark</v>
      </c>
      <c r="B6923" s="65" t="s">
        <v>926</v>
      </c>
    </row>
    <row r="6924" spans="1:2" x14ac:dyDescent="0.25">
      <c r="A6924" s="64" t="str">
        <f>HYPERLINK("http://www.twitter.com/threff", "threff")</f>
        <v>threff</v>
      </c>
      <c r="B6924" s="65"/>
    </row>
    <row r="6925" spans="1:2" x14ac:dyDescent="0.25">
      <c r="A6925" s="64" t="str">
        <f>HYPERLINK("http://www.twitter.com/john_ritchie73", "john_ritchie73")</f>
        <v>john_ritchie73</v>
      </c>
      <c r="B6925" s="65"/>
    </row>
    <row r="6926" spans="1:2" x14ac:dyDescent="0.25">
      <c r="A6926" s="64" t="str">
        <f>HYPERLINK("http://www.twitter.com/plunkett_carol", "plunkett_carol")</f>
        <v>plunkett_carol</v>
      </c>
      <c r="B6926" s="65"/>
    </row>
    <row r="6927" spans="1:2" x14ac:dyDescent="0.25">
      <c r="A6927" s="64" t="str">
        <f>HYPERLINK("http://www.twitter.com/thecolleencg", "thecolleencg")</f>
        <v>thecolleencg</v>
      </c>
      <c r="B6927" s="65" t="s">
        <v>6138</v>
      </c>
    </row>
    <row r="6928" spans="1:2" x14ac:dyDescent="0.25">
      <c r="A6928" s="64" t="str">
        <f>HYPERLINK("http://www.twitter.com/RachelWardbooks", "RachelWardbooks")</f>
        <v>RachelWardbooks</v>
      </c>
      <c r="B6928" s="65" t="s">
        <v>1098</v>
      </c>
    </row>
    <row r="6929" spans="1:2" x14ac:dyDescent="0.25">
      <c r="A6929" s="64" t="str">
        <f>HYPERLINK("http://www.twitter.com/elaineyfish", "elaineyfish")</f>
        <v>elaineyfish</v>
      </c>
      <c r="B6929" s="65"/>
    </row>
    <row r="6930" spans="1:2" x14ac:dyDescent="0.25">
      <c r="A6930" s="64" t="str">
        <f>HYPERLINK("http://www.twitter.com/MaxCairnduff", "MaxCairnduff")</f>
        <v>MaxCairnduff</v>
      </c>
      <c r="B6930" s="65" t="s">
        <v>6139</v>
      </c>
    </row>
    <row r="6931" spans="1:2" x14ac:dyDescent="0.25">
      <c r="A6931" s="64" t="str">
        <f>HYPERLINK("http://www.twitter.com/KathrynEvansInk", "KathrynEvansInk")</f>
        <v>KathrynEvansInk</v>
      </c>
      <c r="B6931" s="65"/>
    </row>
    <row r="6932" spans="1:2" x14ac:dyDescent="0.25">
      <c r="A6932" s="64" t="str">
        <f>HYPERLINK("http://www.twitter.com/jordana1955", "jordana1955")</f>
        <v>jordana1955</v>
      </c>
      <c r="B6932" s="65"/>
    </row>
    <row r="6933" spans="1:2" x14ac:dyDescent="0.25">
      <c r="A6933" s="64" t="str">
        <f>HYPERLINK("http://www.twitter.com/theemilywatkins", "theemilywatkins")</f>
        <v>theemilywatkins</v>
      </c>
      <c r="B6933" s="65" t="s">
        <v>2636</v>
      </c>
    </row>
    <row r="6934" spans="1:2" x14ac:dyDescent="0.25">
      <c r="A6934" s="64" t="str">
        <f>HYPERLINK("http://www.twitter.com/DaveEve", "DaveEve")</f>
        <v>DaveEve</v>
      </c>
      <c r="B6934" s="65"/>
    </row>
    <row r="6935" spans="1:2" x14ac:dyDescent="0.25">
      <c r="A6935" s="64" t="str">
        <f>HYPERLINK("http://www.twitter.com/im099", "im099")</f>
        <v>im099</v>
      </c>
      <c r="B6935" s="65"/>
    </row>
    <row r="6936" spans="1:2" x14ac:dyDescent="0.25">
      <c r="A6936" s="64" t="str">
        <f>HYPERLINK("http://www.twitter.com/saseventeen17ok", "saseventeen17ok")</f>
        <v>saseventeen17ok</v>
      </c>
      <c r="B6936" s="65" t="s">
        <v>6140</v>
      </c>
    </row>
    <row r="6937" spans="1:2" x14ac:dyDescent="0.25">
      <c r="A6937" s="64" t="str">
        <f>HYPERLINK("http://www.twitter.com/DottyDays", "DottyDays")</f>
        <v>DottyDays</v>
      </c>
      <c r="B6937" s="65" t="s">
        <v>70</v>
      </c>
    </row>
    <row r="6938" spans="1:2" x14ac:dyDescent="0.25">
      <c r="A6938" s="64" t="str">
        <f>HYPERLINK("http://www.twitter.com/joleHogan", "joleHogan")</f>
        <v>joleHogan</v>
      </c>
      <c r="B6938" s="65" t="s">
        <v>2156</v>
      </c>
    </row>
    <row r="6939" spans="1:2" x14ac:dyDescent="0.25">
      <c r="A6939" s="64" t="str">
        <f>HYPERLINK("http://www.twitter.com/SubtleBlade", "SubtleBlade")</f>
        <v>SubtleBlade</v>
      </c>
      <c r="B6939" s="65" t="s">
        <v>5522</v>
      </c>
    </row>
    <row r="6940" spans="1:2" x14ac:dyDescent="0.25">
      <c r="A6940" s="64" t="str">
        <f>HYPERLINK("http://www.twitter.com/AlistairRussell", "AlistairRussell")</f>
        <v>AlistairRussell</v>
      </c>
      <c r="B6940" s="65" t="s">
        <v>6141</v>
      </c>
    </row>
    <row r="6941" spans="1:2" x14ac:dyDescent="0.25">
      <c r="A6941" s="64" t="str">
        <f>HYPERLINK("http://www.twitter.com/macpiglet", "macpiglet")</f>
        <v>macpiglet</v>
      </c>
      <c r="B6941" s="65"/>
    </row>
    <row r="6942" spans="1:2" x14ac:dyDescent="0.25">
      <c r="A6942" s="64" t="str">
        <f>HYPERLINK("http://www.twitter.com/DWAnderson_", "DWAnderson_")</f>
        <v>DWAnderson_</v>
      </c>
      <c r="B6942" s="65" t="s">
        <v>6142</v>
      </c>
    </row>
    <row r="6943" spans="1:2" x14ac:dyDescent="0.25">
      <c r="A6943" s="64" t="str">
        <f>HYPERLINK("http://www.twitter.com/HendoA", "HendoA")</f>
        <v>HendoA</v>
      </c>
      <c r="B6943" s="65" t="s">
        <v>24</v>
      </c>
    </row>
    <row r="6944" spans="1:2" x14ac:dyDescent="0.25">
      <c r="A6944" s="64" t="str">
        <f>HYPERLINK("http://www.twitter.com/loopyleli", "loopyleli")</f>
        <v>loopyleli</v>
      </c>
      <c r="B6944" s="65"/>
    </row>
    <row r="6945" spans="1:2" x14ac:dyDescent="0.25">
      <c r="A6945" s="64" t="str">
        <f>HYPERLINK("http://www.twitter.com/FORedlandLib", "FORedlandLib")</f>
        <v>FORedlandLib</v>
      </c>
      <c r="B6945" s="65" t="s">
        <v>514</v>
      </c>
    </row>
    <row r="6946" spans="1:2" x14ac:dyDescent="0.25">
      <c r="A6946" s="64" t="str">
        <f>HYPERLINK("http://www.twitter.com/valreganmusic", "valreganmusic")</f>
        <v>valreganmusic</v>
      </c>
      <c r="B6946" s="65"/>
    </row>
    <row r="6947" spans="1:2" x14ac:dyDescent="0.25">
      <c r="A6947" s="64" t="str">
        <f>HYPERLINK("http://www.twitter.com/call_me_cathy", "call_me_cathy")</f>
        <v>call_me_cathy</v>
      </c>
      <c r="B6947" s="65" t="s">
        <v>138</v>
      </c>
    </row>
    <row r="6948" spans="1:2" x14ac:dyDescent="0.25">
      <c r="A6948" s="64" t="str">
        <f>HYPERLINK("http://www.twitter.com/Henbell", "Henbell")</f>
        <v>Henbell</v>
      </c>
      <c r="B6948" s="65" t="s">
        <v>138</v>
      </c>
    </row>
    <row r="6949" spans="1:2" x14ac:dyDescent="0.25">
      <c r="A6949" s="64" t="str">
        <f>HYPERLINK("http://www.twitter.com/msheehan1966", "msheehan1966")</f>
        <v>msheehan1966</v>
      </c>
      <c r="B6949" s="65" t="s">
        <v>6143</v>
      </c>
    </row>
    <row r="6950" spans="1:2" x14ac:dyDescent="0.25">
      <c r="A6950" s="64" t="str">
        <f>HYPERLINK("http://www.twitter.com/RutherfordRosie", "RutherfordRosie")</f>
        <v>RutherfordRosie</v>
      </c>
      <c r="B6950" s="65" t="s">
        <v>4238</v>
      </c>
    </row>
    <row r="6951" spans="1:2" x14ac:dyDescent="0.25">
      <c r="A6951" s="64" t="str">
        <f>HYPERLINK("http://www.twitter.com/kieranleach", "kieranleach")</f>
        <v>kieranleach</v>
      </c>
      <c r="B6951" s="65"/>
    </row>
    <row r="6952" spans="1:2" x14ac:dyDescent="0.25">
      <c r="A6952" s="64" t="str">
        <f>HYPERLINK("http://www.twitter.com/librareon", "librareon")</f>
        <v>librareon</v>
      </c>
      <c r="B6952" s="65" t="s">
        <v>2679</v>
      </c>
    </row>
    <row r="6953" spans="1:2" x14ac:dyDescent="0.25">
      <c r="A6953" s="64" t="str">
        <f>HYPERLINK("http://www.twitter.com/SarahClift10", "SarahClift10")</f>
        <v>SarahClift10</v>
      </c>
      <c r="B6953" s="65"/>
    </row>
    <row r="6954" spans="1:2" x14ac:dyDescent="0.25">
      <c r="A6954" s="64" t="str">
        <f>HYPERLINK("http://www.twitter.com/ironmancrosby", "ironmancrosby")</f>
        <v>ironmancrosby</v>
      </c>
      <c r="B6954" s="65" t="s">
        <v>6144</v>
      </c>
    </row>
    <row r="6955" spans="1:2" x14ac:dyDescent="0.25">
      <c r="A6955" s="64" t="str">
        <f>HYPERLINK("http://www.twitter.com/Scapa100", "Scapa100")</f>
        <v>Scapa100</v>
      </c>
      <c r="B6955" s="65" t="s">
        <v>6145</v>
      </c>
    </row>
    <row r="6956" spans="1:2" x14ac:dyDescent="0.25">
      <c r="A6956" s="64" t="str">
        <f>HYPERLINK("http://www.twitter.com/wrs16", "wrs16")</f>
        <v>wrs16</v>
      </c>
      <c r="B6956" s="65" t="s">
        <v>6146</v>
      </c>
    </row>
    <row r="6957" spans="1:2" x14ac:dyDescent="0.25">
      <c r="A6957" s="64" t="str">
        <f>HYPERLINK("http://www.twitter.com/janicebotterill", "janicebotterill")</f>
        <v>janicebotterill</v>
      </c>
      <c r="B6957" s="65" t="s">
        <v>2041</v>
      </c>
    </row>
    <row r="6958" spans="1:2" x14ac:dyDescent="0.25">
      <c r="A6958" s="64" t="str">
        <f>HYPERLINK("http://www.twitter.com/annacathenka", "annacathenka")</f>
        <v>annacathenka</v>
      </c>
      <c r="B6958" s="65" t="s">
        <v>6147</v>
      </c>
    </row>
    <row r="6959" spans="1:2" x14ac:dyDescent="0.25">
      <c r="A6959" s="64" t="str">
        <f>HYPERLINK("http://www.twitter.com/GtBeardedTwit", "GtBeardedTwit")</f>
        <v>GtBeardedTwit</v>
      </c>
      <c r="B6959" s="65" t="s">
        <v>6148</v>
      </c>
    </row>
    <row r="6960" spans="1:2" x14ac:dyDescent="0.25">
      <c r="A6960" s="64" t="str">
        <f>HYPERLINK("http://www.twitter.com/CesMcC", "CesMcC")</f>
        <v>CesMcC</v>
      </c>
      <c r="B6960" s="65" t="s">
        <v>6149</v>
      </c>
    </row>
    <row r="6961" spans="1:2" x14ac:dyDescent="0.25">
      <c r="A6961" s="64" t="str">
        <f>HYPERLINK("http://www.twitter.com/orlacarney2", "orlacarney2")</f>
        <v>orlacarney2</v>
      </c>
      <c r="B6961" s="65"/>
    </row>
    <row r="6962" spans="1:2" x14ac:dyDescent="0.25">
      <c r="A6962" s="64" t="str">
        <f>HYPERLINK("http://www.twitter.com/stevemeister12", "stevemeister12")</f>
        <v>stevemeister12</v>
      </c>
      <c r="B6962" s="65"/>
    </row>
    <row r="6963" spans="1:2" x14ac:dyDescent="0.25">
      <c r="A6963" s="64" t="str">
        <f>HYPERLINK("http://www.twitter.com/tomshaw4oufc", "tomshaw4oufc")</f>
        <v>tomshaw4oufc</v>
      </c>
      <c r="B6963" s="65"/>
    </row>
    <row r="6964" spans="1:2" x14ac:dyDescent="0.25">
      <c r="A6964" s="64" t="str">
        <f>HYPERLINK("http://www.twitter.com/JaneRedfern2", "JaneRedfern2")</f>
        <v>JaneRedfern2</v>
      </c>
      <c r="B6964" s="65" t="s">
        <v>3660</v>
      </c>
    </row>
    <row r="6965" spans="1:2" x14ac:dyDescent="0.25">
      <c r="A6965" s="64" t="str">
        <f>HYPERLINK("http://www.twitter.com/MargeyS09", "MargeyS09")</f>
        <v>MargeyS09</v>
      </c>
      <c r="B6965" s="65" t="s">
        <v>6150</v>
      </c>
    </row>
    <row r="6966" spans="1:2" x14ac:dyDescent="0.25">
      <c r="A6966" s="64" t="str">
        <f>HYPERLINK("http://www.twitter.com/DMason75", "DMason75")</f>
        <v>DMason75</v>
      </c>
      <c r="B6966" s="65"/>
    </row>
    <row r="6967" spans="1:2" x14ac:dyDescent="0.25">
      <c r="A6967" s="64" t="str">
        <f>HYPERLINK("http://www.twitter.com/MrsPaters10", "MrsPaters10")</f>
        <v>MrsPaters10</v>
      </c>
      <c r="B6967" s="65"/>
    </row>
    <row r="6968" spans="1:2" x14ac:dyDescent="0.25">
      <c r="A6968" s="64" t="str">
        <f>HYPERLINK("http://www.twitter.com/Helena_Arts", "Helena_Arts")</f>
        <v>Helena_Arts</v>
      </c>
      <c r="B6968" s="65" t="s">
        <v>6151</v>
      </c>
    </row>
    <row r="6969" spans="1:2" x14ac:dyDescent="0.25">
      <c r="A6969" s="64" t="str">
        <f>HYPERLINK("http://www.twitter.com/Emers2208", "Emers2208")</f>
        <v>Emers2208</v>
      </c>
      <c r="B6969" s="65"/>
    </row>
    <row r="6970" spans="1:2" x14ac:dyDescent="0.25">
      <c r="A6970" s="64" t="str">
        <f>HYPERLINK("http://www.twitter.com/jeffbuggle1", "jeffbuggle1")</f>
        <v>jeffbuggle1</v>
      </c>
      <c r="B6970" s="65"/>
    </row>
    <row r="6971" spans="1:2" x14ac:dyDescent="0.25">
      <c r="A6971" s="64" t="str">
        <f>HYPERLINK("http://www.twitter.com/RebeccaThomas6", "RebeccaThomas6")</f>
        <v>RebeccaThomas6</v>
      </c>
      <c r="B6971" s="65" t="s">
        <v>1033</v>
      </c>
    </row>
    <row r="6972" spans="1:2" x14ac:dyDescent="0.25">
      <c r="A6972" s="64" t="str">
        <f>HYPERLINK("http://www.twitter.com/welshbes", "welshbes")</f>
        <v>welshbes</v>
      </c>
      <c r="B6972" s="65" t="s">
        <v>6152</v>
      </c>
    </row>
    <row r="6973" spans="1:2" x14ac:dyDescent="0.25">
      <c r="A6973" s="64" t="str">
        <f>HYPERLINK("http://www.twitter.com/PaulySpot", "PaulySpot")</f>
        <v>PaulySpot</v>
      </c>
      <c r="B6973" s="65" t="s">
        <v>6153</v>
      </c>
    </row>
    <row r="6974" spans="1:2" x14ac:dyDescent="0.25">
      <c r="A6974" s="64" t="str">
        <f>HYPERLINK("http://www.twitter.com/rushie1878", "rushie1878")</f>
        <v>rushie1878</v>
      </c>
      <c r="B6974" s="65"/>
    </row>
    <row r="6975" spans="1:2" x14ac:dyDescent="0.25">
      <c r="A6975" s="64" t="str">
        <f>HYPERLINK("http://www.twitter.com/merthyr9", "merthyr9")</f>
        <v>merthyr9</v>
      </c>
      <c r="B6975" s="65"/>
    </row>
    <row r="6976" spans="1:2" x14ac:dyDescent="0.25">
      <c r="A6976" s="64" t="str">
        <f>HYPERLINK("http://www.twitter.com/strossman", "strossman")</f>
        <v>strossman</v>
      </c>
      <c r="B6976" s="65"/>
    </row>
    <row r="6977" spans="1:2" x14ac:dyDescent="0.25">
      <c r="A6977" s="64" t="str">
        <f>HYPERLINK("http://www.twitter.com/melanbee1", "melanbee1")</f>
        <v>melanbee1</v>
      </c>
      <c r="B6977" s="65"/>
    </row>
    <row r="6978" spans="1:2" x14ac:dyDescent="0.25">
      <c r="A6978" s="64" t="str">
        <f>HYPERLINK("http://www.twitter.com/dcm_65", "dcm_65")</f>
        <v>dcm_65</v>
      </c>
      <c r="B6978" s="65" t="s">
        <v>70</v>
      </c>
    </row>
    <row r="6979" spans="1:2" x14ac:dyDescent="0.25">
      <c r="A6979" s="64" t="str">
        <f>HYPERLINK("http://www.twitter.com/GhorbalHelen", "GhorbalHelen")</f>
        <v>GhorbalHelen</v>
      </c>
      <c r="B6979" s="65"/>
    </row>
    <row r="6980" spans="1:2" x14ac:dyDescent="0.25">
      <c r="A6980" s="64" t="str">
        <f>HYPERLINK("http://www.twitter.com/ChrisNorcombe", "ChrisNorcombe")</f>
        <v>ChrisNorcombe</v>
      </c>
      <c r="B6980" s="65"/>
    </row>
    <row r="6981" spans="1:2" x14ac:dyDescent="0.25">
      <c r="A6981" s="64" t="str">
        <f>HYPERLINK("http://www.twitter.com/paulyblow", "paulyblow")</f>
        <v>paulyblow</v>
      </c>
      <c r="B6981" s="65" t="s">
        <v>6154</v>
      </c>
    </row>
    <row r="6982" spans="1:2" x14ac:dyDescent="0.25">
      <c r="A6982" s="64" t="str">
        <f>HYPERLINK("http://www.twitter.com/mandy_mcfw", "mandy_mcfw")</f>
        <v>mandy_mcfw</v>
      </c>
      <c r="B6982" s="65"/>
    </row>
    <row r="6983" spans="1:2" x14ac:dyDescent="0.25">
      <c r="A6983" s="64" t="str">
        <f>HYPERLINK("http://www.twitter.com/Hannah_oop_norf", "Hannah_oop_norf")</f>
        <v>Hannah_oop_norf</v>
      </c>
      <c r="B6983" s="65" t="s">
        <v>180</v>
      </c>
    </row>
    <row r="6984" spans="1:2" x14ac:dyDescent="0.25">
      <c r="A6984" s="64" t="str">
        <f>HYPERLINK("http://www.twitter.com/mrndavis", "mrndavis")</f>
        <v>mrndavis</v>
      </c>
      <c r="B6984" s="65" t="s">
        <v>36</v>
      </c>
    </row>
    <row r="6985" spans="1:2" x14ac:dyDescent="0.25">
      <c r="A6985" s="64" t="str">
        <f>HYPERLINK("http://www.twitter.com/Seabird71", "Seabird71")</f>
        <v>Seabird71</v>
      </c>
      <c r="B6985" s="65"/>
    </row>
    <row r="6986" spans="1:2" x14ac:dyDescent="0.25">
      <c r="A6986" s="64" t="str">
        <f>HYPERLINK("http://www.twitter.com/jacwi", "jacwi")</f>
        <v>jacwi</v>
      </c>
      <c r="B6986" s="65"/>
    </row>
    <row r="6987" spans="1:2" x14ac:dyDescent="0.25">
      <c r="A6987" s="64" t="str">
        <f>HYPERLINK("http://www.twitter.com/Designnapier", "Designnapier")</f>
        <v>Designnapier</v>
      </c>
      <c r="B6987" s="65" t="s">
        <v>6155</v>
      </c>
    </row>
    <row r="6988" spans="1:2" x14ac:dyDescent="0.25">
      <c r="A6988" s="64" t="str">
        <f>HYPERLINK("http://www.twitter.com/drgs100", "drgs100")</f>
        <v>drgs100</v>
      </c>
      <c r="B6988" s="65" t="s">
        <v>24</v>
      </c>
    </row>
    <row r="6989" spans="1:2" x14ac:dyDescent="0.25">
      <c r="A6989" s="64" t="str">
        <f>HYPERLINK("http://www.twitter.com/richardd123098", "richardd123098")</f>
        <v>richardd123098</v>
      </c>
      <c r="B6989" s="65"/>
    </row>
    <row r="6990" spans="1:2" x14ac:dyDescent="0.25">
      <c r="A6990" s="64" t="str">
        <f>HYPERLINK("http://www.twitter.com/Stephen70Do", "Stephen70Do")</f>
        <v>Stephen70Do</v>
      </c>
      <c r="B6990" s="65" t="s">
        <v>138</v>
      </c>
    </row>
    <row r="6991" spans="1:2" x14ac:dyDescent="0.25">
      <c r="A6991" s="64" t="str">
        <f>HYPERLINK("http://www.twitter.com/SineadMoo", "SineadMoo")</f>
        <v>SineadMoo</v>
      </c>
      <c r="B6991" s="65" t="s">
        <v>505</v>
      </c>
    </row>
    <row r="6992" spans="1:2" x14ac:dyDescent="0.25">
      <c r="A6992" s="64" t="str">
        <f>HYPERLINK("http://www.twitter.com/FrancisVernon", "FrancisVernon")</f>
        <v>FrancisVernon</v>
      </c>
      <c r="B6992" s="65" t="s">
        <v>6156</v>
      </c>
    </row>
    <row r="6993" spans="1:2" x14ac:dyDescent="0.25">
      <c r="A6993" s="64" t="str">
        <f>HYPERLINK("http://www.twitter.com/SQR45", "SQR45")</f>
        <v>SQR45</v>
      </c>
      <c r="B6993" s="65" t="s">
        <v>526</v>
      </c>
    </row>
    <row r="6994" spans="1:2" x14ac:dyDescent="0.25">
      <c r="A6994" s="64" t="str">
        <f>HYPERLINK("http://www.twitter.com/MsJune73", "MsJune73")</f>
        <v>MsJune73</v>
      </c>
      <c r="B6994" s="65" t="s">
        <v>138</v>
      </c>
    </row>
    <row r="6995" spans="1:2" x14ac:dyDescent="0.25">
      <c r="A6995" s="64" t="str">
        <f>HYPERLINK("http://www.twitter.com/HeidiHalliday", "HeidiHalliday")</f>
        <v>HeidiHalliday</v>
      </c>
      <c r="B6995" s="65" t="s">
        <v>6157</v>
      </c>
    </row>
    <row r="6996" spans="1:2" x14ac:dyDescent="0.25">
      <c r="A6996" s="64" t="str">
        <f>HYPERLINK("http://www.twitter.com/differentbreid", "differentbreid")</f>
        <v>differentbreid</v>
      </c>
      <c r="B6996" s="65"/>
    </row>
    <row r="6997" spans="1:2" x14ac:dyDescent="0.25">
      <c r="A6997" s="64" t="str">
        <f>HYPERLINK("http://www.twitter.com/Paula_E_M", "Paula_E_M")</f>
        <v>Paula_E_M</v>
      </c>
      <c r="B6997" s="65"/>
    </row>
    <row r="6998" spans="1:2" x14ac:dyDescent="0.25">
      <c r="A6998" s="64" t="str">
        <f>HYPERLINK("http://www.twitter.com/Subtlecolour", "Subtlecolour")</f>
        <v>Subtlecolour</v>
      </c>
      <c r="B6998" s="65" t="s">
        <v>871</v>
      </c>
    </row>
    <row r="6999" spans="1:2" x14ac:dyDescent="0.25">
      <c r="A6999" s="64" t="str">
        <f>HYPERLINK("http://www.twitter.com/BrightEars", "BrightEars")</f>
        <v>BrightEars</v>
      </c>
      <c r="B6999" s="65" t="s">
        <v>6158</v>
      </c>
    </row>
    <row r="7000" spans="1:2" x14ac:dyDescent="0.25">
      <c r="A7000" s="64" t="str">
        <f>HYPERLINK("http://www.twitter.com/Ceh_carol", "Ceh_carol")</f>
        <v>Ceh_carol</v>
      </c>
      <c r="B7000" s="65"/>
    </row>
    <row r="7001" spans="1:2" x14ac:dyDescent="0.25">
      <c r="A7001" s="64" t="str">
        <f>HYPERLINK("http://www.twitter.com/1968Bennett", "1968Bennett")</f>
        <v>1968Bennett</v>
      </c>
      <c r="B7001" s="65" t="s">
        <v>6159</v>
      </c>
    </row>
    <row r="7002" spans="1:2" x14ac:dyDescent="0.25">
      <c r="A7002" s="64" t="str">
        <f>HYPERLINK("http://www.twitter.com/richardjairey", "richardjairey")</f>
        <v>richardjairey</v>
      </c>
      <c r="B7002" s="65"/>
    </row>
    <row r="7003" spans="1:2" x14ac:dyDescent="0.25">
      <c r="A7003" s="64" t="str">
        <f>HYPERLINK("http://www.twitter.com/johnmcseveney", "johnmcseveney")</f>
        <v>johnmcseveney</v>
      </c>
      <c r="B7003" s="65" t="s">
        <v>257</v>
      </c>
    </row>
    <row r="7004" spans="1:2" x14ac:dyDescent="0.25">
      <c r="A7004" s="64" t="str">
        <f>HYPERLINK("http://www.twitter.com/Heelanheifer", "Heelanheifer")</f>
        <v>Heelanheifer</v>
      </c>
      <c r="B7004" s="65" t="s">
        <v>24</v>
      </c>
    </row>
    <row r="7005" spans="1:2" x14ac:dyDescent="0.25">
      <c r="A7005" s="64" t="str">
        <f>HYPERLINK("http://www.twitter.com/alliedale666", "alliedale666")</f>
        <v>alliedale666</v>
      </c>
      <c r="B7005" s="65" t="s">
        <v>6160</v>
      </c>
    </row>
    <row r="7006" spans="1:2" x14ac:dyDescent="0.25">
      <c r="A7006" s="64" t="str">
        <f>HYPERLINK("http://www.twitter.com/nonleagueNeymar", "nonleagueNeymar")</f>
        <v>nonleagueNeymar</v>
      </c>
      <c r="B7006" s="65"/>
    </row>
    <row r="7007" spans="1:2" x14ac:dyDescent="0.25">
      <c r="A7007" s="64" t="str">
        <f>HYPERLINK("http://www.twitter.com/worldofsmall", "worldofsmall")</f>
        <v>worldofsmall</v>
      </c>
      <c r="B7007" s="65" t="s">
        <v>2679</v>
      </c>
    </row>
    <row r="7008" spans="1:2" x14ac:dyDescent="0.25">
      <c r="A7008" s="64" t="str">
        <f>HYPERLINK("http://www.twitter.com/eighthdrake", "eighthdrake")</f>
        <v>eighthdrake</v>
      </c>
      <c r="B7008" s="65" t="s">
        <v>36</v>
      </c>
    </row>
    <row r="7009" spans="1:2" x14ac:dyDescent="0.25">
      <c r="A7009" s="64" t="str">
        <f>HYPERLINK("http://www.twitter.com/fowweather", "fowweather")</f>
        <v>fowweather</v>
      </c>
      <c r="B7009" s="65"/>
    </row>
    <row r="7010" spans="1:2" x14ac:dyDescent="0.25">
      <c r="A7010" s="64" t="str">
        <f>HYPERLINK("http://www.twitter.com/Redrio2", "Redrio2")</f>
        <v>Redrio2</v>
      </c>
      <c r="B7010" s="65"/>
    </row>
    <row r="7011" spans="1:2" x14ac:dyDescent="0.25">
      <c r="A7011" s="64" t="str">
        <f>HYPERLINK("http://www.twitter.com/JamesGarrod2", "JamesGarrod2")</f>
        <v>JamesGarrod2</v>
      </c>
      <c r="B7011" s="65" t="s">
        <v>1908</v>
      </c>
    </row>
    <row r="7012" spans="1:2" x14ac:dyDescent="0.25">
      <c r="A7012" s="64" t="str">
        <f>HYPERLINK("http://www.twitter.com/ktpocketrocket", "ktpocketrocket")</f>
        <v>ktpocketrocket</v>
      </c>
      <c r="B7012" s="65"/>
    </row>
    <row r="7013" spans="1:2" x14ac:dyDescent="0.25">
      <c r="A7013" s="64" t="str">
        <f>HYPERLINK("http://www.twitter.com/adesmith64", "adesmith64")</f>
        <v>adesmith64</v>
      </c>
      <c r="B7013" s="65" t="s">
        <v>6161</v>
      </c>
    </row>
    <row r="7014" spans="1:2" x14ac:dyDescent="0.25">
      <c r="A7014" s="64" t="str">
        <f>HYPERLINK("http://www.twitter.com/_marksbruce", "_marksbruce")</f>
        <v>_marksbruce</v>
      </c>
      <c r="B7014" s="65" t="s">
        <v>4061</v>
      </c>
    </row>
    <row r="7015" spans="1:2" x14ac:dyDescent="0.25">
      <c r="A7015" s="64" t="str">
        <f>HYPERLINK("http://www.twitter.com/skmealey", "skmealey")</f>
        <v>skmealey</v>
      </c>
      <c r="B7015" s="65" t="s">
        <v>6162</v>
      </c>
    </row>
    <row r="7016" spans="1:2" x14ac:dyDescent="0.25">
      <c r="A7016" s="64" t="str">
        <f>HYPERLINK("http://www.twitter.com/HelenBarry3", "HelenBarry3")</f>
        <v>HelenBarry3</v>
      </c>
      <c r="B7016" s="65"/>
    </row>
    <row r="7017" spans="1:2" x14ac:dyDescent="0.25">
      <c r="A7017" s="64" t="str">
        <f>HYPERLINK("http://www.twitter.com/CleverlyJason", "CleverlyJason")</f>
        <v>CleverlyJason</v>
      </c>
      <c r="B7017" s="65"/>
    </row>
    <row r="7018" spans="1:2" x14ac:dyDescent="0.25">
      <c r="A7018" s="64" t="str">
        <f>HYPERLINK("http://www.twitter.com/Rosieandskipper", "Rosieandskipper")</f>
        <v>Rosieandskipper</v>
      </c>
      <c r="B7018" s="65" t="s">
        <v>1417</v>
      </c>
    </row>
    <row r="7019" spans="1:2" x14ac:dyDescent="0.25">
      <c r="A7019" s="64" t="str">
        <f>HYPERLINK("http://www.twitter.com/jon_autopsy", "jon_autopsy")</f>
        <v>jon_autopsy</v>
      </c>
      <c r="B7019" s="65" t="s">
        <v>6163</v>
      </c>
    </row>
    <row r="7020" spans="1:2" x14ac:dyDescent="0.25">
      <c r="A7020" s="64" t="str">
        <f>HYPERLINK("http://www.twitter.com/muttley1066", "muttley1066")</f>
        <v>muttley1066</v>
      </c>
      <c r="B7020" s="65" t="s">
        <v>1218</v>
      </c>
    </row>
    <row r="7021" spans="1:2" x14ac:dyDescent="0.25">
      <c r="A7021" s="64" t="str">
        <f>HYPERLINK("http://www.twitter.com/KarlFade", "KarlFade")</f>
        <v>KarlFade</v>
      </c>
      <c r="B7021" s="65"/>
    </row>
    <row r="7022" spans="1:2" x14ac:dyDescent="0.25">
      <c r="A7022" s="64" t="str">
        <f>HYPERLINK("http://www.twitter.com/MrBumble38", "MrBumble38")</f>
        <v>MrBumble38</v>
      </c>
      <c r="B7022" s="65"/>
    </row>
    <row r="7023" spans="1:2" x14ac:dyDescent="0.25">
      <c r="A7023" s="64" t="str">
        <f>HYPERLINK("http://www.twitter.com/LindsayLaughed", "LindsayLaughed")</f>
        <v>LindsayLaughed</v>
      </c>
      <c r="B7023" s="65"/>
    </row>
    <row r="7024" spans="1:2" x14ac:dyDescent="0.25">
      <c r="A7024" s="64" t="str">
        <f>HYPERLINK("http://www.twitter.com/Park_Fiction", "Park_Fiction")</f>
        <v>Park_Fiction</v>
      </c>
      <c r="B7024" s="65" t="s">
        <v>296</v>
      </c>
    </row>
    <row r="7025" spans="1:2" x14ac:dyDescent="0.25">
      <c r="A7025" s="64" t="str">
        <f>HYPERLINK("http://www.twitter.com/JohnP_Connected", "JohnP_Connected")</f>
        <v>JohnP_Connected</v>
      </c>
      <c r="B7025" s="65" t="s">
        <v>110</v>
      </c>
    </row>
    <row r="7026" spans="1:2" x14ac:dyDescent="0.25">
      <c r="A7026" s="64" t="str">
        <f>HYPERLINK("http://www.twitter.com/alyyoung64", "alyyoung64")</f>
        <v>alyyoung64</v>
      </c>
      <c r="B7026" s="65"/>
    </row>
    <row r="7027" spans="1:2" x14ac:dyDescent="0.25">
      <c r="A7027" s="64" t="str">
        <f>HYPERLINK("http://www.twitter.com/ElizabethCurrid", "ElizabethCurrid")</f>
        <v>ElizabethCurrid</v>
      </c>
      <c r="B7027" s="65"/>
    </row>
    <row r="7028" spans="1:2" x14ac:dyDescent="0.25">
      <c r="A7028" s="64" t="str">
        <f>HYPERLINK("http://www.twitter.com/beth_bate", "beth_bate")</f>
        <v>beth_bate</v>
      </c>
      <c r="B7028" s="65" t="s">
        <v>6164</v>
      </c>
    </row>
    <row r="7029" spans="1:2" x14ac:dyDescent="0.25">
      <c r="A7029" s="64" t="str">
        <f>HYPERLINK("http://www.twitter.com/her_welshness", "her_welshness")</f>
        <v>her_welshness</v>
      </c>
      <c r="B7029" s="65"/>
    </row>
    <row r="7030" spans="1:2" x14ac:dyDescent="0.25">
      <c r="A7030" s="64" t="str">
        <f>HYPERLINK("http://www.twitter.com/bridgetpeacock", "bridgetpeacock")</f>
        <v>bridgetpeacock</v>
      </c>
      <c r="B7030" s="65"/>
    </row>
    <row r="7031" spans="1:2" x14ac:dyDescent="0.25">
      <c r="A7031" s="64" t="str">
        <f>HYPERLINK("http://www.twitter.com/vanessamarkey", "vanessamarkey")</f>
        <v>vanessamarkey</v>
      </c>
      <c r="B7031" s="65" t="s">
        <v>6165</v>
      </c>
    </row>
    <row r="7032" spans="1:2" x14ac:dyDescent="0.25">
      <c r="A7032" s="64" t="str">
        <f>HYPERLINK("http://www.twitter.com/liammscullion", "liammscullion")</f>
        <v>liammscullion</v>
      </c>
      <c r="B7032" s="65" t="s">
        <v>6166</v>
      </c>
    </row>
    <row r="7033" spans="1:2" x14ac:dyDescent="0.25">
      <c r="A7033" s="64" t="str">
        <f>HYPERLINK("http://www.twitter.com/Jeremy__Bray", "Jeremy__Bray")</f>
        <v>Jeremy__Bray</v>
      </c>
      <c r="B7033" s="65"/>
    </row>
    <row r="7034" spans="1:2" x14ac:dyDescent="0.25">
      <c r="A7034" s="64" t="str">
        <f>HYPERLINK("http://www.twitter.com/bettyjaywren", "bettyjaywren")</f>
        <v>bettyjaywren</v>
      </c>
      <c r="B7034" s="65"/>
    </row>
    <row r="7035" spans="1:2" x14ac:dyDescent="0.25">
      <c r="A7035" s="64" t="str">
        <f>HYPERLINK("http://www.twitter.com/NancyJClemance", "NancyJClemance")</f>
        <v>NancyJClemance</v>
      </c>
      <c r="B7035" s="65" t="s">
        <v>1377</v>
      </c>
    </row>
    <row r="7036" spans="1:2" x14ac:dyDescent="0.25">
      <c r="A7036" s="64" t="str">
        <f>HYPERLINK("http://www.twitter.com/23marley1", "23marley1")</f>
        <v>23marley1</v>
      </c>
      <c r="B7036" s="65"/>
    </row>
    <row r="7037" spans="1:2" x14ac:dyDescent="0.25">
      <c r="A7037" s="64" t="str">
        <f>HYPERLINK("http://www.twitter.com/cotsman", "cotsman")</f>
        <v>cotsman</v>
      </c>
      <c r="B7037" s="65" t="s">
        <v>6167</v>
      </c>
    </row>
    <row r="7038" spans="1:2" x14ac:dyDescent="0.25">
      <c r="A7038" s="64" t="str">
        <f>HYPERLINK("http://www.twitter.com/NessaMcGann", "NessaMcGann")</f>
        <v>NessaMcGann</v>
      </c>
      <c r="B7038" s="65" t="s">
        <v>6168</v>
      </c>
    </row>
    <row r="7039" spans="1:2" x14ac:dyDescent="0.25">
      <c r="A7039" s="64" t="str">
        <f>HYPERLINK("http://www.twitter.com/Tracy_A_Davis", "Tracy_A_Davis")</f>
        <v>Tracy_A_Davis</v>
      </c>
      <c r="B7039" s="65"/>
    </row>
    <row r="7040" spans="1:2" x14ac:dyDescent="0.25">
      <c r="A7040" s="64" t="str">
        <f>HYPERLINK("http://www.twitter.com/JohnD77946463", "JohnD77946463")</f>
        <v>JohnD77946463</v>
      </c>
      <c r="B7040" s="65"/>
    </row>
    <row r="7041" spans="1:2" x14ac:dyDescent="0.25">
      <c r="A7041" s="64" t="str">
        <f>HYPERLINK("http://www.twitter.com/herboriste", "herboriste")</f>
        <v>herboriste</v>
      </c>
      <c r="B7041" s="65" t="s">
        <v>2471</v>
      </c>
    </row>
    <row r="7042" spans="1:2" x14ac:dyDescent="0.25">
      <c r="A7042" s="64" t="str">
        <f>HYPERLINK("http://www.twitter.com/scottmforrest", "scottmforrest")</f>
        <v>scottmforrest</v>
      </c>
      <c r="B7042" s="65" t="s">
        <v>6169</v>
      </c>
    </row>
    <row r="7043" spans="1:2" x14ac:dyDescent="0.25">
      <c r="A7043" s="64" t="str">
        <f>HYPERLINK("http://www.twitter.com/chrisjenkin", "chrisjenkin")</f>
        <v>chrisjenkin</v>
      </c>
      <c r="B7043" s="65" t="s">
        <v>36</v>
      </c>
    </row>
    <row r="7044" spans="1:2" x14ac:dyDescent="0.25">
      <c r="A7044" s="64" t="str">
        <f>HYPERLINK("http://www.twitter.com/originalbumble", "originalbumble")</f>
        <v>originalbumble</v>
      </c>
      <c r="B7044" s="65" t="s">
        <v>6170</v>
      </c>
    </row>
    <row r="7045" spans="1:2" x14ac:dyDescent="0.25">
      <c r="A7045" s="64" t="str">
        <f>HYPERLINK("http://www.twitter.com/PJAnderson0252", "PJAnderson0252")</f>
        <v>PJAnderson0252</v>
      </c>
      <c r="B7045" s="65" t="s">
        <v>6171</v>
      </c>
    </row>
    <row r="7046" spans="1:2" x14ac:dyDescent="0.25">
      <c r="A7046" s="64" t="str">
        <f>HYPERLINK("http://www.twitter.com/vonzipperuk", "vonzipperuk")</f>
        <v>vonzipperuk</v>
      </c>
      <c r="B7046" s="65" t="s">
        <v>6172</v>
      </c>
    </row>
    <row r="7047" spans="1:2" x14ac:dyDescent="0.25">
      <c r="A7047" s="64" t="str">
        <f>HYPERLINK("http://www.twitter.com/jkcwpr", "jkcwpr")</f>
        <v>jkcwpr</v>
      </c>
      <c r="B7047" s="65"/>
    </row>
    <row r="7048" spans="1:2" x14ac:dyDescent="0.25">
      <c r="A7048" s="64" t="str">
        <f>HYPERLINK("http://www.twitter.com/nikkiemarie79", "nikkiemarie79")</f>
        <v>nikkiemarie79</v>
      </c>
      <c r="B7048" s="65" t="s">
        <v>6173</v>
      </c>
    </row>
    <row r="7049" spans="1:2" x14ac:dyDescent="0.25">
      <c r="A7049" s="64" t="str">
        <f>HYPERLINK("http://www.twitter.com/ryeworth", "ryeworth")</f>
        <v>ryeworth</v>
      </c>
      <c r="B7049" s="65" t="s">
        <v>6174</v>
      </c>
    </row>
    <row r="7050" spans="1:2" x14ac:dyDescent="0.25">
      <c r="A7050" s="64" t="str">
        <f>HYPERLINK("http://www.twitter.com/Jo14laribiere", "Jo14laribiere")</f>
        <v>Jo14laribiere</v>
      </c>
      <c r="B7050" s="65"/>
    </row>
    <row r="7051" spans="1:2" x14ac:dyDescent="0.25">
      <c r="A7051" s="64" t="str">
        <f>HYPERLINK("http://www.twitter.com/BeverlyFlavell", "BeverlyFlavell")</f>
        <v>BeverlyFlavell</v>
      </c>
      <c r="B7051" s="65"/>
    </row>
    <row r="7052" spans="1:2" x14ac:dyDescent="0.25">
      <c r="A7052" s="64" t="str">
        <f>HYPERLINK("http://www.twitter.com/beehavingbadly", "beehavingbadly")</f>
        <v>beehavingbadly</v>
      </c>
      <c r="B7052" s="65" t="s">
        <v>6175</v>
      </c>
    </row>
    <row r="7053" spans="1:2" x14ac:dyDescent="0.25">
      <c r="A7053" s="64" t="str">
        <f>HYPERLINK("http://www.twitter.com/neilemery661", "neilemery661")</f>
        <v>neilemery661</v>
      </c>
      <c r="B7053" s="65"/>
    </row>
    <row r="7054" spans="1:2" x14ac:dyDescent="0.25">
      <c r="A7054" s="64" t="str">
        <f>HYPERLINK("http://www.twitter.com/NorfLondon", "NorfLondon")</f>
        <v>NorfLondon</v>
      </c>
      <c r="B7054" s="65" t="s">
        <v>6171</v>
      </c>
    </row>
    <row r="7055" spans="1:2" x14ac:dyDescent="0.25">
      <c r="A7055" s="64" t="str">
        <f>HYPERLINK("http://www.twitter.com/ArgentandSable", "ArgentandSable")</f>
        <v>ArgentandSable</v>
      </c>
      <c r="B7055" s="65" t="s">
        <v>6176</v>
      </c>
    </row>
    <row r="7056" spans="1:2" x14ac:dyDescent="0.25">
      <c r="A7056" s="64" t="str">
        <f>HYPERLINK("http://www.twitter.com/MartinIngvar", "MartinIngvar")</f>
        <v>MartinIngvar</v>
      </c>
      <c r="B7056" s="65" t="s">
        <v>2788</v>
      </c>
    </row>
    <row r="7057" spans="1:2" x14ac:dyDescent="0.25">
      <c r="A7057" s="64" t="str">
        <f>HYPERLINK("http://www.twitter.com/DanKing_1974", "DanKing_1974")</f>
        <v>DanKing_1974</v>
      </c>
      <c r="B7057" s="65"/>
    </row>
    <row r="7058" spans="1:2" x14ac:dyDescent="0.25">
      <c r="A7058" s="64" t="str">
        <f>HYPERLINK("http://www.twitter.com/ce_mcgrory", "ce_mcgrory")</f>
        <v>ce_mcgrory</v>
      </c>
      <c r="B7058" s="65"/>
    </row>
    <row r="7059" spans="1:2" x14ac:dyDescent="0.25">
      <c r="A7059" s="64" t="str">
        <f>HYPERLINK("http://www.twitter.com/sandra123brown", "sandra123brown")</f>
        <v>sandra123brown</v>
      </c>
      <c r="B7059" s="65" t="s">
        <v>296</v>
      </c>
    </row>
    <row r="7060" spans="1:2" x14ac:dyDescent="0.25">
      <c r="A7060" s="64" t="str">
        <f>HYPERLINK("http://www.twitter.com/T_PropHouseCafe", "T_PropHouseCafe")</f>
        <v>T_PropHouseCafe</v>
      </c>
      <c r="B7060" s="65" t="s">
        <v>6177</v>
      </c>
    </row>
    <row r="7061" spans="1:2" x14ac:dyDescent="0.25">
      <c r="A7061" s="64" t="str">
        <f>HYPERLINK("http://www.twitter.com/SarahGreen1711", "SarahGreen1711")</f>
        <v>SarahGreen1711</v>
      </c>
      <c r="B7061" s="65"/>
    </row>
    <row r="7062" spans="1:2" x14ac:dyDescent="0.25">
      <c r="A7062" s="64" t="str">
        <f>HYPERLINK("http://www.twitter.com/carojh23", "carojh23")</f>
        <v>carojh23</v>
      </c>
      <c r="B7062" s="65" t="s">
        <v>477</v>
      </c>
    </row>
    <row r="7063" spans="1:2" x14ac:dyDescent="0.25">
      <c r="A7063" s="64" t="str">
        <f>HYPERLINK("http://www.twitter.com/ElektroPionir_7", "ElektroPionir_7")</f>
        <v>ElektroPionir_7</v>
      </c>
      <c r="B7063" s="65"/>
    </row>
    <row r="7064" spans="1:2" x14ac:dyDescent="0.25">
      <c r="A7064" s="64" t="str">
        <f>HYPERLINK("http://www.twitter.com/janetkozlowski", "janetkozlowski")</f>
        <v>janetkozlowski</v>
      </c>
      <c r="B7064" s="65"/>
    </row>
    <row r="7065" spans="1:2" x14ac:dyDescent="0.25">
      <c r="A7065" s="64" t="str">
        <f>HYPERLINK("http://www.twitter.com/catmsinc", "catmsinc")</f>
        <v>catmsinc</v>
      </c>
      <c r="B7065" s="65" t="s">
        <v>6178</v>
      </c>
    </row>
    <row r="7066" spans="1:2" x14ac:dyDescent="0.25">
      <c r="A7066" s="64" t="str">
        <f>HYPERLINK("http://www.twitter.com/jrowen", "jrowen")</f>
        <v>jrowen</v>
      </c>
      <c r="B7066" s="65"/>
    </row>
    <row r="7067" spans="1:2" x14ac:dyDescent="0.25">
      <c r="A7067" s="64" t="str">
        <f>HYPERLINK("http://www.twitter.com/Arlothwen", "Arlothwen")</f>
        <v>Arlothwen</v>
      </c>
      <c r="B7067" s="65"/>
    </row>
    <row r="7068" spans="1:2" x14ac:dyDescent="0.25">
      <c r="A7068" s="64" t="str">
        <f>HYPERLINK("http://www.twitter.com/vagabond_76", "vagabond_76")</f>
        <v>vagabond_76</v>
      </c>
      <c r="B7068" s="65" t="s">
        <v>5127</v>
      </c>
    </row>
    <row r="7069" spans="1:2" x14ac:dyDescent="0.25">
      <c r="A7069" s="64" t="str">
        <f>HYPERLINK("http://www.twitter.com/mattc1980", "mattc1980")</f>
        <v>mattc1980</v>
      </c>
      <c r="B7069" s="65" t="s">
        <v>6179</v>
      </c>
    </row>
    <row r="7070" spans="1:2" x14ac:dyDescent="0.25">
      <c r="A7070" s="64" t="str">
        <f>HYPERLINK("http://www.twitter.com/heatherp1", "heatherp1")</f>
        <v>heatherp1</v>
      </c>
      <c r="B7070" s="65"/>
    </row>
    <row r="7071" spans="1:2" x14ac:dyDescent="0.25">
      <c r="A7071" s="64" t="str">
        <f>HYPERLINK("http://www.twitter.com/weelindy", "weelindy")</f>
        <v>weelindy</v>
      </c>
      <c r="B7071" s="65" t="s">
        <v>6180</v>
      </c>
    </row>
    <row r="7072" spans="1:2" x14ac:dyDescent="0.25">
      <c r="A7072" s="64" t="str">
        <f>HYPERLINK("http://www.twitter.com/mark_burleigh", "mark_burleigh")</f>
        <v>mark_burleigh</v>
      </c>
      <c r="B7072" s="65"/>
    </row>
    <row r="7073" spans="1:2" x14ac:dyDescent="0.25">
      <c r="A7073" s="64" t="str">
        <f>HYPERLINK("http://www.twitter.com/johnhalewood", "johnhalewood")</f>
        <v>johnhalewood</v>
      </c>
      <c r="B7073" s="65"/>
    </row>
    <row r="7074" spans="1:2" x14ac:dyDescent="0.25">
      <c r="A7074" s="64" t="str">
        <f>HYPERLINK("http://www.twitter.com/Joanne_Sefton", "Joanne_Sefton")</f>
        <v>Joanne_Sefton</v>
      </c>
      <c r="B7074" s="65" t="s">
        <v>3483</v>
      </c>
    </row>
    <row r="7075" spans="1:2" x14ac:dyDescent="0.25">
      <c r="A7075" s="64" t="str">
        <f>HYPERLINK("http://www.twitter.com/Jmanic62", "Jmanic62")</f>
        <v>Jmanic62</v>
      </c>
      <c r="B7075" s="65"/>
    </row>
    <row r="7076" spans="1:2" x14ac:dyDescent="0.25">
      <c r="A7076" s="64" t="str">
        <f>HYPERLINK("http://www.twitter.com/dunglassfinest", "dunglassfinest")</f>
        <v>dunglassfinest</v>
      </c>
      <c r="B7076" s="65" t="s">
        <v>6181</v>
      </c>
    </row>
    <row r="7077" spans="1:2" x14ac:dyDescent="0.25">
      <c r="A7077" s="64" t="str">
        <f>HYPERLINK("http://www.twitter.com/colinbrown72", "colinbrown72")</f>
        <v>colinbrown72</v>
      </c>
      <c r="B7077" s="65"/>
    </row>
    <row r="7078" spans="1:2" x14ac:dyDescent="0.25">
      <c r="A7078" s="64" t="str">
        <f>HYPERLINK("http://www.twitter.com/charlthornton", "charlthornton")</f>
        <v>charlthornton</v>
      </c>
      <c r="B7078" s="65"/>
    </row>
    <row r="7079" spans="1:2" x14ac:dyDescent="0.25">
      <c r="A7079" s="64" t="str">
        <f>HYPERLINK("http://www.twitter.com/essoblue", "essoblue")</f>
        <v>essoblue</v>
      </c>
      <c r="B7079" s="65" t="s">
        <v>6182</v>
      </c>
    </row>
    <row r="7080" spans="1:2" x14ac:dyDescent="0.25">
      <c r="A7080" s="64" t="str">
        <f>HYPERLINK("http://www.twitter.com/Janeydonald", "Janeydonald")</f>
        <v>Janeydonald</v>
      </c>
      <c r="B7080" s="65"/>
    </row>
    <row r="7081" spans="1:2" x14ac:dyDescent="0.25">
      <c r="A7081" s="64" t="str">
        <f>HYPERLINK("http://www.twitter.com/Bedwellty14", "Bedwellty14")</f>
        <v>Bedwellty14</v>
      </c>
      <c r="B7081" s="65"/>
    </row>
    <row r="7082" spans="1:2" x14ac:dyDescent="0.25">
      <c r="A7082" s="64" t="str">
        <f>HYPERLINK("http://www.twitter.com/lawrieg2", "lawrieg2")</f>
        <v>lawrieg2</v>
      </c>
      <c r="B7082" s="65"/>
    </row>
    <row r="7083" spans="1:2" x14ac:dyDescent="0.25">
      <c r="A7083" s="64" t="str">
        <f>HYPERLINK("http://www.twitter.com/jennysch7", "jennysch7")</f>
        <v>jennysch7</v>
      </c>
      <c r="B7083" s="65" t="s">
        <v>4148</v>
      </c>
    </row>
    <row r="7084" spans="1:2" x14ac:dyDescent="0.25">
      <c r="A7084" s="64" t="str">
        <f>HYPERLINK("http://www.twitter.com/rismith135", "rismith135")</f>
        <v>rismith135</v>
      </c>
      <c r="B7084" s="65" t="s">
        <v>3821</v>
      </c>
    </row>
    <row r="7085" spans="1:2" x14ac:dyDescent="0.25">
      <c r="A7085" s="64" t="str">
        <f>HYPERLINK("http://www.twitter.com/loopypatsy", "loopypatsy")</f>
        <v>loopypatsy</v>
      </c>
      <c r="B7085" s="65"/>
    </row>
    <row r="7086" spans="1:2" x14ac:dyDescent="0.25">
      <c r="A7086" s="64" t="str">
        <f>HYPERLINK("http://www.twitter.com/lin_richardson", "lin_richardson")</f>
        <v>lin_richardson</v>
      </c>
      <c r="B7086" s="65"/>
    </row>
    <row r="7087" spans="1:2" x14ac:dyDescent="0.25">
      <c r="A7087" s="64" t="str">
        <f>HYPERLINK("http://www.twitter.com/NiaElias", "NiaElias")</f>
        <v>NiaElias</v>
      </c>
      <c r="B7087" s="65" t="s">
        <v>6183</v>
      </c>
    </row>
    <row r="7088" spans="1:2" x14ac:dyDescent="0.25">
      <c r="A7088" s="64" t="str">
        <f>HYPERLINK("http://www.twitter.com/AliCoopers59", "AliCoopers59")</f>
        <v>AliCoopers59</v>
      </c>
      <c r="B7088" s="65"/>
    </row>
    <row r="7089" spans="1:2" x14ac:dyDescent="0.25">
      <c r="A7089" s="64" t="str">
        <f>HYPERLINK("http://www.twitter.com/hgareth", "hgareth")</f>
        <v>hgareth</v>
      </c>
      <c r="B7089" s="65"/>
    </row>
    <row r="7090" spans="1:2" x14ac:dyDescent="0.25">
      <c r="A7090" s="64" t="str">
        <f>HYPERLINK("http://www.twitter.com/megkat22", "megkat22")</f>
        <v>megkat22</v>
      </c>
      <c r="B7090" s="65" t="s">
        <v>6184</v>
      </c>
    </row>
    <row r="7091" spans="1:2" x14ac:dyDescent="0.25">
      <c r="A7091" s="64" t="str">
        <f>HYPERLINK("http://www.twitter.com/KathLouMorley", "KathLouMorley")</f>
        <v>KathLouMorley</v>
      </c>
      <c r="B7091" s="65"/>
    </row>
    <row r="7092" spans="1:2" x14ac:dyDescent="0.25">
      <c r="A7092" s="64" t="str">
        <f>HYPERLINK("http://www.twitter.com/ReekieGillian", "ReekieGillian")</f>
        <v>ReekieGillian</v>
      </c>
      <c r="B7092" s="65" t="s">
        <v>2007</v>
      </c>
    </row>
    <row r="7093" spans="1:2" x14ac:dyDescent="0.25">
      <c r="A7093" s="64" t="str">
        <f>HYPERLINK("http://www.twitter.com/aeb770", "aeb770")</f>
        <v>aeb770</v>
      </c>
      <c r="B7093" s="65"/>
    </row>
    <row r="7094" spans="1:2" x14ac:dyDescent="0.25">
      <c r="A7094" s="64" t="str">
        <f>HYPERLINK("http://www.twitter.com/sparklyshoes17", "sparklyshoes17")</f>
        <v>sparklyshoes17</v>
      </c>
      <c r="B7094" s="65" t="s">
        <v>296</v>
      </c>
    </row>
    <row r="7095" spans="1:2" x14ac:dyDescent="0.25">
      <c r="A7095" s="64" t="str">
        <f>HYPERLINK("http://www.twitter.com/mrsmummalove", "mrsmummalove")</f>
        <v>mrsmummalove</v>
      </c>
      <c r="B7095" s="65" t="s">
        <v>1377</v>
      </c>
    </row>
    <row r="7096" spans="1:2" x14ac:dyDescent="0.25">
      <c r="A7096" s="64" t="str">
        <f>HYPERLINK("http://www.twitter.com/JoanneGooch", "JoanneGooch")</f>
        <v>JoanneGooch</v>
      </c>
      <c r="B7096" s="65" t="s">
        <v>6185</v>
      </c>
    </row>
    <row r="7097" spans="1:2" x14ac:dyDescent="0.25">
      <c r="A7097" s="64" t="str">
        <f>HYPERLINK("http://www.twitter.com/ckdsaddlers", "ckdsaddlers")</f>
        <v>ckdsaddlers</v>
      </c>
      <c r="B7097" s="65"/>
    </row>
    <row r="7098" spans="1:2" x14ac:dyDescent="0.25">
      <c r="A7098" s="64" t="str">
        <f>HYPERLINK("http://www.twitter.com/TheIsabelGreen", "TheIsabelGreen")</f>
        <v>TheIsabelGreen</v>
      </c>
      <c r="B7098" s="65"/>
    </row>
    <row r="7099" spans="1:2" x14ac:dyDescent="0.25">
      <c r="A7099" s="64" t="str">
        <f>HYPERLINK("http://www.twitter.com/k_mycock", "k_mycock")</f>
        <v>k_mycock</v>
      </c>
      <c r="B7099" s="65"/>
    </row>
    <row r="7100" spans="1:2" x14ac:dyDescent="0.25">
      <c r="A7100" s="64" t="str">
        <f>HYPERLINK("http://www.twitter.com/djtaylor259", "djtaylor259")</f>
        <v>djtaylor259</v>
      </c>
      <c r="B7100" s="65" t="s">
        <v>6186</v>
      </c>
    </row>
    <row r="7101" spans="1:2" x14ac:dyDescent="0.25">
      <c r="A7101" s="64" t="str">
        <f>HYPERLINK("http://www.twitter.com/KattCaroline", "KattCaroline")</f>
        <v>KattCaroline</v>
      </c>
      <c r="B7101" s="65"/>
    </row>
    <row r="7102" spans="1:2" x14ac:dyDescent="0.25">
      <c r="A7102" s="64" t="str">
        <f>HYPERLINK("http://www.twitter.com/martinscraig", "martinscraig")</f>
        <v>martinscraig</v>
      </c>
      <c r="B7102" s="65" t="s">
        <v>2636</v>
      </c>
    </row>
    <row r="7103" spans="1:2" x14ac:dyDescent="0.25">
      <c r="A7103" s="64" t="str">
        <f>HYPERLINK("http://www.twitter.com/Helen37Anderson", "Helen37Anderson")</f>
        <v>Helen37Anderson</v>
      </c>
      <c r="B7103" s="65" t="s">
        <v>6187</v>
      </c>
    </row>
    <row r="7104" spans="1:2" x14ac:dyDescent="0.25">
      <c r="A7104" s="64" t="str">
        <f>HYPERLINK("http://www.twitter.com/BirkwoodPrimary", "BirkwoodPrimary")</f>
        <v>BirkwoodPrimary</v>
      </c>
      <c r="B7104" s="65" t="s">
        <v>6188</v>
      </c>
    </row>
    <row r="7105" spans="1:2" x14ac:dyDescent="0.25">
      <c r="A7105" s="64" t="str">
        <f>HYPERLINK("http://www.twitter.com/LosButtery", "LosButtery")</f>
        <v>LosButtery</v>
      </c>
      <c r="B7105" s="65"/>
    </row>
    <row r="7106" spans="1:2" x14ac:dyDescent="0.25">
      <c r="A7106" s="64" t="str">
        <f>HYPERLINK("http://www.twitter.com/glenrock27", "glenrock27")</f>
        <v>glenrock27</v>
      </c>
      <c r="B7106" s="65"/>
    </row>
    <row r="7107" spans="1:2" x14ac:dyDescent="0.25">
      <c r="A7107" s="64" t="str">
        <f>HYPERLINK("http://www.twitter.com/WinderAllen", "WinderAllen")</f>
        <v>WinderAllen</v>
      </c>
      <c r="B7107" s="65"/>
    </row>
    <row r="7108" spans="1:2" x14ac:dyDescent="0.25">
      <c r="A7108" s="64" t="str">
        <f>HYPERLINK("http://www.twitter.com/cathyschorah", "cathyschorah")</f>
        <v>cathyschorah</v>
      </c>
      <c r="B7108" s="65" t="s">
        <v>3954</v>
      </c>
    </row>
    <row r="7109" spans="1:2" x14ac:dyDescent="0.25">
      <c r="A7109" s="64" t="str">
        <f>HYPERLINK("http://www.twitter.com/Sarahun95228995", "Sarahun95228995")</f>
        <v>Sarahun95228995</v>
      </c>
      <c r="B7109" s="65"/>
    </row>
    <row r="7110" spans="1:2" x14ac:dyDescent="0.25">
      <c r="A7110" s="64" t="str">
        <f>HYPERLINK("http://www.twitter.com/thequietgeordie", "thequietgeordie")</f>
        <v>thequietgeordie</v>
      </c>
      <c r="B7110" s="65" t="s">
        <v>96</v>
      </c>
    </row>
    <row r="7111" spans="1:2" x14ac:dyDescent="0.25">
      <c r="A7111" s="64" t="str">
        <f>HYPERLINK("http://www.twitter.com/EmmaFormoy", "EmmaFormoy")</f>
        <v>EmmaFormoy</v>
      </c>
      <c r="B7111" s="65"/>
    </row>
    <row r="7112" spans="1:2" x14ac:dyDescent="0.25">
      <c r="A7112" s="64" t="str">
        <f>HYPERLINK("http://www.twitter.com/SitSpiritually", "SitSpiritually")</f>
        <v>SitSpiritually</v>
      </c>
      <c r="B7112" s="65" t="s">
        <v>6189</v>
      </c>
    </row>
    <row r="7113" spans="1:2" x14ac:dyDescent="0.25">
      <c r="A7113" s="64" t="str">
        <f>HYPERLINK("http://www.twitter.com/judith_gower", "judith_gower")</f>
        <v>judith_gower</v>
      </c>
      <c r="B7113" s="65" t="s">
        <v>6190</v>
      </c>
    </row>
    <row r="7114" spans="1:2" x14ac:dyDescent="0.25">
      <c r="A7114" s="64" t="str">
        <f>HYPERLINK("http://www.twitter.com/KEconomides", "KEconomides")</f>
        <v>KEconomides</v>
      </c>
      <c r="B7114" s="65"/>
    </row>
    <row r="7115" spans="1:2" x14ac:dyDescent="0.25">
      <c r="A7115" s="64" t="str">
        <f>HYPERLINK("http://www.twitter.com/raymondcurran", "raymondcurran")</f>
        <v>raymondcurran</v>
      </c>
      <c r="B7115" s="65"/>
    </row>
    <row r="7116" spans="1:2" x14ac:dyDescent="0.25">
      <c r="A7116" s="64" t="str">
        <f>HYPERLINK("http://www.twitter.com/mcaino", "mcaino")</f>
        <v>mcaino</v>
      </c>
      <c r="B7116" s="65" t="s">
        <v>3633</v>
      </c>
    </row>
    <row r="7117" spans="1:2" x14ac:dyDescent="0.25">
      <c r="A7117" s="64" t="str">
        <f>HYPERLINK("http://www.twitter.com/gshepherd83", "gshepherd83")</f>
        <v>gshepherd83</v>
      </c>
      <c r="B7117" s="65" t="s">
        <v>1377</v>
      </c>
    </row>
    <row r="7118" spans="1:2" x14ac:dyDescent="0.25">
      <c r="A7118" s="64" t="str">
        <f>HYPERLINK("http://www.twitter.com/david_medway", "david_medway")</f>
        <v>david_medway</v>
      </c>
      <c r="B7118" s="65"/>
    </row>
    <row r="7119" spans="1:2" x14ac:dyDescent="0.25">
      <c r="A7119" s="64" t="str">
        <f>HYPERLINK("http://www.twitter.com/jmcp2", "jmcp2")</f>
        <v>jmcp2</v>
      </c>
      <c r="B7119" s="65" t="s">
        <v>4019</v>
      </c>
    </row>
    <row r="7120" spans="1:2" x14ac:dyDescent="0.25">
      <c r="A7120" s="64" t="str">
        <f>HYPERLINK("http://www.twitter.com/zeniebeenie", "zeniebeenie")</f>
        <v>zeniebeenie</v>
      </c>
      <c r="B7120" s="65" t="s">
        <v>6092</v>
      </c>
    </row>
    <row r="7121" spans="1:2" x14ac:dyDescent="0.25">
      <c r="A7121" s="64" t="str">
        <f>HYPERLINK("http://www.twitter.com/NijHartley", "NijHartley")</f>
        <v>NijHartley</v>
      </c>
      <c r="B7121" s="65" t="s">
        <v>6191</v>
      </c>
    </row>
    <row r="7122" spans="1:2" x14ac:dyDescent="0.25">
      <c r="A7122" s="64" t="str">
        <f>HYPERLINK("http://www.twitter.com/rammsteinally", "rammsteinally")</f>
        <v>rammsteinally</v>
      </c>
      <c r="B7122" s="65"/>
    </row>
    <row r="7123" spans="1:2" x14ac:dyDescent="0.25">
      <c r="A7123" s="64" t="str">
        <f>HYPERLINK("http://www.twitter.com/A09105455", "A09105455")</f>
        <v>A09105455</v>
      </c>
      <c r="B7123" s="65" t="s">
        <v>487</v>
      </c>
    </row>
    <row r="7124" spans="1:2" x14ac:dyDescent="0.25">
      <c r="A7124" s="64" t="str">
        <f>HYPERLINK("http://www.twitter.com/yeoldecrier", "yeoldecrier")</f>
        <v>yeoldecrier</v>
      </c>
      <c r="B7124" s="65"/>
    </row>
    <row r="7125" spans="1:2" x14ac:dyDescent="0.25">
      <c r="A7125" s="64" t="str">
        <f>HYPERLINK("http://www.twitter.com/claire_harrow", "claire_harrow")</f>
        <v>claire_harrow</v>
      </c>
      <c r="B7125" s="65" t="s">
        <v>318</v>
      </c>
    </row>
    <row r="7126" spans="1:2" x14ac:dyDescent="0.25">
      <c r="A7126" s="64" t="str">
        <f>HYPERLINK("http://www.twitter.com/not_candles", "not_candles")</f>
        <v>not_candles</v>
      </c>
      <c r="B7126" s="65" t="s">
        <v>296</v>
      </c>
    </row>
    <row r="7127" spans="1:2" x14ac:dyDescent="0.25">
      <c r="A7127" s="64" t="str">
        <f>HYPERLINK("http://www.twitter.com/JanetBlundell3", "JanetBlundell3")</f>
        <v>JanetBlundell3</v>
      </c>
      <c r="B7127" s="65"/>
    </row>
    <row r="7128" spans="1:2" x14ac:dyDescent="0.25">
      <c r="A7128" s="64" t="str">
        <f>HYPERLINK("http://www.twitter.com/alibalibee45", "alibalibee45")</f>
        <v>alibalibee45</v>
      </c>
      <c r="B7128" s="65"/>
    </row>
    <row r="7129" spans="1:2" x14ac:dyDescent="0.25">
      <c r="A7129" s="64" t="str">
        <f>HYPERLINK("http://www.twitter.com/hsampok", "hsampok")</f>
        <v>hsampok</v>
      </c>
      <c r="B7129" s="65"/>
    </row>
    <row r="7130" spans="1:2" x14ac:dyDescent="0.25">
      <c r="A7130" s="64" t="str">
        <f>HYPERLINK("http://www.twitter.com/SturdsMark", "SturdsMark")</f>
        <v>SturdsMark</v>
      </c>
      <c r="B7130" s="65"/>
    </row>
    <row r="7131" spans="1:2" x14ac:dyDescent="0.25">
      <c r="A7131" s="64" t="str">
        <f>HYPERLINK("http://www.twitter.com/gillrcampbell", "gillrcampbell")</f>
        <v>gillrcampbell</v>
      </c>
      <c r="B7131" s="65"/>
    </row>
    <row r="7132" spans="1:2" x14ac:dyDescent="0.25">
      <c r="A7132" s="64" t="str">
        <f>HYPERLINK("http://www.twitter.com/nickieohara", "nickieohara")</f>
        <v>nickieohara</v>
      </c>
      <c r="B7132" s="65" t="s">
        <v>2613</v>
      </c>
    </row>
    <row r="7133" spans="1:2" x14ac:dyDescent="0.25">
      <c r="A7133" s="64" t="str">
        <f>HYPERLINK("http://www.twitter.com/StoriesAlive", "StoriesAlive")</f>
        <v>StoriesAlive</v>
      </c>
      <c r="B7133" s="65" t="s">
        <v>773</v>
      </c>
    </row>
    <row r="7134" spans="1:2" x14ac:dyDescent="0.25">
      <c r="A7134" s="64" t="str">
        <f>HYPERLINK("http://www.twitter.com/threetles", "threetles")</f>
        <v>threetles</v>
      </c>
      <c r="B7134" s="65"/>
    </row>
    <row r="7135" spans="1:2" x14ac:dyDescent="0.25">
      <c r="A7135" s="64" t="str">
        <f>HYPERLINK("http://www.twitter.com/dineketh", "dineketh")</f>
        <v>dineketh</v>
      </c>
      <c r="B7135" s="65" t="s">
        <v>1226</v>
      </c>
    </row>
    <row r="7136" spans="1:2" x14ac:dyDescent="0.25">
      <c r="A7136" s="64" t="str">
        <f>HYPERLINK("http://www.twitter.com/cyber_dude", "cyber_dude")</f>
        <v>cyber_dude</v>
      </c>
      <c r="B7136" s="65"/>
    </row>
    <row r="7137" spans="1:2" x14ac:dyDescent="0.25">
      <c r="A7137" s="64" t="str">
        <f>HYPERLINK("http://www.twitter.com/elanwyl", "elanwyl")</f>
        <v>elanwyl</v>
      </c>
      <c r="B7137" s="65"/>
    </row>
    <row r="7138" spans="1:2" x14ac:dyDescent="0.25">
      <c r="A7138" s="64" t="str">
        <f>HYPERLINK("http://www.twitter.com/lucyrose93", "lucyrose93")</f>
        <v>lucyrose93</v>
      </c>
      <c r="B7138" s="65" t="s">
        <v>6192</v>
      </c>
    </row>
    <row r="7139" spans="1:2" x14ac:dyDescent="0.25">
      <c r="A7139" s="64" t="str">
        <f>HYPERLINK("http://www.twitter.com/stuartcmurphy", "stuartcmurphy")</f>
        <v>stuartcmurphy</v>
      </c>
      <c r="B7139" s="65" t="s">
        <v>1180</v>
      </c>
    </row>
    <row r="7140" spans="1:2" x14ac:dyDescent="0.25">
      <c r="A7140" s="64" t="str">
        <f>HYPERLINK("http://www.twitter.com/magicsnaps", "magicsnaps")</f>
        <v>magicsnaps</v>
      </c>
      <c r="B7140" s="65" t="s">
        <v>6193</v>
      </c>
    </row>
    <row r="7141" spans="1:2" x14ac:dyDescent="0.25">
      <c r="A7141" s="64" t="str">
        <f>HYPERLINK("http://www.twitter.com/FranceJim", "FranceJim")</f>
        <v>FranceJim</v>
      </c>
      <c r="B7141" s="65" t="s">
        <v>2564</v>
      </c>
    </row>
    <row r="7142" spans="1:2" x14ac:dyDescent="0.25">
      <c r="A7142" s="64" t="str">
        <f>HYPERLINK("http://www.twitter.com/iTwite", "iTwite")</f>
        <v>iTwite</v>
      </c>
      <c r="B7142" s="65" t="s">
        <v>6194</v>
      </c>
    </row>
    <row r="7143" spans="1:2" x14ac:dyDescent="0.25">
      <c r="A7143" s="64" t="str">
        <f>HYPERLINK("http://www.twitter.com/fringeinthefen", "fringeinthefen")</f>
        <v>fringeinthefen</v>
      </c>
      <c r="B7143" s="65" t="s">
        <v>6195</v>
      </c>
    </row>
    <row r="7144" spans="1:2" x14ac:dyDescent="0.25">
      <c r="A7144" s="64" t="str">
        <f>HYPERLINK("http://www.twitter.com/MrsP2", "MrsP2")</f>
        <v>MrsP2</v>
      </c>
      <c r="B7144" s="65" t="s">
        <v>1980</v>
      </c>
    </row>
    <row r="7145" spans="1:2" x14ac:dyDescent="0.25">
      <c r="A7145" s="64" t="str">
        <f>HYPERLINK("http://www.twitter.com/jcmitcham", "jcmitcham")</f>
        <v>jcmitcham</v>
      </c>
      <c r="B7145" s="65"/>
    </row>
    <row r="7146" spans="1:2" x14ac:dyDescent="0.25">
      <c r="A7146" s="64" t="str">
        <f>HYPERLINK("http://www.twitter.com/breachqueen", "breachqueen")</f>
        <v>breachqueen</v>
      </c>
      <c r="B7146" s="65"/>
    </row>
    <row r="7147" spans="1:2" x14ac:dyDescent="0.25">
      <c r="A7147" s="64" t="str">
        <f>HYPERLINK("http://www.twitter.com/cai_isfryn", "cai_isfryn")</f>
        <v>cai_isfryn</v>
      </c>
      <c r="B7147" s="65" t="s">
        <v>36</v>
      </c>
    </row>
    <row r="7148" spans="1:2" x14ac:dyDescent="0.25">
      <c r="A7148" s="64" t="str">
        <f>HYPERLINK("http://www.twitter.com/LizWainwright", "LizWainwright")</f>
        <v>LizWainwright</v>
      </c>
      <c r="B7148" s="65" t="s">
        <v>6196</v>
      </c>
    </row>
    <row r="7149" spans="1:2" x14ac:dyDescent="0.25">
      <c r="A7149" s="64" t="str">
        <f>HYPERLINK("http://www.twitter.com/nicola_woodward", "nicola_woodward")</f>
        <v>nicola_woodward</v>
      </c>
      <c r="B7149" s="65" t="s">
        <v>487</v>
      </c>
    </row>
    <row r="7150" spans="1:2" x14ac:dyDescent="0.25">
      <c r="A7150" s="64" t="str">
        <f>HYPERLINK("http://www.twitter.com/clarecb", "clarecb")</f>
        <v>clarecb</v>
      </c>
      <c r="B7150" s="65"/>
    </row>
    <row r="7151" spans="1:2" x14ac:dyDescent="0.25">
      <c r="A7151" s="64" t="str">
        <f>HYPERLINK("http://www.twitter.com/stevefleming", "stevefleming")</f>
        <v>stevefleming</v>
      </c>
      <c r="B7151" s="65" t="s">
        <v>6197</v>
      </c>
    </row>
    <row r="7152" spans="1:2" x14ac:dyDescent="0.25">
      <c r="A7152" s="64" t="str">
        <f>HYPERLINK("http://www.twitter.com/JAGIT1", "JAGIT1")</f>
        <v>JAGIT1</v>
      </c>
      <c r="B7152" s="65" t="s">
        <v>6198</v>
      </c>
    </row>
    <row r="7153" spans="1:2" x14ac:dyDescent="0.25">
      <c r="A7153" s="64" t="str">
        <f>HYPERLINK("http://www.twitter.com/bonnytoun", "bonnytoun")</f>
        <v>bonnytoun</v>
      </c>
      <c r="B7153" s="65"/>
    </row>
    <row r="7154" spans="1:2" x14ac:dyDescent="0.25">
      <c r="A7154" s="64" t="str">
        <f>HYPERLINK("http://www.twitter.com/RightCauseUK", "RightCauseUK")</f>
        <v>RightCauseUK</v>
      </c>
      <c r="B7154" s="65" t="s">
        <v>2557</v>
      </c>
    </row>
    <row r="7155" spans="1:2" x14ac:dyDescent="0.25">
      <c r="A7155" s="64" t="str">
        <f>HYPERLINK("http://www.twitter.com/stewart_amanda", "stewart_amanda")</f>
        <v>stewart_amanda</v>
      </c>
      <c r="B7155" s="65"/>
    </row>
    <row r="7156" spans="1:2" x14ac:dyDescent="0.25">
      <c r="A7156" s="64" t="str">
        <f>HYPERLINK("http://www.twitter.com/JyeEssPee", "JyeEssPee")</f>
        <v>JyeEssPee</v>
      </c>
      <c r="B7156" s="65"/>
    </row>
    <row r="7157" spans="1:2" x14ac:dyDescent="0.25">
      <c r="A7157" s="64" t="str">
        <f>HYPERLINK("http://www.twitter.com/DunBrian", "DunBrian")</f>
        <v>DunBrian</v>
      </c>
      <c r="B7157" s="65" t="s">
        <v>6199</v>
      </c>
    </row>
    <row r="7158" spans="1:2" x14ac:dyDescent="0.25">
      <c r="A7158" s="64" t="str">
        <f>HYPERLINK("http://www.twitter.com/EssexBlue77", "EssexBlue77")</f>
        <v>EssexBlue77</v>
      </c>
      <c r="B7158" s="65"/>
    </row>
    <row r="7159" spans="1:2" x14ac:dyDescent="0.25">
      <c r="A7159" s="64" t="str">
        <f>HYPERLINK("http://www.twitter.com/tubeway", "tubeway")</f>
        <v>tubeway</v>
      </c>
      <c r="B7159" s="65" t="s">
        <v>6200</v>
      </c>
    </row>
    <row r="7160" spans="1:2" x14ac:dyDescent="0.25">
      <c r="A7160" s="64" t="str">
        <f>HYPERLINK("http://www.twitter.com/preceptormel", "preceptormel")</f>
        <v>preceptormel</v>
      </c>
      <c r="B7160" s="65" t="s">
        <v>1980</v>
      </c>
    </row>
    <row r="7161" spans="1:2" x14ac:dyDescent="0.25">
      <c r="A7161" s="64" t="str">
        <f>HYPERLINK("http://www.twitter.com/sheelaghharwell", "sheelaghharwell")</f>
        <v>sheelaghharwell</v>
      </c>
      <c r="B7161" s="65"/>
    </row>
    <row r="7162" spans="1:2" x14ac:dyDescent="0.25">
      <c r="A7162" s="64" t="str">
        <f>HYPERLINK("http://www.twitter.com/tarcsafalvi", "tarcsafalvi")</f>
        <v>tarcsafalvi</v>
      </c>
      <c r="B7162" s="65"/>
    </row>
    <row r="7163" spans="1:2" x14ac:dyDescent="0.25">
      <c r="A7163" s="64" t="str">
        <f>HYPERLINK("http://www.twitter.com/susiedarlo", "susiedarlo")</f>
        <v>susiedarlo</v>
      </c>
      <c r="B7163" s="65"/>
    </row>
    <row r="7164" spans="1:2" x14ac:dyDescent="0.25">
      <c r="A7164" s="64" t="str">
        <f>HYPERLINK("http://www.twitter.com/steveford71", "steveford71")</f>
        <v>steveford71</v>
      </c>
      <c r="B7164" s="65" t="s">
        <v>4255</v>
      </c>
    </row>
    <row r="7165" spans="1:2" x14ac:dyDescent="0.25">
      <c r="A7165" s="64" t="str">
        <f>HYPERLINK("http://www.twitter.com/Isis1981uk", "Isis1981uk")</f>
        <v>Isis1981uk</v>
      </c>
      <c r="B7165" s="65" t="s">
        <v>505</v>
      </c>
    </row>
    <row r="7166" spans="1:2" x14ac:dyDescent="0.25">
      <c r="A7166" s="64" t="str">
        <f>HYPERLINK("http://www.twitter.com/highlandgirl", "highlandgirl")</f>
        <v>highlandgirl</v>
      </c>
      <c r="B7166" s="65" t="s">
        <v>517</v>
      </c>
    </row>
    <row r="7167" spans="1:2" x14ac:dyDescent="0.25">
      <c r="A7167" s="64" t="str">
        <f>HYPERLINK("http://www.twitter.com/lwoike", "lwoike")</f>
        <v>lwoike</v>
      </c>
      <c r="B7167" s="65" t="s">
        <v>4852</v>
      </c>
    </row>
    <row r="7168" spans="1:2" x14ac:dyDescent="0.25">
      <c r="A7168" s="64" t="str">
        <f>HYPERLINK("http://www.twitter.com/ItsPaul44", "ItsPaul44")</f>
        <v>ItsPaul44</v>
      </c>
      <c r="B7168" s="65"/>
    </row>
    <row r="7169" spans="1:2" x14ac:dyDescent="0.25">
      <c r="A7169" s="64" t="str">
        <f>HYPERLINK("http://www.twitter.com/Petra15003034", "Petra15003034")</f>
        <v>Petra15003034</v>
      </c>
      <c r="B7169" s="65"/>
    </row>
    <row r="7170" spans="1:2" x14ac:dyDescent="0.25">
      <c r="A7170" s="64" t="str">
        <f>HYPERLINK("http://www.twitter.com/AEBold123", "AEBold123")</f>
        <v>AEBold123</v>
      </c>
      <c r="B7170" s="65"/>
    </row>
    <row r="7171" spans="1:2" x14ac:dyDescent="0.25">
      <c r="A7171" s="64" t="str">
        <f>HYPERLINK("http://www.twitter.com/UrbanKelt", "UrbanKelt")</f>
        <v>UrbanKelt</v>
      </c>
      <c r="B7171" s="65" t="s">
        <v>36</v>
      </c>
    </row>
    <row r="7172" spans="1:2" x14ac:dyDescent="0.25">
      <c r="A7172" s="64" t="str">
        <f>HYPERLINK("http://www.twitter.com/SoozeHH", "SoozeHH")</f>
        <v>SoozeHH</v>
      </c>
      <c r="B7172" s="65" t="s">
        <v>4196</v>
      </c>
    </row>
    <row r="7173" spans="1:2" x14ac:dyDescent="0.25">
      <c r="A7173" s="64" t="str">
        <f>HYPERLINK("http://www.twitter.com/StuartDunlop1", "StuartDunlop1")</f>
        <v>StuartDunlop1</v>
      </c>
      <c r="B7173" s="65" t="s">
        <v>6201</v>
      </c>
    </row>
    <row r="7174" spans="1:2" x14ac:dyDescent="0.25">
      <c r="A7174" s="64" t="str">
        <f>HYPERLINK("http://www.twitter.com/Paul2Beard", "Paul2Beard")</f>
        <v>Paul2Beard</v>
      </c>
      <c r="B7174" s="65" t="s">
        <v>296</v>
      </c>
    </row>
    <row r="7175" spans="1:2" x14ac:dyDescent="0.25">
      <c r="A7175" s="64" t="str">
        <f>HYPERLINK("http://www.twitter.com/lizonwight", "lizonwight")</f>
        <v>lizonwight</v>
      </c>
      <c r="B7175" s="65"/>
    </row>
    <row r="7176" spans="1:2" x14ac:dyDescent="0.25">
      <c r="A7176" s="64" t="str">
        <f>HYPERLINK("http://www.twitter.com/tigerfanjane", "tigerfanjane")</f>
        <v>tigerfanjane</v>
      </c>
      <c r="B7176" s="65" t="s">
        <v>6202</v>
      </c>
    </row>
    <row r="7177" spans="1:2" x14ac:dyDescent="0.25">
      <c r="A7177" s="64" t="str">
        <f>HYPERLINK("http://www.twitter.com/ShaunV06UE", "ShaunV06UE")</f>
        <v>ShaunV06UE</v>
      </c>
      <c r="B7177" s="65" t="s">
        <v>6203</v>
      </c>
    </row>
    <row r="7178" spans="1:2" x14ac:dyDescent="0.25">
      <c r="A7178" s="64" t="str">
        <f>HYPERLINK("http://www.twitter.com/SophiaHowson", "SophiaHowson")</f>
        <v>SophiaHowson</v>
      </c>
      <c r="B7178" s="65" t="s">
        <v>361</v>
      </c>
    </row>
    <row r="7179" spans="1:2" x14ac:dyDescent="0.25">
      <c r="A7179" s="64" t="str">
        <f>HYPERLINK("http://www.twitter.com/pabsdebussy", "pabsdebussy")</f>
        <v>pabsdebussy</v>
      </c>
      <c r="B7179" s="65" t="s">
        <v>318</v>
      </c>
    </row>
    <row r="7180" spans="1:2" x14ac:dyDescent="0.25">
      <c r="A7180" s="64" t="str">
        <f>HYPERLINK("http://www.twitter.com/muninnherself", "muninnherself")</f>
        <v>muninnherself</v>
      </c>
      <c r="B7180" s="65" t="s">
        <v>1790</v>
      </c>
    </row>
    <row r="7181" spans="1:2" x14ac:dyDescent="0.25">
      <c r="A7181" s="64" t="str">
        <f>HYPERLINK("http://www.twitter.com/marymayf", "marymayf")</f>
        <v>marymayf</v>
      </c>
      <c r="B7181" s="65" t="s">
        <v>6204</v>
      </c>
    </row>
    <row r="7182" spans="1:2" x14ac:dyDescent="0.25">
      <c r="A7182" s="64" t="str">
        <f>HYPERLINK("http://www.twitter.com/ScottishPEN", "ScottishPEN")</f>
        <v>ScottishPEN</v>
      </c>
      <c r="B7182" s="65" t="s">
        <v>2007</v>
      </c>
    </row>
    <row r="7183" spans="1:2" x14ac:dyDescent="0.25">
      <c r="A7183" s="64" t="str">
        <f>HYPERLINK("http://www.twitter.com/sam_moonie", "sam_moonie")</f>
        <v>sam_moonie</v>
      </c>
      <c r="B7183" s="65" t="s">
        <v>3762</v>
      </c>
    </row>
    <row r="7184" spans="1:2" x14ac:dyDescent="0.25">
      <c r="A7184" s="64" t="str">
        <f>HYPERLINK("http://www.twitter.com/nfum_perth", "nfum_perth")</f>
        <v>nfum_perth</v>
      </c>
      <c r="B7184" s="65" t="s">
        <v>3773</v>
      </c>
    </row>
    <row r="7185" spans="1:2" x14ac:dyDescent="0.25">
      <c r="A7185" s="64" t="str">
        <f>HYPERLINK("http://www.twitter.com/MatthewCole007", "MatthewCole007")</f>
        <v>MatthewCole007</v>
      </c>
      <c r="B7185" s="65" t="s">
        <v>538</v>
      </c>
    </row>
    <row r="7186" spans="1:2" x14ac:dyDescent="0.25">
      <c r="A7186" s="64" t="str">
        <f>HYPERLINK("http://www.twitter.com/BeckyCarnaffin", "BeckyCarnaffin")</f>
        <v>BeckyCarnaffin</v>
      </c>
      <c r="B7186" s="65" t="s">
        <v>487</v>
      </c>
    </row>
    <row r="7187" spans="1:2" x14ac:dyDescent="0.25">
      <c r="A7187" s="64" t="str">
        <f>HYPERLINK("http://www.twitter.com/deethelibrarian", "deethelibrarian")</f>
        <v>deethelibrarian</v>
      </c>
      <c r="B7187" s="65" t="s">
        <v>477</v>
      </c>
    </row>
    <row r="7188" spans="1:2" x14ac:dyDescent="0.25">
      <c r="A7188" s="64" t="str">
        <f>HYPERLINK("http://www.twitter.com/borges_mybbv", "borges_mybbv")</f>
        <v>borges_mybbv</v>
      </c>
      <c r="B7188" s="65" t="s">
        <v>6205</v>
      </c>
    </row>
    <row r="7189" spans="1:2" x14ac:dyDescent="0.25">
      <c r="A7189" s="64" t="str">
        <f>HYPERLINK("http://www.twitter.com/Sharpie28890", "Sharpie28890")</f>
        <v>Sharpie28890</v>
      </c>
      <c r="B7189" s="65" t="s">
        <v>517</v>
      </c>
    </row>
    <row r="7190" spans="1:2" x14ac:dyDescent="0.25">
      <c r="A7190" s="64" t="str">
        <f>HYPERLINK("http://www.twitter.com/HarleyClay8", "HarleyClay8")</f>
        <v>HarleyClay8</v>
      </c>
      <c r="B7190" s="65" t="s">
        <v>6206</v>
      </c>
    </row>
    <row r="7191" spans="1:2" x14ac:dyDescent="0.25">
      <c r="A7191" s="64" t="str">
        <f>HYPERLINK("http://www.twitter.com/tessmuk", "tessmuk")</f>
        <v>tessmuk</v>
      </c>
      <c r="B7191" s="65" t="s">
        <v>517</v>
      </c>
    </row>
    <row r="7192" spans="1:2" x14ac:dyDescent="0.25">
      <c r="A7192" s="64" t="str">
        <f>HYPERLINK("http://www.twitter.com/Jude_Ith", "Jude_Ith")</f>
        <v>Jude_Ith</v>
      </c>
      <c r="B7192" s="65"/>
    </row>
    <row r="7193" spans="1:2" x14ac:dyDescent="0.25">
      <c r="A7193" s="64" t="str">
        <f>HYPERLINK("http://www.twitter.com/LeahGunn05", "LeahGunn05")</f>
        <v>LeahGunn05</v>
      </c>
      <c r="B7193" s="65"/>
    </row>
    <row r="7194" spans="1:2" x14ac:dyDescent="0.25">
      <c r="A7194" s="64" t="str">
        <f>HYPERLINK("http://www.twitter.com/LeeInk35", "LeeInk35")</f>
        <v>LeeInk35</v>
      </c>
      <c r="B7194" s="65" t="s">
        <v>4403</v>
      </c>
    </row>
    <row r="7195" spans="1:2" x14ac:dyDescent="0.25">
      <c r="A7195" s="64" t="str">
        <f>HYPERLINK("http://www.twitter.com/thedarkpoint", "thedarkpoint")</f>
        <v>thedarkpoint</v>
      </c>
      <c r="B7195" s="65" t="s">
        <v>6207</v>
      </c>
    </row>
    <row r="7196" spans="1:2" x14ac:dyDescent="0.25">
      <c r="A7196" s="64" t="str">
        <f>HYPERLINK("http://www.twitter.com/EmmaRosieee", "EmmaRosieee")</f>
        <v>EmmaRosieee</v>
      </c>
      <c r="B7196" s="65"/>
    </row>
    <row r="7197" spans="1:2" x14ac:dyDescent="0.25">
      <c r="A7197" s="64" t="str">
        <f>HYPERLINK("http://www.twitter.com/LerwickCc", "LerwickCc")</f>
        <v>LerwickCc</v>
      </c>
      <c r="B7197" s="65" t="s">
        <v>6208</v>
      </c>
    </row>
    <row r="7198" spans="1:2" x14ac:dyDescent="0.25">
      <c r="A7198" s="64" t="str">
        <f>HYPERLINK("http://www.twitter.com/SarahHomerReads", "SarahHomerReads")</f>
        <v>SarahHomerReads</v>
      </c>
      <c r="B7198" s="65" t="s">
        <v>4145</v>
      </c>
    </row>
    <row r="7199" spans="1:2" x14ac:dyDescent="0.25">
      <c r="A7199" s="64" t="str">
        <f>HYPERLINK("http://www.twitter.com/SRN_Tweet", "SRN_Tweet")</f>
        <v>SRN_Tweet</v>
      </c>
      <c r="B7199" s="65" t="s">
        <v>517</v>
      </c>
    </row>
    <row r="7200" spans="1:2" x14ac:dyDescent="0.25">
      <c r="A7200" s="64" t="str">
        <f>HYPERLINK("http://www.twitter.com/StAlbansLibrary", "StAlbansLibrary")</f>
        <v>StAlbansLibrary</v>
      </c>
      <c r="B7200" s="65" t="s">
        <v>3007</v>
      </c>
    </row>
    <row r="7201" spans="1:2" x14ac:dyDescent="0.25">
      <c r="A7201" s="64" t="str">
        <f>HYPERLINK("http://www.twitter.com/mfljulie", "mfljulie")</f>
        <v>mfljulie</v>
      </c>
      <c r="B7201" s="65"/>
    </row>
    <row r="7202" spans="1:2" x14ac:dyDescent="0.25">
      <c r="A7202" s="64" t="str">
        <f>HYPERLINK("http://www.twitter.com/theceeboogie", "theceeboogie")</f>
        <v>theceeboogie</v>
      </c>
      <c r="B7202" s="65"/>
    </row>
    <row r="7203" spans="1:2" x14ac:dyDescent="0.25">
      <c r="A7203" s="64" t="str">
        <f>HYPERLINK("http://www.twitter.com/YuvaOrg", "YuvaOrg")</f>
        <v>YuvaOrg</v>
      </c>
      <c r="B7203" s="65" t="s">
        <v>4177</v>
      </c>
    </row>
    <row r="7204" spans="1:2" x14ac:dyDescent="0.25">
      <c r="A7204" s="64" t="str">
        <f>HYPERLINK("http://www.twitter.com/Cassanthea", "Cassanthea")</f>
        <v>Cassanthea</v>
      </c>
      <c r="B7204" s="65"/>
    </row>
    <row r="7205" spans="1:2" x14ac:dyDescent="0.25">
      <c r="A7205" s="64" t="str">
        <f>HYPERLINK("http://www.twitter.com/barry_emerson", "barry_emerson")</f>
        <v>barry_emerson</v>
      </c>
      <c r="B7205" s="65"/>
    </row>
    <row r="7206" spans="1:2" x14ac:dyDescent="0.25">
      <c r="A7206" s="64" t="str">
        <f>HYPERLINK("http://www.twitter.com/LJMU_PGRs", "LJMU_PGRs")</f>
        <v>LJMU_PGRs</v>
      </c>
      <c r="B7206" s="65" t="s">
        <v>2864</v>
      </c>
    </row>
    <row r="7207" spans="1:2" x14ac:dyDescent="0.25">
      <c r="A7207" s="64" t="str">
        <f>HYPERLINK("http://www.twitter.com/MarinaSofia8", "MarinaSofia8")</f>
        <v>MarinaSofia8</v>
      </c>
      <c r="B7207" s="65" t="s">
        <v>6209</v>
      </c>
    </row>
    <row r="7208" spans="1:2" x14ac:dyDescent="0.25">
      <c r="A7208" s="64" t="str">
        <f>HYPERLINK("http://www.twitter.com/OrkneyMadeit", "OrkneyMadeit")</f>
        <v>OrkneyMadeit</v>
      </c>
      <c r="B7208" s="65"/>
    </row>
    <row r="7209" spans="1:2" x14ac:dyDescent="0.25">
      <c r="A7209" s="64" t="str">
        <f>HYPERLINK("http://www.twitter.com/OrkneyWirds", "OrkneyWirds")</f>
        <v>OrkneyWirds</v>
      </c>
      <c r="B7209" s="65" t="s">
        <v>4519</v>
      </c>
    </row>
    <row r="7210" spans="1:2" x14ac:dyDescent="0.25">
      <c r="A7210" s="64" t="str">
        <f>HYPERLINK("http://www.twitter.com/Clouded_Yellow", "Clouded_Yellow")</f>
        <v>Clouded_Yellow</v>
      </c>
      <c r="B7210" s="65" t="s">
        <v>6210</v>
      </c>
    </row>
    <row r="7211" spans="1:2" x14ac:dyDescent="0.25">
      <c r="A7211" s="64" t="str">
        <f>HYPERLINK("http://www.twitter.com/Julia_Brungs", "Julia_Brungs")</f>
        <v>Julia_Brungs</v>
      </c>
      <c r="B7211" s="65" t="s">
        <v>6211</v>
      </c>
    </row>
    <row r="7212" spans="1:2" x14ac:dyDescent="0.25">
      <c r="A7212" s="64" t="str">
        <f>HYPERLINK("http://www.twitter.com/TomRennie", "TomRennie")</f>
        <v>TomRennie</v>
      </c>
      <c r="B7212" s="65" t="s">
        <v>4247</v>
      </c>
    </row>
    <row r="7213" spans="1:2" x14ac:dyDescent="0.25">
      <c r="A7213" s="64" t="str">
        <f>HYPERLINK("http://www.twitter.com/hoglundskan", "hoglundskan")</f>
        <v>hoglundskan</v>
      </c>
      <c r="B7213" s="65" t="s">
        <v>6212</v>
      </c>
    </row>
    <row r="7214" spans="1:2" x14ac:dyDescent="0.25">
      <c r="A7214" s="64" t="str">
        <f>HYPERLINK("http://www.twitter.com/Bryony_", "Bryony_")</f>
        <v>Bryony_</v>
      </c>
      <c r="B7214" s="65" t="s">
        <v>6213</v>
      </c>
    </row>
    <row r="7215" spans="1:2" x14ac:dyDescent="0.25">
      <c r="A7215" s="64" t="str">
        <f>HYPERLINK("http://www.twitter.com/sezl", "sezl")</f>
        <v>sezl</v>
      </c>
      <c r="B7215" s="65" t="s">
        <v>5436</v>
      </c>
    </row>
    <row r="7216" spans="1:2" x14ac:dyDescent="0.25">
      <c r="A7216" s="64" t="str">
        <f>HYPERLINK("http://www.twitter.com/willow_ophelia", "willow_ophelia")</f>
        <v>willow_ophelia</v>
      </c>
      <c r="B7216" s="65"/>
    </row>
    <row r="7217" spans="1:2" x14ac:dyDescent="0.25">
      <c r="A7217" s="64" t="str">
        <f>HYPERLINK("http://www.twitter.com/ca_parchewsky", "ca_parchewsky")</f>
        <v>ca_parchewsky</v>
      </c>
      <c r="B7217" s="65" t="s">
        <v>4776</v>
      </c>
    </row>
    <row r="7218" spans="1:2" x14ac:dyDescent="0.25">
      <c r="A7218" s="64" t="str">
        <f>HYPERLINK("http://www.twitter.com/LucaFois8", "LucaFois8")</f>
        <v>LucaFois8</v>
      </c>
      <c r="B7218" s="65" t="s">
        <v>487</v>
      </c>
    </row>
    <row r="7219" spans="1:2" x14ac:dyDescent="0.25">
      <c r="A7219" s="64" t="str">
        <f>HYPERLINK("http://www.twitter.com/Miriamaok", "Miriamaok")</f>
        <v>Miriamaok</v>
      </c>
      <c r="B7219" s="65" t="s">
        <v>6214</v>
      </c>
    </row>
    <row r="7220" spans="1:2" x14ac:dyDescent="0.25">
      <c r="A7220" s="64" t="str">
        <f>HYPERLINK("http://www.twitter.com/Song_Reeds", "Song_Reeds")</f>
        <v>Song_Reeds</v>
      </c>
      <c r="B7220" s="65" t="s">
        <v>517</v>
      </c>
    </row>
    <row r="7221" spans="1:2" x14ac:dyDescent="0.25">
      <c r="A7221" s="64" t="str">
        <f>HYPERLINK("http://www.twitter.com/euanr1980", "euanr1980")</f>
        <v>euanr1980</v>
      </c>
      <c r="B7221" s="65"/>
    </row>
    <row r="7222" spans="1:2" x14ac:dyDescent="0.25">
      <c r="A7222" s="64" t="str">
        <f>HYPERLINK("http://www.twitter.com/Ellanorlovecake", "Ellanorlovecake")</f>
        <v>Ellanorlovecake</v>
      </c>
      <c r="B7222" s="65" t="s">
        <v>477</v>
      </c>
    </row>
    <row r="7223" spans="1:2" x14ac:dyDescent="0.25">
      <c r="A7223" s="64" t="str">
        <f>HYPERLINK("http://www.twitter.com/PottsStuart", "PottsStuart")</f>
        <v>PottsStuart</v>
      </c>
      <c r="B7223" s="65"/>
    </row>
    <row r="7224" spans="1:2" x14ac:dyDescent="0.25">
      <c r="A7224" s="64" t="str">
        <f>HYPERLINK("http://www.twitter.com/Stemettes", "Stemettes")</f>
        <v>Stemettes</v>
      </c>
      <c r="B7224" s="65" t="s">
        <v>296</v>
      </c>
    </row>
    <row r="7225" spans="1:2" x14ac:dyDescent="0.25">
      <c r="A7225" s="64" t="str">
        <f>HYPERLINK("http://www.twitter.com/cerysviv", "cerysviv")</f>
        <v>cerysviv</v>
      </c>
      <c r="B7225" s="65" t="s">
        <v>6215</v>
      </c>
    </row>
    <row r="7226" spans="1:2" x14ac:dyDescent="0.25">
      <c r="A7226" s="64" t="str">
        <f>HYPERLINK("http://www.twitter.com/nonesjon", "nonesjon")</f>
        <v>nonesjon</v>
      </c>
      <c r="B7226" s="65"/>
    </row>
    <row r="7227" spans="1:2" x14ac:dyDescent="0.25">
      <c r="A7227" s="64" t="str">
        <f>HYPERLINK("http://www.twitter.com/Cherubreader4", "Cherubreader4")</f>
        <v>Cherubreader4</v>
      </c>
      <c r="B7227" s="65" t="s">
        <v>6216</v>
      </c>
    </row>
    <row r="7228" spans="1:2" x14ac:dyDescent="0.25">
      <c r="A7228" s="64" t="str">
        <f>HYPERLINK("http://www.twitter.com/Rhona_FG", "Rhona_FG")</f>
        <v>Rhona_FG</v>
      </c>
      <c r="B7228" s="65"/>
    </row>
    <row r="7229" spans="1:2" x14ac:dyDescent="0.25">
      <c r="A7229" s="64" t="str">
        <f>HYPERLINK("http://www.twitter.com/Cal_xox", "Cal_xox")</f>
        <v>Cal_xox</v>
      </c>
      <c r="B7229" s="65" t="s">
        <v>4167</v>
      </c>
    </row>
    <row r="7230" spans="1:2" x14ac:dyDescent="0.25">
      <c r="A7230" s="64" t="str">
        <f>HYPERLINK("http://www.twitter.com/PhilHubs1949", "PhilHubs1949")</f>
        <v>PhilHubs1949</v>
      </c>
      <c r="B7230" s="65"/>
    </row>
    <row r="7231" spans="1:2" x14ac:dyDescent="0.25">
      <c r="A7231" s="64" t="str">
        <f>HYPERLINK("http://www.twitter.com/rebeccamairbell", "rebeccamairbell")</f>
        <v>rebeccamairbell</v>
      </c>
      <c r="B7231" s="65"/>
    </row>
    <row r="7232" spans="1:2" x14ac:dyDescent="0.25">
      <c r="A7232" s="64" t="str">
        <f>HYPERLINK("http://www.twitter.com/Ruth_lawrie", "Ruth_lawrie")</f>
        <v>Ruth_lawrie</v>
      </c>
      <c r="B7232" s="65"/>
    </row>
    <row r="7233" spans="1:2" x14ac:dyDescent="0.25">
      <c r="A7233" s="64" t="str">
        <f>HYPERLINK("http://www.twitter.com/m_bosher", "m_bosher")</f>
        <v>m_bosher</v>
      </c>
      <c r="B7233" s="65"/>
    </row>
    <row r="7234" spans="1:2" x14ac:dyDescent="0.25">
      <c r="A7234" s="64" t="str">
        <f>HYPERLINK("http://www.twitter.com/RenLibraries", "RenLibraries")</f>
        <v>RenLibraries</v>
      </c>
      <c r="B7234" s="65" t="s">
        <v>6217</v>
      </c>
    </row>
    <row r="7235" spans="1:2" x14ac:dyDescent="0.25">
      <c r="A7235" s="64" t="str">
        <f>HYPERLINK("http://www.twitter.com/bethw1205", "bethw1205")</f>
        <v>bethw1205</v>
      </c>
      <c r="B7235" s="65" t="s">
        <v>5899</v>
      </c>
    </row>
    <row r="7236" spans="1:2" x14ac:dyDescent="0.25">
      <c r="A7236" s="64" t="str">
        <f>HYPERLINK("http://www.twitter.com/francescahardy", "francescahardy")</f>
        <v>francescahardy</v>
      </c>
      <c r="B7236" s="65" t="s">
        <v>6218</v>
      </c>
    </row>
    <row r="7237" spans="1:2" x14ac:dyDescent="0.25">
      <c r="A7237" s="64" t="str">
        <f>HYPERLINK("http://www.twitter.com/JeanMWilliams", "JeanMWilliams")</f>
        <v>JeanMWilliams</v>
      </c>
      <c r="B7237" s="65" t="s">
        <v>3559</v>
      </c>
    </row>
    <row r="7238" spans="1:2" x14ac:dyDescent="0.25">
      <c r="A7238" s="64" t="str">
        <f>HYPERLINK("http://www.twitter.com/Feesfliers", "Feesfliers")</f>
        <v>Feesfliers</v>
      </c>
      <c r="B7238" s="65" t="s">
        <v>318</v>
      </c>
    </row>
    <row r="7239" spans="1:2" x14ac:dyDescent="0.25">
      <c r="A7239" s="64" t="str">
        <f>HYPERLINK("http://www.twitter.com/IshbelMcF", "IshbelMcF")</f>
        <v>IshbelMcF</v>
      </c>
      <c r="B7239" s="65" t="s">
        <v>138</v>
      </c>
    </row>
    <row r="7240" spans="1:2" x14ac:dyDescent="0.25">
      <c r="A7240" s="64" t="str">
        <f>HYPERLINK("http://www.twitter.com/lottilancaster", "lottilancaster")</f>
        <v>lottilancaster</v>
      </c>
      <c r="B7240" s="65"/>
    </row>
    <row r="7241" spans="1:2" x14ac:dyDescent="0.25">
      <c r="A7241" s="64" t="str">
        <f>HYPERLINK("http://www.twitter.com/ChiefRipley", "ChiefRipley")</f>
        <v>ChiefRipley</v>
      </c>
      <c r="B7241" s="65" t="s">
        <v>4608</v>
      </c>
    </row>
    <row r="7242" spans="1:2" x14ac:dyDescent="0.25">
      <c r="A7242" s="64" t="str">
        <f>HYPERLINK("http://www.twitter.com/magmabooks", "magmabooks")</f>
        <v>magmabooks</v>
      </c>
      <c r="B7242" s="65" t="s">
        <v>6219</v>
      </c>
    </row>
    <row r="7243" spans="1:2" x14ac:dyDescent="0.25">
      <c r="A7243" s="64" t="str">
        <f>HYPERLINK("http://www.twitter.com/antmain", "antmain")</f>
        <v>antmain</v>
      </c>
      <c r="B7243" s="65"/>
    </row>
    <row r="7244" spans="1:2" x14ac:dyDescent="0.25">
      <c r="A7244" s="64" t="str">
        <f>HYPERLINK("http://www.twitter.com/AKoenraads", "AKoenraads")</f>
        <v>AKoenraads</v>
      </c>
      <c r="B7244" s="65" t="s">
        <v>2289</v>
      </c>
    </row>
    <row r="7245" spans="1:2" x14ac:dyDescent="0.25">
      <c r="A7245" s="64" t="str">
        <f>HYPERLINK("http://www.twitter.com/goodword96", "goodword96")</f>
        <v>goodword96</v>
      </c>
      <c r="B7245" s="65"/>
    </row>
    <row r="7246" spans="1:2" x14ac:dyDescent="0.25">
      <c r="A7246" s="64" t="str">
        <f>HYPERLINK("http://www.twitter.com/karajrichards", "karajrichards")</f>
        <v>karajrichards</v>
      </c>
      <c r="B7246" s="65" t="s">
        <v>1810</v>
      </c>
    </row>
    <row r="7247" spans="1:2" x14ac:dyDescent="0.25">
      <c r="A7247" s="64" t="str">
        <f>HYPERLINK("http://www.twitter.com/LaurencA1", "LaurencA1")</f>
        <v>LaurencA1</v>
      </c>
      <c r="B7247" s="65" t="s">
        <v>6220</v>
      </c>
    </row>
    <row r="7248" spans="1:2" x14ac:dyDescent="0.25">
      <c r="A7248" s="64" t="str">
        <f>HYPERLINK("http://www.twitter.com/florenceingleby", "florenceingleby")</f>
        <v>florenceingleby</v>
      </c>
      <c r="B7248" s="65" t="s">
        <v>24</v>
      </c>
    </row>
    <row r="7249" spans="1:2" x14ac:dyDescent="0.25">
      <c r="A7249" s="64" t="str">
        <f>HYPERLINK("http://www.twitter.com/guylambert14", "guylambert14")</f>
        <v>guylambert14</v>
      </c>
      <c r="B7249" s="65"/>
    </row>
    <row r="7250" spans="1:2" x14ac:dyDescent="0.25">
      <c r="A7250" s="64" t="str">
        <f>HYPERLINK("http://www.twitter.com/LigganLyn", "LigganLyn")</f>
        <v>LigganLyn</v>
      </c>
      <c r="B7250" s="65"/>
    </row>
    <row r="7251" spans="1:2" x14ac:dyDescent="0.25">
      <c r="A7251" s="64" t="str">
        <f>HYPERLINK("http://www.twitter.com/diva_or_div", "diva_or_div")</f>
        <v>diva_or_div</v>
      </c>
      <c r="B7251" s="65"/>
    </row>
    <row r="7252" spans="1:2" x14ac:dyDescent="0.25">
      <c r="A7252" s="64" t="str">
        <f>HYPERLINK("http://www.twitter.com/stephencampbll", "stephencampbll")</f>
        <v>stephencampbll</v>
      </c>
      <c r="B7252" s="65" t="s">
        <v>318</v>
      </c>
    </row>
    <row r="7253" spans="1:2" x14ac:dyDescent="0.25">
      <c r="A7253" s="64" t="str">
        <f>HYPERLINK("http://www.twitter.com/Rob_Eales", "Rob_Eales")</f>
        <v>Rob_Eales</v>
      </c>
      <c r="B7253" s="65" t="s">
        <v>4681</v>
      </c>
    </row>
    <row r="7254" spans="1:2" x14ac:dyDescent="0.25">
      <c r="A7254" s="64" t="str">
        <f>HYPERLINK("http://www.twitter.com/tomrice10", "tomrice10")</f>
        <v>tomrice10</v>
      </c>
      <c r="B7254" s="65"/>
    </row>
    <row r="7255" spans="1:2" x14ac:dyDescent="0.25">
      <c r="A7255" s="64" t="str">
        <f>HYPERLINK("http://www.twitter.com/histliverpool", "histliverpool")</f>
        <v>histliverpool</v>
      </c>
      <c r="B7255" s="65" t="s">
        <v>642</v>
      </c>
    </row>
    <row r="7256" spans="1:2" x14ac:dyDescent="0.25">
      <c r="A7256" s="64" t="str">
        <f>HYPERLINK("http://www.twitter.com/magnuspop", "magnuspop")</f>
        <v>magnuspop</v>
      </c>
      <c r="B7256" s="65" t="s">
        <v>318</v>
      </c>
    </row>
    <row r="7257" spans="1:2" x14ac:dyDescent="0.25">
      <c r="A7257" s="64" t="str">
        <f>HYPERLINK("http://www.twitter.com/b_minish", "b_minish")</f>
        <v>b_minish</v>
      </c>
      <c r="B7257" s="65" t="s">
        <v>6221</v>
      </c>
    </row>
    <row r="7258" spans="1:2" x14ac:dyDescent="0.25">
      <c r="A7258" s="64" t="str">
        <f>HYPERLINK("http://www.twitter.com/Saffy_lee", "Saffy_lee")</f>
        <v>Saffy_lee</v>
      </c>
      <c r="B7258" s="65"/>
    </row>
    <row r="7259" spans="1:2" x14ac:dyDescent="0.25">
      <c r="A7259" s="64" t="str">
        <f>HYPERLINK("http://www.twitter.com/sheltie79", "sheltie79")</f>
        <v>sheltie79</v>
      </c>
      <c r="B7259" s="65" t="s">
        <v>115</v>
      </c>
    </row>
    <row r="7260" spans="1:2" x14ac:dyDescent="0.25">
      <c r="A7260" s="64" t="str">
        <f>HYPERLINK("http://www.twitter.com/lobb_ian", "lobb_ian")</f>
        <v>lobb_ian</v>
      </c>
      <c r="B7260" s="65" t="s">
        <v>135</v>
      </c>
    </row>
    <row r="7261" spans="1:2" x14ac:dyDescent="0.25">
      <c r="A7261" s="64" t="str">
        <f>HYPERLINK("http://www.twitter.com/MamphOfMischief", "MamphOfMischief")</f>
        <v>MamphOfMischief</v>
      </c>
      <c r="B7261" s="65" t="s">
        <v>318</v>
      </c>
    </row>
    <row r="7262" spans="1:2" x14ac:dyDescent="0.25">
      <c r="A7262" s="64" t="str">
        <f>HYPERLINK("http://www.twitter.com/mmcm86", "mmcm86")</f>
        <v>mmcm86</v>
      </c>
      <c r="B7262" s="65" t="s">
        <v>135</v>
      </c>
    </row>
    <row r="7263" spans="1:2" x14ac:dyDescent="0.25">
      <c r="A7263" s="64" t="str">
        <f>HYPERLINK("http://www.twitter.com/mudnedd", "mudnedd")</f>
        <v>mudnedd</v>
      </c>
      <c r="B7263" s="65" t="s">
        <v>517</v>
      </c>
    </row>
    <row r="7264" spans="1:2" x14ac:dyDescent="0.25">
      <c r="A7264" s="64" t="str">
        <f>HYPERLINK("http://www.twitter.com/works4muppets", "works4muppets")</f>
        <v>works4muppets</v>
      </c>
      <c r="B7264" s="65"/>
    </row>
    <row r="7265" spans="1:2" x14ac:dyDescent="0.25">
      <c r="A7265" s="64" t="str">
        <f>HYPERLINK("http://www.twitter.com/DiggedyDan", "DiggedyDan")</f>
        <v>DiggedyDan</v>
      </c>
      <c r="B7265" s="65"/>
    </row>
    <row r="7266" spans="1:2" x14ac:dyDescent="0.25">
      <c r="A7266" s="64" t="str">
        <f>HYPERLINK("http://www.twitter.com/papag863", "papag863")</f>
        <v>papag863</v>
      </c>
      <c r="B7266" s="65" t="s">
        <v>6222</v>
      </c>
    </row>
    <row r="7267" spans="1:2" x14ac:dyDescent="0.25">
      <c r="A7267" s="64" t="str">
        <f>HYPERLINK("http://www.twitter.com/BarnabyReed", "BarnabyReed")</f>
        <v>BarnabyReed</v>
      </c>
      <c r="B7267" s="65" t="s">
        <v>24</v>
      </c>
    </row>
    <row r="7268" spans="1:2" x14ac:dyDescent="0.25">
      <c r="A7268" s="64" t="str">
        <f>HYPERLINK("http://www.twitter.com/NudgeCloud", "NudgeCloud")</f>
        <v>NudgeCloud</v>
      </c>
      <c r="B7268" s="65" t="s">
        <v>5086</v>
      </c>
    </row>
    <row r="7269" spans="1:2" x14ac:dyDescent="0.25">
      <c r="A7269" s="64" t="str">
        <f>HYPERLINK("http://www.twitter.com/CescaMc", "CescaMc")</f>
        <v>CescaMc</v>
      </c>
      <c r="B7269" s="65" t="s">
        <v>2864</v>
      </c>
    </row>
    <row r="7270" spans="1:2" x14ac:dyDescent="0.25">
      <c r="A7270" s="64" t="str">
        <f>HYPERLINK("http://www.twitter.com/ThomasBrewer2", "ThomasBrewer2")</f>
        <v>ThomasBrewer2</v>
      </c>
      <c r="B7270" s="65"/>
    </row>
    <row r="7271" spans="1:2" x14ac:dyDescent="0.25">
      <c r="A7271" s="64" t="str">
        <f>HYPERLINK("http://www.twitter.com/LisaJaneMaria", "LisaJaneMaria")</f>
        <v>LisaJaneMaria</v>
      </c>
      <c r="B7271" s="65" t="s">
        <v>6223</v>
      </c>
    </row>
    <row r="7272" spans="1:2" x14ac:dyDescent="0.25">
      <c r="A7272" s="64" t="str">
        <f>HYPERLINK("http://www.twitter.com/CW185", "CW185")</f>
        <v>CW185</v>
      </c>
      <c r="B7272" s="65" t="s">
        <v>526</v>
      </c>
    </row>
    <row r="7273" spans="1:2" x14ac:dyDescent="0.25">
      <c r="A7273" s="64" t="str">
        <f>HYPERLINK("http://www.twitter.com/gig_lamp", "gig_lamp")</f>
        <v>gig_lamp</v>
      </c>
      <c r="B7273" s="65" t="s">
        <v>424</v>
      </c>
    </row>
    <row r="7274" spans="1:2" x14ac:dyDescent="0.25">
      <c r="A7274" s="64" t="str">
        <f>HYPERLINK("http://www.twitter.com/RosalindErskine", "RosalindErskine")</f>
        <v>RosalindErskine</v>
      </c>
      <c r="B7274" s="65"/>
    </row>
    <row r="7275" spans="1:2" x14ac:dyDescent="0.25">
      <c r="A7275" s="64" t="str">
        <f>HYPERLINK("http://www.twitter.com/bibendumwine", "bibendumwine")</f>
        <v>bibendumwine</v>
      </c>
      <c r="B7275" s="65" t="s">
        <v>6224</v>
      </c>
    </row>
    <row r="7276" spans="1:2" x14ac:dyDescent="0.25">
      <c r="A7276" s="64" t="str">
        <f>HYPERLINK("http://www.twitter.com/Corra_B", "Corra_B")</f>
        <v>Corra_B</v>
      </c>
      <c r="B7276" s="65" t="s">
        <v>1295</v>
      </c>
    </row>
    <row r="7277" spans="1:2" x14ac:dyDescent="0.25">
      <c r="A7277" s="64" t="str">
        <f>HYPERLINK("http://www.twitter.com/endaguinan", "endaguinan")</f>
        <v>endaguinan</v>
      </c>
      <c r="B7277" s="65" t="s">
        <v>36</v>
      </c>
    </row>
    <row r="7278" spans="1:2" x14ac:dyDescent="0.25">
      <c r="A7278" s="64" t="str">
        <f>HYPERLINK("http://www.twitter.com/MeMacbeth", "MeMacbeth")</f>
        <v>MeMacbeth</v>
      </c>
      <c r="B7278" s="65" t="s">
        <v>517</v>
      </c>
    </row>
    <row r="7279" spans="1:2" x14ac:dyDescent="0.25">
      <c r="A7279" s="64" t="str">
        <f>HYPERLINK("http://www.twitter.com/jenniferopoulos", "jenniferopoulos")</f>
        <v>jenniferopoulos</v>
      </c>
      <c r="B7279" s="65" t="s">
        <v>36</v>
      </c>
    </row>
    <row r="7280" spans="1:2" x14ac:dyDescent="0.25">
      <c r="A7280" s="64" t="str">
        <f>HYPERLINK("http://www.twitter.com/ogmog", "ogmog")</f>
        <v>ogmog</v>
      </c>
      <c r="B7280" s="65" t="s">
        <v>5522</v>
      </c>
    </row>
    <row r="7281" spans="1:2" x14ac:dyDescent="0.25">
      <c r="A7281" s="64" t="str">
        <f>HYPERLINK("http://www.twitter.com/OliverWestgarth", "OliverWestgarth")</f>
        <v>OliverWestgarth</v>
      </c>
      <c r="B7281" s="65" t="s">
        <v>6225</v>
      </c>
    </row>
    <row r="7282" spans="1:2" x14ac:dyDescent="0.25">
      <c r="A7282" s="64" t="str">
        <f>HYPERLINK("http://www.twitter.com/VickyLiddiard", "VickyLiddiard")</f>
        <v>VickyLiddiard</v>
      </c>
      <c r="B7282" s="65"/>
    </row>
    <row r="7283" spans="1:2" x14ac:dyDescent="0.25">
      <c r="A7283" s="64" t="str">
        <f>HYPERLINK("http://www.twitter.com/MicheleSeren", "MicheleSeren")</f>
        <v>MicheleSeren</v>
      </c>
      <c r="B7283" s="65" t="s">
        <v>1218</v>
      </c>
    </row>
    <row r="7284" spans="1:2" x14ac:dyDescent="0.25">
      <c r="A7284" s="64" t="str">
        <f>HYPERLINK("http://www.twitter.com/Scootlondon", "Scootlondon")</f>
        <v>Scootlondon</v>
      </c>
      <c r="B7284" s="65" t="s">
        <v>6226</v>
      </c>
    </row>
    <row r="7285" spans="1:2" x14ac:dyDescent="0.25">
      <c r="A7285" s="64" t="str">
        <f>HYPERLINK("http://www.twitter.com/SarahMcManus11", "SarahMcManus11")</f>
        <v>SarahMcManus11</v>
      </c>
      <c r="B7285" s="65"/>
    </row>
    <row r="7286" spans="1:2" x14ac:dyDescent="0.25">
      <c r="A7286" s="64" t="str">
        <f>HYPERLINK("http://www.twitter.com/ClaireLomas3", "ClaireLomas3")</f>
        <v>ClaireLomas3</v>
      </c>
      <c r="B7286" s="65"/>
    </row>
    <row r="7287" spans="1:2" x14ac:dyDescent="0.25">
      <c r="A7287" s="64" t="str">
        <f>HYPERLINK("http://www.twitter.com/OpenedEar", "OpenedEar")</f>
        <v>OpenedEar</v>
      </c>
      <c r="B7287" s="65" t="s">
        <v>3317</v>
      </c>
    </row>
    <row r="7288" spans="1:2" x14ac:dyDescent="0.25">
      <c r="A7288" s="64" t="str">
        <f>HYPERLINK("http://www.twitter.com/CairnPhysio", "CairnPhysio")</f>
        <v>CairnPhysio</v>
      </c>
      <c r="B7288" s="65" t="s">
        <v>138</v>
      </c>
    </row>
    <row r="7289" spans="1:2" x14ac:dyDescent="0.25">
      <c r="A7289" s="64" t="str">
        <f>HYPERLINK("http://www.twitter.com/vixtabooble", "vixtabooble")</f>
        <v>vixtabooble</v>
      </c>
      <c r="B7289" s="65" t="s">
        <v>5301</v>
      </c>
    </row>
    <row r="7290" spans="1:2" x14ac:dyDescent="0.25">
      <c r="A7290" s="64" t="str">
        <f>HYPERLINK("http://www.twitter.com/velfalconer", "velfalconer")</f>
        <v>velfalconer</v>
      </c>
      <c r="B7290" s="65" t="s">
        <v>6227</v>
      </c>
    </row>
    <row r="7291" spans="1:2" x14ac:dyDescent="0.25">
      <c r="A7291" s="64" t="str">
        <f>HYPERLINK("http://www.twitter.com/ProjectOrcades", "ProjectOrcades")</f>
        <v>ProjectOrcades</v>
      </c>
      <c r="B7291" s="65" t="s">
        <v>20</v>
      </c>
    </row>
    <row r="7292" spans="1:2" x14ac:dyDescent="0.25">
      <c r="A7292" s="64" t="str">
        <f>HYPERLINK("http://www.twitter.com/nwchap", "nwchap")</f>
        <v>nwchap</v>
      </c>
      <c r="B7292" s="65" t="s">
        <v>6228</v>
      </c>
    </row>
    <row r="7293" spans="1:2" x14ac:dyDescent="0.25">
      <c r="A7293" s="64" t="str">
        <f>HYPERLINK("http://www.twitter.com/cerysmatthews", "cerysmatthews")</f>
        <v>cerysmatthews</v>
      </c>
      <c r="B7293" s="65" t="s">
        <v>6229</v>
      </c>
    </row>
    <row r="7294" spans="1:2" x14ac:dyDescent="0.25">
      <c r="A7294" s="64" t="str">
        <f>HYPERLINK("http://www.twitter.com/PaulDuckmanton", "PaulDuckmanton")</f>
        <v>PaulDuckmanton</v>
      </c>
      <c r="B7294" s="65" t="s">
        <v>6230</v>
      </c>
    </row>
    <row r="7295" spans="1:2" x14ac:dyDescent="0.25">
      <c r="A7295" s="64" t="str">
        <f>HYPERLINK("http://www.twitter.com/Talal_KSU", "Talal_KSU")</f>
        <v>Talal_KSU</v>
      </c>
      <c r="B7295" s="65" t="s">
        <v>5171</v>
      </c>
    </row>
    <row r="7296" spans="1:2" x14ac:dyDescent="0.25">
      <c r="A7296" s="64" t="str">
        <f>HYPERLINK("http://www.twitter.com/OrendaBooks", "OrendaBooks")</f>
        <v>OrendaBooks</v>
      </c>
      <c r="B7296" s="65" t="s">
        <v>110</v>
      </c>
    </row>
    <row r="7297" spans="1:2" x14ac:dyDescent="0.25">
      <c r="A7297" s="64" t="str">
        <f>HYPERLINK("http://www.twitter.com/WeeScottFletch", "WeeScottFletch")</f>
        <v>WeeScottFletch</v>
      </c>
      <c r="B7297" s="65" t="s">
        <v>2007</v>
      </c>
    </row>
    <row r="7298" spans="1:2" x14ac:dyDescent="0.25">
      <c r="A7298" s="64" t="str">
        <f>HYPERLINK("http://www.twitter.com/karencotter10", "karencotter10")</f>
        <v>karencotter10</v>
      </c>
      <c r="B7298" s="65" t="s">
        <v>517</v>
      </c>
    </row>
    <row r="7299" spans="1:2" x14ac:dyDescent="0.25">
      <c r="A7299" s="64" t="str">
        <f>HYPERLINK("http://www.twitter.com/R1tchieD", "R1tchieD")</f>
        <v>R1tchieD</v>
      </c>
      <c r="B7299" s="65"/>
    </row>
    <row r="7300" spans="1:2" x14ac:dyDescent="0.25">
      <c r="A7300" s="64" t="str">
        <f>HYPERLINK("http://www.twitter.com/whis_pea", "whis_pea")</f>
        <v>whis_pea</v>
      </c>
      <c r="B7300" s="65" t="s">
        <v>5591</v>
      </c>
    </row>
    <row r="7301" spans="1:2" x14ac:dyDescent="0.25">
      <c r="A7301" s="64" t="str">
        <f>HYPERLINK("http://www.twitter.com/saturnsgaze", "saturnsgaze")</f>
        <v>saturnsgaze</v>
      </c>
      <c r="B7301" s="65" t="s">
        <v>2007</v>
      </c>
    </row>
    <row r="7302" spans="1:2" x14ac:dyDescent="0.25">
      <c r="A7302" s="64" t="str">
        <f>HYPERLINK("http://www.twitter.com/thesquibsquib", "thesquibsquib")</f>
        <v>thesquibsquib</v>
      </c>
      <c r="B7302" s="65" t="s">
        <v>6231</v>
      </c>
    </row>
    <row r="7303" spans="1:2" x14ac:dyDescent="0.25">
      <c r="A7303" s="64" t="str">
        <f>HYPERLINK("http://www.twitter.com/ShingvWorld", "ShingvWorld")</f>
        <v>ShingvWorld</v>
      </c>
      <c r="B7303" s="65"/>
    </row>
    <row r="7304" spans="1:2" x14ac:dyDescent="0.25">
      <c r="A7304" s="64" t="str">
        <f>HYPERLINK("http://www.twitter.com/DougieClark", "DougieClark")</f>
        <v>DougieClark</v>
      </c>
      <c r="B7304" s="65" t="s">
        <v>4019</v>
      </c>
    </row>
    <row r="7305" spans="1:2" x14ac:dyDescent="0.25">
      <c r="A7305" s="64" t="str">
        <f>HYPERLINK("http://www.twitter.com/dadahornet", "dadahornet")</f>
        <v>dadahornet</v>
      </c>
      <c r="B7305" s="65" t="s">
        <v>3262</v>
      </c>
    </row>
    <row r="7306" spans="1:2" x14ac:dyDescent="0.25">
      <c r="A7306" s="64" t="str">
        <f>HYPERLINK("http://www.twitter.com/gardengirllucy", "gardengirllucy")</f>
        <v>gardengirllucy</v>
      </c>
      <c r="B7306" s="65" t="s">
        <v>953</v>
      </c>
    </row>
    <row r="7307" spans="1:2" x14ac:dyDescent="0.25">
      <c r="A7307" s="64" t="str">
        <f>HYPERLINK("http://www.twitter.com/Becca_JF21", "Becca_JF21")</f>
        <v>Becca_JF21</v>
      </c>
      <c r="B7307" s="65" t="s">
        <v>1295</v>
      </c>
    </row>
    <row r="7308" spans="1:2" x14ac:dyDescent="0.25">
      <c r="A7308" s="64" t="str">
        <f>HYPERLINK("http://www.twitter.com/goth_librarian", "goth_librarian")</f>
        <v>goth_librarian</v>
      </c>
      <c r="B7308" s="65"/>
    </row>
    <row r="7309" spans="1:2" x14ac:dyDescent="0.25">
      <c r="A7309" s="64" t="str">
        <f>HYPERLINK("http://www.twitter.com/huttcitylibs", "huttcitylibs")</f>
        <v>huttcitylibs</v>
      </c>
      <c r="B7309" s="65" t="s">
        <v>5728</v>
      </c>
    </row>
    <row r="7310" spans="1:2" x14ac:dyDescent="0.25">
      <c r="A7310" s="64" t="str">
        <f>HYPERLINK("http://www.twitter.com/SophieKnight01", "SophieKnight01")</f>
        <v>SophieKnight01</v>
      </c>
      <c r="B7310" s="65" t="s">
        <v>6195</v>
      </c>
    </row>
    <row r="7311" spans="1:2" x14ac:dyDescent="0.25">
      <c r="A7311" s="64" t="str">
        <f>HYPERLINK("http://www.twitter.com/richard_baker", "richard_baker")</f>
        <v>richard_baker</v>
      </c>
      <c r="B7311" s="65" t="s">
        <v>70</v>
      </c>
    </row>
    <row r="7312" spans="1:2" x14ac:dyDescent="0.25">
      <c r="A7312" s="64" t="str">
        <f>HYPERLINK("http://www.twitter.com/bibdsl", "bibdsl")</f>
        <v>bibdsl</v>
      </c>
      <c r="B7312" s="65" t="s">
        <v>1455</v>
      </c>
    </row>
    <row r="7313" spans="1:2" x14ac:dyDescent="0.25">
      <c r="A7313" s="64" t="str">
        <f>HYPERLINK("http://www.twitter.com/Anjuman004", "Anjuman004")</f>
        <v>Anjuman004</v>
      </c>
      <c r="B7313" s="65" t="s">
        <v>4581</v>
      </c>
    </row>
    <row r="7314" spans="1:2" x14ac:dyDescent="0.25">
      <c r="A7314" s="64" t="str">
        <f>HYPERLINK("http://www.twitter.com/jhopkins_author", "jhopkins_author")</f>
        <v>jhopkins_author</v>
      </c>
      <c r="B7314" s="65" t="s">
        <v>1739</v>
      </c>
    </row>
    <row r="7315" spans="1:2" x14ac:dyDescent="0.25">
      <c r="A7315" s="64" t="str">
        <f>HYPERLINK("http://www.twitter.com/deirdrerusling", "deirdrerusling")</f>
        <v>deirdrerusling</v>
      </c>
      <c r="B7315" s="65"/>
    </row>
    <row r="7316" spans="1:2" x14ac:dyDescent="0.25">
      <c r="A7316" s="64" t="str">
        <f>HYPERLINK("http://www.twitter.com/nicky_beach1", "nicky_beach1")</f>
        <v>nicky_beach1</v>
      </c>
      <c r="B7316" s="65"/>
    </row>
    <row r="7317" spans="1:2" x14ac:dyDescent="0.25">
      <c r="A7317" s="64" t="str">
        <f>HYPERLINK("http://www.twitter.com/waywardjibe", "waywardjibe")</f>
        <v>waywardjibe</v>
      </c>
      <c r="B7317" s="65"/>
    </row>
    <row r="7318" spans="1:2" x14ac:dyDescent="0.25">
      <c r="A7318" s="64" t="str">
        <f>HYPERLINK("http://www.twitter.com/Eejayshaw", "Eejayshaw")</f>
        <v>Eejayshaw</v>
      </c>
      <c r="B7318" s="65" t="s">
        <v>6232</v>
      </c>
    </row>
    <row r="7319" spans="1:2" x14ac:dyDescent="0.25">
      <c r="A7319" s="64" t="str">
        <f>HYPERLINK("http://www.twitter.com/LussSmokehouse", "LussSmokehouse")</f>
        <v>LussSmokehouse</v>
      </c>
      <c r="B7319" s="65" t="s">
        <v>6233</v>
      </c>
    </row>
    <row r="7320" spans="1:2" x14ac:dyDescent="0.25">
      <c r="A7320" s="64" t="str">
        <f>HYPERLINK("http://www.twitter.com/laeniluap", "laeniluap")</f>
        <v>laeniluap</v>
      </c>
      <c r="B7320" s="65"/>
    </row>
    <row r="7321" spans="1:2" x14ac:dyDescent="0.25">
      <c r="A7321" s="64" t="str">
        <f>HYPERLINK("http://www.twitter.com/PigeonG", "PigeonG")</f>
        <v>PigeonG</v>
      </c>
      <c r="B7321" s="65" t="s">
        <v>6234</v>
      </c>
    </row>
    <row r="7322" spans="1:2" x14ac:dyDescent="0.25">
      <c r="A7322" s="64" t="str">
        <f>HYPERLINK("http://www.twitter.com/j0quinn", "j0quinn")</f>
        <v>j0quinn</v>
      </c>
      <c r="B7322" s="65" t="s">
        <v>138</v>
      </c>
    </row>
    <row r="7323" spans="1:2" x14ac:dyDescent="0.25">
      <c r="A7323" s="64" t="str">
        <f>HYPERLINK("http://www.twitter.com/alanrafferty", "alanrafferty")</f>
        <v>alanrafferty</v>
      </c>
      <c r="B7323" s="65" t="s">
        <v>6235</v>
      </c>
    </row>
    <row r="7324" spans="1:2" x14ac:dyDescent="0.25">
      <c r="A7324" s="64" t="str">
        <f>HYPERLINK("http://www.twitter.com/leavesandloves", "leavesandloves")</f>
        <v>leavesandloves</v>
      </c>
      <c r="B7324" s="65" t="s">
        <v>6236</v>
      </c>
    </row>
    <row r="7325" spans="1:2" x14ac:dyDescent="0.25">
      <c r="A7325" s="64" t="str">
        <f>HYPERLINK("http://www.twitter.com/seemescotland", "seemescotland")</f>
        <v>seemescotland</v>
      </c>
      <c r="B7325" s="65" t="s">
        <v>4285</v>
      </c>
    </row>
    <row r="7326" spans="1:2" x14ac:dyDescent="0.25">
      <c r="A7326" s="64" t="str">
        <f>HYPERLINK("http://www.twitter.com/timcore", "timcore")</f>
        <v>timcore</v>
      </c>
      <c r="B7326" s="65" t="s">
        <v>6237</v>
      </c>
    </row>
    <row r="7327" spans="1:2" x14ac:dyDescent="0.25">
      <c r="A7327" s="64" t="str">
        <f>HYPERLINK("http://www.twitter.com/RobKeeleyAuthor", "RobKeeleyAuthor")</f>
        <v>RobKeeleyAuthor</v>
      </c>
      <c r="B7327" s="65" t="s">
        <v>6238</v>
      </c>
    </row>
    <row r="7328" spans="1:2" x14ac:dyDescent="0.25">
      <c r="A7328" s="64" t="str">
        <f>HYPERLINK("http://www.twitter.com/UoEShortCourses", "UoEShortCourses")</f>
        <v>UoEShortCourses</v>
      </c>
      <c r="B7328" s="65" t="s">
        <v>6239</v>
      </c>
    </row>
    <row r="7329" spans="1:2" x14ac:dyDescent="0.25">
      <c r="A7329" s="64" t="str">
        <f>HYPERLINK("http://www.twitter.com/scarlet_thistle", "scarlet_thistle")</f>
        <v>scarlet_thistle</v>
      </c>
      <c r="B7329" s="65" t="s">
        <v>24</v>
      </c>
    </row>
    <row r="7330" spans="1:2" x14ac:dyDescent="0.25">
      <c r="A7330" s="64" t="str">
        <f>HYPERLINK("http://www.twitter.com/Ange_B75", "Ange_B75")</f>
        <v>Ange_B75</v>
      </c>
      <c r="B7330" s="65"/>
    </row>
    <row r="7331" spans="1:2" x14ac:dyDescent="0.25">
      <c r="A7331" s="64" t="str">
        <f>HYPERLINK("http://www.twitter.com/stadtbueduedorf", "stadtbueduedorf")</f>
        <v>stadtbueduedorf</v>
      </c>
      <c r="B7331" s="65" t="s">
        <v>6240</v>
      </c>
    </row>
    <row r="7332" spans="1:2" x14ac:dyDescent="0.25">
      <c r="A7332" s="64" t="str">
        <f>HYPERLINK("http://www.twitter.com/GoldRidge1", "GoldRidge1")</f>
        <v>GoldRidge1</v>
      </c>
      <c r="B7332" s="65"/>
    </row>
    <row r="7333" spans="1:2" x14ac:dyDescent="0.25">
      <c r="A7333" s="64" t="str">
        <f>HYPERLINK("http://www.twitter.com/hifilmguild", "hifilmguild")</f>
        <v>hifilmguild</v>
      </c>
      <c r="B7333" s="65" t="s">
        <v>318</v>
      </c>
    </row>
    <row r="7334" spans="1:2" x14ac:dyDescent="0.25">
      <c r="A7334" s="64" t="str">
        <f>HYPERLINK("http://www.twitter.com/publishingtalk", "publishingtalk")</f>
        <v>publishingtalk</v>
      </c>
      <c r="B7334" s="65" t="s">
        <v>36</v>
      </c>
    </row>
    <row r="7335" spans="1:2" x14ac:dyDescent="0.25">
      <c r="A7335" s="64" t="str">
        <f>HYPERLINK("http://www.twitter.com/johnniewifi", "johnniewifi")</f>
        <v>johnniewifi</v>
      </c>
      <c r="B7335" s="65"/>
    </row>
    <row r="7336" spans="1:2" x14ac:dyDescent="0.25">
      <c r="A7336" s="64" t="str">
        <f>HYPERLINK("http://www.twitter.com/FatRugbyFan", "FatRugbyFan")</f>
        <v>FatRugbyFan</v>
      </c>
      <c r="B7336" s="65" t="s">
        <v>477</v>
      </c>
    </row>
    <row r="7337" spans="1:2" x14ac:dyDescent="0.25">
      <c r="A7337" s="64" t="str">
        <f>HYPERLINK("http://www.twitter.com/mandaclosier", "mandaclosier")</f>
        <v>mandaclosier</v>
      </c>
      <c r="B7337" s="65" t="s">
        <v>6101</v>
      </c>
    </row>
    <row r="7338" spans="1:2" x14ac:dyDescent="0.25">
      <c r="A7338" s="64" t="str">
        <f>HYPERLINK("http://www.twitter.com/makingtracks_uk", "makingtracks_uk")</f>
        <v>makingtracks_uk</v>
      </c>
      <c r="B7338" s="65" t="s">
        <v>296</v>
      </c>
    </row>
    <row r="7339" spans="1:2" x14ac:dyDescent="0.25">
      <c r="A7339" s="64" t="str">
        <f>HYPERLINK("http://www.twitter.com/YouthLinkScot", "YouthLinkScot")</f>
        <v>YouthLinkScot</v>
      </c>
      <c r="B7339" s="65" t="s">
        <v>2007</v>
      </c>
    </row>
    <row r="7340" spans="1:2" x14ac:dyDescent="0.25">
      <c r="A7340" s="64" t="str">
        <f>HYPERLINK("http://www.twitter.com/PeterOwenPubs", "PeterOwenPubs")</f>
        <v>PeterOwenPubs</v>
      </c>
      <c r="B7340" s="65" t="s">
        <v>110</v>
      </c>
    </row>
    <row r="7341" spans="1:2" x14ac:dyDescent="0.25">
      <c r="A7341" s="64" t="str">
        <f>HYPERLINK("http://www.twitter.com/amur2029", "amur2029")</f>
        <v>amur2029</v>
      </c>
      <c r="B7341" s="65"/>
    </row>
    <row r="7342" spans="1:2" x14ac:dyDescent="0.25">
      <c r="A7342" s="64" t="str">
        <f>HYPERLINK("http://www.twitter.com/WithEverything", "WithEverything")</f>
        <v>WithEverything</v>
      </c>
      <c r="B7342" s="65" t="s">
        <v>6241</v>
      </c>
    </row>
    <row r="7343" spans="1:2" x14ac:dyDescent="0.25">
      <c r="A7343" s="64" t="str">
        <f>HYPERLINK("http://www.twitter.com/svandagr", "svandagr")</f>
        <v>svandagr</v>
      </c>
      <c r="B7343" s="65"/>
    </row>
    <row r="7344" spans="1:2" x14ac:dyDescent="0.25">
      <c r="A7344" s="64" t="str">
        <f>HYPERLINK("http://www.twitter.com/BNuppereast", "BNuppereast")</f>
        <v>BNuppereast</v>
      </c>
      <c r="B7344" s="65" t="s">
        <v>3998</v>
      </c>
    </row>
    <row r="7345" spans="1:2" x14ac:dyDescent="0.25">
      <c r="A7345" s="64" t="str">
        <f>HYPERLINK("http://www.twitter.com/MamurphyMaureen", "MamurphyMaureen")</f>
        <v>MamurphyMaureen</v>
      </c>
      <c r="B7345" s="65" t="s">
        <v>6242</v>
      </c>
    </row>
    <row r="7346" spans="1:2" x14ac:dyDescent="0.25">
      <c r="A7346" s="64" t="str">
        <f>HYPERLINK("http://www.twitter.com/MareeToddSNP", "MareeToddSNP")</f>
        <v>MareeToddSNP</v>
      </c>
      <c r="B7346" s="65" t="s">
        <v>6243</v>
      </c>
    </row>
    <row r="7347" spans="1:2" x14ac:dyDescent="0.25">
      <c r="A7347" s="64" t="str">
        <f>HYPERLINK("http://www.twitter.com/Angie_Spoto", "Angie_Spoto")</f>
        <v>Angie_Spoto</v>
      </c>
      <c r="B7347" s="65" t="s">
        <v>318</v>
      </c>
    </row>
    <row r="7348" spans="1:2" x14ac:dyDescent="0.25">
      <c r="A7348" s="64" t="str">
        <f>HYPERLINK("http://www.twitter.com/ScotlandBizHour", "ScotlandBizHour")</f>
        <v>ScotlandBizHour</v>
      </c>
      <c r="B7348" s="65" t="s">
        <v>2007</v>
      </c>
    </row>
    <row r="7349" spans="1:2" x14ac:dyDescent="0.25">
      <c r="A7349" s="64" t="str">
        <f>HYPERLINK("http://www.twitter.com/RadioENRG", "RadioENRG")</f>
        <v>RadioENRG</v>
      </c>
      <c r="B7349" s="65" t="s">
        <v>6244</v>
      </c>
    </row>
    <row r="7350" spans="1:2" x14ac:dyDescent="0.25">
      <c r="A7350" s="64" t="str">
        <f>HYPERLINK("http://www.twitter.com/AimeeELloyd", "AimeeELloyd")</f>
        <v>AimeeELloyd</v>
      </c>
      <c r="B7350" s="65" t="s">
        <v>1295</v>
      </c>
    </row>
    <row r="7351" spans="1:2" x14ac:dyDescent="0.25">
      <c r="A7351" s="64" t="str">
        <f>HYPERLINK("http://www.twitter.com/TheKerryFund", "TheKerryFund")</f>
        <v>TheKerryFund</v>
      </c>
      <c r="B7351" s="65" t="s">
        <v>4503</v>
      </c>
    </row>
    <row r="7352" spans="1:2" x14ac:dyDescent="0.25">
      <c r="A7352" s="64" t="str">
        <f>HYPERLINK("http://www.twitter.com/libbyywca", "libbyywca")</f>
        <v>libbyywca</v>
      </c>
      <c r="B7352" s="65" t="s">
        <v>318</v>
      </c>
    </row>
    <row r="7353" spans="1:2" x14ac:dyDescent="0.25">
      <c r="A7353" s="64" t="str">
        <f>HYPERLINK("http://www.twitter.com/crystallyn", "crystallyn")</f>
        <v>crystallyn</v>
      </c>
      <c r="B7353" s="65" t="s">
        <v>4174</v>
      </c>
    </row>
    <row r="7354" spans="1:2" x14ac:dyDescent="0.25">
      <c r="A7354" s="64" t="str">
        <f>HYPERLINK("http://www.twitter.com/JennyLongmuir", "JennyLongmuir")</f>
        <v>JennyLongmuir</v>
      </c>
      <c r="B7354" s="65"/>
    </row>
    <row r="7355" spans="1:2" x14ac:dyDescent="0.25">
      <c r="A7355" s="64" t="str">
        <f>HYPERLINK("http://www.twitter.com/fruttidimare_", "fruttidimare_")</f>
        <v>fruttidimare_</v>
      </c>
      <c r="B7355" s="65" t="s">
        <v>93</v>
      </c>
    </row>
    <row r="7356" spans="1:2" x14ac:dyDescent="0.25">
      <c r="A7356" s="64" t="str">
        <f>HYPERLINK("http://www.twitter.com/jcg_library", "jcg_library")</f>
        <v>jcg_library</v>
      </c>
      <c r="B7356" s="65" t="s">
        <v>6245</v>
      </c>
    </row>
    <row r="7357" spans="1:2" x14ac:dyDescent="0.25">
      <c r="A7357" s="64" t="str">
        <f>HYPERLINK("http://www.twitter.com/DonnaFlett", "DonnaFlett")</f>
        <v>DonnaFlett</v>
      </c>
      <c r="B7357" s="65"/>
    </row>
    <row r="7358" spans="1:2" x14ac:dyDescent="0.25">
      <c r="A7358" s="64" t="str">
        <f>HYPERLINK("http://www.twitter.com/malonepoetry", "malonepoetry")</f>
        <v>malonepoetry</v>
      </c>
      <c r="B7358" s="65" t="s">
        <v>296</v>
      </c>
    </row>
    <row r="7359" spans="1:2" x14ac:dyDescent="0.25">
      <c r="A7359" s="64" t="str">
        <f>HYPERLINK("http://www.twitter.com/EmilyGlass76", "EmilyGlass76")</f>
        <v>EmilyGlass76</v>
      </c>
      <c r="B7359" s="65" t="s">
        <v>6246</v>
      </c>
    </row>
    <row r="7360" spans="1:2" x14ac:dyDescent="0.25">
      <c r="A7360" s="64" t="str">
        <f>HYPERLINK("http://www.twitter.com/askarbrickman", "askarbrickman")</f>
        <v>askarbrickman</v>
      </c>
      <c r="B7360" s="65"/>
    </row>
    <row r="7361" spans="1:2" x14ac:dyDescent="0.25">
      <c r="A7361" s="64" t="str">
        <f>HYPERLINK("http://www.twitter.com/scoutfinch_emma", "scoutfinch_emma")</f>
        <v>scoutfinch_emma</v>
      </c>
      <c r="B7361" s="65"/>
    </row>
    <row r="7362" spans="1:2" x14ac:dyDescent="0.25">
      <c r="A7362" s="64" t="str">
        <f>HYPERLINK("http://www.twitter.com/campclassroom", "campclassroom")</f>
        <v>campclassroom</v>
      </c>
      <c r="B7362" s="65" t="s">
        <v>6247</v>
      </c>
    </row>
    <row r="7363" spans="1:2" x14ac:dyDescent="0.25">
      <c r="A7363" s="64" t="str">
        <f>HYPERLINK("http://www.twitter.com/itsdavegreen", "itsdavegreen")</f>
        <v>itsdavegreen</v>
      </c>
      <c r="B7363" s="65" t="s">
        <v>110</v>
      </c>
    </row>
    <row r="7364" spans="1:2" x14ac:dyDescent="0.25">
      <c r="A7364" s="64" t="str">
        <f>HYPERLINK("http://www.twitter.com/pomegranate02", "pomegranate02")</f>
        <v>pomegranate02</v>
      </c>
      <c r="B7364" s="65" t="s">
        <v>4147</v>
      </c>
    </row>
    <row r="7365" spans="1:2" x14ac:dyDescent="0.25">
      <c r="A7365" s="64" t="str">
        <f>HYPERLINK("http://www.twitter.com/IlkleyPlayhouse", "IlkleyPlayhouse")</f>
        <v>IlkleyPlayhouse</v>
      </c>
      <c r="B7365" s="65" t="s">
        <v>6248</v>
      </c>
    </row>
    <row r="7366" spans="1:2" x14ac:dyDescent="0.25">
      <c r="A7366" s="64" t="str">
        <f>HYPERLINK("http://www.twitter.com/ProbyAnne", "ProbyAnne")</f>
        <v>ProbyAnne</v>
      </c>
      <c r="B7366" s="65" t="s">
        <v>3762</v>
      </c>
    </row>
    <row r="7367" spans="1:2" x14ac:dyDescent="0.25">
      <c r="A7367" s="64" t="str">
        <f>HYPERLINK("http://www.twitter.com/knitNmiss", "knitNmiss")</f>
        <v>knitNmiss</v>
      </c>
      <c r="B7367" s="65" t="s">
        <v>6249</v>
      </c>
    </row>
    <row r="7368" spans="1:2" x14ac:dyDescent="0.25">
      <c r="A7368" s="64" t="str">
        <f>HYPERLINK("http://www.twitter.com/MarionRobinson5", "MarionRobinson5")</f>
        <v>MarionRobinson5</v>
      </c>
      <c r="B7368" s="65"/>
    </row>
    <row r="7369" spans="1:2" x14ac:dyDescent="0.25">
      <c r="A7369" s="64" t="str">
        <f>HYPERLINK("http://www.twitter.com/daddytwofoot", "daddytwofoot")</f>
        <v>daddytwofoot</v>
      </c>
      <c r="B7369" s="65" t="s">
        <v>6250</v>
      </c>
    </row>
    <row r="7370" spans="1:2" x14ac:dyDescent="0.25">
      <c r="A7370" s="64" t="str">
        <f>HYPERLINK("http://www.twitter.com/JKZFox", "JKZFox")</f>
        <v>JKZFox</v>
      </c>
      <c r="B7370" s="65" t="s">
        <v>6251</v>
      </c>
    </row>
    <row r="7371" spans="1:2" x14ac:dyDescent="0.25">
      <c r="A7371" s="64" t="str">
        <f>HYPERLINK("http://www.twitter.com/KittyFlaneuse", "KittyFlaneuse")</f>
        <v>KittyFlaneuse</v>
      </c>
      <c r="B7371" s="65"/>
    </row>
    <row r="7372" spans="1:2" x14ac:dyDescent="0.25">
      <c r="A7372" s="64" t="str">
        <f>HYPERLINK("http://www.twitter.com/scottyjotty", "scottyjotty")</f>
        <v>scottyjotty</v>
      </c>
      <c r="B7372" s="65" t="s">
        <v>4019</v>
      </c>
    </row>
    <row r="7373" spans="1:2" x14ac:dyDescent="0.25">
      <c r="A7373" s="64" t="str">
        <f>HYPERLINK("http://www.twitter.com/JemimaSharpe", "JemimaSharpe")</f>
        <v>JemimaSharpe</v>
      </c>
      <c r="B7373" s="65"/>
    </row>
    <row r="7374" spans="1:2" x14ac:dyDescent="0.25">
      <c r="A7374" s="64" t="str">
        <f>HYPERLINK("http://www.twitter.com/Auldbeeper", "Auldbeeper")</f>
        <v>Auldbeeper</v>
      </c>
      <c r="B7374" s="65" t="s">
        <v>4324</v>
      </c>
    </row>
    <row r="7375" spans="1:2" x14ac:dyDescent="0.25">
      <c r="A7375" s="64" t="str">
        <f>HYPERLINK("http://www.twitter.com/PJRayment", "PJRayment")</f>
        <v>PJRayment</v>
      </c>
      <c r="B7375" s="65"/>
    </row>
    <row r="7376" spans="1:2" x14ac:dyDescent="0.25">
      <c r="A7376" s="64" t="str">
        <f>HYPERLINK("http://www.twitter.com/SurreyPALibrary", "SurreyPALibrary")</f>
        <v>SurreyPALibrary</v>
      </c>
      <c r="B7376" s="65" t="s">
        <v>1374</v>
      </c>
    </row>
    <row r="7377" spans="1:2" x14ac:dyDescent="0.25">
      <c r="A7377" s="64" t="str">
        <f>HYPERLINK("http://www.twitter.com/drevershannon", "drevershannon")</f>
        <v>drevershannon</v>
      </c>
      <c r="B7377" s="65" t="s">
        <v>3762</v>
      </c>
    </row>
    <row r="7378" spans="1:2" x14ac:dyDescent="0.25">
      <c r="A7378" s="64" t="str">
        <f>HYPERLINK("http://www.twitter.com/dtammcd", "dtammcd")</f>
        <v>dtammcd</v>
      </c>
      <c r="B7378" s="65" t="s">
        <v>318</v>
      </c>
    </row>
    <row r="7379" spans="1:2" x14ac:dyDescent="0.25">
      <c r="A7379" s="64" t="str">
        <f>HYPERLINK("http://www.twitter.com/CyclingSurgeon", "CyclingSurgeon")</f>
        <v>CyclingSurgeon</v>
      </c>
      <c r="B7379" s="65" t="s">
        <v>6252</v>
      </c>
    </row>
    <row r="7380" spans="1:2" x14ac:dyDescent="0.25">
      <c r="A7380" s="64" t="str">
        <f>HYPERLINK("http://www.twitter.com/theinstigator06", "theinstigator06")</f>
        <v>theinstigator06</v>
      </c>
      <c r="B7380" s="65" t="s">
        <v>3978</v>
      </c>
    </row>
    <row r="7381" spans="1:2" x14ac:dyDescent="0.25">
      <c r="A7381" s="64" t="str">
        <f>HYPERLINK("http://www.twitter.com/arhshelley", "arhshelley")</f>
        <v>arhshelley</v>
      </c>
      <c r="B7381" s="65" t="s">
        <v>3808</v>
      </c>
    </row>
    <row r="7382" spans="1:2" x14ac:dyDescent="0.25">
      <c r="A7382" s="64" t="str">
        <f>HYPERLINK("http://www.twitter.com/LesleyClark1", "LesleyClark1")</f>
        <v>LesleyClark1</v>
      </c>
      <c r="B7382" s="65"/>
    </row>
    <row r="7383" spans="1:2" x14ac:dyDescent="0.25">
      <c r="A7383" s="64" t="str">
        <f>HYPERLINK("http://www.twitter.com/SophSchrey", "SophSchrey")</f>
        <v>SophSchrey</v>
      </c>
      <c r="B7383" s="65" t="s">
        <v>3633</v>
      </c>
    </row>
    <row r="7384" spans="1:2" x14ac:dyDescent="0.25">
      <c r="A7384" s="64" t="str">
        <f>HYPERLINK("http://www.twitter.com/NHSlibtrainee", "NHSlibtrainee")</f>
        <v>NHSlibtrainee</v>
      </c>
      <c r="B7384" s="65" t="s">
        <v>4446</v>
      </c>
    </row>
    <row r="7385" spans="1:2" x14ac:dyDescent="0.25">
      <c r="A7385" s="64" t="str">
        <f>HYPERLINK("http://www.twitter.com/Christmassoon25", "Christmassoon25")</f>
        <v>Christmassoon25</v>
      </c>
      <c r="B7385" s="65"/>
    </row>
    <row r="7386" spans="1:2" x14ac:dyDescent="0.25">
      <c r="A7386" s="64" t="str">
        <f>HYPERLINK("http://www.twitter.com/AGH_Education", "AGH_Education")</f>
        <v>AGH_Education</v>
      </c>
      <c r="B7386" s="65" t="s">
        <v>6253</v>
      </c>
    </row>
    <row r="7387" spans="1:2" x14ac:dyDescent="0.25">
      <c r="A7387" s="64" t="str">
        <f>HYPERLINK("http://www.twitter.com/KirkpatrickEmma", "KirkpatrickEmma")</f>
        <v>KirkpatrickEmma</v>
      </c>
      <c r="B7387" s="65" t="s">
        <v>5667</v>
      </c>
    </row>
    <row r="7388" spans="1:2" x14ac:dyDescent="0.25">
      <c r="A7388" s="64" t="str">
        <f>HYPERLINK("http://www.twitter.com/readenjoydebate", "readenjoydebate")</f>
        <v>readenjoydebate</v>
      </c>
      <c r="B7388" s="65"/>
    </row>
    <row r="7389" spans="1:2" x14ac:dyDescent="0.25">
      <c r="A7389" s="64" t="str">
        <f>HYPERLINK("http://www.twitter.com/felixazu1", "felixazu1")</f>
        <v>felixazu1</v>
      </c>
      <c r="B7389" s="65" t="s">
        <v>6254</v>
      </c>
    </row>
    <row r="7390" spans="1:2" x14ac:dyDescent="0.25">
      <c r="A7390" s="64" t="str">
        <f>HYPERLINK("http://www.twitter.com/CheckYourCode", "CheckYourCode")</f>
        <v>CheckYourCode</v>
      </c>
      <c r="B7390" s="65" t="s">
        <v>318</v>
      </c>
    </row>
    <row r="7391" spans="1:2" x14ac:dyDescent="0.25">
      <c r="A7391" s="64" t="str">
        <f>HYPERLINK("http://www.twitter.com/MissJones_14", "MissJones_14")</f>
        <v>MissJones_14</v>
      </c>
      <c r="B7391" s="65"/>
    </row>
    <row r="7392" spans="1:2" x14ac:dyDescent="0.25">
      <c r="A7392" s="64" t="str">
        <f>HYPERLINK("http://www.twitter.com/KristinGrogan", "KristinGrogan")</f>
        <v>KristinGrogan</v>
      </c>
      <c r="B7392" s="65" t="s">
        <v>12</v>
      </c>
    </row>
    <row r="7393" spans="1:2" x14ac:dyDescent="0.25">
      <c r="A7393" s="64" t="str">
        <f>HYPERLINK("http://www.twitter.com/edolmans", "edolmans")</f>
        <v>edolmans</v>
      </c>
      <c r="B7393" s="65" t="s">
        <v>12</v>
      </c>
    </row>
    <row r="7394" spans="1:2" x14ac:dyDescent="0.25">
      <c r="A7394" s="64" t="str">
        <f>HYPERLINK("http://www.twitter.com/jons68", "jons68")</f>
        <v>jons68</v>
      </c>
      <c r="B7394" s="65" t="s">
        <v>6255</v>
      </c>
    </row>
    <row r="7395" spans="1:2" x14ac:dyDescent="0.25">
      <c r="A7395" s="64" t="str">
        <f>HYPERLINK("http://www.twitter.com/OrkneyArts", "OrkneyArts")</f>
        <v>OrkneyArts</v>
      </c>
      <c r="B7395" s="65" t="s">
        <v>20</v>
      </c>
    </row>
    <row r="7396" spans="1:2" x14ac:dyDescent="0.25">
      <c r="A7396" s="64" t="str">
        <f>HYPERLINK("http://www.twitter.com/thomson_jen", "thomson_jen")</f>
        <v>thomson_jen</v>
      </c>
      <c r="B7396" s="65" t="s">
        <v>24</v>
      </c>
    </row>
    <row r="7397" spans="1:2" x14ac:dyDescent="0.25">
      <c r="A7397" s="64" t="str">
        <f>HYPERLINK("http://www.twitter.com/MundijongLib", "MundijongLib")</f>
        <v>MundijongLib</v>
      </c>
      <c r="B7397" s="65" t="s">
        <v>6256</v>
      </c>
    </row>
    <row r="7398" spans="1:2" x14ac:dyDescent="0.25">
      <c r="A7398" s="64" t="str">
        <f>HYPERLINK("http://www.twitter.com/EvieMcLaughlin", "EvieMcLaughlin")</f>
        <v>EvieMcLaughlin</v>
      </c>
      <c r="B7398" s="65" t="s">
        <v>6257</v>
      </c>
    </row>
    <row r="7399" spans="1:2" x14ac:dyDescent="0.25">
      <c r="A7399" s="64" t="str">
        <f>HYPERLINK("http://www.twitter.com/amyp02", "amyp02")</f>
        <v>amyp02</v>
      </c>
      <c r="B7399" s="65"/>
    </row>
    <row r="7400" spans="1:2" x14ac:dyDescent="0.25">
      <c r="A7400" s="64" t="str">
        <f>HYPERLINK("http://www.twitter.com/collagegeek", "collagegeek")</f>
        <v>collagegeek</v>
      </c>
      <c r="B7400" s="65" t="s">
        <v>6258</v>
      </c>
    </row>
    <row r="7401" spans="1:2" x14ac:dyDescent="0.25">
      <c r="A7401" s="64" t="str">
        <f>HYPERLINK("http://www.twitter.com/MrsBranam", "MrsBranam")</f>
        <v>MrsBranam</v>
      </c>
      <c r="B7401" s="65" t="s">
        <v>6259</v>
      </c>
    </row>
    <row r="7402" spans="1:2" x14ac:dyDescent="0.25">
      <c r="A7402" s="64" t="str">
        <f>HYPERLINK("http://www.twitter.com/thecoolerking73", "thecoolerking73")</f>
        <v>thecoolerking73</v>
      </c>
      <c r="B7402" s="65" t="s">
        <v>6260</v>
      </c>
    </row>
    <row r="7403" spans="1:2" x14ac:dyDescent="0.25">
      <c r="A7403" s="64" t="str">
        <f>HYPERLINK("http://www.twitter.com/MayaHoole", "MayaHoole")</f>
        <v>MayaHoole</v>
      </c>
      <c r="B7403" s="65" t="s">
        <v>487</v>
      </c>
    </row>
    <row r="7404" spans="1:2" x14ac:dyDescent="0.25">
      <c r="A7404" s="64" t="str">
        <f>HYPERLINK("http://www.twitter.com/CraigWTurner", "CraigWTurner")</f>
        <v>CraigWTurner</v>
      </c>
      <c r="B7404" s="65" t="s">
        <v>6261</v>
      </c>
    </row>
    <row r="7405" spans="1:2" x14ac:dyDescent="0.25">
      <c r="A7405" s="64" t="str">
        <f>HYPERLINK("http://www.twitter.com/JulietFellowsSm", "JulietFellowsSm")</f>
        <v>JulietFellowsSm</v>
      </c>
      <c r="B7405" s="65" t="s">
        <v>6262</v>
      </c>
    </row>
    <row r="7406" spans="1:2" x14ac:dyDescent="0.25">
      <c r="A7406" s="64" t="str">
        <f>HYPERLINK("http://www.twitter.com/strangesparks", "strangesparks")</f>
        <v>strangesparks</v>
      </c>
      <c r="B7406" s="65" t="s">
        <v>6263</v>
      </c>
    </row>
    <row r="7407" spans="1:2" x14ac:dyDescent="0.25">
      <c r="A7407" s="64" t="str">
        <f>HYPERLINK("http://www.twitter.com/lynnhume", "lynnhume")</f>
        <v>lynnhume</v>
      </c>
      <c r="B7407" s="65" t="s">
        <v>6264</v>
      </c>
    </row>
    <row r="7408" spans="1:2" x14ac:dyDescent="0.25">
      <c r="A7408" s="64" t="str">
        <f>HYPERLINK("http://www.twitter.com/LitKnitWit", "LitKnitWit")</f>
        <v>LitKnitWit</v>
      </c>
      <c r="B7408" s="65" t="s">
        <v>6265</v>
      </c>
    </row>
    <row r="7409" spans="1:2" x14ac:dyDescent="0.25">
      <c r="A7409" s="64" t="str">
        <f>HYPERLINK("http://www.twitter.com/KindleKay1", "KindleKay1")</f>
        <v>KindleKay1</v>
      </c>
      <c r="B7409" s="65" t="s">
        <v>6266</v>
      </c>
    </row>
    <row r="7410" spans="1:2" x14ac:dyDescent="0.25">
      <c r="A7410" s="64" t="str">
        <f>HYPERLINK("http://www.twitter.com/MarieAn44262659", "MarieAn44262659")</f>
        <v>MarieAn44262659</v>
      </c>
      <c r="B7410" s="65"/>
    </row>
    <row r="7411" spans="1:2" x14ac:dyDescent="0.25">
      <c r="A7411" s="64" t="str">
        <f>HYPERLINK("http://www.twitter.com/kedixon3", "kedixon3")</f>
        <v>kedixon3</v>
      </c>
      <c r="B7411" s="65" t="s">
        <v>4329</v>
      </c>
    </row>
    <row r="7412" spans="1:2" x14ac:dyDescent="0.25">
      <c r="A7412" s="64" t="str">
        <f>HYPERLINK("http://www.twitter.com/AngelaLovesNY", "AngelaLovesNY")</f>
        <v>AngelaLovesNY</v>
      </c>
      <c r="B7412" s="65" t="s">
        <v>6267</v>
      </c>
    </row>
    <row r="7413" spans="1:2" x14ac:dyDescent="0.25">
      <c r="A7413" s="64" t="str">
        <f>HYPERLINK("http://www.twitter.com/StevenMcSimpson", "StevenMcSimpson")</f>
        <v>StevenMcSimpson</v>
      </c>
      <c r="B7413" s="65"/>
    </row>
    <row r="7414" spans="1:2" x14ac:dyDescent="0.25">
      <c r="A7414" s="64" t="str">
        <f>HYPERLINK("http://www.twitter.com/bibliomel", "bibliomel")</f>
        <v>bibliomel</v>
      </c>
      <c r="B7414" s="65" t="s">
        <v>3785</v>
      </c>
    </row>
    <row r="7415" spans="1:2" x14ac:dyDescent="0.25">
      <c r="A7415" s="64" t="str">
        <f>HYPERLINK("http://www.twitter.com/bookmasterjmv", "bookmasterjmv")</f>
        <v>bookmasterjmv</v>
      </c>
      <c r="B7415" s="65" t="s">
        <v>6268</v>
      </c>
    </row>
    <row r="7416" spans="1:2" x14ac:dyDescent="0.25">
      <c r="A7416" s="64" t="str">
        <f>HYPERLINK("http://www.twitter.com/ScotlandInt", "ScotlandInt")</f>
        <v>ScotlandInt</v>
      </c>
      <c r="B7416" s="65" t="s">
        <v>24</v>
      </c>
    </row>
    <row r="7417" spans="1:2" x14ac:dyDescent="0.25">
      <c r="A7417" s="64" t="str">
        <f>HYPERLINK("http://www.twitter.com/mgtlsmith", "mgtlsmith")</f>
        <v>mgtlsmith</v>
      </c>
      <c r="B7417" s="65"/>
    </row>
    <row r="7418" spans="1:2" x14ac:dyDescent="0.25">
      <c r="A7418" s="64" t="str">
        <f>HYPERLINK("http://www.twitter.com/peediechocs", "peediechocs")</f>
        <v>peediechocs</v>
      </c>
      <c r="B7418" s="65" t="s">
        <v>3762</v>
      </c>
    </row>
    <row r="7419" spans="1:2" x14ac:dyDescent="0.25">
      <c r="A7419" s="64" t="str">
        <f>HYPERLINK("http://www.twitter.com/thezobster", "thezobster")</f>
        <v>thezobster</v>
      </c>
      <c r="B7419" s="65" t="s">
        <v>33</v>
      </c>
    </row>
    <row r="7420" spans="1:2" x14ac:dyDescent="0.25">
      <c r="A7420" s="64" t="str">
        <f>HYPERLINK("http://www.twitter.com/lochielm", "lochielm")</f>
        <v>lochielm</v>
      </c>
      <c r="B7420" s="65"/>
    </row>
    <row r="7421" spans="1:2" x14ac:dyDescent="0.25">
      <c r="A7421" s="64" t="str">
        <f>HYPERLINK("http://www.twitter.com/HarperPerennial", "HarperPerennial")</f>
        <v>HarperPerennial</v>
      </c>
      <c r="B7421" s="65" t="s">
        <v>5819</v>
      </c>
    </row>
    <row r="7422" spans="1:2" x14ac:dyDescent="0.25">
      <c r="A7422" s="64" t="str">
        <f>HYPERLINK("http://www.twitter.com/DoctorDimmage", "DoctorDimmage")</f>
        <v>DoctorDimmage</v>
      </c>
      <c r="B7422" s="65" t="s">
        <v>232</v>
      </c>
    </row>
    <row r="7423" spans="1:2" x14ac:dyDescent="0.25">
      <c r="A7423" s="64" t="str">
        <f>HYPERLINK("http://www.twitter.com/katya_studentka", "katya_studentka")</f>
        <v>katya_studentka</v>
      </c>
      <c r="B7423" s="65" t="s">
        <v>138</v>
      </c>
    </row>
    <row r="7424" spans="1:2" x14ac:dyDescent="0.25">
      <c r="A7424" s="64" t="str">
        <f>HYPERLINK("http://www.twitter.com/mskristalcooper", "mskristalcooper")</f>
        <v>mskristalcooper</v>
      </c>
      <c r="B7424" s="65" t="s">
        <v>3778</v>
      </c>
    </row>
    <row r="7425" spans="1:2" x14ac:dyDescent="0.25">
      <c r="A7425" s="64" t="str">
        <f>HYPERLINK("http://www.twitter.com/goknursatur", "goknursatur")</f>
        <v>goknursatur</v>
      </c>
      <c r="B7425" s="65"/>
    </row>
    <row r="7426" spans="1:2" x14ac:dyDescent="0.25">
      <c r="A7426" s="64" t="str">
        <f>HYPERLINK("http://www.twitter.com/lumberbarons", "lumberbarons")</f>
        <v>lumberbarons</v>
      </c>
      <c r="B7426" s="65" t="s">
        <v>3894</v>
      </c>
    </row>
    <row r="7427" spans="1:2" x14ac:dyDescent="0.25">
      <c r="A7427" s="64" t="str">
        <f>HYPERLINK("http://www.twitter.com/closedfornow_", "closedfornow_")</f>
        <v>closedfornow_</v>
      </c>
      <c r="B7427" s="65"/>
    </row>
    <row r="7428" spans="1:2" x14ac:dyDescent="0.25">
      <c r="A7428" s="64" t="str">
        <f>HYPERLINK("http://www.twitter.com/Saeched", "Saeched")</f>
        <v>Saeched</v>
      </c>
      <c r="B7428" s="65" t="s">
        <v>257</v>
      </c>
    </row>
    <row r="7429" spans="1:2" x14ac:dyDescent="0.25">
      <c r="A7429" s="64" t="str">
        <f>HYPERLINK("http://www.twitter.com/amyelizwilson", "amyelizwilson")</f>
        <v>amyelizwilson</v>
      </c>
      <c r="B7429" s="65" t="s">
        <v>487</v>
      </c>
    </row>
    <row r="7430" spans="1:2" x14ac:dyDescent="0.25">
      <c r="A7430" s="64" t="str">
        <f>HYPERLINK("http://www.twitter.com/laurbethany", "laurbethany")</f>
        <v>laurbethany</v>
      </c>
      <c r="B7430" s="65" t="s">
        <v>3659</v>
      </c>
    </row>
    <row r="7431" spans="1:2" x14ac:dyDescent="0.25">
      <c r="A7431" s="64" t="str">
        <f>HYPERLINK("http://www.twitter.com/tom_watson", "tom_watson")</f>
        <v>tom_watson</v>
      </c>
      <c r="B7431" s="65" t="s">
        <v>6269</v>
      </c>
    </row>
    <row r="7432" spans="1:2" x14ac:dyDescent="0.25">
      <c r="A7432" s="64" t="str">
        <f>HYPERLINK("http://www.twitter.com/STVLouise", "STVLouise")</f>
        <v>STVLouise</v>
      </c>
      <c r="B7432" s="65" t="s">
        <v>569</v>
      </c>
    </row>
    <row r="7433" spans="1:2" x14ac:dyDescent="0.25">
      <c r="A7433" s="64" t="str">
        <f>HYPERLINK("http://www.twitter.com/GreenestNatalie", "GreenestNatalie")</f>
        <v>GreenestNatalie</v>
      </c>
      <c r="B7433" s="65" t="s">
        <v>6270</v>
      </c>
    </row>
    <row r="7434" spans="1:2" x14ac:dyDescent="0.25">
      <c r="A7434" s="64" t="str">
        <f>HYPERLINK("http://www.twitter.com/MilleryMarta", "MilleryMarta")</f>
        <v>MilleryMarta</v>
      </c>
      <c r="B7434" s="65"/>
    </row>
    <row r="7435" spans="1:2" x14ac:dyDescent="0.25">
      <c r="A7435" s="64" t="str">
        <f>HYPERLINK("http://www.twitter.com/happyierhere", "happyierhere")</f>
        <v>happyierhere</v>
      </c>
      <c r="B7435" s="65"/>
    </row>
    <row r="7436" spans="1:2" x14ac:dyDescent="0.25">
      <c r="A7436" s="64" t="str">
        <f>HYPERLINK("http://www.twitter.com/keir1987", "keir1987")</f>
        <v>keir1987</v>
      </c>
      <c r="B7436" s="65" t="s">
        <v>36</v>
      </c>
    </row>
    <row r="7437" spans="1:2" x14ac:dyDescent="0.25">
      <c r="A7437" s="64" t="str">
        <f>HYPERLINK("http://www.twitter.com/joshanthi", "joshanthi")</f>
        <v>joshanthi</v>
      </c>
      <c r="B7437" s="65" t="s">
        <v>36</v>
      </c>
    </row>
    <row r="7438" spans="1:2" x14ac:dyDescent="0.25">
      <c r="A7438" s="64" t="str">
        <f>HYPERLINK("http://www.twitter.com/NorahCarr2", "NorahCarr2")</f>
        <v>NorahCarr2</v>
      </c>
      <c r="B7438" s="65"/>
    </row>
    <row r="7439" spans="1:2" x14ac:dyDescent="0.25">
      <c r="A7439" s="64" t="str">
        <f>HYPERLINK("http://www.twitter.com/sparksjg", "sparksjg")</f>
        <v>sparksjg</v>
      </c>
      <c r="B7439" s="65" t="s">
        <v>3804</v>
      </c>
    </row>
    <row r="7440" spans="1:2" x14ac:dyDescent="0.25">
      <c r="A7440" s="64" t="str">
        <f>HYPERLINK("http://www.twitter.com/teamgorrila", "teamgorrila")</f>
        <v>teamgorrila</v>
      </c>
      <c r="B7440" s="65"/>
    </row>
    <row r="7441" spans="1:2" x14ac:dyDescent="0.25">
      <c r="A7441" s="64" t="str">
        <f>HYPERLINK("http://www.twitter.com/beggarsteeth", "beggarsteeth")</f>
        <v>beggarsteeth</v>
      </c>
      <c r="B7441" s="65" t="s">
        <v>487</v>
      </c>
    </row>
    <row r="7442" spans="1:2" x14ac:dyDescent="0.25">
      <c r="A7442" s="64" t="str">
        <f>HYPERLINK("http://www.twitter.com/_Arielane", "_Arielane")</f>
        <v>_Arielane</v>
      </c>
      <c r="B7442" s="65" t="s">
        <v>6271</v>
      </c>
    </row>
    <row r="7443" spans="1:2" x14ac:dyDescent="0.25">
      <c r="A7443" s="64" t="str">
        <f>HYPERLINK("http://www.twitter.com/donAlvar", "donAlvar")</f>
        <v>donAlvar</v>
      </c>
      <c r="B7443" s="65" t="s">
        <v>6273</v>
      </c>
    </row>
    <row r="7444" spans="1:2" x14ac:dyDescent="0.25">
      <c r="A7444" s="64" t="str">
        <f>HYPERLINK("http://www.twitter.com/herringl11", "herringl11")</f>
        <v>herringl11</v>
      </c>
      <c r="B7444" s="65"/>
    </row>
    <row r="7445" spans="1:2" x14ac:dyDescent="0.25">
      <c r="A7445" s="64" t="str">
        <f>HYPERLINK("http://www.twitter.com/ArchiveCake", "ArchiveCake")</f>
        <v>ArchiveCake</v>
      </c>
      <c r="B7445" s="65" t="s">
        <v>6274</v>
      </c>
    </row>
    <row r="7446" spans="1:2" x14ac:dyDescent="0.25">
      <c r="A7446" s="64" t="str">
        <f>HYPERLINK("http://www.twitter.com/PeterFerlie", "PeterFerlie")</f>
        <v>PeterFerlie</v>
      </c>
      <c r="B7446" s="65" t="s">
        <v>2636</v>
      </c>
    </row>
    <row r="7447" spans="1:2" x14ac:dyDescent="0.25">
      <c r="A7447" s="64" t="str">
        <f>HYPERLINK("http://www.twitter.com/JuliaMalloch", "JuliaMalloch")</f>
        <v>JuliaMalloch</v>
      </c>
      <c r="B7447" s="65" t="s">
        <v>180</v>
      </c>
    </row>
    <row r="7448" spans="1:2" x14ac:dyDescent="0.25">
      <c r="A7448" s="64" t="str">
        <f>HYPERLINK("http://www.twitter.com/hampshirecook", "hampshirecook")</f>
        <v>hampshirecook</v>
      </c>
      <c r="B7448" s="65" t="s">
        <v>6275</v>
      </c>
    </row>
    <row r="7449" spans="1:2" x14ac:dyDescent="0.25">
      <c r="A7449" s="64" t="str">
        <f>HYPERLINK("http://www.twitter.com/CoChordelia", "CoChordelia")</f>
        <v>CoChordelia</v>
      </c>
      <c r="B7449" s="65" t="s">
        <v>318</v>
      </c>
    </row>
    <row r="7450" spans="1:2" x14ac:dyDescent="0.25">
      <c r="A7450" s="64" t="str">
        <f>HYPERLINK("http://www.twitter.com/HarperAudioUK", "HarperAudioUK")</f>
        <v>HarperAudioUK</v>
      </c>
      <c r="B7450" s="65" t="s">
        <v>6276</v>
      </c>
    </row>
    <row r="7451" spans="1:2" x14ac:dyDescent="0.25">
      <c r="A7451" s="64" t="str">
        <f>HYPERLINK("http://www.twitter.com/DerbyshireSLS", "DerbyshireSLS")</f>
        <v>DerbyshireSLS</v>
      </c>
      <c r="B7451" s="65" t="s">
        <v>6277</v>
      </c>
    </row>
    <row r="7452" spans="1:2" x14ac:dyDescent="0.25">
      <c r="A7452" s="64" t="str">
        <f>HYPERLINK("http://www.twitter.com/pestodan", "pestodan")</f>
        <v>pestodan</v>
      </c>
      <c r="B7452" s="65"/>
    </row>
    <row r="7453" spans="1:2" x14ac:dyDescent="0.25">
      <c r="A7453" s="64" t="str">
        <f>HYPERLINK("http://www.twitter.com/LChoughton", "LChoughton")</f>
        <v>LChoughton</v>
      </c>
      <c r="B7453" s="65" t="s">
        <v>318</v>
      </c>
    </row>
    <row r="7454" spans="1:2" x14ac:dyDescent="0.25">
      <c r="A7454" s="64" t="str">
        <f>HYPERLINK("http://www.twitter.com/scottjkyle1", "scottjkyle1")</f>
        <v>scottjkyle1</v>
      </c>
      <c r="B7454" s="65" t="s">
        <v>2007</v>
      </c>
    </row>
    <row r="7455" spans="1:2" x14ac:dyDescent="0.25">
      <c r="A7455" s="64" t="str">
        <f>HYPERLINK("http://www.twitter.com/TheLibraryatLHS", "TheLibraryatLHS")</f>
        <v>TheLibraryatLHS</v>
      </c>
      <c r="B7455" s="65" t="s">
        <v>2049</v>
      </c>
    </row>
    <row r="7456" spans="1:2" x14ac:dyDescent="0.25">
      <c r="A7456" s="64" t="str">
        <f>HYPERLINK("http://www.twitter.com/MOTI_Collective", "MOTI_Collective")</f>
        <v>MOTI_Collective</v>
      </c>
      <c r="B7456" s="65" t="s">
        <v>20</v>
      </c>
    </row>
    <row r="7457" spans="1:2" x14ac:dyDescent="0.25">
      <c r="A7457" s="64" t="str">
        <f>HYPERLINK("http://www.twitter.com/DenellPorche", "DenellPorche")</f>
        <v>DenellPorche</v>
      </c>
      <c r="B7457" s="65" t="s">
        <v>4039</v>
      </c>
    </row>
    <row r="7458" spans="1:2" x14ac:dyDescent="0.25">
      <c r="A7458" s="64" t="str">
        <f>HYPERLINK("http://www.twitter.com/andrewinthelib", "andrewinthelib")</f>
        <v>andrewinthelib</v>
      </c>
      <c r="B7458" s="65" t="s">
        <v>6278</v>
      </c>
    </row>
    <row r="7459" spans="1:2" x14ac:dyDescent="0.25">
      <c r="A7459" s="64" t="str">
        <f>HYPERLINK("http://www.twitter.com/BangorEngLit", "BangorEngLit")</f>
        <v>BangorEngLit</v>
      </c>
      <c r="B7459" s="65" t="s">
        <v>5768</v>
      </c>
    </row>
    <row r="7460" spans="1:2" x14ac:dyDescent="0.25">
      <c r="A7460" s="64" t="str">
        <f>HYPERLINK("http://www.twitter.com/Crofts_libreeze", "Crofts_libreeze")</f>
        <v>Crofts_libreeze</v>
      </c>
      <c r="B7460" s="65"/>
    </row>
    <row r="7461" spans="1:2" x14ac:dyDescent="0.25">
      <c r="A7461" s="64" t="str">
        <f>HYPERLINK("http://www.twitter.com/petajane", "petajane")</f>
        <v>petajane</v>
      </c>
      <c r="B7461" s="65"/>
    </row>
    <row r="7462" spans="1:2" x14ac:dyDescent="0.25">
      <c r="A7462" s="64" t="str">
        <f>HYPERLINK("http://www.twitter.com/jasonomahony", "jasonomahony")</f>
        <v>jasonomahony</v>
      </c>
      <c r="B7462" s="65" t="s">
        <v>4291</v>
      </c>
    </row>
    <row r="7463" spans="1:2" x14ac:dyDescent="0.25">
      <c r="A7463" s="64" t="str">
        <f>HYPERLINK("http://www.twitter.com/DrMammon", "DrMammon")</f>
        <v>DrMammon</v>
      </c>
      <c r="B7463" s="65" t="s">
        <v>61</v>
      </c>
    </row>
    <row r="7464" spans="1:2" x14ac:dyDescent="0.25">
      <c r="A7464" s="64" t="str">
        <f>HYPERLINK("http://www.twitter.com/charlottealicep", "charlottealicep")</f>
        <v>charlottealicep</v>
      </c>
      <c r="B7464" s="65"/>
    </row>
    <row r="7465" spans="1:2" x14ac:dyDescent="0.25">
      <c r="A7465" s="64" t="str">
        <f>HYPERLINK("http://www.twitter.com/DigiTranGlasgow", "DigiTranGlasgow")</f>
        <v>DigiTranGlasgow</v>
      </c>
      <c r="B7465" s="65" t="s">
        <v>6279</v>
      </c>
    </row>
    <row r="7466" spans="1:2" x14ac:dyDescent="0.25">
      <c r="A7466" s="64" t="str">
        <f>HYPERLINK("http://www.twitter.com/dullthud", "dullthud")</f>
        <v>dullthud</v>
      </c>
      <c r="B7466" s="65"/>
    </row>
    <row r="7467" spans="1:2" x14ac:dyDescent="0.25">
      <c r="A7467" s="64" t="str">
        <f>HYPERLINK("http://www.twitter.com/claremcquaid3", "claremcquaid3")</f>
        <v>claremcquaid3</v>
      </c>
      <c r="B7467" s="65" t="s">
        <v>318</v>
      </c>
    </row>
    <row r="7468" spans="1:2" x14ac:dyDescent="0.25">
      <c r="A7468" s="64" t="str">
        <f>HYPERLINK("http://www.twitter.com/B_booksandbakes", "B_booksandbakes")</f>
        <v>B_booksandbakes</v>
      </c>
      <c r="B7468" s="65"/>
    </row>
    <row r="7469" spans="1:2" x14ac:dyDescent="0.25">
      <c r="A7469" s="64" t="str">
        <f>HYPERLINK("http://www.twitter.com/katebrinkworth", "katebrinkworth")</f>
        <v>katebrinkworth</v>
      </c>
      <c r="B7469" s="65" t="s">
        <v>6280</v>
      </c>
    </row>
    <row r="7470" spans="1:2" x14ac:dyDescent="0.25">
      <c r="A7470" s="64" t="str">
        <f>HYPERLINK("http://www.twitter.com/WatersideCafeKW", "WatersideCafeKW")</f>
        <v>WatersideCafeKW</v>
      </c>
      <c r="B7470" s="65" t="s">
        <v>3808</v>
      </c>
    </row>
    <row r="7471" spans="1:2" x14ac:dyDescent="0.25">
      <c r="A7471" s="64" t="str">
        <f>HYPERLINK("http://www.twitter.com/librarianlogic", "librarianlogic")</f>
        <v>librarianlogic</v>
      </c>
      <c r="B7471" s="65" t="s">
        <v>3998</v>
      </c>
    </row>
    <row r="7472" spans="1:2" x14ac:dyDescent="0.25">
      <c r="A7472" s="64" t="str">
        <f>HYPERLINK("http://www.twitter.com/RebeccaHislop", "RebeccaHislop")</f>
        <v>RebeccaHislop</v>
      </c>
      <c r="B7472" s="65" t="s">
        <v>6281</v>
      </c>
    </row>
    <row r="7473" spans="1:2" x14ac:dyDescent="0.25">
      <c r="A7473" s="64" t="str">
        <f>HYPERLINK("http://www.twitter.com/english_thfs", "english_thfs")</f>
        <v>english_thfs</v>
      </c>
      <c r="B7473" s="65" t="s">
        <v>6282</v>
      </c>
    </row>
    <row r="7474" spans="1:2" x14ac:dyDescent="0.25">
      <c r="A7474" s="64" t="str">
        <f>HYPERLINK("http://www.twitter.com/rhiannawatt311", "rhiannawatt311")</f>
        <v>rhiannawatt311</v>
      </c>
      <c r="B7474" s="65"/>
    </row>
    <row r="7475" spans="1:2" x14ac:dyDescent="0.25">
      <c r="A7475" s="64" t="str">
        <f>HYPERLINK("http://www.twitter.com/TashaSwainston8", "TashaSwainston8")</f>
        <v>TashaSwainston8</v>
      </c>
      <c r="B7475" s="65"/>
    </row>
    <row r="7476" spans="1:2" x14ac:dyDescent="0.25">
      <c r="A7476" s="64" t="str">
        <f>HYPERLINK("http://www.twitter.com/graceharrison55", "graceharrison55")</f>
        <v>graceharrison55</v>
      </c>
      <c r="B7476" s="65" t="s">
        <v>6283</v>
      </c>
    </row>
    <row r="7477" spans="1:2" x14ac:dyDescent="0.25">
      <c r="A7477" s="64" t="str">
        <f>HYPERLINK("http://www.twitter.com/LibraryGeorgie", "LibraryGeorgie")</f>
        <v>LibraryGeorgie</v>
      </c>
      <c r="B7477" s="65" t="s">
        <v>4887</v>
      </c>
    </row>
    <row r="7478" spans="1:2" x14ac:dyDescent="0.25">
      <c r="A7478" s="64" t="str">
        <f>HYPERLINK("http://www.twitter.com/scolvey", "scolvey")</f>
        <v>scolvey</v>
      </c>
      <c r="B7478" s="65" t="s">
        <v>6284</v>
      </c>
    </row>
    <row r="7479" spans="1:2" x14ac:dyDescent="0.25">
      <c r="A7479" s="64" t="str">
        <f>HYPERLINK("http://www.twitter.com/bethshers", "bethshers")</f>
        <v>bethshers</v>
      </c>
      <c r="B7479" s="65"/>
    </row>
    <row r="7480" spans="1:2" x14ac:dyDescent="0.25">
      <c r="A7480" s="64" t="str">
        <f>HYPERLINK("http://www.twitter.com/TheTLS", "TheTLS")</f>
        <v>TheTLS</v>
      </c>
      <c r="B7480" s="65" t="s">
        <v>110</v>
      </c>
    </row>
    <row r="7481" spans="1:2" x14ac:dyDescent="0.25">
      <c r="A7481" s="64" t="str">
        <f>HYPERLINK("http://www.twitter.com/1982RD", "1982RD")</f>
        <v>1982RD</v>
      </c>
      <c r="B7481" s="65"/>
    </row>
    <row r="7482" spans="1:2" x14ac:dyDescent="0.25">
      <c r="A7482" s="64" t="str">
        <f>HYPERLINK("http://www.twitter.com/james_christley", "james_christley")</f>
        <v>james_christley</v>
      </c>
      <c r="B7482" s="65" t="s">
        <v>6285</v>
      </c>
    </row>
    <row r="7483" spans="1:2" x14ac:dyDescent="0.25">
      <c r="A7483" s="64" t="str">
        <f>HYPERLINK("http://www.twitter.com/unfurlingnet", "unfurlingnet")</f>
        <v>unfurlingnet</v>
      </c>
      <c r="B7483" s="65" t="s">
        <v>1350</v>
      </c>
    </row>
    <row r="7484" spans="1:2" x14ac:dyDescent="0.25">
      <c r="A7484" s="64" t="str">
        <f>HYPERLINK("http://www.twitter.com/sally2901", "sally2901")</f>
        <v>sally2901</v>
      </c>
      <c r="B7484" s="65"/>
    </row>
    <row r="7485" spans="1:2" x14ac:dyDescent="0.25">
      <c r="A7485" s="64" t="str">
        <f>HYPERLINK("http://www.twitter.com/WendyFeldberg", "WendyFeldberg")</f>
        <v>WendyFeldberg</v>
      </c>
      <c r="B7485" s="65" t="s">
        <v>4587</v>
      </c>
    </row>
    <row r="7486" spans="1:2" x14ac:dyDescent="0.25">
      <c r="A7486" s="64" t="str">
        <f>HYPERLINK("http://www.twitter.com/KellanMacInnes", "KellanMacInnes")</f>
        <v>KellanMacInnes</v>
      </c>
      <c r="B7486" s="65" t="s">
        <v>24</v>
      </c>
    </row>
    <row r="7487" spans="1:2" x14ac:dyDescent="0.25">
      <c r="A7487" s="64" t="str">
        <f>HYPERLINK("http://www.twitter.com/AitchieC", "AitchieC")</f>
        <v>AitchieC</v>
      </c>
      <c r="B7487" s="65"/>
    </row>
    <row r="7488" spans="1:2" x14ac:dyDescent="0.25">
      <c r="A7488" s="64" t="str">
        <f>HYPERLINK("http://www.twitter.com/katy_beardy", "katy_beardy")</f>
        <v>katy_beardy</v>
      </c>
      <c r="B7488" s="65" t="s">
        <v>6286</v>
      </c>
    </row>
    <row r="7489" spans="1:2" x14ac:dyDescent="0.25">
      <c r="A7489" s="64" t="str">
        <f>HYPERLINK("http://www.twitter.com/TheBestElinor", "TheBestElinor")</f>
        <v>TheBestElinor</v>
      </c>
      <c r="B7489" s="65" t="s">
        <v>2030</v>
      </c>
    </row>
    <row r="7490" spans="1:2" x14ac:dyDescent="0.25">
      <c r="A7490" s="64" t="str">
        <f>HYPERLINK("http://www.twitter.com/SocialHistoryOx", "SocialHistoryOx")</f>
        <v>SocialHistoryOx</v>
      </c>
      <c r="B7490" s="65" t="s">
        <v>6287</v>
      </c>
    </row>
    <row r="7491" spans="1:2" x14ac:dyDescent="0.25">
      <c r="A7491" s="64" t="str">
        <f>HYPERLINK("http://www.twitter.com/DBScheckangel", "DBScheckangel")</f>
        <v>DBScheckangel</v>
      </c>
      <c r="B7491" s="65" t="s">
        <v>6288</v>
      </c>
    </row>
    <row r="7492" spans="1:2" x14ac:dyDescent="0.25">
      <c r="A7492" s="64" t="str">
        <f>HYPERLINK("http://www.twitter.com/runnerinahat", "runnerinahat")</f>
        <v>runnerinahat</v>
      </c>
      <c r="B7492" s="65"/>
    </row>
    <row r="7493" spans="1:2" x14ac:dyDescent="0.25">
      <c r="A7493" s="64" t="str">
        <f>HYPERLINK("http://www.twitter.com/wagners_ring", "wagners_ring")</f>
        <v>wagners_ring</v>
      </c>
      <c r="B7493" s="65" t="s">
        <v>6289</v>
      </c>
    </row>
    <row r="7494" spans="1:2" x14ac:dyDescent="0.25">
      <c r="A7494" s="64" t="str">
        <f>HYPERLINK("http://www.twitter.com/FionaMontW", "FionaMontW")</f>
        <v>FionaMontW</v>
      </c>
      <c r="B7494" s="65"/>
    </row>
    <row r="7495" spans="1:2" x14ac:dyDescent="0.25">
      <c r="A7495" s="64" t="str">
        <f>HYPERLINK("http://www.twitter.com/dulwichlitfest", "dulwichlitfest")</f>
        <v>dulwichlitfest</v>
      </c>
      <c r="B7495" s="65" t="s">
        <v>6290</v>
      </c>
    </row>
    <row r="7496" spans="1:2" x14ac:dyDescent="0.25">
      <c r="A7496" s="64" t="str">
        <f>HYPERLINK("http://www.twitter.com/mercureglasgow", "mercureglasgow")</f>
        <v>mercureglasgow</v>
      </c>
      <c r="B7496" s="65" t="s">
        <v>138</v>
      </c>
    </row>
    <row r="7497" spans="1:2" x14ac:dyDescent="0.25">
      <c r="A7497" s="64" t="str">
        <f>HYPERLINK("http://www.twitter.com/PompeiiSurvivor", "PompeiiSurvivor")</f>
        <v>PompeiiSurvivor</v>
      </c>
      <c r="B7497" s="65"/>
    </row>
    <row r="7498" spans="1:2" x14ac:dyDescent="0.25">
      <c r="A7498" s="64" t="str">
        <f>HYPERLINK("http://www.twitter.com/nlskelvinhall", "nlskelvinhall")</f>
        <v>nlskelvinhall</v>
      </c>
      <c r="B7498" s="65" t="s">
        <v>318</v>
      </c>
    </row>
    <row r="7499" spans="1:2" x14ac:dyDescent="0.25">
      <c r="A7499" s="64" t="str">
        <f>HYPERLINK("http://www.twitter.com/sjgs_cat", "sjgs_cat")</f>
        <v>sjgs_cat</v>
      </c>
      <c r="B7499" s="65" t="s">
        <v>3988</v>
      </c>
    </row>
    <row r="7500" spans="1:2" x14ac:dyDescent="0.25">
      <c r="A7500" s="64" t="str">
        <f>HYPERLINK("http://www.twitter.com/scotfishmuseum", "scotfishmuseum")</f>
        <v>scotfishmuseum</v>
      </c>
      <c r="B7500" s="65" t="s">
        <v>6291</v>
      </c>
    </row>
    <row r="7501" spans="1:2" x14ac:dyDescent="0.25">
      <c r="A7501" s="64" t="str">
        <f>HYPERLINK("http://www.twitter.com/brisbanepayday", "brisbanepayday")</f>
        <v>brisbanepayday</v>
      </c>
      <c r="B7501" s="65" t="s">
        <v>4222</v>
      </c>
    </row>
    <row r="7502" spans="1:2" x14ac:dyDescent="0.25">
      <c r="A7502" s="64" t="str">
        <f>HYPERLINK("http://www.twitter.com/justinnov8", "justinnov8")</f>
        <v>justinnov8</v>
      </c>
      <c r="B7502" s="65" t="s">
        <v>6292</v>
      </c>
    </row>
    <row r="7503" spans="1:2" x14ac:dyDescent="0.25">
      <c r="A7503" s="64" t="str">
        <f>HYPERLINK("http://www.twitter.com/MikeyPatterson", "MikeyPatterson")</f>
        <v>MikeyPatterson</v>
      </c>
      <c r="B7503" s="65" t="s">
        <v>6293</v>
      </c>
    </row>
    <row r="7504" spans="1:2" x14ac:dyDescent="0.25">
      <c r="A7504" s="64" t="str">
        <f>HYPERLINK("http://www.twitter.com/Cordy59", "Cordy59")</f>
        <v>Cordy59</v>
      </c>
      <c r="B7504" s="65" t="s">
        <v>6294</v>
      </c>
    </row>
    <row r="7505" spans="1:2" x14ac:dyDescent="0.25">
      <c r="A7505" s="64" t="str">
        <f>HYPERLINK("http://www.twitter.com/photo_ace", "photo_ace")</f>
        <v>photo_ace</v>
      </c>
      <c r="B7505" s="65" t="s">
        <v>36</v>
      </c>
    </row>
    <row r="7506" spans="1:2" x14ac:dyDescent="0.25">
      <c r="A7506" s="64" t="str">
        <f>HYPERLINK("http://www.twitter.com/ellenastevens", "ellenastevens")</f>
        <v>ellenastevens</v>
      </c>
      <c r="B7506" s="65"/>
    </row>
    <row r="7507" spans="1:2" x14ac:dyDescent="0.25">
      <c r="A7507" s="64" t="str">
        <f>HYPERLINK("http://www.twitter.com/mono_eric3", "mono_eric3")</f>
        <v>mono_eric3</v>
      </c>
      <c r="B7507" s="65"/>
    </row>
    <row r="7508" spans="1:2" x14ac:dyDescent="0.25">
      <c r="A7508" s="64" t="str">
        <f>HYPERLINK("http://www.twitter.com/ali_hunter", "ali_hunter")</f>
        <v>ali_hunter</v>
      </c>
      <c r="B7508" s="65" t="s">
        <v>5212</v>
      </c>
    </row>
    <row r="7509" spans="1:2" x14ac:dyDescent="0.25">
      <c r="A7509" s="64" t="str">
        <f>HYPERLINK("http://www.twitter.com/cullasys", "cullasys")</f>
        <v>cullasys</v>
      </c>
      <c r="B7509" s="65" t="s">
        <v>36</v>
      </c>
    </row>
    <row r="7510" spans="1:2" x14ac:dyDescent="0.25">
      <c r="A7510" s="64" t="str">
        <f>HYPERLINK("http://www.twitter.com/CakeTowers", "CakeTowers")</f>
        <v>CakeTowers</v>
      </c>
      <c r="B7510" s="65" t="s">
        <v>6295</v>
      </c>
    </row>
    <row r="7511" spans="1:2" x14ac:dyDescent="0.25">
      <c r="A7511" s="64" t="str">
        <f>HYPERLINK("http://www.twitter.com/the_concierge_", "the_concierge_")</f>
        <v>the_concierge_</v>
      </c>
      <c r="B7511" s="65" t="s">
        <v>5774</v>
      </c>
    </row>
    <row r="7512" spans="1:2" x14ac:dyDescent="0.25">
      <c r="A7512" s="64" t="str">
        <f>HYPERLINK("http://www.twitter.com/Berkhamsted_lib", "Berkhamsted_lib")</f>
        <v>Berkhamsted_lib</v>
      </c>
      <c r="B7512" s="65" t="s">
        <v>6296</v>
      </c>
    </row>
    <row r="7513" spans="1:2" x14ac:dyDescent="0.25">
      <c r="A7513" s="64" t="str">
        <f>HYPERLINK("http://www.twitter.com/gonzalezsanch17", "gonzalezsanch17")</f>
        <v>gonzalezsanch17</v>
      </c>
      <c r="B7513" s="65" t="s">
        <v>6297</v>
      </c>
    </row>
    <row r="7514" spans="1:2" x14ac:dyDescent="0.25">
      <c r="A7514" s="64" t="str">
        <f>HYPERLINK("http://www.twitter.com/kittyjmac", "kittyjmac")</f>
        <v>kittyjmac</v>
      </c>
      <c r="B7514" s="65" t="s">
        <v>6298</v>
      </c>
    </row>
    <row r="7515" spans="1:2" x14ac:dyDescent="0.25">
      <c r="A7515" s="64" t="str">
        <f>HYPERLINK("http://www.twitter.com/fatcatjazz", "fatcatjazz")</f>
        <v>fatcatjazz</v>
      </c>
      <c r="B7515" s="65" t="s">
        <v>6299</v>
      </c>
    </row>
    <row r="7516" spans="1:2" x14ac:dyDescent="0.25">
      <c r="A7516" s="64" t="str">
        <f>HYPERLINK("http://www.twitter.com/wobblewomp", "wobblewomp")</f>
        <v>wobblewomp</v>
      </c>
      <c r="B7516" s="65"/>
    </row>
    <row r="7517" spans="1:2" x14ac:dyDescent="0.25">
      <c r="A7517" s="64" t="str">
        <f>HYPERLINK("http://www.twitter.com/AlmondValleyHC", "AlmondValleyHC")</f>
        <v>AlmondValleyHC</v>
      </c>
      <c r="B7517" s="65" t="s">
        <v>4264</v>
      </c>
    </row>
    <row r="7518" spans="1:2" x14ac:dyDescent="0.25">
      <c r="A7518" s="64" t="str">
        <f>HYPERLINK("http://www.twitter.com/cemillkeskin", "cemillkeskin")</f>
        <v>cemillkeskin</v>
      </c>
      <c r="B7518" s="65"/>
    </row>
    <row r="7519" spans="1:2" x14ac:dyDescent="0.25">
      <c r="A7519" s="64" t="str">
        <f>HYPERLINK("http://www.twitter.com/unstmorag", "unstmorag")</f>
        <v>unstmorag</v>
      </c>
      <c r="B7519" s="65" t="s">
        <v>6300</v>
      </c>
    </row>
    <row r="7520" spans="1:2" x14ac:dyDescent="0.25">
      <c r="A7520" s="64" t="str">
        <f>HYPERLINK("http://www.twitter.com/m23b85", "m23b85")</f>
        <v>m23b85</v>
      </c>
      <c r="B7520" s="65" t="s">
        <v>517</v>
      </c>
    </row>
    <row r="7521" spans="1:2" x14ac:dyDescent="0.25">
      <c r="A7521" s="64" t="str">
        <f>HYPERLINK("http://www.twitter.com/andrewwille", "andrewwille")</f>
        <v>andrewwille</v>
      </c>
      <c r="B7521" s="65" t="s">
        <v>36</v>
      </c>
    </row>
    <row r="7522" spans="1:2" x14ac:dyDescent="0.25">
      <c r="A7522" s="64" t="str">
        <f>HYPERLINK("http://www.twitter.com/mcintosh_tanya", "mcintosh_tanya")</f>
        <v>mcintosh_tanya</v>
      </c>
      <c r="B7522" s="65" t="s">
        <v>3988</v>
      </c>
    </row>
    <row r="7523" spans="1:2" x14ac:dyDescent="0.25">
      <c r="A7523" s="64" t="str">
        <f>HYPERLINK("http://www.twitter.com/audiobecky", "audiobecky")</f>
        <v>audiobecky</v>
      </c>
      <c r="B7523" s="65"/>
    </row>
    <row r="7524" spans="1:2" x14ac:dyDescent="0.25">
      <c r="A7524" s="64" t="str">
        <f>HYPERLINK("http://www.twitter.com/steve99999", "steve99999")</f>
        <v>steve99999</v>
      </c>
      <c r="B7524" s="65" t="s">
        <v>708</v>
      </c>
    </row>
    <row r="7525" spans="1:2" x14ac:dyDescent="0.25">
      <c r="A7525" s="64" t="str">
        <f>HYPERLINK("http://www.twitter.com/malarkeymarc", "malarkeymarc")</f>
        <v>malarkeymarc</v>
      </c>
      <c r="B7525" s="65" t="s">
        <v>6301</v>
      </c>
    </row>
    <row r="7526" spans="1:2" x14ac:dyDescent="0.25">
      <c r="A7526" s="64" t="str">
        <f>HYPERLINK("http://www.twitter.com/meadowlass", "meadowlass")</f>
        <v>meadowlass</v>
      </c>
      <c r="B7526" s="65" t="s">
        <v>2185</v>
      </c>
    </row>
    <row r="7527" spans="1:2" x14ac:dyDescent="0.25">
      <c r="A7527" s="64" t="str">
        <f>HYPERLINK("http://www.twitter.com/MandieOS", "MandieOS")</f>
        <v>MandieOS</v>
      </c>
      <c r="B7527" s="65" t="s">
        <v>863</v>
      </c>
    </row>
    <row r="7528" spans="1:2" x14ac:dyDescent="0.25">
      <c r="A7528" s="64" t="str">
        <f>HYPERLINK("http://www.twitter.com/Mairigold13", "Mairigold13")</f>
        <v>Mairigold13</v>
      </c>
      <c r="B7528" s="65" t="s">
        <v>4672</v>
      </c>
    </row>
    <row r="7529" spans="1:2" x14ac:dyDescent="0.25">
      <c r="A7529" s="64" t="str">
        <f>HYPERLINK("http://www.twitter.com/tomtivnan", "tomtivnan")</f>
        <v>tomtivnan</v>
      </c>
      <c r="B7529" s="65" t="s">
        <v>477</v>
      </c>
    </row>
    <row r="7530" spans="1:2" x14ac:dyDescent="0.25">
      <c r="A7530" s="64" t="str">
        <f>HYPERLINK("http://www.twitter.com/funnylad5", "funnylad5")</f>
        <v>funnylad5</v>
      </c>
      <c r="B7530" s="65"/>
    </row>
    <row r="7531" spans="1:2" x14ac:dyDescent="0.25">
      <c r="A7531" s="64" t="str">
        <f>HYPERLINK("http://www.twitter.com/Summerwriter", "Summerwriter")</f>
        <v>Summerwriter</v>
      </c>
      <c r="B7531" s="65" t="s">
        <v>1739</v>
      </c>
    </row>
    <row r="7532" spans="1:2" x14ac:dyDescent="0.25">
      <c r="A7532" s="64" t="str">
        <f>HYPERLINK("http://www.twitter.com/JaneEveriss", "JaneEveriss")</f>
        <v>JaneEveriss</v>
      </c>
      <c r="B7532" s="65"/>
    </row>
    <row r="7533" spans="1:2" x14ac:dyDescent="0.25">
      <c r="A7533" s="64" t="str">
        <f>HYPERLINK("http://www.twitter.com/kukuforkona", "kukuforkona")</f>
        <v>kukuforkona</v>
      </c>
      <c r="B7533" s="65"/>
    </row>
    <row r="7534" spans="1:2" x14ac:dyDescent="0.25">
      <c r="A7534" s="64" t="str">
        <f>HYPERLINK("http://www.twitter.com/judge_abook", "judge_abook")</f>
        <v>judge_abook</v>
      </c>
      <c r="B7534" s="65" t="s">
        <v>487</v>
      </c>
    </row>
    <row r="7535" spans="1:2" x14ac:dyDescent="0.25">
      <c r="A7535" s="64" t="str">
        <f>HYPERLINK("http://www.twitter.com/catherinedeiley", "catherinedeiley")</f>
        <v>catherinedeiley</v>
      </c>
      <c r="B7535" s="65" t="s">
        <v>3936</v>
      </c>
    </row>
    <row r="7536" spans="1:2" x14ac:dyDescent="0.25">
      <c r="A7536" s="64" t="str">
        <f>HYPERLINK("http://www.twitter.com/LouisaPritchard", "LouisaPritchard")</f>
        <v>LouisaPritchard</v>
      </c>
      <c r="B7536" s="65" t="s">
        <v>36</v>
      </c>
    </row>
    <row r="7537" spans="1:2" x14ac:dyDescent="0.25">
      <c r="A7537" s="64" t="str">
        <f>HYPERLINK("http://www.twitter.com/danplaw", "danplaw")</f>
        <v>danplaw</v>
      </c>
      <c r="B7537" s="65" t="s">
        <v>3988</v>
      </c>
    </row>
    <row r="7538" spans="1:2" x14ac:dyDescent="0.25">
      <c r="A7538" s="64" t="str">
        <f>HYPERLINK("http://www.twitter.com/JiJieshihuaidan", "JiJieshihuaidan")</f>
        <v>JiJieshihuaidan</v>
      </c>
      <c r="B7538" s="65" t="s">
        <v>6302</v>
      </c>
    </row>
    <row r="7539" spans="1:2" x14ac:dyDescent="0.25">
      <c r="A7539" s="64" t="str">
        <f>HYPERLINK("http://www.twitter.com/CaitrionaLee", "CaitrionaLee")</f>
        <v>CaitrionaLee</v>
      </c>
      <c r="B7539" s="65" t="s">
        <v>6303</v>
      </c>
    </row>
    <row r="7540" spans="1:2" x14ac:dyDescent="0.25">
      <c r="A7540" s="64" t="str">
        <f>HYPERLINK("http://www.twitter.com/ajbattrick", "ajbattrick")</f>
        <v>ajbattrick</v>
      </c>
      <c r="B7540" s="65" t="s">
        <v>6304</v>
      </c>
    </row>
    <row r="7541" spans="1:2" x14ac:dyDescent="0.25">
      <c r="A7541" s="64" t="str">
        <f>HYPERLINK("http://www.twitter.com/MBAAgents", "MBAAgents")</f>
        <v>MBAAgents</v>
      </c>
      <c r="B7541" s="65" t="s">
        <v>36</v>
      </c>
    </row>
    <row r="7542" spans="1:2" x14ac:dyDescent="0.25">
      <c r="A7542" s="64" t="str">
        <f>HYPERLINK("http://www.twitter.com/andco36", "andco36")</f>
        <v>andco36</v>
      </c>
      <c r="B7542" s="65"/>
    </row>
    <row r="7543" spans="1:2" x14ac:dyDescent="0.25">
      <c r="A7543" s="64" t="str">
        <f>HYPERLINK("http://www.twitter.com/gerkay2", "gerkay2")</f>
        <v>gerkay2</v>
      </c>
      <c r="B7543" s="65"/>
    </row>
    <row r="7544" spans="1:2" x14ac:dyDescent="0.25">
      <c r="A7544" s="64" t="str">
        <f>HYPERLINK("http://www.twitter.com/GraceMCowley", "GraceMCowley")</f>
        <v>GraceMCowley</v>
      </c>
      <c r="B7544" s="65" t="s">
        <v>6305</v>
      </c>
    </row>
    <row r="7545" spans="1:2" x14ac:dyDescent="0.25">
      <c r="A7545" s="64" t="str">
        <f>HYPERLINK("http://www.twitter.com/Jenny_books_art", "Jenny_books_art")</f>
        <v>Jenny_books_art</v>
      </c>
      <c r="B7545" s="65" t="s">
        <v>6306</v>
      </c>
    </row>
    <row r="7546" spans="1:2" x14ac:dyDescent="0.25">
      <c r="A7546" s="64" t="str">
        <f>HYPERLINK("http://www.twitter.com/NatashaShepher5", "NatashaShepher5")</f>
        <v>NatashaShepher5</v>
      </c>
      <c r="B7546" s="65"/>
    </row>
    <row r="7547" spans="1:2" x14ac:dyDescent="0.25">
      <c r="A7547" s="64" t="str">
        <f>HYPERLINK("http://www.twitter.com/k_blackadder", "k_blackadder")</f>
        <v>k_blackadder</v>
      </c>
      <c r="B7547" s="65" t="s">
        <v>487</v>
      </c>
    </row>
    <row r="7548" spans="1:2" x14ac:dyDescent="0.25">
      <c r="A7548" s="64" t="str">
        <f>HYPERLINK("http://www.twitter.com/ajohnbear", "ajohnbear")</f>
        <v>ajohnbear</v>
      </c>
      <c r="B7548" s="65"/>
    </row>
    <row r="7549" spans="1:2" x14ac:dyDescent="0.25">
      <c r="A7549" s="64" t="str">
        <f>HYPERLINK("http://www.twitter.com/Jackie_57_", "Jackie_57_")</f>
        <v>Jackie_57_</v>
      </c>
      <c r="B7549" s="65" t="s">
        <v>6307</v>
      </c>
    </row>
    <row r="7550" spans="1:2" x14ac:dyDescent="0.25">
      <c r="A7550" s="64" t="str">
        <f>HYPERLINK("http://www.twitter.com/AnimalVeg3", "AnimalVeg3")</f>
        <v>AnimalVeg3</v>
      </c>
      <c r="B7550" s="65"/>
    </row>
    <row r="7551" spans="1:2" x14ac:dyDescent="0.25">
      <c r="A7551" s="64" t="str">
        <f>HYPERLINK("http://www.twitter.com/elmacn", "elmacn")</f>
        <v>elmacn</v>
      </c>
      <c r="B7551" s="65"/>
    </row>
    <row r="7552" spans="1:2" x14ac:dyDescent="0.25">
      <c r="A7552" s="64" t="str">
        <f>HYPERLINK("http://www.twitter.com/silverloafers", "silverloafers")</f>
        <v>silverloafers</v>
      </c>
      <c r="B7552" s="65" t="s">
        <v>318</v>
      </c>
    </row>
    <row r="7553" spans="1:2" x14ac:dyDescent="0.25">
      <c r="A7553" s="64" t="str">
        <f>HYPERLINK("http://www.twitter.com/TheDaemonBarber", "TheDaemonBarber")</f>
        <v>TheDaemonBarber</v>
      </c>
      <c r="B7553" s="65" t="s">
        <v>24</v>
      </c>
    </row>
    <row r="7554" spans="1:2" x14ac:dyDescent="0.25">
      <c r="A7554" s="64" t="str">
        <f>HYPERLINK("http://www.twitter.com/LucyHunterB", "LucyHunterB")</f>
        <v>LucyHunterB</v>
      </c>
      <c r="B7554" s="65" t="s">
        <v>24</v>
      </c>
    </row>
    <row r="7555" spans="1:2" x14ac:dyDescent="0.25">
      <c r="A7555" s="64" t="str">
        <f>HYPERLINK("http://www.twitter.com/ashleyknits", "ashleyknits")</f>
        <v>ashleyknits</v>
      </c>
      <c r="B7555" s="65" t="s">
        <v>296</v>
      </c>
    </row>
    <row r="7556" spans="1:2" x14ac:dyDescent="0.25">
      <c r="A7556" s="64" t="str">
        <f>HYPERLINK("http://www.twitter.com/katiebarnard23", "katiebarnard23")</f>
        <v>katiebarnard23</v>
      </c>
      <c r="B7556" s="65"/>
    </row>
    <row r="7557" spans="1:2" x14ac:dyDescent="0.25">
      <c r="A7557" s="64" t="str">
        <f>HYPERLINK("http://www.twitter.com/dennasus", "dennasus")</f>
        <v>dennasus</v>
      </c>
      <c r="B7557" s="65" t="s">
        <v>6308</v>
      </c>
    </row>
    <row r="7558" spans="1:2" x14ac:dyDescent="0.25">
      <c r="A7558" s="64" t="str">
        <f>HYPERLINK("http://www.twitter.com/StJohnKarp", "StJohnKarp")</f>
        <v>StJohnKarp</v>
      </c>
      <c r="B7558" s="65"/>
    </row>
    <row r="7559" spans="1:2" x14ac:dyDescent="0.25">
      <c r="A7559" s="64" t="str">
        <f>HYPERLINK("http://www.twitter.com/JulieMo05090387", "JulieMo05090387")</f>
        <v>JulieMo05090387</v>
      </c>
      <c r="B7559" s="65" t="s">
        <v>4529</v>
      </c>
    </row>
    <row r="7560" spans="1:2" x14ac:dyDescent="0.25">
      <c r="A7560" s="64" t="str">
        <f>HYPERLINK("http://www.twitter.com/rachelfc", "rachelfc")</f>
        <v>rachelfc</v>
      </c>
      <c r="B7560" s="65" t="s">
        <v>1180</v>
      </c>
    </row>
    <row r="7561" spans="1:2" x14ac:dyDescent="0.25">
      <c r="A7561" s="64" t="str">
        <f>HYPERLINK("http://www.twitter.com/TricEmmatops", "TricEmmatops")</f>
        <v>TricEmmatops</v>
      </c>
      <c r="B7561" s="65"/>
    </row>
    <row r="7562" spans="1:2" x14ac:dyDescent="0.25">
      <c r="A7562" s="64" t="str">
        <f>HYPERLINK("http://www.twitter.com/Hicksdesign", "Hicksdesign")</f>
        <v>Hicksdesign</v>
      </c>
      <c r="B7562" s="65" t="s">
        <v>6309</v>
      </c>
    </row>
    <row r="7563" spans="1:2" x14ac:dyDescent="0.25">
      <c r="A7563" s="64" t="str">
        <f>HYPERLINK("http://www.twitter.com/SheZeytin", "SheZeytin")</f>
        <v>SheZeytin</v>
      </c>
      <c r="B7563" s="65" t="s">
        <v>3980</v>
      </c>
    </row>
    <row r="7564" spans="1:2" x14ac:dyDescent="0.25">
      <c r="A7564" s="64" t="str">
        <f>HYPERLINK("http://www.twitter.com/DMM7Cymru", "DMM7Cymru")</f>
        <v>DMM7Cymru</v>
      </c>
      <c r="B7564" s="65" t="s">
        <v>1008</v>
      </c>
    </row>
    <row r="7565" spans="1:2" x14ac:dyDescent="0.25">
      <c r="A7565" s="64" t="str">
        <f>HYPERLINK("http://www.twitter.com/badga1966", "badga1966")</f>
        <v>badga1966</v>
      </c>
      <c r="B7565" s="65"/>
    </row>
    <row r="7566" spans="1:2" x14ac:dyDescent="0.25">
      <c r="A7566" s="64" t="str">
        <f>HYPERLINK("http://www.twitter.com/MrsSpydahflowaz", "MrsSpydahflowaz")</f>
        <v>MrsSpydahflowaz</v>
      </c>
      <c r="B7566" s="65" t="s">
        <v>6310</v>
      </c>
    </row>
    <row r="7567" spans="1:2" x14ac:dyDescent="0.25">
      <c r="A7567" s="64" t="str">
        <f>HYPERLINK("http://www.twitter.com/st280302", "st280302")</f>
        <v>st280302</v>
      </c>
      <c r="B7567" s="65"/>
    </row>
    <row r="7568" spans="1:2" x14ac:dyDescent="0.25">
      <c r="A7568" s="64" t="str">
        <f>HYPERLINK("http://www.twitter.com/SquintyBrig", "SquintyBrig")</f>
        <v>SquintyBrig</v>
      </c>
      <c r="B7568" s="65" t="s">
        <v>318</v>
      </c>
    </row>
    <row r="7569" spans="1:2" x14ac:dyDescent="0.25">
      <c r="A7569" s="64" t="str">
        <f>HYPERLINK("http://www.twitter.com/EliLouiseITV", "EliLouiseITV")</f>
        <v>EliLouiseITV</v>
      </c>
      <c r="B7569" s="65"/>
    </row>
    <row r="7570" spans="1:2" x14ac:dyDescent="0.25">
      <c r="A7570" s="64" t="str">
        <f>HYPERLINK("http://www.twitter.com/xReziiii", "xReziiii")</f>
        <v>xReziiii</v>
      </c>
      <c r="B7570" s="65"/>
    </row>
    <row r="7571" spans="1:2" x14ac:dyDescent="0.25">
      <c r="A7571" s="64" t="str">
        <f>HYPERLINK("http://www.twitter.com/QPCC_Glasgow", "QPCC_Glasgow")</f>
        <v>QPCC_Glasgow</v>
      </c>
      <c r="B7571" s="65" t="s">
        <v>318</v>
      </c>
    </row>
    <row r="7572" spans="1:2" x14ac:dyDescent="0.25">
      <c r="A7572" s="64" t="str">
        <f>HYPERLINK("http://www.twitter.com/lisacardy", "lisacardy")</f>
        <v>lisacardy</v>
      </c>
      <c r="B7572" s="65" t="s">
        <v>477</v>
      </c>
    </row>
    <row r="7573" spans="1:2" x14ac:dyDescent="0.25">
      <c r="A7573" s="64" t="str">
        <f>HYPERLINK("http://www.twitter.com/ptupdate", "ptupdate")</f>
        <v>ptupdate</v>
      </c>
      <c r="B7573" s="65" t="s">
        <v>517</v>
      </c>
    </row>
    <row r="7574" spans="1:2" x14ac:dyDescent="0.25">
      <c r="A7574" s="64" t="str">
        <f>HYPERLINK("http://www.twitter.com/normanmacaskill", "normanmacaskill")</f>
        <v>normanmacaskill</v>
      </c>
      <c r="B7574" s="65" t="s">
        <v>6311</v>
      </c>
    </row>
    <row r="7575" spans="1:2" x14ac:dyDescent="0.25">
      <c r="A7575" s="64" t="str">
        <f>HYPERLINK("http://www.twitter.com/Alexandria_Swin", "Alexandria_Swin")</f>
        <v>Alexandria_Swin</v>
      </c>
      <c r="B7575" s="65" t="s">
        <v>3978</v>
      </c>
    </row>
    <row r="7576" spans="1:2" x14ac:dyDescent="0.25">
      <c r="A7576" s="64" t="str">
        <f>HYPERLINK("http://www.twitter.com/agit_se", "agit_se")</f>
        <v>agit_se</v>
      </c>
      <c r="B7576" s="65" t="s">
        <v>5417</v>
      </c>
    </row>
    <row r="7577" spans="1:2" x14ac:dyDescent="0.25">
      <c r="A7577" s="64" t="str">
        <f>HYPERLINK("http://www.twitter.com/Helen418", "Helen418")</f>
        <v>Helen418</v>
      </c>
      <c r="B7577" s="65" t="s">
        <v>70</v>
      </c>
    </row>
    <row r="7578" spans="1:2" x14ac:dyDescent="0.25">
      <c r="A7578" s="64" t="str">
        <f>HYPERLINK("http://www.twitter.com/ClarkGill8", "ClarkGill8")</f>
        <v>ClarkGill8</v>
      </c>
      <c r="B7578" s="65" t="s">
        <v>93</v>
      </c>
    </row>
    <row r="7579" spans="1:2" x14ac:dyDescent="0.25">
      <c r="A7579" s="64" t="str">
        <f>HYPERLINK("http://www.twitter.com/Hapfairy", "Hapfairy")</f>
        <v>Hapfairy</v>
      </c>
      <c r="B7579" s="65" t="s">
        <v>296</v>
      </c>
    </row>
    <row r="7580" spans="1:2" x14ac:dyDescent="0.25">
      <c r="A7580" s="64" t="str">
        <f>HYPERLINK("http://www.twitter.com/feb68", "feb68")</f>
        <v>feb68</v>
      </c>
      <c r="B7580" s="65"/>
    </row>
    <row r="7581" spans="1:2" x14ac:dyDescent="0.25">
      <c r="A7581" s="64" t="str">
        <f>HYPERLINK("http://www.twitter.com/jpcrafty", "jpcrafty")</f>
        <v>jpcrafty</v>
      </c>
      <c r="B7581" s="65" t="s">
        <v>6312</v>
      </c>
    </row>
    <row r="7582" spans="1:2" x14ac:dyDescent="0.25">
      <c r="A7582" s="64" t="str">
        <f>HYPERLINK("http://www.twitter.com/PaintyAimee", "PaintyAimee")</f>
        <v>PaintyAimee</v>
      </c>
      <c r="B7582" s="65" t="s">
        <v>36</v>
      </c>
    </row>
    <row r="7583" spans="1:2" x14ac:dyDescent="0.25">
      <c r="A7583" s="64" t="str">
        <f>HYPERLINK("http://www.twitter.com/notesonpaper", "notesonpaper")</f>
        <v>notesonpaper</v>
      </c>
      <c r="B7583" s="65" t="s">
        <v>6313</v>
      </c>
    </row>
    <row r="7584" spans="1:2" x14ac:dyDescent="0.25">
      <c r="A7584" s="64" t="str">
        <f>HYPERLINK("http://www.twitter.com/jaygooby", "jaygooby")</f>
        <v>jaygooby</v>
      </c>
      <c r="B7584" s="65" t="s">
        <v>6314</v>
      </c>
    </row>
    <row r="7585" spans="1:2" x14ac:dyDescent="0.25">
      <c r="A7585" s="64" t="str">
        <f>HYPERLINK("http://www.twitter.com/ChloeEBennett2", "ChloeEBennett2")</f>
        <v>ChloeEBennett2</v>
      </c>
      <c r="B7585" s="65" t="s">
        <v>2007</v>
      </c>
    </row>
    <row r="7586" spans="1:2" x14ac:dyDescent="0.25">
      <c r="A7586" s="64" t="str">
        <f>HYPERLINK("http://www.twitter.com/cathode_blue", "cathode_blue")</f>
        <v>cathode_blue</v>
      </c>
      <c r="B7586" s="65" t="s">
        <v>6315</v>
      </c>
    </row>
    <row r="7587" spans="1:2" x14ac:dyDescent="0.25">
      <c r="A7587" s="64" t="str">
        <f>HYPERLINK("http://www.twitter.com/ElvisInTheWoods", "ElvisInTheWoods")</f>
        <v>ElvisInTheWoods</v>
      </c>
      <c r="B7587" s="65" t="s">
        <v>6316</v>
      </c>
    </row>
    <row r="7588" spans="1:2" x14ac:dyDescent="0.25">
      <c r="A7588" s="64" t="str">
        <f>HYPERLINK("http://www.twitter.com/marxculture", "marxculture")</f>
        <v>marxculture</v>
      </c>
      <c r="B7588" s="65" t="s">
        <v>36</v>
      </c>
    </row>
    <row r="7589" spans="1:2" x14ac:dyDescent="0.25">
      <c r="A7589" s="64" t="str">
        <f>HYPERLINK("http://www.twitter.com/imagineinquiry", "imagineinquiry")</f>
        <v>imagineinquiry</v>
      </c>
      <c r="B7589" s="65" t="s">
        <v>1511</v>
      </c>
    </row>
    <row r="7590" spans="1:2" x14ac:dyDescent="0.25">
      <c r="A7590" s="64" t="str">
        <f>HYPERLINK("http://www.twitter.com/theamycoop", "theamycoop")</f>
        <v>theamycoop</v>
      </c>
      <c r="B7590" s="65" t="s">
        <v>6171</v>
      </c>
    </row>
    <row r="7591" spans="1:2" x14ac:dyDescent="0.25">
      <c r="A7591" s="64" t="str">
        <f>HYPERLINK("http://www.twitter.com/joneyi1", "joneyi1")</f>
        <v>joneyi1</v>
      </c>
      <c r="B7591" s="65" t="s">
        <v>6317</v>
      </c>
    </row>
    <row r="7592" spans="1:2" x14ac:dyDescent="0.25">
      <c r="A7592" s="64" t="str">
        <f>HYPERLINK("http://www.twitter.com/ekmkemp", "ekmkemp")</f>
        <v>ekmkemp</v>
      </c>
      <c r="B7592" s="65" t="s">
        <v>6318</v>
      </c>
    </row>
    <row r="7593" spans="1:2" x14ac:dyDescent="0.25">
      <c r="A7593" s="64" t="str">
        <f>HYPERLINK("http://www.twitter.com/alexandra_paton", "alexandra_paton")</f>
        <v>alexandra_paton</v>
      </c>
      <c r="B7593" s="65" t="s">
        <v>5926</v>
      </c>
    </row>
    <row r="7594" spans="1:2" x14ac:dyDescent="0.25">
      <c r="A7594" s="64" t="str">
        <f>HYPERLINK("http://www.twitter.com/mellaharding", "mellaharding")</f>
        <v>mellaharding</v>
      </c>
      <c r="B7594" s="65"/>
    </row>
    <row r="7595" spans="1:2" x14ac:dyDescent="0.25">
      <c r="A7595" s="64" t="str">
        <f>HYPERLINK("http://www.twitter.com/kaff1972", "kaff1972")</f>
        <v>kaff1972</v>
      </c>
      <c r="B7595" s="65" t="s">
        <v>2007</v>
      </c>
    </row>
    <row r="7596" spans="1:2" x14ac:dyDescent="0.25">
      <c r="A7596" s="64" t="str">
        <f>HYPERLINK("http://www.twitter.com/DiederickSant", "DiederickSant")</f>
        <v>DiederickSant</v>
      </c>
      <c r="B7596" s="65"/>
    </row>
    <row r="7597" spans="1:2" x14ac:dyDescent="0.25">
      <c r="A7597" s="64" t="str">
        <f>HYPERLINK("http://www.twitter.com/tonyboydell", "tonyboydell")</f>
        <v>tonyboydell</v>
      </c>
      <c r="B7597" s="65" t="s">
        <v>6319</v>
      </c>
    </row>
    <row r="7598" spans="1:2" x14ac:dyDescent="0.25">
      <c r="A7598" s="64" t="str">
        <f>HYPERLINK("http://www.twitter.com/ClothesinBooks", "ClothesinBooks")</f>
        <v>ClothesinBooks</v>
      </c>
      <c r="B7598" s="65" t="s">
        <v>6320</v>
      </c>
    </row>
    <row r="7599" spans="1:2" x14ac:dyDescent="0.25">
      <c r="A7599" s="64" t="str">
        <f>HYPERLINK("http://www.twitter.com/Joanna027", "Joanna027")</f>
        <v>Joanna027</v>
      </c>
      <c r="B7599" s="65"/>
    </row>
    <row r="7600" spans="1:2" x14ac:dyDescent="0.25">
      <c r="A7600" s="64" t="str">
        <f>HYPERLINK("http://www.twitter.com/Bascule_Rascule", "Bascule_Rascule")</f>
        <v>Bascule_Rascule</v>
      </c>
      <c r="B7600" s="65"/>
    </row>
    <row r="7601" spans="1:2" x14ac:dyDescent="0.25">
      <c r="A7601" s="64" t="str">
        <f>HYPERLINK("http://www.twitter.com/georgeepainter", "georgeepainter")</f>
        <v>georgeepainter</v>
      </c>
      <c r="B7601" s="65"/>
    </row>
    <row r="7602" spans="1:2" x14ac:dyDescent="0.25">
      <c r="A7602" s="64" t="str">
        <f>HYPERLINK("http://www.twitter.com/solicitorad", "solicitorad")</f>
        <v>solicitorad</v>
      </c>
      <c r="B7602" s="65" t="s">
        <v>6321</v>
      </c>
    </row>
    <row r="7603" spans="1:2" x14ac:dyDescent="0.25">
      <c r="A7603" s="64" t="str">
        <f>HYPERLINK("http://www.twitter.com/hankfultron", "hankfultron")</f>
        <v>hankfultron</v>
      </c>
      <c r="B7603" s="65"/>
    </row>
    <row r="7604" spans="1:2" x14ac:dyDescent="0.25">
      <c r="A7604" s="64" t="str">
        <f>HYPERLINK("http://www.twitter.com/madelineraynor_", "madelineraynor_")</f>
        <v>madelineraynor_</v>
      </c>
      <c r="B7604" s="65" t="s">
        <v>4145</v>
      </c>
    </row>
    <row r="7605" spans="1:2" x14ac:dyDescent="0.25">
      <c r="A7605" s="64" t="str">
        <f>HYPERLINK("http://www.twitter.com/JustinEwald1", "JustinEwald1")</f>
        <v>JustinEwald1</v>
      </c>
      <c r="B7605" s="65"/>
    </row>
    <row r="7606" spans="1:2" x14ac:dyDescent="0.25">
      <c r="A7606" s="64" t="str">
        <f>HYPERLINK("http://www.twitter.com/JulieWa19885452", "JulieWa19885452")</f>
        <v>JulieWa19885452</v>
      </c>
      <c r="B7606" s="65"/>
    </row>
    <row r="7607" spans="1:2" x14ac:dyDescent="0.25">
      <c r="A7607" s="64" t="str">
        <f>HYPERLINK("http://www.twitter.com/monkeysevilball", "monkeysevilball")</f>
        <v>monkeysevilball</v>
      </c>
      <c r="B7607" s="65"/>
    </row>
    <row r="7608" spans="1:2" x14ac:dyDescent="0.25">
      <c r="A7608" s="64" t="str">
        <f>HYPERLINK("http://www.twitter.com/jane_mcdonough", "jane_mcdonough")</f>
        <v>jane_mcdonough</v>
      </c>
      <c r="B7608" s="65" t="s">
        <v>6322</v>
      </c>
    </row>
    <row r="7609" spans="1:2" x14ac:dyDescent="0.25">
      <c r="A7609" s="64" t="str">
        <f>HYPERLINK("http://www.twitter.com/HQstories", "HQstories")</f>
        <v>HQstories</v>
      </c>
      <c r="B7609" s="65" t="s">
        <v>477</v>
      </c>
    </row>
    <row r="7610" spans="1:2" x14ac:dyDescent="0.25">
      <c r="A7610" s="64" t="str">
        <f>HYPERLINK("http://www.twitter.com/LSCCYFLibrary", "LSCCYFLibrary")</f>
        <v>LSCCYFLibrary</v>
      </c>
      <c r="B7610" s="65" t="s">
        <v>6323</v>
      </c>
    </row>
    <row r="7611" spans="1:2" x14ac:dyDescent="0.25">
      <c r="A7611" s="64" t="str">
        <f>HYPERLINK("http://www.twitter.com/SimonWHall", "SimonWHall")</f>
        <v>SimonWHall</v>
      </c>
      <c r="B7611" s="65"/>
    </row>
    <row r="7612" spans="1:2" x14ac:dyDescent="0.25">
      <c r="A7612" s="64" t="str">
        <f>HYPERLINK("http://www.twitter.com/silvercitysurf", "silvercitysurf")</f>
        <v>silvercitysurf</v>
      </c>
      <c r="B7612" s="65" t="s">
        <v>569</v>
      </c>
    </row>
    <row r="7613" spans="1:2" x14ac:dyDescent="0.25">
      <c r="A7613" s="64" t="str">
        <f>HYPERLINK("http://www.twitter.com/ryryanryanry", "ryryanryanry")</f>
        <v>ryryanryanry</v>
      </c>
      <c r="B7613" s="65"/>
    </row>
    <row r="7614" spans="1:2" x14ac:dyDescent="0.25">
      <c r="A7614" s="64" t="str">
        <f>HYPERLINK("http://www.twitter.com/ItsmeAnnieB", "ItsmeAnnieB")</f>
        <v>ItsmeAnnieB</v>
      </c>
      <c r="B7614" s="65" t="s">
        <v>6324</v>
      </c>
    </row>
    <row r="7615" spans="1:2" x14ac:dyDescent="0.25">
      <c r="A7615" s="64" t="str">
        <f>HYPERLINK("http://www.twitter.com/ObscureBside", "ObscureBside")</f>
        <v>ObscureBside</v>
      </c>
      <c r="B7615" s="65" t="s">
        <v>517</v>
      </c>
    </row>
    <row r="7616" spans="1:2" x14ac:dyDescent="0.25">
      <c r="A7616" s="64" t="str">
        <f>HYPERLINK("http://www.twitter.com/arushapot", "arushapot")</f>
        <v>arushapot</v>
      </c>
      <c r="B7616" s="65" t="s">
        <v>6325</v>
      </c>
    </row>
    <row r="7617" spans="1:2" x14ac:dyDescent="0.25">
      <c r="A7617" s="64" t="str">
        <f>HYPERLINK("http://www.twitter.com/LyndonMarquis", "LyndonMarquis")</f>
        <v>LyndonMarquis</v>
      </c>
      <c r="B7617" s="65" t="s">
        <v>6326</v>
      </c>
    </row>
    <row r="7618" spans="1:2" x14ac:dyDescent="0.25">
      <c r="A7618" s="64" t="str">
        <f>HYPERLINK("http://www.twitter.com/am5568", "am5568")</f>
        <v>am5568</v>
      </c>
      <c r="B7618" s="65" t="s">
        <v>6327</v>
      </c>
    </row>
    <row r="7619" spans="1:2" x14ac:dyDescent="0.25">
      <c r="A7619" s="64" t="str">
        <f>HYPERLINK("http://www.twitter.com/Archaeosound", "Archaeosound")</f>
        <v>Archaeosound</v>
      </c>
      <c r="B7619" s="65" t="s">
        <v>36</v>
      </c>
    </row>
    <row r="7620" spans="1:2" x14ac:dyDescent="0.25">
      <c r="A7620" s="64" t="str">
        <f>HYPERLINK("http://www.twitter.com/rlwills", "rlwills")</f>
        <v>rlwills</v>
      </c>
      <c r="B7620" s="65" t="s">
        <v>1666</v>
      </c>
    </row>
    <row r="7621" spans="1:2" x14ac:dyDescent="0.25">
      <c r="A7621" s="64" t="str">
        <f>HYPERLINK("http://www.twitter.com/higgsie88", "higgsie88")</f>
        <v>higgsie88</v>
      </c>
      <c r="B7621" s="65"/>
    </row>
    <row r="7622" spans="1:2" x14ac:dyDescent="0.25">
      <c r="A7622" s="64" t="str">
        <f>HYPERLINK("http://www.twitter.com/cosynorfolk", "cosynorfolk")</f>
        <v>cosynorfolk</v>
      </c>
      <c r="B7622" s="65" t="s">
        <v>6328</v>
      </c>
    </row>
    <row r="7623" spans="1:2" x14ac:dyDescent="0.25">
      <c r="A7623" s="64" t="str">
        <f>HYPERLINK("http://www.twitter.com/RummlieTum", "RummlieTum")</f>
        <v>RummlieTum</v>
      </c>
      <c r="B7623" s="65" t="s">
        <v>517</v>
      </c>
    </row>
    <row r="7624" spans="1:2" x14ac:dyDescent="0.25">
      <c r="A7624" s="64" t="str">
        <f>HYPERLINK("http://www.twitter.com/sockeyejo", "sockeyejo")</f>
        <v>sockeyejo</v>
      </c>
      <c r="B7624" s="65" t="s">
        <v>1810</v>
      </c>
    </row>
    <row r="7625" spans="1:2" x14ac:dyDescent="0.25">
      <c r="A7625" s="64" t="str">
        <f>HYPERLINK("http://www.twitter.com/duffyeva", "duffyeva")</f>
        <v>duffyeva</v>
      </c>
      <c r="B7625" s="65" t="s">
        <v>6329</v>
      </c>
    </row>
    <row r="7626" spans="1:2" x14ac:dyDescent="0.25">
      <c r="A7626" s="64" t="str">
        <f>HYPERLINK("http://www.twitter.com/gseancase", "gseancase")</f>
        <v>gseancase</v>
      </c>
      <c r="B7626" s="65" t="s">
        <v>6330</v>
      </c>
    </row>
    <row r="7627" spans="1:2" x14ac:dyDescent="0.25">
      <c r="A7627" s="64" t="str">
        <f>HYPERLINK("http://www.twitter.com/dolewaller", "dolewaller")</f>
        <v>dolewaller</v>
      </c>
      <c r="B7627" s="65" t="s">
        <v>5942</v>
      </c>
    </row>
    <row r="7628" spans="1:2" x14ac:dyDescent="0.25">
      <c r="A7628" s="64" t="str">
        <f>HYPERLINK("http://www.twitter.com/2covet", "2covet")</f>
        <v>2covet</v>
      </c>
      <c r="B7628" s="65" t="s">
        <v>6331</v>
      </c>
    </row>
    <row r="7629" spans="1:2" x14ac:dyDescent="0.25">
      <c r="A7629" s="64" t="str">
        <f>HYPERLINK("http://www.twitter.com/natkitch23", "natkitch23")</f>
        <v>natkitch23</v>
      </c>
      <c r="B7629" s="65" t="s">
        <v>6332</v>
      </c>
    </row>
    <row r="7630" spans="1:2" x14ac:dyDescent="0.25">
      <c r="A7630" s="64" t="str">
        <f>HYPERLINK("http://www.twitter.com/daniel_williams", "daniel_williams")</f>
        <v>daniel_williams</v>
      </c>
      <c r="B7630" s="65" t="s">
        <v>318</v>
      </c>
    </row>
    <row r="7631" spans="1:2" x14ac:dyDescent="0.25">
      <c r="A7631" s="64" t="str">
        <f>HYPERLINK("http://www.twitter.com/RachelHayward5", "RachelHayward5")</f>
        <v>RachelHayward5</v>
      </c>
      <c r="B7631" s="65" t="s">
        <v>4117</v>
      </c>
    </row>
    <row r="7632" spans="1:2" x14ac:dyDescent="0.25">
      <c r="A7632" s="64" t="str">
        <f>HYPERLINK("http://www.twitter.com/arpitgupte", "arpitgupte")</f>
        <v>arpitgupte</v>
      </c>
      <c r="B7632" s="65" t="s">
        <v>6333</v>
      </c>
    </row>
    <row r="7633" spans="1:2" x14ac:dyDescent="0.25">
      <c r="A7633" s="64" t="str">
        <f>HYPERLINK("http://www.twitter.com/mattvalleau", "mattvalleau")</f>
        <v>mattvalleau</v>
      </c>
      <c r="B7633" s="65"/>
    </row>
    <row r="7634" spans="1:2" x14ac:dyDescent="0.25">
      <c r="A7634" s="64" t="str">
        <f>HYPERLINK("http://www.twitter.com/_Hayley_L", "_Hayley_L")</f>
        <v>_Hayley_L</v>
      </c>
      <c r="B7634" s="65" t="s">
        <v>6334</v>
      </c>
    </row>
    <row r="7635" spans="1:2" x14ac:dyDescent="0.25">
      <c r="A7635" s="64" t="str">
        <f>HYPERLINK("http://www.twitter.com/teithedriver", "teithedriver")</f>
        <v>teithedriver</v>
      </c>
      <c r="B7635" s="65" t="s">
        <v>5355</v>
      </c>
    </row>
    <row r="7636" spans="1:2" x14ac:dyDescent="0.25">
      <c r="A7636" s="64" t="str">
        <f>HYPERLINK("http://www.twitter.com/troon1874", "troon1874")</f>
        <v>troon1874</v>
      </c>
      <c r="B7636" s="65" t="s">
        <v>24</v>
      </c>
    </row>
    <row r="7637" spans="1:2" x14ac:dyDescent="0.25">
      <c r="A7637" s="64" t="str">
        <f>HYPERLINK("http://www.twitter.com/SafetyHarborLib", "SafetyHarborLib")</f>
        <v>SafetyHarborLib</v>
      </c>
      <c r="B7637" s="65" t="s">
        <v>6335</v>
      </c>
    </row>
    <row r="7638" spans="1:2" x14ac:dyDescent="0.25">
      <c r="A7638" s="64" t="str">
        <f>HYPERLINK("http://www.twitter.com/Jp_wise", "Jp_wise")</f>
        <v>Jp_wise</v>
      </c>
      <c r="B7638" s="65" t="s">
        <v>6336</v>
      </c>
    </row>
    <row r="7639" spans="1:2" x14ac:dyDescent="0.25">
      <c r="A7639" s="64" t="str">
        <f>HYPERLINK("http://www.twitter.com/jyloo", "jyloo")</f>
        <v>jyloo</v>
      </c>
      <c r="B7639" s="65"/>
    </row>
    <row r="7640" spans="1:2" x14ac:dyDescent="0.25">
      <c r="A7640" s="64" t="str">
        <f>HYPERLINK("http://www.twitter.com/davidchoat", "davidchoat")</f>
        <v>davidchoat</v>
      </c>
      <c r="B7640" s="65" t="s">
        <v>3974</v>
      </c>
    </row>
    <row r="7641" spans="1:2" x14ac:dyDescent="0.25">
      <c r="A7641" s="64" t="str">
        <f>HYPERLINK("http://www.twitter.com/BMHayward", "BMHayward")</f>
        <v>BMHayward</v>
      </c>
      <c r="B7641" s="65"/>
    </row>
    <row r="7642" spans="1:2" x14ac:dyDescent="0.25">
      <c r="A7642" s="64" t="str">
        <f>HYPERLINK("http://www.twitter.com/LaBellePixie", "LaBellePixie")</f>
        <v>LaBellePixie</v>
      </c>
      <c r="B7642" s="65"/>
    </row>
    <row r="7643" spans="1:2" x14ac:dyDescent="0.25">
      <c r="A7643" s="64" t="str">
        <f>HYPERLINK("http://www.twitter.com/BudgenRupert", "BudgenRupert")</f>
        <v>BudgenRupert</v>
      </c>
      <c r="B7643" s="65" t="s">
        <v>6337</v>
      </c>
    </row>
    <row r="7644" spans="1:2" x14ac:dyDescent="0.25">
      <c r="A7644" s="64" t="str">
        <f>HYPERLINK("http://www.twitter.com/jdpeterson", "jdpeterson")</f>
        <v>jdpeterson</v>
      </c>
      <c r="B7644" s="65" t="s">
        <v>6338</v>
      </c>
    </row>
    <row r="7645" spans="1:2" x14ac:dyDescent="0.25">
      <c r="A7645" s="64" t="str">
        <f>HYPERLINK("http://www.twitter.com/sitar", "sitar")</f>
        <v>sitar</v>
      </c>
      <c r="B7645" s="65" t="s">
        <v>6339</v>
      </c>
    </row>
    <row r="7646" spans="1:2" x14ac:dyDescent="0.25">
      <c r="A7646" s="64" t="str">
        <f>HYPERLINK("http://www.twitter.com/BBCRadMac", "BBCRadMac")</f>
        <v>BBCRadMac</v>
      </c>
      <c r="B7646" s="65" t="s">
        <v>6340</v>
      </c>
    </row>
    <row r="7647" spans="1:2" x14ac:dyDescent="0.25">
      <c r="A7647" s="64" t="str">
        <f>HYPERLINK("http://www.twitter.com/Muirmacfarlane", "Muirmacfarlane")</f>
        <v>Muirmacfarlane</v>
      </c>
      <c r="B7647" s="65"/>
    </row>
    <row r="7648" spans="1:2" x14ac:dyDescent="0.25">
      <c r="A7648" s="64" t="str">
        <f>HYPERLINK("http://www.twitter.com/HToulmin", "HToulmin")</f>
        <v>HToulmin</v>
      </c>
      <c r="B7648" s="65"/>
    </row>
    <row r="7649" spans="1:2" x14ac:dyDescent="0.25">
      <c r="A7649" s="64" t="str">
        <f>HYPERLINK("http://www.twitter.com/craigiec", "craigiec")</f>
        <v>craigiec</v>
      </c>
      <c r="B7649" s="65" t="s">
        <v>138</v>
      </c>
    </row>
    <row r="7650" spans="1:2" x14ac:dyDescent="0.25">
      <c r="A7650" s="64" t="str">
        <f>HYPERLINK("http://www.twitter.com/betamother", "betamother")</f>
        <v>betamother</v>
      </c>
      <c r="B7650" s="65" t="s">
        <v>24</v>
      </c>
    </row>
    <row r="7651" spans="1:2" x14ac:dyDescent="0.25">
      <c r="A7651" s="64" t="str">
        <f>HYPERLINK("http://www.twitter.com/MilesKlee", "MilesKlee")</f>
        <v>MilesKlee</v>
      </c>
      <c r="B7651" s="65" t="s">
        <v>6341</v>
      </c>
    </row>
    <row r="7652" spans="1:2" x14ac:dyDescent="0.25">
      <c r="A7652" s="64" t="str">
        <f>HYPERLINK("http://www.twitter.com/ann_szilagyi", "ann_szilagyi")</f>
        <v>ann_szilagyi</v>
      </c>
      <c r="B7652" s="65"/>
    </row>
    <row r="7653" spans="1:2" x14ac:dyDescent="0.25">
      <c r="A7653" s="64" t="str">
        <f>HYPERLINK("http://www.twitter.com/LucyClapham", "LucyClapham")</f>
        <v>LucyClapham</v>
      </c>
      <c r="B7653" s="65" t="s">
        <v>6342</v>
      </c>
    </row>
    <row r="7654" spans="1:2" x14ac:dyDescent="0.25">
      <c r="A7654" s="64" t="str">
        <f>HYPERLINK("http://www.twitter.com/GardenStacey", "GardenStacey")</f>
        <v>GardenStacey</v>
      </c>
      <c r="B7654" s="65" t="s">
        <v>6343</v>
      </c>
    </row>
    <row r="7655" spans="1:2" x14ac:dyDescent="0.25">
      <c r="A7655" s="64" t="str">
        <f>HYPERLINK("http://www.twitter.com/1teaminglasgow", "1teaminglasgow")</f>
        <v>1teaminglasgow</v>
      </c>
      <c r="B7655" s="65"/>
    </row>
    <row r="7656" spans="1:2" x14ac:dyDescent="0.25">
      <c r="A7656" s="64" t="str">
        <f>HYPERLINK("http://www.twitter.com/CelticIntuition", "CelticIntuition")</f>
        <v>CelticIntuition</v>
      </c>
      <c r="B7656" s="65"/>
    </row>
    <row r="7657" spans="1:2" x14ac:dyDescent="0.25">
      <c r="A7657" s="64" t="str">
        <f>HYPERLINK("http://www.twitter.com/hunagary", "hunagary")</f>
        <v>hunagary</v>
      </c>
      <c r="B7657" s="65"/>
    </row>
    <row r="7658" spans="1:2" x14ac:dyDescent="0.25">
      <c r="A7658" s="64" t="str">
        <f>HYPERLINK("http://www.twitter.com/CarrieYavuz", "CarrieYavuz")</f>
        <v>CarrieYavuz</v>
      </c>
      <c r="B7658" s="65" t="s">
        <v>6344</v>
      </c>
    </row>
    <row r="7659" spans="1:2" x14ac:dyDescent="0.25">
      <c r="A7659" s="64" t="str">
        <f>HYPERLINK("http://www.twitter.com/delphi35", "delphi35")</f>
        <v>delphi35</v>
      </c>
      <c r="B7659" s="65" t="s">
        <v>6345</v>
      </c>
    </row>
    <row r="7660" spans="1:2" x14ac:dyDescent="0.25">
      <c r="A7660" s="64" t="str">
        <f>HYPERLINK("http://www.twitter.com/MrsBloggsReader", "MrsBloggsReader")</f>
        <v>MrsBloggsReader</v>
      </c>
      <c r="B7660" s="65" t="s">
        <v>203</v>
      </c>
    </row>
    <row r="7661" spans="1:2" x14ac:dyDescent="0.25">
      <c r="A7661" s="64" t="str">
        <f>HYPERLINK("http://www.twitter.com/AimeeHarv83", "AimeeHarv83")</f>
        <v>AimeeHarv83</v>
      </c>
      <c r="B7661" s="65" t="s">
        <v>3762</v>
      </c>
    </row>
    <row r="7662" spans="1:2" x14ac:dyDescent="0.25">
      <c r="A7662" s="64" t="str">
        <f>HYPERLINK("http://www.twitter.com/Bob_T_M", "Bob_T_M")</f>
        <v>Bob_T_M</v>
      </c>
      <c r="B7662" s="65"/>
    </row>
    <row r="7663" spans="1:2" x14ac:dyDescent="0.25">
      <c r="A7663" s="64" t="str">
        <f>HYPERLINK("http://www.twitter.com/meagingutopian", "meagingutopian")</f>
        <v>meagingutopian</v>
      </c>
      <c r="B7663" s="65"/>
    </row>
    <row r="7664" spans="1:2" x14ac:dyDescent="0.25">
      <c r="A7664" s="64" t="str">
        <f>HYPERLINK("http://www.twitter.com/L_editrixie", "L_editrixie")</f>
        <v>L_editrixie</v>
      </c>
      <c r="B7664" s="65"/>
    </row>
    <row r="7665" spans="1:2" x14ac:dyDescent="0.25">
      <c r="A7665" s="64" t="str">
        <f>HYPERLINK("http://www.twitter.com/xandermunro", "xandermunro")</f>
        <v>xandermunro</v>
      </c>
      <c r="B7665" s="65" t="s">
        <v>6346</v>
      </c>
    </row>
    <row r="7666" spans="1:2" x14ac:dyDescent="0.25">
      <c r="A7666" s="64" t="str">
        <f>HYPERLINK("http://www.twitter.com/AllBooked25", "AllBooked25")</f>
        <v>AllBooked25</v>
      </c>
      <c r="B7666" s="65"/>
    </row>
    <row r="7667" spans="1:2" x14ac:dyDescent="0.25">
      <c r="A7667" s="64" t="str">
        <f>HYPERLINK("http://www.twitter.com/viktoriaalice", "viktoriaalice")</f>
        <v>viktoriaalice</v>
      </c>
      <c r="B7667" s="65" t="s">
        <v>4215</v>
      </c>
    </row>
    <row r="7668" spans="1:2" x14ac:dyDescent="0.25">
      <c r="A7668" s="64" t="str">
        <f>HYPERLINK("http://www.twitter.com/phabbay", "phabbay")</f>
        <v>phabbay</v>
      </c>
      <c r="B7668" s="65"/>
    </row>
    <row r="7669" spans="1:2" x14ac:dyDescent="0.25">
      <c r="A7669" s="64" t="str">
        <f>HYPERLINK("http://www.twitter.com/paperley", "paperley")</f>
        <v>paperley</v>
      </c>
      <c r="B7669" s="65" t="s">
        <v>4317</v>
      </c>
    </row>
    <row r="7670" spans="1:2" x14ac:dyDescent="0.25">
      <c r="A7670" s="64" t="str">
        <f>HYPERLINK("http://www.twitter.com/mauricemalpas73", "mauricemalpas73")</f>
        <v>mauricemalpas73</v>
      </c>
      <c r="B7670" s="65"/>
    </row>
    <row r="7671" spans="1:2" x14ac:dyDescent="0.25">
      <c r="A7671" s="64" t="str">
        <f>HYPERLINK("http://www.twitter.com/flourishglasgow", "flourishglasgow")</f>
        <v>flourishglasgow</v>
      </c>
      <c r="B7671" s="65" t="s">
        <v>6347</v>
      </c>
    </row>
    <row r="7672" spans="1:2" x14ac:dyDescent="0.25">
      <c r="A7672" s="64" t="str">
        <f>HYPERLINK("http://www.twitter.com/drfmccarthy", "drfmccarthy")</f>
        <v>drfmccarthy</v>
      </c>
      <c r="B7672" s="65"/>
    </row>
    <row r="7673" spans="1:2" x14ac:dyDescent="0.25">
      <c r="A7673" s="64" t="str">
        <f>HYPERLINK("http://www.twitter.com/BPL_inthecity", "BPL_inthecity")</f>
        <v>BPL_inthecity</v>
      </c>
      <c r="B7673" s="65" t="s">
        <v>6348</v>
      </c>
    </row>
    <row r="7674" spans="1:2" x14ac:dyDescent="0.25">
      <c r="A7674" s="64" t="str">
        <f>HYPERLINK("http://www.twitter.com/Sanchia7", "Sanchia7")</f>
        <v>Sanchia7</v>
      </c>
      <c r="B7674" s="65" t="s">
        <v>36</v>
      </c>
    </row>
    <row r="7675" spans="1:2" x14ac:dyDescent="0.25">
      <c r="A7675" s="64" t="str">
        <f>HYPERLINK("http://www.twitter.com/theonetrueklar", "theonetrueklar")</f>
        <v>theonetrueklar</v>
      </c>
      <c r="B7675" s="65" t="s">
        <v>6349</v>
      </c>
    </row>
    <row r="7676" spans="1:2" x14ac:dyDescent="0.25">
      <c r="A7676" s="64" t="str">
        <f>HYPERLINK("http://www.twitter.com/gaalaboots", "gaalaboots")</f>
        <v>gaalaboots</v>
      </c>
      <c r="B7676" s="65" t="s">
        <v>6350</v>
      </c>
    </row>
    <row r="7677" spans="1:2" x14ac:dyDescent="0.25">
      <c r="A7677" s="64" t="str">
        <f>HYPERLINK("http://www.twitter.com/got2singyouth", "got2singyouth")</f>
        <v>got2singyouth</v>
      </c>
      <c r="B7677" s="65" t="s">
        <v>6351</v>
      </c>
    </row>
    <row r="7678" spans="1:2" x14ac:dyDescent="0.25">
      <c r="A7678" s="64" t="str">
        <f>HYPERLINK("http://www.twitter.com/AndyR_HH", "AndyR_HH")</f>
        <v>AndyR_HH</v>
      </c>
      <c r="B7678" s="65" t="s">
        <v>6352</v>
      </c>
    </row>
    <row r="7679" spans="1:2" x14ac:dyDescent="0.25">
      <c r="A7679" s="64" t="str">
        <f>HYPERLINK("http://www.twitter.com/caws_caled", "caws_caled")</f>
        <v>caws_caled</v>
      </c>
      <c r="B7679" s="65" t="s">
        <v>6353</v>
      </c>
    </row>
    <row r="7680" spans="1:2" x14ac:dyDescent="0.25">
      <c r="A7680" s="64" t="str">
        <f>HYPERLINK("http://www.twitter.com/rachelmaryrose", "rachelmaryrose")</f>
        <v>rachelmaryrose</v>
      </c>
      <c r="B7680" s="65"/>
    </row>
    <row r="7681" spans="1:2" x14ac:dyDescent="0.25">
      <c r="A7681" s="64" t="str">
        <f>HYPERLINK("http://www.twitter.com/ShitPoetsSoc", "ShitPoetsSoc")</f>
        <v>ShitPoetsSoc</v>
      </c>
      <c r="B7681" s="65" t="s">
        <v>6354</v>
      </c>
    </row>
    <row r="7682" spans="1:2" x14ac:dyDescent="0.25">
      <c r="A7682" s="64" t="str">
        <f>HYPERLINK("http://www.twitter.com/12bLAxx", "12bLAxx")</f>
        <v>12bLAxx</v>
      </c>
      <c r="B7682" s="65" t="s">
        <v>3775</v>
      </c>
    </row>
    <row r="7683" spans="1:2" x14ac:dyDescent="0.25">
      <c r="A7683" s="64" t="str">
        <f>HYPERLINK("http://www.twitter.com/RaveInnovate", "RaveInnovate")</f>
        <v>RaveInnovate</v>
      </c>
      <c r="B7683" s="65" t="s">
        <v>36</v>
      </c>
    </row>
    <row r="7684" spans="1:2" x14ac:dyDescent="0.25">
      <c r="A7684" s="64" t="str">
        <f>HYPERLINK("http://www.twitter.com/Saltounite", "Saltounite")</f>
        <v>Saltounite</v>
      </c>
      <c r="B7684" s="65" t="s">
        <v>6355</v>
      </c>
    </row>
    <row r="7685" spans="1:2" x14ac:dyDescent="0.25">
      <c r="A7685" s="64" t="str">
        <f>HYPERLINK("http://www.twitter.com/csantrobus", "csantrobus")</f>
        <v>csantrobus</v>
      </c>
      <c r="B7685" s="65" t="s">
        <v>6356</v>
      </c>
    </row>
    <row r="7686" spans="1:2" x14ac:dyDescent="0.25">
      <c r="A7686" s="64" t="str">
        <f>HYPERLINK("http://www.twitter.com/A_McMeekin", "A_McMeekin")</f>
        <v>A_McMeekin</v>
      </c>
      <c r="B7686" s="65"/>
    </row>
    <row r="7687" spans="1:2" x14ac:dyDescent="0.25">
      <c r="A7687" s="64" t="str">
        <f>HYPERLINK("http://www.twitter.com/ArturoVM", "ArturoVM")</f>
        <v>ArturoVM</v>
      </c>
      <c r="B7687" s="65" t="s">
        <v>6357</v>
      </c>
    </row>
    <row r="7688" spans="1:2" x14ac:dyDescent="0.25">
      <c r="A7688" s="64" t="str">
        <f>HYPERLINK("http://www.twitter.com/katiemickgee", "katiemickgee")</f>
        <v>katiemickgee</v>
      </c>
      <c r="B7688" s="65" t="s">
        <v>4867</v>
      </c>
    </row>
    <row r="7689" spans="1:2" x14ac:dyDescent="0.25">
      <c r="A7689" s="64" t="str">
        <f>HYPERLINK("http://www.twitter.com/slezzels", "slezzels")</f>
        <v>slezzels</v>
      </c>
      <c r="B7689" s="65" t="s">
        <v>3817</v>
      </c>
    </row>
    <row r="7690" spans="1:2" x14ac:dyDescent="0.25">
      <c r="A7690" s="64" t="str">
        <f>HYPERLINK("http://www.twitter.com/yatagarasu44", "yatagarasu44")</f>
        <v>yatagarasu44</v>
      </c>
      <c r="B7690" s="65" t="s">
        <v>6358</v>
      </c>
    </row>
    <row r="7691" spans="1:2" x14ac:dyDescent="0.25">
      <c r="A7691" s="64" t="str">
        <f>HYPERLINK("http://www.twitter.com/MaryMyatt", "MaryMyatt")</f>
        <v>MaryMyatt</v>
      </c>
      <c r="B7691" s="65"/>
    </row>
    <row r="7692" spans="1:2" x14ac:dyDescent="0.25">
      <c r="A7692" s="64" t="str">
        <f>HYPERLINK("http://www.twitter.com/CarolineAngus", "CarolineAngus")</f>
        <v>CarolineAngus</v>
      </c>
      <c r="B7692" s="65" t="s">
        <v>4019</v>
      </c>
    </row>
    <row r="7693" spans="1:2" x14ac:dyDescent="0.25">
      <c r="A7693" s="64" t="str">
        <f>HYPERLINK("http://www.twitter.com/GailHoneyman", "GailHoneyman")</f>
        <v>GailHoneyman</v>
      </c>
      <c r="B7693" s="65"/>
    </row>
    <row r="7694" spans="1:2" x14ac:dyDescent="0.25">
      <c r="A7694" s="64" t="str">
        <f>HYPERLINK("http://www.twitter.com/oscarraedesign", "oscarraedesign")</f>
        <v>oscarraedesign</v>
      </c>
      <c r="B7694" s="65" t="s">
        <v>6359</v>
      </c>
    </row>
    <row r="7695" spans="1:2" x14ac:dyDescent="0.25">
      <c r="A7695" s="64" t="str">
        <f>HYPERLINK("http://www.twitter.com/Oktavia", "Oktavia")</f>
        <v>Oktavia</v>
      </c>
      <c r="B7695" s="65" t="s">
        <v>6360</v>
      </c>
    </row>
    <row r="7696" spans="1:2" x14ac:dyDescent="0.25">
      <c r="A7696" s="64" t="str">
        <f>HYPERLINK("http://www.twitter.com/Nick_DCMS", "Nick_DCMS")</f>
        <v>Nick_DCMS</v>
      </c>
      <c r="B7696" s="65" t="s">
        <v>6361</v>
      </c>
    </row>
    <row r="7697" spans="1:2" x14ac:dyDescent="0.25">
      <c r="A7697" s="64" t="str">
        <f>HYPERLINK("http://www.twitter.com/geridiorio", "geridiorio")</f>
        <v>geridiorio</v>
      </c>
      <c r="B7697" s="65" t="s">
        <v>6362</v>
      </c>
    </row>
    <row r="7698" spans="1:2" x14ac:dyDescent="0.25">
      <c r="A7698" s="64" t="str">
        <f>HYPERLINK("http://www.twitter.com/alljson", "alljson")</f>
        <v>alljson</v>
      </c>
      <c r="B7698" s="65" t="s">
        <v>5016</v>
      </c>
    </row>
    <row r="7699" spans="1:2" x14ac:dyDescent="0.25">
      <c r="A7699" s="64" t="str">
        <f>HYPERLINK("http://www.twitter.com/AnnaCKenyon", "AnnaCKenyon")</f>
        <v>AnnaCKenyon</v>
      </c>
      <c r="B7699" s="65" t="s">
        <v>6363</v>
      </c>
    </row>
    <row r="7700" spans="1:2" x14ac:dyDescent="0.25">
      <c r="A7700" s="64" t="str">
        <f>HYPERLINK("http://www.twitter.com/coachedsteve", "coachedsteve")</f>
        <v>coachedsteve</v>
      </c>
      <c r="B7700" s="65"/>
    </row>
    <row r="7701" spans="1:2" x14ac:dyDescent="0.25">
      <c r="A7701" s="64" t="str">
        <f>HYPERLINK("http://www.twitter.com/heeedt", "heeedt")</f>
        <v>heeedt</v>
      </c>
      <c r="B7701" s="65" t="s">
        <v>4501</v>
      </c>
    </row>
    <row r="7702" spans="1:2" x14ac:dyDescent="0.25">
      <c r="A7702" s="64" t="str">
        <f>HYPERLINK("http://www.twitter.com/bazzalisk", "bazzalisk")</f>
        <v>bazzalisk</v>
      </c>
      <c r="B7702" s="65" t="s">
        <v>33</v>
      </c>
    </row>
    <row r="7703" spans="1:2" x14ac:dyDescent="0.25">
      <c r="A7703" s="64" t="str">
        <f>HYPERLINK("http://www.twitter.com/sparks_rd", "sparks_rd")</f>
        <v>sparks_rd</v>
      </c>
      <c r="B7703" s="65" t="s">
        <v>2289</v>
      </c>
    </row>
    <row r="7704" spans="1:2" x14ac:dyDescent="0.25">
      <c r="A7704" s="64" t="str">
        <f>HYPERLINK("http://www.twitter.com/leahhung", "leahhung")</f>
        <v>leahhung</v>
      </c>
      <c r="B7704" s="65" t="s">
        <v>6364</v>
      </c>
    </row>
    <row r="7705" spans="1:2" x14ac:dyDescent="0.25">
      <c r="A7705" s="64" t="str">
        <f>HYPERLINK("http://www.twitter.com/cea_murphy", "cea_murphy")</f>
        <v>cea_murphy</v>
      </c>
      <c r="B7705" s="65" t="s">
        <v>6365</v>
      </c>
    </row>
    <row r="7706" spans="1:2" x14ac:dyDescent="0.25">
      <c r="A7706" s="64" t="str">
        <f>HYPERLINK("http://www.twitter.com/theendisngai", "theendisngai")</f>
        <v>theendisngai</v>
      </c>
      <c r="B7706" s="65"/>
    </row>
    <row r="7707" spans="1:2" x14ac:dyDescent="0.25">
      <c r="A7707" s="64" t="str">
        <f>HYPERLINK("http://www.twitter.com/stevebunce", "stevebunce")</f>
        <v>stevebunce</v>
      </c>
      <c r="B7707" s="65" t="s">
        <v>361</v>
      </c>
    </row>
    <row r="7708" spans="1:2" x14ac:dyDescent="0.25">
      <c r="A7708" s="64" t="str">
        <f>HYPERLINK("http://www.twitter.com/brickdh", "brickdh")</f>
        <v>brickdh</v>
      </c>
      <c r="B7708" s="65"/>
    </row>
    <row r="7709" spans="1:2" x14ac:dyDescent="0.25">
      <c r="A7709" s="64" t="str">
        <f>HYPERLINK("http://www.twitter.com/VickiSMun", "VickiSMun")</f>
        <v>VickiSMun</v>
      </c>
      <c r="B7709" s="65" t="s">
        <v>4161</v>
      </c>
    </row>
    <row r="7710" spans="1:2" x14ac:dyDescent="0.25">
      <c r="A7710" s="64" t="str">
        <f>HYPERLINK("http://www.twitter.com/PipScammell", "PipScammell")</f>
        <v>PipScammell</v>
      </c>
      <c r="B7710" s="65" t="s">
        <v>36</v>
      </c>
    </row>
    <row r="7711" spans="1:2" x14ac:dyDescent="0.25">
      <c r="A7711" s="64" t="str">
        <f>HYPERLINK("http://www.twitter.com/teachypiano", "teachypiano")</f>
        <v>teachypiano</v>
      </c>
      <c r="B7711" s="65" t="s">
        <v>1146</v>
      </c>
    </row>
    <row r="7712" spans="1:2" x14ac:dyDescent="0.25">
      <c r="A7712" s="64" t="str">
        <f>HYPERLINK("http://www.twitter.com/therophyte", "therophyte")</f>
        <v>therophyte</v>
      </c>
      <c r="B7712" s="65" t="s">
        <v>4436</v>
      </c>
    </row>
    <row r="7713" spans="1:2" x14ac:dyDescent="0.25">
      <c r="A7713" s="64" t="str">
        <f>HYPERLINK("http://www.twitter.com/olliedearn", "olliedearn")</f>
        <v>olliedearn</v>
      </c>
      <c r="B7713" s="65" t="s">
        <v>3796</v>
      </c>
    </row>
    <row r="7714" spans="1:2" x14ac:dyDescent="0.25">
      <c r="A7714" s="64" t="str">
        <f>HYPERLINK("http://www.twitter.com/indiie", "indiie")</f>
        <v>indiie</v>
      </c>
      <c r="B7714" s="65" t="s">
        <v>6366</v>
      </c>
    </row>
    <row r="7715" spans="1:2" x14ac:dyDescent="0.25">
      <c r="A7715" s="64" t="str">
        <f>HYPERLINK("http://www.twitter.com/iris_jack", "iris_jack")</f>
        <v>iris_jack</v>
      </c>
      <c r="B7715" s="65"/>
    </row>
    <row r="7716" spans="1:2" x14ac:dyDescent="0.25">
      <c r="A7716" s="64" t="str">
        <f>HYPERLINK("http://www.twitter.com/eazyclancy", "eazyclancy")</f>
        <v>eazyclancy</v>
      </c>
      <c r="B7716" s="65" t="s">
        <v>6367</v>
      </c>
    </row>
    <row r="7717" spans="1:2" x14ac:dyDescent="0.25">
      <c r="A7717" s="64" t="str">
        <f>HYPERLINK("http://www.twitter.com/ppog_penguin", "ppog_penguin")</f>
        <v>ppog_penguin</v>
      </c>
      <c r="B7717" s="65"/>
    </row>
    <row r="7718" spans="1:2" x14ac:dyDescent="0.25">
      <c r="A7718" s="64" t="str">
        <f>HYPERLINK("http://www.twitter.com/Nemeton_Nursery", "Nemeton_Nursery")</f>
        <v>Nemeton_Nursery</v>
      </c>
      <c r="B7718" s="65" t="s">
        <v>6368</v>
      </c>
    </row>
    <row r="7719" spans="1:2" x14ac:dyDescent="0.25">
      <c r="A7719" s="64" t="str">
        <f>HYPERLINK("http://www.twitter.com/JamieJackson___", "JamieJackson___")</f>
        <v>JamieJackson___</v>
      </c>
      <c r="B7719" s="65" t="s">
        <v>6369</v>
      </c>
    </row>
    <row r="7720" spans="1:2" x14ac:dyDescent="0.25">
      <c r="A7720" s="64" t="str">
        <f>HYPERLINK("http://www.twitter.com/foot8all", "foot8all")</f>
        <v>foot8all</v>
      </c>
      <c r="B7720" s="65"/>
    </row>
    <row r="7721" spans="1:2" x14ac:dyDescent="0.25">
      <c r="A7721" s="64" t="str">
        <f>HYPERLINK("http://www.twitter.com/drjtwit", "drjtwit")</f>
        <v>drjtwit</v>
      </c>
      <c r="B7721" s="65" t="s">
        <v>6370</v>
      </c>
    </row>
    <row r="7722" spans="1:2" x14ac:dyDescent="0.25">
      <c r="A7722" s="64" t="str">
        <f>HYPERLINK("http://www.twitter.com/jbhay", "jbhay")</f>
        <v>jbhay</v>
      </c>
      <c r="B7722" s="65" t="s">
        <v>6371</v>
      </c>
    </row>
    <row r="7723" spans="1:2" x14ac:dyDescent="0.25">
      <c r="A7723" s="64" t="str">
        <f>HYPERLINK("http://www.twitter.com/thatleila", "thatleila")</f>
        <v>thatleila</v>
      </c>
      <c r="B7723" s="65" t="s">
        <v>6372</v>
      </c>
    </row>
    <row r="7724" spans="1:2" x14ac:dyDescent="0.25">
      <c r="A7724" s="64" t="str">
        <f>HYPERLINK("http://www.twitter.com/dylanhorrocks", "dylanhorrocks")</f>
        <v>dylanhorrocks</v>
      </c>
      <c r="B7724" s="65" t="s">
        <v>4436</v>
      </c>
    </row>
    <row r="7725" spans="1:2" x14ac:dyDescent="0.25">
      <c r="A7725" s="64" t="str">
        <f>HYPERLINK("http://www.twitter.com/book_dragon", "book_dragon")</f>
        <v>book_dragon</v>
      </c>
      <c r="B7725" s="65" t="s">
        <v>6373</v>
      </c>
    </row>
    <row r="7726" spans="1:2" x14ac:dyDescent="0.25">
      <c r="A7726" s="64" t="str">
        <f>HYPERLINK("http://www.twitter.com/gillduane", "gillduane")</f>
        <v>gillduane</v>
      </c>
      <c r="B7726" s="65" t="s">
        <v>6374</v>
      </c>
    </row>
    <row r="7727" spans="1:2" x14ac:dyDescent="0.25">
      <c r="A7727" s="64" t="str">
        <f>HYPERLINK("http://www.twitter.com/kellylmcinnes", "kellylmcinnes")</f>
        <v>kellylmcinnes</v>
      </c>
      <c r="B7727" s="65"/>
    </row>
    <row r="7728" spans="1:2" x14ac:dyDescent="0.25">
      <c r="A7728" s="64" t="str">
        <f>HYPERLINK("http://www.twitter.com/patboyslim81", "patboyslim81")</f>
        <v>patboyslim81</v>
      </c>
      <c r="B7728" s="65"/>
    </row>
    <row r="7729" spans="1:2" x14ac:dyDescent="0.25">
      <c r="A7729" s="64" t="str">
        <f>HYPERLINK("http://www.twitter.com/TheBarton", "TheBarton")</f>
        <v>TheBarton</v>
      </c>
      <c r="B7729" s="65" t="s">
        <v>4436</v>
      </c>
    </row>
    <row r="7730" spans="1:2" x14ac:dyDescent="0.25">
      <c r="A7730" s="64" t="str">
        <f>HYPERLINK("http://www.twitter.com/seekingwatson", "seekingwatson")</f>
        <v>seekingwatson</v>
      </c>
      <c r="B7730" s="65" t="s">
        <v>4291</v>
      </c>
    </row>
    <row r="7731" spans="1:2" x14ac:dyDescent="0.25">
      <c r="A7731" s="64" t="str">
        <f>HYPERLINK("http://www.twitter.com/FiArmstrong", "FiArmstrong")</f>
        <v>FiArmstrong</v>
      </c>
      <c r="B7731" s="65" t="s">
        <v>6375</v>
      </c>
    </row>
    <row r="7732" spans="1:2" x14ac:dyDescent="0.25">
      <c r="A7732" s="64" t="str">
        <f>HYPERLINK("http://www.twitter.com/lornaajohnson", "lornaajohnson")</f>
        <v>lornaajohnson</v>
      </c>
      <c r="B7732" s="65" t="s">
        <v>4436</v>
      </c>
    </row>
    <row r="7733" spans="1:2" x14ac:dyDescent="0.25">
      <c r="A7733" s="64" t="str">
        <f>HYPERLINK("http://www.twitter.com/SocialBoffin", "SocialBoffin")</f>
        <v>SocialBoffin</v>
      </c>
      <c r="B7733" s="65" t="s">
        <v>296</v>
      </c>
    </row>
    <row r="7734" spans="1:2" x14ac:dyDescent="0.25">
      <c r="A7734" s="64" t="str">
        <f>HYPERLINK("http://www.twitter.com/fletchermj", "fletchermj")</f>
        <v>fletchermj</v>
      </c>
      <c r="B7734" s="65" t="s">
        <v>4236</v>
      </c>
    </row>
    <row r="7735" spans="1:2" x14ac:dyDescent="0.25">
      <c r="A7735" s="64" t="str">
        <f>HYPERLINK("http://www.twitter.com/manwaring_tim", "manwaring_tim")</f>
        <v>manwaring_tim</v>
      </c>
      <c r="B7735" s="65" t="s">
        <v>70</v>
      </c>
    </row>
    <row r="7736" spans="1:2" x14ac:dyDescent="0.25">
      <c r="A7736" s="64" t="str">
        <f>HYPERLINK("http://www.twitter.com/piersb", "piersb")</f>
        <v>piersb</v>
      </c>
      <c r="B7736" s="65"/>
    </row>
    <row r="7737" spans="1:2" x14ac:dyDescent="0.25">
      <c r="A7737" s="64" t="str">
        <f>HYPERLINK("http://www.twitter.com/Chatters1978", "Chatters1978")</f>
        <v>Chatters1978</v>
      </c>
      <c r="B7737" s="65"/>
    </row>
    <row r="7738" spans="1:2" x14ac:dyDescent="0.25">
      <c r="A7738" s="64" t="str">
        <f>HYPERLINK("http://www.twitter.com/tasim7", "tasim7")</f>
        <v>tasim7</v>
      </c>
      <c r="B7738" s="65"/>
    </row>
    <row r="7739" spans="1:2" x14ac:dyDescent="0.25">
      <c r="A7739" s="64" t="str">
        <f>HYPERLINK("http://www.twitter.com/ValleyHouseCov", "ValleyHouseCov")</f>
        <v>ValleyHouseCov</v>
      </c>
      <c r="B7739" s="65" t="s">
        <v>688</v>
      </c>
    </row>
    <row r="7740" spans="1:2" x14ac:dyDescent="0.25">
      <c r="A7740" s="64" t="str">
        <f>HYPERLINK("http://www.twitter.com/ahatpin", "ahatpin")</f>
        <v>ahatpin</v>
      </c>
      <c r="B7740" s="65"/>
    </row>
    <row r="7741" spans="1:2" x14ac:dyDescent="0.25">
      <c r="A7741" s="64" t="str">
        <f>HYPERLINK("http://www.twitter.com/janiesprogget", "janiesprogget")</f>
        <v>janiesprogget</v>
      </c>
      <c r="B7741" s="65" t="s">
        <v>6376</v>
      </c>
    </row>
    <row r="7742" spans="1:2" x14ac:dyDescent="0.25">
      <c r="A7742" s="64" t="str">
        <f>HYPERLINK("http://www.twitter.com/MsFionaFraser", "MsFionaFraser")</f>
        <v>MsFionaFraser</v>
      </c>
      <c r="B7742" s="65" t="s">
        <v>6377</v>
      </c>
    </row>
    <row r="7743" spans="1:2" x14ac:dyDescent="0.25">
      <c r="A7743" s="64" t="str">
        <f>HYPERLINK("http://www.twitter.com/fatglobule", "fatglobule")</f>
        <v>fatglobule</v>
      </c>
      <c r="B7743" s="65" t="s">
        <v>477</v>
      </c>
    </row>
    <row r="7744" spans="1:2" x14ac:dyDescent="0.25">
      <c r="A7744" s="64" t="str">
        <f>HYPERLINK("http://www.twitter.com/Cheekybesom23", "Cheekybesom23")</f>
        <v>Cheekybesom23</v>
      </c>
      <c r="B7744" s="65" t="s">
        <v>138</v>
      </c>
    </row>
    <row r="7745" spans="1:2" x14ac:dyDescent="0.25">
      <c r="A7745" s="64" t="str">
        <f>HYPERLINK("http://www.twitter.com/DrJagz", "DrJagz")</f>
        <v>DrJagz</v>
      </c>
      <c r="B7745" s="65" t="s">
        <v>36</v>
      </c>
    </row>
    <row r="7746" spans="1:2" x14ac:dyDescent="0.25">
      <c r="A7746" s="64" t="str">
        <f>HYPERLINK("http://www.twitter.com/NicolaHenders15", "NicolaHenders15")</f>
        <v>NicolaHenders15</v>
      </c>
      <c r="B7746" s="65" t="s">
        <v>5933</v>
      </c>
    </row>
    <row r="7747" spans="1:2" x14ac:dyDescent="0.25">
      <c r="A7747" s="64" t="str">
        <f>HYPERLINK("http://www.twitter.com/Mirandapeake", "Mirandapeake")</f>
        <v>Mirandapeake</v>
      </c>
      <c r="B7747" s="65"/>
    </row>
    <row r="7748" spans="1:2" x14ac:dyDescent="0.25">
      <c r="A7748" s="64" t="str">
        <f>HYPERLINK("http://www.twitter.com/JOwainFranklin", "JOwainFranklin")</f>
        <v>JOwainFranklin</v>
      </c>
      <c r="B7748" s="65" t="s">
        <v>293</v>
      </c>
    </row>
    <row r="7749" spans="1:2" x14ac:dyDescent="0.25">
      <c r="A7749" s="64" t="str">
        <f>HYPERLINK("http://www.twitter.com/erasmusmackenna", "erasmusmackenna")</f>
        <v>erasmusmackenna</v>
      </c>
      <c r="B7749" s="65" t="s">
        <v>6378</v>
      </c>
    </row>
    <row r="7750" spans="1:2" x14ac:dyDescent="0.25">
      <c r="A7750" s="64" t="str">
        <f>HYPERLINK("http://www.twitter.com/NatashaField1", "NatashaField1")</f>
        <v>NatashaField1</v>
      </c>
      <c r="B7750" s="65" t="s">
        <v>1180</v>
      </c>
    </row>
    <row r="7751" spans="1:2" x14ac:dyDescent="0.25">
      <c r="A7751" s="64" t="str">
        <f>HYPERLINK("http://www.twitter.com/dannyjbrown", "dannyjbrown")</f>
        <v>dannyjbrown</v>
      </c>
      <c r="B7751" s="65"/>
    </row>
    <row r="7752" spans="1:2" x14ac:dyDescent="0.25">
      <c r="A7752" s="64" t="str">
        <f>HYPERLINK("http://www.twitter.com/bodily_head", "bodily_head")</f>
        <v>bodily_head</v>
      </c>
      <c r="B7752" s="65" t="s">
        <v>6379</v>
      </c>
    </row>
    <row r="7753" spans="1:2" x14ac:dyDescent="0.25">
      <c r="A7753" s="64" t="str">
        <f>HYPERLINK("http://www.twitter.com/ThisBlueMoon", "ThisBlueMoon")</f>
        <v>ThisBlueMoon</v>
      </c>
      <c r="B7753" s="65"/>
    </row>
    <row r="7754" spans="1:2" x14ac:dyDescent="0.25">
      <c r="A7754" s="64" t="str">
        <f>HYPERLINK("http://www.twitter.com/TJSeagrave", "TJSeagrave")</f>
        <v>TJSeagrave</v>
      </c>
      <c r="B7754" s="65"/>
    </row>
    <row r="7755" spans="1:2" x14ac:dyDescent="0.25">
      <c r="A7755" s="64" t="str">
        <f>HYPERLINK("http://www.twitter.com/claire1curran", "claire1curran")</f>
        <v>claire1curran</v>
      </c>
      <c r="B7755" s="65"/>
    </row>
    <row r="7756" spans="1:2" x14ac:dyDescent="0.25">
      <c r="A7756" s="64" t="str">
        <f>HYPERLINK("http://www.twitter.com/nkipar", "nkipar")</f>
        <v>nkipar</v>
      </c>
      <c r="B7756" s="65" t="s">
        <v>6380</v>
      </c>
    </row>
    <row r="7757" spans="1:2" x14ac:dyDescent="0.25">
      <c r="A7757" s="64" t="str">
        <f>HYPERLINK("http://www.twitter.com/StephenHughWill", "StephenHughWill")</f>
        <v>StephenHughWill</v>
      </c>
      <c r="B7757" s="65" t="s">
        <v>569</v>
      </c>
    </row>
    <row r="7758" spans="1:2" x14ac:dyDescent="0.25">
      <c r="A7758" s="64" t="str">
        <f>HYPERLINK("http://www.twitter.com/Joliet68", "Joliet68")</f>
        <v>Joliet68</v>
      </c>
      <c r="B7758" s="65"/>
    </row>
    <row r="7759" spans="1:2" x14ac:dyDescent="0.25">
      <c r="A7759" s="64" t="str">
        <f>HYPERLINK("http://www.twitter.com/adreamingskin", "adreamingskin")</f>
        <v>adreamingskin</v>
      </c>
      <c r="B7759" s="65" t="s">
        <v>3760</v>
      </c>
    </row>
    <row r="7760" spans="1:2" x14ac:dyDescent="0.25">
      <c r="A7760" s="64" t="str">
        <f>HYPERLINK("http://www.twitter.com/Scunner666", "Scunner666")</f>
        <v>Scunner666</v>
      </c>
      <c r="B7760" s="65" t="s">
        <v>6381</v>
      </c>
    </row>
    <row r="7761" spans="1:2" x14ac:dyDescent="0.25">
      <c r="A7761" s="64" t="str">
        <f>HYPERLINK("http://www.twitter.com/Fenners2002", "Fenners2002")</f>
        <v>Fenners2002</v>
      </c>
      <c r="B7761" s="65" t="s">
        <v>6382</v>
      </c>
    </row>
    <row r="7762" spans="1:2" x14ac:dyDescent="0.25">
      <c r="A7762" s="64" t="str">
        <f>HYPERLINK("http://www.twitter.com/Nerienis", "Nerienis")</f>
        <v>Nerienis</v>
      </c>
      <c r="B7762" s="65" t="s">
        <v>6383</v>
      </c>
    </row>
    <row r="7763" spans="1:2" x14ac:dyDescent="0.25">
      <c r="A7763" s="64" t="str">
        <f>HYPERLINK("http://www.twitter.com/pj_mckenna", "pj_mckenna")</f>
        <v>pj_mckenna</v>
      </c>
      <c r="B7763" s="65" t="s">
        <v>6384</v>
      </c>
    </row>
    <row r="7764" spans="1:2" x14ac:dyDescent="0.25">
      <c r="A7764" s="64" t="str">
        <f>HYPERLINK("http://www.twitter.com/RW_HofV", "RW_HofV")</f>
        <v>RW_HofV</v>
      </c>
      <c r="B7764" s="65" t="s">
        <v>6385</v>
      </c>
    </row>
    <row r="7765" spans="1:2" x14ac:dyDescent="0.25">
      <c r="A7765" s="64" t="str">
        <f>HYPERLINK("http://www.twitter.com/GillRoberts_1", "GillRoberts_1")</f>
        <v>GillRoberts_1</v>
      </c>
      <c r="B7765" s="65"/>
    </row>
    <row r="7766" spans="1:2" x14ac:dyDescent="0.25">
      <c r="A7766" s="64" t="str">
        <f>HYPERLINK("http://www.twitter.com/bluejude", "bluejude")</f>
        <v>bluejude</v>
      </c>
      <c r="B7766" s="65" t="s">
        <v>6386</v>
      </c>
    </row>
    <row r="7767" spans="1:2" x14ac:dyDescent="0.25">
      <c r="A7767" s="64" t="str">
        <f>HYPERLINK("http://www.twitter.com/PurestRobin", "PurestRobin")</f>
        <v>PurestRobin</v>
      </c>
      <c r="B7767" s="65"/>
    </row>
    <row r="7768" spans="1:2" x14ac:dyDescent="0.25">
      <c r="A7768" s="64" t="str">
        <f>HYPERLINK("http://www.twitter.com/macpongo", "macpongo")</f>
        <v>macpongo</v>
      </c>
      <c r="B7768" s="65"/>
    </row>
    <row r="7769" spans="1:2" x14ac:dyDescent="0.25">
      <c r="A7769" s="64" t="str">
        <f>HYPERLINK("http://www.twitter.com/lucky_wood", "lucky_wood")</f>
        <v>lucky_wood</v>
      </c>
      <c r="B7769" s="65" t="s">
        <v>36</v>
      </c>
    </row>
    <row r="7770" spans="1:2" x14ac:dyDescent="0.25">
      <c r="A7770" s="64" t="str">
        <f>HYPERLINK("http://www.twitter.com/pecanshoes", "pecanshoes")</f>
        <v>pecanshoes</v>
      </c>
      <c r="B7770" s="65"/>
    </row>
    <row r="7771" spans="1:2" x14ac:dyDescent="0.25">
      <c r="A7771" s="64" t="str">
        <f>HYPERLINK("http://www.twitter.com/Mirthematician", "Mirthematician")</f>
        <v>Mirthematician</v>
      </c>
      <c r="B7771" s="65" t="s">
        <v>6387</v>
      </c>
    </row>
    <row r="7772" spans="1:2" x14ac:dyDescent="0.25">
      <c r="A7772" s="64" t="str">
        <f>HYPERLINK("http://www.twitter.com/erscaff", "erscaff")</f>
        <v>erscaff</v>
      </c>
      <c r="B7772" s="65"/>
    </row>
    <row r="7773" spans="1:2" x14ac:dyDescent="0.25">
      <c r="A7773" s="64" t="str">
        <f>HYPERLINK("http://www.twitter.com/riacheyne", "riacheyne")</f>
        <v>riacheyne</v>
      </c>
      <c r="B7773" s="65"/>
    </row>
    <row r="7774" spans="1:2" x14ac:dyDescent="0.25">
      <c r="A7774" s="64" t="str">
        <f>HYPERLINK("http://www.twitter.com/Matty6664", "Matty6664")</f>
        <v>Matty6664</v>
      </c>
      <c r="B7774" s="65" t="s">
        <v>6388</v>
      </c>
    </row>
    <row r="7775" spans="1:2" x14ac:dyDescent="0.25">
      <c r="A7775" s="64" t="str">
        <f>HYPERLINK("http://www.twitter.com/In_4med", "In_4med")</f>
        <v>In_4med</v>
      </c>
      <c r="B7775" s="65" t="s">
        <v>36</v>
      </c>
    </row>
    <row r="7776" spans="1:2" x14ac:dyDescent="0.25">
      <c r="A7776" s="64" t="str">
        <f>HYPERLINK("http://www.twitter.com/kerryjsmyth", "kerryjsmyth")</f>
        <v>kerryjsmyth</v>
      </c>
      <c r="B7776" s="65"/>
    </row>
    <row r="7777" spans="1:2" x14ac:dyDescent="0.25">
      <c r="A7777" s="64" t="str">
        <f>HYPERLINK("http://www.twitter.com/MoreUtterPiffle", "MoreUtterPiffle")</f>
        <v>MoreUtterPiffle</v>
      </c>
      <c r="B7777" s="65"/>
    </row>
    <row r="7778" spans="1:2" x14ac:dyDescent="0.25">
      <c r="A7778" s="64" t="str">
        <f>HYPERLINK("http://www.twitter.com/amali_d", "amali_d")</f>
        <v>amali_d</v>
      </c>
      <c r="B7778" s="65" t="s">
        <v>36</v>
      </c>
    </row>
    <row r="7779" spans="1:2" x14ac:dyDescent="0.25">
      <c r="A7779" s="64" t="str">
        <f>HYPERLINK("http://www.twitter.com/k5j6d2", "k5j6d2")</f>
        <v>k5j6d2</v>
      </c>
      <c r="B7779" s="65" t="s">
        <v>4176</v>
      </c>
    </row>
    <row r="7780" spans="1:2" x14ac:dyDescent="0.25">
      <c r="A7780" s="64" t="str">
        <f>HYPERLINK("http://www.twitter.com/TheSteed", "TheSteed")</f>
        <v>TheSteed</v>
      </c>
      <c r="B7780" s="65"/>
    </row>
    <row r="7781" spans="1:2" x14ac:dyDescent="0.25">
      <c r="A7781" s="64" t="str">
        <f>HYPERLINK("http://www.twitter.com/Rigmods", "Rigmods")</f>
        <v>Rigmods</v>
      </c>
      <c r="B7781" s="65" t="s">
        <v>296</v>
      </c>
    </row>
    <row r="7782" spans="1:2" x14ac:dyDescent="0.25">
      <c r="A7782" s="64" t="str">
        <f>HYPERLINK("http://www.twitter.com/squeezyswad", "squeezyswad")</f>
        <v>squeezyswad</v>
      </c>
      <c r="B7782" s="65" t="s">
        <v>203</v>
      </c>
    </row>
    <row r="7783" spans="1:2" x14ac:dyDescent="0.25">
      <c r="A7783" s="64" t="str">
        <f>HYPERLINK("http://www.twitter.com/Welshyeti", "Welshyeti")</f>
        <v>Welshyeti</v>
      </c>
      <c r="B7783" s="65" t="s">
        <v>1226</v>
      </c>
    </row>
    <row r="7784" spans="1:2" x14ac:dyDescent="0.25">
      <c r="A7784" s="64" t="str">
        <f>HYPERLINK("http://www.twitter.com/thequestingvole", "thequestingvole")</f>
        <v>thequestingvole</v>
      </c>
      <c r="B7784" s="65" t="s">
        <v>6389</v>
      </c>
    </row>
    <row r="7785" spans="1:2" x14ac:dyDescent="0.25">
      <c r="A7785" s="64" t="str">
        <f>HYPERLINK("http://www.twitter.com/1julesc", "1julesc")</f>
        <v>1julesc</v>
      </c>
      <c r="B7785" s="65"/>
    </row>
    <row r="7786" spans="1:2" x14ac:dyDescent="0.25">
      <c r="A7786" s="64" t="str">
        <f>HYPERLINK("http://www.twitter.com/katethefj", "katethefj")</f>
        <v>katethefj</v>
      </c>
      <c r="B7786" s="65" t="s">
        <v>4317</v>
      </c>
    </row>
    <row r="7787" spans="1:2" x14ac:dyDescent="0.25">
      <c r="A7787" s="64" t="str">
        <f>HYPERLINK("http://www.twitter.com/sari1967", "sari1967")</f>
        <v>sari1967</v>
      </c>
      <c r="B7787" s="65" t="s">
        <v>4101</v>
      </c>
    </row>
    <row r="7788" spans="1:2" x14ac:dyDescent="0.25">
      <c r="A7788" s="64" t="str">
        <f>HYPERLINK("http://www.twitter.com/digitalclarkey", "digitalclarkey")</f>
        <v>digitalclarkey</v>
      </c>
      <c r="B7788" s="65" t="s">
        <v>2289</v>
      </c>
    </row>
    <row r="7789" spans="1:2" x14ac:dyDescent="0.25">
      <c r="A7789" s="64" t="str">
        <f>HYPERLINK("http://www.twitter.com/NicolaJane40", "NicolaJane40")</f>
        <v>NicolaJane40</v>
      </c>
      <c r="B7789" s="65"/>
    </row>
    <row r="7790" spans="1:2" x14ac:dyDescent="0.25">
      <c r="A7790" s="64" t="str">
        <f>HYPERLINK("http://www.twitter.com/Soryuflatliner", "Soryuflatliner")</f>
        <v>Soryuflatliner</v>
      </c>
      <c r="B7790" s="65"/>
    </row>
    <row r="7791" spans="1:2" x14ac:dyDescent="0.25">
      <c r="A7791" s="64" t="str">
        <f>HYPERLINK("http://www.twitter.com/tomsky11", "tomsky11")</f>
        <v>tomsky11</v>
      </c>
      <c r="B7791" s="65" t="s">
        <v>926</v>
      </c>
    </row>
    <row r="7792" spans="1:2" x14ac:dyDescent="0.25">
      <c r="A7792" s="64" t="str">
        <f>HYPERLINK("http://www.twitter.com/oneeyedman8", "oneeyedman8")</f>
        <v>oneeyedman8</v>
      </c>
      <c r="B7792" s="65" t="s">
        <v>6390</v>
      </c>
    </row>
    <row r="7793" spans="1:2" x14ac:dyDescent="0.25">
      <c r="A7793" s="64" t="str">
        <f>HYPERLINK("http://www.twitter.com/eatplaylaw", "eatplaylaw")</f>
        <v>eatplaylaw</v>
      </c>
      <c r="B7793" s="65" t="s">
        <v>36</v>
      </c>
    </row>
    <row r="7794" spans="1:2" x14ac:dyDescent="0.25">
      <c r="A7794" s="64" t="str">
        <f>HYPERLINK("http://www.twitter.com/TonyTassell", "TonyTassell")</f>
        <v>TonyTassell</v>
      </c>
      <c r="B7794" s="65" t="s">
        <v>36</v>
      </c>
    </row>
    <row r="7795" spans="1:2" x14ac:dyDescent="0.25">
      <c r="A7795" s="64" t="str">
        <f>HYPERLINK("http://www.twitter.com/HughMacknight", "HughMacknight")</f>
        <v>HughMacknight</v>
      </c>
      <c r="B7795" s="65" t="s">
        <v>361</v>
      </c>
    </row>
    <row r="7796" spans="1:2" x14ac:dyDescent="0.25">
      <c r="A7796" s="64" t="str">
        <f>HYPERLINK("http://www.twitter.com/Eddie_Catflap", "Eddie_Catflap")</f>
        <v>Eddie_Catflap</v>
      </c>
      <c r="B7796" s="65"/>
    </row>
    <row r="7797" spans="1:2" x14ac:dyDescent="0.25">
      <c r="A7797" s="64" t="str">
        <f>HYPERLINK("http://www.twitter.com/JeremyWesthead", "JeremyWesthead")</f>
        <v>JeremyWesthead</v>
      </c>
      <c r="B7797" s="65" t="s">
        <v>36</v>
      </c>
    </row>
    <row r="7798" spans="1:2" x14ac:dyDescent="0.25">
      <c r="A7798" s="64" t="str">
        <f>HYPERLINK("http://www.twitter.com/kaosbeat", "kaosbeat")</f>
        <v>kaosbeat</v>
      </c>
      <c r="B7798" s="65" t="s">
        <v>6391</v>
      </c>
    </row>
    <row r="7799" spans="1:2" x14ac:dyDescent="0.25">
      <c r="A7799" s="64" t="str">
        <f>HYPERLINK("http://www.twitter.com/JonathanSefton", "JonathanSefton")</f>
        <v>JonathanSefton</v>
      </c>
      <c r="B7799" s="65"/>
    </row>
    <row r="7800" spans="1:2" x14ac:dyDescent="0.25">
      <c r="A7800" s="64" t="str">
        <f>HYPERLINK("http://www.twitter.com/curran_wendy", "curran_wendy")</f>
        <v>curran_wendy</v>
      </c>
      <c r="B7800" s="65"/>
    </row>
    <row r="7801" spans="1:2" x14ac:dyDescent="0.25">
      <c r="A7801" s="64" t="str">
        <f>HYPERLINK("http://www.twitter.com/gilelion", "gilelion")</f>
        <v>gilelion</v>
      </c>
      <c r="B7801" s="65"/>
    </row>
    <row r="7802" spans="1:2" x14ac:dyDescent="0.25">
      <c r="A7802" s="64" t="str">
        <f>HYPERLINK("http://www.twitter.com/essjayeff", "essjayeff")</f>
        <v>essjayeff</v>
      </c>
      <c r="B7802" s="65" t="s">
        <v>4147</v>
      </c>
    </row>
    <row r="7803" spans="1:2" x14ac:dyDescent="0.25">
      <c r="A7803" s="64" t="str">
        <f>HYPERLINK("http://www.twitter.com/a_treaclemine", "a_treaclemine")</f>
        <v>a_treaclemine</v>
      </c>
      <c r="B7803" s="65"/>
    </row>
    <row r="7804" spans="1:2" x14ac:dyDescent="0.25">
      <c r="A7804" s="64" t="str">
        <f>HYPERLINK("http://www.twitter.com/rachelkerr334", "rachelkerr334")</f>
        <v>rachelkerr334</v>
      </c>
      <c r="B7804" s="65" t="s">
        <v>5942</v>
      </c>
    </row>
    <row r="7805" spans="1:2" x14ac:dyDescent="0.25">
      <c r="A7805" s="64" t="str">
        <f>HYPERLINK("http://www.twitter.com/sethcorr", "sethcorr")</f>
        <v>sethcorr</v>
      </c>
      <c r="B7805" s="65" t="s">
        <v>6392</v>
      </c>
    </row>
    <row r="7806" spans="1:2" x14ac:dyDescent="0.25">
      <c r="A7806" s="64" t="str">
        <f>HYPERLINK("http://www.twitter.com/AndreaOHara1", "AndreaOHara1")</f>
        <v>AndreaOHara1</v>
      </c>
      <c r="B7806" s="65" t="s">
        <v>6393</v>
      </c>
    </row>
    <row r="7807" spans="1:2" x14ac:dyDescent="0.25">
      <c r="A7807" s="64" t="str">
        <f>HYPERLINK("http://www.twitter.com/ayceelark", "ayceelark")</f>
        <v>ayceelark</v>
      </c>
      <c r="B7807" s="65" t="s">
        <v>5156</v>
      </c>
    </row>
    <row r="7808" spans="1:2" x14ac:dyDescent="0.25">
      <c r="A7808" s="64" t="str">
        <f>HYPERLINK("http://www.twitter.com/Shellface", "Shellface")</f>
        <v>Shellface</v>
      </c>
      <c r="B7808" s="65" t="s">
        <v>4771</v>
      </c>
    </row>
    <row r="7809" spans="1:2" x14ac:dyDescent="0.25">
      <c r="A7809" s="64" t="str">
        <f>HYPERLINK("http://www.twitter.com/BobHole", "BobHole")</f>
        <v>BobHole</v>
      </c>
      <c r="B7809" s="65" t="s">
        <v>5110</v>
      </c>
    </row>
    <row r="7810" spans="1:2" x14ac:dyDescent="0.25">
      <c r="A7810" s="64" t="str">
        <f>HYPERLINK("http://www.twitter.com/andrewmckenna", "andrewmckenna")</f>
        <v>andrewmckenna</v>
      </c>
      <c r="B7810" s="65" t="s">
        <v>6394</v>
      </c>
    </row>
    <row r="7811" spans="1:2" x14ac:dyDescent="0.25">
      <c r="A7811" s="64" t="str">
        <f>HYPERLINK("http://www.twitter.com/jacobarts", "jacobarts")</f>
        <v>jacobarts</v>
      </c>
      <c r="B7811" s="65" t="s">
        <v>4184</v>
      </c>
    </row>
    <row r="7812" spans="1:2" x14ac:dyDescent="0.25">
      <c r="A7812" s="64" t="str">
        <f>HYPERLINK("http://www.twitter.com/TurboDunk", "TurboDunk")</f>
        <v>TurboDunk</v>
      </c>
      <c r="B7812" s="65" t="s">
        <v>6013</v>
      </c>
    </row>
    <row r="7813" spans="1:2" x14ac:dyDescent="0.25">
      <c r="A7813" s="64" t="str">
        <f>HYPERLINK("http://www.twitter.com/_AndyHemming", "_AndyHemming")</f>
        <v>_AndyHemming</v>
      </c>
      <c r="B7813" s="65"/>
    </row>
    <row r="7814" spans="1:2" x14ac:dyDescent="0.25">
      <c r="A7814" s="64" t="str">
        <f>HYPERLINK("http://www.twitter.com/dizzthedad", "dizzthedad")</f>
        <v>dizzthedad</v>
      </c>
      <c r="B7814" s="65" t="s">
        <v>6395</v>
      </c>
    </row>
    <row r="7815" spans="1:2" x14ac:dyDescent="0.25">
      <c r="A7815" s="64" t="str">
        <f>HYPERLINK("http://www.twitter.com/cipherland", "cipherland")</f>
        <v>cipherland</v>
      </c>
      <c r="B7815" s="65"/>
    </row>
    <row r="7816" spans="1:2" x14ac:dyDescent="0.25">
      <c r="A7816" s="64" t="str">
        <f>HYPERLINK("http://www.twitter.com/grahamjdavison9", "grahamjdavison9")</f>
        <v>grahamjdavison9</v>
      </c>
      <c r="B7816" s="65" t="s">
        <v>6396</v>
      </c>
    </row>
    <row r="7817" spans="1:2" x14ac:dyDescent="0.25">
      <c r="A7817" s="64" t="str">
        <f>HYPERLINK("http://www.twitter.com/shiftkicker", "shiftkicker")</f>
        <v>shiftkicker</v>
      </c>
      <c r="B7817" s="65" t="s">
        <v>6397</v>
      </c>
    </row>
    <row r="7818" spans="1:2" x14ac:dyDescent="0.25">
      <c r="A7818" s="64" t="str">
        <f>HYPERLINK("http://www.twitter.com/AlanMackworth", "AlanMackworth")</f>
        <v>AlanMackworth</v>
      </c>
      <c r="B7818" s="65"/>
    </row>
    <row r="7819" spans="1:2" x14ac:dyDescent="0.25">
      <c r="A7819" s="64" t="str">
        <f>HYPERLINK("http://www.twitter.com/L_franzipan", "L_franzipan")</f>
        <v>L_franzipan</v>
      </c>
      <c r="B7819" s="65" t="s">
        <v>36</v>
      </c>
    </row>
    <row r="7820" spans="1:2" x14ac:dyDescent="0.25">
      <c r="A7820" s="64" t="str">
        <f>HYPERLINK("http://www.twitter.com/winterfresh", "winterfresh")</f>
        <v>winterfresh</v>
      </c>
      <c r="B7820" s="65"/>
    </row>
    <row r="7821" spans="1:2" x14ac:dyDescent="0.25">
      <c r="A7821" s="64" t="str">
        <f>HYPERLINK("http://www.twitter.com/sinksterbelle", "sinksterbelle")</f>
        <v>sinksterbelle</v>
      </c>
      <c r="B7821" s="65" t="s">
        <v>3797</v>
      </c>
    </row>
    <row r="7822" spans="1:2" x14ac:dyDescent="0.25">
      <c r="A7822" s="64" t="str">
        <f>HYPERLINK("http://www.twitter.com/galfridayfilms", "galfridayfilms")</f>
        <v>galfridayfilms</v>
      </c>
      <c r="B7822" s="65"/>
    </row>
    <row r="7823" spans="1:2" x14ac:dyDescent="0.25">
      <c r="A7823" s="64" t="str">
        <f>HYPERLINK("http://www.twitter.com/Paulwiltshire", "Paulwiltshire")</f>
        <v>Paulwiltshire</v>
      </c>
      <c r="B7823" s="65"/>
    </row>
    <row r="7824" spans="1:2" x14ac:dyDescent="0.25">
      <c r="A7824" s="64" t="str">
        <f>HYPERLINK("http://www.twitter.com/pdximpact", "pdximpact")</f>
        <v>pdximpact</v>
      </c>
      <c r="B7824" s="65" t="s">
        <v>3872</v>
      </c>
    </row>
    <row r="7825" spans="1:2" x14ac:dyDescent="0.25">
      <c r="A7825" s="64" t="str">
        <f>HYPERLINK("http://www.twitter.com/mrs__peel", "mrs__peel")</f>
        <v>mrs__peel</v>
      </c>
      <c r="B7825" s="65" t="s">
        <v>110</v>
      </c>
    </row>
    <row r="7826" spans="1:2" x14ac:dyDescent="0.25">
      <c r="A7826" s="64" t="str">
        <f>HYPERLINK("http://www.twitter.com/thefourthfloor", "thefourthfloor")</f>
        <v>thefourthfloor</v>
      </c>
      <c r="B7826" s="65"/>
    </row>
    <row r="7827" spans="1:2" x14ac:dyDescent="0.25">
      <c r="A7827" s="64" t="str">
        <f>HYPERLINK("http://www.twitter.com/RobDexES", "RobDexES")</f>
        <v>RobDexES</v>
      </c>
      <c r="B7827" s="65" t="s">
        <v>6398</v>
      </c>
    </row>
    <row r="7828" spans="1:2" x14ac:dyDescent="0.25">
      <c r="A7828" s="64" t="str">
        <f>HYPERLINK("http://www.twitter.com/tendersociety", "tendersociety")</f>
        <v>tendersociety</v>
      </c>
      <c r="B7828" s="65" t="s">
        <v>5156</v>
      </c>
    </row>
    <row r="7829" spans="1:2" x14ac:dyDescent="0.25">
      <c r="A7829" s="64" t="str">
        <f>HYPERLINK("http://www.twitter.com/ruskin147", "ruskin147")</f>
        <v>ruskin147</v>
      </c>
      <c r="B7829" s="65" t="s">
        <v>6399</v>
      </c>
    </row>
    <row r="7830" spans="1:2" x14ac:dyDescent="0.25">
      <c r="A7830" s="64" t="str">
        <f>HYPERLINK("http://www.twitter.com/AndyKirn", "AndyKirn")</f>
        <v>AndyKirn</v>
      </c>
      <c r="B7830" s="65" t="s">
        <v>4193</v>
      </c>
    </row>
    <row r="7831" spans="1:2" x14ac:dyDescent="0.25">
      <c r="A7831" s="64" t="str">
        <f>HYPERLINK("http://www.twitter.com/runalongwomble", "runalongwomble")</f>
        <v>runalongwomble</v>
      </c>
      <c r="B7831" s="65"/>
    </row>
    <row r="7832" spans="1:2" x14ac:dyDescent="0.25">
      <c r="A7832" s="64" t="str">
        <f>HYPERLINK("http://www.twitter.com/FaceHeadAss", "FaceHeadAss")</f>
        <v>FaceHeadAss</v>
      </c>
      <c r="B7832" s="65" t="s">
        <v>6400</v>
      </c>
    </row>
    <row r="7833" spans="1:2" x14ac:dyDescent="0.25">
      <c r="A7833" s="64" t="str">
        <f>HYPERLINK("http://www.twitter.com/heasgarnich", "heasgarnich")</f>
        <v>heasgarnich</v>
      </c>
      <c r="B7833" s="65" t="s">
        <v>6401</v>
      </c>
    </row>
    <row r="7834" spans="1:2" x14ac:dyDescent="0.25">
      <c r="A7834" s="64" t="str">
        <f>HYPERLINK("http://www.twitter.com/huwser", "huwser")</f>
        <v>huwser</v>
      </c>
      <c r="B7834" s="65"/>
    </row>
    <row r="7835" spans="1:2" x14ac:dyDescent="0.25">
      <c r="A7835" s="64" t="str">
        <f>HYPERLINK("http://www.twitter.com/ggatesofficial", "ggatesofficial")</f>
        <v>ggatesofficial</v>
      </c>
      <c r="B7835" s="65" t="s">
        <v>6402</v>
      </c>
    </row>
    <row r="7836" spans="1:2" x14ac:dyDescent="0.25">
      <c r="A7836" s="64" t="str">
        <f>HYPERLINK("http://www.twitter.com/kdforsman_nz", "kdforsman_nz")</f>
        <v>kdforsman_nz</v>
      </c>
      <c r="B7836" s="65" t="s">
        <v>4436</v>
      </c>
    </row>
    <row r="7837" spans="1:2" x14ac:dyDescent="0.25">
      <c r="A7837" s="64" t="str">
        <f>HYPERLINK("http://www.twitter.com/2011christyjh", "2011christyjh")</f>
        <v>2011christyjh</v>
      </c>
      <c r="B7837" s="65"/>
    </row>
    <row r="7838" spans="1:2" x14ac:dyDescent="0.25">
      <c r="A7838" s="64" t="str">
        <f>HYPERLINK("http://www.twitter.com/TKF1978", "TKF1978")</f>
        <v>TKF1978</v>
      </c>
      <c r="B7838" s="65"/>
    </row>
    <row r="7839" spans="1:2" x14ac:dyDescent="0.25">
      <c r="A7839" s="64" t="str">
        <f>HYPERLINK("http://www.twitter.com/rebeccajconway", "rebeccajconway")</f>
        <v>rebeccajconway</v>
      </c>
      <c r="B7839" s="65" t="s">
        <v>6403</v>
      </c>
    </row>
    <row r="7840" spans="1:2" x14ac:dyDescent="0.25">
      <c r="A7840" s="64" t="str">
        <f>HYPERLINK("http://www.twitter.com/laraazar1", "laraazar1")</f>
        <v>laraazar1</v>
      </c>
      <c r="B7840" s="65" t="s">
        <v>5016</v>
      </c>
    </row>
    <row r="7841" spans="1:2" x14ac:dyDescent="0.25">
      <c r="A7841" s="64" t="str">
        <f>HYPERLINK("http://www.twitter.com/orcgirl_in_arin", "orcgirl_in_arin")</f>
        <v>orcgirl_in_arin</v>
      </c>
      <c r="B7841" s="65" t="s">
        <v>3871</v>
      </c>
    </row>
    <row r="7842" spans="1:2" x14ac:dyDescent="0.25">
      <c r="A7842" s="64" t="str">
        <f>HYPERLINK("http://www.twitter.com/JoeMCassidy", "JoeMCassidy")</f>
        <v>JoeMCassidy</v>
      </c>
      <c r="B7842" s="65" t="s">
        <v>3633</v>
      </c>
    </row>
    <row r="7843" spans="1:2" x14ac:dyDescent="0.25">
      <c r="A7843" s="64" t="str">
        <f>HYPERLINK("http://www.twitter.com/BrisCliffe", "BrisCliffe")</f>
        <v>BrisCliffe</v>
      </c>
      <c r="B7843" s="65"/>
    </row>
    <row r="7844" spans="1:2" x14ac:dyDescent="0.25">
      <c r="A7844" s="64" t="str">
        <f>HYPERLINK("http://www.twitter.com/ingridhendo", "ingridhendo")</f>
        <v>ingridhendo</v>
      </c>
      <c r="B7844" s="65" t="s">
        <v>6404</v>
      </c>
    </row>
    <row r="7845" spans="1:2" x14ac:dyDescent="0.25">
      <c r="A7845" s="64" t="str">
        <f>HYPERLINK("http://www.twitter.com/StuartGOrr", "StuartGOrr")</f>
        <v>StuartGOrr</v>
      </c>
      <c r="B7845" s="65" t="s">
        <v>487</v>
      </c>
    </row>
    <row r="7846" spans="1:2" x14ac:dyDescent="0.25">
      <c r="A7846" s="64" t="str">
        <f>HYPERLINK("http://www.twitter.com/artemisdelphi16", "artemisdelphi16")</f>
        <v>artemisdelphi16</v>
      </c>
      <c r="B7846" s="65"/>
    </row>
    <row r="7847" spans="1:2" x14ac:dyDescent="0.25">
      <c r="A7847" s="64" t="str">
        <f>HYPERLINK("http://www.twitter.com/Sidneysussex1", "Sidneysussex1")</f>
        <v>Sidneysussex1</v>
      </c>
      <c r="B7847" s="65"/>
    </row>
    <row r="7848" spans="1:2" x14ac:dyDescent="0.25">
      <c r="A7848" s="64" t="str">
        <f>HYPERLINK("http://www.twitter.com/DasJarg", "DasJarg")</f>
        <v>DasJarg</v>
      </c>
      <c r="B7848" s="65"/>
    </row>
    <row r="7849" spans="1:2" x14ac:dyDescent="0.25">
      <c r="A7849" s="64" t="str">
        <f>HYPERLINK("http://www.twitter.com/DeBurcaButcher", "DeBurcaButcher")</f>
        <v>DeBurcaButcher</v>
      </c>
      <c r="B7849" s="65" t="s">
        <v>6405</v>
      </c>
    </row>
    <row r="7850" spans="1:2" x14ac:dyDescent="0.25">
      <c r="A7850" s="64" t="str">
        <f>HYPERLINK("http://www.twitter.com/mullboy79", "mullboy79")</f>
        <v>mullboy79</v>
      </c>
      <c r="B7850" s="65" t="s">
        <v>138</v>
      </c>
    </row>
    <row r="7851" spans="1:2" x14ac:dyDescent="0.25">
      <c r="A7851" s="64" t="str">
        <f>HYPERLINK("http://www.twitter.com/eileenorua", "eileenorua")</f>
        <v>eileenorua</v>
      </c>
      <c r="B7851" s="65" t="s">
        <v>6406</v>
      </c>
    </row>
    <row r="7852" spans="1:2" x14ac:dyDescent="0.25">
      <c r="A7852" s="64" t="str">
        <f>HYPERLINK("http://www.twitter.com/KP4365", "KP4365")</f>
        <v>KP4365</v>
      </c>
      <c r="B7852" s="65"/>
    </row>
    <row r="7853" spans="1:2" x14ac:dyDescent="0.25">
      <c r="A7853" s="64" t="str">
        <f>HYPERLINK("http://www.twitter.com/BioethicsUK", "BioethicsUK")</f>
        <v>BioethicsUK</v>
      </c>
      <c r="B7853" s="65" t="s">
        <v>296</v>
      </c>
    </row>
    <row r="7854" spans="1:2" x14ac:dyDescent="0.25">
      <c r="A7854" s="64" t="str">
        <f>HYPERLINK("http://www.twitter.com/OgreTale", "OgreTale")</f>
        <v>OgreTale</v>
      </c>
      <c r="B7854" s="65" t="s">
        <v>6407</v>
      </c>
    </row>
    <row r="7855" spans="1:2" x14ac:dyDescent="0.25">
      <c r="A7855" s="64" t="str">
        <f>HYPERLINK("http://www.twitter.com/CurlewSteph", "CurlewSteph")</f>
        <v>CurlewSteph</v>
      </c>
      <c r="B7855" s="65" t="s">
        <v>6408</v>
      </c>
    </row>
    <row r="7856" spans="1:2" x14ac:dyDescent="0.25">
      <c r="A7856" s="64" t="str">
        <f>HYPERLINK("http://www.twitter.com/shehulking", "shehulking")</f>
        <v>shehulking</v>
      </c>
      <c r="B7856" s="65" t="s">
        <v>36</v>
      </c>
    </row>
    <row r="7857" spans="1:2" x14ac:dyDescent="0.25">
      <c r="A7857" s="64" t="str">
        <f>HYPERLINK("http://www.twitter.com/TycheBooks", "TycheBooks")</f>
        <v>TycheBooks</v>
      </c>
      <c r="B7857" s="65" t="s">
        <v>4415</v>
      </c>
    </row>
    <row r="7858" spans="1:2" x14ac:dyDescent="0.25">
      <c r="A7858" s="64" t="str">
        <f>HYPERLINK("http://www.twitter.com/opendayrotation", "opendayrotation")</f>
        <v>opendayrotation</v>
      </c>
      <c r="B7858" s="65" t="s">
        <v>6409</v>
      </c>
    </row>
    <row r="7859" spans="1:2" x14ac:dyDescent="0.25">
      <c r="A7859" s="64" t="str">
        <f>HYPERLINK("http://www.twitter.com/bethmargobrown", "bethmargobrown")</f>
        <v>bethmargobrown</v>
      </c>
      <c r="B7859" s="65" t="s">
        <v>318</v>
      </c>
    </row>
    <row r="7860" spans="1:2" x14ac:dyDescent="0.25">
      <c r="A7860" s="64" t="str">
        <f>HYPERLINK("http://www.twitter.com/one_black_dude", "one_black_dude")</f>
        <v>one_black_dude</v>
      </c>
      <c r="B7860" s="65"/>
    </row>
    <row r="7861" spans="1:2" x14ac:dyDescent="0.25">
      <c r="A7861" s="64" t="str">
        <f>HYPERLINK("http://www.twitter.com/randomdavemcc1", "randomdavemcc1")</f>
        <v>randomdavemcc1</v>
      </c>
      <c r="B7861" s="65" t="s">
        <v>6410</v>
      </c>
    </row>
    <row r="7862" spans="1:2" x14ac:dyDescent="0.25">
      <c r="A7862" s="64" t="str">
        <f>HYPERLINK("http://www.twitter.com/wetfoot", "wetfoot")</f>
        <v>wetfoot</v>
      </c>
      <c r="B7862" s="65"/>
    </row>
    <row r="7863" spans="1:2" x14ac:dyDescent="0.25">
      <c r="A7863" s="64" t="str">
        <f>HYPERLINK("http://www.twitter.com/Sylvia_C_", "Sylvia_C_")</f>
        <v>Sylvia_C_</v>
      </c>
      <c r="B7863" s="65" t="s">
        <v>6411</v>
      </c>
    </row>
    <row r="7864" spans="1:2" x14ac:dyDescent="0.25">
      <c r="A7864" s="64" t="str">
        <f>HYPERLINK("http://www.twitter.com/LucyRog1", "LucyRog1")</f>
        <v>LucyRog1</v>
      </c>
      <c r="B7864" s="65" t="s">
        <v>6412</v>
      </c>
    </row>
    <row r="7865" spans="1:2" x14ac:dyDescent="0.25">
      <c r="A7865" s="64" t="str">
        <f>HYPERLINK("http://www.twitter.com/MrSitter", "MrSitter")</f>
        <v>MrSitter</v>
      </c>
      <c r="B7865" s="65" t="s">
        <v>6413</v>
      </c>
    </row>
    <row r="7866" spans="1:2" x14ac:dyDescent="0.25">
      <c r="A7866" s="64" t="str">
        <f>HYPERLINK("http://www.twitter.com/chapmankillie", "chapmankillie")</f>
        <v>chapmankillie</v>
      </c>
      <c r="B7866" s="65" t="s">
        <v>5422</v>
      </c>
    </row>
    <row r="7867" spans="1:2" x14ac:dyDescent="0.25">
      <c r="A7867" s="64" t="str">
        <f>HYPERLINK("http://www.twitter.com/PamWoolliscroft", "PamWoolliscroft")</f>
        <v>PamWoolliscroft</v>
      </c>
      <c r="B7867" s="65" t="s">
        <v>6414</v>
      </c>
    </row>
    <row r="7868" spans="1:2" x14ac:dyDescent="0.25">
      <c r="A7868" s="64" t="str">
        <f>HYPERLINK("http://www.twitter.com/MandiB_", "MandiB_")</f>
        <v>MandiB_</v>
      </c>
      <c r="B7868" s="65" t="s">
        <v>6415</v>
      </c>
    </row>
    <row r="7869" spans="1:2" x14ac:dyDescent="0.25">
      <c r="A7869" s="64" t="str">
        <f>HYPERLINK("http://www.twitter.com/mick_dorkin", "mick_dorkin")</f>
        <v>mick_dorkin</v>
      </c>
      <c r="B7869" s="65" t="s">
        <v>6416</v>
      </c>
    </row>
    <row r="7870" spans="1:2" x14ac:dyDescent="0.25">
      <c r="A7870" s="64" t="str">
        <f>HYPERLINK("http://www.twitter.com/ssiah_a", "ssiah_a")</f>
        <v>ssiah_a</v>
      </c>
      <c r="B7870" s="65" t="s">
        <v>24</v>
      </c>
    </row>
    <row r="7871" spans="1:2" x14ac:dyDescent="0.25">
      <c r="A7871" s="64" t="str">
        <f>HYPERLINK("http://www.twitter.com/MarcieNZ", "MarcieNZ")</f>
        <v>MarcieNZ</v>
      </c>
      <c r="B7871" s="65"/>
    </row>
    <row r="7872" spans="1:2" x14ac:dyDescent="0.25">
      <c r="A7872" s="64" t="str">
        <f>HYPERLINK("http://www.twitter.com/EPL_Foundation", "EPL_Foundation")</f>
        <v>EPL_Foundation</v>
      </c>
      <c r="B7872" s="65" t="s">
        <v>6417</v>
      </c>
    </row>
    <row r="7873" spans="1:2" x14ac:dyDescent="0.25">
      <c r="A7873" s="64" t="str">
        <f>HYPERLINK("http://www.twitter.com/SarahB59", "SarahB59")</f>
        <v>SarahB59</v>
      </c>
      <c r="B7873" s="65" t="s">
        <v>222</v>
      </c>
    </row>
    <row r="7874" spans="1:2" x14ac:dyDescent="0.25">
      <c r="A7874" s="64" t="str">
        <f>HYPERLINK("http://www.twitter.com/wiljob1", "wiljob1")</f>
        <v>wiljob1</v>
      </c>
      <c r="B7874" s="65" t="s">
        <v>4055</v>
      </c>
    </row>
    <row r="7875" spans="1:2" x14ac:dyDescent="0.25">
      <c r="A7875" s="64" t="str">
        <f>HYPERLINK("http://www.twitter.com/CJB_Horn", "CJB_Horn")</f>
        <v>CJB_Horn</v>
      </c>
      <c r="B7875" s="65" t="s">
        <v>4570</v>
      </c>
    </row>
    <row r="7876" spans="1:2" x14ac:dyDescent="0.25">
      <c r="A7876" s="64" t="str">
        <f>HYPERLINK("http://www.twitter.com/DanSloan", "DanSloan")</f>
        <v>DanSloan</v>
      </c>
      <c r="B7876" s="65" t="s">
        <v>4236</v>
      </c>
    </row>
    <row r="7877" spans="1:2" x14ac:dyDescent="0.25">
      <c r="A7877" s="64" t="str">
        <f>HYPERLINK("http://www.twitter.com/MrStuartLodge", "MrStuartLodge")</f>
        <v>MrStuartLodge</v>
      </c>
      <c r="B7877" s="65" t="s">
        <v>6418</v>
      </c>
    </row>
    <row r="7878" spans="1:2" x14ac:dyDescent="0.25">
      <c r="A7878" s="64" t="str">
        <f>HYPERLINK("http://www.twitter.com/Burgerspop", "Burgerspop")</f>
        <v>Burgerspop</v>
      </c>
      <c r="B7878" s="65"/>
    </row>
    <row r="7879" spans="1:2" x14ac:dyDescent="0.25">
      <c r="A7879" s="64" t="str">
        <f>HYPERLINK("http://www.twitter.com/ash4324", "ash4324")</f>
        <v>ash4324</v>
      </c>
      <c r="B7879" s="65" t="s">
        <v>6419</v>
      </c>
    </row>
    <row r="7880" spans="1:2" x14ac:dyDescent="0.25">
      <c r="A7880" s="64" t="str">
        <f>HYPERLINK("http://www.twitter.com/ImeldaMinnock", "ImeldaMinnock")</f>
        <v>ImeldaMinnock</v>
      </c>
      <c r="B7880" s="65" t="s">
        <v>4062</v>
      </c>
    </row>
    <row r="7881" spans="1:2" x14ac:dyDescent="0.25">
      <c r="A7881" s="64" t="str">
        <f>HYPERLINK("http://www.twitter.com/psneeze", "psneeze")</f>
        <v>psneeze</v>
      </c>
      <c r="B7881" s="65" t="s">
        <v>6420</v>
      </c>
    </row>
    <row r="7882" spans="1:2" x14ac:dyDescent="0.25">
      <c r="A7882" s="64" t="str">
        <f>HYPERLINK("http://www.twitter.com/conoro", "conoro")</f>
        <v>conoro</v>
      </c>
      <c r="B7882" s="65" t="s">
        <v>6421</v>
      </c>
    </row>
    <row r="7883" spans="1:2" x14ac:dyDescent="0.25">
      <c r="A7883" s="64" t="str">
        <f>HYPERLINK("http://www.twitter.com/kirsteenMM", "kirsteenMM")</f>
        <v>kirsteenMM</v>
      </c>
      <c r="B7883" s="65"/>
    </row>
    <row r="7884" spans="1:2" x14ac:dyDescent="0.25">
      <c r="A7884" s="64" t="str">
        <f>HYPERLINK("http://www.twitter.com/Mrsdachshund", "Mrsdachshund")</f>
        <v>Mrsdachshund</v>
      </c>
      <c r="B7884" s="65"/>
    </row>
    <row r="7885" spans="1:2" x14ac:dyDescent="0.25">
      <c r="A7885" s="64" t="str">
        <f>HYPERLINK("http://www.twitter.com/nickaj", "nickaj")</f>
        <v>nickaj</v>
      </c>
      <c r="B7885" s="65" t="s">
        <v>67</v>
      </c>
    </row>
    <row r="7886" spans="1:2" x14ac:dyDescent="0.25">
      <c r="A7886" s="64" t="str">
        <f>HYPERLINK("http://www.twitter.com/BriffaJoseph", "BriffaJoseph")</f>
        <v>BriffaJoseph</v>
      </c>
      <c r="B7886" s="65"/>
    </row>
    <row r="7887" spans="1:2" x14ac:dyDescent="0.25">
      <c r="A7887" s="64" t="str">
        <f>HYPERLINK("http://www.twitter.com/SuperScentedWax", "SuperScentedWax")</f>
        <v>SuperScentedWax</v>
      </c>
      <c r="B7887" s="65" t="s">
        <v>6422</v>
      </c>
    </row>
    <row r="7888" spans="1:2" x14ac:dyDescent="0.25">
      <c r="A7888" s="64" t="str">
        <f>HYPERLINK("http://www.twitter.com/janewright", "janewright")</f>
        <v>janewright</v>
      </c>
      <c r="B7888" s="65" t="s">
        <v>2289</v>
      </c>
    </row>
    <row r="7889" spans="1:2" x14ac:dyDescent="0.25">
      <c r="A7889" s="64" t="str">
        <f>HYPERLINK("http://www.twitter.com/C_SL7", "C_SL7")</f>
        <v>C_SL7</v>
      </c>
      <c r="B7889" s="65" t="s">
        <v>6423</v>
      </c>
    </row>
    <row r="7890" spans="1:2" x14ac:dyDescent="0.25">
      <c r="A7890" s="64" t="str">
        <f>HYPERLINK("http://www.twitter.com/ne_henry", "ne_henry")</f>
        <v>ne_henry</v>
      </c>
      <c r="B7890" s="65" t="s">
        <v>318</v>
      </c>
    </row>
    <row r="7891" spans="1:2" x14ac:dyDescent="0.25">
      <c r="A7891" s="64" t="str">
        <f>HYPERLINK("http://www.twitter.com/maureenocal", "maureenocal")</f>
        <v>maureenocal</v>
      </c>
      <c r="B7891" s="65" t="s">
        <v>5520</v>
      </c>
    </row>
    <row r="7892" spans="1:2" x14ac:dyDescent="0.25">
      <c r="A7892" s="64" t="str">
        <f>HYPERLINK("http://www.twitter.com/deiinhastings", "deiinhastings")</f>
        <v>deiinhastings</v>
      </c>
      <c r="B7892" s="65" t="s">
        <v>6424</v>
      </c>
    </row>
    <row r="7893" spans="1:2" x14ac:dyDescent="0.25">
      <c r="A7893" s="64" t="str">
        <f>HYPERLINK("http://www.twitter.com/matthewevans43", "matthewevans43")</f>
        <v>matthewevans43</v>
      </c>
      <c r="B7893" s="65" t="s">
        <v>6425</v>
      </c>
    </row>
    <row r="7894" spans="1:2" x14ac:dyDescent="0.25">
      <c r="A7894" s="64" t="str">
        <f>HYPERLINK("http://www.twitter.com/russelguppy", "russelguppy")</f>
        <v>russelguppy</v>
      </c>
      <c r="B7894" s="65" t="s">
        <v>6426</v>
      </c>
    </row>
    <row r="7895" spans="1:2" x14ac:dyDescent="0.25">
      <c r="A7895" s="64" t="str">
        <f>HYPERLINK("http://www.twitter.com/EilidhTroup", "EilidhTroup")</f>
        <v>EilidhTroup</v>
      </c>
      <c r="B7895" s="65" t="s">
        <v>487</v>
      </c>
    </row>
    <row r="7896" spans="1:2" x14ac:dyDescent="0.25">
      <c r="A7896" s="64" t="str">
        <f>HYPERLINK("http://www.twitter.com/BusStationZebra", "BusStationZebra")</f>
        <v>BusStationZebra</v>
      </c>
      <c r="B7896" s="65"/>
    </row>
    <row r="7897" spans="1:2" x14ac:dyDescent="0.25">
      <c r="A7897" s="64" t="str">
        <f>HYPERLINK("http://www.twitter.com/custardslices", "custardslices")</f>
        <v>custardslices</v>
      </c>
      <c r="B7897" s="65" t="s">
        <v>883</v>
      </c>
    </row>
    <row r="7898" spans="1:2" x14ac:dyDescent="0.25">
      <c r="A7898" s="64" t="str">
        <f>HYPERLINK("http://www.twitter.com/NancyJones0", "NancyJones0")</f>
        <v>NancyJones0</v>
      </c>
      <c r="B7898" s="65" t="s">
        <v>6427</v>
      </c>
    </row>
    <row r="7899" spans="1:2" x14ac:dyDescent="0.25">
      <c r="A7899" s="64" t="str">
        <f>HYPERLINK("http://www.twitter.com/catherinerolph", "catherinerolph")</f>
        <v>catherinerolph</v>
      </c>
      <c r="B7899" s="65" t="s">
        <v>1490</v>
      </c>
    </row>
    <row r="7900" spans="1:2" x14ac:dyDescent="0.25">
      <c r="A7900" s="64" t="str">
        <f>HYPERLINK("http://www.twitter.com/shcrowe", "shcrowe")</f>
        <v>shcrowe</v>
      </c>
      <c r="B7900" s="65"/>
    </row>
    <row r="7901" spans="1:2" x14ac:dyDescent="0.25">
      <c r="A7901" s="64" t="str">
        <f>HYPERLINK("http://www.twitter.com/jayantppatil", "jayantppatil")</f>
        <v>jayantppatil</v>
      </c>
      <c r="B7901" s="65"/>
    </row>
    <row r="7902" spans="1:2" x14ac:dyDescent="0.25">
      <c r="A7902" s="64" t="str">
        <f>HYPERLINK("http://www.twitter.com/Stubing", "Stubing")</f>
        <v>Stubing</v>
      </c>
      <c r="B7902" s="65" t="s">
        <v>6428</v>
      </c>
    </row>
    <row r="7903" spans="1:2" x14ac:dyDescent="0.25">
      <c r="A7903" s="64" t="str">
        <f>HYPERLINK("http://www.twitter.com/pcosway", "pcosway")</f>
        <v>pcosway</v>
      </c>
      <c r="B7903" s="65" t="s">
        <v>6429</v>
      </c>
    </row>
    <row r="7904" spans="1:2" x14ac:dyDescent="0.25">
      <c r="A7904" s="64" t="str">
        <f>HYPERLINK("http://www.twitter.com/katbirdplane", "katbirdplane")</f>
        <v>katbirdplane</v>
      </c>
      <c r="B7904" s="65" t="s">
        <v>6430</v>
      </c>
    </row>
    <row r="7905" spans="1:2" x14ac:dyDescent="0.25">
      <c r="A7905" s="64" t="str">
        <f>HYPERLINK("http://www.twitter.com/bookkaz", "bookkaz")</f>
        <v>bookkaz</v>
      </c>
      <c r="B7905" s="65" t="s">
        <v>6431</v>
      </c>
    </row>
    <row r="7906" spans="1:2" x14ac:dyDescent="0.25">
      <c r="A7906" s="64" t="str">
        <f>HYPERLINK("http://www.twitter.com/MrApollo", "MrApollo")</f>
        <v>MrApollo</v>
      </c>
      <c r="B7906" s="65" t="s">
        <v>6432</v>
      </c>
    </row>
    <row r="7907" spans="1:2" x14ac:dyDescent="0.25">
      <c r="A7907" s="64" t="str">
        <f>HYPERLINK("http://www.twitter.com/Libraryninja25", "Libraryninja25")</f>
        <v>Libraryninja25</v>
      </c>
      <c r="B7907" s="65" t="s">
        <v>3948</v>
      </c>
    </row>
    <row r="7908" spans="1:2" x14ac:dyDescent="0.25">
      <c r="A7908" s="64" t="str">
        <f>HYPERLINK("http://www.twitter.com/joysephine88", "joysephine88")</f>
        <v>joysephine88</v>
      </c>
      <c r="B7908" s="65"/>
    </row>
    <row r="7909" spans="1:2" x14ac:dyDescent="0.25">
      <c r="A7909" s="64" t="str">
        <f>HYPERLINK("http://www.twitter.com/LindseyCran", "LindseyCran")</f>
        <v>LindseyCran</v>
      </c>
      <c r="B7909" s="65"/>
    </row>
    <row r="7910" spans="1:2" x14ac:dyDescent="0.25">
      <c r="A7910" s="64" t="str">
        <f>HYPERLINK("http://www.twitter.com/EmmaMConnelly", "EmmaMConnelly")</f>
        <v>EmmaMConnelly</v>
      </c>
      <c r="B7910" s="65" t="s">
        <v>138</v>
      </c>
    </row>
    <row r="7911" spans="1:2" x14ac:dyDescent="0.25">
      <c r="A7911" s="64" t="str">
        <f>HYPERLINK("http://www.twitter.com/LouisJolliffe", "LouisJolliffe")</f>
        <v>LouisJolliffe</v>
      </c>
      <c r="B7911" s="65"/>
    </row>
    <row r="7912" spans="1:2" x14ac:dyDescent="0.25">
      <c r="A7912" s="64" t="str">
        <f>HYPERLINK("http://www.twitter.com/katiedorr82", "katiedorr82")</f>
        <v>katiedorr82</v>
      </c>
      <c r="B7912" s="65" t="s">
        <v>296</v>
      </c>
    </row>
    <row r="7913" spans="1:2" x14ac:dyDescent="0.25">
      <c r="A7913" s="64" t="str">
        <f>HYPERLINK("http://www.twitter.com/Annalise_Pask", "Annalise_Pask")</f>
        <v>Annalise_Pask</v>
      </c>
      <c r="B7913" s="65" t="s">
        <v>6433</v>
      </c>
    </row>
    <row r="7914" spans="1:2" x14ac:dyDescent="0.25">
      <c r="A7914" s="64" t="str">
        <f>HYPERLINK("http://www.twitter.com/HCArchibald", "HCArchibald")</f>
        <v>HCArchibald</v>
      </c>
      <c r="B7914" s="65"/>
    </row>
    <row r="7915" spans="1:2" x14ac:dyDescent="0.25">
      <c r="A7915" s="64" t="str">
        <f>HYPERLINK("http://www.twitter.com/AliceR31", "AliceR31")</f>
        <v>AliceR31</v>
      </c>
      <c r="B7915" s="65" t="s">
        <v>6434</v>
      </c>
    </row>
    <row r="7916" spans="1:2" x14ac:dyDescent="0.25">
      <c r="A7916" s="64" t="str">
        <f>HYPERLINK("http://www.twitter.com/TheRealLizLee", "TheRealLizLee")</f>
        <v>TheRealLizLee</v>
      </c>
      <c r="B7916" s="65" t="s">
        <v>6435</v>
      </c>
    </row>
    <row r="7917" spans="1:2" x14ac:dyDescent="0.25">
      <c r="A7917" s="64" t="str">
        <f>HYPERLINK("http://www.twitter.com/rachcolours", "rachcolours")</f>
        <v>rachcolours</v>
      </c>
      <c r="B7917" s="65" t="s">
        <v>3660</v>
      </c>
    </row>
    <row r="7918" spans="1:2" x14ac:dyDescent="0.25">
      <c r="A7918" s="64" t="str">
        <f>HYPERLINK("http://www.twitter.com/penguinoid", "penguinoid")</f>
        <v>penguinoid</v>
      </c>
      <c r="B7918" s="65" t="s">
        <v>6436</v>
      </c>
    </row>
    <row r="7919" spans="1:2" x14ac:dyDescent="0.25">
      <c r="A7919" s="64" t="str">
        <f>HYPERLINK("http://www.twitter.com/BGSU_PopCultLib", "BGSU_PopCultLib")</f>
        <v>BGSU_PopCultLib</v>
      </c>
      <c r="B7919" s="65" t="s">
        <v>6437</v>
      </c>
    </row>
    <row r="7920" spans="1:2" x14ac:dyDescent="0.25">
      <c r="A7920" s="64" t="str">
        <f>HYPERLINK("http://www.twitter.com/Hannah_Furness", "Hannah_Furness")</f>
        <v>Hannah_Furness</v>
      </c>
      <c r="B7920" s="65" t="s">
        <v>36</v>
      </c>
    </row>
    <row r="7921" spans="1:2" x14ac:dyDescent="0.25">
      <c r="A7921" s="64" t="str">
        <f>HYPERLINK("http://www.twitter.com/beckspritchard", "beckspritchard")</f>
        <v>beckspritchard</v>
      </c>
      <c r="B7921" s="65" t="s">
        <v>36</v>
      </c>
    </row>
    <row r="7922" spans="1:2" x14ac:dyDescent="0.25">
      <c r="A7922" s="64" t="str">
        <f>HYPERLINK("http://www.twitter.com/YICETOR", "YICETOR")</f>
        <v>YICETOR</v>
      </c>
      <c r="B7922" s="65" t="s">
        <v>6438</v>
      </c>
    </row>
    <row r="7923" spans="1:2" x14ac:dyDescent="0.25">
      <c r="A7923" s="64" t="str">
        <f>HYPERLINK("http://www.twitter.com/staceyigraham", "staceyigraham")</f>
        <v>staceyigraham</v>
      </c>
      <c r="B7923" s="65" t="s">
        <v>6439</v>
      </c>
    </row>
    <row r="7924" spans="1:2" x14ac:dyDescent="0.25">
      <c r="A7924" s="64" t="str">
        <f>HYPERLINK("http://www.twitter.com/CllrTim", "CllrTim")</f>
        <v>CllrTim</v>
      </c>
      <c r="B7924" s="65" t="s">
        <v>6440</v>
      </c>
    </row>
    <row r="7925" spans="1:2" x14ac:dyDescent="0.25">
      <c r="A7925" s="64" t="str">
        <f>HYPERLINK("http://www.twitter.com/richardknight81", "richardknight81")</f>
        <v>richardknight81</v>
      </c>
      <c r="B7925" s="65" t="s">
        <v>4171</v>
      </c>
    </row>
    <row r="7926" spans="1:2" x14ac:dyDescent="0.25">
      <c r="A7926" s="64" t="str">
        <f>HYPERLINK("http://www.twitter.com/psmorrison", "psmorrison")</f>
        <v>psmorrison</v>
      </c>
      <c r="B7926" s="65" t="s">
        <v>6441</v>
      </c>
    </row>
    <row r="7927" spans="1:2" x14ac:dyDescent="0.25">
      <c r="A7927" s="64" t="str">
        <f>HYPERLINK("http://www.twitter.com/UttlesfordDC", "UttlesfordDC")</f>
        <v>UttlesfordDC</v>
      </c>
      <c r="B7927" s="65" t="s">
        <v>6442</v>
      </c>
    </row>
    <row r="7928" spans="1:2" x14ac:dyDescent="0.25">
      <c r="A7928" s="64" t="str">
        <f>HYPERLINK("http://www.twitter.com/WillDownes", "WillDownes")</f>
        <v>WillDownes</v>
      </c>
      <c r="B7928" s="65" t="s">
        <v>36</v>
      </c>
    </row>
    <row r="7929" spans="1:2" x14ac:dyDescent="0.25">
      <c r="A7929" s="64" t="str">
        <f>HYPERLINK("http://www.twitter.com/wohinjetzt", "wohinjetzt")</f>
        <v>wohinjetzt</v>
      </c>
      <c r="B7929" s="65" t="s">
        <v>6443</v>
      </c>
    </row>
    <row r="7930" spans="1:2" x14ac:dyDescent="0.25">
      <c r="A7930" s="64" t="str">
        <f>HYPERLINK("http://www.twitter.com/ruduss", "ruduss")</f>
        <v>ruduss</v>
      </c>
      <c r="B7930" s="65" t="s">
        <v>6444</v>
      </c>
    </row>
    <row r="7931" spans="1:2" x14ac:dyDescent="0.25">
      <c r="A7931" s="64" t="str">
        <f>HYPERLINK("http://www.twitter.com/DuckingGreyDuck", "DuckingGreyDuck")</f>
        <v>DuckingGreyDuck</v>
      </c>
      <c r="B7931" s="65" t="s">
        <v>6445</v>
      </c>
    </row>
    <row r="7932" spans="1:2" x14ac:dyDescent="0.25">
      <c r="A7932" s="64" t="str">
        <f>HYPERLINK("http://www.twitter.com/JonGalliers", "JonGalliers")</f>
        <v>JonGalliers</v>
      </c>
      <c r="B7932" s="65" t="s">
        <v>6446</v>
      </c>
    </row>
    <row r="7933" spans="1:2" x14ac:dyDescent="0.25">
      <c r="A7933" s="64" t="str">
        <f>HYPERLINK("http://www.twitter.com/LynchButch", "LynchButch")</f>
        <v>LynchButch</v>
      </c>
      <c r="B7933" s="65"/>
    </row>
    <row r="7934" spans="1:2" x14ac:dyDescent="0.25">
      <c r="A7934" s="64" t="str">
        <f>HYPERLINK("http://www.twitter.com/fishea25", "fishea25")</f>
        <v>fishea25</v>
      </c>
      <c r="B7934" s="65" t="s">
        <v>6447</v>
      </c>
    </row>
    <row r="7935" spans="1:2" x14ac:dyDescent="0.25">
      <c r="A7935" s="64" t="str">
        <f>HYPERLINK("http://www.twitter.com/samgwalsh1", "samgwalsh1")</f>
        <v>samgwalsh1</v>
      </c>
      <c r="B7935" s="65"/>
    </row>
    <row r="7936" spans="1:2" x14ac:dyDescent="0.25">
      <c r="A7936" s="64" t="str">
        <f>HYPERLINK("http://www.twitter.com/ErinELindsay", "ErinELindsay")</f>
        <v>ErinELindsay</v>
      </c>
      <c r="B7936" s="65" t="s">
        <v>3785</v>
      </c>
    </row>
    <row r="7937" spans="1:2" x14ac:dyDescent="0.25">
      <c r="A7937" s="64" t="str">
        <f>HYPERLINK("http://www.twitter.com/hannoir", "hannoir")</f>
        <v>hannoir</v>
      </c>
      <c r="B7937" s="65" t="s">
        <v>4171</v>
      </c>
    </row>
    <row r="7938" spans="1:2" x14ac:dyDescent="0.25">
      <c r="A7938" s="64" t="str">
        <f>HYPERLINK("http://www.twitter.com/AliceinDCland", "AliceinDCland")</f>
        <v>AliceinDCland</v>
      </c>
      <c r="B7938" s="65" t="s">
        <v>3785</v>
      </c>
    </row>
    <row r="7939" spans="1:2" x14ac:dyDescent="0.25">
      <c r="A7939" s="64" t="str">
        <f>HYPERLINK("http://www.twitter.com/Kat_Olenska", "Kat_Olenska")</f>
        <v>Kat_Olenska</v>
      </c>
      <c r="B7939" s="65"/>
    </row>
    <row r="7940" spans="1:2" x14ac:dyDescent="0.25">
      <c r="A7940" s="64" t="str">
        <f>HYPERLINK("http://www.twitter.com/aoi_cap", "aoi_cap")</f>
        <v>aoi_cap</v>
      </c>
      <c r="B7940" s="65" t="s">
        <v>4145</v>
      </c>
    </row>
    <row r="7941" spans="1:2" x14ac:dyDescent="0.25">
      <c r="A7941" s="64" t="str">
        <f>HYPERLINK("http://www.twitter.com/manuscript", "manuscript")</f>
        <v>manuscript</v>
      </c>
      <c r="B7941" s="65" t="s">
        <v>36</v>
      </c>
    </row>
    <row r="7942" spans="1:2" x14ac:dyDescent="0.25">
      <c r="A7942" s="64" t="str">
        <f>HYPERLINK("http://www.twitter.com/ArtsatOFS", "ArtsatOFS")</f>
        <v>ArtsatOFS</v>
      </c>
      <c r="B7942" s="65" t="s">
        <v>12</v>
      </c>
    </row>
    <row r="7943" spans="1:2" x14ac:dyDescent="0.25">
      <c r="A7943" s="64" t="str">
        <f>HYPERLINK("http://www.twitter.com/EleanorCWalker", "EleanorCWalker")</f>
        <v>EleanorCWalker</v>
      </c>
      <c r="B7943" s="65" t="s">
        <v>487</v>
      </c>
    </row>
    <row r="7944" spans="1:2" x14ac:dyDescent="0.25">
      <c r="A7944" s="64" t="str">
        <f>HYPERLINK("http://www.twitter.com/n_souslous", "n_souslous")</f>
        <v>n_souslous</v>
      </c>
      <c r="B7944" s="65"/>
    </row>
    <row r="7945" spans="1:2" x14ac:dyDescent="0.25">
      <c r="A7945" s="64" t="str">
        <f>HYPERLINK("http://www.twitter.com/KendalsLtd", "KendalsLtd")</f>
        <v>KendalsLtd</v>
      </c>
      <c r="B7945" s="65" t="s">
        <v>6448</v>
      </c>
    </row>
    <row r="7946" spans="1:2" x14ac:dyDescent="0.25">
      <c r="A7946" s="64" t="str">
        <f>HYPERLINK("http://www.twitter.com/_PenguinFlight", "_PenguinFlight")</f>
        <v>_PenguinFlight</v>
      </c>
      <c r="B7946" s="65" t="s">
        <v>24</v>
      </c>
    </row>
    <row r="7947" spans="1:2" x14ac:dyDescent="0.25">
      <c r="A7947" s="64" t="str">
        <f>HYPERLINK("http://www.twitter.com/Keilantra", "Keilantra")</f>
        <v>Keilantra</v>
      </c>
      <c r="B7947" s="65" t="s">
        <v>3843</v>
      </c>
    </row>
    <row r="7948" spans="1:2" x14ac:dyDescent="0.25">
      <c r="A7948" s="64" t="str">
        <f>HYPERLINK("http://www.twitter.com/start_words", "start_words")</f>
        <v>start_words</v>
      </c>
      <c r="B7948" s="65" t="s">
        <v>6449</v>
      </c>
    </row>
    <row r="7949" spans="1:2" x14ac:dyDescent="0.25">
      <c r="A7949" s="64" t="str">
        <f>HYPERLINK("http://www.twitter.com/RichieWhitelaw", "RichieWhitelaw")</f>
        <v>RichieWhitelaw</v>
      </c>
      <c r="B7949" s="65"/>
    </row>
    <row r="7950" spans="1:2" x14ac:dyDescent="0.25">
      <c r="A7950" s="64" t="str">
        <f>HYPERLINK("http://www.twitter.com/Valhalla_7", "Valhalla_7")</f>
        <v>Valhalla_7</v>
      </c>
      <c r="B7950" s="65" t="s">
        <v>318</v>
      </c>
    </row>
    <row r="7951" spans="1:2" x14ac:dyDescent="0.25">
      <c r="A7951" s="64" t="str">
        <f>HYPERLINK("http://www.twitter.com/kimchoe", "kimchoe")</f>
        <v>kimchoe</v>
      </c>
      <c r="B7951" s="65" t="s">
        <v>3816</v>
      </c>
    </row>
    <row r="7952" spans="1:2" x14ac:dyDescent="0.25">
      <c r="A7952" s="64" t="str">
        <f>HYPERLINK("http://www.twitter.com/PerthRacecourse", "PerthRacecourse")</f>
        <v>PerthRacecourse</v>
      </c>
      <c r="B7952" s="65" t="s">
        <v>3773</v>
      </c>
    </row>
    <row r="7953" spans="1:2" x14ac:dyDescent="0.25">
      <c r="A7953" s="64" t="str">
        <f>HYPERLINK("http://www.twitter.com/Peasetrees", "Peasetrees")</f>
        <v>Peasetrees</v>
      </c>
      <c r="B7953" s="65" t="s">
        <v>6450</v>
      </c>
    </row>
    <row r="7954" spans="1:2" x14ac:dyDescent="0.25">
      <c r="A7954" s="64" t="str">
        <f>HYPERLINK("http://www.twitter.com/KathyM2016", "KathyM2016")</f>
        <v>KathyM2016</v>
      </c>
      <c r="B7954" s="65" t="s">
        <v>2679</v>
      </c>
    </row>
    <row r="7955" spans="1:2" x14ac:dyDescent="0.25">
      <c r="A7955" s="64" t="str">
        <f>HYPERLINK("http://www.twitter.com/yaheardwperd", "yaheardwperd")</f>
        <v>yaheardwperd</v>
      </c>
      <c r="B7955" s="65"/>
    </row>
    <row r="7956" spans="1:2" x14ac:dyDescent="0.25">
      <c r="A7956" s="64" t="str">
        <f>HYPERLINK("http://www.twitter.com/philippa22", "philippa22")</f>
        <v>philippa22</v>
      </c>
      <c r="B7956" s="65" t="s">
        <v>2471</v>
      </c>
    </row>
    <row r="7957" spans="1:2" x14ac:dyDescent="0.25">
      <c r="A7957" s="64" t="str">
        <f>HYPERLINK("http://www.twitter.com/BeckyBarnesB", "BeckyBarnesB")</f>
        <v>BeckyBarnesB</v>
      </c>
      <c r="B7957" s="65" t="s">
        <v>36</v>
      </c>
    </row>
    <row r="7958" spans="1:2" x14ac:dyDescent="0.25">
      <c r="A7958" s="64" t="str">
        <f>HYPERLINK("http://www.twitter.com/gormacha", "gormacha")</f>
        <v>gormacha</v>
      </c>
      <c r="B7958" s="65" t="s">
        <v>6451</v>
      </c>
    </row>
    <row r="7959" spans="1:2" x14ac:dyDescent="0.25">
      <c r="A7959" s="64" t="str">
        <f>HYPERLINK("http://www.twitter.com/SarahDeeWrites", "SarahDeeWrites")</f>
        <v>SarahDeeWrites</v>
      </c>
      <c r="B7959" s="65" t="s">
        <v>6452</v>
      </c>
    </row>
    <row r="7960" spans="1:2" x14ac:dyDescent="0.25">
      <c r="A7960" s="64" t="str">
        <f>HYPERLINK("http://www.twitter.com/channelera", "channelera")</f>
        <v>channelera</v>
      </c>
      <c r="B7960" s="65" t="s">
        <v>4436</v>
      </c>
    </row>
    <row r="7961" spans="1:2" x14ac:dyDescent="0.25">
      <c r="A7961" s="64" t="str">
        <f>HYPERLINK("http://www.twitter.com/Speranza6162", "Speranza6162")</f>
        <v>Speranza6162</v>
      </c>
      <c r="B7961" s="65" t="s">
        <v>6453</v>
      </c>
    </row>
    <row r="7962" spans="1:2" x14ac:dyDescent="0.25">
      <c r="A7962" s="64" t="str">
        <f>HYPERLINK("http://www.twitter.com/mikewr", "mikewr")</f>
        <v>mikewr</v>
      </c>
      <c r="B7962" s="65"/>
    </row>
    <row r="7963" spans="1:2" x14ac:dyDescent="0.25">
      <c r="A7963" s="64" t="str">
        <f>HYPERLINK("http://www.twitter.com/Stevejc1515", "Stevejc1515")</f>
        <v>Stevejc1515</v>
      </c>
      <c r="B7963" s="65"/>
    </row>
    <row r="7964" spans="1:2" x14ac:dyDescent="0.25">
      <c r="A7964" s="64" t="str">
        <f>HYPERLINK("http://www.twitter.com/NickyJBear", "NickyJBear")</f>
        <v>NickyJBear</v>
      </c>
      <c r="B7964" s="65" t="s">
        <v>6454</v>
      </c>
    </row>
    <row r="7965" spans="1:2" x14ac:dyDescent="0.25">
      <c r="A7965" s="64" t="str">
        <f>HYPERLINK("http://www.twitter.com/tootingwurzel", "tootingwurzel")</f>
        <v>tootingwurzel</v>
      </c>
      <c r="B7965" s="65" t="s">
        <v>36</v>
      </c>
    </row>
    <row r="7966" spans="1:2" x14ac:dyDescent="0.25">
      <c r="A7966" s="64" t="str">
        <f>HYPERLINK("http://www.twitter.com/dongsreo", "dongsreo")</f>
        <v>dongsreo</v>
      </c>
      <c r="B7966" s="65"/>
    </row>
    <row r="7967" spans="1:2" x14ac:dyDescent="0.25">
      <c r="A7967" s="64" t="str">
        <f>HYPERLINK("http://www.twitter.com/HelgaBaars", "HelgaBaars")</f>
        <v>HelgaBaars</v>
      </c>
      <c r="B7967" s="65"/>
    </row>
    <row r="7968" spans="1:2" x14ac:dyDescent="0.25">
      <c r="A7968" s="64" t="str">
        <f>HYPERLINK("http://www.twitter.com/jrabbitin", "jrabbitin")</f>
        <v>jrabbitin</v>
      </c>
      <c r="B7968" s="65" t="s">
        <v>4447</v>
      </c>
    </row>
    <row r="7969" spans="1:2" x14ac:dyDescent="0.25">
      <c r="A7969" s="64" t="str">
        <f>HYPERLINK("http://www.twitter.com/scotcivictrust", "scotcivictrust")</f>
        <v>scotcivictrust</v>
      </c>
      <c r="B7969" s="65" t="s">
        <v>138</v>
      </c>
    </row>
    <row r="7970" spans="1:2" x14ac:dyDescent="0.25">
      <c r="A7970" s="64" t="str">
        <f>HYPERLINK("http://www.twitter.com/kirstyymcintyre", "kirstyymcintyre")</f>
        <v>kirstyymcintyre</v>
      </c>
      <c r="B7970" s="65" t="s">
        <v>5389</v>
      </c>
    </row>
    <row r="7971" spans="1:2" x14ac:dyDescent="0.25">
      <c r="A7971" s="64" t="str">
        <f>HYPERLINK("http://www.twitter.com/Tam_Sailor", "Tam_Sailor")</f>
        <v>Tam_Sailor</v>
      </c>
      <c r="B7971" s="65" t="s">
        <v>6455</v>
      </c>
    </row>
    <row r="7972" spans="1:2" x14ac:dyDescent="0.25">
      <c r="A7972" s="64" t="str">
        <f>HYPERLINK("http://www.twitter.com/WaterstonesCDF", "WaterstonesCDF")</f>
        <v>WaterstonesCDF</v>
      </c>
      <c r="B7972" s="65" t="s">
        <v>1218</v>
      </c>
    </row>
    <row r="7973" spans="1:2" x14ac:dyDescent="0.25">
      <c r="A7973" s="64" t="str">
        <f>HYPERLINK("http://www.twitter.com/jathers", "jathers")</f>
        <v>jathers</v>
      </c>
      <c r="B7973" s="65"/>
    </row>
    <row r="7974" spans="1:2" x14ac:dyDescent="0.25">
      <c r="A7974" s="64" t="str">
        <f>HYPERLINK("http://www.twitter.com/gingerdisco99", "gingerdisco99")</f>
        <v>gingerdisco99</v>
      </c>
      <c r="B7974" s="65" t="s">
        <v>877</v>
      </c>
    </row>
    <row r="7975" spans="1:2" x14ac:dyDescent="0.25">
      <c r="A7975" s="64" t="str">
        <f>HYPERLINK("http://www.twitter.com/LeKeg1", "LeKeg1")</f>
        <v>LeKeg1</v>
      </c>
      <c r="B7975" s="65" t="s">
        <v>6456</v>
      </c>
    </row>
    <row r="7976" spans="1:2" x14ac:dyDescent="0.25">
      <c r="A7976" s="64" t="str">
        <f>HYPERLINK("http://www.twitter.com/_itsallgeektome", "_itsallgeektome")</f>
        <v>_itsallgeektome</v>
      </c>
      <c r="B7976" s="65" t="s">
        <v>6457</v>
      </c>
    </row>
    <row r="7977" spans="1:2" x14ac:dyDescent="0.25">
      <c r="A7977" s="64" t="str">
        <f>HYPERLINK("http://www.twitter.com/Crunadh", "Crunadh")</f>
        <v>Crunadh</v>
      </c>
      <c r="B7977" s="65" t="s">
        <v>6458</v>
      </c>
    </row>
    <row r="7978" spans="1:2" x14ac:dyDescent="0.25">
      <c r="A7978" s="64" t="str">
        <f>HYPERLINK("http://www.twitter.com/clairebear969", "clairebear969")</f>
        <v>clairebear969</v>
      </c>
      <c r="B7978" s="65" t="s">
        <v>6459</v>
      </c>
    </row>
    <row r="7979" spans="1:2" x14ac:dyDescent="0.25">
      <c r="A7979" s="64" t="str">
        <f>HYPERLINK("http://www.twitter.com/ClaussHerMan", "ClaussHerMan")</f>
        <v>ClaussHerMan</v>
      </c>
      <c r="B7979" s="65" t="s">
        <v>6460</v>
      </c>
    </row>
    <row r="7980" spans="1:2" x14ac:dyDescent="0.25">
      <c r="A7980" s="64" t="str">
        <f>HYPERLINK("http://www.twitter.com/Rosa_Pettifer04", "Rosa_Pettifer04")</f>
        <v>Rosa_Pettifer04</v>
      </c>
      <c r="B7980" s="65" t="s">
        <v>6461</v>
      </c>
    </row>
    <row r="7981" spans="1:2" x14ac:dyDescent="0.25">
      <c r="A7981" s="64" t="str">
        <f>HYPERLINK("http://www.twitter.com/SpfldMassLib", "SpfldMassLib")</f>
        <v>SpfldMassLib</v>
      </c>
      <c r="B7981" s="65" t="s">
        <v>6462</v>
      </c>
    </row>
    <row r="7982" spans="1:2" x14ac:dyDescent="0.25">
      <c r="A7982" s="64" t="str">
        <f>HYPERLINK("http://www.twitter.com/amyjaymarshall", "amyjaymarshall")</f>
        <v>amyjaymarshall</v>
      </c>
      <c r="B7982" s="65" t="s">
        <v>24</v>
      </c>
    </row>
    <row r="7983" spans="1:2" x14ac:dyDescent="0.25">
      <c r="A7983" s="64" t="str">
        <f>HYPERLINK("http://www.twitter.com/Swirls_Ports", "Swirls_Ports")</f>
        <v>Swirls_Ports</v>
      </c>
      <c r="B7983" s="65" t="s">
        <v>6463</v>
      </c>
    </row>
    <row r="7984" spans="1:2" x14ac:dyDescent="0.25">
      <c r="A7984" s="64" t="str">
        <f>HYPERLINK("http://www.twitter.com/ladylibrorojo", "ladylibrorojo")</f>
        <v>ladylibrorojo</v>
      </c>
      <c r="B7984" s="65" t="s">
        <v>6464</v>
      </c>
    </row>
    <row r="7985" spans="1:2" x14ac:dyDescent="0.25">
      <c r="A7985" s="64" t="str">
        <f>HYPERLINK("http://www.twitter.com/Webwight", "Webwight")</f>
        <v>Webwight</v>
      </c>
      <c r="B7985" s="65" t="s">
        <v>6465</v>
      </c>
    </row>
    <row r="7986" spans="1:2" x14ac:dyDescent="0.25">
      <c r="A7986" s="64" t="str">
        <f>HYPERLINK("http://www.twitter.com/LiveBordersLA", "LiveBordersLA")</f>
        <v>LiveBordersLA</v>
      </c>
      <c r="B7986" s="65" t="s">
        <v>2007</v>
      </c>
    </row>
    <row r="7987" spans="1:2" x14ac:dyDescent="0.25">
      <c r="A7987" s="64" t="str">
        <f>HYPERLINK("http://www.twitter.com/RebeccaGray", "RebeccaGray")</f>
        <v>RebeccaGray</v>
      </c>
      <c r="B7987" s="65" t="s">
        <v>36</v>
      </c>
    </row>
    <row r="7988" spans="1:2" x14ac:dyDescent="0.25">
      <c r="A7988" s="64" t="str">
        <f>HYPERLINK("http://www.twitter.com/natfnest", "natfnest")</f>
        <v>natfnest</v>
      </c>
      <c r="B7988" s="65" t="s">
        <v>6466</v>
      </c>
    </row>
    <row r="7989" spans="1:2" x14ac:dyDescent="0.25">
      <c r="A7989" s="64" t="str">
        <f>HYPERLINK("http://www.twitter.com/CathCrowley", "CathCrowley")</f>
        <v>CathCrowley</v>
      </c>
      <c r="B7989" s="65" t="s">
        <v>3988</v>
      </c>
    </row>
    <row r="7990" spans="1:2" x14ac:dyDescent="0.25">
      <c r="A7990" s="64" t="str">
        <f>HYPERLINK("http://www.twitter.com/craigathomson", "craigathomson")</f>
        <v>craigathomson</v>
      </c>
      <c r="B7990" s="65"/>
    </row>
    <row r="7991" spans="1:2" x14ac:dyDescent="0.25">
      <c r="A7991" s="64" t="str">
        <f>HYPERLINK("http://www.twitter.com/KempBurger", "KempBurger")</f>
        <v>KempBurger</v>
      </c>
      <c r="B7991" s="65" t="s">
        <v>3762</v>
      </c>
    </row>
    <row r="7992" spans="1:2" x14ac:dyDescent="0.25">
      <c r="A7992" s="64" t="str">
        <f>HYPERLINK("http://www.twitter.com/mariamese", "mariamese")</f>
        <v>mariamese</v>
      </c>
      <c r="B7992" s="65" t="s">
        <v>6460</v>
      </c>
    </row>
    <row r="7993" spans="1:2" x14ac:dyDescent="0.25">
      <c r="A7993" s="64" t="str">
        <f>HYPERLINK("http://www.twitter.com/melisapressley", "melisapressley")</f>
        <v>melisapressley</v>
      </c>
      <c r="B7993" s="65"/>
    </row>
    <row r="7994" spans="1:2" x14ac:dyDescent="0.25">
      <c r="A7994" s="64" t="str">
        <f>HYPERLINK("http://www.twitter.com/_mariadorothea", "_mariadorothea")</f>
        <v>_mariadorothea</v>
      </c>
      <c r="B7994" s="65" t="s">
        <v>6467</v>
      </c>
    </row>
    <row r="7995" spans="1:2" x14ac:dyDescent="0.25">
      <c r="A7995" s="64" t="str">
        <f>HYPERLINK("http://www.twitter.com/TweetFeliza", "TweetFeliza")</f>
        <v>TweetFeliza</v>
      </c>
      <c r="B7995" s="65" t="s">
        <v>6228</v>
      </c>
    </row>
    <row r="7996" spans="1:2" x14ac:dyDescent="0.25">
      <c r="A7996" s="64" t="str">
        <f>HYPERLINK("http://www.twitter.com/JuEve_", "JuEve_")</f>
        <v>JuEve_</v>
      </c>
      <c r="B7996" s="65" t="s">
        <v>6468</v>
      </c>
    </row>
    <row r="7997" spans="1:2" x14ac:dyDescent="0.25">
      <c r="A7997" s="64" t="str">
        <f>HYPERLINK("http://www.twitter.com/BeachTree66", "BeachTree66")</f>
        <v>BeachTree66</v>
      </c>
      <c r="B7997" s="65" t="s">
        <v>6469</v>
      </c>
    </row>
    <row r="7998" spans="1:2" x14ac:dyDescent="0.25">
      <c r="A7998" s="64" t="str">
        <f>HYPERLINK("http://www.twitter.com/OpenInstruments", "OpenInstruments")</f>
        <v>OpenInstruments</v>
      </c>
      <c r="B7998" s="65"/>
    </row>
    <row r="7999" spans="1:2" x14ac:dyDescent="0.25">
      <c r="A7999" s="64" t="str">
        <f>HYPERLINK("http://www.twitter.com/PrendergastLib", "PrendergastLib")</f>
        <v>PrendergastLib</v>
      </c>
      <c r="B7999" s="65" t="s">
        <v>6470</v>
      </c>
    </row>
    <row r="8000" spans="1:2" x14ac:dyDescent="0.25">
      <c r="A8000" s="64" t="str">
        <f>HYPERLINK("http://www.twitter.com/ReallyDecent", "ReallyDecent")</f>
        <v>ReallyDecent</v>
      </c>
      <c r="B8000" s="65" t="s">
        <v>296</v>
      </c>
    </row>
    <row r="8001" spans="1:2" x14ac:dyDescent="0.25">
      <c r="A8001" s="64" t="str">
        <f>HYPERLINK("http://www.twitter.com/ExploreWellcome", "ExploreWellcome")</f>
        <v>ExploreWellcome</v>
      </c>
      <c r="B8001" s="65" t="s">
        <v>110</v>
      </c>
    </row>
    <row r="8002" spans="1:2" x14ac:dyDescent="0.25">
      <c r="A8002" s="64" t="str">
        <f>HYPERLINK("http://www.twitter.com/MichelleRoering", "MichelleRoering")</f>
        <v>MichelleRoering</v>
      </c>
      <c r="B8002" s="65"/>
    </row>
    <row r="8003" spans="1:2" x14ac:dyDescent="0.25">
      <c r="A8003" s="64" t="str">
        <f>HYPERLINK("http://www.twitter.com/paulbrooks17", "paulbrooks17")</f>
        <v>paulbrooks17</v>
      </c>
      <c r="B8003" s="65" t="s">
        <v>5212</v>
      </c>
    </row>
    <row r="8004" spans="1:2" x14ac:dyDescent="0.25">
      <c r="A8004" s="64" t="str">
        <f>HYPERLINK("http://www.twitter.com/danz_horr", "danz_horr")</f>
        <v>danz_horr</v>
      </c>
      <c r="B8004" s="65" t="s">
        <v>4837</v>
      </c>
    </row>
    <row r="8005" spans="1:2" x14ac:dyDescent="0.25">
      <c r="A8005" s="64" t="str">
        <f>HYPERLINK("http://www.twitter.com/JG_casting", "JG_casting")</f>
        <v>JG_casting</v>
      </c>
      <c r="B8005" s="65"/>
    </row>
    <row r="8006" spans="1:2" x14ac:dyDescent="0.25">
      <c r="A8006" s="64" t="str">
        <f>HYPERLINK("http://www.twitter.com/SisterCharlatan", "SisterCharlatan")</f>
        <v>SisterCharlatan</v>
      </c>
      <c r="B8006" s="65" t="s">
        <v>4215</v>
      </c>
    </row>
    <row r="8007" spans="1:2" x14ac:dyDescent="0.25">
      <c r="A8007" s="64" t="str">
        <f>HYPERLINK("http://www.twitter.com/Anna_CarnegieUK", "Anna_CarnegieUK")</f>
        <v>Anna_CarnegieUK</v>
      </c>
      <c r="B8007" s="65" t="s">
        <v>487</v>
      </c>
    </row>
    <row r="8008" spans="1:2" x14ac:dyDescent="0.25">
      <c r="A8008" s="64" t="str">
        <f>HYPERLINK("http://www.twitter.com/marion_greenway", "marion_greenway")</f>
        <v>marion_greenway</v>
      </c>
      <c r="B8008" s="65" t="s">
        <v>2007</v>
      </c>
    </row>
    <row r="8009" spans="1:2" x14ac:dyDescent="0.25">
      <c r="A8009" s="64" t="str">
        <f>HYPERLINK("http://www.twitter.com/QuotationalMan", "QuotationalMan")</f>
        <v>QuotationalMan</v>
      </c>
      <c r="B8009" s="65" t="s">
        <v>6471</v>
      </c>
    </row>
    <row r="8010" spans="1:2" x14ac:dyDescent="0.25">
      <c r="A8010" s="64" t="str">
        <f>HYPERLINK("http://www.twitter.com/jemma_walton", "jemma_walton")</f>
        <v>jemma_walton</v>
      </c>
      <c r="B8010" s="65" t="s">
        <v>36</v>
      </c>
    </row>
    <row r="8011" spans="1:2" x14ac:dyDescent="0.25">
      <c r="A8011" s="64" t="str">
        <f>HYPERLINK("http://www.twitter.com/LucianusdeiLtd", "LucianusdeiLtd")</f>
        <v>LucianusdeiLtd</v>
      </c>
      <c r="B8011" s="65" t="s">
        <v>5067</v>
      </c>
    </row>
    <row r="8012" spans="1:2" x14ac:dyDescent="0.25">
      <c r="A8012" s="64" t="str">
        <f>HYPERLINK("http://www.twitter.com/TaskinA96082518", "TaskinA96082518")</f>
        <v>TaskinA96082518</v>
      </c>
      <c r="B8012" s="65" t="s">
        <v>4414</v>
      </c>
    </row>
    <row r="8013" spans="1:2" x14ac:dyDescent="0.25">
      <c r="A8013" s="64" t="str">
        <f>HYPERLINK("http://www.twitter.com/gail_birnie", "gail_birnie")</f>
        <v>gail_birnie</v>
      </c>
      <c r="B8013" s="65"/>
    </row>
    <row r="8014" spans="1:2" x14ac:dyDescent="0.25">
      <c r="A8014" s="64" t="str">
        <f>HYPERLINK("http://www.twitter.com/OTooleDeirdre", "OTooleDeirdre")</f>
        <v>OTooleDeirdre</v>
      </c>
      <c r="B8014" s="65" t="s">
        <v>6472</v>
      </c>
    </row>
    <row r="8015" spans="1:2" x14ac:dyDescent="0.25">
      <c r="A8015" s="64" t="str">
        <f>HYPERLINK("http://www.twitter.com/brit_ritchey", "brit_ritchey")</f>
        <v>brit_ritchey</v>
      </c>
      <c r="B8015" s="65" t="s">
        <v>6473</v>
      </c>
    </row>
    <row r="8016" spans="1:2" x14ac:dyDescent="0.25">
      <c r="A8016" s="64" t="str">
        <f>HYPERLINK("http://www.twitter.com/NErcolanoNovels", "NErcolanoNovels")</f>
        <v>NErcolanoNovels</v>
      </c>
      <c r="B8016" s="65" t="s">
        <v>6474</v>
      </c>
    </row>
    <row r="8017" spans="1:2" x14ac:dyDescent="0.25">
      <c r="A8017" s="64" t="str">
        <f>HYPERLINK("http://www.twitter.com/natalie_morgan1", "natalie_morgan1")</f>
        <v>natalie_morgan1</v>
      </c>
      <c r="B8017" s="65"/>
    </row>
    <row r="8018" spans="1:2" x14ac:dyDescent="0.25">
      <c r="A8018" s="64" t="str">
        <f>HYPERLINK("http://www.twitter.com/deeran_1202", "deeran_1202")</f>
        <v>deeran_1202</v>
      </c>
      <c r="B8018" s="65"/>
    </row>
    <row r="8019" spans="1:2" x14ac:dyDescent="0.25">
      <c r="A8019" s="64" t="str">
        <f>HYPERLINK("http://www.twitter.com/LMFreeLibrary", "LMFreeLibrary")</f>
        <v>LMFreeLibrary</v>
      </c>
      <c r="B8019" s="65" t="s">
        <v>6475</v>
      </c>
    </row>
    <row r="8020" spans="1:2" x14ac:dyDescent="0.25">
      <c r="A8020" s="64" t="str">
        <f>HYPERLINK("http://www.twitter.com/ds_gs_eV", "ds_gs_eV")</f>
        <v>ds_gs_eV</v>
      </c>
      <c r="B8020" s="65" t="s">
        <v>6476</v>
      </c>
    </row>
    <row r="8021" spans="1:2" x14ac:dyDescent="0.25">
      <c r="A8021" s="64" t="str">
        <f>HYPERLINK("http://www.twitter.com/KMasViews", "KMasViews")</f>
        <v>KMasViews</v>
      </c>
      <c r="B8021" s="65"/>
    </row>
    <row r="8022" spans="1:2" x14ac:dyDescent="0.25">
      <c r="A8022" s="64" t="str">
        <f>HYPERLINK("http://www.twitter.com/johnmcannon", "johnmcannon")</f>
        <v>johnmcannon</v>
      </c>
      <c r="B8022" s="65" t="s">
        <v>296</v>
      </c>
    </row>
    <row r="8023" spans="1:2" x14ac:dyDescent="0.25">
      <c r="A8023" s="64" t="str">
        <f>HYPERLINK("http://www.twitter.com/Stromfirth", "Stromfirth")</f>
        <v>Stromfirth</v>
      </c>
      <c r="B8023" s="65" t="s">
        <v>115</v>
      </c>
    </row>
    <row r="8024" spans="1:2" x14ac:dyDescent="0.25">
      <c r="A8024" s="64" t="str">
        <f>HYPERLINK("http://www.twitter.com/mcphee1933", "mcphee1933")</f>
        <v>mcphee1933</v>
      </c>
      <c r="B8024" s="65" t="s">
        <v>6477</v>
      </c>
    </row>
    <row r="8025" spans="1:2" x14ac:dyDescent="0.25">
      <c r="A8025" s="64" t="str">
        <f>HYPERLINK("http://www.twitter.com/Orkneyphile", "Orkneyphile")</f>
        <v>Orkneyphile</v>
      </c>
      <c r="B8025" s="65"/>
    </row>
    <row r="8026" spans="1:2" x14ac:dyDescent="0.25">
      <c r="A8026" s="64" t="str">
        <f>HYPERLINK("http://www.twitter.com/riley_library", "riley_library")</f>
        <v>riley_library</v>
      </c>
      <c r="B8026" s="65" t="s">
        <v>4701</v>
      </c>
    </row>
    <row r="8027" spans="1:2" x14ac:dyDescent="0.25">
      <c r="A8027" s="64" t="str">
        <f>HYPERLINK("http://www.twitter.com/DanvilleLibrary", "DanvilleLibrary")</f>
        <v>DanvilleLibrary</v>
      </c>
      <c r="B8027" s="65" t="s">
        <v>6478</v>
      </c>
    </row>
    <row r="8028" spans="1:2" x14ac:dyDescent="0.25">
      <c r="A8028" s="64" t="str">
        <f>HYPERLINK("http://www.twitter.com/lrwlibrary", "lrwlibrary")</f>
        <v>lrwlibrary</v>
      </c>
      <c r="B8028" s="65" t="s">
        <v>6479</v>
      </c>
    </row>
    <row r="8029" spans="1:2" x14ac:dyDescent="0.25">
      <c r="A8029" s="64" t="str">
        <f>HYPERLINK("http://www.twitter.com/CHATArch", "CHATArch")</f>
        <v>CHATArch</v>
      </c>
      <c r="B8029" s="65" t="s">
        <v>6480</v>
      </c>
    </row>
    <row r="8030" spans="1:2" x14ac:dyDescent="0.25">
      <c r="A8030" s="64" t="str">
        <f>HYPERLINK("http://www.twitter.com/stadir83", "stadir83")</f>
        <v>stadir83</v>
      </c>
      <c r="B8030" s="65"/>
    </row>
    <row r="8031" spans="1:2" x14ac:dyDescent="0.25">
      <c r="A8031" s="64" t="str">
        <f>HYPERLINK("http://www.twitter.com/look4ancestors", "look4ancestors")</f>
        <v>look4ancestors</v>
      </c>
      <c r="B8031" s="65" t="s">
        <v>4678</v>
      </c>
    </row>
    <row r="8032" spans="1:2" x14ac:dyDescent="0.25">
      <c r="A8032" s="64" t="str">
        <f>HYPERLINK("http://www.twitter.com/sundaygirly", "sundaygirly")</f>
        <v>sundaygirly</v>
      </c>
      <c r="B8032" s="65" t="s">
        <v>2454</v>
      </c>
    </row>
    <row r="8033" spans="1:2" x14ac:dyDescent="0.25">
      <c r="A8033" s="64" t="str">
        <f>HYPERLINK("http://www.twitter.com/WoodlandAli", "WoodlandAli")</f>
        <v>WoodlandAli</v>
      </c>
      <c r="B8033" s="65"/>
    </row>
    <row r="8034" spans="1:2" x14ac:dyDescent="0.25">
      <c r="A8034" s="64" t="str">
        <f>HYPERLINK("http://www.twitter.com/KiraDemo", "KiraDemo")</f>
        <v>KiraDemo</v>
      </c>
      <c r="B8034" s="65"/>
    </row>
    <row r="8035" spans="1:2" x14ac:dyDescent="0.25">
      <c r="A8035" s="64" t="str">
        <f>HYPERLINK("http://www.twitter.com/susanna_winter", "susanna_winter")</f>
        <v>susanna_winter</v>
      </c>
      <c r="B8035" s="65" t="s">
        <v>477</v>
      </c>
    </row>
    <row r="8036" spans="1:2" x14ac:dyDescent="0.25">
      <c r="A8036" s="64" t="str">
        <f>HYPERLINK("http://www.twitter.com/evesanyl", "evesanyl")</f>
        <v>evesanyl</v>
      </c>
      <c r="B8036" s="65" t="s">
        <v>93</v>
      </c>
    </row>
    <row r="8037" spans="1:2" x14ac:dyDescent="0.25">
      <c r="A8037" s="64" t="str">
        <f>HYPERLINK("http://www.twitter.com/StMarysPL", "StMarysPL")</f>
        <v>StMarysPL</v>
      </c>
      <c r="B8037" s="65" t="s">
        <v>6481</v>
      </c>
    </row>
    <row r="8038" spans="1:2" x14ac:dyDescent="0.25">
      <c r="A8038" s="64" t="str">
        <f>HYPERLINK("http://www.twitter.com/mclibdotnet", "mclibdotnet")</f>
        <v>mclibdotnet</v>
      </c>
      <c r="B8038" s="65" t="s">
        <v>6482</v>
      </c>
    </row>
    <row r="8039" spans="1:2" x14ac:dyDescent="0.25">
      <c r="A8039" s="64" t="str">
        <f>HYPERLINK("http://www.twitter.com/wickedprincess", "wickedprincess")</f>
        <v>wickedprincess</v>
      </c>
      <c r="B8039" s="65" t="s">
        <v>6267</v>
      </c>
    </row>
    <row r="8040" spans="1:2" x14ac:dyDescent="0.25">
      <c r="A8040" s="64" t="str">
        <f>HYPERLINK("http://www.twitter.com/elizlmckay", "elizlmckay")</f>
        <v>elizlmckay</v>
      </c>
      <c r="B8040" s="65" t="s">
        <v>5027</v>
      </c>
    </row>
    <row r="8041" spans="1:2" x14ac:dyDescent="0.25">
      <c r="A8041" s="64" t="str">
        <f>HYPERLINK("http://www.twitter.com/LJMUResearch", "LJMUResearch")</f>
        <v>LJMUResearch</v>
      </c>
      <c r="B8041" s="65" t="s">
        <v>2864</v>
      </c>
    </row>
    <row r="8042" spans="1:2" x14ac:dyDescent="0.25">
      <c r="A8042" s="64" t="str">
        <f>HYPERLINK("http://www.twitter.com/NorthPerthLib", "NorthPerthLib")</f>
        <v>NorthPerthLib</v>
      </c>
      <c r="B8042" s="65" t="s">
        <v>6483</v>
      </c>
    </row>
    <row r="8043" spans="1:2" x14ac:dyDescent="0.25">
      <c r="A8043" s="64" t="str">
        <f>HYPERLINK("http://www.twitter.com/LisaHeathfield", "LisaHeathfield")</f>
        <v>LisaHeathfield</v>
      </c>
      <c r="B8043" s="65" t="s">
        <v>5522</v>
      </c>
    </row>
    <row r="8044" spans="1:2" x14ac:dyDescent="0.25">
      <c r="A8044" s="64" t="str">
        <f>HYPERLINK("http://www.twitter.com/derb63", "derb63")</f>
        <v>derb63</v>
      </c>
      <c r="B8044" s="65"/>
    </row>
    <row r="8045" spans="1:2" x14ac:dyDescent="0.25">
      <c r="A8045" s="64" t="str">
        <f>HYPERLINK("http://www.twitter.com/JoFranklin2", "JoFranklin2")</f>
        <v>JoFranklin2</v>
      </c>
      <c r="B8045" s="65" t="s">
        <v>36</v>
      </c>
    </row>
    <row r="8046" spans="1:2" x14ac:dyDescent="0.25">
      <c r="A8046" s="64" t="str">
        <f>HYPERLINK("http://www.twitter.com/JoplinLibrary", "JoplinLibrary")</f>
        <v>JoplinLibrary</v>
      </c>
      <c r="B8046" s="65" t="s">
        <v>6484</v>
      </c>
    </row>
    <row r="8047" spans="1:2" x14ac:dyDescent="0.25">
      <c r="A8047" s="64" t="str">
        <f>HYPERLINK("http://www.twitter.com/FairfieldPubLib", "FairfieldPubLib")</f>
        <v>FairfieldPubLib</v>
      </c>
      <c r="B8047" s="65" t="s">
        <v>6485</v>
      </c>
    </row>
    <row r="8048" spans="1:2" x14ac:dyDescent="0.25">
      <c r="A8048" s="64" t="str">
        <f>HYPERLINK("http://www.twitter.com/r_stroudo", "r_stroudo")</f>
        <v>r_stroudo</v>
      </c>
      <c r="B8048" s="65"/>
    </row>
    <row r="8049" spans="1:2" x14ac:dyDescent="0.25">
      <c r="A8049" s="64" t="str">
        <f>HYPERLINK("http://www.twitter.com/jrlthull", "jrlthull")</f>
        <v>jrlthull</v>
      </c>
      <c r="B8049" s="65" t="s">
        <v>2492</v>
      </c>
    </row>
    <row r="8050" spans="1:2" x14ac:dyDescent="0.25">
      <c r="A8050" s="64" t="str">
        <f>HYPERLINK("http://www.twitter.com/RadSecLibrary", "RadSecLibrary")</f>
        <v>RadSecLibrary</v>
      </c>
      <c r="B8050" s="65" t="s">
        <v>2602</v>
      </c>
    </row>
    <row r="8051" spans="1:2" x14ac:dyDescent="0.25">
      <c r="A8051" s="64" t="str">
        <f>HYPERLINK("http://www.twitter.com/MrDavidSteedman", "MrDavidSteedman")</f>
        <v>MrDavidSteedman</v>
      </c>
      <c r="B8051" s="65" t="s">
        <v>36</v>
      </c>
    </row>
    <row r="8052" spans="1:2" x14ac:dyDescent="0.25">
      <c r="A8052" s="64" t="str">
        <f>HYPERLINK("http://www.twitter.com/tansyjean", "tansyjean")</f>
        <v>tansyjean</v>
      </c>
      <c r="B8052" s="65" t="s">
        <v>6486</v>
      </c>
    </row>
    <row r="8053" spans="1:2" x14ac:dyDescent="0.25">
      <c r="A8053" s="64" t="str">
        <f>HYPERLINK("http://www.twitter.com/C_White_Writes", "C_White_Writes")</f>
        <v>C_White_Writes</v>
      </c>
      <c r="B8053" s="65" t="s">
        <v>477</v>
      </c>
    </row>
    <row r="8054" spans="1:2" x14ac:dyDescent="0.25">
      <c r="A8054" s="64" t="str">
        <f>HYPERLINK("http://www.twitter.com/kvaitken", "kvaitken")</f>
        <v>kvaitken</v>
      </c>
      <c r="B8054" s="65" t="s">
        <v>2007</v>
      </c>
    </row>
    <row r="8055" spans="1:2" x14ac:dyDescent="0.25">
      <c r="A8055" s="64" t="str">
        <f>HYPERLINK("http://www.twitter.com/acbrown511", "acbrown511")</f>
        <v>acbrown511</v>
      </c>
      <c r="B8055" s="65" t="s">
        <v>36</v>
      </c>
    </row>
    <row r="8056" spans="1:2" x14ac:dyDescent="0.25">
      <c r="A8056" s="64" t="str">
        <f>HYPERLINK("http://www.twitter.com/edunison", "edunison")</f>
        <v>edunison</v>
      </c>
      <c r="B8056" s="65"/>
    </row>
    <row r="8057" spans="1:2" x14ac:dyDescent="0.25">
      <c r="A8057" s="64" t="str">
        <f>HYPERLINK("http://www.twitter.com/RhymneyLibrary", "RhymneyLibrary")</f>
        <v>RhymneyLibrary</v>
      </c>
      <c r="B8057" s="65" t="s">
        <v>6487</v>
      </c>
    </row>
    <row r="8058" spans="1:2" x14ac:dyDescent="0.25">
      <c r="A8058" s="64" t="str">
        <f>HYPERLINK("http://www.twitter.com/livclark", "livclark")</f>
        <v>livclark</v>
      </c>
      <c r="B8058" s="65" t="s">
        <v>6488</v>
      </c>
    </row>
    <row r="8059" spans="1:2" x14ac:dyDescent="0.25">
      <c r="A8059" s="64" t="str">
        <f>HYPERLINK("http://www.twitter.com/coeur_en_hiver", "coeur_en_hiver")</f>
        <v>coeur_en_hiver</v>
      </c>
      <c r="B8059" s="65" t="s">
        <v>6489</v>
      </c>
    </row>
    <row r="8060" spans="1:2" x14ac:dyDescent="0.25">
      <c r="A8060" s="64" t="str">
        <f>HYPERLINK("http://www.twitter.com/Nelson_Lib", "Nelson_Lib")</f>
        <v>Nelson_Lib</v>
      </c>
      <c r="B8060" s="65" t="s">
        <v>1657</v>
      </c>
    </row>
    <row r="8061" spans="1:2" x14ac:dyDescent="0.25">
      <c r="A8061" s="64" t="str">
        <f>HYPERLINK("http://www.twitter.com/margaret8662254", "margaret8662254")</f>
        <v>margaret8662254</v>
      </c>
      <c r="B8061" s="65" t="s">
        <v>6490</v>
      </c>
    </row>
    <row r="8062" spans="1:2" x14ac:dyDescent="0.25">
      <c r="A8062" s="64" t="str">
        <f>HYPERLINK("http://www.twitter.com/bmtoEdUni", "bmtoEdUni")</f>
        <v>bmtoEdUni</v>
      </c>
      <c r="B8062" s="65" t="s">
        <v>487</v>
      </c>
    </row>
    <row r="8063" spans="1:2" x14ac:dyDescent="0.25">
      <c r="A8063" s="64" t="str">
        <f>HYPERLINK("http://www.twitter.com/do_mck", "do_mck")</f>
        <v>do_mck</v>
      </c>
      <c r="B8063" s="65" t="s">
        <v>4859</v>
      </c>
    </row>
    <row r="8064" spans="1:2" x14ac:dyDescent="0.25">
      <c r="A8064" s="64" t="str">
        <f>HYPERLINK("http://www.twitter.com/PaulJColvin", "PaulJColvin")</f>
        <v>PaulJColvin</v>
      </c>
      <c r="B8064" s="65"/>
    </row>
    <row r="8065" spans="1:2" x14ac:dyDescent="0.25">
      <c r="A8065" s="64" t="str">
        <f>HYPERLINK("http://www.twitter.com/bbrown511", "bbrown511")</f>
        <v>bbrown511</v>
      </c>
      <c r="B8065" s="65" t="s">
        <v>138</v>
      </c>
    </row>
    <row r="8066" spans="1:2" x14ac:dyDescent="0.25">
      <c r="A8066" s="64" t="str">
        <f>HYPERLINK("http://www.twitter.com/Roger1968Rg", "Roger1968Rg")</f>
        <v>Roger1968Rg</v>
      </c>
      <c r="B8066" s="65"/>
    </row>
    <row r="8067" spans="1:2" x14ac:dyDescent="0.25">
      <c r="A8067" s="64" t="str">
        <f>HYPERLINK("http://www.twitter.com/jammiest", "jammiest")</f>
        <v>jammiest</v>
      </c>
      <c r="B8067" s="65"/>
    </row>
    <row r="8068" spans="1:2" x14ac:dyDescent="0.25">
      <c r="A8068" s="64" t="str">
        <f>HYPERLINK("http://www.twitter.com/jillyarb", "jillyarb")</f>
        <v>jillyarb</v>
      </c>
      <c r="B8068" s="65"/>
    </row>
    <row r="8069" spans="1:2" x14ac:dyDescent="0.25">
      <c r="A8069" s="64" t="str">
        <f>HYPERLINK("http://www.twitter.com/goldentundra", "goldentundra")</f>
        <v>goldentundra</v>
      </c>
      <c r="B8069" s="65" t="s">
        <v>4237</v>
      </c>
    </row>
    <row r="8070" spans="1:2" x14ac:dyDescent="0.25">
      <c r="A8070" s="64" t="str">
        <f>HYPERLINK("http://www.twitter.com/suebmuseum", "suebmuseum")</f>
        <v>suebmuseum</v>
      </c>
      <c r="B8070" s="65" t="s">
        <v>6491</v>
      </c>
    </row>
    <row r="8071" spans="1:2" x14ac:dyDescent="0.25">
      <c r="A8071" s="64" t="str">
        <f>HYPERLINK("http://www.twitter.com/WoolWomble", "WoolWomble")</f>
        <v>WoolWomble</v>
      </c>
      <c r="B8071" s="65" t="s">
        <v>6492</v>
      </c>
    </row>
    <row r="8072" spans="1:2" x14ac:dyDescent="0.25">
      <c r="A8072" s="64" t="str">
        <f>HYPERLINK("http://www.twitter.com/Joe_363_", "Joe_363_")</f>
        <v>Joe_363_</v>
      </c>
      <c r="B8072" s="65" t="s">
        <v>1218</v>
      </c>
    </row>
    <row r="8073" spans="1:2" x14ac:dyDescent="0.25">
      <c r="A8073" s="64" t="str">
        <f>HYPERLINK("http://www.twitter.com/MatureRSVP", "MatureRSVP")</f>
        <v>MatureRSVP</v>
      </c>
      <c r="B8073" s="65" t="s">
        <v>6493</v>
      </c>
    </row>
    <row r="8074" spans="1:2" x14ac:dyDescent="0.25">
      <c r="A8074" s="64" t="str">
        <f>HYPERLINK("http://www.twitter.com/daisyblacklock", "daisyblacklock")</f>
        <v>daisyblacklock</v>
      </c>
      <c r="B8074" s="65"/>
    </row>
    <row r="8075" spans="1:2" x14ac:dyDescent="0.25">
      <c r="A8075" s="64" t="str">
        <f>HYPERLINK("http://www.twitter.com/publiclibnews", "publiclibnews")</f>
        <v>publiclibnews</v>
      </c>
      <c r="B8075" s="65" t="s">
        <v>6494</v>
      </c>
    </row>
    <row r="8076" spans="1:2" x14ac:dyDescent="0.25">
      <c r="A8076" s="64" t="str">
        <f>HYPERLINK("http://www.twitter.com/CJNyssen", "CJNyssen")</f>
        <v>CJNyssen</v>
      </c>
      <c r="B8076" s="65"/>
    </row>
    <row r="8077" spans="1:2" x14ac:dyDescent="0.25">
      <c r="A8077" s="64" t="str">
        <f>HYPERLINK("http://www.twitter.com/NPFSShetland", "NPFSShetland")</f>
        <v>NPFSShetland</v>
      </c>
      <c r="B8077" s="65" t="s">
        <v>115</v>
      </c>
    </row>
    <row r="8078" spans="1:2" x14ac:dyDescent="0.25">
      <c r="A8078" s="64" t="str">
        <f>HYPERLINK("http://www.twitter.com/Irishdance007", "Irishdance007")</f>
        <v>Irishdance007</v>
      </c>
      <c r="B8078" s="65"/>
    </row>
    <row r="8079" spans="1:2" x14ac:dyDescent="0.25">
      <c r="A8079" s="64" t="str">
        <f>HYPERLINK("http://www.twitter.com/KirstinBarnard", "KirstinBarnard")</f>
        <v>KirstinBarnard</v>
      </c>
      <c r="B8079" s="65" t="s">
        <v>6495</v>
      </c>
    </row>
    <row r="8080" spans="1:2" x14ac:dyDescent="0.25">
      <c r="A8080" s="64" t="str">
        <f>HYPERLINK("http://www.twitter.com/fictionwar", "fictionwar")</f>
        <v>fictionwar</v>
      </c>
      <c r="B8080" s="65" t="s">
        <v>3863</v>
      </c>
    </row>
    <row r="8081" spans="1:2" x14ac:dyDescent="0.25">
      <c r="A8081" s="64" t="str">
        <f>HYPERLINK("http://www.twitter.com/hollykirkwood", "hollykirkwood")</f>
        <v>hollykirkwood</v>
      </c>
      <c r="B8081" s="65" t="s">
        <v>36</v>
      </c>
    </row>
    <row r="8082" spans="1:2" x14ac:dyDescent="0.25">
      <c r="A8082" s="64" t="str">
        <f>HYPERLINK("http://www.twitter.com/orkneyjewellery", "orkneyjewellery")</f>
        <v>orkneyjewellery</v>
      </c>
      <c r="B8082" s="65" t="s">
        <v>6496</v>
      </c>
    </row>
    <row r="8083" spans="1:2" x14ac:dyDescent="0.25">
      <c r="A8083" s="64" t="str">
        <f>HYPERLINK("http://www.twitter.com/BowlineBight", "BowlineBight")</f>
        <v>BowlineBight</v>
      </c>
      <c r="B8083" s="65"/>
    </row>
    <row r="8084" spans="1:2" x14ac:dyDescent="0.25">
      <c r="A8084" s="64" t="str">
        <f>HYPERLINK("http://www.twitter.com/yellow_rob", "yellow_rob")</f>
        <v>yellow_rob</v>
      </c>
      <c r="B8084" s="65" t="s">
        <v>36</v>
      </c>
    </row>
    <row r="8085" spans="1:2" x14ac:dyDescent="0.25">
      <c r="A8085" s="64" t="str">
        <f>HYPERLINK("http://www.twitter.com/Cruithneach", "Cruithneach")</f>
        <v>Cruithneach</v>
      </c>
      <c r="B8085" s="65" t="s">
        <v>487</v>
      </c>
    </row>
    <row r="8086" spans="1:2" x14ac:dyDescent="0.25">
      <c r="A8086" s="64" t="str">
        <f>HYPERLINK("http://www.twitter.com/jerryhurst", "jerryhurst")</f>
        <v>jerryhurst</v>
      </c>
      <c r="B8086" s="65" t="s">
        <v>296</v>
      </c>
    </row>
    <row r="8087" spans="1:2" x14ac:dyDescent="0.25">
      <c r="A8087" s="64" t="str">
        <f>HYPERLINK("http://www.twitter.com/rach_laburn", "rach_laburn")</f>
        <v>rach_laburn</v>
      </c>
      <c r="B8087" s="65" t="s">
        <v>487</v>
      </c>
    </row>
    <row r="8088" spans="1:2" x14ac:dyDescent="0.25">
      <c r="A8088" s="64" t="str">
        <f>HYPERLINK("http://www.twitter.com/nanila", "nanila")</f>
        <v>nanila</v>
      </c>
      <c r="B8088" s="65" t="s">
        <v>6497</v>
      </c>
    </row>
    <row r="8089" spans="1:2" x14ac:dyDescent="0.25">
      <c r="A8089" s="64" t="str">
        <f>HYPERLINK("http://www.twitter.com/ArapahoeLibrary", "ArapahoeLibrary")</f>
        <v>ArapahoeLibrary</v>
      </c>
      <c r="B8089" s="65" t="s">
        <v>6498</v>
      </c>
    </row>
    <row r="8090" spans="1:2" x14ac:dyDescent="0.25">
      <c r="A8090" s="64" t="str">
        <f>HYPERLINK("http://www.twitter.com/MHSOxford", "MHSOxford")</f>
        <v>MHSOxford</v>
      </c>
      <c r="B8090" s="65" t="s">
        <v>6499</v>
      </c>
    </row>
    <row r="8091" spans="1:2" x14ac:dyDescent="0.25">
      <c r="A8091" s="64" t="str">
        <f>HYPERLINK("http://www.twitter.com/ODZShetland", "ODZShetland")</f>
        <v>ODZShetland</v>
      </c>
      <c r="B8091" s="65" t="s">
        <v>6500</v>
      </c>
    </row>
    <row r="8092" spans="1:2" x14ac:dyDescent="0.25">
      <c r="A8092" s="64" t="str">
        <f>HYPERLINK("http://www.twitter.com/Lidia72816911", "Lidia72816911")</f>
        <v>Lidia72816911</v>
      </c>
      <c r="B8092" s="65" t="s">
        <v>4213</v>
      </c>
    </row>
    <row r="8093" spans="1:2" x14ac:dyDescent="0.25">
      <c r="A8093" s="64" t="str">
        <f>HYPERLINK("http://www.twitter.com/reeves_archive", "reeves_archive")</f>
        <v>reeves_archive</v>
      </c>
      <c r="B8093" s="65" t="s">
        <v>6501</v>
      </c>
    </row>
    <row r="8094" spans="1:2" x14ac:dyDescent="0.25">
      <c r="A8094" s="64" t="str">
        <f>HYPERLINK("http://www.twitter.com/PocketsBinders", "PocketsBinders")</f>
        <v>PocketsBinders</v>
      </c>
      <c r="B8094" s="65" t="s">
        <v>6502</v>
      </c>
    </row>
    <row r="8095" spans="1:2" x14ac:dyDescent="0.25">
      <c r="A8095" s="64" t="str">
        <f>HYPERLINK("http://www.twitter.com/erikahutch25", "erikahutch25")</f>
        <v>erikahutch25</v>
      </c>
      <c r="B8095" s="65" t="s">
        <v>2007</v>
      </c>
    </row>
    <row r="8096" spans="1:2" x14ac:dyDescent="0.25">
      <c r="A8096" s="64" t="str">
        <f>HYPERLINK("http://www.twitter.com/MaryJGray", "MaryJGray")</f>
        <v>MaryJGray</v>
      </c>
      <c r="B8096" s="65" t="s">
        <v>6503</v>
      </c>
    </row>
    <row r="8097" spans="1:2" x14ac:dyDescent="0.25">
      <c r="A8097" s="64" t="str">
        <f>HYPERLINK("http://www.twitter.com/DapperGiles", "DapperGiles")</f>
        <v>DapperGiles</v>
      </c>
      <c r="B8097" s="65" t="s">
        <v>1295</v>
      </c>
    </row>
    <row r="8098" spans="1:2" x14ac:dyDescent="0.25">
      <c r="A8098" s="64" t="str">
        <f>HYPERLINK("http://www.twitter.com/alexthepink", "alexthepink")</f>
        <v>alexthepink</v>
      </c>
      <c r="B8098" s="65" t="s">
        <v>6504</v>
      </c>
    </row>
    <row r="8099" spans="1:2" x14ac:dyDescent="0.25">
      <c r="A8099" s="64" t="str">
        <f>HYPERLINK("http://www.twitter.com/PastPostcard", "PastPostcard")</f>
        <v>PastPostcard</v>
      </c>
      <c r="B8099" s="65" t="s">
        <v>6505</v>
      </c>
    </row>
    <row r="8100" spans="1:2" x14ac:dyDescent="0.25">
      <c r="A8100" s="64" t="str">
        <f>HYPERLINK("http://www.twitter.com/OsceolaLibrary", "OsceolaLibrary")</f>
        <v>OsceolaLibrary</v>
      </c>
      <c r="B8100" s="65" t="s">
        <v>6506</v>
      </c>
    </row>
    <row r="8101" spans="1:2" x14ac:dyDescent="0.25">
      <c r="A8101" s="64" t="str">
        <f>HYPERLINK("http://www.twitter.com/shahzadkhan1170", "shahzadkhan1170")</f>
        <v>shahzadkhan1170</v>
      </c>
      <c r="B8101" s="65" t="s">
        <v>6507</v>
      </c>
    </row>
    <row r="8102" spans="1:2" x14ac:dyDescent="0.25">
      <c r="A8102" s="64" t="str">
        <f>HYPERLINK("http://www.twitter.com/Gaza_r2", "Gaza_r2")</f>
        <v>Gaza_r2</v>
      </c>
      <c r="B8102" s="65" t="s">
        <v>2595</v>
      </c>
    </row>
    <row r="8103" spans="1:2" x14ac:dyDescent="0.25">
      <c r="A8103" s="64" t="str">
        <f>HYPERLINK("http://www.twitter.com/ReaperSteven", "ReaperSteven")</f>
        <v>ReaperSteven</v>
      </c>
      <c r="B8103" s="65" t="s">
        <v>6073</v>
      </c>
    </row>
    <row r="8104" spans="1:2" x14ac:dyDescent="0.25">
      <c r="A8104" s="64" t="str">
        <f>HYPERLINK("http://www.twitter.com/carrielong0606", "carrielong0606")</f>
        <v>carrielong0606</v>
      </c>
      <c r="B8104" s="65"/>
    </row>
    <row r="8105" spans="1:2" x14ac:dyDescent="0.25">
      <c r="A8105" s="64" t="str">
        <f>HYPERLINK("http://www.twitter.com/DoctorPechey", "DoctorPechey")</f>
        <v>DoctorPechey</v>
      </c>
      <c r="B8105" s="65" t="s">
        <v>487</v>
      </c>
    </row>
    <row r="8106" spans="1:2" x14ac:dyDescent="0.25">
      <c r="A8106" s="64" t="str">
        <f>HYPERLINK("http://www.twitter.com/whiteside_beth", "whiteside_beth")</f>
        <v>whiteside_beth</v>
      </c>
      <c r="B8106" s="65"/>
    </row>
    <row r="8107" spans="1:2" x14ac:dyDescent="0.25">
      <c r="A8107" s="64" t="str">
        <f>HYPERLINK("http://www.twitter.com/anderson_bareng", "anderson_bareng")</f>
        <v>anderson_bareng</v>
      </c>
      <c r="B8107" s="65"/>
    </row>
    <row r="8108" spans="1:2" x14ac:dyDescent="0.25">
      <c r="A8108" s="64" t="str">
        <f>HYPERLINK("http://www.twitter.com/GCooperLP", "GCooperLP")</f>
        <v>GCooperLP</v>
      </c>
      <c r="B8108" s="65"/>
    </row>
    <row r="8109" spans="1:2" x14ac:dyDescent="0.25">
      <c r="A8109" s="64" t="str">
        <f>HYPERLINK("http://www.twitter.com/iglibraries", "iglibraries")</f>
        <v>iglibraries</v>
      </c>
      <c r="B8109" s="65"/>
    </row>
    <row r="8110" spans="1:2" x14ac:dyDescent="0.25">
      <c r="A8110" s="64" t="str">
        <f>HYPERLINK("http://www.twitter.com/jacobgrace777", "jacobgrace777")</f>
        <v>jacobgrace777</v>
      </c>
      <c r="B8110" s="65" t="s">
        <v>2717</v>
      </c>
    </row>
    <row r="8111" spans="1:2" x14ac:dyDescent="0.25">
      <c r="A8111" s="64" t="str">
        <f>HYPERLINK("http://www.twitter.com/KYGalleries", "KYGalleries")</f>
        <v>KYGalleries</v>
      </c>
      <c r="B8111" s="65" t="s">
        <v>6216</v>
      </c>
    </row>
    <row r="8112" spans="1:2" x14ac:dyDescent="0.25">
      <c r="A8112" s="64" t="str">
        <f>HYPERLINK("http://www.twitter.com/LokiRevenge", "LokiRevenge")</f>
        <v>LokiRevenge</v>
      </c>
      <c r="B8112" s="65"/>
    </row>
    <row r="8113" spans="1:2" x14ac:dyDescent="0.25">
      <c r="A8113" s="64" t="str">
        <f>HYPERLINK("http://www.twitter.com/priceclan", "priceclan")</f>
        <v>priceclan</v>
      </c>
      <c r="B8113" s="65" t="s">
        <v>296</v>
      </c>
    </row>
    <row r="8114" spans="1:2" x14ac:dyDescent="0.25">
      <c r="A8114" s="64" t="str">
        <f>HYPERLINK("http://www.twitter.com/borvelodge", "borvelodge")</f>
        <v>borvelodge</v>
      </c>
      <c r="B8114" s="65" t="s">
        <v>6508</v>
      </c>
    </row>
    <row r="8115" spans="1:2" x14ac:dyDescent="0.25">
      <c r="A8115" s="64" t="str">
        <f>HYPERLINK("http://www.twitter.com/thirkellfan", "thirkellfan")</f>
        <v>thirkellfan</v>
      </c>
      <c r="B8115" s="65"/>
    </row>
    <row r="8116" spans="1:2" x14ac:dyDescent="0.25">
      <c r="A8116" s="64" t="str">
        <f>HYPERLINK("http://www.twitter.com/vasaloch", "vasaloch")</f>
        <v>vasaloch</v>
      </c>
      <c r="B8116" s="65" t="s">
        <v>477</v>
      </c>
    </row>
    <row r="8117" spans="1:2" x14ac:dyDescent="0.25">
      <c r="A8117" s="64" t="str">
        <f>HYPERLINK("http://www.twitter.com/CeriLiann", "CeriLiann")</f>
        <v>CeriLiann</v>
      </c>
      <c r="B8117" s="65" t="s">
        <v>6509</v>
      </c>
    </row>
    <row r="8118" spans="1:2" x14ac:dyDescent="0.25">
      <c r="A8118" s="64" t="str">
        <f>HYPERLINK("http://www.twitter.com/RDGStout", "RDGStout")</f>
        <v>RDGStout</v>
      </c>
      <c r="B8118" s="65" t="s">
        <v>6510</v>
      </c>
    </row>
    <row r="8119" spans="1:2" x14ac:dyDescent="0.25">
      <c r="A8119" s="64" t="str">
        <f>HYPERLINK("http://www.twitter.com/abiwriting", "abiwriting")</f>
        <v>abiwriting</v>
      </c>
      <c r="B8119" s="65" t="s">
        <v>5933</v>
      </c>
    </row>
    <row r="8120" spans="1:2" x14ac:dyDescent="0.25">
      <c r="A8120" s="64" t="str">
        <f>HYPERLINK("http://www.twitter.com/robdmorr", "robdmorr")</f>
        <v>robdmorr</v>
      </c>
      <c r="B8120" s="65" t="s">
        <v>318</v>
      </c>
    </row>
    <row r="8121" spans="1:2" x14ac:dyDescent="0.25">
      <c r="A8121" s="64" t="str">
        <f>HYPERLINK("http://www.twitter.com/ChurchSociety01", "ChurchSociety01")</f>
        <v>ChurchSociety01</v>
      </c>
      <c r="B8121" s="65"/>
    </row>
    <row r="8122" spans="1:2" x14ac:dyDescent="0.25">
      <c r="A8122" s="64" t="str">
        <f>HYPERLINK("http://www.twitter.com/ssnfrncs1", "ssnfrncs1")</f>
        <v>ssnfrncs1</v>
      </c>
      <c r="B8122" s="65" t="s">
        <v>883</v>
      </c>
    </row>
    <row r="8123" spans="1:2" x14ac:dyDescent="0.25">
      <c r="A8123" s="64" t="str">
        <f>HYPERLINK("http://www.twitter.com/HappyRemoteHome", "HappyRemoteHome")</f>
        <v>HappyRemoteHome</v>
      </c>
      <c r="B8123" s="65" t="s">
        <v>6511</v>
      </c>
    </row>
    <row r="8124" spans="1:2" x14ac:dyDescent="0.25">
      <c r="A8124" s="64" t="str">
        <f>HYPERLINK("http://www.twitter.com/danieljfhayter", "danieljfhayter")</f>
        <v>danieljfhayter</v>
      </c>
      <c r="B8124" s="65" t="s">
        <v>6512</v>
      </c>
    </row>
    <row r="8125" spans="1:2" x14ac:dyDescent="0.25">
      <c r="A8125" s="64" t="str">
        <f>HYPERLINK("http://www.twitter.com/platinumpickles", "platinumpickles")</f>
        <v>platinumpickles</v>
      </c>
      <c r="B8125" s="65" t="s">
        <v>569</v>
      </c>
    </row>
    <row r="8126" spans="1:2" x14ac:dyDescent="0.25">
      <c r="A8126" s="64" t="str">
        <f>HYPERLINK("http://www.twitter.com/FairbrotherRoss", "FairbrotherRoss")</f>
        <v>FairbrotherRoss</v>
      </c>
      <c r="B8126" s="65" t="s">
        <v>2407</v>
      </c>
    </row>
    <row r="8127" spans="1:2" x14ac:dyDescent="0.25">
      <c r="A8127" s="64" t="str">
        <f>HYPERLINK("http://www.twitter.com/AlAnifB7", "AlAnifB7")</f>
        <v>AlAnifB7</v>
      </c>
      <c r="B8127" s="65" t="s">
        <v>477</v>
      </c>
    </row>
    <row r="8128" spans="1:2" x14ac:dyDescent="0.25">
      <c r="A8128" s="64" t="str">
        <f>HYPERLINK("http://www.twitter.com/AprilGarriock", "AprilGarriock")</f>
        <v>AprilGarriock</v>
      </c>
      <c r="B8128" s="65" t="s">
        <v>2007</v>
      </c>
    </row>
    <row r="8129" spans="1:2" x14ac:dyDescent="0.25">
      <c r="A8129" s="64" t="str">
        <f>HYPERLINK("http://www.twitter.com/nikkihallvg", "nikkihallvg")</f>
        <v>nikkihallvg</v>
      </c>
      <c r="B8129" s="65" t="s">
        <v>24</v>
      </c>
    </row>
    <row r="8130" spans="1:2" x14ac:dyDescent="0.25">
      <c r="A8130" s="64" t="str">
        <f>HYPERLINK("http://www.twitter.com/IslandCharm_YE", "IslandCharm_YE")</f>
        <v>IslandCharm_YE</v>
      </c>
      <c r="B8130" s="65" t="s">
        <v>5412</v>
      </c>
    </row>
    <row r="8131" spans="1:2" x14ac:dyDescent="0.25">
      <c r="A8131" s="64" t="str">
        <f>HYPERLINK("http://www.twitter.com/smithy346", "smithy346")</f>
        <v>smithy346</v>
      </c>
      <c r="B8131" s="65"/>
    </row>
    <row r="8132" spans="1:2" x14ac:dyDescent="0.25">
      <c r="A8132" s="64" t="str">
        <f>HYPERLINK("http://www.twitter.com/FamiliesChelmsf", "FamiliesChelmsf")</f>
        <v>FamiliesChelmsf</v>
      </c>
      <c r="B8132" s="65" t="s">
        <v>6349</v>
      </c>
    </row>
    <row r="8133" spans="1:2" x14ac:dyDescent="0.25">
      <c r="A8133" s="64" t="str">
        <f>HYPERLINK("http://www.twitter.com/nannyTT", "nannyTT")</f>
        <v>nannyTT</v>
      </c>
      <c r="B8133" s="65" t="s">
        <v>6513</v>
      </c>
    </row>
    <row r="8134" spans="1:2" x14ac:dyDescent="0.25">
      <c r="A8134" s="64" t="str">
        <f>HYPERLINK("http://www.twitter.com/hayleylfl", "hayleylfl")</f>
        <v>hayleylfl</v>
      </c>
      <c r="B8134" s="65" t="s">
        <v>4234</v>
      </c>
    </row>
    <row r="8135" spans="1:2" x14ac:dyDescent="0.25">
      <c r="A8135" s="64" t="str">
        <f>HYPERLINK("http://www.twitter.com/jackydunc1999", "jackydunc1999")</f>
        <v>jackydunc1999</v>
      </c>
      <c r="B8135" s="65"/>
    </row>
    <row r="8136" spans="1:2" x14ac:dyDescent="0.25">
      <c r="A8136" s="64" t="str">
        <f>HYPERLINK("http://www.twitter.com/winston_stuart", "winston_stuart")</f>
        <v>winston_stuart</v>
      </c>
      <c r="B8136" s="65"/>
    </row>
    <row r="8137" spans="1:2" x14ac:dyDescent="0.25">
      <c r="A8137" s="64" t="str">
        <f>HYPERLINK("http://www.twitter.com/lanadiddy", "lanadiddy")</f>
        <v>lanadiddy</v>
      </c>
      <c r="B8137" s="65" t="s">
        <v>487</v>
      </c>
    </row>
    <row r="8138" spans="1:2" x14ac:dyDescent="0.25">
      <c r="A8138" s="64" t="str">
        <f>HYPERLINK("http://www.twitter.com/Galvn91", "Galvn91")</f>
        <v>Galvn91</v>
      </c>
      <c r="B8138" s="65"/>
    </row>
    <row r="8139" spans="1:2" x14ac:dyDescent="0.25">
      <c r="A8139" s="64" t="str">
        <f>HYPERLINK("http://www.twitter.com/AngeSitting", "AngeSitting")</f>
        <v>AngeSitting</v>
      </c>
      <c r="B8139" s="65" t="s">
        <v>487</v>
      </c>
    </row>
    <row r="8140" spans="1:2" x14ac:dyDescent="0.25">
      <c r="A8140" s="64" t="str">
        <f>HYPERLINK("http://www.twitter.com/kimhansenaz", "kimhansenaz")</f>
        <v>kimhansenaz</v>
      </c>
      <c r="B8140" s="65" t="s">
        <v>6514</v>
      </c>
    </row>
    <row r="8141" spans="1:2" x14ac:dyDescent="0.25">
      <c r="A8141" s="64" t="str">
        <f>HYPERLINK("http://www.twitter.com/yerawizardlizzy", "yerawizardlizzy")</f>
        <v>yerawizardlizzy</v>
      </c>
      <c r="B8141" s="65" t="s">
        <v>6515</v>
      </c>
    </row>
    <row r="8142" spans="1:2" x14ac:dyDescent="0.25">
      <c r="A8142" s="64" t="str">
        <f>HYPERLINK("http://www.twitter.com/HistoricalLady", "HistoricalLady")</f>
        <v>HistoricalLady</v>
      </c>
      <c r="B8142" s="65"/>
    </row>
    <row r="8143" spans="1:2" x14ac:dyDescent="0.25">
      <c r="A8143" s="64" t="str">
        <f>HYPERLINK("http://www.twitter.com/HekticRealitea", "HekticRealitea")</f>
        <v>HekticRealitea</v>
      </c>
      <c r="B8143" s="65" t="s">
        <v>6516</v>
      </c>
    </row>
    <row r="8144" spans="1:2" x14ac:dyDescent="0.25">
      <c r="A8144" s="64" t="str">
        <f>HYPERLINK("http://www.twitter.com/fmendesbio2", "fmendesbio2")</f>
        <v>fmendesbio2</v>
      </c>
      <c r="B8144" s="65"/>
    </row>
    <row r="8145" spans="1:2" x14ac:dyDescent="0.25">
      <c r="A8145" s="64" t="str">
        <f>HYPERLINK("http://www.twitter.com/MariaCecilia", "MariaCecilia")</f>
        <v>MariaCecilia</v>
      </c>
      <c r="B8145" s="65" t="s">
        <v>6517</v>
      </c>
    </row>
    <row r="8146" spans="1:2" x14ac:dyDescent="0.25">
      <c r="A8146" s="64" t="str">
        <f>HYPERLINK("http://www.twitter.com/AbbieMMeyers", "AbbieMMeyers")</f>
        <v>AbbieMMeyers</v>
      </c>
      <c r="B8146" s="65"/>
    </row>
    <row r="8147" spans="1:2" x14ac:dyDescent="0.25">
      <c r="A8147" s="64" t="str">
        <f>HYPERLINK("http://www.twitter.com/Getfrogletdotco", "Getfrogletdotco")</f>
        <v>Getfrogletdotco</v>
      </c>
      <c r="B8147" s="65" t="s">
        <v>296</v>
      </c>
    </row>
    <row r="8148" spans="1:2" x14ac:dyDescent="0.25">
      <c r="A8148" s="64" t="str">
        <f>HYPERLINK("http://www.twitter.com/VickyMinasian", "VickyMinasian")</f>
        <v>VickyMinasian</v>
      </c>
      <c r="B8148" s="65" t="s">
        <v>4339</v>
      </c>
    </row>
    <row r="8149" spans="1:2" x14ac:dyDescent="0.25">
      <c r="A8149" s="64" t="str">
        <f>HYPERLINK("http://www.twitter.com/Canadian_Lisa", "Canadian_Lisa")</f>
        <v>Canadian_Lisa</v>
      </c>
      <c r="B8149" s="65" t="s">
        <v>3948</v>
      </c>
    </row>
    <row r="8150" spans="1:2" x14ac:dyDescent="0.25">
      <c r="A8150" s="64" t="str">
        <f>HYPERLINK("http://www.twitter.com/cinemastone", "cinemastone")</f>
        <v>cinemastone</v>
      </c>
      <c r="B8150" s="65" t="s">
        <v>6518</v>
      </c>
    </row>
    <row r="8151" spans="1:2" x14ac:dyDescent="0.25">
      <c r="A8151" s="64" t="str">
        <f>HYPERLINK("http://www.twitter.com/theplaceilove", "theplaceilove")</f>
        <v>theplaceilove</v>
      </c>
      <c r="B8151" s="65"/>
    </row>
    <row r="8152" spans="1:2" x14ac:dyDescent="0.25">
      <c r="A8152" s="64" t="str">
        <f>HYPERLINK("http://www.twitter.com/GirlStanila", "GirlStanila")</f>
        <v>GirlStanila</v>
      </c>
      <c r="B8152" s="65"/>
    </row>
    <row r="8153" spans="1:2" x14ac:dyDescent="0.25">
      <c r="A8153" s="64" t="str">
        <f>HYPERLINK("http://www.twitter.com/Matbelt16", "Matbelt16")</f>
        <v>Matbelt16</v>
      </c>
      <c r="B8153" s="65"/>
    </row>
    <row r="8154" spans="1:2" x14ac:dyDescent="0.25">
      <c r="A8154" s="64" t="str">
        <f>HYPERLINK("http://www.twitter.com/MCF11032", "MCF11032")</f>
        <v>MCF11032</v>
      </c>
      <c r="B8154" s="65" t="s">
        <v>6519</v>
      </c>
    </row>
    <row r="8155" spans="1:2" x14ac:dyDescent="0.25">
      <c r="A8155" s="64" t="str">
        <f>HYPERLINK("http://www.twitter.com/JennywithaZ", "JennywithaZ")</f>
        <v>JennywithaZ</v>
      </c>
      <c r="B8155" s="65" t="s">
        <v>4522</v>
      </c>
    </row>
    <row r="8156" spans="1:2" x14ac:dyDescent="0.25">
      <c r="A8156" s="64" t="str">
        <f>HYPERLINK("http://www.twitter.com/yourfavehannah", "yourfavehannah")</f>
        <v>yourfavehannah</v>
      </c>
      <c r="B8156" s="65" t="s">
        <v>70</v>
      </c>
    </row>
    <row r="8157" spans="1:2" x14ac:dyDescent="0.25">
      <c r="A8157" s="64" t="str">
        <f>HYPERLINK("http://www.twitter.com/Al13ly", "Al13ly")</f>
        <v>Al13ly</v>
      </c>
      <c r="B8157" s="65"/>
    </row>
    <row r="8158" spans="1:2" x14ac:dyDescent="0.25">
      <c r="A8158" s="64" t="str">
        <f>HYPERLINK("http://www.twitter.com/moabernhardsson", "moabernhardsson")</f>
        <v>moabernhardsson</v>
      </c>
      <c r="B8158" s="65" t="s">
        <v>6520</v>
      </c>
    </row>
    <row r="8159" spans="1:2" x14ac:dyDescent="0.25">
      <c r="A8159" s="64" t="str">
        <f>HYPERLINK("http://www.twitter.com/studentnurseCB", "studentnurseCB")</f>
        <v>studentnurseCB</v>
      </c>
      <c r="B8159" s="65" t="s">
        <v>3762</v>
      </c>
    </row>
    <row r="8160" spans="1:2" x14ac:dyDescent="0.25">
      <c r="A8160" s="64" t="str">
        <f>HYPERLINK("http://www.twitter.com/thebrigidtales", "thebrigidtales")</f>
        <v>thebrigidtales</v>
      </c>
      <c r="B8160" s="65" t="s">
        <v>6521</v>
      </c>
    </row>
    <row r="8161" spans="1:2" x14ac:dyDescent="0.25">
      <c r="A8161" s="64" t="str">
        <f>HYPERLINK("http://www.twitter.com/apollo_library", "apollo_library")</f>
        <v>apollo_library</v>
      </c>
      <c r="B8161" s="65" t="s">
        <v>6522</v>
      </c>
    </row>
    <row r="8162" spans="1:2" x14ac:dyDescent="0.25">
      <c r="A8162" s="64" t="str">
        <f>HYPERLINK("http://www.twitter.com/Lakshmi_251109", "Lakshmi_251109")</f>
        <v>Lakshmi_251109</v>
      </c>
      <c r="B8162" s="65" t="s">
        <v>5530</v>
      </c>
    </row>
    <row r="8163" spans="1:2" x14ac:dyDescent="0.25">
      <c r="A8163" s="64" t="str">
        <f>HYPERLINK("http://www.twitter.com/kuskupz", "kuskupz")</f>
        <v>kuskupz</v>
      </c>
      <c r="B8163" s="65"/>
    </row>
    <row r="8164" spans="1:2" x14ac:dyDescent="0.25">
      <c r="A8164" s="64" t="str">
        <f>HYPERLINK("http://www.twitter.com/Daminous_Purity", "Daminous_Purity")</f>
        <v>Daminous_Purity</v>
      </c>
      <c r="B8164" s="65" t="s">
        <v>70</v>
      </c>
    </row>
    <row r="8165" spans="1:2" x14ac:dyDescent="0.25">
      <c r="A8165" s="64" t="str">
        <f>HYPERLINK("http://www.twitter.com/atsinha", "atsinha")</f>
        <v>atsinha</v>
      </c>
      <c r="B8165" s="65" t="s">
        <v>5567</v>
      </c>
    </row>
    <row r="8166" spans="1:2" x14ac:dyDescent="0.25">
      <c r="A8166" s="64" t="str">
        <f>HYPERLINK("http://www.twitter.com/e125_e", "e125_e")</f>
        <v>e125_e</v>
      </c>
      <c r="B8166" s="65" t="s">
        <v>6523</v>
      </c>
    </row>
    <row r="8167" spans="1:2" x14ac:dyDescent="0.25">
      <c r="A8167" s="64" t="str">
        <f>HYPERLINK("http://www.twitter.com/pschaos08", "pschaos08")</f>
        <v>pschaos08</v>
      </c>
      <c r="B8167" s="65"/>
    </row>
    <row r="8168" spans="1:2" x14ac:dyDescent="0.25">
      <c r="A8168" s="64" t="str">
        <f>HYPERLINK("http://www.twitter.com/TheresaMaria153", "TheresaMaria153")</f>
        <v>TheresaMaria153</v>
      </c>
      <c r="B8168" s="65"/>
    </row>
    <row r="8169" spans="1:2" x14ac:dyDescent="0.25">
      <c r="A8169" s="64" t="str">
        <f>HYPERLINK("http://www.twitter.com/bbtinhtinh", "bbtinhtinh")</f>
        <v>bbtinhtinh</v>
      </c>
      <c r="B8169" s="65"/>
    </row>
    <row r="8170" spans="1:2" x14ac:dyDescent="0.25">
      <c r="A8170" s="64" t="str">
        <f>HYPERLINK("http://www.twitter.com/DebBliemel", "DebBliemel")</f>
        <v>DebBliemel</v>
      </c>
      <c r="B8170" s="65" t="s">
        <v>6524</v>
      </c>
    </row>
    <row r="8171" spans="1:2" x14ac:dyDescent="0.25">
      <c r="A8171" s="64" t="str">
        <f>HYPERLINK("http://www.twitter.com/91scarhead", "91scarhead")</f>
        <v>91scarhead</v>
      </c>
      <c r="B8171" s="65" t="s">
        <v>6525</v>
      </c>
    </row>
    <row r="8172" spans="1:2" x14ac:dyDescent="0.25">
      <c r="A8172" s="64" t="str">
        <f>HYPERLINK("http://www.twitter.com/meera_vijay_", "meera_vijay_")</f>
        <v>meera_vijay_</v>
      </c>
      <c r="B8172" s="65"/>
    </row>
    <row r="8173" spans="1:2" x14ac:dyDescent="0.25">
      <c r="A8173" s="64" t="str">
        <f>HYPERLINK("http://www.twitter.com/WaresRobert", "WaresRobert")</f>
        <v>WaresRobert</v>
      </c>
      <c r="B8173" s="65" t="s">
        <v>6526</v>
      </c>
    </row>
    <row r="8174" spans="1:2" x14ac:dyDescent="0.25">
      <c r="A8174" s="64" t="str">
        <f>HYPERLINK("http://www.twitter.com/collapsiblefox", "collapsiblefox")</f>
        <v>collapsiblefox</v>
      </c>
      <c r="B8174" s="65"/>
    </row>
    <row r="8175" spans="1:2" x14ac:dyDescent="0.25">
      <c r="A8175" s="64" t="str">
        <f>HYPERLINK("http://www.twitter.com/DuckReader", "DuckReader")</f>
        <v>DuckReader</v>
      </c>
      <c r="B8175" s="65"/>
    </row>
    <row r="8176" spans="1:2" x14ac:dyDescent="0.25">
      <c r="A8176" s="64" t="str">
        <f>HYPERLINK("http://www.twitter.com/barbeemat3", "barbeemat3")</f>
        <v>barbeemat3</v>
      </c>
      <c r="B8176" s="65"/>
    </row>
    <row r="8177" spans="1:2" x14ac:dyDescent="0.25">
      <c r="A8177" s="64" t="str">
        <f>HYPERLINK("http://www.twitter.com/vinnypecaski", "vinnypecaski")</f>
        <v>vinnypecaski</v>
      </c>
      <c r="B8177" s="65" t="s">
        <v>6527</v>
      </c>
    </row>
    <row r="8178" spans="1:2" x14ac:dyDescent="0.25">
      <c r="A8178" s="64" t="str">
        <f>HYPERLINK("http://www.twitter.com/jes_lu", "jes_lu")</f>
        <v>jes_lu</v>
      </c>
      <c r="B8178" s="65"/>
    </row>
    <row r="8179" spans="1:2" x14ac:dyDescent="0.25">
      <c r="A8179" s="64" t="str">
        <f>HYPERLINK("http://www.twitter.com/SanShhan", "SanShhan")</f>
        <v>SanShhan</v>
      </c>
      <c r="B8179" s="65" t="s">
        <v>6528</v>
      </c>
    </row>
    <row r="8180" spans="1:2" x14ac:dyDescent="0.25">
      <c r="A8180" s="64" t="str">
        <f>HYPERLINK("http://www.twitter.com/Unashamedly_fat", "Unashamedly_fat")</f>
        <v>Unashamedly_fat</v>
      </c>
      <c r="B8180" s="65" t="s">
        <v>477</v>
      </c>
    </row>
    <row r="8181" spans="1:2" x14ac:dyDescent="0.25">
      <c r="A8181" s="64" t="str">
        <f>HYPERLINK("http://www.twitter.com/carlaortizz_", "carlaortizz_")</f>
        <v>carlaortizz_</v>
      </c>
      <c r="B8181" s="65" t="s">
        <v>6529</v>
      </c>
    </row>
    <row r="8182" spans="1:2" x14ac:dyDescent="0.25">
      <c r="A8182" s="64" t="str">
        <f>HYPERLINK("http://www.twitter.com/IngridMagalhes7", "IngridMagalhes7")</f>
        <v>IngridMagalhes7</v>
      </c>
      <c r="B8182" s="65"/>
    </row>
    <row r="8183" spans="1:2" x14ac:dyDescent="0.25">
      <c r="A8183" s="64" t="str">
        <f>HYPERLINK("http://www.twitter.com/MaryMarionbroon", "MaryMarionbroon")</f>
        <v>MaryMarionbroon</v>
      </c>
      <c r="B8183" s="65"/>
    </row>
    <row r="8184" spans="1:2" x14ac:dyDescent="0.25">
      <c r="A8184" s="64" t="str">
        <f>HYPERLINK("http://www.twitter.com/marciehatter", "marciehatter")</f>
        <v>marciehatter</v>
      </c>
      <c r="B8184" s="65"/>
    </row>
    <row r="8185" spans="1:2" x14ac:dyDescent="0.25">
      <c r="A8185" s="64" t="str">
        <f>HYPERLINK("http://www.twitter.com/zoebtower9", "zoebtower9")</f>
        <v>zoebtower9</v>
      </c>
      <c r="B8185" s="65" t="s">
        <v>232</v>
      </c>
    </row>
    <row r="8186" spans="1:2" x14ac:dyDescent="0.25">
      <c r="A8186" s="64" t="str">
        <f>HYPERLINK("http://www.twitter.com/WoodbrookeUK", "WoodbrookeUK")</f>
        <v>WoodbrookeUK</v>
      </c>
      <c r="B8186" s="65" t="s">
        <v>310</v>
      </c>
    </row>
    <row r="8187" spans="1:2" x14ac:dyDescent="0.25">
      <c r="A8187" s="64" t="str">
        <f>HYPERLINK("http://www.twitter.com/PhelpsieSarah", "PhelpsieSarah")</f>
        <v>PhelpsieSarah</v>
      </c>
      <c r="B8187" s="65"/>
    </row>
    <row r="8188" spans="1:2" x14ac:dyDescent="0.25">
      <c r="A8188" s="64" t="str">
        <f>HYPERLINK("http://www.twitter.com/astrid_disaster", "astrid_disaster")</f>
        <v>astrid_disaster</v>
      </c>
      <c r="B8188" s="65"/>
    </row>
    <row r="8189" spans="1:2" x14ac:dyDescent="0.25">
      <c r="A8189" s="64" t="str">
        <f>HYPERLINK("http://www.twitter.com/realstephnieb", "realstephnieb")</f>
        <v>realstephnieb</v>
      </c>
      <c r="B8189" s="65"/>
    </row>
    <row r="8190" spans="1:2" x14ac:dyDescent="0.25">
      <c r="A8190" s="64" t="str">
        <f>HYPERLINK("http://www.twitter.com/LibraryBearGO", "LibraryBearGO")</f>
        <v>LibraryBearGO</v>
      </c>
      <c r="B8190" s="65"/>
    </row>
    <row r="8191" spans="1:2" x14ac:dyDescent="0.25">
      <c r="A8191" s="64" t="str">
        <f>HYPERLINK("http://www.twitter.com/skicrampons", "skicrampons")</f>
        <v>skicrampons</v>
      </c>
      <c r="B8191" s="65"/>
    </row>
    <row r="8192" spans="1:2" x14ac:dyDescent="0.25">
      <c r="A8192" s="64" t="str">
        <f>HYPERLINK("http://www.twitter.com/futurestand", "futurestand")</f>
        <v>futurestand</v>
      </c>
      <c r="B8192" s="65" t="s">
        <v>2270</v>
      </c>
    </row>
    <row r="8193" spans="1:2" x14ac:dyDescent="0.25">
      <c r="A8193" s="64" t="str">
        <f>HYPERLINK("http://www.twitter.com/Bec_English", "Bec_English")</f>
        <v>Bec_English</v>
      </c>
      <c r="B8193" s="65" t="s">
        <v>6530</v>
      </c>
    </row>
    <row r="8194" spans="1:2" x14ac:dyDescent="0.25">
      <c r="A8194" s="64" t="str">
        <f>HYPERLINK("http://www.twitter.com/rachel_conlan", "rachel_conlan")</f>
        <v>rachel_conlan</v>
      </c>
      <c r="B8194" s="65"/>
    </row>
    <row r="8195" spans="1:2" x14ac:dyDescent="0.25">
      <c r="A8195" s="64" t="str">
        <f>HYPERLINK("http://www.twitter.com/Freyalyn", "Freyalyn")</f>
        <v>Freyalyn</v>
      </c>
      <c r="B8195" s="65" t="s">
        <v>4501</v>
      </c>
    </row>
    <row r="8196" spans="1:2" x14ac:dyDescent="0.25">
      <c r="A8196" s="64" t="str">
        <f>HYPERLINK("http://www.twitter.com/bstract_", "bstract_")</f>
        <v>bstract_</v>
      </c>
      <c r="B8196" s="65" t="s">
        <v>6531</v>
      </c>
    </row>
    <row r="8197" spans="1:2" x14ac:dyDescent="0.25">
      <c r="A8197" s="64" t="str">
        <f>HYPERLINK("http://www.twitter.com/campdenhistory", "campdenhistory")</f>
        <v>campdenhistory</v>
      </c>
      <c r="B8197" s="65" t="s">
        <v>6532</v>
      </c>
    </row>
    <row r="8198" spans="1:2" x14ac:dyDescent="0.25">
      <c r="A8198" s="64" t="str">
        <f>HYPERLINK("http://www.twitter.com/TotalOlympian", "TotalOlympian")</f>
        <v>TotalOlympian</v>
      </c>
      <c r="B8198" s="65"/>
    </row>
    <row r="8199" spans="1:2" x14ac:dyDescent="0.25">
      <c r="A8199" s="64" t="str">
        <f>HYPERLINK("http://www.twitter.com/FootlessSwift", "FootlessSwift")</f>
        <v>FootlessSwift</v>
      </c>
      <c r="B8199" s="65"/>
    </row>
    <row r="8200" spans="1:2" x14ac:dyDescent="0.25">
      <c r="A8200" s="64" t="str">
        <f>HYPERLINK("http://www.twitter.com/John_S_Ash", "John_S_Ash")</f>
        <v>John_S_Ash</v>
      </c>
      <c r="B8200" s="65" t="s">
        <v>477</v>
      </c>
    </row>
    <row r="8201" spans="1:2" x14ac:dyDescent="0.25">
      <c r="A8201" s="64" t="str">
        <f>HYPERLINK("http://www.twitter.com/fhnw_hb", "fhnw_hb")</f>
        <v>fhnw_hb</v>
      </c>
      <c r="B8201" s="65" t="s">
        <v>6533</v>
      </c>
    </row>
    <row r="8202" spans="1:2" x14ac:dyDescent="0.25">
      <c r="A8202" s="64" t="str">
        <f>HYPERLINK("http://www.twitter.com/johindes", "johindes")</f>
        <v>johindes</v>
      </c>
      <c r="B8202" s="65" t="s">
        <v>6534</v>
      </c>
    </row>
    <row r="8203" spans="1:2" x14ac:dyDescent="0.25">
      <c r="A8203" s="64" t="str">
        <f>HYPERLINK("http://www.twitter.com/AlisonJenner6", "AlisonJenner6")</f>
        <v>AlisonJenner6</v>
      </c>
      <c r="B8203" s="65"/>
    </row>
    <row r="8204" spans="1:2" x14ac:dyDescent="0.25">
      <c r="A8204" s="64" t="str">
        <f>HYPERLINK("http://www.twitter.com/bluewhyte", "bluewhyte")</f>
        <v>bluewhyte</v>
      </c>
      <c r="B8204" s="65" t="s">
        <v>4868</v>
      </c>
    </row>
    <row r="8205" spans="1:2" x14ac:dyDescent="0.25">
      <c r="A8205" s="64" t="str">
        <f>HYPERLINK("http://www.twitter.com/Davelennonabc", "Davelennonabc")</f>
        <v>Davelennonabc</v>
      </c>
      <c r="B8205" s="65"/>
    </row>
    <row r="8206" spans="1:2" x14ac:dyDescent="0.25">
      <c r="A8206" s="64" t="str">
        <f>HYPERLINK("http://www.twitter.com/beehivechopshop", "beehivechopshop")</f>
        <v>beehivechopshop</v>
      </c>
      <c r="B8206" s="65"/>
    </row>
    <row r="8207" spans="1:2" x14ac:dyDescent="0.25">
      <c r="A8207" s="64" t="str">
        <f>HYPERLINK("http://www.twitter.com/tom_dle", "tom_dle")</f>
        <v>tom_dle</v>
      </c>
      <c r="B8207" s="65" t="s">
        <v>1189</v>
      </c>
    </row>
    <row r="8208" spans="1:2" x14ac:dyDescent="0.25">
      <c r="A8208" s="64" t="str">
        <f>HYPERLINK("http://www.twitter.com/Wilkie2Megan", "Wilkie2Megan")</f>
        <v>Wilkie2Megan</v>
      </c>
      <c r="B8208" s="65"/>
    </row>
    <row r="8209" spans="1:2" x14ac:dyDescent="0.25">
      <c r="A8209" s="64" t="str">
        <f>HYPERLINK("http://www.twitter.com/kiddanch", "kiddanch")</f>
        <v>kiddanch</v>
      </c>
      <c r="B8209" s="65" t="s">
        <v>36</v>
      </c>
    </row>
    <row r="8210" spans="1:2" x14ac:dyDescent="0.25">
      <c r="A8210" s="64" t="str">
        <f>HYPERLINK("http://www.twitter.com/pc649", "pc649")</f>
        <v>pc649</v>
      </c>
      <c r="B8210" s="65" t="s">
        <v>138</v>
      </c>
    </row>
    <row r="8211" spans="1:2" x14ac:dyDescent="0.25">
      <c r="A8211" s="64" t="str">
        <f>HYPERLINK("http://www.twitter.com/sarahcam3ron", "sarahcam3ron")</f>
        <v>sarahcam3ron</v>
      </c>
      <c r="B8211" s="65"/>
    </row>
    <row r="8212" spans="1:2" x14ac:dyDescent="0.25">
      <c r="A8212" s="64" t="str">
        <f>HYPERLINK("http://www.twitter.com/PengamLib", "PengamLib")</f>
        <v>PengamLib</v>
      </c>
      <c r="B8212" s="65" t="s">
        <v>2460</v>
      </c>
    </row>
    <row r="8213" spans="1:2" x14ac:dyDescent="0.25">
      <c r="A8213" s="64" t="str">
        <f>HYPERLINK("http://www.twitter.com/AnneCuthbert4", "AnneCuthbert4")</f>
        <v>AnneCuthbert4</v>
      </c>
      <c r="B8213" s="65"/>
    </row>
    <row r="8214" spans="1:2" x14ac:dyDescent="0.25">
      <c r="A8214" s="64" t="str">
        <f>HYPERLINK("http://www.twitter.com/SCSTG", "SCSTG")</f>
        <v>SCSTG</v>
      </c>
      <c r="B8214" s="65" t="s">
        <v>517</v>
      </c>
    </row>
    <row r="8215" spans="1:2" x14ac:dyDescent="0.25">
      <c r="A8215" s="64" t="str">
        <f>HYPERLINK("http://www.twitter.com/KatieMacL", "KatieMacL")</f>
        <v>KatieMacL</v>
      </c>
      <c r="B8215" s="65" t="s">
        <v>6535</v>
      </c>
    </row>
    <row r="8216" spans="1:2" x14ac:dyDescent="0.25">
      <c r="A8216" s="64" t="str">
        <f>HYPERLINK("http://www.twitter.com/JUSTGARDENS", "JUSTGARDENS")</f>
        <v>JUSTGARDENS</v>
      </c>
      <c r="B8216" s="65" t="s">
        <v>1537</v>
      </c>
    </row>
    <row r="8217" spans="1:2" x14ac:dyDescent="0.25">
      <c r="A8217" s="64" t="str">
        <f>HYPERLINK("http://www.twitter.com/SPP_ECrichton", "SPP_ECrichton")</f>
        <v>SPP_ECrichton</v>
      </c>
      <c r="B8217" s="65"/>
    </row>
    <row r="8218" spans="1:2" x14ac:dyDescent="0.25">
      <c r="A8218" s="64" t="str">
        <f>HYPERLINK("http://www.twitter.com/lidiaandrea31", "lidiaandrea31")</f>
        <v>lidiaandrea31</v>
      </c>
      <c r="B8218" s="65"/>
    </row>
    <row r="8219" spans="1:2" x14ac:dyDescent="0.25">
      <c r="A8219" s="64" t="str">
        <f>HYPERLINK("http://www.twitter.com/GTBITSolutions", "GTBITSolutions")</f>
        <v>GTBITSolutions</v>
      </c>
      <c r="B8219" s="65" t="s">
        <v>6536</v>
      </c>
    </row>
    <row r="8220" spans="1:2" x14ac:dyDescent="0.25">
      <c r="A8220" s="64" t="str">
        <f>HYPERLINK("http://www.twitter.com/Lidia53600827", "Lidia53600827")</f>
        <v>Lidia53600827</v>
      </c>
      <c r="B8220" s="65"/>
    </row>
    <row r="8221" spans="1:2" x14ac:dyDescent="0.25">
      <c r="A8221" s="64" t="str">
        <f>HYPERLINK("http://www.twitter.com/momobookdiary", "momobookdiary")</f>
        <v>momobookdiary</v>
      </c>
      <c r="B8221" s="65" t="s">
        <v>2007</v>
      </c>
    </row>
    <row r="8222" spans="1:2" x14ac:dyDescent="0.25">
      <c r="A8222" s="64" t="str">
        <f>HYPERLINK("http://www.twitter.com/JodieCollinWard", "JodieCollinWard")</f>
        <v>JodieCollinWard</v>
      </c>
      <c r="B8222" s="65"/>
    </row>
    <row r="8223" spans="1:2" x14ac:dyDescent="0.25">
      <c r="A8223" s="64" t="str">
        <f>HYPERLINK("http://www.twitter.com/WCroydonVoice", "WCroydonVoice")</f>
        <v>WCroydonVoice</v>
      </c>
      <c r="B8223" s="65"/>
    </row>
    <row r="8224" spans="1:2" x14ac:dyDescent="0.25">
      <c r="A8224" s="64" t="str">
        <f>HYPERLINK("http://www.twitter.com/ila9848", "ila9848")</f>
        <v>ila9848</v>
      </c>
      <c r="B8224" s="65"/>
    </row>
    <row r="8225" spans="1:2" x14ac:dyDescent="0.25">
      <c r="A8225" s="64" t="str">
        <f>HYPERLINK("http://www.twitter.com/Peachykeen197", "Peachykeen197")</f>
        <v>Peachykeen197</v>
      </c>
      <c r="B8225" s="65"/>
    </row>
    <row r="8226" spans="1:2" x14ac:dyDescent="0.25">
      <c r="A8226" s="64" t="str">
        <f>HYPERLINK("http://www.twitter.com/craigamudie", "craigamudie")</f>
        <v>craigamudie</v>
      </c>
      <c r="B8226" s="65" t="s">
        <v>1482</v>
      </c>
    </row>
    <row r="8227" spans="1:2" x14ac:dyDescent="0.25">
      <c r="A8227" s="64" t="str">
        <f>HYPERLINK("http://www.twitter.com/DougStevensArt", "DougStevensArt")</f>
        <v>DougStevensArt</v>
      </c>
      <c r="B8227" s="65" t="s">
        <v>3773</v>
      </c>
    </row>
    <row r="8228" spans="1:2" x14ac:dyDescent="0.25">
      <c r="A8228" s="64" t="str">
        <f>HYPERLINK("http://www.twitter.com/PamStoney1", "PamStoney1")</f>
        <v>PamStoney1</v>
      </c>
      <c r="B8228" s="65"/>
    </row>
    <row r="8229" spans="1:2" x14ac:dyDescent="0.25">
      <c r="A8229" s="64" t="str">
        <f>HYPERLINK("http://www.twitter.com/Fellini33", "Fellini33")</f>
        <v>Fellini33</v>
      </c>
      <c r="B8229" s="65" t="s">
        <v>2580</v>
      </c>
    </row>
    <row r="8230" spans="1:2" x14ac:dyDescent="0.25">
      <c r="A8230" s="64" t="str">
        <f>HYPERLINK("http://www.twitter.com/Sinclai10Sophia", "Sinclai10Sophia")</f>
        <v>Sinclai10Sophia</v>
      </c>
      <c r="B8230" s="65"/>
    </row>
    <row r="8231" spans="1:2" x14ac:dyDescent="0.25">
      <c r="A8231" s="64" t="str">
        <f>HYPERLINK("http://www.twitter.com/ArtimusFoul", "ArtimusFoul")</f>
        <v>ArtimusFoul</v>
      </c>
      <c r="B8231" s="65" t="s">
        <v>6537</v>
      </c>
    </row>
    <row r="8232" spans="1:2" x14ac:dyDescent="0.25">
      <c r="A8232" s="64" t="str">
        <f>HYPERLINK("http://www.twitter.com/fundraising4lib", "fundraising4lib")</f>
        <v>fundraising4lib</v>
      </c>
      <c r="B8232" s="65"/>
    </row>
    <row r="8233" spans="1:2" x14ac:dyDescent="0.25">
      <c r="A8233" s="64" t="str">
        <f>HYPERLINK("http://www.twitter.com/NPFSOrkney", "NPFSOrkney")</f>
        <v>NPFSOrkney</v>
      </c>
      <c r="B8233" s="65" t="s">
        <v>4519</v>
      </c>
    </row>
    <row r="8234" spans="1:2" x14ac:dyDescent="0.25">
      <c r="A8234" s="64" t="str">
        <f>HYPERLINK("http://www.twitter.com/realGeeAliasMe", "realGeeAliasMe")</f>
        <v>realGeeAliasMe</v>
      </c>
      <c r="B8234" s="65" t="s">
        <v>6538</v>
      </c>
    </row>
    <row r="8235" spans="1:2" x14ac:dyDescent="0.25">
      <c r="A8235" s="64" t="str">
        <f>HYPERLINK("http://www.twitter.com/SutherlandTina", "SutherlandTina")</f>
        <v>SutherlandTina</v>
      </c>
      <c r="B8235" s="65"/>
    </row>
    <row r="8236" spans="1:2" x14ac:dyDescent="0.25">
      <c r="A8236" s="64" t="str">
        <f>HYPERLINK("http://www.twitter.com/GarryDonohoe", "GarryDonohoe")</f>
        <v>GarryDonohoe</v>
      </c>
      <c r="B8236" s="65" t="s">
        <v>3762</v>
      </c>
    </row>
    <row r="8237" spans="1:2" x14ac:dyDescent="0.25">
      <c r="A8237" s="64" t="str">
        <f>HYPERLINK("http://www.twitter.com/daemonologies", "daemonologies")</f>
        <v>daemonologies</v>
      </c>
      <c r="B8237" s="65" t="s">
        <v>318</v>
      </c>
    </row>
    <row r="8238" spans="1:2" x14ac:dyDescent="0.25">
      <c r="A8238" s="64" t="str">
        <f>HYPERLINK("http://www.twitter.com/senortophat", "senortophat")</f>
        <v>senortophat</v>
      </c>
      <c r="B8238" s="65" t="s">
        <v>4039</v>
      </c>
    </row>
    <row r="8239" spans="1:2" x14ac:dyDescent="0.25">
      <c r="A8239" s="64" t="str">
        <f>HYPERLINK("http://www.twitter.com/clairefmunro", "clairefmunro")</f>
        <v>clairefmunro</v>
      </c>
      <c r="B8239" s="65" t="s">
        <v>36</v>
      </c>
    </row>
    <row r="8240" spans="1:2" x14ac:dyDescent="0.25">
      <c r="A8240" s="64" t="str">
        <f>HYPERLINK("http://www.twitter.com/eis_la", "eis_la")</f>
        <v>eis_la</v>
      </c>
      <c r="B8240" s="65"/>
    </row>
    <row r="8241" spans="1:2" x14ac:dyDescent="0.25">
      <c r="A8241" s="64" t="str">
        <f>HYPERLINK("http://www.twitter.com/Redwood_Sky", "Redwood_Sky")</f>
        <v>Redwood_Sky</v>
      </c>
      <c r="B8241" s="65" t="s">
        <v>6539</v>
      </c>
    </row>
    <row r="8242" spans="1:2" x14ac:dyDescent="0.25">
      <c r="A8242" s="64" t="str">
        <f>HYPERLINK("http://www.twitter.com/laurence_diver", "laurence_diver")</f>
        <v>laurence_diver</v>
      </c>
      <c r="B8242" s="65" t="s">
        <v>487</v>
      </c>
    </row>
    <row r="8243" spans="1:2" x14ac:dyDescent="0.25">
      <c r="A8243" s="64" t="str">
        <f>HYPERLINK("http://www.twitter.com/mjcarroll1985", "mjcarroll1985")</f>
        <v>mjcarroll1985</v>
      </c>
      <c r="B8243" s="65" t="s">
        <v>61</v>
      </c>
    </row>
    <row r="8244" spans="1:2" x14ac:dyDescent="0.25">
      <c r="A8244" s="64" t="str">
        <f>HYPERLINK("http://www.twitter.com/CTMcKeown", "CTMcKeown")</f>
        <v>CTMcKeown</v>
      </c>
      <c r="B8244" s="65"/>
    </row>
    <row r="8245" spans="1:2" x14ac:dyDescent="0.25">
      <c r="A8245" s="64" t="str">
        <f>HYPERLINK("http://www.twitter.com/solange_lebourg", "solange_lebourg")</f>
        <v>solange_lebourg</v>
      </c>
      <c r="B8245" s="65" t="s">
        <v>6540</v>
      </c>
    </row>
    <row r="8246" spans="1:2" x14ac:dyDescent="0.25">
      <c r="A8246" s="64" t="str">
        <f>HYPERLINK("http://www.twitter.com/bicyclebookworm", "bicyclebookworm")</f>
        <v>bicyclebookworm</v>
      </c>
      <c r="B8246" s="65"/>
    </row>
    <row r="8247" spans="1:2" x14ac:dyDescent="0.25">
      <c r="A8247" s="64" t="str">
        <f>HYPERLINK("http://www.twitter.com/babelbiblio", "babelbiblio")</f>
        <v>babelbiblio</v>
      </c>
      <c r="B8247" s="65"/>
    </row>
    <row r="8248" spans="1:2" x14ac:dyDescent="0.25">
      <c r="A8248" s="64" t="str">
        <f>HYPERLINK("http://www.twitter.com/wendymac75", "wendymac75")</f>
        <v>wendymac75</v>
      </c>
      <c r="B8248" s="65" t="s">
        <v>6541</v>
      </c>
    </row>
    <row r="8249" spans="1:2" x14ac:dyDescent="0.25">
      <c r="A8249" s="64" t="str">
        <f>HYPERLINK("http://www.twitter.com/_Kris_Boyle", "_Kris_Boyle")</f>
        <v>_Kris_Boyle</v>
      </c>
      <c r="B8249" s="65" t="s">
        <v>487</v>
      </c>
    </row>
    <row r="8250" spans="1:2" x14ac:dyDescent="0.25">
      <c r="A8250" s="64" t="str">
        <f>HYPERLINK("http://www.twitter.com/pfrankland16", "pfrankland16")</f>
        <v>pfrankland16</v>
      </c>
      <c r="B8250" s="65" t="s">
        <v>6542</v>
      </c>
    </row>
    <row r="8251" spans="1:2" x14ac:dyDescent="0.25">
      <c r="A8251" s="64" t="str">
        <f>HYPERLINK("http://www.twitter.com/andersonmolly04", "andersonmolly04")</f>
        <v>andersonmolly04</v>
      </c>
      <c r="B8251" s="65"/>
    </row>
    <row r="8252" spans="1:2" x14ac:dyDescent="0.25">
      <c r="A8252" s="64" t="str">
        <f>HYPERLINK("http://www.twitter.com/bookfreak524", "bookfreak524")</f>
        <v>bookfreak524</v>
      </c>
      <c r="B8252" s="65" t="s">
        <v>4001</v>
      </c>
    </row>
    <row r="8253" spans="1:2" x14ac:dyDescent="0.25">
      <c r="A8253" s="64" t="str">
        <f>HYPERLINK("http://www.twitter.com/Shirleymmutle_P", "Shirleymmutle_P")</f>
        <v>Shirleymmutle_P</v>
      </c>
      <c r="B8253" s="65"/>
    </row>
    <row r="8254" spans="1:2" x14ac:dyDescent="0.25">
      <c r="A8254" s="64" t="str">
        <f>HYPERLINK("http://www.twitter.com/EdinburghEditor", "EdinburghEditor")</f>
        <v>EdinburghEditor</v>
      </c>
      <c r="B8254" s="65" t="s">
        <v>24</v>
      </c>
    </row>
    <row r="8255" spans="1:2" x14ac:dyDescent="0.25">
      <c r="A8255" s="64" t="str">
        <f>HYPERLINK("http://www.twitter.com/RanjalinaMitra", "RanjalinaMitra")</f>
        <v>RanjalinaMitra</v>
      </c>
      <c r="B8255" s="65"/>
    </row>
    <row r="8256" spans="1:2" x14ac:dyDescent="0.25">
      <c r="A8256" s="64" t="str">
        <f>HYPERLINK("http://www.twitter.com/TheFuzzyLobster", "TheFuzzyLobster")</f>
        <v>TheFuzzyLobster</v>
      </c>
      <c r="B8256" s="65" t="s">
        <v>6543</v>
      </c>
    </row>
    <row r="8257" spans="1:2" x14ac:dyDescent="0.25">
      <c r="A8257" s="64" t="str">
        <f>HYPERLINK("http://www.twitter.com/IonaZillah", "IonaZillah")</f>
        <v>IonaZillah</v>
      </c>
      <c r="B8257" s="65" t="s">
        <v>6544</v>
      </c>
    </row>
    <row r="8258" spans="1:2" x14ac:dyDescent="0.25">
      <c r="A8258" s="64" t="str">
        <f>HYPERLINK("http://www.twitter.com/LmwcTweets", "LmwcTweets")</f>
        <v>LmwcTweets</v>
      </c>
      <c r="B8258" s="65" t="s">
        <v>318</v>
      </c>
    </row>
    <row r="8259" spans="1:2" x14ac:dyDescent="0.25">
      <c r="A8259" s="64" t="str">
        <f>HYPERLINK("http://www.twitter.com/samstev44748854", "samstev44748854")</f>
        <v>samstev44748854</v>
      </c>
      <c r="B8259" s="65" t="s">
        <v>70</v>
      </c>
    </row>
    <row r="8260" spans="1:2" x14ac:dyDescent="0.25">
      <c r="A8260" s="64" t="str">
        <f>HYPERLINK("http://www.twitter.com/PaulDHanrahan", "PaulDHanrahan")</f>
        <v>PaulDHanrahan</v>
      </c>
      <c r="B8260" s="65"/>
    </row>
    <row r="8261" spans="1:2" x14ac:dyDescent="0.25">
      <c r="A8261" s="64" t="str">
        <f>HYPERLINK("http://www.twitter.com/NicolaSullivan", "NicolaSullivan")</f>
        <v>NicolaSullivan</v>
      </c>
      <c r="B8261" s="65" t="s">
        <v>36</v>
      </c>
    </row>
    <row r="8262" spans="1:2" x14ac:dyDescent="0.25">
      <c r="A8262" s="64" t="str">
        <f>HYPERLINK("http://www.twitter.com/SimonAStephens", "SimonAStephens")</f>
        <v>SimonAStephens</v>
      </c>
      <c r="B8262" s="65" t="s">
        <v>36</v>
      </c>
    </row>
    <row r="8263" spans="1:2" x14ac:dyDescent="0.25">
      <c r="A8263" s="64" t="str">
        <f>HYPERLINK("http://www.twitter.com/DTPering", "DTPering")</f>
        <v>DTPering</v>
      </c>
      <c r="B8263" s="65" t="s">
        <v>36</v>
      </c>
    </row>
    <row r="8264" spans="1:2" x14ac:dyDescent="0.25">
      <c r="A8264" s="64" t="str">
        <f>HYPERLINK("http://www.twitter.com/shrirahulkapoor", "shrirahulkapoor")</f>
        <v>shrirahulkapoor</v>
      </c>
      <c r="B8264" s="65"/>
    </row>
    <row r="8265" spans="1:2" x14ac:dyDescent="0.25">
      <c r="A8265" s="64" t="str">
        <f>HYPERLINK("http://www.twitter.com/hbjewell", "hbjewell")</f>
        <v>hbjewell</v>
      </c>
      <c r="B8265" s="65" t="s">
        <v>6545</v>
      </c>
    </row>
    <row r="8266" spans="1:2" x14ac:dyDescent="0.25">
      <c r="A8266" s="64" t="str">
        <f>HYPERLINK("http://www.twitter.com/BlackIsleCares", "BlackIsleCares")</f>
        <v>BlackIsleCares</v>
      </c>
      <c r="B8266" s="65" t="s">
        <v>70</v>
      </c>
    </row>
    <row r="8267" spans="1:2" x14ac:dyDescent="0.25">
      <c r="A8267" s="64" t="str">
        <f>HYPERLINK("http://www.twitter.com/india_sinclair", "india_sinclair")</f>
        <v>india_sinclair</v>
      </c>
      <c r="B8267" s="65"/>
    </row>
    <row r="8268" spans="1:2" x14ac:dyDescent="0.25">
      <c r="A8268" s="64" t="str">
        <f>HYPERLINK("http://www.twitter.com/crystal23tipps", "crystal23tipps")</f>
        <v>crystal23tipps</v>
      </c>
      <c r="B8268" s="65" t="s">
        <v>517</v>
      </c>
    </row>
    <row r="8269" spans="1:2" x14ac:dyDescent="0.25">
      <c r="A8269" s="64" t="str">
        <f>HYPERLINK("http://www.twitter.com/rhythmicdumplin", "rhythmicdumplin")</f>
        <v>rhythmicdumplin</v>
      </c>
      <c r="B8269" s="65" t="s">
        <v>36</v>
      </c>
    </row>
    <row r="8270" spans="1:2" x14ac:dyDescent="0.25">
      <c r="A8270" s="64" t="str">
        <f>HYPERLINK("http://www.twitter.com/k_harcus06", "k_harcus06")</f>
        <v>k_harcus06</v>
      </c>
      <c r="B8270" s="65"/>
    </row>
    <row r="8271" spans="1:2" x14ac:dyDescent="0.25">
      <c r="A8271" s="64" t="str">
        <f>HYPERLINK("http://www.twitter.com/elena_heather", "elena_heather")</f>
        <v>elena_heather</v>
      </c>
      <c r="B8271" s="65"/>
    </row>
    <row r="8272" spans="1:2" x14ac:dyDescent="0.25">
      <c r="A8272" s="64" t="str">
        <f>HYPERLINK("http://www.twitter.com/NeilPort10", "NeilPort10")</f>
        <v>NeilPort10</v>
      </c>
      <c r="B8272" s="65" t="s">
        <v>6546</v>
      </c>
    </row>
    <row r="8273" spans="1:2" x14ac:dyDescent="0.25">
      <c r="A8273" s="64" t="str">
        <f>HYPERLINK("http://www.twitter.com/EilidhC52", "EilidhC52")</f>
        <v>EilidhC52</v>
      </c>
      <c r="B8273" s="65"/>
    </row>
    <row r="8274" spans="1:2" x14ac:dyDescent="0.25">
      <c r="A8274" s="64" t="str">
        <f>HYPERLINK("http://www.twitter.com/ThestralBew", "ThestralBew")</f>
        <v>ThestralBew</v>
      </c>
      <c r="B8274" s="65"/>
    </row>
    <row r="8275" spans="1:2" x14ac:dyDescent="0.25">
      <c r="A8275" s="64" t="str">
        <f>HYPERLINK("http://www.twitter.com/MrsSassyPants", "MrsSassyPants")</f>
        <v>MrsSassyPants</v>
      </c>
      <c r="B8275" s="65" t="s">
        <v>6547</v>
      </c>
    </row>
    <row r="8276" spans="1:2" x14ac:dyDescent="0.25">
      <c r="A8276" s="64" t="str">
        <f>HYPERLINK("http://www.twitter.com/SeonagM", "SeonagM")</f>
        <v>SeonagM</v>
      </c>
      <c r="B8276" s="65" t="s">
        <v>4842</v>
      </c>
    </row>
    <row r="8277" spans="1:2" x14ac:dyDescent="0.25">
      <c r="A8277" s="64" t="str">
        <f>HYPERLINK("http://www.twitter.com/ALikelyStory_", "ALikelyStory_")</f>
        <v>ALikelyStory_</v>
      </c>
      <c r="B8277" s="65"/>
    </row>
    <row r="8278" spans="1:2" x14ac:dyDescent="0.25">
      <c r="A8278" s="64" t="str">
        <f>HYPERLINK("http://www.twitter.com/UoGlibraries", "UoGlibraries")</f>
        <v>UoGlibraries</v>
      </c>
      <c r="B8278" s="65" t="s">
        <v>1247</v>
      </c>
    </row>
    <row r="8279" spans="1:2" x14ac:dyDescent="0.25">
      <c r="A8279" s="64" t="str">
        <f>HYPERLINK("http://www.twitter.com/The_Parcel_Man", "The_Parcel_Man")</f>
        <v>The_Parcel_Man</v>
      </c>
      <c r="B8279" s="65" t="s">
        <v>296</v>
      </c>
    </row>
    <row r="8280" spans="1:2" x14ac:dyDescent="0.25">
      <c r="A8280" s="64" t="str">
        <f>HYPERLINK("http://www.twitter.com/camstewart96", "camstewart96")</f>
        <v>camstewart96</v>
      </c>
      <c r="B8280" s="65" t="s">
        <v>6548</v>
      </c>
    </row>
    <row r="8281" spans="1:2" x14ac:dyDescent="0.25">
      <c r="A8281" s="64" t="str">
        <f>HYPERLINK("http://www.twitter.com/ehtshamulhaque7", "ehtshamulhaque7")</f>
        <v>ehtshamulhaque7</v>
      </c>
      <c r="B8281" s="65"/>
    </row>
    <row r="8282" spans="1:2" x14ac:dyDescent="0.25">
      <c r="A8282" s="64" t="str">
        <f>HYPERLINK("http://www.twitter.com/sthomson862", "sthomson862")</f>
        <v>sthomson862</v>
      </c>
      <c r="B8282" s="65"/>
    </row>
    <row r="8283" spans="1:2" x14ac:dyDescent="0.25">
      <c r="A8283" s="64" t="str">
        <f>HYPERLINK("http://www.twitter.com/DadofGabriel", "DadofGabriel")</f>
        <v>DadofGabriel</v>
      </c>
      <c r="B8283" s="65" t="s">
        <v>5340</v>
      </c>
    </row>
    <row r="8284" spans="1:2" x14ac:dyDescent="0.25">
      <c r="A8284" s="64" t="str">
        <f>HYPERLINK("http://www.twitter.com/CrookedHolster", "CrookedHolster")</f>
        <v>CrookedHolster</v>
      </c>
      <c r="B8284" s="65"/>
    </row>
    <row r="8285" spans="1:2" x14ac:dyDescent="0.25">
      <c r="A8285" s="64" t="str">
        <f>HYPERLINK("http://www.twitter.com/realjessiekeane", "realjessiekeane")</f>
        <v>realjessiekeane</v>
      </c>
      <c r="B8285" s="65" t="s">
        <v>578</v>
      </c>
    </row>
    <row r="8286" spans="1:2" x14ac:dyDescent="0.25">
      <c r="A8286" s="64" t="str">
        <f>HYPERLINK("http://www.twitter.com/TheRefugeMcr", "TheRefugeMcr")</f>
        <v>TheRefugeMcr</v>
      </c>
      <c r="B8286" s="65" t="s">
        <v>2289</v>
      </c>
    </row>
    <row r="8287" spans="1:2" x14ac:dyDescent="0.25">
      <c r="A8287" s="64" t="str">
        <f>HYPERLINK("http://www.twitter.com/SV5o9CAFh9FDXHe", "SV5o9CAFh9FDXHe")</f>
        <v>SV5o9CAFh9FDXHe</v>
      </c>
      <c r="B8287" s="65" t="s">
        <v>2717</v>
      </c>
    </row>
    <row r="8288" spans="1:2" x14ac:dyDescent="0.25">
      <c r="A8288" s="64" t="str">
        <f>HYPERLINK("http://www.twitter.com/Ladyrmb", "Ladyrmb")</f>
        <v>Ladyrmb</v>
      </c>
      <c r="B8288" s="65"/>
    </row>
    <row r="8289" spans="1:2" x14ac:dyDescent="0.25">
      <c r="A8289" s="64" t="str">
        <f>HYPERLINK("http://www.twitter.com/elharto", "elharto")</f>
        <v>elharto</v>
      </c>
      <c r="B8289" s="65" t="s">
        <v>138</v>
      </c>
    </row>
    <row r="8290" spans="1:2" x14ac:dyDescent="0.25">
      <c r="A8290" s="64" t="str">
        <f>HYPERLINK("http://www.twitter.com/anastasia_gould", "anastasia_gould")</f>
        <v>anastasia_gould</v>
      </c>
      <c r="B8290" s="65"/>
    </row>
    <row r="8291" spans="1:2" x14ac:dyDescent="0.25">
      <c r="A8291" s="64" t="str">
        <f>HYPERLINK("http://www.twitter.com/cbrookmyre", "cbrookmyre")</f>
        <v>cbrookmyre</v>
      </c>
      <c r="B8291" s="65"/>
    </row>
    <row r="8292" spans="1:2" x14ac:dyDescent="0.25">
      <c r="A8292" s="64" t="str">
        <f>HYPERLINK("http://www.twitter.com/22_ireland", "22_ireland")</f>
        <v>22_ireland</v>
      </c>
      <c r="B8292" s="65" t="s">
        <v>517</v>
      </c>
    </row>
    <row r="8293" spans="1:2" x14ac:dyDescent="0.25">
      <c r="A8293" s="64" t="str">
        <f>HYPERLINK("http://www.twitter.com/Grant_Denholm", "Grant_Denholm")</f>
        <v>Grant_Denholm</v>
      </c>
      <c r="B8293" s="65" t="s">
        <v>487</v>
      </c>
    </row>
    <row r="8294" spans="1:2" x14ac:dyDescent="0.25">
      <c r="A8294" s="64" t="str">
        <f>HYPERLINK("http://www.twitter.com/kailasjones", "kailasjones")</f>
        <v>kailasjones</v>
      </c>
      <c r="B8294" s="65" t="s">
        <v>6549</v>
      </c>
    </row>
    <row r="8295" spans="1:2" x14ac:dyDescent="0.25">
      <c r="A8295" s="64" t="str">
        <f>HYPERLINK("http://www.twitter.com/gables55", "gables55")</f>
        <v>gables55</v>
      </c>
      <c r="B8295" s="65"/>
    </row>
    <row r="8296" spans="1:2" x14ac:dyDescent="0.25">
      <c r="A8296" s="64" t="str">
        <f>HYPERLINK("http://www.twitter.com/suedougall", "suedougall")</f>
        <v>suedougall</v>
      </c>
      <c r="B8296" s="65"/>
    </row>
    <row r="8297" spans="1:2" x14ac:dyDescent="0.25">
      <c r="A8297" s="64" t="str">
        <f>HYPERLINK("http://www.twitter.com/jadougall", "jadougall")</f>
        <v>jadougall</v>
      </c>
      <c r="B8297" s="65" t="s">
        <v>6550</v>
      </c>
    </row>
    <row r="8298" spans="1:2" x14ac:dyDescent="0.25">
      <c r="A8298" s="64" t="str">
        <f>HYPERLINK("http://www.twitter.com/JennyBrownBooks", "JennyBrownBooks")</f>
        <v>JennyBrownBooks</v>
      </c>
      <c r="B8298" s="65" t="s">
        <v>24</v>
      </c>
    </row>
    <row r="8299" spans="1:2" x14ac:dyDescent="0.25">
      <c r="A8299" s="64" t="str">
        <f>HYPERLINK("http://www.twitter.com/Tirfuir", "Tirfuir")</f>
        <v>Tirfuir</v>
      </c>
      <c r="B8299" s="65" t="s">
        <v>6551</v>
      </c>
    </row>
    <row r="8300" spans="1:2" x14ac:dyDescent="0.25">
      <c r="A8300" s="64" t="str">
        <f>HYPERLINK("http://www.twitter.com/ToM4Delivery", "ToM4Delivery")</f>
        <v>ToM4Delivery</v>
      </c>
      <c r="B8300" s="65"/>
    </row>
    <row r="8301" spans="1:2" x14ac:dyDescent="0.25">
      <c r="A8301" s="64" t="str">
        <f>HYPERLINK("http://www.twitter.com/RonaldFisher555", "RonaldFisher555")</f>
        <v>RonaldFisher555</v>
      </c>
      <c r="B8301" s="65"/>
    </row>
    <row r="8302" spans="1:2" x14ac:dyDescent="0.25">
      <c r="A8302" s="64" t="str">
        <f>HYPERLINK("http://www.twitter.com/littlefairy912", "littlefairy912")</f>
        <v>littlefairy912</v>
      </c>
      <c r="B8302" s="65"/>
    </row>
    <row r="8303" spans="1:2" x14ac:dyDescent="0.25">
      <c r="A8303" s="64" t="str">
        <f>HYPERLINK("http://www.twitter.com/LibrariesUnLtd", "LibrariesUnLtd")</f>
        <v>LibrariesUnLtd</v>
      </c>
      <c r="B8303" s="65" t="s">
        <v>1377</v>
      </c>
    </row>
    <row r="8304" spans="1:2" x14ac:dyDescent="0.25">
      <c r="A8304" s="64" t="str">
        <f>HYPERLINK("http://www.twitter.com/cletty", "cletty")</f>
        <v>cletty</v>
      </c>
      <c r="B8304" s="65"/>
    </row>
    <row r="8305" spans="1:2" x14ac:dyDescent="0.25">
      <c r="A8305" s="64" t="str">
        <f>HYPERLINK("http://www.twitter.com/FictionAtelier", "FictionAtelier")</f>
        <v>FictionAtelier</v>
      </c>
      <c r="B8305" s="65" t="s">
        <v>24</v>
      </c>
    </row>
    <row r="8306" spans="1:2" x14ac:dyDescent="0.25">
      <c r="A8306" s="64" t="str">
        <f>HYPERLINK("http://www.twitter.com/sc_goodrich", "sc_goodrich")</f>
        <v>sc_goodrich</v>
      </c>
      <c r="B8306" s="65" t="s">
        <v>70</v>
      </c>
    </row>
    <row r="8307" spans="1:2" x14ac:dyDescent="0.25">
      <c r="A8307" s="64" t="str">
        <f>HYPERLINK("http://www.twitter.com/Lotus_l777l", "Lotus_l777l")</f>
        <v>Lotus_l777l</v>
      </c>
      <c r="B8307" s="65"/>
    </row>
    <row r="8308" spans="1:2" x14ac:dyDescent="0.25">
      <c r="A8308" s="64" t="str">
        <f>HYPERLINK("http://www.twitter.com/chrissti7", "chrissti7")</f>
        <v>chrissti7</v>
      </c>
      <c r="B8308" s="65" t="s">
        <v>138</v>
      </c>
    </row>
    <row r="8309" spans="1:2" x14ac:dyDescent="0.25">
      <c r="A8309" s="64" t="str">
        <f>HYPERLINK("http://www.twitter.com/Yasminebakrix", "Yasminebakrix")</f>
        <v>Yasminebakrix</v>
      </c>
      <c r="B8309" s="65"/>
    </row>
    <row r="8310" spans="1:2" x14ac:dyDescent="0.25">
      <c r="A8310" s="64" t="str">
        <f>HYPERLINK("http://www.twitter.com/professoredith", "professoredith")</f>
        <v>professoredith</v>
      </c>
      <c r="B8310" s="65"/>
    </row>
    <row r="8311" spans="1:2" x14ac:dyDescent="0.25">
      <c r="A8311" s="64" t="str">
        <f>HYPERLINK("http://www.twitter.com/HowardBeale1976", "HowardBeale1976")</f>
        <v>HowardBeale1976</v>
      </c>
      <c r="B8311" s="65" t="s">
        <v>6552</v>
      </c>
    </row>
    <row r="8312" spans="1:2" x14ac:dyDescent="0.25">
      <c r="A8312" s="64" t="str">
        <f>HYPERLINK("http://www.twitter.com/SightsOnSites", "SightsOnSites")</f>
        <v>SightsOnSites</v>
      </c>
      <c r="B8312" s="65"/>
    </row>
    <row r="8313" spans="1:2" x14ac:dyDescent="0.25">
      <c r="A8313" s="64" t="str">
        <f>HYPERLINK("http://www.twitter.com/lostgeekglasgow", "lostgeekglasgow")</f>
        <v>lostgeekglasgow</v>
      </c>
      <c r="B8313" s="65" t="s">
        <v>24</v>
      </c>
    </row>
    <row r="8314" spans="1:2" x14ac:dyDescent="0.25">
      <c r="A8314" s="64" t="str">
        <f>HYPERLINK("http://www.twitter.com/HerstoricScot", "HerstoricScot")</f>
        <v>HerstoricScot</v>
      </c>
      <c r="B8314" s="65" t="s">
        <v>2007</v>
      </c>
    </row>
    <row r="8315" spans="1:2" x14ac:dyDescent="0.25">
      <c r="A8315" s="64" t="str">
        <f>HYPERLINK("http://www.twitter.com/JohnnyJenkz", "JohnnyJenkz")</f>
        <v>JohnnyJenkz</v>
      </c>
      <c r="B8315" s="65" t="s">
        <v>4193</v>
      </c>
    </row>
    <row r="8316" spans="1:2" x14ac:dyDescent="0.25">
      <c r="A8316" s="64" t="str">
        <f>HYPERLINK("http://www.twitter.com/KydJessie", "KydJessie")</f>
        <v>KydJessie</v>
      </c>
      <c r="B8316" s="65"/>
    </row>
    <row r="8317" spans="1:2" x14ac:dyDescent="0.25">
      <c r="A8317" s="64" t="str">
        <f>HYPERLINK("http://www.twitter.com/LesleyjmThomson", "LesleyjmThomson")</f>
        <v>LesleyjmThomson</v>
      </c>
      <c r="B8317" s="65" t="s">
        <v>6553</v>
      </c>
    </row>
    <row r="8318" spans="1:2" x14ac:dyDescent="0.25">
      <c r="A8318" s="64" t="str">
        <f>HYPERLINK("http://www.twitter.com/kesp", "kesp")</f>
        <v>kesp</v>
      </c>
      <c r="B8318" s="65" t="s">
        <v>36</v>
      </c>
    </row>
    <row r="8319" spans="1:2" x14ac:dyDescent="0.25">
      <c r="A8319" s="64" t="str">
        <f>HYPERLINK("http://www.twitter.com/UptonLibraryMA", "UptonLibraryMA")</f>
        <v>UptonLibraryMA</v>
      </c>
      <c r="B8319" s="65" t="s">
        <v>6554</v>
      </c>
    </row>
    <row r="8320" spans="1:2" x14ac:dyDescent="0.25">
      <c r="A8320" s="64" t="str">
        <f>HYPERLINK("http://www.twitter.com/JackMacp_13", "JackMacp_13")</f>
        <v>JackMacp_13</v>
      </c>
      <c r="B8320" s="65"/>
    </row>
    <row r="8321" spans="1:2" x14ac:dyDescent="0.25">
      <c r="A8321" s="64" t="str">
        <f>HYPERLINK("http://www.twitter.com/asuha1114", "asuha1114")</f>
        <v>asuha1114</v>
      </c>
      <c r="B8321" s="65"/>
    </row>
    <row r="8322" spans="1:2" x14ac:dyDescent="0.25">
      <c r="A8322" s="64" t="str">
        <f>HYPERLINK("http://www.twitter.com/Glemsford_Lib", "Glemsford_Lib")</f>
        <v>Glemsford_Lib</v>
      </c>
      <c r="B8322" s="65" t="s">
        <v>3225</v>
      </c>
    </row>
    <row r="8323" spans="1:2" x14ac:dyDescent="0.25">
      <c r="A8323" s="64" t="str">
        <f>HYPERLINK("http://www.twitter.com/BTOCarms", "BTOCarms")</f>
        <v>BTOCarms</v>
      </c>
      <c r="B8323" s="65" t="s">
        <v>6555</v>
      </c>
    </row>
    <row r="8324" spans="1:2" x14ac:dyDescent="0.25">
      <c r="A8324" s="64" t="str">
        <f>HYPERLINK("http://www.twitter.com/grumpymouse", "grumpymouse")</f>
        <v>grumpymouse</v>
      </c>
      <c r="B8324" s="65" t="s">
        <v>6101</v>
      </c>
    </row>
    <row r="8325" spans="1:2" x14ac:dyDescent="0.25">
      <c r="A8325" s="64" t="str">
        <f>HYPERLINK("http://www.twitter.com/soonmo38", "soonmo38")</f>
        <v>soonmo38</v>
      </c>
      <c r="B8325" s="65"/>
    </row>
    <row r="8326" spans="1:2" x14ac:dyDescent="0.25">
      <c r="A8326" s="64" t="str">
        <f>HYPERLINK("http://www.twitter.com/kirkleesapphub", "kirkleesapphub")</f>
        <v>kirkleesapphub</v>
      </c>
      <c r="B8326" s="65" t="s">
        <v>6556</v>
      </c>
    </row>
    <row r="8327" spans="1:2" x14ac:dyDescent="0.25">
      <c r="A8327" s="64" t="str">
        <f>HYPERLINK("http://www.twitter.com/MorrisEryl", "MorrisEryl")</f>
        <v>MorrisEryl</v>
      </c>
      <c r="B8327" s="65"/>
    </row>
    <row r="8328" spans="1:2" x14ac:dyDescent="0.25">
      <c r="A8328" s="64" t="str">
        <f>HYPERLINK("http://www.twitter.com/LesaHolstine", "LesaHolstine")</f>
        <v>LesaHolstine</v>
      </c>
      <c r="B8328" s="65" t="s">
        <v>6557</v>
      </c>
    </row>
    <row r="8329" spans="1:2" x14ac:dyDescent="0.25">
      <c r="A8329" s="64" t="str">
        <f>HYPERLINK("http://www.twitter.com/ElenoreFisher", "ElenoreFisher")</f>
        <v>ElenoreFisher</v>
      </c>
      <c r="B8329" s="65"/>
    </row>
    <row r="8330" spans="1:2" x14ac:dyDescent="0.25">
      <c r="A8330" s="64" t="str">
        <f>HYPERLINK("http://www.twitter.com/Krista_Barclay", "Krista_Barclay")</f>
        <v>Krista_Barclay</v>
      </c>
      <c r="B8330" s="65" t="s">
        <v>4678</v>
      </c>
    </row>
    <row r="8331" spans="1:2" x14ac:dyDescent="0.25">
      <c r="A8331" s="64" t="str">
        <f>HYPERLINK("http://www.twitter.com/risk_strat_cmet", "risk_strat_cmet")</f>
        <v>risk_strat_cmet</v>
      </c>
      <c r="B8331" s="65" t="s">
        <v>427</v>
      </c>
    </row>
    <row r="8332" spans="1:2" x14ac:dyDescent="0.25">
      <c r="A8332" s="64" t="str">
        <f>HYPERLINK("http://www.twitter.com/cool345764", "cool345764")</f>
        <v>cool345764</v>
      </c>
      <c r="B8332" s="65"/>
    </row>
    <row r="8333" spans="1:2" x14ac:dyDescent="0.25">
      <c r="A8333" s="64" t="str">
        <f>HYPERLINK("http://www.twitter.com/_theoldlibrary", "_theoldlibrary")</f>
        <v>_theoldlibrary</v>
      </c>
      <c r="B8333" s="65" t="s">
        <v>4327</v>
      </c>
    </row>
    <row r="8334" spans="1:2" x14ac:dyDescent="0.25">
      <c r="A8334" s="64" t="str">
        <f>HYPERLINK("http://www.twitter.com/bedders22", "bedders22")</f>
        <v>bedders22</v>
      </c>
      <c r="B8334" s="65" t="s">
        <v>33</v>
      </c>
    </row>
    <row r="8335" spans="1:2" x14ac:dyDescent="0.25">
      <c r="A8335" s="64" t="str">
        <f>HYPERLINK("http://www.twitter.com/TheLadyMcP", "TheLadyMcP")</f>
        <v>TheLadyMcP</v>
      </c>
      <c r="B8335" s="65"/>
    </row>
    <row r="8336" spans="1:2" x14ac:dyDescent="0.25">
      <c r="A8336" s="64" t="str">
        <f>HYPERLINK("http://www.twitter.com/john13campbell", "john13campbell")</f>
        <v>john13campbell</v>
      </c>
      <c r="B8336" s="65" t="s">
        <v>6558</v>
      </c>
    </row>
    <row r="8337" spans="1:2" x14ac:dyDescent="0.25">
      <c r="A8337" s="64" t="str">
        <f>HYPERLINK("http://www.twitter.com/NottmCityOfLit", "NottmCityOfLit")</f>
        <v>NottmCityOfLit</v>
      </c>
      <c r="B8337" s="65" t="s">
        <v>526</v>
      </c>
    </row>
    <row r="8338" spans="1:2" x14ac:dyDescent="0.25">
      <c r="A8338" s="64" t="str">
        <f>HYPERLINK("http://www.twitter.com/buffy_johns", "buffy_johns")</f>
        <v>buffy_johns</v>
      </c>
      <c r="B8338" s="65" t="s">
        <v>1046</v>
      </c>
    </row>
    <row r="8339" spans="1:2" x14ac:dyDescent="0.25">
      <c r="A8339" s="64" t="str">
        <f>HYPERLINK("http://www.twitter.com/MisstahCook", "MisstahCook")</f>
        <v>MisstahCook</v>
      </c>
      <c r="B8339" s="65" t="s">
        <v>4050</v>
      </c>
    </row>
    <row r="8340" spans="1:2" x14ac:dyDescent="0.25">
      <c r="A8340" s="64" t="str">
        <f>HYPERLINK("http://www.twitter.com/isabel_ay", "isabel_ay")</f>
        <v>isabel_ay</v>
      </c>
      <c r="B8340" s="65" t="s">
        <v>477</v>
      </c>
    </row>
    <row r="8341" spans="1:2" x14ac:dyDescent="0.25">
      <c r="A8341" s="64" t="str">
        <f>HYPERLINK("http://www.twitter.com/DCULIB", "DCULIB")</f>
        <v>DCULIB</v>
      </c>
      <c r="B8341" s="65" t="s">
        <v>3760</v>
      </c>
    </row>
    <row r="8342" spans="1:2" x14ac:dyDescent="0.25">
      <c r="A8342" s="64" t="str">
        <f>HYPERLINK("http://www.twitter.com/beanvilleTed", "beanvilleTed")</f>
        <v>beanvilleTed</v>
      </c>
      <c r="B8342" s="65" t="s">
        <v>3816</v>
      </c>
    </row>
    <row r="8343" spans="1:2" x14ac:dyDescent="0.25">
      <c r="A8343" s="64" t="str">
        <f>HYPERLINK("http://www.twitter.com/abbiesinclair01", "abbiesinclair01")</f>
        <v>abbiesinclair01</v>
      </c>
      <c r="B8343" s="65"/>
    </row>
    <row r="8344" spans="1:2" x14ac:dyDescent="0.25">
      <c r="A8344" s="64" t="str">
        <f>HYPERLINK("http://www.twitter.com/Paulajj1969", "Paulajj1969")</f>
        <v>Paulajj1969</v>
      </c>
      <c r="B8344" s="65" t="s">
        <v>3762</v>
      </c>
    </row>
    <row r="8345" spans="1:2" x14ac:dyDescent="0.25">
      <c r="A8345" s="64" t="str">
        <f>HYPERLINK("http://www.twitter.com/ELucyJanes", "ELucyJanes")</f>
        <v>ELucyJanes</v>
      </c>
      <c r="B8345" s="65" t="s">
        <v>138</v>
      </c>
    </row>
    <row r="8346" spans="1:2" x14ac:dyDescent="0.25">
      <c r="A8346" s="64" t="str">
        <f>HYPERLINK("http://www.twitter.com/scottishisland", "scottishisland")</f>
        <v>scottishisland</v>
      </c>
      <c r="B8346" s="65" t="s">
        <v>20</v>
      </c>
    </row>
    <row r="8347" spans="1:2" x14ac:dyDescent="0.25">
      <c r="A8347" s="64" t="str">
        <f>HYPERLINK("http://www.twitter.com/ade_sckater", "ade_sckater")</f>
        <v>ade_sckater</v>
      </c>
      <c r="B8347" s="65"/>
    </row>
    <row r="8348" spans="1:2" x14ac:dyDescent="0.25">
      <c r="A8348" s="64" t="str">
        <f>HYPERLINK("http://www.twitter.com/angela_k_fitz", "angela_k_fitz")</f>
        <v>angela_k_fitz</v>
      </c>
      <c r="B8348" s="65" t="s">
        <v>6559</v>
      </c>
    </row>
    <row r="8349" spans="1:2" x14ac:dyDescent="0.25">
      <c r="A8349" s="64" t="str">
        <f>HYPERLINK("http://www.twitter.com/john_llyfrgell", "john_llyfrgell")</f>
        <v>john_llyfrgell</v>
      </c>
      <c r="B8349" s="65" t="s">
        <v>427</v>
      </c>
    </row>
    <row r="8350" spans="1:2" x14ac:dyDescent="0.25">
      <c r="A8350" s="64" t="str">
        <f>HYPERLINK("http://www.twitter.com/TheLinesBetweet", "TheLinesBetweet")</f>
        <v>TheLinesBetweet</v>
      </c>
      <c r="B8350" s="65" t="s">
        <v>24</v>
      </c>
    </row>
    <row r="8351" spans="1:2" x14ac:dyDescent="0.25">
      <c r="A8351" s="64" t="str">
        <f>HYPERLINK("http://www.twitter.com/EFLOxford", "EFLOxford")</f>
        <v>EFLOxford</v>
      </c>
      <c r="B8351" s="65" t="s">
        <v>12</v>
      </c>
    </row>
    <row r="8352" spans="1:2" x14ac:dyDescent="0.25">
      <c r="A8352" s="64" t="str">
        <f>HYPERLINK("http://www.twitter.com/Zwoddergirl", "Zwoddergirl")</f>
        <v>Zwoddergirl</v>
      </c>
      <c r="B8352" s="65" t="s">
        <v>5045</v>
      </c>
    </row>
    <row r="8353" spans="1:2" x14ac:dyDescent="0.25">
      <c r="A8353" s="64" t="str">
        <f>HYPERLINK("http://www.twitter.com/Medusa794", "Medusa794")</f>
        <v>Medusa794</v>
      </c>
      <c r="B8353" s="65"/>
    </row>
    <row r="8354" spans="1:2" x14ac:dyDescent="0.25">
      <c r="A8354" s="64" t="str">
        <f>HYPERLINK("http://www.twitter.com/DestinJonas", "DestinJonas")</f>
        <v>DestinJonas</v>
      </c>
      <c r="B8354" s="65" t="s">
        <v>6560</v>
      </c>
    </row>
    <row r="8355" spans="1:2" x14ac:dyDescent="0.25">
      <c r="A8355" s="64" t="str">
        <f>HYPERLINK("http://www.twitter.com/TheLastGoodGirl", "TheLastGoodGirl")</f>
        <v>TheLastGoodGirl</v>
      </c>
      <c r="B8355" s="65" t="s">
        <v>138</v>
      </c>
    </row>
    <row r="8356" spans="1:2" x14ac:dyDescent="0.25">
      <c r="A8356" s="64" t="str">
        <f>HYPERLINK("http://www.twitter.com/zekeletain", "zekeletain")</f>
        <v>zekeletain</v>
      </c>
      <c r="B8356" s="65"/>
    </row>
    <row r="8357" spans="1:2" x14ac:dyDescent="0.25">
      <c r="A8357" s="64" t="str">
        <f>HYPERLINK("http://www.twitter.com/Chapters_Ghost", "Chapters_Ghost")</f>
        <v>Chapters_Ghost</v>
      </c>
      <c r="B8357" s="65" t="s">
        <v>6561</v>
      </c>
    </row>
    <row r="8358" spans="1:2" x14ac:dyDescent="0.25">
      <c r="A8358" s="64" t="str">
        <f>HYPERLINK("http://www.twitter.com/ChildOfAlba", "ChildOfAlba")</f>
        <v>ChildOfAlba</v>
      </c>
      <c r="B8358" s="65" t="s">
        <v>6562</v>
      </c>
    </row>
    <row r="8359" spans="1:2" x14ac:dyDescent="0.25">
      <c r="A8359" s="64" t="str">
        <f>HYPERLINK("http://www.twitter.com/louise_1122", "louise_1122")</f>
        <v>louise_1122</v>
      </c>
      <c r="B8359" s="65"/>
    </row>
    <row r="8360" spans="1:2" x14ac:dyDescent="0.25">
      <c r="A8360" s="64" t="str">
        <f>HYPERLINK("http://www.twitter.com/karlpjohnson", "karlpjohnson")</f>
        <v>karlpjohnson</v>
      </c>
      <c r="B8360" s="65" t="s">
        <v>6563</v>
      </c>
    </row>
    <row r="8361" spans="1:2" x14ac:dyDescent="0.25">
      <c r="A8361" s="64" t="str">
        <f>HYPERLINK("http://www.twitter.com/xbibliothequex", "xbibliothequex")</f>
        <v>xbibliothequex</v>
      </c>
      <c r="B8361" s="65"/>
    </row>
    <row r="8362" spans="1:2" x14ac:dyDescent="0.25">
      <c r="A8362" s="64" t="str">
        <f>HYPERLINK("http://www.twitter.com/Thewrongrl", "Thewrongrl")</f>
        <v>Thewrongrl</v>
      </c>
      <c r="B8362" s="65" t="s">
        <v>4246</v>
      </c>
    </row>
    <row r="8363" spans="1:2" x14ac:dyDescent="0.25">
      <c r="A8363" s="64" t="str">
        <f>HYPERLINK("http://www.twitter.com/lesleymcpherson", "lesleymcpherson")</f>
        <v>lesleymcpherson</v>
      </c>
      <c r="B8363" s="65" t="s">
        <v>6564</v>
      </c>
    </row>
    <row r="8364" spans="1:2" x14ac:dyDescent="0.25">
      <c r="A8364" s="64" t="str">
        <f>HYPERLINK("http://www.twitter.com/Poloneckpolice", "Poloneckpolice")</f>
        <v>Poloneckpolice</v>
      </c>
      <c r="B8364" s="65" t="s">
        <v>318</v>
      </c>
    </row>
    <row r="8365" spans="1:2" x14ac:dyDescent="0.25">
      <c r="A8365" s="64" t="str">
        <f>HYPERLINK("http://www.twitter.com/amykinshay", "amykinshay")</f>
        <v>amykinshay</v>
      </c>
      <c r="B8365" s="65" t="s">
        <v>6565</v>
      </c>
    </row>
    <row r="8366" spans="1:2" x14ac:dyDescent="0.25">
      <c r="A8366" s="64" t="str">
        <f>HYPERLINK("http://www.twitter.com/deepinglibrary", "deepinglibrary")</f>
        <v>deepinglibrary</v>
      </c>
      <c r="B8366" s="65"/>
    </row>
    <row r="8367" spans="1:2" x14ac:dyDescent="0.25">
      <c r="A8367" s="64" t="str">
        <f>HYPERLINK("http://www.twitter.com/orcadianginger", "orcadianginger")</f>
        <v>orcadianginger</v>
      </c>
      <c r="B8367" s="65"/>
    </row>
    <row r="8368" spans="1:2" x14ac:dyDescent="0.25">
      <c r="A8368" s="64" t="str">
        <f>HYPERLINK("http://www.twitter.com/RcaneArtist1", "RcaneArtist1")</f>
        <v>RcaneArtist1</v>
      </c>
      <c r="B8368" s="65" t="s">
        <v>3797</v>
      </c>
    </row>
    <row r="8369" spans="1:2" x14ac:dyDescent="0.25">
      <c r="A8369" s="64" t="str">
        <f>HYPERLINK("http://www.twitter.com/keiththomson13", "keiththomson13")</f>
        <v>keiththomson13</v>
      </c>
      <c r="B8369" s="65" t="s">
        <v>24</v>
      </c>
    </row>
    <row r="8370" spans="1:2" x14ac:dyDescent="0.25">
      <c r="A8370" s="64" t="str">
        <f>HYPERLINK("http://www.twitter.com/sophiegcollins", "sophiegcollins")</f>
        <v>sophiegcollins</v>
      </c>
      <c r="B8370" s="65" t="s">
        <v>2289</v>
      </c>
    </row>
    <row r="8371" spans="1:2" x14ac:dyDescent="0.25">
      <c r="A8371" s="64" t="str">
        <f>HYPERLINK("http://www.twitter.com/Kieran_Bews", "Kieran_Bews")</f>
        <v>Kieran_Bews</v>
      </c>
      <c r="B8371" s="65"/>
    </row>
    <row r="8372" spans="1:2" x14ac:dyDescent="0.25">
      <c r="A8372" s="64" t="str">
        <f>HYPERLINK("http://www.twitter.com/gentlemandodo", "gentlemandodo")</f>
        <v>gentlemandodo</v>
      </c>
      <c r="B8372" s="65" t="s">
        <v>6566</v>
      </c>
    </row>
    <row r="8373" spans="1:2" x14ac:dyDescent="0.25">
      <c r="A8373" s="64" t="str">
        <f>HYPERLINK("http://www.twitter.com/piprabbit_uk", "piprabbit_uk")</f>
        <v>piprabbit_uk</v>
      </c>
      <c r="B8373" s="65"/>
    </row>
    <row r="8374" spans="1:2" x14ac:dyDescent="0.25">
      <c r="A8374" s="64" t="str">
        <f>HYPERLINK("http://www.twitter.com/guy_me_", "guy_me_")</f>
        <v>guy_me_</v>
      </c>
      <c r="B8374" s="65"/>
    </row>
    <row r="8375" spans="1:2" x14ac:dyDescent="0.25">
      <c r="A8375" s="64" t="str">
        <f>HYPERLINK("http://www.twitter.com/Tish_Bee", "Tish_Bee")</f>
        <v>Tish_Bee</v>
      </c>
      <c r="B8375" s="65" t="s">
        <v>4147</v>
      </c>
    </row>
    <row r="8376" spans="1:2" x14ac:dyDescent="0.25">
      <c r="A8376" s="64" t="str">
        <f>HYPERLINK("http://www.twitter.com/gary_tait91", "gary_tait91")</f>
        <v>gary_tait91</v>
      </c>
      <c r="B8376" s="65" t="s">
        <v>70</v>
      </c>
    </row>
    <row r="8377" spans="1:2" x14ac:dyDescent="0.25">
      <c r="A8377" s="64" t="str">
        <f>HYPERLINK("http://www.twitter.com/dringo19", "dringo19")</f>
        <v>dringo19</v>
      </c>
      <c r="B8377" s="65" t="s">
        <v>6567</v>
      </c>
    </row>
    <row r="8378" spans="1:2" x14ac:dyDescent="0.25">
      <c r="A8378" s="64" t="str">
        <f>HYPERLINK("http://www.twitter.com/ColinCaverly", "ColinCaverly")</f>
        <v>ColinCaverly</v>
      </c>
      <c r="B8378" s="65" t="s">
        <v>6568</v>
      </c>
    </row>
    <row r="8379" spans="1:2" x14ac:dyDescent="0.25">
      <c r="A8379" s="64" t="str">
        <f>HYPERLINK("http://www.twitter.com/skali79", "skali79")</f>
        <v>skali79</v>
      </c>
      <c r="B8379" s="65"/>
    </row>
    <row r="8380" spans="1:2" x14ac:dyDescent="0.25">
      <c r="A8380" s="64" t="str">
        <f>HYPERLINK("http://www.twitter.com/annkatmat", "annkatmat")</f>
        <v>annkatmat</v>
      </c>
      <c r="B8380" s="65" t="s">
        <v>6569</v>
      </c>
    </row>
    <row r="8381" spans="1:2" x14ac:dyDescent="0.25">
      <c r="A8381" s="64" t="str">
        <f>HYPERLINK("http://www.twitter.com/SidcupSteelers", "SidcupSteelers")</f>
        <v>SidcupSteelers</v>
      </c>
      <c r="B8381" s="65" t="s">
        <v>6570</v>
      </c>
    </row>
    <row r="8382" spans="1:2" x14ac:dyDescent="0.25">
      <c r="A8382" s="64" t="str">
        <f>HYPERLINK("http://www.twitter.com/lidlkim", "lidlkim")</f>
        <v>lidlkim</v>
      </c>
      <c r="B8382" s="65" t="s">
        <v>601</v>
      </c>
    </row>
    <row r="8383" spans="1:2" x14ac:dyDescent="0.25">
      <c r="A8383" s="64" t="str">
        <f>HYPERLINK("http://www.twitter.com/cgeorgeva", "cgeorgeva")</f>
        <v>cgeorgeva</v>
      </c>
      <c r="B8383" s="65"/>
    </row>
    <row r="8384" spans="1:2" x14ac:dyDescent="0.25">
      <c r="A8384" s="64" t="str">
        <f>HYPERLINK("http://www.twitter.com/KatieTT", "KatieTT")</f>
        <v>KatieTT</v>
      </c>
      <c r="B8384" s="65" t="s">
        <v>6571</v>
      </c>
    </row>
    <row r="8385" spans="1:2" x14ac:dyDescent="0.25">
      <c r="A8385" s="64" t="str">
        <f>HYPERLINK("http://www.twitter.com/Cupkatech3rry", "Cupkatech3rry")</f>
        <v>Cupkatech3rry</v>
      </c>
      <c r="B8385" s="65" t="s">
        <v>6572</v>
      </c>
    </row>
    <row r="8386" spans="1:2" x14ac:dyDescent="0.25">
      <c r="A8386" s="64" t="str">
        <f>HYPERLINK("http://www.twitter.com/gina_books", "gina_books")</f>
        <v>gina_books</v>
      </c>
      <c r="B8386" s="65" t="s">
        <v>3880</v>
      </c>
    </row>
    <row r="8387" spans="1:2" x14ac:dyDescent="0.25">
      <c r="A8387" s="64" t="str">
        <f>HYPERLINK("http://www.twitter.com/JumpOvertheAge", "JumpOvertheAge")</f>
        <v>JumpOvertheAge</v>
      </c>
      <c r="B8387" s="65" t="s">
        <v>36</v>
      </c>
    </row>
    <row r="8388" spans="1:2" x14ac:dyDescent="0.25">
      <c r="A8388" s="64" t="str">
        <f>HYPERLINK("http://www.twitter.com/TemplarWilson", "TemplarWilson")</f>
        <v>TemplarWilson</v>
      </c>
      <c r="B8388" s="65" t="s">
        <v>3898</v>
      </c>
    </row>
    <row r="8389" spans="1:2" x14ac:dyDescent="0.25">
      <c r="A8389" s="64" t="str">
        <f>HYPERLINK("http://www.twitter.com/antonia_comrie", "antonia_comrie")</f>
        <v>antonia_comrie</v>
      </c>
      <c r="B8389" s="65" t="s">
        <v>517</v>
      </c>
    </row>
    <row r="8390" spans="1:2" x14ac:dyDescent="0.25">
      <c r="A8390" s="64" t="str">
        <f>HYPERLINK("http://www.twitter.com/SandraG99786724", "SandraG99786724")</f>
        <v>SandraG99786724</v>
      </c>
      <c r="B8390" s="65"/>
    </row>
    <row r="8391" spans="1:2" x14ac:dyDescent="0.25">
      <c r="A8391" s="64" t="str">
        <f>HYPERLINK("http://www.twitter.com/StephanieCoate7", "StephanieCoate7")</f>
        <v>StephanieCoate7</v>
      </c>
      <c r="B8391" s="65"/>
    </row>
    <row r="8392" spans="1:2" x14ac:dyDescent="0.25">
      <c r="A8392" s="64" t="str">
        <f>HYPERLINK("http://www.twitter.com/Allthingslib", "Allthingslib")</f>
        <v>Allthingslib</v>
      </c>
      <c r="B8392" s="65"/>
    </row>
    <row r="8393" spans="1:2" x14ac:dyDescent="0.25">
      <c r="A8393" s="64" t="str">
        <f>HYPERLINK("http://www.twitter.com/umbruxovini", "umbruxovini")</f>
        <v>umbruxovini</v>
      </c>
      <c r="B8393" s="65" t="s">
        <v>6573</v>
      </c>
    </row>
    <row r="8394" spans="1:2" x14ac:dyDescent="0.25">
      <c r="A8394" s="64" t="str">
        <f>HYPERLINK("http://www.twitter.com/giugyxaos", "giugyxaos")</f>
        <v>giugyxaos</v>
      </c>
      <c r="B8394" s="65"/>
    </row>
    <row r="8395" spans="1:2" x14ac:dyDescent="0.25">
      <c r="A8395" s="64" t="str">
        <f>HYPERLINK("http://www.twitter.com/mattdamonwayans", "mattdamonwayans")</f>
        <v>mattdamonwayans</v>
      </c>
      <c r="B8395" s="65" t="s">
        <v>4193</v>
      </c>
    </row>
    <row r="8396" spans="1:2" x14ac:dyDescent="0.25">
      <c r="A8396" s="64" t="str">
        <f>HYPERLINK("http://www.twitter.com/MaxFoxJo", "MaxFoxJo")</f>
        <v>MaxFoxJo</v>
      </c>
      <c r="B8396" s="65" t="s">
        <v>180</v>
      </c>
    </row>
    <row r="8397" spans="1:2" x14ac:dyDescent="0.25">
      <c r="A8397" s="64" t="str">
        <f>HYPERLINK("http://www.twitter.com/MzDew", "MzDew")</f>
        <v>MzDew</v>
      </c>
      <c r="B8397" s="65" t="s">
        <v>6574</v>
      </c>
    </row>
    <row r="8398" spans="1:2" x14ac:dyDescent="0.25">
      <c r="A8398" s="64" t="str">
        <f>HYPERLINK("http://www.twitter.com/dellarena_b", "dellarena_b")</f>
        <v>dellarena_b</v>
      </c>
      <c r="B8398" s="65" t="s">
        <v>6575</v>
      </c>
    </row>
    <row r="8399" spans="1:2" x14ac:dyDescent="0.25">
      <c r="A8399" s="64" t="str">
        <f>HYPERLINK("http://www.twitter.com/katriinems", "katriinems")</f>
        <v>katriinems</v>
      </c>
      <c r="B8399" s="65" t="s">
        <v>6576</v>
      </c>
    </row>
    <row r="8400" spans="1:2" x14ac:dyDescent="0.25">
      <c r="A8400" s="64" t="str">
        <f>HYPERLINK("http://www.twitter.com/EdgarAllanPoe65", "EdgarAllanPoe65")</f>
        <v>EdgarAllanPoe65</v>
      </c>
      <c r="B8400" s="65" t="s">
        <v>6577</v>
      </c>
    </row>
    <row r="8401" spans="1:2" x14ac:dyDescent="0.25">
      <c r="A8401" s="64" t="str">
        <f>HYPERLINK("http://www.twitter.com/Bainneur", "Bainneur")</f>
        <v>Bainneur</v>
      </c>
      <c r="B8401" s="65" t="s">
        <v>3760</v>
      </c>
    </row>
    <row r="8402" spans="1:2" x14ac:dyDescent="0.25">
      <c r="A8402" s="64" t="str">
        <f>HYPERLINK("http://www.twitter.com/hplovescats", "hplovescats")</f>
        <v>hplovescats</v>
      </c>
      <c r="B8402" s="65"/>
    </row>
    <row r="8403" spans="1:2" x14ac:dyDescent="0.25">
      <c r="A8403" s="64" t="str">
        <f>HYPERLINK("http://www.twitter.com/SMBC_Libraries", "SMBC_Libraries")</f>
        <v>SMBC_Libraries</v>
      </c>
      <c r="B8403" s="65" t="s">
        <v>1135</v>
      </c>
    </row>
    <row r="8404" spans="1:2" x14ac:dyDescent="0.25">
      <c r="A8404" s="64" t="str">
        <f>HYPERLINK("http://www.twitter.com/RabCshell", "RabCshell")</f>
        <v>RabCshell</v>
      </c>
      <c r="B8404" s="65"/>
    </row>
    <row r="8405" spans="1:2" x14ac:dyDescent="0.25">
      <c r="A8405" s="64" t="str">
        <f>HYPERLINK("http://www.twitter.com/PLBookClub", "PLBookClub")</f>
        <v>PLBookClub</v>
      </c>
      <c r="B8405" s="65"/>
    </row>
    <row r="8406" spans="1:2" x14ac:dyDescent="0.25">
      <c r="A8406" s="64" t="str">
        <f>HYPERLINK("http://www.twitter.com/farsetbooks", "farsetbooks")</f>
        <v>farsetbooks</v>
      </c>
      <c r="B8406" s="65" t="s">
        <v>135</v>
      </c>
    </row>
    <row r="8407" spans="1:2" x14ac:dyDescent="0.25">
      <c r="A8407" s="64" t="str">
        <f>HYPERLINK("http://www.twitter.com/Notnowpony", "Notnowpony")</f>
        <v>Notnowpony</v>
      </c>
      <c r="B8407" s="65" t="s">
        <v>6578</v>
      </c>
    </row>
    <row r="8408" spans="1:2" x14ac:dyDescent="0.25">
      <c r="A8408" s="64" t="str">
        <f>HYPERLINK("http://www.twitter.com/ChrisCole070", "ChrisCole070")</f>
        <v>ChrisCole070</v>
      </c>
      <c r="B8408" s="65" t="s">
        <v>6579</v>
      </c>
    </row>
    <row r="8409" spans="1:2" x14ac:dyDescent="0.25">
      <c r="A8409" s="64" t="str">
        <f>HYPERLINK("http://www.twitter.com/benjaminbenben", "benjaminbenben")</f>
        <v>benjaminbenben</v>
      </c>
      <c r="B8409" s="65" t="s">
        <v>12</v>
      </c>
    </row>
    <row r="8410" spans="1:2" x14ac:dyDescent="0.25">
      <c r="A8410" s="64" t="str">
        <f>HYPERLINK("http://www.twitter.com/RSLiterature", "RSLiterature")</f>
        <v>RSLiterature</v>
      </c>
      <c r="B8410" s="65" t="s">
        <v>110</v>
      </c>
    </row>
    <row r="8411" spans="1:2" x14ac:dyDescent="0.25">
      <c r="A8411" s="64" t="str">
        <f>HYPERLINK("http://www.twitter.com/denise_gow", "denise_gow")</f>
        <v>denise_gow</v>
      </c>
      <c r="B8411" s="65"/>
    </row>
    <row r="8412" spans="1:2" x14ac:dyDescent="0.25">
      <c r="A8412" s="64" t="str">
        <f>HYPERLINK("http://www.twitter.com/MontyOust", "MontyOust")</f>
        <v>MontyOust</v>
      </c>
      <c r="B8412" s="65" t="s">
        <v>6580</v>
      </c>
    </row>
    <row r="8413" spans="1:2" x14ac:dyDescent="0.25">
      <c r="A8413" s="64" t="str">
        <f>HYPERLINK("http://www.twitter.com/garyrobi", "garyrobi")</f>
        <v>garyrobi</v>
      </c>
      <c r="B8413" s="65" t="s">
        <v>4674</v>
      </c>
    </row>
    <row r="8414" spans="1:2" x14ac:dyDescent="0.25">
      <c r="A8414" s="64" t="str">
        <f>HYPERLINK("http://www.twitter.com/grootled", "grootled")</f>
        <v>grootled</v>
      </c>
      <c r="B8414" s="65" t="s">
        <v>2007</v>
      </c>
    </row>
    <row r="8415" spans="1:2" x14ac:dyDescent="0.25">
      <c r="A8415" s="64" t="str">
        <f>HYPERLINK("http://www.twitter.com/jane_bristow", "jane_bristow")</f>
        <v>jane_bristow</v>
      </c>
      <c r="B8415" s="65" t="s">
        <v>24</v>
      </c>
    </row>
    <row r="8416" spans="1:2" x14ac:dyDescent="0.25">
      <c r="A8416" s="64" t="str">
        <f>HYPERLINK("http://www.twitter.com/samjstewart2014", "samjstewart2014")</f>
        <v>samjstewart2014</v>
      </c>
      <c r="B8416" s="65" t="s">
        <v>6581</v>
      </c>
    </row>
    <row r="8417" spans="1:2" x14ac:dyDescent="0.25">
      <c r="A8417" s="64" t="str">
        <f>HYPERLINK("http://www.twitter.com/fiddleBrain", "fiddleBrain")</f>
        <v>fiddleBrain</v>
      </c>
      <c r="B8417" s="65" t="s">
        <v>24</v>
      </c>
    </row>
    <row r="8418" spans="1:2" x14ac:dyDescent="0.25">
      <c r="A8418" s="64" t="str">
        <f>HYPERLINK("http://www.twitter.com/georgievayani", "georgievayani")</f>
        <v>georgievayani</v>
      </c>
      <c r="B8418" s="65" t="s">
        <v>477</v>
      </c>
    </row>
    <row r="8419" spans="1:2" x14ac:dyDescent="0.25">
      <c r="A8419" s="64" t="str">
        <f>HYPERLINK("http://www.twitter.com/snowyzoe9", "snowyzoe9")</f>
        <v>snowyzoe9</v>
      </c>
      <c r="B8419" s="65" t="s">
        <v>477</v>
      </c>
    </row>
    <row r="8420" spans="1:2" x14ac:dyDescent="0.25">
      <c r="A8420" s="64" t="str">
        <f>HYPERLINK("http://www.twitter.com/ruthcollingwood", "ruthcollingwood")</f>
        <v>ruthcollingwood</v>
      </c>
      <c r="B8420" s="65" t="s">
        <v>6582</v>
      </c>
    </row>
    <row r="8421" spans="1:2" x14ac:dyDescent="0.25">
      <c r="A8421" s="64" t="str">
        <f>HYPERLINK("http://www.twitter.com/Mchaudhury1", "Mchaudhury1")</f>
        <v>Mchaudhury1</v>
      </c>
      <c r="B8421" s="65" t="s">
        <v>36</v>
      </c>
    </row>
    <row r="8422" spans="1:2" x14ac:dyDescent="0.25">
      <c r="A8422" s="64" t="str">
        <f>HYPERLINK("http://www.twitter.com/UniliberCom", "UniliberCom")</f>
        <v>UniliberCom</v>
      </c>
      <c r="B8422" s="65"/>
    </row>
    <row r="8423" spans="1:2" x14ac:dyDescent="0.25">
      <c r="A8423" s="64" t="str">
        <f>HYPERLINK("http://www.twitter.com/Six_Sisters", "Six_Sisters")</f>
        <v>Six_Sisters</v>
      </c>
      <c r="B8423" s="65" t="s">
        <v>222</v>
      </c>
    </row>
    <row r="8424" spans="1:2" x14ac:dyDescent="0.25">
      <c r="A8424" s="64" t="str">
        <f>HYPERLINK("http://www.twitter.com/ScottishField", "ScottishField")</f>
        <v>ScottishField</v>
      </c>
      <c r="B8424" s="65" t="s">
        <v>487</v>
      </c>
    </row>
    <row r="8425" spans="1:2" x14ac:dyDescent="0.25">
      <c r="A8425" s="64" t="str">
        <f>HYPERLINK("http://www.twitter.com/PrintScot", "PrintScot")</f>
        <v>PrintScot</v>
      </c>
      <c r="B8425" s="65" t="s">
        <v>487</v>
      </c>
    </row>
    <row r="8426" spans="1:2" x14ac:dyDescent="0.25">
      <c r="A8426" s="64" t="str">
        <f>HYPERLINK("http://www.twitter.com/LoriBarton17", "LoriBarton17")</f>
        <v>LoriBarton17</v>
      </c>
      <c r="B8426" s="65" t="s">
        <v>6583</v>
      </c>
    </row>
    <row r="8427" spans="1:2" x14ac:dyDescent="0.25">
      <c r="A8427" s="64" t="str">
        <f>HYPERLINK("http://www.twitter.com/MimiStockton", "MimiStockton")</f>
        <v>MimiStockton</v>
      </c>
      <c r="B8427" s="65" t="s">
        <v>5110</v>
      </c>
    </row>
    <row r="8428" spans="1:2" x14ac:dyDescent="0.25">
      <c r="A8428" s="64" t="str">
        <f>HYPERLINK("http://www.twitter.com/alballany", "alballany")</f>
        <v>alballany</v>
      </c>
      <c r="B8428" s="65" t="s">
        <v>318</v>
      </c>
    </row>
    <row r="8429" spans="1:2" x14ac:dyDescent="0.25">
      <c r="A8429" s="64" t="str">
        <f>HYPERLINK("http://www.twitter.com/LisaJoannn", "LisaJoannn")</f>
        <v>LisaJoannn</v>
      </c>
      <c r="B8429" s="65" t="s">
        <v>4530</v>
      </c>
    </row>
    <row r="8430" spans="1:2" x14ac:dyDescent="0.25">
      <c r="A8430" s="64" t="str">
        <f>HYPERLINK("http://www.twitter.com/lewis_kennan", "lewis_kennan")</f>
        <v>lewis_kennan</v>
      </c>
      <c r="B8430" s="65"/>
    </row>
    <row r="8431" spans="1:2" x14ac:dyDescent="0.25">
      <c r="A8431" s="64" t="str">
        <f>HYPERLINK("http://www.twitter.com/RMR_Books", "RMR_Books")</f>
        <v>RMR_Books</v>
      </c>
      <c r="B8431" s="65" t="s">
        <v>5810</v>
      </c>
    </row>
    <row r="8432" spans="1:2" x14ac:dyDescent="0.25">
      <c r="A8432" s="64" t="str">
        <f>HYPERLINK("http://www.twitter.com/LordMakeItPlain", "LordMakeItPlain")</f>
        <v>LordMakeItPlain</v>
      </c>
      <c r="B8432" s="65" t="s">
        <v>3871</v>
      </c>
    </row>
    <row r="8433" spans="1:2" x14ac:dyDescent="0.25">
      <c r="A8433" s="64" t="str">
        <f>HYPERLINK("http://www.twitter.com/helloiamskylar", "helloiamskylar")</f>
        <v>helloiamskylar</v>
      </c>
      <c r="B8433" s="65" t="s">
        <v>110</v>
      </c>
    </row>
    <row r="8434" spans="1:2" x14ac:dyDescent="0.25">
      <c r="A8434" s="64" t="str">
        <f>HYPERLINK("http://www.twitter.com/ElissaElwick", "ElissaElwick")</f>
        <v>ElissaElwick</v>
      </c>
      <c r="B8434" s="65" t="s">
        <v>36</v>
      </c>
    </row>
    <row r="8435" spans="1:2" x14ac:dyDescent="0.25">
      <c r="A8435" s="64" t="str">
        <f>HYPERLINK("http://www.twitter.com/lucyduck1978", "lucyduck1978")</f>
        <v>lucyduck1978</v>
      </c>
      <c r="B8435" s="65" t="s">
        <v>6584</v>
      </c>
    </row>
    <row r="8436" spans="1:2" x14ac:dyDescent="0.25">
      <c r="A8436" s="64" t="str">
        <f>HYPERLINK("http://www.twitter.com/DonaldFCrichton", "DonaldFCrichton")</f>
        <v>DonaldFCrichton</v>
      </c>
      <c r="B8436" s="65" t="s">
        <v>6585</v>
      </c>
    </row>
    <row r="8437" spans="1:2" x14ac:dyDescent="0.25">
      <c r="A8437" s="64" t="str">
        <f>HYPERLINK("http://www.twitter.com/jasonsinghthing", "jasonsinghthing")</f>
        <v>jasonsinghthing</v>
      </c>
      <c r="B8437" s="65"/>
    </row>
    <row r="8438" spans="1:2" x14ac:dyDescent="0.25">
      <c r="A8438" s="64" t="str">
        <f>HYPERLINK("http://www.twitter.com/the_ansell", "the_ansell")</f>
        <v>the_ansell</v>
      </c>
      <c r="B8438" s="65" t="s">
        <v>6586</v>
      </c>
    </row>
    <row r="8439" spans="1:2" x14ac:dyDescent="0.25">
      <c r="A8439" s="64" t="str">
        <f>HYPERLINK("http://www.twitter.com/sforbes31", "sforbes31")</f>
        <v>sforbes31</v>
      </c>
      <c r="B8439" s="65" t="s">
        <v>6587</v>
      </c>
    </row>
    <row r="8440" spans="1:2" x14ac:dyDescent="0.25">
      <c r="A8440" s="64" t="str">
        <f>HYPERLINK("http://www.twitter.com/iy_arteaga", "iy_arteaga")</f>
        <v>iy_arteaga</v>
      </c>
      <c r="B8440" s="65" t="s">
        <v>5717</v>
      </c>
    </row>
    <row r="8441" spans="1:2" x14ac:dyDescent="0.25">
      <c r="A8441" s="64" t="str">
        <f>HYPERLINK("http://www.twitter.com/Staffourlibrary", "Staffourlibrary")</f>
        <v>Staffourlibrary</v>
      </c>
      <c r="B8441" s="65"/>
    </row>
    <row r="8442" spans="1:2" x14ac:dyDescent="0.25">
      <c r="A8442" s="64" t="str">
        <f>HYPERLINK("http://www.twitter.com/Enfieldheights", "Enfieldheights")</f>
        <v>Enfieldheights</v>
      </c>
      <c r="B8442" s="65" t="s">
        <v>6588</v>
      </c>
    </row>
    <row r="8443" spans="1:2" x14ac:dyDescent="0.25">
      <c r="A8443" s="64" t="str">
        <f>HYPERLINK("http://www.twitter.com/Heronhallchat", "Heronhallchat")</f>
        <v>Heronhallchat</v>
      </c>
      <c r="B8443" s="65" t="s">
        <v>6589</v>
      </c>
    </row>
    <row r="8444" spans="1:2" x14ac:dyDescent="0.25">
      <c r="A8444" s="64" t="str">
        <f>HYPERLINK("http://www.twitter.com/MacaulayLucy", "MacaulayLucy")</f>
        <v>MacaulayLucy</v>
      </c>
      <c r="B8444" s="65"/>
    </row>
    <row r="8445" spans="1:2" x14ac:dyDescent="0.25">
      <c r="A8445" s="64" t="str">
        <f>HYPERLINK("http://www.twitter.com/FRuss247", "FRuss247")</f>
        <v>FRuss247</v>
      </c>
      <c r="B8445" s="65" t="s">
        <v>569</v>
      </c>
    </row>
    <row r="8446" spans="1:2" x14ac:dyDescent="0.25">
      <c r="A8446" s="64" t="str">
        <f>HYPERLINK("http://www.twitter.com/anthonyabdool", "anthonyabdool")</f>
        <v>anthonyabdool</v>
      </c>
      <c r="B8446" s="65" t="s">
        <v>36</v>
      </c>
    </row>
    <row r="8447" spans="1:2" x14ac:dyDescent="0.25">
      <c r="A8447" s="64" t="str">
        <f>HYPERLINK("http://www.twitter.com/3rd_Realm_Left", "3rd_Realm_Left")</f>
        <v>3rd_Realm_Left</v>
      </c>
      <c r="B8447" s="65" t="s">
        <v>6590</v>
      </c>
    </row>
    <row r="8448" spans="1:2" x14ac:dyDescent="0.25">
      <c r="A8448" s="64" t="str">
        <f>HYPERLINK("http://www.twitter.com/jammybee100", "jammybee100")</f>
        <v>jammybee100</v>
      </c>
      <c r="B8448" s="65" t="s">
        <v>6591</v>
      </c>
    </row>
    <row r="8449" spans="1:2" x14ac:dyDescent="0.25">
      <c r="A8449" s="64" t="str">
        <f>HYPERLINK("http://www.twitter.com/McKGibb", "McKGibb")</f>
        <v>McKGibb</v>
      </c>
      <c r="B8449" s="65" t="s">
        <v>517</v>
      </c>
    </row>
    <row r="8450" spans="1:2" x14ac:dyDescent="0.25">
      <c r="A8450" s="64" t="str">
        <f>HYPERLINK("http://www.twitter.com/TMichelleNelson", "TMichelleNelson")</f>
        <v>TMichelleNelson</v>
      </c>
      <c r="B8450" s="65" t="s">
        <v>6592</v>
      </c>
    </row>
    <row r="8451" spans="1:2" x14ac:dyDescent="0.25">
      <c r="A8451" s="64" t="str">
        <f>HYPERLINK("http://www.twitter.com/bellamarmy", "bellamarmy")</f>
        <v>bellamarmy</v>
      </c>
      <c r="B8451" s="65"/>
    </row>
    <row r="8452" spans="1:2" x14ac:dyDescent="0.25">
      <c r="A8452" s="64" t="str">
        <f>HYPERLINK("http://www.twitter.com/Patrici03341796", "Patrici03341796")</f>
        <v>Patrici03341796</v>
      </c>
      <c r="B8452" s="65"/>
    </row>
    <row r="8453" spans="1:2" x14ac:dyDescent="0.25">
      <c r="A8453" s="64" t="str">
        <f>HYPERLINK("http://www.twitter.com/a24avr", "a24avr")</f>
        <v>a24avr</v>
      </c>
      <c r="B8453" s="65" t="s">
        <v>6593</v>
      </c>
    </row>
    <row r="8454" spans="1:2" x14ac:dyDescent="0.25">
      <c r="A8454" s="64" t="str">
        <f>HYPERLINK("http://www.twitter.com/andyflett7", "andyflett7")</f>
        <v>andyflett7</v>
      </c>
      <c r="B8454" s="65"/>
    </row>
    <row r="8455" spans="1:2" x14ac:dyDescent="0.25">
      <c r="A8455" s="64" t="str">
        <f>HYPERLINK("http://www.twitter.com/KingfisherHall", "KingfisherHall")</f>
        <v>KingfisherHall</v>
      </c>
      <c r="B8455" s="65" t="s">
        <v>6594</v>
      </c>
    </row>
    <row r="8456" spans="1:2" x14ac:dyDescent="0.25">
      <c r="A8456" s="64" t="str">
        <f>HYPERLINK("http://www.twitter.com/ScherLitNet", "ScherLitNet")</f>
        <v>ScherLitNet</v>
      </c>
      <c r="B8456" s="65" t="s">
        <v>6595</v>
      </c>
    </row>
    <row r="8457" spans="1:2" x14ac:dyDescent="0.25">
      <c r="A8457" s="64" t="str">
        <f>HYPERLINK("http://www.twitter.com/Laupower9", "Laupower9")</f>
        <v>Laupower9</v>
      </c>
      <c r="B8457" s="65" t="s">
        <v>6596</v>
      </c>
    </row>
    <row r="8458" spans="1:2" x14ac:dyDescent="0.25">
      <c r="A8458" s="64" t="str">
        <f>HYPERLINK("http://www.twitter.com/OrkYouthForum", "OrkYouthForum")</f>
        <v>OrkYouthForum</v>
      </c>
      <c r="B8458" s="65" t="s">
        <v>5412</v>
      </c>
    </row>
    <row r="8459" spans="1:2" x14ac:dyDescent="0.25">
      <c r="A8459" s="64" t="str">
        <f>HYPERLINK("http://www.twitter.com/RheumerHasIt", "RheumerHasIt")</f>
        <v>RheumerHasIt</v>
      </c>
      <c r="B8459" s="65" t="s">
        <v>6597</v>
      </c>
    </row>
    <row r="8460" spans="1:2" x14ac:dyDescent="0.25">
      <c r="A8460" s="64" t="str">
        <f>HYPERLINK("http://www.twitter.com/twolvesread", "twolvesread")</f>
        <v>twolvesread</v>
      </c>
      <c r="B8460" s="65" t="s">
        <v>6598</v>
      </c>
    </row>
    <row r="8461" spans="1:2" x14ac:dyDescent="0.25">
      <c r="A8461" s="64" t="str">
        <f>HYPERLINK("http://www.twitter.com/euan_29", "euan_29")</f>
        <v>euan_29</v>
      </c>
      <c r="B8461" s="65" t="s">
        <v>487</v>
      </c>
    </row>
    <row r="8462" spans="1:2" x14ac:dyDescent="0.25">
      <c r="A8462" s="64" t="str">
        <f>HYPERLINK("http://www.twitter.com/nicholsonclasby", "nicholsonclasby")</f>
        <v>nicholsonclasby</v>
      </c>
      <c r="B8462" s="65" t="s">
        <v>36</v>
      </c>
    </row>
    <row r="8463" spans="1:2" x14ac:dyDescent="0.25">
      <c r="A8463" s="64" t="str">
        <f>HYPERLINK("http://www.twitter.com/sam_a1988", "sam_a1988")</f>
        <v>sam_a1988</v>
      </c>
      <c r="B8463" s="65" t="s">
        <v>487</v>
      </c>
    </row>
    <row r="8464" spans="1:2" x14ac:dyDescent="0.25">
      <c r="A8464" s="64" t="str">
        <f>HYPERLINK("http://www.twitter.com/itstotallyobvi", "itstotallyobvi")</f>
        <v>itstotallyobvi</v>
      </c>
      <c r="B8464" s="65" t="s">
        <v>4111</v>
      </c>
    </row>
    <row r="8465" spans="1:2" x14ac:dyDescent="0.25">
      <c r="A8465" s="64" t="str">
        <f>HYPERLINK("http://www.twitter.com/BriwnAlison", "BriwnAlison")</f>
        <v>BriwnAlison</v>
      </c>
      <c r="B8465" s="65"/>
    </row>
    <row r="8466" spans="1:2" x14ac:dyDescent="0.25">
      <c r="A8466" s="64" t="str">
        <f>HYPERLINK("http://www.twitter.com/somerogers", "somerogers")</f>
        <v>somerogers</v>
      </c>
      <c r="B8466" s="65" t="s">
        <v>3656</v>
      </c>
    </row>
    <row r="8467" spans="1:2" x14ac:dyDescent="0.25">
      <c r="A8467" s="64" t="str">
        <f>HYPERLINK("http://www.twitter.com/Alanwdawson", "Alanwdawson")</f>
        <v>Alanwdawson</v>
      </c>
      <c r="B8467" s="65" t="s">
        <v>6599</v>
      </c>
    </row>
    <row r="8468" spans="1:2" x14ac:dyDescent="0.25">
      <c r="A8468" s="64" t="str">
        <f>HYPERLINK("http://www.twitter.com/Cuckooacademy", "Cuckooacademy")</f>
        <v>Cuckooacademy</v>
      </c>
      <c r="B8468" s="65" t="s">
        <v>6600</v>
      </c>
    </row>
    <row r="8469" spans="1:2" x14ac:dyDescent="0.25">
      <c r="A8469" s="64" t="str">
        <f>HYPERLINK("http://www.twitter.com/qmulbioethics", "qmulbioethics")</f>
        <v>qmulbioethics</v>
      </c>
      <c r="B8469" s="65" t="s">
        <v>36</v>
      </c>
    </row>
    <row r="8470" spans="1:2" x14ac:dyDescent="0.25">
      <c r="A8470" s="64" t="str">
        <f>HYPERLINK("http://www.twitter.com/SueShill56", "SueShill56")</f>
        <v>SueShill56</v>
      </c>
      <c r="B8470" s="65" t="s">
        <v>5267</v>
      </c>
    </row>
    <row r="8471" spans="1:2" x14ac:dyDescent="0.25">
      <c r="A8471" s="64" t="str">
        <f>HYPERLINK("http://www.twitter.com/hejtan", "hejtan")</f>
        <v>hejtan</v>
      </c>
      <c r="B8471" s="65" t="s">
        <v>138</v>
      </c>
    </row>
    <row r="8472" spans="1:2" x14ac:dyDescent="0.25">
      <c r="A8472" s="64" t="str">
        <f>HYPERLINK("http://www.twitter.com/libadventures", "libadventures")</f>
        <v>libadventures</v>
      </c>
      <c r="B8472" s="65"/>
    </row>
    <row r="8473" spans="1:2" x14ac:dyDescent="0.25">
      <c r="A8473" s="64" t="str">
        <f>HYPERLINK("http://www.twitter.com/mectec_inc", "mectec_inc")</f>
        <v>mectec_inc</v>
      </c>
      <c r="B8473" s="65"/>
    </row>
    <row r="8474" spans="1:2" x14ac:dyDescent="0.25">
      <c r="A8474" s="64" t="str">
        <f>HYPERLINK("http://www.twitter.com/centenarylib", "centenarylib")</f>
        <v>centenarylib</v>
      </c>
      <c r="B8474" s="65" t="s">
        <v>3569</v>
      </c>
    </row>
    <row r="8475" spans="1:2" x14ac:dyDescent="0.25">
      <c r="A8475" s="64" t="str">
        <f>HYPERLINK("http://www.twitter.com/CoolestClaire", "CoolestClaire")</f>
        <v>CoolestClaire</v>
      </c>
      <c r="B8475" s="65" t="s">
        <v>1537</v>
      </c>
    </row>
    <row r="8476" spans="1:2" x14ac:dyDescent="0.25">
      <c r="A8476" s="64" t="str">
        <f>HYPERLINK("http://www.twitter.com/TameraWissinger", "TameraWissinger")</f>
        <v>TameraWissinger</v>
      </c>
      <c r="B8476" s="65"/>
    </row>
    <row r="8477" spans="1:2" x14ac:dyDescent="0.25">
      <c r="A8477" s="64" t="str">
        <f>HYPERLINK("http://www.twitter.com/viralpoet", "viralpoet")</f>
        <v>viralpoet</v>
      </c>
      <c r="B8477" s="65" t="s">
        <v>4436</v>
      </c>
    </row>
    <row r="8478" spans="1:2" x14ac:dyDescent="0.25">
      <c r="A8478" s="64" t="str">
        <f>HYPERLINK("http://www.twitter.com/IngvildPaulsen1", "IngvildPaulsen1")</f>
        <v>IngvildPaulsen1</v>
      </c>
      <c r="B8478" s="65" t="s">
        <v>74</v>
      </c>
    </row>
    <row r="8479" spans="1:2" x14ac:dyDescent="0.25">
      <c r="A8479" s="64" t="str">
        <f>HYPERLINK("http://www.twitter.com/lizhgray", "lizhgray")</f>
        <v>lizhgray</v>
      </c>
      <c r="B8479" s="65"/>
    </row>
    <row r="8480" spans="1:2" x14ac:dyDescent="0.25">
      <c r="A8480" s="64" t="str">
        <f>HYPERLINK("http://www.twitter.com/chersuterus", "chersuterus")</f>
        <v>chersuterus</v>
      </c>
      <c r="B8480" s="65" t="s">
        <v>6601</v>
      </c>
    </row>
    <row r="8481" spans="1:2" x14ac:dyDescent="0.25">
      <c r="A8481" s="64" t="str">
        <f>HYPERLINK("http://www.twitter.com/RobertsonMA", "RobertsonMA")</f>
        <v>RobertsonMA</v>
      </c>
      <c r="B8481" s="65"/>
    </row>
    <row r="8482" spans="1:2" x14ac:dyDescent="0.25">
      <c r="A8482" s="64" t="str">
        <f>HYPERLINK("http://www.twitter.com/buildingsnfood", "buildingsnfood")</f>
        <v>buildingsnfood</v>
      </c>
      <c r="B8482" s="65" t="s">
        <v>6602</v>
      </c>
    </row>
    <row r="8483" spans="1:2" x14ac:dyDescent="0.25">
      <c r="A8483" s="64" t="str">
        <f>HYPERLINK("http://www.twitter.com/charlottemo", "charlottemo")</f>
        <v>charlottemo</v>
      </c>
      <c r="B8483" s="65"/>
    </row>
    <row r="8484" spans="1:2" x14ac:dyDescent="0.25">
      <c r="A8484" s="64" t="str">
        <f>HYPERLINK("http://www.twitter.com/alanmccredie", "alanmccredie")</f>
        <v>alanmccredie</v>
      </c>
      <c r="B8484" s="65" t="s">
        <v>6603</v>
      </c>
    </row>
    <row r="8485" spans="1:2" x14ac:dyDescent="0.25">
      <c r="A8485" s="64" t="str">
        <f>HYPERLINK("http://www.twitter.com/katherinecrime", "katherinecrime")</f>
        <v>katherinecrime</v>
      </c>
      <c r="B8485" s="65" t="s">
        <v>36</v>
      </c>
    </row>
    <row r="8486" spans="1:2" x14ac:dyDescent="0.25">
      <c r="A8486" s="64" t="str">
        <f>HYPERLINK("http://www.twitter.com/Essential2Write", "Essential2Write")</f>
        <v>Essential2Write</v>
      </c>
      <c r="B8486" s="65" t="s">
        <v>24</v>
      </c>
    </row>
    <row r="8487" spans="1:2" x14ac:dyDescent="0.25">
      <c r="A8487" s="64" t="str">
        <f>HYPERLINK("http://www.twitter.com/emtaylor_3", "emtaylor_3")</f>
        <v>emtaylor_3</v>
      </c>
      <c r="B8487" s="65" t="s">
        <v>6604</v>
      </c>
    </row>
    <row r="8488" spans="1:2" x14ac:dyDescent="0.25">
      <c r="A8488" s="64" t="str">
        <f>HYPERLINK("http://www.twitter.com/bigsooty57", "bigsooty57")</f>
        <v>bigsooty57</v>
      </c>
      <c r="B8488" s="65" t="s">
        <v>6605</v>
      </c>
    </row>
    <row r="8489" spans="1:2" x14ac:dyDescent="0.25">
      <c r="A8489" s="64" t="str">
        <f>HYPERLINK("http://www.twitter.com/fictionpubteam", "fictionpubteam")</f>
        <v>fictionpubteam</v>
      </c>
      <c r="B8489" s="65" t="s">
        <v>110</v>
      </c>
    </row>
    <row r="8490" spans="1:2" x14ac:dyDescent="0.25">
      <c r="A8490" s="64" t="str">
        <f>HYPERLINK("http://www.twitter.com/lisuncg", "lisuncg")</f>
        <v>lisuncg</v>
      </c>
      <c r="B8490" s="65" t="s">
        <v>5429</v>
      </c>
    </row>
    <row r="8491" spans="1:2" x14ac:dyDescent="0.25">
      <c r="A8491" s="64" t="str">
        <f>HYPERLINK("http://www.twitter.com/fakhre_alam_", "fakhre_alam_")</f>
        <v>fakhre_alam_</v>
      </c>
      <c r="B8491" s="65" t="s">
        <v>4720</v>
      </c>
    </row>
    <row r="8492" spans="1:2" x14ac:dyDescent="0.25">
      <c r="A8492" s="64" t="str">
        <f>HYPERLINK("http://www.twitter.com/thatthereholly", "thatthereholly")</f>
        <v>thatthereholly</v>
      </c>
      <c r="B8492" s="65" t="s">
        <v>296</v>
      </c>
    </row>
    <row r="8493" spans="1:2" x14ac:dyDescent="0.25">
      <c r="A8493" s="64" t="str">
        <f>HYPERLINK("http://www.twitter.com/WritersatRandom", "WritersatRandom")</f>
        <v>WritersatRandom</v>
      </c>
      <c r="B8493" s="65"/>
    </row>
    <row r="8494" spans="1:2" x14ac:dyDescent="0.25">
      <c r="A8494" s="64" t="str">
        <f>HYPERLINK("http://www.twitter.com/bullieob", "bullieob")</f>
        <v>bullieob</v>
      </c>
      <c r="B8494" s="65" t="s">
        <v>138</v>
      </c>
    </row>
    <row r="8495" spans="1:2" x14ac:dyDescent="0.25">
      <c r="A8495" s="64" t="str">
        <f>HYPERLINK("http://www.twitter.com/lilyyulianti", "lilyyulianti")</f>
        <v>lilyyulianti</v>
      </c>
      <c r="B8495" s="65" t="s">
        <v>6606</v>
      </c>
    </row>
    <row r="8496" spans="1:2" x14ac:dyDescent="0.25">
      <c r="A8496" s="64" t="str">
        <f>HYPERLINK("http://www.twitter.com/fcmalby", "fcmalby")</f>
        <v>fcmalby</v>
      </c>
      <c r="B8496" s="65"/>
    </row>
    <row r="8497" spans="1:2" x14ac:dyDescent="0.25">
      <c r="A8497" s="64" t="str">
        <f>HYPERLINK("http://www.twitter.com/MedievalBex", "MedievalBex")</f>
        <v>MedievalBex</v>
      </c>
      <c r="B8497" s="65" t="s">
        <v>6607</v>
      </c>
    </row>
    <row r="8498" spans="1:2" x14ac:dyDescent="0.25">
      <c r="A8498" s="64" t="str">
        <f>HYPERLINK("http://www.twitter.com/lizamulholland1", "lizamulholland1")</f>
        <v>lizamulholland1</v>
      </c>
      <c r="B8498" s="65" t="s">
        <v>4050</v>
      </c>
    </row>
    <row r="8499" spans="1:2" x14ac:dyDescent="0.25">
      <c r="A8499" s="64" t="str">
        <f>HYPERLINK("http://www.twitter.com/AuthorsYurt", "AuthorsYurt")</f>
        <v>AuthorsYurt</v>
      </c>
      <c r="B8499" s="65" t="s">
        <v>487</v>
      </c>
    </row>
    <row r="8500" spans="1:2" x14ac:dyDescent="0.25">
      <c r="A8500" s="64" t="str">
        <f>HYPERLINK("http://www.twitter.com/SeanMElliott", "SeanMElliott")</f>
        <v>SeanMElliott</v>
      </c>
      <c r="B8500" s="65" t="s">
        <v>6608</v>
      </c>
    </row>
    <row r="8501" spans="1:2" x14ac:dyDescent="0.25">
      <c r="A8501" s="64" t="str">
        <f>HYPERLINK("http://www.twitter.com/lissertations", "lissertations")</f>
        <v>lissertations</v>
      </c>
      <c r="B8501" s="65" t="s">
        <v>6609</v>
      </c>
    </row>
    <row r="8502" spans="1:2" x14ac:dyDescent="0.25">
      <c r="A8502" s="64" t="str">
        <f>HYPERLINK("http://www.twitter.com/Hazelwrites", "Hazelwrites")</f>
        <v>Hazelwrites</v>
      </c>
      <c r="B8502" s="65"/>
    </row>
    <row r="8503" spans="1:2" x14ac:dyDescent="0.25">
      <c r="A8503" s="64" t="str">
        <f>HYPERLINK("http://www.twitter.com/martinjstewart", "martinjstewart")</f>
        <v>martinjstewart</v>
      </c>
      <c r="B8503" s="65" t="s">
        <v>517</v>
      </c>
    </row>
    <row r="8504" spans="1:2" x14ac:dyDescent="0.25">
      <c r="A8504" s="64" t="str">
        <f>HYPERLINK("http://www.twitter.com/srilankanflora", "srilankanflora")</f>
        <v>srilankanflora</v>
      </c>
      <c r="B8504" s="65" t="s">
        <v>4900</v>
      </c>
    </row>
    <row r="8505" spans="1:2" x14ac:dyDescent="0.25">
      <c r="A8505" s="64" t="str">
        <f>HYPERLINK("http://www.twitter.com/CHATacademies", "CHATacademies")</f>
        <v>CHATacademies</v>
      </c>
      <c r="B8505" s="65" t="s">
        <v>6600</v>
      </c>
    </row>
    <row r="8506" spans="1:2" x14ac:dyDescent="0.25">
      <c r="A8506" s="64" t="str">
        <f>HYPERLINK("http://www.twitter.com/Neuronsandcake", "Neuronsandcake")</f>
        <v>Neuronsandcake</v>
      </c>
      <c r="B8506" s="65" t="s">
        <v>6610</v>
      </c>
    </row>
    <row r="8507" spans="1:2" x14ac:dyDescent="0.25">
      <c r="A8507" s="64" t="str">
        <f>HYPERLINK("http://www.twitter.com/Katie_Watkins13", "Katie_Watkins13")</f>
        <v>Katie_Watkins13</v>
      </c>
      <c r="B8507" s="65" t="s">
        <v>6611</v>
      </c>
    </row>
    <row r="8508" spans="1:2" x14ac:dyDescent="0.25">
      <c r="A8508" s="64" t="str">
        <f>HYPERLINK("http://www.twitter.com/SophiaJai", "SophiaJai")</f>
        <v>SophiaJai</v>
      </c>
      <c r="B8508" s="65" t="s">
        <v>3778</v>
      </c>
    </row>
    <row r="8509" spans="1:2" x14ac:dyDescent="0.25">
      <c r="A8509" s="64" t="str">
        <f>HYPERLINK("http://www.twitter.com/richove", "richove")</f>
        <v>richove</v>
      </c>
      <c r="B8509" s="65" t="s">
        <v>505</v>
      </c>
    </row>
    <row r="8510" spans="1:2" x14ac:dyDescent="0.25">
      <c r="A8510" s="64" t="str">
        <f>HYPERLINK("http://www.twitter.com/apazzie", "apazzie")</f>
        <v>apazzie</v>
      </c>
      <c r="B8510" s="65" t="s">
        <v>3775</v>
      </c>
    </row>
    <row r="8511" spans="1:2" x14ac:dyDescent="0.25">
      <c r="A8511" s="64" t="str">
        <f>HYPERLINK("http://www.twitter.com/anelegantchaos", "anelegantchaos")</f>
        <v>anelegantchaos</v>
      </c>
      <c r="B8511" s="65" t="s">
        <v>6612</v>
      </c>
    </row>
    <row r="8512" spans="1:2" x14ac:dyDescent="0.25">
      <c r="A8512" s="64" t="str">
        <f>HYPERLINK("http://www.twitter.com/susanmacdiver", "susanmacdiver")</f>
        <v>susanmacdiver</v>
      </c>
      <c r="B8512" s="65" t="s">
        <v>6613</v>
      </c>
    </row>
    <row r="8513" spans="1:2" x14ac:dyDescent="0.25">
      <c r="A8513" s="64" t="str">
        <f>HYPERLINK("http://www.twitter.com/JennyHewson", "JennyHewson")</f>
        <v>JennyHewson</v>
      </c>
      <c r="B8513" s="65"/>
    </row>
    <row r="8514" spans="1:2" x14ac:dyDescent="0.25">
      <c r="A8514" s="64" t="str">
        <f>HYPERLINK("http://www.twitter.com/KempThorfinn", "KempThorfinn")</f>
        <v>KempThorfinn</v>
      </c>
      <c r="B8514" s="65" t="s">
        <v>3762</v>
      </c>
    </row>
    <row r="8515" spans="1:2" x14ac:dyDescent="0.25">
      <c r="A8515" s="64" t="str">
        <f>HYPERLINK("http://www.twitter.com/CARLIGULAT", "CARLIGULAT")</f>
        <v>CARLIGULAT</v>
      </c>
      <c r="B8515" s="65"/>
    </row>
    <row r="8516" spans="1:2" x14ac:dyDescent="0.25">
      <c r="A8516" s="64" t="str">
        <f>HYPERLINK("http://www.twitter.com/TeeVee74to84", "TeeVee74to84")</f>
        <v>TeeVee74to84</v>
      </c>
      <c r="B8516" s="65" t="s">
        <v>6614</v>
      </c>
    </row>
    <row r="8517" spans="1:2" x14ac:dyDescent="0.25">
      <c r="A8517" s="64" t="str">
        <f>HYPERLINK("http://www.twitter.com/Europarl_GA", "Europarl_GA")</f>
        <v>Europarl_GA</v>
      </c>
      <c r="B8517" s="65" t="s">
        <v>6615</v>
      </c>
    </row>
    <row r="8518" spans="1:2" x14ac:dyDescent="0.25">
      <c r="A8518" s="64" t="str">
        <f>HYPERLINK("http://www.twitter.com/Woodpeckerchat", "Woodpeckerchat")</f>
        <v>Woodpeckerchat</v>
      </c>
      <c r="B8518" s="65" t="s">
        <v>6600</v>
      </c>
    </row>
    <row r="8519" spans="1:2" x14ac:dyDescent="0.25">
      <c r="A8519" s="64" t="str">
        <f>HYPERLINK("http://www.twitter.com/Portrait_pic", "Portrait_pic")</f>
        <v>Portrait_pic</v>
      </c>
      <c r="B8519" s="65" t="s">
        <v>3797</v>
      </c>
    </row>
    <row r="8520" spans="1:2" x14ac:dyDescent="0.25">
      <c r="A8520" s="64" t="str">
        <f>HYPERLINK("http://www.twitter.com/WalzenMedia", "WalzenMedia")</f>
        <v>WalzenMedia</v>
      </c>
      <c r="B8520" s="65" t="s">
        <v>6616</v>
      </c>
    </row>
    <row r="8521" spans="1:2" x14ac:dyDescent="0.25">
      <c r="A8521" s="64" t="str">
        <f>HYPERLINK("http://www.twitter.com/danahaff", "danahaff")</f>
        <v>danahaff</v>
      </c>
      <c r="B8521" s="65" t="s">
        <v>6617</v>
      </c>
    </row>
    <row r="8522" spans="1:2" x14ac:dyDescent="0.25">
      <c r="A8522" s="64" t="str">
        <f>HYPERLINK("http://www.twitter.com/harrietriley", "harrietriley")</f>
        <v>harrietriley</v>
      </c>
      <c r="B8522" s="65" t="s">
        <v>4001</v>
      </c>
    </row>
    <row r="8523" spans="1:2" x14ac:dyDescent="0.25">
      <c r="A8523" s="64" t="str">
        <f>HYPERLINK("http://www.twitter.com/AndaYngve", "AndaYngve")</f>
        <v>AndaYngve</v>
      </c>
      <c r="B8523" s="65" t="s">
        <v>6618</v>
      </c>
    </row>
    <row r="8524" spans="1:2" x14ac:dyDescent="0.25">
      <c r="A8524" s="64" t="str">
        <f>HYPERLINK("http://www.twitter.com/scs02", "scs02")</f>
        <v>scs02</v>
      </c>
      <c r="B8524" s="65" t="s">
        <v>6619</v>
      </c>
    </row>
    <row r="8525" spans="1:2" x14ac:dyDescent="0.25">
      <c r="A8525" s="64" t="str">
        <f>HYPERLINK("http://www.twitter.com/david_gourlay", "david_gourlay")</f>
        <v>david_gourlay</v>
      </c>
      <c r="B8525" s="65" t="s">
        <v>6620</v>
      </c>
    </row>
    <row r="8526" spans="1:2" x14ac:dyDescent="0.25">
      <c r="A8526" s="64" t="str">
        <f>HYPERLINK("http://www.twitter.com/TMPMASON", "TMPMASON")</f>
        <v>TMPMASON</v>
      </c>
      <c r="B8526" s="65"/>
    </row>
    <row r="8527" spans="1:2" x14ac:dyDescent="0.25">
      <c r="A8527" s="64" t="str">
        <f>HYPERLINK("http://www.twitter.com/Caroline8973", "Caroline8973")</f>
        <v>Caroline8973</v>
      </c>
      <c r="B8527" s="65"/>
    </row>
    <row r="8528" spans="1:2" x14ac:dyDescent="0.25">
      <c r="A8528" s="64" t="str">
        <f>HYPERLINK("http://www.twitter.com/elshobaki1964", "elshobaki1964")</f>
        <v>elshobaki1964</v>
      </c>
      <c r="B8528" s="65"/>
    </row>
    <row r="8529" spans="1:2" x14ac:dyDescent="0.25">
      <c r="A8529" s="64" t="str">
        <f>HYPERLINK("http://www.twitter.com/IAADundee", "IAADundee")</f>
        <v>IAADundee</v>
      </c>
      <c r="B8529" s="65" t="s">
        <v>232</v>
      </c>
    </row>
    <row r="8530" spans="1:2" x14ac:dyDescent="0.25">
      <c r="A8530" s="64" t="str">
        <f>HYPERLINK("http://www.twitter.com/a_marshall08", "a_marshall08")</f>
        <v>a_marshall08</v>
      </c>
      <c r="B8530" s="65" t="s">
        <v>2107</v>
      </c>
    </row>
    <row r="8531" spans="1:2" x14ac:dyDescent="0.25">
      <c r="A8531" s="64" t="str">
        <f>HYPERLINK("http://www.twitter.com/QUILTERPRENEUR", "QUILTERPRENEUR")</f>
        <v>QUILTERPRENEUR</v>
      </c>
      <c r="B8531" s="65" t="s">
        <v>6621</v>
      </c>
    </row>
    <row r="8532" spans="1:2" x14ac:dyDescent="0.25">
      <c r="A8532" s="64" t="str">
        <f>HYPERLINK("http://www.twitter.com/The_Rumplings", "The_Rumplings")</f>
        <v>The_Rumplings</v>
      </c>
      <c r="B8532" s="65" t="s">
        <v>6622</v>
      </c>
    </row>
    <row r="8533" spans="1:2" x14ac:dyDescent="0.25">
      <c r="A8533" s="64" t="str">
        <f>HYPERLINK("http://www.twitter.com/CGarbat", "CGarbat")</f>
        <v>CGarbat</v>
      </c>
      <c r="B8533" s="65"/>
    </row>
    <row r="8534" spans="1:2" x14ac:dyDescent="0.25">
      <c r="A8534" s="64" t="str">
        <f>HYPERLINK("http://www.twitter.com/croftysoandso", "croftysoandso")</f>
        <v>croftysoandso</v>
      </c>
      <c r="B8534" s="65" t="s">
        <v>203</v>
      </c>
    </row>
    <row r="8535" spans="1:2" x14ac:dyDescent="0.25">
      <c r="A8535" s="64" t="str">
        <f>HYPERLINK("http://www.twitter.com/connellriley461", "connellriley461")</f>
        <v>connellriley461</v>
      </c>
      <c r="B8535" s="65"/>
    </row>
    <row r="8536" spans="1:2" x14ac:dyDescent="0.25">
      <c r="A8536" s="64" t="str">
        <f>HYPERLINK("http://www.twitter.com/bennygoodman", "bennygoodman")</f>
        <v>bennygoodman</v>
      </c>
      <c r="B8536" s="65" t="s">
        <v>6350</v>
      </c>
    </row>
    <row r="8537" spans="1:2" x14ac:dyDescent="0.25">
      <c r="A8537" s="64" t="str">
        <f>HYPERLINK("http://www.twitter.com/BobbiDumas", "BobbiDumas")</f>
        <v>BobbiDumas</v>
      </c>
      <c r="B8537" s="65"/>
    </row>
    <row r="8538" spans="1:2" x14ac:dyDescent="0.25">
      <c r="A8538" s="64" t="str">
        <f>HYPERLINK("http://www.twitter.com/UofGFantasy", "UofGFantasy")</f>
        <v>UofGFantasy</v>
      </c>
      <c r="B8538" s="65" t="s">
        <v>138</v>
      </c>
    </row>
    <row r="8539" spans="1:2" x14ac:dyDescent="0.25">
      <c r="A8539" s="64" t="str">
        <f>HYPERLINK("http://www.twitter.com/_editoria", "_editoria")</f>
        <v>_editoria</v>
      </c>
      <c r="B8539" s="65" t="s">
        <v>6623</v>
      </c>
    </row>
    <row r="8540" spans="1:2" x14ac:dyDescent="0.25">
      <c r="A8540" s="64" t="str">
        <f>HYPERLINK("http://www.twitter.com/fiona_thorpe", "fiona_thorpe")</f>
        <v>fiona_thorpe</v>
      </c>
      <c r="B8540" s="65" t="s">
        <v>2007</v>
      </c>
    </row>
    <row r="8541" spans="1:2" x14ac:dyDescent="0.25">
      <c r="A8541" s="64" t="str">
        <f>HYPERLINK("http://www.twitter.com/ShellleyRosie", "ShellleyRosie")</f>
        <v>ShellleyRosie</v>
      </c>
      <c r="B8541" s="65"/>
    </row>
    <row r="8542" spans="1:2" x14ac:dyDescent="0.25">
      <c r="A8542" s="64" t="str">
        <f>HYPERLINK("http://www.twitter.com/DarrenAyres7", "DarrenAyres7")</f>
        <v>DarrenAyres7</v>
      </c>
      <c r="B8542" s="65" t="s">
        <v>3779</v>
      </c>
    </row>
    <row r="8543" spans="1:2" x14ac:dyDescent="0.25">
      <c r="A8543" s="64" t="str">
        <f>HYPERLINK("http://www.twitter.com/AlexGaffney2", "AlexGaffney2")</f>
        <v>AlexGaffney2</v>
      </c>
      <c r="B8543" s="65"/>
    </row>
    <row r="8544" spans="1:2" x14ac:dyDescent="0.25">
      <c r="A8544" s="64" t="str">
        <f>HYPERLINK("http://www.twitter.com/ajo1701", "ajo1701")</f>
        <v>ajo1701</v>
      </c>
      <c r="B8544" s="65"/>
    </row>
    <row r="8545" spans="1:2" x14ac:dyDescent="0.25">
      <c r="A8545" s="64" t="str">
        <f>HYPERLINK("http://www.twitter.com/a_random_moron", "a_random_moron")</f>
        <v>a_random_moron</v>
      </c>
      <c r="B8545" s="65"/>
    </row>
    <row r="8546" spans="1:2" x14ac:dyDescent="0.25">
      <c r="A8546" s="64" t="str">
        <f>HYPERLINK("http://www.twitter.com/flumiana", "flumiana")</f>
        <v>flumiana</v>
      </c>
      <c r="B8546" s="65"/>
    </row>
    <row r="8547" spans="1:2" x14ac:dyDescent="0.25">
      <c r="A8547" s="64" t="str">
        <f>HYPERLINK("http://www.twitter.com/HSCMedicalLib", "HSCMedicalLib")</f>
        <v>HSCMedicalLib</v>
      </c>
      <c r="B8547" s="65" t="s">
        <v>248</v>
      </c>
    </row>
    <row r="8548" spans="1:2" x14ac:dyDescent="0.25">
      <c r="A8548" s="64" t="str">
        <f>HYPERLINK("http://www.twitter.com/writeanne", "writeanne")</f>
        <v>writeanne</v>
      </c>
      <c r="B8548" s="65" t="s">
        <v>517</v>
      </c>
    </row>
    <row r="8549" spans="1:2" x14ac:dyDescent="0.25">
      <c r="A8549" s="64" t="str">
        <f>HYPERLINK("http://www.twitter.com/ULHTLKS", "ULHTLKS")</f>
        <v>ULHTLKS</v>
      </c>
      <c r="B8549" s="65" t="s">
        <v>2518</v>
      </c>
    </row>
    <row r="8550" spans="1:2" x14ac:dyDescent="0.25">
      <c r="A8550" s="64" t="str">
        <f>HYPERLINK("http://www.twitter.com/NLSColl_Care", "NLSColl_Care")</f>
        <v>NLSColl_Care</v>
      </c>
      <c r="B8550" s="65" t="s">
        <v>487</v>
      </c>
    </row>
    <row r="8551" spans="1:2" x14ac:dyDescent="0.25">
      <c r="A8551" s="64" t="str">
        <f>HYPERLINK("http://www.twitter.com/S2901", "S2901")</f>
        <v>S2901</v>
      </c>
      <c r="B8551" s="65" t="s">
        <v>6624</v>
      </c>
    </row>
    <row r="8552" spans="1:2" x14ac:dyDescent="0.25">
      <c r="A8552" s="64" t="str">
        <f>HYPERLINK("http://www.twitter.com/liyuqing1", "liyuqing1")</f>
        <v>liyuqing1</v>
      </c>
      <c r="B8552" s="65" t="s">
        <v>4765</v>
      </c>
    </row>
    <row r="8553" spans="1:2" x14ac:dyDescent="0.25">
      <c r="A8553" s="64" t="str">
        <f>HYPERLINK("http://www.twitter.com/redsorkneytours", "redsorkneytours")</f>
        <v>redsorkneytours</v>
      </c>
      <c r="B8553" s="65" t="s">
        <v>6625</v>
      </c>
    </row>
    <row r="8554" spans="1:2" x14ac:dyDescent="0.25">
      <c r="A8554" s="64" t="str">
        <f>HYPERLINK("http://www.twitter.com/msolomonsmith", "msolomonsmith")</f>
        <v>msolomonsmith</v>
      </c>
      <c r="B8554" s="65"/>
    </row>
    <row r="8555" spans="1:2" x14ac:dyDescent="0.25">
      <c r="A8555" s="64" t="str">
        <f>HYPERLINK("http://www.twitter.com/MarieClaudeR", "MarieClaudeR")</f>
        <v>MarieClaudeR</v>
      </c>
      <c r="B8555" s="65" t="s">
        <v>4135</v>
      </c>
    </row>
    <row r="8556" spans="1:2" x14ac:dyDescent="0.25">
      <c r="A8556" s="64" t="str">
        <f>HYPERLINK("http://www.twitter.com/senecalibraries", "senecalibraries")</f>
        <v>senecalibraries</v>
      </c>
      <c r="B8556" s="65" t="s">
        <v>6626</v>
      </c>
    </row>
    <row r="8557" spans="1:2" x14ac:dyDescent="0.25">
      <c r="A8557" s="64" t="str">
        <f>HYPERLINK("http://www.twitter.com/samtennent", "samtennent")</f>
        <v>samtennent</v>
      </c>
      <c r="B8557" s="65" t="s">
        <v>3347</v>
      </c>
    </row>
    <row r="8558" spans="1:2" x14ac:dyDescent="0.25">
      <c r="A8558" s="64" t="str">
        <f>HYPERLINK("http://www.twitter.com/Mary_Hirth", "Mary_Hirth")</f>
        <v>Mary_Hirth</v>
      </c>
      <c r="B8558" s="65"/>
    </row>
    <row r="8559" spans="1:2" x14ac:dyDescent="0.25">
      <c r="A8559" s="64" t="str">
        <f>HYPERLINK("http://www.twitter.com/edmundpaul95", "edmundpaul95")</f>
        <v>edmundpaul95</v>
      </c>
      <c r="B8559" s="65" t="s">
        <v>4986</v>
      </c>
    </row>
    <row r="8560" spans="1:2" x14ac:dyDescent="0.25">
      <c r="A8560" s="64" t="str">
        <f>HYPERLINK("http://www.twitter.com/AForeman90", "AForeman90")</f>
        <v>AForeman90</v>
      </c>
      <c r="B8560" s="65"/>
    </row>
    <row r="8561" spans="1:2" x14ac:dyDescent="0.25">
      <c r="A8561" s="64" t="str">
        <f>HYPERLINK("http://www.twitter.com/thecornishcrump", "thecornishcrump")</f>
        <v>thecornishcrump</v>
      </c>
      <c r="B8561" s="65" t="s">
        <v>6147</v>
      </c>
    </row>
    <row r="8562" spans="1:2" x14ac:dyDescent="0.25">
      <c r="A8562" s="64" t="str">
        <f>HYPERLINK("http://www.twitter.com/LACDundee", "LACDundee")</f>
        <v>LACDundee</v>
      </c>
      <c r="B8562" s="65" t="s">
        <v>1482</v>
      </c>
    </row>
    <row r="8563" spans="1:2" x14ac:dyDescent="0.25">
      <c r="A8563" s="64" t="str">
        <f>HYPERLINK("http://www.twitter.com/miss_ramsey", "miss_ramsey")</f>
        <v>miss_ramsey</v>
      </c>
      <c r="B8563" s="65" t="s">
        <v>36</v>
      </c>
    </row>
    <row r="8564" spans="1:2" x14ac:dyDescent="0.25">
      <c r="A8564" s="64" t="str">
        <f>HYPERLINK("http://www.twitter.com/pollydo0dle", "pollydo0dle")</f>
        <v>pollydo0dle</v>
      </c>
      <c r="B8564" s="65"/>
    </row>
    <row r="8565" spans="1:2" x14ac:dyDescent="0.25">
      <c r="A8565" s="64" t="str">
        <f>HYPERLINK("http://www.twitter.com/guribugge", "guribugge")</f>
        <v>guribugge</v>
      </c>
      <c r="B8565" s="65" t="s">
        <v>6627</v>
      </c>
    </row>
    <row r="8566" spans="1:2" x14ac:dyDescent="0.25">
      <c r="A8566" s="64" t="str">
        <f>HYPERLINK("http://www.twitter.com/Remidoodle", "Remidoodle")</f>
        <v>Remidoodle</v>
      </c>
      <c r="B8566" s="65" t="s">
        <v>6628</v>
      </c>
    </row>
    <row r="8567" spans="1:2" x14ac:dyDescent="0.25">
      <c r="A8567" s="64" t="str">
        <f>HYPERLINK("http://www.twitter.com/philshe", "philshe")</f>
        <v>philshe</v>
      </c>
      <c r="B8567" s="65" t="s">
        <v>6629</v>
      </c>
    </row>
    <row r="8568" spans="1:2" x14ac:dyDescent="0.25">
      <c r="A8568" s="64" t="str">
        <f>HYPERLINK("http://www.twitter.com/OnTheShelfBooks", "OnTheShelfBooks")</f>
        <v>OnTheShelfBooks</v>
      </c>
      <c r="B8568" s="65" t="s">
        <v>2007</v>
      </c>
    </row>
    <row r="8569" spans="1:2" x14ac:dyDescent="0.25">
      <c r="A8569" s="64" t="str">
        <f>HYPERLINK("http://www.twitter.com/parkerpants75", "parkerpants75")</f>
        <v>parkerpants75</v>
      </c>
      <c r="B8569" s="65" t="s">
        <v>5048</v>
      </c>
    </row>
    <row r="8570" spans="1:2" x14ac:dyDescent="0.25">
      <c r="A8570" s="64" t="str">
        <f>HYPERLINK("http://www.twitter.com/RothLibraries", "RothLibraries")</f>
        <v>RothLibraries</v>
      </c>
      <c r="B8570" s="65" t="s">
        <v>1698</v>
      </c>
    </row>
    <row r="8571" spans="1:2" x14ac:dyDescent="0.25">
      <c r="A8571" s="64" t="str">
        <f>HYPERLINK("http://www.twitter.com/theprinxessa", "theprinxessa")</f>
        <v>theprinxessa</v>
      </c>
      <c r="B8571" s="65" t="s">
        <v>3998</v>
      </c>
    </row>
    <row r="8572" spans="1:2" x14ac:dyDescent="0.25">
      <c r="A8572" s="64" t="str">
        <f>HYPERLINK("http://www.twitter.com/AimeeBeeSch", "AimeeBeeSch")</f>
        <v>AimeeBeeSch</v>
      </c>
      <c r="B8572" s="65" t="s">
        <v>5686</v>
      </c>
    </row>
    <row r="8573" spans="1:2" x14ac:dyDescent="0.25">
      <c r="A8573" s="64" t="str">
        <f>HYPERLINK("http://www.twitter.com/awfullibbooks", "awfullibbooks")</f>
        <v>awfullibbooks</v>
      </c>
      <c r="B8573" s="65" t="s">
        <v>6630</v>
      </c>
    </row>
    <row r="8574" spans="1:2" x14ac:dyDescent="0.25">
      <c r="A8574" s="64" t="str">
        <f>HYPERLINK("http://www.twitter.com/eleanakk", "eleanakk")</f>
        <v>eleanakk</v>
      </c>
      <c r="B8574" s="65" t="s">
        <v>487</v>
      </c>
    </row>
    <row r="8575" spans="1:2" x14ac:dyDescent="0.25">
      <c r="A8575" s="64" t="str">
        <f>HYPERLINK("http://www.twitter.com/Orza282", "Orza282")</f>
        <v>Orza282</v>
      </c>
      <c r="B8575" s="65" t="s">
        <v>3788</v>
      </c>
    </row>
    <row r="8576" spans="1:2" x14ac:dyDescent="0.25">
      <c r="A8576" s="64" t="str">
        <f>HYPERLINK("http://www.twitter.com/ScotchMist31", "ScotchMist31")</f>
        <v>ScotchMist31</v>
      </c>
      <c r="B8576" s="65"/>
    </row>
    <row r="8577" spans="1:2" x14ac:dyDescent="0.25">
      <c r="A8577" s="64" t="str">
        <f>HYPERLINK("http://www.twitter.com/KeriLeigh_N", "KeriLeigh_N")</f>
        <v>KeriLeigh_N</v>
      </c>
      <c r="B8577" s="65"/>
    </row>
    <row r="8578" spans="1:2" x14ac:dyDescent="0.25">
      <c r="A8578" s="64" t="str">
        <f>HYPERLINK("http://www.twitter.com/vtollan", "vtollan")</f>
        <v>vtollan</v>
      </c>
      <c r="B8578" s="65"/>
    </row>
    <row r="8579" spans="1:2" x14ac:dyDescent="0.25">
      <c r="A8579" s="64" t="str">
        <f>HYPERLINK("http://www.twitter.com/BuckieHighLib", "BuckieHighLib")</f>
        <v>BuckieHighLib</v>
      </c>
      <c r="B8579" s="65"/>
    </row>
    <row r="8580" spans="1:2" x14ac:dyDescent="0.25">
      <c r="A8580" s="64" t="str">
        <f>HYPERLINK("http://www.twitter.com/RayjLeonard", "RayjLeonard")</f>
        <v>RayjLeonard</v>
      </c>
      <c r="B8580" s="65" t="s">
        <v>6631</v>
      </c>
    </row>
    <row r="8581" spans="1:2" x14ac:dyDescent="0.25">
      <c r="A8581" s="64" t="str">
        <f>HYPERLINK("http://www.twitter.com/anjuth", "anjuth")</f>
        <v>anjuth</v>
      </c>
      <c r="B8581" s="65" t="s">
        <v>3988</v>
      </c>
    </row>
    <row r="8582" spans="1:2" x14ac:dyDescent="0.25">
      <c r="A8582" s="64" t="str">
        <f>HYPERLINK("http://www.twitter.com/Rosienufc", "Rosienufc")</f>
        <v>Rosienufc</v>
      </c>
      <c r="B8582" s="65" t="s">
        <v>6632</v>
      </c>
    </row>
    <row r="8583" spans="1:2" x14ac:dyDescent="0.25">
      <c r="A8583" s="64" t="str">
        <f>HYPERLINK("http://www.twitter.com/flo_jo_mo", "flo_jo_mo")</f>
        <v>flo_jo_mo</v>
      </c>
      <c r="B8583" s="65" t="s">
        <v>6633</v>
      </c>
    </row>
    <row r="8584" spans="1:2" x14ac:dyDescent="0.25">
      <c r="A8584" s="64" t="str">
        <f>HYPERLINK("http://www.twitter.com/Heres_tae_us", "Heres_tae_us")</f>
        <v>Heres_tae_us</v>
      </c>
      <c r="B8584" s="65"/>
    </row>
    <row r="8585" spans="1:2" x14ac:dyDescent="0.25">
      <c r="A8585" s="64" t="str">
        <f>HYPERLINK("http://www.twitter.com/quaggia", "quaggia")</f>
        <v>quaggia</v>
      </c>
      <c r="B8585" s="65" t="s">
        <v>6634</v>
      </c>
    </row>
    <row r="8586" spans="1:2" x14ac:dyDescent="0.25">
      <c r="A8586" s="64" t="str">
        <f>HYPERLINK("http://www.twitter.com/n8bd", "n8bd")</f>
        <v>n8bd</v>
      </c>
      <c r="B8586" s="65"/>
    </row>
    <row r="8587" spans="1:2" x14ac:dyDescent="0.25">
      <c r="A8587" s="64" t="str">
        <f>HYPERLINK("http://www.twitter.com/palocchina", "palocchina")</f>
        <v>palocchina</v>
      </c>
      <c r="B8587" s="65"/>
    </row>
    <row r="8588" spans="1:2" x14ac:dyDescent="0.25">
      <c r="A8588" s="64" t="str">
        <f>HYPERLINK("http://www.twitter.com/Farmer_Ancestry", "Farmer_Ancestry")</f>
        <v>Farmer_Ancestry</v>
      </c>
      <c r="B8588" s="65" t="s">
        <v>6635</v>
      </c>
    </row>
    <row r="8589" spans="1:2" x14ac:dyDescent="0.25">
      <c r="A8589" s="64" t="str">
        <f>HYPERLINK("http://www.twitter.com/mollykh", "mollykh")</f>
        <v>mollykh</v>
      </c>
      <c r="B8589" s="65" t="s">
        <v>36</v>
      </c>
    </row>
    <row r="8590" spans="1:2" x14ac:dyDescent="0.25">
      <c r="A8590" s="64" t="str">
        <f>HYPERLINK("http://www.twitter.com/neiljohnford", "neiljohnford")</f>
        <v>neiljohnford</v>
      </c>
      <c r="B8590" s="65" t="s">
        <v>4113</v>
      </c>
    </row>
    <row r="8591" spans="1:2" x14ac:dyDescent="0.25">
      <c r="A8591" s="64" t="str">
        <f>HYPERLINK("http://www.twitter.com/MyReviewReview", "MyReviewReview")</f>
        <v>MyReviewReview</v>
      </c>
      <c r="B8591" s="65" t="s">
        <v>6636</v>
      </c>
    </row>
    <row r="8592" spans="1:2" x14ac:dyDescent="0.25">
      <c r="A8592" s="64" t="str">
        <f>HYPERLINK("http://www.twitter.com/helenmoncrieff", "helenmoncrieff")</f>
        <v>helenmoncrieff</v>
      </c>
      <c r="B8592" s="65" t="s">
        <v>115</v>
      </c>
    </row>
    <row r="8593" spans="1:2" x14ac:dyDescent="0.25">
      <c r="A8593" s="64" t="str">
        <f>HYPERLINK("http://www.twitter.com/joannejervis2", "joannejervis2")</f>
        <v>joannejervis2</v>
      </c>
      <c r="B8593" s="65"/>
    </row>
    <row r="8594" spans="1:2" x14ac:dyDescent="0.25">
      <c r="A8594" s="64" t="str">
        <f>HYPERLINK("http://www.twitter.com/linda_toft", "linda_toft")</f>
        <v>linda_toft</v>
      </c>
      <c r="B8594" s="65"/>
    </row>
    <row r="8595" spans="1:2" x14ac:dyDescent="0.25">
      <c r="A8595" s="64" t="str">
        <f>HYPERLINK("http://www.twitter.com/ChannelArchive", "ChannelArchive")</f>
        <v>ChannelArchive</v>
      </c>
      <c r="B8595" s="65" t="s">
        <v>6637</v>
      </c>
    </row>
    <row r="8596" spans="1:2" x14ac:dyDescent="0.25">
      <c r="A8596" s="64" t="str">
        <f>HYPERLINK("http://www.twitter.com/janetwitsfun", "janetwitsfun")</f>
        <v>janetwitsfun</v>
      </c>
      <c r="B8596" s="65"/>
    </row>
    <row r="8597" spans="1:2" x14ac:dyDescent="0.25">
      <c r="A8597" s="64" t="str">
        <f>HYPERLINK("http://www.twitter.com/jimenez517", "jimenez517")</f>
        <v>jimenez517</v>
      </c>
      <c r="B8597" s="65" t="s">
        <v>4111</v>
      </c>
    </row>
    <row r="8598" spans="1:2" x14ac:dyDescent="0.25">
      <c r="A8598" s="64" t="str">
        <f>HYPERLINK("http://www.twitter.com/Favourini", "Favourini")</f>
        <v>Favourini</v>
      </c>
      <c r="B8598" s="65" t="s">
        <v>6638</v>
      </c>
    </row>
    <row r="8599" spans="1:2" x14ac:dyDescent="0.25">
      <c r="A8599" s="64" t="str">
        <f>HYPERLINK("http://www.twitter.com/3D_Researchers", "3D_Researchers")</f>
        <v>3D_Researchers</v>
      </c>
      <c r="B8599" s="65" t="s">
        <v>3893</v>
      </c>
    </row>
    <row r="8600" spans="1:2" x14ac:dyDescent="0.25">
      <c r="A8600" s="64" t="str">
        <f>HYPERLINK("http://www.twitter.com/Roogirl5", "Roogirl5")</f>
        <v>Roogirl5</v>
      </c>
      <c r="B8600" s="65"/>
    </row>
    <row r="8601" spans="1:2" x14ac:dyDescent="0.25">
      <c r="A8601" s="64" t="str">
        <f>HYPERLINK("http://www.twitter.com/conorjosephlee", "conorjosephlee")</f>
        <v>conorjosephlee</v>
      </c>
      <c r="B8601" s="65" t="s">
        <v>6639</v>
      </c>
    </row>
    <row r="8602" spans="1:2" x14ac:dyDescent="0.25">
      <c r="A8602" s="64" t="str">
        <f>HYPERLINK("http://www.twitter.com/historyatlanta", "historyatlanta")</f>
        <v>historyatlanta</v>
      </c>
      <c r="B8602" s="65" t="s">
        <v>4948</v>
      </c>
    </row>
    <row r="8603" spans="1:2" x14ac:dyDescent="0.25">
      <c r="A8603" s="64" t="str">
        <f>HYPERLINK("http://www.twitter.com/ObsceneFire", "ObsceneFire")</f>
        <v>ObsceneFire</v>
      </c>
      <c r="B8603" s="65"/>
    </row>
    <row r="8604" spans="1:2" x14ac:dyDescent="0.25">
      <c r="A8604" s="64" t="str">
        <f>HYPERLINK("http://www.twitter.com/jellykitten", "jellykitten")</f>
        <v>jellykitten</v>
      </c>
      <c r="B8604" s="65" t="s">
        <v>273</v>
      </c>
    </row>
    <row r="8605" spans="1:2" x14ac:dyDescent="0.25">
      <c r="A8605" s="64" t="str">
        <f>HYPERLINK("http://www.twitter.com/Dan_HE_man", "Dan_HE_man")</f>
        <v>Dan_HE_man</v>
      </c>
      <c r="B8605" s="65" t="s">
        <v>6294</v>
      </c>
    </row>
    <row r="8606" spans="1:2" x14ac:dyDescent="0.25">
      <c r="A8606" s="64" t="str">
        <f>HYPERLINK("http://www.twitter.com/jolohobro", "jolohobro")</f>
        <v>jolohobro</v>
      </c>
      <c r="B8606" s="65" t="s">
        <v>6640</v>
      </c>
    </row>
    <row r="8607" spans="1:2" x14ac:dyDescent="0.25">
      <c r="A8607" s="64" t="str">
        <f>HYPERLINK("http://www.twitter.com/jennymcinspired", "jennymcinspired")</f>
        <v>jennymcinspired</v>
      </c>
      <c r="B8607" s="65"/>
    </row>
    <row r="8608" spans="1:2" x14ac:dyDescent="0.25">
      <c r="A8608" s="64" t="str">
        <f>HYPERLINK("http://www.twitter.com/kirsteenr", "kirsteenr")</f>
        <v>kirsteenr</v>
      </c>
      <c r="B8608" s="65" t="s">
        <v>296</v>
      </c>
    </row>
    <row r="8609" spans="1:2" x14ac:dyDescent="0.25">
      <c r="A8609" s="64" t="str">
        <f>HYPERLINK("http://www.twitter.com/rachael_stevens", "rachael_stevens")</f>
        <v>rachael_stevens</v>
      </c>
      <c r="B8609" s="65" t="s">
        <v>327</v>
      </c>
    </row>
    <row r="8610" spans="1:2" x14ac:dyDescent="0.25">
      <c r="A8610" s="64" t="str">
        <f>HYPERLINK("http://www.twitter.com/vicwray", "vicwray")</f>
        <v>vicwray</v>
      </c>
      <c r="B8610" s="65" t="s">
        <v>4247</v>
      </c>
    </row>
    <row r="8611" spans="1:2" x14ac:dyDescent="0.25">
      <c r="A8611" s="64" t="str">
        <f>HYPERLINK("http://www.twitter.com/xiaodengjie1", "xiaodengjie1")</f>
        <v>xiaodengjie1</v>
      </c>
      <c r="B8611" s="65" t="s">
        <v>6641</v>
      </c>
    </row>
    <row r="8612" spans="1:2" x14ac:dyDescent="0.25">
      <c r="A8612" s="64" t="str">
        <f>HYPERLINK("http://www.twitter.com/stephiehogarth", "stephiehogarth")</f>
        <v>stephiehogarth</v>
      </c>
      <c r="B8612" s="65" t="s">
        <v>514</v>
      </c>
    </row>
    <row r="8613" spans="1:2" x14ac:dyDescent="0.25">
      <c r="A8613" s="64" t="str">
        <f>HYPERLINK("http://www.twitter.com/bouncingotw", "bouncingotw")</f>
        <v>bouncingotw</v>
      </c>
      <c r="B8613" s="65" t="s">
        <v>70</v>
      </c>
    </row>
    <row r="8614" spans="1:2" x14ac:dyDescent="0.25">
      <c r="A8614" s="64" t="str">
        <f>HYPERLINK("http://www.twitter.com/tiredlegs", "tiredlegs")</f>
        <v>tiredlegs</v>
      </c>
      <c r="B8614" s="65"/>
    </row>
    <row r="8615" spans="1:2" x14ac:dyDescent="0.25">
      <c r="A8615" s="64" t="str">
        <f>HYPERLINK("http://www.twitter.com/calaveritas", "calaveritas")</f>
        <v>calaveritas</v>
      </c>
      <c r="B8615" s="65" t="s">
        <v>6642</v>
      </c>
    </row>
    <row r="8616" spans="1:2" x14ac:dyDescent="0.25">
      <c r="A8616" s="64" t="str">
        <f>HYPERLINK("http://www.twitter.com/davidthep", "davidthep")</f>
        <v>davidthep</v>
      </c>
      <c r="B8616" s="65" t="s">
        <v>36</v>
      </c>
    </row>
    <row r="8617" spans="1:2" x14ac:dyDescent="0.25">
      <c r="A8617" s="64" t="str">
        <f>HYPERLINK("http://www.twitter.com/Mob1967", "Mob1967")</f>
        <v>Mob1967</v>
      </c>
      <c r="B8617" s="65" t="s">
        <v>6643</v>
      </c>
    </row>
    <row r="8618" spans="1:2" x14ac:dyDescent="0.25">
      <c r="A8618" s="64" t="str">
        <f>HYPERLINK("http://www.twitter.com/neilybeegs", "neilybeegs")</f>
        <v>neilybeegs</v>
      </c>
      <c r="B8618" s="65" t="s">
        <v>4187</v>
      </c>
    </row>
    <row r="8619" spans="1:2" x14ac:dyDescent="0.25">
      <c r="A8619" s="64" t="str">
        <f>HYPERLINK("http://www.twitter.com/Vikki67ring", "Vikki67ring")</f>
        <v>Vikki67ring</v>
      </c>
      <c r="B8619" s="65" t="s">
        <v>517</v>
      </c>
    </row>
    <row r="8620" spans="1:2" x14ac:dyDescent="0.25">
      <c r="A8620" s="64" t="str">
        <f>HYPERLINK("http://www.twitter.com/SusanReuben", "SusanReuben")</f>
        <v>SusanReuben</v>
      </c>
      <c r="B8620" s="65" t="s">
        <v>6644</v>
      </c>
    </row>
    <row r="8621" spans="1:2" x14ac:dyDescent="0.25">
      <c r="A8621" s="64" t="str">
        <f>HYPERLINK("http://www.twitter.com/Deipnosophist22", "Deipnosophist22")</f>
        <v>Deipnosophist22</v>
      </c>
      <c r="B8621" s="65" t="s">
        <v>3020</v>
      </c>
    </row>
    <row r="8622" spans="1:2" x14ac:dyDescent="0.25">
      <c r="A8622" s="64" t="str">
        <f>HYPERLINK("http://www.twitter.com/skippity_doo", "skippity_doo")</f>
        <v>skippity_doo</v>
      </c>
      <c r="B8622" s="65" t="s">
        <v>6645</v>
      </c>
    </row>
    <row r="8623" spans="1:2" x14ac:dyDescent="0.25">
      <c r="A8623" s="64" t="str">
        <f>HYPERLINK("http://www.twitter.com/BeccaBummer", "BeccaBummer")</f>
        <v>BeccaBummer</v>
      </c>
      <c r="B8623" s="65" t="s">
        <v>4339</v>
      </c>
    </row>
    <row r="8624" spans="1:2" x14ac:dyDescent="0.25">
      <c r="A8624" s="64" t="str">
        <f>HYPERLINK("http://www.twitter.com/allib4273", "allib4273")</f>
        <v>allib4273</v>
      </c>
      <c r="B8624" s="65"/>
    </row>
    <row r="8625" spans="1:2" x14ac:dyDescent="0.25">
      <c r="A8625" s="64" t="str">
        <f>HYPERLINK("http://www.twitter.com/bibl0cat", "bibl0cat")</f>
        <v>bibl0cat</v>
      </c>
      <c r="B8625" s="65"/>
    </row>
    <row r="8626" spans="1:2" x14ac:dyDescent="0.25">
      <c r="A8626" s="64" t="str">
        <f>HYPERLINK("http://www.twitter.com/CilliB", "CilliB")</f>
        <v>CilliB</v>
      </c>
      <c r="B8626" s="65"/>
    </row>
    <row r="8627" spans="1:2" x14ac:dyDescent="0.25">
      <c r="A8627" s="64" t="str">
        <f>HYPERLINK("http://www.twitter.com/amdavie26", "amdavie26")</f>
        <v>amdavie26</v>
      </c>
      <c r="B8627" s="65"/>
    </row>
    <row r="8628" spans="1:2" x14ac:dyDescent="0.25">
      <c r="A8628" s="64" t="str">
        <f>HYPERLINK("http://www.twitter.com/CathyMacN", "CathyMacN")</f>
        <v>CathyMacN</v>
      </c>
      <c r="B8628" s="65" t="s">
        <v>6646</v>
      </c>
    </row>
    <row r="8629" spans="1:2" x14ac:dyDescent="0.25">
      <c r="A8629" s="64" t="str">
        <f>HYPERLINK("http://www.twitter.com/tomwilliams2010", "tomwilliams2010")</f>
        <v>tomwilliams2010</v>
      </c>
      <c r="B8629" s="65" t="s">
        <v>3137</v>
      </c>
    </row>
    <row r="8630" spans="1:2" x14ac:dyDescent="0.25">
      <c r="A8630" s="64" t="str">
        <f>HYPERLINK("http://www.twitter.com/Falling_Damps", "Falling_Damps")</f>
        <v>Falling_Damps</v>
      </c>
      <c r="B8630" s="65"/>
    </row>
    <row r="8631" spans="1:2" x14ac:dyDescent="0.25">
      <c r="A8631" s="64" t="str">
        <f>HYPERLINK("http://www.twitter.com/MartinK55", "MartinK55")</f>
        <v>MartinK55</v>
      </c>
      <c r="B8631" s="65" t="s">
        <v>138</v>
      </c>
    </row>
    <row r="8632" spans="1:2" x14ac:dyDescent="0.25">
      <c r="A8632" s="64" t="str">
        <f>HYPERLINK("http://www.twitter.com/staywithr", "staywithr")</f>
        <v>staywithr</v>
      </c>
      <c r="B8632" s="65" t="s">
        <v>4313</v>
      </c>
    </row>
    <row r="8633" spans="1:2" x14ac:dyDescent="0.25">
      <c r="A8633" s="64" t="str">
        <f>HYPERLINK("http://www.twitter.com/itskatelliott", "itskatelliott")</f>
        <v>itskatelliott</v>
      </c>
      <c r="B8633" s="65" t="s">
        <v>36</v>
      </c>
    </row>
    <row r="8634" spans="1:2" x14ac:dyDescent="0.25">
      <c r="A8634" s="64" t="str">
        <f>HYPERLINK("http://www.twitter.com/MsClaire2", "MsClaire2")</f>
        <v>MsClaire2</v>
      </c>
      <c r="B8634" s="65" t="s">
        <v>3898</v>
      </c>
    </row>
    <row r="8635" spans="1:2" x14ac:dyDescent="0.25">
      <c r="A8635" s="64" t="str">
        <f>HYPERLINK("http://www.twitter.com/Colmce1", "Colmce1")</f>
        <v>Colmce1</v>
      </c>
      <c r="B8635" s="65" t="s">
        <v>2994</v>
      </c>
    </row>
    <row r="8636" spans="1:2" x14ac:dyDescent="0.25">
      <c r="A8636" s="64" t="str">
        <f>HYPERLINK("http://www.twitter.com/HenryCatchpole", "HenryCatchpole")</f>
        <v>HenryCatchpole</v>
      </c>
      <c r="B8636" s="65" t="s">
        <v>296</v>
      </c>
    </row>
    <row r="8637" spans="1:2" x14ac:dyDescent="0.25">
      <c r="A8637" s="64" t="str">
        <f>HYPERLINK("http://www.twitter.com/GylesB1", "GylesB1")</f>
        <v>GylesB1</v>
      </c>
      <c r="B8637" s="65"/>
    </row>
    <row r="8638" spans="1:2" x14ac:dyDescent="0.25">
      <c r="A8638" s="64" t="str">
        <f>HYPERLINK("http://www.twitter.com/Orangefleece", "Orangefleece")</f>
        <v>Orangefleece</v>
      </c>
      <c r="B8638" s="65" t="s">
        <v>6647</v>
      </c>
    </row>
    <row r="8639" spans="1:2" x14ac:dyDescent="0.25">
      <c r="A8639" s="64" t="str">
        <f>HYPERLINK("http://www.twitter.com/fiofthedark", "fiofthedark")</f>
        <v>fiofthedark</v>
      </c>
      <c r="B8639" s="65" t="s">
        <v>6648</v>
      </c>
    </row>
    <row r="8640" spans="1:2" x14ac:dyDescent="0.25">
      <c r="A8640" s="64" t="str">
        <f>HYPERLINK("http://www.twitter.com/PeterKi09139479", "PeterKi09139479")</f>
        <v>PeterKi09139479</v>
      </c>
      <c r="B8640" s="65"/>
    </row>
    <row r="8641" spans="1:2" x14ac:dyDescent="0.25">
      <c r="A8641" s="64" t="str">
        <f>HYPERLINK("http://www.twitter.com/iCarlaJeanB", "iCarlaJeanB")</f>
        <v>iCarlaJeanB</v>
      </c>
      <c r="B8641" s="65" t="s">
        <v>6649</v>
      </c>
    </row>
    <row r="8642" spans="1:2" x14ac:dyDescent="0.25">
      <c r="A8642" s="64" t="str">
        <f>HYPERLINK("http://www.twitter.com/shadowop", "shadowop")</f>
        <v>shadowop</v>
      </c>
      <c r="B8642" s="65" t="s">
        <v>4949</v>
      </c>
    </row>
    <row r="8643" spans="1:2" x14ac:dyDescent="0.25">
      <c r="A8643" s="64" t="str">
        <f>HYPERLINK("http://www.twitter.com/d_n_t", "d_n_t")</f>
        <v>d_n_t</v>
      </c>
      <c r="B8643" s="65" t="s">
        <v>110</v>
      </c>
    </row>
    <row r="8644" spans="1:2" x14ac:dyDescent="0.25">
      <c r="A8644" s="64" t="str">
        <f>HYPERLINK("http://www.twitter.com/Librarian_Liz", "Librarian_Liz")</f>
        <v>Librarian_Liz</v>
      </c>
      <c r="B8644" s="65" t="s">
        <v>4062</v>
      </c>
    </row>
    <row r="8645" spans="1:2" x14ac:dyDescent="0.25">
      <c r="A8645" s="64" t="str">
        <f>HYPERLINK("http://www.twitter.com/hoohaanellienoo", "hoohaanellienoo")</f>
        <v>hoohaanellienoo</v>
      </c>
      <c r="B8645" s="65" t="s">
        <v>33</v>
      </c>
    </row>
    <row r="8646" spans="1:2" x14ac:dyDescent="0.25">
      <c r="A8646" s="64" t="str">
        <f>HYPERLINK("http://www.twitter.com/cpratt", "cpratt")</f>
        <v>cpratt</v>
      </c>
      <c r="B8646" s="65" t="s">
        <v>3804</v>
      </c>
    </row>
    <row r="8647" spans="1:2" x14ac:dyDescent="0.25">
      <c r="A8647" s="64" t="str">
        <f>HYPERLINK("http://www.twitter.com/ahaigh9877", "ahaigh9877")</f>
        <v>ahaigh9877</v>
      </c>
      <c r="B8647" s="65"/>
    </row>
    <row r="8648" spans="1:2" x14ac:dyDescent="0.25">
      <c r="A8648" s="64" t="str">
        <f>HYPERLINK("http://www.twitter.com/AChristieMiller", "AChristieMiller")</f>
        <v>AChristieMiller</v>
      </c>
      <c r="B8648" s="65" t="s">
        <v>6650</v>
      </c>
    </row>
    <row r="8649" spans="1:2" x14ac:dyDescent="0.25">
      <c r="A8649" s="64" t="str">
        <f>HYPERLINK("http://www.twitter.com/Danielle_Beck13", "Danielle_Beck13")</f>
        <v>Danielle_Beck13</v>
      </c>
      <c r="B8649" s="65" t="s">
        <v>3373</v>
      </c>
    </row>
    <row r="8650" spans="1:2" x14ac:dyDescent="0.25">
      <c r="A8650" s="64" t="str">
        <f>HYPERLINK("http://www.twitter.com/GeoMcC1978", "GeoMcC1978")</f>
        <v>GeoMcC1978</v>
      </c>
      <c r="B8650" s="65" t="s">
        <v>318</v>
      </c>
    </row>
    <row r="8651" spans="1:2" x14ac:dyDescent="0.25">
      <c r="A8651" s="64" t="str">
        <f>HYPERLINK("http://www.twitter.com/Kim_Philby", "Kim_Philby")</f>
        <v>Kim_Philby</v>
      </c>
      <c r="B8651" s="65" t="s">
        <v>6651</v>
      </c>
    </row>
    <row r="8652" spans="1:2" x14ac:dyDescent="0.25">
      <c r="A8652" s="64" t="str">
        <f>HYPERLINK("http://www.twitter.com/SheenaNisbet", "SheenaNisbet")</f>
        <v>SheenaNisbet</v>
      </c>
      <c r="B8652" s="65"/>
    </row>
    <row r="8653" spans="1:2" x14ac:dyDescent="0.25">
      <c r="A8653" s="64" t="str">
        <f>HYPERLINK("http://www.twitter.com/EchoSteph", "EchoSteph")</f>
        <v>EchoSteph</v>
      </c>
      <c r="B8653" s="65" t="s">
        <v>1377</v>
      </c>
    </row>
    <row r="8654" spans="1:2" x14ac:dyDescent="0.25">
      <c r="A8654" s="64" t="str">
        <f>HYPERLINK("http://www.twitter.com/gogs_shush", "gogs_shush")</f>
        <v>gogs_shush</v>
      </c>
      <c r="B8654" s="65" t="s">
        <v>2007</v>
      </c>
    </row>
    <row r="8655" spans="1:2" x14ac:dyDescent="0.25">
      <c r="A8655" s="64" t="str">
        <f>HYPERLINK("http://www.twitter.com/morningwatson", "morningwatson")</f>
        <v>morningwatson</v>
      </c>
      <c r="B8655" s="65" t="s">
        <v>517</v>
      </c>
    </row>
    <row r="8656" spans="1:2" x14ac:dyDescent="0.25">
      <c r="A8656" s="64" t="str">
        <f>HYPERLINK("http://www.twitter.com/jakemessenger", "jakemessenger")</f>
        <v>jakemessenger</v>
      </c>
      <c r="B8656" s="65" t="s">
        <v>6652</v>
      </c>
    </row>
    <row r="8657" spans="1:2" x14ac:dyDescent="0.25">
      <c r="A8657" s="64" t="str">
        <f>HYPERLINK("http://www.twitter.com/MaggieEllis", "MaggieEllis")</f>
        <v>MaggieEllis</v>
      </c>
      <c r="B8657" s="65"/>
    </row>
    <row r="8658" spans="1:2" x14ac:dyDescent="0.25">
      <c r="A8658" s="64" t="str">
        <f>HYPERLINK("http://www.twitter.com/GHPowrie", "GHPowrie")</f>
        <v>GHPowrie</v>
      </c>
      <c r="B8658" s="65" t="s">
        <v>517</v>
      </c>
    </row>
    <row r="8659" spans="1:2" x14ac:dyDescent="0.25">
      <c r="A8659" s="64" t="str">
        <f>HYPERLINK("http://www.twitter.com/HonoriaLucasta", "HonoriaLucasta")</f>
        <v>HonoriaLucasta</v>
      </c>
      <c r="B8659" s="65" t="s">
        <v>4784</v>
      </c>
    </row>
    <row r="8660" spans="1:2" x14ac:dyDescent="0.25">
      <c r="A8660" s="64" t="str">
        <f>HYPERLINK("http://www.twitter.com/first_ader", "first_ader")</f>
        <v>first_ader</v>
      </c>
      <c r="B8660" s="65"/>
    </row>
    <row r="8661" spans="1:2" x14ac:dyDescent="0.25">
      <c r="A8661" s="64" t="str">
        <f>HYPERLINK("http://www.twitter.com/chrismacf", "chrismacf")</f>
        <v>chrismacf</v>
      </c>
      <c r="B8661" s="65" t="s">
        <v>36</v>
      </c>
    </row>
    <row r="8662" spans="1:2" x14ac:dyDescent="0.25">
      <c r="A8662" s="64" t="str">
        <f>HYPERLINK("http://www.twitter.com/smashtanner", "smashtanner")</f>
        <v>smashtanner</v>
      </c>
      <c r="B8662" s="65" t="s">
        <v>6653</v>
      </c>
    </row>
    <row r="8663" spans="1:2" x14ac:dyDescent="0.25">
      <c r="A8663" s="64" t="str">
        <f>HYPERLINK("http://www.twitter.com/figgismortimer", "figgismortimer")</f>
        <v>figgismortimer</v>
      </c>
      <c r="B8663" s="65" t="s">
        <v>6654</v>
      </c>
    </row>
    <row r="8664" spans="1:2" x14ac:dyDescent="0.25">
      <c r="A8664" s="64" t="str">
        <f>HYPERLINK("http://www.twitter.com/_mindflakes", "_mindflakes")</f>
        <v>_mindflakes</v>
      </c>
      <c r="B8664" s="65" t="s">
        <v>110</v>
      </c>
    </row>
    <row r="8665" spans="1:2" x14ac:dyDescent="0.25">
      <c r="A8665" s="64" t="str">
        <f>HYPERLINK("http://www.twitter.com/wfsykes", "wfsykes")</f>
        <v>wfsykes</v>
      </c>
      <c r="B8665" s="65" t="s">
        <v>6655</v>
      </c>
    </row>
    <row r="8666" spans="1:2" x14ac:dyDescent="0.25">
      <c r="A8666" s="64" t="str">
        <f>HYPERLINK("http://www.twitter.com/GlynisDonnachie", "GlynisDonnachie")</f>
        <v>GlynisDonnachie</v>
      </c>
      <c r="B8666" s="65"/>
    </row>
    <row r="8667" spans="1:2" x14ac:dyDescent="0.25">
      <c r="A8667" s="64" t="str">
        <f>HYPERLINK("http://www.twitter.com/andersonshelter", "andersonshelter")</f>
        <v>andersonshelter</v>
      </c>
      <c r="B8667" s="65" t="s">
        <v>346</v>
      </c>
    </row>
    <row r="8668" spans="1:2" x14ac:dyDescent="0.25">
      <c r="A8668" s="64" t="str">
        <f>HYPERLINK("http://www.twitter.com/Jennifer__T", "Jennifer__T")</f>
        <v>Jennifer__T</v>
      </c>
      <c r="B8668" s="65" t="s">
        <v>6656</v>
      </c>
    </row>
    <row r="8669" spans="1:2" x14ac:dyDescent="0.25">
      <c r="A8669" s="64" t="str">
        <f>HYPERLINK("http://www.twitter.com/PTLondon", "PTLondon")</f>
        <v>PTLondon</v>
      </c>
      <c r="B8669" s="65" t="s">
        <v>36</v>
      </c>
    </row>
    <row r="8670" spans="1:2" x14ac:dyDescent="0.25">
      <c r="A8670" s="64" t="str">
        <f>HYPERLINK("http://www.twitter.com/lustymonk", "lustymonk")</f>
        <v>lustymonk</v>
      </c>
      <c r="B8670" s="65" t="s">
        <v>5069</v>
      </c>
    </row>
    <row r="8671" spans="1:2" x14ac:dyDescent="0.25">
      <c r="A8671" s="64" t="str">
        <f>HYPERLINK("http://www.twitter.com/mr_goode", "mr_goode")</f>
        <v>mr_goode</v>
      </c>
      <c r="B8671" s="65" t="s">
        <v>110</v>
      </c>
    </row>
    <row r="8672" spans="1:2" x14ac:dyDescent="0.25">
      <c r="A8672" s="64" t="str">
        <f>HYPERLINK("http://www.twitter.com/KellyKotur", "KellyKotur")</f>
        <v>KellyKotur</v>
      </c>
      <c r="B8672" s="65" t="s">
        <v>6657</v>
      </c>
    </row>
    <row r="8673" spans="1:2" x14ac:dyDescent="0.25">
      <c r="A8673" s="64" t="str">
        <f>HYPERLINK("http://www.twitter.com/moogyboobles", "moogyboobles")</f>
        <v>moogyboobles</v>
      </c>
      <c r="B8673" s="65" t="s">
        <v>6658</v>
      </c>
    </row>
    <row r="8674" spans="1:2" x14ac:dyDescent="0.25">
      <c r="A8674" s="64" t="str">
        <f>HYPERLINK("http://www.twitter.com/nicolajoiner", "nicolajoiner")</f>
        <v>nicolajoiner</v>
      </c>
      <c r="B8674" s="65" t="s">
        <v>138</v>
      </c>
    </row>
    <row r="8675" spans="1:2" x14ac:dyDescent="0.25">
      <c r="A8675" s="64" t="str">
        <f>HYPERLINK("http://www.twitter.com/Pippi505", "Pippi505")</f>
        <v>Pippi505</v>
      </c>
      <c r="B8675" s="65" t="s">
        <v>6659</v>
      </c>
    </row>
    <row r="8676" spans="1:2" x14ac:dyDescent="0.25">
      <c r="A8676" s="64" t="str">
        <f>HYPERLINK("http://www.twitter.com/srbishop", "srbishop")</f>
        <v>srbishop</v>
      </c>
      <c r="B8676" s="65" t="s">
        <v>4275</v>
      </c>
    </row>
    <row r="8677" spans="1:2" x14ac:dyDescent="0.25">
      <c r="A8677" s="64" t="str">
        <f>HYPERLINK("http://www.twitter.com/MoNigheanRuadh", "MoNigheanRuadh")</f>
        <v>MoNigheanRuadh</v>
      </c>
      <c r="B8677" s="65"/>
    </row>
    <row r="8678" spans="1:2" x14ac:dyDescent="0.25">
      <c r="A8678" s="64" t="str">
        <f>HYPERLINK("http://www.twitter.com/JerryA_UK", "JerryA_UK")</f>
        <v>JerryA_UK</v>
      </c>
      <c r="B8678" s="65" t="s">
        <v>6660</v>
      </c>
    </row>
    <row r="8679" spans="1:2" x14ac:dyDescent="0.25">
      <c r="A8679" s="64" t="str">
        <f>HYPERLINK("http://www.twitter.com/SCMCapel", "SCMCapel")</f>
        <v>SCMCapel</v>
      </c>
      <c r="B8679" s="65" t="s">
        <v>296</v>
      </c>
    </row>
    <row r="8680" spans="1:2" x14ac:dyDescent="0.25">
      <c r="A8680" s="64" t="str">
        <f>HYPERLINK("http://www.twitter.com/Library_RIA", "Library_RIA")</f>
        <v>Library_RIA</v>
      </c>
      <c r="B8680" s="65" t="s">
        <v>3760</v>
      </c>
    </row>
    <row r="8681" spans="1:2" x14ac:dyDescent="0.25">
      <c r="A8681" s="64" t="str">
        <f>HYPERLINK("http://www.twitter.com/TaraNipe", "TaraNipe")</f>
        <v>TaraNipe</v>
      </c>
      <c r="B8681" s="65" t="s">
        <v>4147</v>
      </c>
    </row>
    <row r="8682" spans="1:2" x14ac:dyDescent="0.25">
      <c r="A8682" s="64" t="str">
        <f>HYPERLINK("http://www.twitter.com/MjvarleyVarley", "MjvarleyVarley")</f>
        <v>MjvarleyVarley</v>
      </c>
      <c r="B8682" s="65"/>
    </row>
    <row r="8683" spans="1:2" x14ac:dyDescent="0.25">
      <c r="A8683" s="64" t="str">
        <f>HYPERLINK("http://www.twitter.com/ArtWorksTheMill", "ArtWorksTheMill")</f>
        <v>ArtWorksTheMill</v>
      </c>
      <c r="B8683" s="65"/>
    </row>
    <row r="8684" spans="1:2" x14ac:dyDescent="0.25">
      <c r="A8684" s="64" t="str">
        <f>HYPERLINK("http://www.twitter.com/sam73mck", "sam73mck")</f>
        <v>sam73mck</v>
      </c>
      <c r="B8684" s="65" t="s">
        <v>6661</v>
      </c>
    </row>
    <row r="8685" spans="1:2" x14ac:dyDescent="0.25">
      <c r="A8685" s="64" t="str">
        <f>HYPERLINK("http://www.twitter.com/ProfWCox", "ProfWCox")</f>
        <v>ProfWCox</v>
      </c>
      <c r="B8685" s="65" t="s">
        <v>3798</v>
      </c>
    </row>
    <row r="8686" spans="1:2" x14ac:dyDescent="0.25">
      <c r="A8686" s="64" t="str">
        <f>HYPERLINK("http://www.twitter.com/cranorama", "cranorama")</f>
        <v>cranorama</v>
      </c>
      <c r="B8686" s="65" t="s">
        <v>6662</v>
      </c>
    </row>
    <row r="8687" spans="1:2" x14ac:dyDescent="0.25">
      <c r="A8687" s="64" t="str">
        <f>HYPERLINK("http://www.twitter.com/MgniM", "MgniM")</f>
        <v>MgniM</v>
      </c>
      <c r="B8687" s="65" t="s">
        <v>5591</v>
      </c>
    </row>
    <row r="8688" spans="1:2" x14ac:dyDescent="0.25">
      <c r="A8688" s="64" t="str">
        <f>HYPERLINK("http://www.twitter.com/saracrump", "saracrump")</f>
        <v>saracrump</v>
      </c>
      <c r="B8688" s="65"/>
    </row>
    <row r="8689" spans="1:2" x14ac:dyDescent="0.25">
      <c r="A8689" s="64" t="str">
        <f>HYPERLINK("http://www.twitter.com/Leora52", "Leora52")</f>
        <v>Leora52</v>
      </c>
      <c r="B8689" s="65" t="s">
        <v>6663</v>
      </c>
    </row>
    <row r="8690" spans="1:2" x14ac:dyDescent="0.25">
      <c r="A8690" s="64" t="str">
        <f>HYPERLINK("http://www.twitter.com/Clifflirt", "Clifflirt")</f>
        <v>Clifflirt</v>
      </c>
      <c r="B8690" s="65" t="s">
        <v>4291</v>
      </c>
    </row>
    <row r="8691" spans="1:2" x14ac:dyDescent="0.25">
      <c r="A8691" s="64" t="str">
        <f>HYPERLINK("http://www.twitter.com/spinky30", "spinky30")</f>
        <v>spinky30</v>
      </c>
      <c r="B8691" s="65"/>
    </row>
    <row r="8692" spans="1:2" x14ac:dyDescent="0.25">
      <c r="A8692" s="64" t="str">
        <f>HYPERLINK("http://www.twitter.com/holyguacamole94", "holyguacamole94")</f>
        <v>holyguacamole94</v>
      </c>
      <c r="B8692" s="65" t="s">
        <v>6664</v>
      </c>
    </row>
    <row r="8693" spans="1:2" x14ac:dyDescent="0.25">
      <c r="A8693" s="64" t="str">
        <f>HYPERLINK("http://www.twitter.com/beenbutling", "beenbutling")</f>
        <v>beenbutling</v>
      </c>
      <c r="B8693" s="65" t="s">
        <v>4095</v>
      </c>
    </row>
    <row r="8694" spans="1:2" x14ac:dyDescent="0.25">
      <c r="A8694" s="64" t="str">
        <f>HYPERLINK("http://www.twitter.com/tlscadden1", "tlscadden1")</f>
        <v>tlscadden1</v>
      </c>
      <c r="B8694" s="65" t="s">
        <v>4161</v>
      </c>
    </row>
    <row r="8695" spans="1:2" x14ac:dyDescent="0.25">
      <c r="A8695" s="64" t="str">
        <f>HYPERLINK("http://www.twitter.com/AdmiralPhil", "AdmiralPhil")</f>
        <v>AdmiralPhil</v>
      </c>
      <c r="B8695" s="65"/>
    </row>
    <row r="8696" spans="1:2" x14ac:dyDescent="0.25">
      <c r="A8696" s="64" t="str">
        <f>HYPERLINK("http://www.twitter.com/diannehastie", "diannehastie")</f>
        <v>diannehastie</v>
      </c>
      <c r="B8696" s="65"/>
    </row>
    <row r="8697" spans="1:2" x14ac:dyDescent="0.25">
      <c r="A8697" s="64" t="str">
        <f>HYPERLINK("http://www.twitter.com/SquarePegShoes", "SquarePegShoes")</f>
        <v>SquarePegShoes</v>
      </c>
      <c r="B8697" s="65" t="s">
        <v>4347</v>
      </c>
    </row>
    <row r="8698" spans="1:2" x14ac:dyDescent="0.25">
      <c r="A8698" s="64" t="str">
        <f>HYPERLINK("http://www.twitter.com/jamesmclo", "jamesmclo")</f>
        <v>jamesmclo</v>
      </c>
      <c r="B8698" s="65"/>
    </row>
    <row r="8699" spans="1:2" x14ac:dyDescent="0.25">
      <c r="A8699" s="64" t="str">
        <f>HYPERLINK("http://www.twitter.com/HarlingPJ", "HarlingPJ")</f>
        <v>HarlingPJ</v>
      </c>
      <c r="B8699" s="65" t="s">
        <v>6665</v>
      </c>
    </row>
    <row r="8700" spans="1:2" x14ac:dyDescent="0.25">
      <c r="A8700" s="64" t="str">
        <f>HYPERLINK("http://www.twitter.com/lubags1", "lubags1")</f>
        <v>lubags1</v>
      </c>
      <c r="B8700" s="65"/>
    </row>
    <row r="8701" spans="1:2" x14ac:dyDescent="0.25">
      <c r="A8701" s="64" t="str">
        <f>HYPERLINK("http://www.twitter.com/plum845", "plum845")</f>
        <v>plum845</v>
      </c>
      <c r="B8701" s="65"/>
    </row>
    <row r="8702" spans="1:2" x14ac:dyDescent="0.25">
      <c r="A8702" s="64" t="str">
        <f>HYPERLINK("http://www.twitter.com/team1978", "team1978")</f>
        <v>team1978</v>
      </c>
      <c r="B8702" s="65" t="s">
        <v>487</v>
      </c>
    </row>
    <row r="8703" spans="1:2" x14ac:dyDescent="0.25">
      <c r="A8703" s="64" t="str">
        <f>HYPERLINK("http://www.twitter.com/jacqyerbody", "jacqyerbody")</f>
        <v>jacqyerbody</v>
      </c>
      <c r="B8703" s="65" t="s">
        <v>318</v>
      </c>
    </row>
    <row r="8704" spans="1:2" x14ac:dyDescent="0.25">
      <c r="A8704" s="64" t="str">
        <f>HYPERLINK("http://www.twitter.com/theonlywayisup", "theonlywayisup")</f>
        <v>theonlywayisup</v>
      </c>
      <c r="B8704" s="65" t="s">
        <v>2134</v>
      </c>
    </row>
    <row r="8705" spans="1:2" x14ac:dyDescent="0.25">
      <c r="A8705" s="64" t="str">
        <f>HYPERLINK("http://www.twitter.com/janebramley", "janebramley")</f>
        <v>janebramley</v>
      </c>
      <c r="B8705" s="65" t="s">
        <v>920</v>
      </c>
    </row>
    <row r="8706" spans="1:2" x14ac:dyDescent="0.25">
      <c r="A8706" s="64" t="str">
        <f>HYPERLINK("http://www.twitter.com/PipAdam", "PipAdam")</f>
        <v>PipAdam</v>
      </c>
      <c r="B8706" s="65" t="s">
        <v>4247</v>
      </c>
    </row>
    <row r="8707" spans="1:2" x14ac:dyDescent="0.25">
      <c r="A8707" s="64" t="str">
        <f>HYPERLINK("http://www.twitter.com/Novembervivi", "Novembervivi")</f>
        <v>Novembervivi</v>
      </c>
      <c r="B8707" s="65"/>
    </row>
    <row r="8708" spans="1:2" x14ac:dyDescent="0.25">
      <c r="A8708" s="64" t="str">
        <f>HYPERLINK("http://www.twitter.com/sharedsilence", "sharedsilence")</f>
        <v>sharedsilence</v>
      </c>
      <c r="B8708" s="65" t="s">
        <v>6666</v>
      </c>
    </row>
    <row r="8709" spans="1:2" x14ac:dyDescent="0.25">
      <c r="A8709" s="64" t="str">
        <f>HYPERLINK("http://www.twitter.com/TimHowe23", "TimHowe23")</f>
        <v>TimHowe23</v>
      </c>
      <c r="B8709" s="65"/>
    </row>
    <row r="8710" spans="1:2" x14ac:dyDescent="0.25">
      <c r="A8710" s="64" t="str">
        <f>HYPERLINK("http://www.twitter.com/KateBrowne14", "KateBrowne14")</f>
        <v>KateBrowne14</v>
      </c>
      <c r="B8710" s="65"/>
    </row>
    <row r="8711" spans="1:2" x14ac:dyDescent="0.25">
      <c r="A8711" s="64" t="str">
        <f>HYPERLINK("http://www.twitter.com/girlhermes", "girlhermes")</f>
        <v>girlhermes</v>
      </c>
      <c r="B8711" s="65" t="s">
        <v>477</v>
      </c>
    </row>
    <row r="8712" spans="1:2" x14ac:dyDescent="0.25">
      <c r="A8712" s="64" t="str">
        <f>HYPERLINK("http://www.twitter.com/spudgun67", "spudgun67")</f>
        <v>spudgun67</v>
      </c>
      <c r="B8712" s="65" t="s">
        <v>6667</v>
      </c>
    </row>
    <row r="8713" spans="1:2" x14ac:dyDescent="0.25">
      <c r="A8713" s="64" t="str">
        <f>HYPERLINK("http://www.twitter.com/acidadam", "acidadam")</f>
        <v>acidadam</v>
      </c>
      <c r="B8713" s="65" t="s">
        <v>6668</v>
      </c>
    </row>
    <row r="8714" spans="1:2" x14ac:dyDescent="0.25">
      <c r="A8714" s="64" t="str">
        <f>HYPERLINK("http://www.twitter.com/Historyscape", "Historyscape")</f>
        <v>Historyscape</v>
      </c>
      <c r="B8714" s="65" t="s">
        <v>477</v>
      </c>
    </row>
    <row r="8715" spans="1:2" x14ac:dyDescent="0.25">
      <c r="A8715" s="64" t="str">
        <f>HYPERLINK("http://www.twitter.com/alanrgibson1", "alanrgibson1")</f>
        <v>alanrgibson1</v>
      </c>
      <c r="B8715" s="65"/>
    </row>
    <row r="8716" spans="1:2" x14ac:dyDescent="0.25">
      <c r="A8716" s="64" t="str">
        <f>HYPERLINK("http://www.twitter.com/Adam_Bircher", "Adam_Bircher")</f>
        <v>Adam_Bircher</v>
      </c>
      <c r="B8716" s="65" t="s">
        <v>6669</v>
      </c>
    </row>
    <row r="8717" spans="1:2" x14ac:dyDescent="0.25">
      <c r="A8717" s="64" t="str">
        <f>HYPERLINK("http://www.twitter.com/FunkyDrHuxtable", "FunkyDrHuxtable")</f>
        <v>FunkyDrHuxtable</v>
      </c>
      <c r="B8717" s="65" t="s">
        <v>6670</v>
      </c>
    </row>
    <row r="8718" spans="1:2" x14ac:dyDescent="0.25">
      <c r="A8718" s="64" t="str">
        <f>HYPERLINK("http://www.twitter.com/thewestonman", "thewestonman")</f>
        <v>thewestonman</v>
      </c>
      <c r="B8718" s="65"/>
    </row>
    <row r="8719" spans="1:2" x14ac:dyDescent="0.25">
      <c r="A8719" s="64" t="str">
        <f>HYPERLINK("http://www.twitter.com/jessrigden11", "jessrigden11")</f>
        <v>jessrigden11</v>
      </c>
      <c r="B8719" s="65"/>
    </row>
    <row r="8720" spans="1:2" x14ac:dyDescent="0.25">
      <c r="A8720" s="64" t="str">
        <f>HYPERLINK("http://www.twitter.com/oneinthewindow", "oneinthewindow")</f>
        <v>oneinthewindow</v>
      </c>
      <c r="B8720" s="65" t="s">
        <v>6671</v>
      </c>
    </row>
    <row r="8721" spans="1:2" x14ac:dyDescent="0.25">
      <c r="A8721" s="64" t="str">
        <f>HYPERLINK("http://www.twitter.com/tweetingmic", "tweetingmic")</f>
        <v>tweetingmic</v>
      </c>
      <c r="B8721" s="65"/>
    </row>
    <row r="8722" spans="1:2" x14ac:dyDescent="0.25">
      <c r="A8722" s="64" t="str">
        <f>HYPERLINK("http://www.twitter.com/ReekieJ", "ReekieJ")</f>
        <v>ReekieJ</v>
      </c>
      <c r="B8722" s="65" t="s">
        <v>6672</v>
      </c>
    </row>
    <row r="8723" spans="1:2" x14ac:dyDescent="0.25">
      <c r="A8723" s="64" t="str">
        <f>HYPERLINK("http://www.twitter.com/misterwerns", "misterwerns")</f>
        <v>misterwerns</v>
      </c>
      <c r="B8723" s="65" t="s">
        <v>4570</v>
      </c>
    </row>
    <row r="8724" spans="1:2" x14ac:dyDescent="0.25">
      <c r="A8724" s="64" t="str">
        <f>HYPERLINK("http://www.twitter.com/vrandallart", "vrandallart")</f>
        <v>vrandallart</v>
      </c>
      <c r="B8724" s="65" t="s">
        <v>1098</v>
      </c>
    </row>
    <row r="8725" spans="1:2" x14ac:dyDescent="0.25">
      <c r="A8725" s="64" t="str">
        <f>HYPERLINK("http://www.twitter.com/MiceElfAgin", "MiceElfAgin")</f>
        <v>MiceElfAgin</v>
      </c>
      <c r="B8725" s="65" t="s">
        <v>6673</v>
      </c>
    </row>
    <row r="8726" spans="1:2" x14ac:dyDescent="0.25">
      <c r="A8726" s="64" t="str">
        <f>HYPERLINK("http://www.twitter.com/oaptobe", "oaptobe")</f>
        <v>oaptobe</v>
      </c>
      <c r="B8726" s="65"/>
    </row>
    <row r="8727" spans="1:2" x14ac:dyDescent="0.25">
      <c r="A8727" s="64" t="str">
        <f>HYPERLINK("http://www.twitter.com/ccgdavidson", "ccgdavidson")</f>
        <v>ccgdavidson</v>
      </c>
      <c r="B8727" s="65" t="s">
        <v>6674</v>
      </c>
    </row>
    <row r="8728" spans="1:2" x14ac:dyDescent="0.25">
      <c r="A8728" s="64" t="str">
        <f>HYPERLINK("http://www.twitter.com/_KatieDyer_", "_KatieDyer_")</f>
        <v>_KatieDyer_</v>
      </c>
      <c r="B8728" s="65" t="s">
        <v>6675</v>
      </c>
    </row>
    <row r="8729" spans="1:2" x14ac:dyDescent="0.25">
      <c r="A8729" s="64" t="str">
        <f>HYPERLINK("http://www.twitter.com/caznthat", "caznthat")</f>
        <v>caznthat</v>
      </c>
      <c r="B8729" s="65" t="s">
        <v>477</v>
      </c>
    </row>
    <row r="8730" spans="1:2" x14ac:dyDescent="0.25">
      <c r="A8730" s="64" t="str">
        <f>HYPERLINK("http://www.twitter.com/LamontCranstonn", "LamontCranstonn")</f>
        <v>LamontCranstonn</v>
      </c>
      <c r="B8730" s="65"/>
    </row>
    <row r="8731" spans="1:2" x14ac:dyDescent="0.25">
      <c r="A8731" s="64" t="str">
        <f>HYPERLINK("http://www.twitter.com/Ed40Carter", "Ed40Carter")</f>
        <v>Ed40Carter</v>
      </c>
      <c r="B8731" s="65" t="s">
        <v>36</v>
      </c>
    </row>
    <row r="8732" spans="1:2" x14ac:dyDescent="0.25">
      <c r="A8732" s="64" t="str">
        <f>HYPERLINK("http://www.twitter.com/RustyMcGee", "RustyMcGee")</f>
        <v>RustyMcGee</v>
      </c>
      <c r="B8732" s="65"/>
    </row>
    <row r="8733" spans="1:2" x14ac:dyDescent="0.25">
      <c r="A8733" s="64" t="str">
        <f>HYPERLINK("http://www.twitter.com/luminousglass", "luminousglass")</f>
        <v>luminousglass</v>
      </c>
      <c r="B8733" s="65" t="s">
        <v>6492</v>
      </c>
    </row>
    <row r="8734" spans="1:2" x14ac:dyDescent="0.25">
      <c r="A8734" s="64" t="str">
        <f>HYPERLINK("http://www.twitter.com/fflwilson", "fflwilson")</f>
        <v>fflwilson</v>
      </c>
      <c r="B8734" s="65" t="s">
        <v>6676</v>
      </c>
    </row>
    <row r="8735" spans="1:2" x14ac:dyDescent="0.25">
      <c r="A8735" s="64" t="str">
        <f>HYPERLINK("http://www.twitter.com/dannyjx", "dannyjx")</f>
        <v>dannyjx</v>
      </c>
      <c r="B8735" s="65"/>
    </row>
    <row r="8736" spans="1:2" x14ac:dyDescent="0.25">
      <c r="A8736" s="64" t="str">
        <f>HYPERLINK("http://www.twitter.com/KaySocLearn", "KaySocLearn")</f>
        <v>KaySocLearn</v>
      </c>
      <c r="B8736" s="65" t="s">
        <v>4501</v>
      </c>
    </row>
    <row r="8737" spans="1:2" x14ac:dyDescent="0.25">
      <c r="A8737" s="64" t="str">
        <f>HYPERLINK("http://www.twitter.com/Coldwar_Steve", "Coldwar_Steve")</f>
        <v>Coldwar_Steve</v>
      </c>
      <c r="B8737" s="65"/>
    </row>
    <row r="8738" spans="1:2" x14ac:dyDescent="0.25">
      <c r="A8738" s="64" t="str">
        <f>HYPERLINK("http://www.twitter.com/szmelly", "szmelly")</f>
        <v>szmelly</v>
      </c>
      <c r="B8738" s="65"/>
    </row>
    <row r="8739" spans="1:2" x14ac:dyDescent="0.25">
      <c r="A8739" s="64" t="str">
        <f>HYPERLINK("http://www.twitter.com/turdvolcano", "turdvolcano")</f>
        <v>turdvolcano</v>
      </c>
      <c r="B8739" s="65"/>
    </row>
    <row r="8740" spans="1:2" x14ac:dyDescent="0.25">
      <c r="A8740" s="64" t="str">
        <f>HYPERLINK("http://www.twitter.com/HeeleySteve", "HeeleySteve")</f>
        <v>HeeleySteve</v>
      </c>
      <c r="B8740" s="65" t="s">
        <v>688</v>
      </c>
    </row>
    <row r="8741" spans="1:2" x14ac:dyDescent="0.25">
      <c r="A8741" s="64" t="str">
        <f>HYPERLINK("http://www.twitter.com/Lowfeller", "Lowfeller")</f>
        <v>Lowfeller</v>
      </c>
      <c r="B8741" s="65"/>
    </row>
    <row r="8742" spans="1:2" x14ac:dyDescent="0.25">
      <c r="A8742" s="64" t="str">
        <f>HYPERLINK("http://www.twitter.com/TheWrongNoel", "TheWrongNoel")</f>
        <v>TheWrongNoel</v>
      </c>
      <c r="B8742" s="65"/>
    </row>
    <row r="8743" spans="1:2" x14ac:dyDescent="0.25">
      <c r="A8743" s="64" t="str">
        <f>HYPERLINK("http://www.twitter.com/millsotheblue", "millsotheblue")</f>
        <v>millsotheblue</v>
      </c>
      <c r="B8743" s="65" t="s">
        <v>6677</v>
      </c>
    </row>
    <row r="8744" spans="1:2" x14ac:dyDescent="0.25">
      <c r="A8744" s="64" t="str">
        <f>HYPERLINK("http://www.twitter.com/WildPaw", "WildPaw")</f>
        <v>WildPaw</v>
      </c>
      <c r="B8744" s="65" t="s">
        <v>70</v>
      </c>
    </row>
    <row r="8745" spans="1:2" x14ac:dyDescent="0.25">
      <c r="A8745" s="64" t="str">
        <f>HYPERLINK("http://www.twitter.com/MatthiasSchilf", "MatthiasSchilf")</f>
        <v>MatthiasSchilf</v>
      </c>
      <c r="B8745" s="65" t="s">
        <v>6678</v>
      </c>
    </row>
    <row r="8746" spans="1:2" x14ac:dyDescent="0.25">
      <c r="A8746" s="64" t="str">
        <f>HYPERLINK("http://www.twitter.com/Alymac74", "Alymac74")</f>
        <v>Alymac74</v>
      </c>
      <c r="B8746" s="65"/>
    </row>
    <row r="8747" spans="1:2" x14ac:dyDescent="0.25">
      <c r="A8747" s="64" t="str">
        <f>HYPERLINK("http://www.twitter.com/perfpoets", "perfpoets")</f>
        <v>perfpoets</v>
      </c>
      <c r="B8747" s="65" t="s">
        <v>3040</v>
      </c>
    </row>
    <row r="8748" spans="1:2" x14ac:dyDescent="0.25">
      <c r="A8748" s="64" t="str">
        <f>HYPERLINK("http://www.twitter.com/cathjpage", "cathjpage")</f>
        <v>cathjpage</v>
      </c>
      <c r="B8748" s="65" t="s">
        <v>3850</v>
      </c>
    </row>
    <row r="8749" spans="1:2" x14ac:dyDescent="0.25">
      <c r="A8749" s="64" t="str">
        <f>HYPERLINK("http://www.twitter.com/LL3E2T", "LL3E2T")</f>
        <v>LL3E2T</v>
      </c>
      <c r="B8749" s="65"/>
    </row>
    <row r="8750" spans="1:2" x14ac:dyDescent="0.25">
      <c r="A8750" s="64" t="str">
        <f>HYPERLINK("http://www.twitter.com/rantin_scot", "rantin_scot")</f>
        <v>rantin_scot</v>
      </c>
      <c r="B8750" s="65"/>
    </row>
    <row r="8751" spans="1:2" x14ac:dyDescent="0.25">
      <c r="A8751" s="64" t="str">
        <f>HYPERLINK("http://www.twitter.com/readwritefit", "readwritefit")</f>
        <v>readwritefit</v>
      </c>
      <c r="B8751" s="65"/>
    </row>
    <row r="8752" spans="1:2" x14ac:dyDescent="0.25">
      <c r="A8752" s="64" t="str">
        <f>HYPERLINK("http://www.twitter.com/richard_tatham", "richard_tatham")</f>
        <v>richard_tatham</v>
      </c>
      <c r="B8752" s="65" t="s">
        <v>4780</v>
      </c>
    </row>
    <row r="8753" spans="1:2" x14ac:dyDescent="0.25">
      <c r="A8753" s="64" t="str">
        <f>HYPERLINK("http://www.twitter.com/andypstevenson", "andypstevenson")</f>
        <v>andypstevenson</v>
      </c>
      <c r="B8753" s="65" t="s">
        <v>5777</v>
      </c>
    </row>
    <row r="8754" spans="1:2" x14ac:dyDescent="0.25">
      <c r="A8754" s="64" t="str">
        <f>HYPERLINK("http://www.twitter.com/mgtmccartney", "mgtmccartney")</f>
        <v>mgtmccartney</v>
      </c>
      <c r="B8754" s="65" t="s">
        <v>138</v>
      </c>
    </row>
    <row r="8755" spans="1:2" x14ac:dyDescent="0.25">
      <c r="A8755" s="64" t="str">
        <f>HYPERLINK("http://www.twitter.com/_mistiu", "_mistiu")</f>
        <v>_mistiu</v>
      </c>
      <c r="B8755" s="65" t="s">
        <v>6679</v>
      </c>
    </row>
    <row r="8756" spans="1:2" x14ac:dyDescent="0.25">
      <c r="A8756" s="64" t="str">
        <f>HYPERLINK("http://www.twitter.com/top_bunny", "top_bunny")</f>
        <v>top_bunny</v>
      </c>
      <c r="B8756" s="65"/>
    </row>
    <row r="8757" spans="1:2" x14ac:dyDescent="0.25">
      <c r="A8757" s="64" t="str">
        <f>HYPERLINK("http://www.twitter.com/shangallie", "shangallie")</f>
        <v>shangallie</v>
      </c>
      <c r="B8757" s="65" t="s">
        <v>6680</v>
      </c>
    </row>
    <row r="8758" spans="1:2" x14ac:dyDescent="0.25">
      <c r="A8758" s="64" t="str">
        <f>HYPERLINK("http://www.twitter.com/kenfleming66", "kenfleming66")</f>
        <v>kenfleming66</v>
      </c>
      <c r="B8758" s="65"/>
    </row>
    <row r="8759" spans="1:2" x14ac:dyDescent="0.25">
      <c r="A8759" s="64" t="str">
        <f>HYPERLINK("http://www.twitter.com/David_Annandale", "David_Annandale")</f>
        <v>David_Annandale</v>
      </c>
      <c r="B8759" s="65"/>
    </row>
    <row r="8760" spans="1:2" x14ac:dyDescent="0.25">
      <c r="A8760" s="64" t="str">
        <f>HYPERLINK("http://www.twitter.com/Lena__Wolff", "Lena__Wolff")</f>
        <v>Lena__Wolff</v>
      </c>
      <c r="B8760" s="65" t="s">
        <v>6681</v>
      </c>
    </row>
    <row r="8761" spans="1:2" x14ac:dyDescent="0.25">
      <c r="A8761" s="64" t="str">
        <f>HYPERLINK("http://www.twitter.com/MichaelKaan0", "MichaelKaan0")</f>
        <v>MichaelKaan0</v>
      </c>
      <c r="B8761" s="65"/>
    </row>
    <row r="8762" spans="1:2" x14ac:dyDescent="0.25">
      <c r="A8762" s="64" t="str">
        <f>HYPERLINK("http://www.twitter.com/somevisualtext", "somevisualtext")</f>
        <v>somevisualtext</v>
      </c>
      <c r="B8762" s="65" t="s">
        <v>2792</v>
      </c>
    </row>
    <row r="8763" spans="1:2" x14ac:dyDescent="0.25">
      <c r="A8763" s="64" t="str">
        <f>HYPERLINK("http://www.twitter.com/megstar73", "megstar73")</f>
        <v>megstar73</v>
      </c>
      <c r="B8763" s="65" t="s">
        <v>6682</v>
      </c>
    </row>
    <row r="8764" spans="1:2" x14ac:dyDescent="0.25">
      <c r="A8764" s="64" t="str">
        <f>HYPERLINK("http://www.twitter.com/StrangetownFunk", "StrangetownFunk")</f>
        <v>StrangetownFunk</v>
      </c>
      <c r="B8764" s="65" t="s">
        <v>6683</v>
      </c>
    </row>
    <row r="8765" spans="1:2" x14ac:dyDescent="0.25">
      <c r="A8765" s="64" t="str">
        <f>HYPERLINK("http://www.twitter.com/alanrew", "alanrew")</f>
        <v>alanrew</v>
      </c>
      <c r="B8765" s="65" t="s">
        <v>296</v>
      </c>
    </row>
    <row r="8766" spans="1:2" x14ac:dyDescent="0.25">
      <c r="A8766" s="64" t="str">
        <f>HYPERLINK("http://www.twitter.com/fitay59", "fitay59")</f>
        <v>fitay59</v>
      </c>
      <c r="B8766" s="65" t="s">
        <v>232</v>
      </c>
    </row>
    <row r="8767" spans="1:2" x14ac:dyDescent="0.25">
      <c r="A8767" s="64" t="str">
        <f>HYPERLINK("http://www.twitter.com/littledipx", "littledipx")</f>
        <v>littledipx</v>
      </c>
      <c r="B8767" s="65"/>
    </row>
    <row r="8768" spans="1:2" x14ac:dyDescent="0.25">
      <c r="A8768" s="64" t="str">
        <f>HYPERLINK("http://www.twitter.com/jenlken", "jenlken")</f>
        <v>jenlken</v>
      </c>
      <c r="B8768" s="65" t="s">
        <v>138</v>
      </c>
    </row>
    <row r="8769" spans="1:2" x14ac:dyDescent="0.25">
      <c r="A8769" s="64" t="str">
        <f>HYPERLINK("http://www.twitter.com/benelliotleach", "benelliotleach")</f>
        <v>benelliotleach</v>
      </c>
      <c r="B8769" s="65" t="s">
        <v>6684</v>
      </c>
    </row>
    <row r="8770" spans="1:2" x14ac:dyDescent="0.25">
      <c r="A8770" s="64" t="str">
        <f>HYPERLINK("http://www.twitter.com/caviar_diva", "caviar_diva")</f>
        <v>caviar_diva</v>
      </c>
      <c r="B8770" s="65" t="s">
        <v>3863</v>
      </c>
    </row>
    <row r="8771" spans="1:2" x14ac:dyDescent="0.25">
      <c r="A8771" s="64" t="str">
        <f>HYPERLINK("http://www.twitter.com/readingcampaign", "readingcampaign")</f>
        <v>readingcampaign</v>
      </c>
      <c r="B8771" s="65" t="s">
        <v>3948</v>
      </c>
    </row>
    <row r="8772" spans="1:2" x14ac:dyDescent="0.25">
      <c r="A8772" s="64" t="str">
        <f>HYPERLINK("http://www.twitter.com/DonaldMacleod01", "DonaldMacleod01")</f>
        <v>DonaldMacleod01</v>
      </c>
      <c r="B8772" s="65" t="s">
        <v>36</v>
      </c>
    </row>
    <row r="8773" spans="1:2" x14ac:dyDescent="0.25">
      <c r="A8773" s="64" t="str">
        <f>HYPERLINK("http://www.twitter.com/S_Carden", "S_Carden")</f>
        <v>S_Carden</v>
      </c>
      <c r="B8773" s="65" t="s">
        <v>115</v>
      </c>
    </row>
    <row r="8774" spans="1:2" x14ac:dyDescent="0.25">
      <c r="A8774" s="64" t="str">
        <f>HYPERLINK("http://www.twitter.com/barbclarkross", "barbclarkross")</f>
        <v>barbclarkross</v>
      </c>
      <c r="B8774" s="65" t="s">
        <v>4678</v>
      </c>
    </row>
    <row r="8775" spans="1:2" x14ac:dyDescent="0.25">
      <c r="A8775" s="64" t="str">
        <f>HYPERLINK("http://www.twitter.com/plummyplummy", "plummyplummy")</f>
        <v>plummyplummy</v>
      </c>
      <c r="B8775" s="65" t="s">
        <v>6685</v>
      </c>
    </row>
    <row r="8776" spans="1:2" x14ac:dyDescent="0.25">
      <c r="A8776" s="64" t="str">
        <f>HYPERLINK("http://www.twitter.com/witty_reader", "witty_reader")</f>
        <v>witty_reader</v>
      </c>
      <c r="B8776" s="65" t="s">
        <v>6686</v>
      </c>
    </row>
    <row r="8777" spans="1:2" x14ac:dyDescent="0.25">
      <c r="A8777" s="64" t="str">
        <f>HYPERLINK("http://www.twitter.com/BogglesJB", "BogglesJB")</f>
        <v>BogglesJB</v>
      </c>
      <c r="B8777" s="65" t="s">
        <v>6687</v>
      </c>
    </row>
    <row r="8778" spans="1:2" x14ac:dyDescent="0.25">
      <c r="A8778" s="64" t="str">
        <f>HYPERLINK("http://www.twitter.com/rosbarber", "rosbarber")</f>
        <v>rosbarber</v>
      </c>
      <c r="B8778" s="65" t="s">
        <v>6688</v>
      </c>
    </row>
    <row r="8779" spans="1:2" x14ac:dyDescent="0.25">
      <c r="A8779" s="64" t="str">
        <f>HYPERLINK("http://www.twitter.com/PearsonVUEjobs", "PearsonVUEjobs")</f>
        <v>PearsonVUEjobs</v>
      </c>
      <c r="B8779" s="65"/>
    </row>
    <row r="8780" spans="1:2" x14ac:dyDescent="0.25">
      <c r="A8780" s="64" t="str">
        <f>HYPERLINK("http://www.twitter.com/janepottie", "janepottie")</f>
        <v>janepottie</v>
      </c>
      <c r="B8780" s="65" t="s">
        <v>4050</v>
      </c>
    </row>
    <row r="8781" spans="1:2" x14ac:dyDescent="0.25">
      <c r="A8781" s="64" t="str">
        <f>HYPERLINK("http://www.twitter.com/libglib", "libglib")</f>
        <v>libglib</v>
      </c>
      <c r="B8781" s="65" t="s">
        <v>508</v>
      </c>
    </row>
    <row r="8782" spans="1:2" x14ac:dyDescent="0.25">
      <c r="A8782" s="64" t="str">
        <f>HYPERLINK("http://www.twitter.com/LeoandtheLion", "LeoandtheLion")</f>
        <v>LeoandtheLion</v>
      </c>
      <c r="B8782" s="65" t="s">
        <v>138</v>
      </c>
    </row>
    <row r="8783" spans="1:2" x14ac:dyDescent="0.25">
      <c r="A8783" s="64" t="str">
        <f>HYPERLINK("http://www.twitter.com/ferneklang", "ferneklang")</f>
        <v>ferneklang</v>
      </c>
      <c r="B8783" s="65" t="s">
        <v>4716</v>
      </c>
    </row>
    <row r="8784" spans="1:2" x14ac:dyDescent="0.25">
      <c r="A8784" s="64" t="str">
        <f>HYPERLINK("http://www.twitter.com/LCH_Library", "LCH_Library")</f>
        <v>LCH_Library</v>
      </c>
      <c r="B8784" s="65" t="s">
        <v>93</v>
      </c>
    </row>
    <row r="8785" spans="1:2" x14ac:dyDescent="0.25">
      <c r="A8785" s="64" t="str">
        <f>HYPERLINK("http://www.twitter.com/EPeoplesTheatre", "EPeoplesTheatre")</f>
        <v>EPeoplesTheatre</v>
      </c>
      <c r="B8785" s="65" t="s">
        <v>487</v>
      </c>
    </row>
    <row r="8786" spans="1:2" x14ac:dyDescent="0.25">
      <c r="A8786" s="64" t="str">
        <f>HYPERLINK("http://www.twitter.com/idobookcovers", "idobookcovers")</f>
        <v>idobookcovers</v>
      </c>
      <c r="B8786" s="65" t="s">
        <v>1980</v>
      </c>
    </row>
    <row r="8787" spans="1:2" x14ac:dyDescent="0.25">
      <c r="A8787" s="64" t="str">
        <f>HYPERLINK("http://www.twitter.com/LokiBoiii", "LokiBoiii")</f>
        <v>LokiBoiii</v>
      </c>
      <c r="B8787" s="65" t="s">
        <v>2007</v>
      </c>
    </row>
    <row r="8788" spans="1:2" x14ac:dyDescent="0.25">
      <c r="A8788" s="64" t="str">
        <f>HYPERLINK("http://www.twitter.com/GraemeHarrison6", "GraemeHarrison6")</f>
        <v>GraemeHarrison6</v>
      </c>
      <c r="B8788" s="65"/>
    </row>
    <row r="8789" spans="1:2" x14ac:dyDescent="0.25">
      <c r="A8789" s="64" t="str">
        <f>HYPERLINK("http://www.twitter.com/KotkaLib", "KotkaLib")</f>
        <v>KotkaLib</v>
      </c>
      <c r="B8789" s="65" t="s">
        <v>6689</v>
      </c>
    </row>
    <row r="8790" spans="1:2" x14ac:dyDescent="0.25">
      <c r="A8790" s="64" t="str">
        <f>HYPERLINK("http://www.twitter.com/Petershackleton", "Petershackleton")</f>
        <v>Petershackleton</v>
      </c>
      <c r="B8790" s="65" t="s">
        <v>6690</v>
      </c>
    </row>
    <row r="8791" spans="1:2" x14ac:dyDescent="0.25">
      <c r="A8791" s="64" t="str">
        <f>HYPERLINK("http://www.twitter.com/hannahjleslie", "hannahjleslie")</f>
        <v>hannahjleslie</v>
      </c>
      <c r="B8791" s="65" t="s">
        <v>3762</v>
      </c>
    </row>
    <row r="8792" spans="1:2" x14ac:dyDescent="0.25">
      <c r="A8792" s="64" t="str">
        <f>HYPERLINK("http://www.twitter.com/4deerhound", "4deerhound")</f>
        <v>4deerhound</v>
      </c>
      <c r="B8792" s="65" t="s">
        <v>6691</v>
      </c>
    </row>
    <row r="8793" spans="1:2" x14ac:dyDescent="0.25">
      <c r="A8793" s="64" t="str">
        <f>HYPERLINK("http://www.twitter.com/EWZuidema", "EWZuidema")</f>
        <v>EWZuidema</v>
      </c>
      <c r="B8793" s="65"/>
    </row>
    <row r="8794" spans="1:2" x14ac:dyDescent="0.25">
      <c r="A8794" s="64" t="str">
        <f>HYPERLINK("http://www.twitter.com/mysleepyrambles", "mysleepyrambles")</f>
        <v>mysleepyrambles</v>
      </c>
      <c r="B8794" s="65"/>
    </row>
    <row r="8795" spans="1:2" x14ac:dyDescent="0.25">
      <c r="A8795" s="64" t="str">
        <f>HYPERLINK("http://www.twitter.com/ILLINOISstacks", "ILLINOISstacks")</f>
        <v>ILLINOISstacks</v>
      </c>
      <c r="B8795" s="65" t="s">
        <v>6692</v>
      </c>
    </row>
    <row r="8796" spans="1:2" x14ac:dyDescent="0.25">
      <c r="A8796" s="64" t="str">
        <f>HYPERLINK("http://www.twitter.com/PanchalJigisha", "PanchalJigisha")</f>
        <v>PanchalJigisha</v>
      </c>
      <c r="B8796" s="65" t="s">
        <v>6693</v>
      </c>
    </row>
    <row r="8797" spans="1:2" x14ac:dyDescent="0.25">
      <c r="A8797" s="64" t="str">
        <f>HYPERLINK("http://www.twitter.com/gvslibrary1", "gvslibrary1")</f>
        <v>gvslibrary1</v>
      </c>
      <c r="B8797" s="65" t="s">
        <v>6694</v>
      </c>
    </row>
    <row r="8798" spans="1:2" x14ac:dyDescent="0.25">
      <c r="A8798" s="64" t="str">
        <f>HYPERLINK("http://www.twitter.com/greatestedson", "greatestedson")</f>
        <v>greatestedson</v>
      </c>
      <c r="B8798" s="65"/>
    </row>
    <row r="8799" spans="1:2" x14ac:dyDescent="0.25">
      <c r="A8799" s="64" t="str">
        <f>HYPERLINK("http://www.twitter.com/heliacalrisings", "heliacalrisings")</f>
        <v>heliacalrisings</v>
      </c>
      <c r="B8799" s="65" t="s">
        <v>6695</v>
      </c>
    </row>
    <row r="8800" spans="1:2" x14ac:dyDescent="0.25">
      <c r="A8800" s="64" t="str">
        <f>HYPERLINK("http://www.twitter.com/MancLibraries", "MancLibraries")</f>
        <v>MancLibraries</v>
      </c>
      <c r="B8800" s="65" t="s">
        <v>2289</v>
      </c>
    </row>
    <row r="8801" spans="1:2" x14ac:dyDescent="0.25">
      <c r="A8801" s="64" t="str">
        <f>HYPERLINK("http://www.twitter.com/Luisa_inthesky", "Luisa_inthesky")</f>
        <v>Luisa_inthesky</v>
      </c>
      <c r="B8801" s="65" t="s">
        <v>36</v>
      </c>
    </row>
    <row r="8802" spans="1:2" x14ac:dyDescent="0.25">
      <c r="A8802" s="64" t="str">
        <f>HYPERLINK("http://www.twitter.com/grievousangeluk", "grievousangeluk")</f>
        <v>grievousangeluk</v>
      </c>
      <c r="B8802" s="65" t="s">
        <v>6696</v>
      </c>
    </row>
    <row r="8803" spans="1:2" x14ac:dyDescent="0.25">
      <c r="A8803" s="64" t="str">
        <f>HYPERLINK("http://www.twitter.com/VoxLiminis", "VoxLiminis")</f>
        <v>VoxLiminis</v>
      </c>
      <c r="B8803" s="65"/>
    </row>
    <row r="8804" spans="1:2" x14ac:dyDescent="0.25">
      <c r="A8804" s="64" t="str">
        <f>HYPERLINK("http://www.twitter.com/ClEllio", "ClEllio")</f>
        <v>ClEllio</v>
      </c>
      <c r="B8804" s="65"/>
    </row>
    <row r="8805" spans="1:2" x14ac:dyDescent="0.25">
      <c r="A8805" s="64" t="str">
        <f>HYPERLINK("http://www.twitter.com/styleoverspeed1", "styleoverspeed1")</f>
        <v>styleoverspeed1</v>
      </c>
      <c r="B8805" s="65" t="s">
        <v>1377</v>
      </c>
    </row>
    <row r="8806" spans="1:2" x14ac:dyDescent="0.25">
      <c r="A8806" s="64" t="str">
        <f>HYPERLINK("http://www.twitter.com/DrEllenStu", "DrEllenStu")</f>
        <v>DrEllenStu</v>
      </c>
      <c r="B8806" s="65" t="s">
        <v>487</v>
      </c>
    </row>
    <row r="8807" spans="1:2" x14ac:dyDescent="0.25">
      <c r="A8807" s="64" t="str">
        <f>HYPERLINK("http://www.twitter.com/kikigz", "kikigz")</f>
        <v>kikigz</v>
      </c>
      <c r="B8807" s="65" t="s">
        <v>6697</v>
      </c>
    </row>
    <row r="8808" spans="1:2" x14ac:dyDescent="0.25">
      <c r="A8808" s="64" t="str">
        <f>HYPERLINK("http://www.twitter.com/CallMeSossidge", "CallMeSossidge")</f>
        <v>CallMeSossidge</v>
      </c>
      <c r="B8808" s="65"/>
    </row>
    <row r="8809" spans="1:2" x14ac:dyDescent="0.25">
      <c r="A8809" s="64" t="str">
        <f>HYPERLINK("http://www.twitter.com/BerylReidOBE", "BerylReidOBE")</f>
        <v>BerylReidOBE</v>
      </c>
      <c r="B8809" s="65" t="s">
        <v>296</v>
      </c>
    </row>
    <row r="8810" spans="1:2" x14ac:dyDescent="0.25">
      <c r="A8810" s="64" t="str">
        <f>HYPERLINK("http://www.twitter.com/poohbearthetsum", "poohbearthetsum")</f>
        <v>poohbearthetsum</v>
      </c>
      <c r="B8810" s="65" t="s">
        <v>514</v>
      </c>
    </row>
    <row r="8811" spans="1:2" x14ac:dyDescent="0.25">
      <c r="A8811" s="64" t="str">
        <f>HYPERLINK("http://www.twitter.com/hitaunni", "hitaunni")</f>
        <v>hitaunni</v>
      </c>
      <c r="B8811" s="65" t="s">
        <v>6698</v>
      </c>
    </row>
    <row r="8812" spans="1:2" x14ac:dyDescent="0.25">
      <c r="A8812" s="64" t="str">
        <f>HYPERLINK("http://www.twitter.com/leighmonty", "leighmonty")</f>
        <v>leighmonty</v>
      </c>
      <c r="B8812" s="65" t="s">
        <v>6699</v>
      </c>
    </row>
    <row r="8813" spans="1:2" x14ac:dyDescent="0.25">
      <c r="A8813" s="64" t="str">
        <f>HYPERLINK("http://www.twitter.com/ficam1967", "ficam1967")</f>
        <v>ficam1967</v>
      </c>
      <c r="B8813" s="65" t="s">
        <v>296</v>
      </c>
    </row>
    <row r="8814" spans="1:2" x14ac:dyDescent="0.25">
      <c r="A8814" s="64" t="str">
        <f>HYPERLINK("http://www.twitter.com/perryman_linda", "perryman_linda")</f>
        <v>perryman_linda</v>
      </c>
      <c r="B8814" s="65"/>
    </row>
    <row r="8815" spans="1:2" x14ac:dyDescent="0.25">
      <c r="A8815" s="64" t="str">
        <f>HYPERLINK("http://www.twitter.com/Waynthurson", "Waynthurson")</f>
        <v>Waynthurson</v>
      </c>
      <c r="B8815" s="65" t="s">
        <v>6700</v>
      </c>
    </row>
    <row r="8816" spans="1:2" x14ac:dyDescent="0.25">
      <c r="A8816" s="64" t="str">
        <f>HYPERLINK("http://www.twitter.com/carla_sassi", "carla_sassi")</f>
        <v>carla_sassi</v>
      </c>
      <c r="B8816" s="65" t="s">
        <v>6701</v>
      </c>
    </row>
    <row r="8817" spans="1:2" x14ac:dyDescent="0.25">
      <c r="A8817" s="64" t="str">
        <f>HYPERLINK("http://www.twitter.com/ZemyNacs", "ZemyNacs")</f>
        <v>ZemyNacs</v>
      </c>
      <c r="B8817" s="65"/>
    </row>
    <row r="8818" spans="1:2" x14ac:dyDescent="0.25">
      <c r="A8818" s="64" t="str">
        <f>HYPERLINK("http://www.twitter.com/ClueDetectivePz", "ClueDetectivePz")</f>
        <v>ClueDetectivePz</v>
      </c>
      <c r="B8818" s="65" t="s">
        <v>6702</v>
      </c>
    </row>
    <row r="8819" spans="1:2" x14ac:dyDescent="0.25">
      <c r="A8819" s="64" t="str">
        <f>HYPERLINK("http://www.twitter.com/weasleys_queen", "weasleys_queen")</f>
        <v>weasleys_queen</v>
      </c>
      <c r="B8819" s="65"/>
    </row>
    <row r="8820" spans="1:2" x14ac:dyDescent="0.25">
      <c r="A8820" s="64" t="str">
        <f>HYPERLINK("http://www.twitter.com/gingirl123", "gingirl123")</f>
        <v>gingirl123</v>
      </c>
      <c r="B8820" s="65"/>
    </row>
    <row r="8821" spans="1:2" x14ac:dyDescent="0.25">
      <c r="A8821" s="64" t="str">
        <f>HYPERLINK("http://www.twitter.com/NaePlans", "NaePlans")</f>
        <v>NaePlans</v>
      </c>
      <c r="B8821" s="65" t="s">
        <v>138</v>
      </c>
    </row>
    <row r="8822" spans="1:2" x14ac:dyDescent="0.25">
      <c r="A8822" s="64" t="str">
        <f>HYPERLINK("http://www.twitter.com/debsrob", "debsrob")</f>
        <v>debsrob</v>
      </c>
      <c r="B8822" s="65"/>
    </row>
    <row r="8823" spans="1:2" x14ac:dyDescent="0.25">
      <c r="A8823" s="64" t="str">
        <f>HYPERLINK("http://www.twitter.com/lornamnewton1", "lornamnewton1")</f>
        <v>lornamnewton1</v>
      </c>
      <c r="B8823" s="65"/>
    </row>
    <row r="8824" spans="1:2" x14ac:dyDescent="0.25">
      <c r="A8824" s="64" t="str">
        <f>HYPERLINK("http://www.twitter.com/dennistoundoll", "dennistoundoll")</f>
        <v>dennistoundoll</v>
      </c>
      <c r="B8824" s="65" t="s">
        <v>6703</v>
      </c>
    </row>
    <row r="8825" spans="1:2" x14ac:dyDescent="0.25">
      <c r="A8825" s="64" t="str">
        <f>HYPERLINK("http://www.twitter.com/ibis040", "ibis040")</f>
        <v>ibis040</v>
      </c>
      <c r="B8825" s="65"/>
    </row>
    <row r="8826" spans="1:2" x14ac:dyDescent="0.25">
      <c r="A8826" s="64" t="str">
        <f>HYPERLINK("http://www.twitter.com/iainbarrington1", "iainbarrington1")</f>
        <v>iainbarrington1</v>
      </c>
      <c r="B8826" s="65"/>
    </row>
    <row r="8827" spans="1:2" x14ac:dyDescent="0.25">
      <c r="A8827" s="64" t="str">
        <f>HYPERLINK("http://www.twitter.com/SMooreFitz", "SMooreFitz")</f>
        <v>SMooreFitz</v>
      </c>
      <c r="B8827" s="65"/>
    </row>
    <row r="8828" spans="1:2" x14ac:dyDescent="0.25">
      <c r="A8828" s="64" t="str">
        <f>HYPERLINK("http://www.twitter.com/EleanorJCollins", "EleanorJCollins")</f>
        <v>EleanorJCollins</v>
      </c>
      <c r="B8828" s="65"/>
    </row>
    <row r="8829" spans="1:2" x14ac:dyDescent="0.25">
      <c r="A8829" s="64" t="str">
        <f>HYPERLINK("http://www.twitter.com/clarehaden", "clarehaden")</f>
        <v>clarehaden</v>
      </c>
      <c r="B8829" s="65"/>
    </row>
    <row r="8830" spans="1:2" x14ac:dyDescent="0.25">
      <c r="A8830" s="64" t="str">
        <f>HYPERLINK("http://www.twitter.com/sonya_cam", "sonya_cam")</f>
        <v>sonya_cam</v>
      </c>
      <c r="B8830" s="65" t="s">
        <v>5799</v>
      </c>
    </row>
    <row r="8831" spans="1:2" x14ac:dyDescent="0.25">
      <c r="A8831" s="64" t="str">
        <f>HYPERLINK("http://www.twitter.com/NYROginajscott", "NYROginajscott")</f>
        <v>NYROginajscott</v>
      </c>
      <c r="B8831" s="65" t="s">
        <v>20</v>
      </c>
    </row>
    <row r="8832" spans="1:2" x14ac:dyDescent="0.25">
      <c r="A8832" s="64" t="str">
        <f>HYPERLINK("http://www.twitter.com/amandadf8", "amandadf8")</f>
        <v>amandadf8</v>
      </c>
      <c r="B8832" s="65" t="s">
        <v>6704</v>
      </c>
    </row>
    <row r="8833" spans="1:2" x14ac:dyDescent="0.25">
      <c r="A8833" s="64" t="str">
        <f>HYPERLINK("http://www.twitter.com/thebooktrailer", "thebooktrailer")</f>
        <v>thebooktrailer</v>
      </c>
      <c r="B8833" s="65"/>
    </row>
    <row r="8834" spans="1:2" x14ac:dyDescent="0.25">
      <c r="A8834" s="64" t="str">
        <f>HYPERLINK("http://www.twitter.com/gillianpoh", "gillianpoh")</f>
        <v>gillianpoh</v>
      </c>
      <c r="B8834" s="65"/>
    </row>
    <row r="8835" spans="1:2" x14ac:dyDescent="0.25">
      <c r="A8835" s="64" t="str">
        <f>HYPERLINK("http://www.twitter.com/theAaronPinto", "theAaronPinto")</f>
        <v>theAaronPinto</v>
      </c>
      <c r="B8835" s="65" t="s">
        <v>4275</v>
      </c>
    </row>
    <row r="8836" spans="1:2" x14ac:dyDescent="0.25">
      <c r="A8836" s="64" t="str">
        <f>HYPERLINK("http://www.twitter.com/IrisLiebel", "IrisLiebel")</f>
        <v>IrisLiebel</v>
      </c>
      <c r="B8836" s="65"/>
    </row>
    <row r="8837" spans="1:2" x14ac:dyDescent="0.25">
      <c r="A8837" s="64" t="str">
        <f>HYPERLINK("http://www.twitter.com/finandfinn", "finandfinn")</f>
        <v>finandfinn</v>
      </c>
      <c r="B8837" s="65" t="s">
        <v>24</v>
      </c>
    </row>
    <row r="8838" spans="1:2" x14ac:dyDescent="0.25">
      <c r="A8838" s="64" t="str">
        <f>HYPERLINK("http://www.twitter.com/iainbungoyoung", "iainbungoyoung")</f>
        <v>iainbungoyoung</v>
      </c>
      <c r="B8838" s="65"/>
    </row>
    <row r="8839" spans="1:2" x14ac:dyDescent="0.25">
      <c r="A8839" s="64" t="str">
        <f>HYPERLINK("http://www.twitter.com/GrantDHerron", "GrantDHerron")</f>
        <v>GrantDHerron</v>
      </c>
      <c r="B8839" s="65" t="s">
        <v>232</v>
      </c>
    </row>
    <row r="8840" spans="1:2" x14ac:dyDescent="0.25">
      <c r="A8840" s="64" t="str">
        <f>HYPERLINK("http://www.twitter.com/mlwd_78", "mlwd_78")</f>
        <v>mlwd_78</v>
      </c>
      <c r="B8840" s="65"/>
    </row>
    <row r="8841" spans="1:2" x14ac:dyDescent="0.25">
      <c r="A8841" s="64" t="str">
        <f>HYPERLINK("http://www.twitter.com/nkorox", "nkorox")</f>
        <v>nkorox</v>
      </c>
      <c r="B8841" s="65"/>
    </row>
    <row r="8842" spans="1:2" x14ac:dyDescent="0.25">
      <c r="A8842" s="64" t="str">
        <f>HYPERLINK("http://www.twitter.com/MuseStrategy", "MuseStrategy")</f>
        <v>MuseStrategy</v>
      </c>
      <c r="B8842" s="65" t="s">
        <v>6705</v>
      </c>
    </row>
    <row r="8843" spans="1:2" x14ac:dyDescent="0.25">
      <c r="A8843" s="64" t="str">
        <f>HYPERLINK("http://www.twitter.com/kirsteenconnell", "kirsteenconnell")</f>
        <v>kirsteenconnell</v>
      </c>
      <c r="B8843" s="65"/>
    </row>
    <row r="8844" spans="1:2" x14ac:dyDescent="0.25">
      <c r="A8844" s="64" t="str">
        <f>HYPERLINK("http://www.twitter.com/louiseheal", "louiseheal")</f>
        <v>louiseheal</v>
      </c>
      <c r="B8844" s="65" t="s">
        <v>110</v>
      </c>
    </row>
    <row r="8845" spans="1:2" x14ac:dyDescent="0.25">
      <c r="A8845" s="64" t="str">
        <f>HYPERLINK("http://www.twitter.com/foals_ten", "foals_ten")</f>
        <v>foals_ten</v>
      </c>
      <c r="B8845" s="65" t="s">
        <v>70</v>
      </c>
    </row>
    <row r="8846" spans="1:2" x14ac:dyDescent="0.25">
      <c r="A8846" s="64" t="str">
        <f>HYPERLINK("http://www.twitter.com/KenHambly1", "KenHambly1")</f>
        <v>KenHambly1</v>
      </c>
      <c r="B8846" s="65"/>
    </row>
    <row r="8847" spans="1:2" x14ac:dyDescent="0.25">
      <c r="A8847" s="64" t="str">
        <f>HYPERLINK("http://www.twitter.com/jmwlkr", "jmwlkr")</f>
        <v>jmwlkr</v>
      </c>
      <c r="B8847" s="65" t="s">
        <v>4678</v>
      </c>
    </row>
    <row r="8848" spans="1:2" x14ac:dyDescent="0.25">
      <c r="A8848" s="64" t="str">
        <f>HYPERLINK("http://www.twitter.com/tiffanie1221", "tiffanie1221")</f>
        <v>tiffanie1221</v>
      </c>
      <c r="B8848" s="65" t="s">
        <v>6706</v>
      </c>
    </row>
    <row r="8849" spans="1:2" x14ac:dyDescent="0.25">
      <c r="A8849" s="64" t="str">
        <f>HYPERLINK("http://www.twitter.com/dinolaur2", "dinolaur2")</f>
        <v>dinolaur2</v>
      </c>
      <c r="B8849" s="65" t="s">
        <v>6707</v>
      </c>
    </row>
    <row r="8850" spans="1:2" x14ac:dyDescent="0.25">
      <c r="A8850" s="64" t="str">
        <f>HYPERLINK("http://www.twitter.com/Hagartheaffable", "Hagartheaffable")</f>
        <v>Hagartheaffable</v>
      </c>
      <c r="B8850" s="65"/>
    </row>
    <row r="8851" spans="1:2" x14ac:dyDescent="0.25">
      <c r="A8851" s="64" t="str">
        <f>HYPERLINK("http://www.twitter.com/julie_ferret", "julie_ferret")</f>
        <v>julie_ferret</v>
      </c>
      <c r="B8851" s="65"/>
    </row>
    <row r="8852" spans="1:2" x14ac:dyDescent="0.25">
      <c r="A8852" s="64" t="str">
        <f>HYPERLINK("http://www.twitter.com/carolinek1985", "carolinek1985")</f>
        <v>carolinek1985</v>
      </c>
      <c r="B8852" s="65" t="s">
        <v>110</v>
      </c>
    </row>
    <row r="8853" spans="1:2" x14ac:dyDescent="0.25">
      <c r="A8853" s="64" t="str">
        <f>HYPERLINK("http://www.twitter.com/TomEaston", "TomEaston")</f>
        <v>TomEaston</v>
      </c>
      <c r="B8853" s="65" t="s">
        <v>6708</v>
      </c>
    </row>
    <row r="8854" spans="1:2" x14ac:dyDescent="0.25">
      <c r="A8854" s="64" t="str">
        <f>HYPERLINK("http://www.twitter.com/HurraHuse", "HurraHuse")</f>
        <v>HurraHuse</v>
      </c>
      <c r="B8854" s="65" t="s">
        <v>6709</v>
      </c>
    </row>
    <row r="8855" spans="1:2" x14ac:dyDescent="0.25">
      <c r="A8855" s="64" t="str">
        <f>HYPERLINK("http://www.twitter.com/laura_serafina", "laura_serafina")</f>
        <v>laura_serafina</v>
      </c>
      <c r="B8855" s="65" t="s">
        <v>24</v>
      </c>
    </row>
    <row r="8856" spans="1:2" x14ac:dyDescent="0.25">
      <c r="A8856" s="64" t="str">
        <f>HYPERLINK("http://www.twitter.com/civiseurosum", "civiseurosum")</f>
        <v>civiseurosum</v>
      </c>
      <c r="B8856" s="65"/>
    </row>
    <row r="8857" spans="1:2" x14ac:dyDescent="0.25">
      <c r="A8857" s="64" t="str">
        <f>HYPERLINK("http://www.twitter.com/MattLMcDowell", "MattLMcDowell")</f>
        <v>MattLMcDowell</v>
      </c>
      <c r="B8857" s="65" t="s">
        <v>6710</v>
      </c>
    </row>
    <row r="8858" spans="1:2" x14ac:dyDescent="0.25">
      <c r="A8858" s="64" t="str">
        <f>HYPERLINK("http://www.twitter.com/westernshores", "westernshores")</f>
        <v>westernshores</v>
      </c>
      <c r="B8858" s="65" t="s">
        <v>6711</v>
      </c>
    </row>
    <row r="8859" spans="1:2" x14ac:dyDescent="0.25">
      <c r="A8859" s="64" t="str">
        <f>HYPERLINK("http://www.twitter.com/hernandez108", "hernandez108")</f>
        <v>hernandez108</v>
      </c>
      <c r="B8859" s="65"/>
    </row>
    <row r="8860" spans="1:2" x14ac:dyDescent="0.25">
      <c r="A8860" s="64" t="str">
        <f>HYPERLINK("http://www.twitter.com/Kastrel", "Kastrel")</f>
        <v>Kastrel</v>
      </c>
      <c r="B8860" s="65" t="s">
        <v>12</v>
      </c>
    </row>
    <row r="8861" spans="1:2" x14ac:dyDescent="0.25">
      <c r="A8861" s="64" t="str">
        <f>HYPERLINK("http://www.twitter.com/Stirlingwriter", "Stirlingwriter")</f>
        <v>Stirlingwriter</v>
      </c>
      <c r="B8861" s="65" t="s">
        <v>296</v>
      </c>
    </row>
    <row r="8862" spans="1:2" x14ac:dyDescent="0.25">
      <c r="A8862" s="64" t="str">
        <f>HYPERLINK("http://www.twitter.com/JodieHodges31", "JodieHodges31")</f>
        <v>JodieHodges31</v>
      </c>
      <c r="B8862" s="65" t="s">
        <v>6712</v>
      </c>
    </row>
    <row r="8863" spans="1:2" x14ac:dyDescent="0.25">
      <c r="A8863" s="64" t="str">
        <f>HYPERLINK("http://www.twitter.com/Kate7Barker", "Kate7Barker")</f>
        <v>Kate7Barker</v>
      </c>
      <c r="B8863" s="65" t="s">
        <v>36</v>
      </c>
    </row>
    <row r="8864" spans="1:2" x14ac:dyDescent="0.25">
      <c r="A8864" s="64" t="str">
        <f>HYPERLINK("http://www.twitter.com/DrucillaWells", "DrucillaWells")</f>
        <v>DrucillaWells</v>
      </c>
      <c r="B8864" s="65"/>
    </row>
    <row r="8865" spans="1:2" x14ac:dyDescent="0.25">
      <c r="A8865" s="64" t="str">
        <f>HYPERLINK("http://www.twitter.com/josephknox__", "josephknox__")</f>
        <v>josephknox__</v>
      </c>
      <c r="B8865" s="65" t="s">
        <v>6713</v>
      </c>
    </row>
    <row r="8866" spans="1:2" x14ac:dyDescent="0.25">
      <c r="A8866" s="64" t="str">
        <f>HYPERLINK("http://www.twitter.com/lambezilla", "lambezilla")</f>
        <v>lambezilla</v>
      </c>
      <c r="B8866" s="65"/>
    </row>
    <row r="8867" spans="1:2" x14ac:dyDescent="0.25">
      <c r="A8867" s="64" t="str">
        <f>HYPERLINK("http://www.twitter.com/alexvanert", "alexvanert")</f>
        <v>alexvanert</v>
      </c>
      <c r="B8867" s="65" t="s">
        <v>4309</v>
      </c>
    </row>
    <row r="8868" spans="1:2" x14ac:dyDescent="0.25">
      <c r="A8868" s="64" t="str">
        <f>HYPERLINK("http://www.twitter.com/Kirsteenastor", "Kirsteenastor")</f>
        <v>Kirsteenastor</v>
      </c>
      <c r="B8868" s="65" t="s">
        <v>36</v>
      </c>
    </row>
    <row r="8869" spans="1:2" x14ac:dyDescent="0.25">
      <c r="A8869" s="64" t="str">
        <f>HYPERLINK("http://www.twitter.com/annecater", "annecater")</f>
        <v>annecater</v>
      </c>
      <c r="B8869" s="65" t="s">
        <v>6714</v>
      </c>
    </row>
    <row r="8870" spans="1:2" x14ac:dyDescent="0.25">
      <c r="A8870" s="64" t="str">
        <f>HYPERLINK("http://www.twitter.com/robshuttleworth", "robshuttleworth")</f>
        <v>robshuttleworth</v>
      </c>
      <c r="B8870" s="65" t="s">
        <v>6715</v>
      </c>
    </row>
    <row r="8871" spans="1:2" x14ac:dyDescent="0.25">
      <c r="A8871" s="64" t="str">
        <f>HYPERLINK("http://www.twitter.com/glueandyarn", "glueandyarn")</f>
        <v>glueandyarn</v>
      </c>
      <c r="B8871" s="65" t="s">
        <v>96</v>
      </c>
    </row>
    <row r="8872" spans="1:2" x14ac:dyDescent="0.25">
      <c r="A8872" s="64" t="str">
        <f>HYPERLINK("http://www.twitter.com/janetsomerville", "janetsomerville")</f>
        <v>janetsomerville</v>
      </c>
      <c r="B8872" s="65" t="s">
        <v>3778</v>
      </c>
    </row>
    <row r="8873" spans="1:2" x14ac:dyDescent="0.25">
      <c r="A8873" s="64" t="str">
        <f>HYPERLINK("http://www.twitter.com/zLexHackz", "zLexHackz")</f>
        <v>zLexHackz</v>
      </c>
      <c r="B8873" s="65"/>
    </row>
    <row r="8874" spans="1:2" x14ac:dyDescent="0.25">
      <c r="A8874" s="64" t="str">
        <f>HYPERLINK("http://www.twitter.com/JoannePreece5", "JoannePreece5")</f>
        <v>JoannePreece5</v>
      </c>
      <c r="B8874" s="65" t="s">
        <v>5899</v>
      </c>
    </row>
    <row r="8875" spans="1:2" x14ac:dyDescent="0.25">
      <c r="A8875" s="64" t="str">
        <f>HYPERLINK("http://www.twitter.com/MonikaBrowne", "MonikaBrowne")</f>
        <v>MonikaBrowne</v>
      </c>
      <c r="B8875" s="65" t="s">
        <v>6716</v>
      </c>
    </row>
    <row r="8876" spans="1:2" x14ac:dyDescent="0.25">
      <c r="A8876" s="64" t="str">
        <f>HYPERLINK("http://www.twitter.com/divawithhope", "divawithhope")</f>
        <v>divawithhope</v>
      </c>
      <c r="B8876" s="65"/>
    </row>
    <row r="8877" spans="1:2" x14ac:dyDescent="0.25">
      <c r="A8877" s="64" t="str">
        <f>HYPERLINK("http://www.twitter.com/cdasilva", "cdasilva")</f>
        <v>cdasilva</v>
      </c>
      <c r="B8877" s="65" t="s">
        <v>4254</v>
      </c>
    </row>
    <row r="8878" spans="1:2" x14ac:dyDescent="0.25">
      <c r="A8878" s="64" t="str">
        <f>HYPERLINK("http://www.twitter.com/sridevimohanr", "sridevimohanr")</f>
        <v>sridevimohanr</v>
      </c>
      <c r="B8878" s="65"/>
    </row>
    <row r="8879" spans="1:2" x14ac:dyDescent="0.25">
      <c r="A8879" s="64" t="str">
        <f>HYPERLINK("http://www.twitter.com/caroleamanda", "caroleamanda")</f>
        <v>caroleamanda</v>
      </c>
      <c r="B8879" s="65" t="s">
        <v>3660</v>
      </c>
    </row>
    <row r="8880" spans="1:2" x14ac:dyDescent="0.25">
      <c r="A8880" s="64" t="str">
        <f>HYPERLINK("http://www.twitter.com/mehermurshed", "mehermurshed")</f>
        <v>mehermurshed</v>
      </c>
      <c r="B8880" s="65" t="s">
        <v>6717</v>
      </c>
    </row>
    <row r="8881" spans="1:2" x14ac:dyDescent="0.25">
      <c r="A8881" s="64" t="str">
        <f>HYPERLINK("http://www.twitter.com/colop_laracz", "colop_laracz")</f>
        <v>colop_laracz</v>
      </c>
      <c r="B8881" s="65"/>
    </row>
    <row r="8882" spans="1:2" x14ac:dyDescent="0.25">
      <c r="A8882" s="64" t="str">
        <f>HYPERLINK("http://www.twitter.com/TheEagleLibrary", "TheEagleLibrary")</f>
        <v>TheEagleLibrary</v>
      </c>
      <c r="B8882" s="65" t="s">
        <v>5110</v>
      </c>
    </row>
    <row r="8883" spans="1:2" x14ac:dyDescent="0.25">
      <c r="A8883" s="64" t="str">
        <f>HYPERLINK("http://www.twitter.com/bavitweeting", "bavitweeting")</f>
        <v>bavitweeting</v>
      </c>
      <c r="B8883" s="65"/>
    </row>
    <row r="8884" spans="1:2" x14ac:dyDescent="0.25">
      <c r="A8884" s="64" t="str">
        <f>HYPERLINK("http://www.twitter.com/betongvargen", "betongvargen")</f>
        <v>betongvargen</v>
      </c>
      <c r="B8884" s="65"/>
    </row>
    <row r="8885" spans="1:2" x14ac:dyDescent="0.25">
      <c r="A8885" s="64" t="str">
        <f>HYPERLINK("http://www.twitter.com/Orton_io", "Orton_io")</f>
        <v>Orton_io</v>
      </c>
      <c r="B8885" s="65" t="s">
        <v>2289</v>
      </c>
    </row>
    <row r="8886" spans="1:2" x14ac:dyDescent="0.25">
      <c r="A8886" s="64" t="str">
        <f>HYPERLINK("http://www.twitter.com/blackhorsewest", "blackhorsewest")</f>
        <v>blackhorsewest</v>
      </c>
      <c r="B8886" s="65" t="s">
        <v>1377</v>
      </c>
    </row>
    <row r="8887" spans="1:2" x14ac:dyDescent="0.25">
      <c r="A8887" s="64" t="str">
        <f>HYPERLINK("http://www.twitter.com/laurimond", "laurimond")</f>
        <v>laurimond</v>
      </c>
      <c r="B8887" s="65" t="s">
        <v>6718</v>
      </c>
    </row>
    <row r="8888" spans="1:2" x14ac:dyDescent="0.25">
      <c r="A8888" s="64" t="str">
        <f>HYPERLINK("http://www.twitter.com/hasan_deepto", "hasan_deepto")</f>
        <v>hasan_deepto</v>
      </c>
      <c r="B8888" s="65"/>
    </row>
    <row r="8889" spans="1:2" x14ac:dyDescent="0.25">
      <c r="A8889" s="64" t="str">
        <f>HYPERLINK("http://www.twitter.com/Dunc_Swainston", "Dunc_Swainston")</f>
        <v>Dunc_Swainston</v>
      </c>
      <c r="B8889" s="65"/>
    </row>
    <row r="8890" spans="1:2" x14ac:dyDescent="0.25">
      <c r="A8890" s="64" t="str">
        <f>HYPERLINK("http://www.twitter.com/oknotbeegerry", "oknotbeegerry")</f>
        <v>oknotbeegerry</v>
      </c>
      <c r="B8890" s="65"/>
    </row>
    <row r="8891" spans="1:2" x14ac:dyDescent="0.25">
      <c r="A8891" s="64" t="str">
        <f>HYPERLINK("http://www.twitter.com/paddy_mouse02", "paddy_mouse02")</f>
        <v>paddy_mouse02</v>
      </c>
      <c r="B8891" s="65"/>
    </row>
    <row r="8892" spans="1:2" x14ac:dyDescent="0.25">
      <c r="A8892" s="64" t="str">
        <f>HYPERLINK("http://www.twitter.com/ArtuhaTalukdar", "ArtuhaTalukdar")</f>
        <v>ArtuhaTalukdar</v>
      </c>
      <c r="B8892" s="65" t="s">
        <v>4628</v>
      </c>
    </row>
    <row r="8893" spans="1:2" x14ac:dyDescent="0.25">
      <c r="A8893" s="64" t="str">
        <f>HYPERLINK("http://www.twitter.com/readsheffield", "readsheffield")</f>
        <v>readsheffield</v>
      </c>
      <c r="B8893" s="65"/>
    </row>
    <row r="8894" spans="1:2" x14ac:dyDescent="0.25">
      <c r="A8894" s="64" t="str">
        <f>HYPERLINK("http://www.twitter.com/outwither", "outwither")</f>
        <v>outwither</v>
      </c>
      <c r="B8894" s="65" t="s">
        <v>2007</v>
      </c>
    </row>
    <row r="8895" spans="1:2" x14ac:dyDescent="0.25">
      <c r="A8895" s="64" t="str">
        <f>HYPERLINK("http://www.twitter.com/GalenQuen", "GalenQuen")</f>
        <v>GalenQuen</v>
      </c>
      <c r="B8895" s="65"/>
    </row>
    <row r="8896" spans="1:2" x14ac:dyDescent="0.25">
      <c r="A8896" s="64" t="str">
        <f>HYPERLINK("http://www.twitter.com/MCPLColbernRoad", "MCPLColbernRoad")</f>
        <v>MCPLColbernRoad</v>
      </c>
      <c r="B8896" s="65" t="s">
        <v>6719</v>
      </c>
    </row>
    <row r="8897" spans="1:2" x14ac:dyDescent="0.25">
      <c r="A8897" s="64" t="str">
        <f>HYPERLINK("http://www.twitter.com/saray778", "saray778")</f>
        <v>saray778</v>
      </c>
      <c r="B8897" s="65"/>
    </row>
    <row r="8898" spans="1:2" x14ac:dyDescent="0.25">
      <c r="A8898" s="64" t="str">
        <f>HYPERLINK("http://www.twitter.com/Analicia_DeAnda", "Analicia_DeAnda")</f>
        <v>Analicia_DeAnda</v>
      </c>
      <c r="B8898" s="65"/>
    </row>
    <row r="8899" spans="1:2" x14ac:dyDescent="0.25">
      <c r="A8899" s="64" t="str">
        <f>HYPERLINK("http://www.twitter.com/craigie_roy", "craigie_roy")</f>
        <v>craigie_roy</v>
      </c>
      <c r="B8899" s="65"/>
    </row>
    <row r="8900" spans="1:2" x14ac:dyDescent="0.25">
      <c r="A8900" s="64" t="str">
        <f>HYPERLINK("http://www.twitter.com/jeeniepeterson", "jeeniepeterson")</f>
        <v>jeeniepeterson</v>
      </c>
      <c r="B8900" s="65" t="s">
        <v>6720</v>
      </c>
    </row>
    <row r="8901" spans="1:2" x14ac:dyDescent="0.25">
      <c r="A8901" s="64" t="str">
        <f>HYPERLINK("http://www.twitter.com/library_debs", "library_debs")</f>
        <v>library_debs</v>
      </c>
      <c r="B8901" s="65" t="s">
        <v>4335</v>
      </c>
    </row>
    <row r="8902" spans="1:2" x14ac:dyDescent="0.25">
      <c r="A8902" s="64" t="str">
        <f>HYPERLINK("http://www.twitter.com/oddspot", "oddspot")</f>
        <v>oddspot</v>
      </c>
      <c r="B8902" s="65" t="s">
        <v>5942</v>
      </c>
    </row>
    <row r="8903" spans="1:2" x14ac:dyDescent="0.25">
      <c r="A8903" s="64" t="str">
        <f>HYPERLINK("http://www.twitter.com/colinpsterling", "colinpsterling")</f>
        <v>colinpsterling</v>
      </c>
      <c r="B8903" s="65" t="s">
        <v>477</v>
      </c>
    </row>
    <row r="8904" spans="1:2" x14ac:dyDescent="0.25">
      <c r="A8904" s="64" t="str">
        <f>HYPERLINK("http://www.twitter.com/WoCoLibrary", "WoCoLibrary")</f>
        <v>WoCoLibrary</v>
      </c>
      <c r="B8904" s="65" t="s">
        <v>4237</v>
      </c>
    </row>
    <row r="8905" spans="1:2" x14ac:dyDescent="0.25">
      <c r="A8905" s="64" t="str">
        <f>HYPERLINK("http://www.twitter.com/PlacerLibrary", "PlacerLibrary")</f>
        <v>PlacerLibrary</v>
      </c>
      <c r="B8905" s="65" t="s">
        <v>6721</v>
      </c>
    </row>
    <row r="8906" spans="1:2" x14ac:dyDescent="0.25">
      <c r="A8906" s="64" t="str">
        <f>HYPERLINK("http://www.twitter.com/Yunadal", "Yunadal")</f>
        <v>Yunadal</v>
      </c>
      <c r="B8906" s="65" t="s">
        <v>6722</v>
      </c>
    </row>
    <row r="8907" spans="1:2" x14ac:dyDescent="0.25">
      <c r="A8907" s="64" t="str">
        <f>HYPERLINK("http://www.twitter.com/suepenny99", "suepenny99")</f>
        <v>suepenny99</v>
      </c>
      <c r="B8907" s="65"/>
    </row>
    <row r="8908" spans="1:2" x14ac:dyDescent="0.25">
      <c r="A8908" s="64" t="str">
        <f>HYPERLINK("http://www.twitter.com/orlacraig", "orlacraig")</f>
        <v>orlacraig</v>
      </c>
      <c r="B8908" s="65" t="s">
        <v>138</v>
      </c>
    </row>
    <row r="8909" spans="1:2" x14ac:dyDescent="0.25">
      <c r="A8909" s="64" t="str">
        <f>HYPERLINK("http://www.twitter.com/Braveheart_1297", "Braveheart_1297")</f>
        <v>Braveheart_1297</v>
      </c>
      <c r="B8909" s="65" t="s">
        <v>3819</v>
      </c>
    </row>
    <row r="8910" spans="1:2" x14ac:dyDescent="0.25">
      <c r="A8910" s="64" t="str">
        <f>HYPERLINK("http://www.twitter.com/philippawain", "philippawain")</f>
        <v>philippawain</v>
      </c>
      <c r="B8910" s="65"/>
    </row>
    <row r="8911" spans="1:2" x14ac:dyDescent="0.25">
      <c r="A8911" s="64" t="str">
        <f>HYPERLINK("http://www.twitter.com/Favelthings", "Favelthings")</f>
        <v>Favelthings</v>
      </c>
      <c r="B8911" s="65"/>
    </row>
    <row r="8912" spans="1:2" x14ac:dyDescent="0.25">
      <c r="A8912" s="64" t="str">
        <f>HYPERLINK("http://www.twitter.com/jenniferheidi", "jenniferheidi")</f>
        <v>jenniferheidi</v>
      </c>
      <c r="B8912" s="65" t="s">
        <v>6723</v>
      </c>
    </row>
    <row r="8913" spans="1:2" x14ac:dyDescent="0.25">
      <c r="A8913" s="64" t="str">
        <f>HYPERLINK("http://www.twitter.com/AlexEllsmore", "AlexEllsmore")</f>
        <v>AlexEllsmore</v>
      </c>
      <c r="B8913" s="65" t="s">
        <v>36</v>
      </c>
    </row>
    <row r="8914" spans="1:2" x14ac:dyDescent="0.25">
      <c r="A8914" s="64" t="str">
        <f>HYPERLINK("http://www.twitter.com/NickiDavies", "NickiDavies")</f>
        <v>NickiDavies</v>
      </c>
      <c r="B8914" s="65" t="s">
        <v>6724</v>
      </c>
    </row>
    <row r="8915" spans="1:2" x14ac:dyDescent="0.25">
      <c r="A8915" s="64" t="str">
        <f>HYPERLINK("http://www.twitter.com/MrsAndieOliver", "MrsAndieOliver")</f>
        <v>MrsAndieOliver</v>
      </c>
      <c r="B8915" s="65" t="s">
        <v>1417</v>
      </c>
    </row>
    <row r="8916" spans="1:2" x14ac:dyDescent="0.25">
      <c r="A8916" s="64" t="str">
        <f>HYPERLINK("http://www.twitter.com/blessedorkirst", "blessedorkirst")</f>
        <v>blessedorkirst</v>
      </c>
      <c r="B8916" s="65" t="s">
        <v>601</v>
      </c>
    </row>
    <row r="8917" spans="1:2" x14ac:dyDescent="0.25">
      <c r="A8917" s="64" t="str">
        <f>HYPERLINK("http://www.twitter.com/1HanBrown", "1HanBrown")</f>
        <v>1HanBrown</v>
      </c>
      <c r="B8917" s="65"/>
    </row>
    <row r="8918" spans="1:2" x14ac:dyDescent="0.25">
      <c r="A8918" s="64" t="str">
        <f>HYPERLINK("http://www.twitter.com/emma_tulloch19", "emma_tulloch19")</f>
        <v>emma_tulloch19</v>
      </c>
      <c r="B8918" s="65" t="s">
        <v>2007</v>
      </c>
    </row>
    <row r="8919" spans="1:2" x14ac:dyDescent="0.25">
      <c r="A8919" s="64" t="str">
        <f>HYPERLINK("http://www.twitter.com/susannah_writes", "susannah_writes")</f>
        <v>susannah_writes</v>
      </c>
      <c r="B8919" s="65"/>
    </row>
    <row r="8920" spans="1:2" x14ac:dyDescent="0.25">
      <c r="A8920" s="64" t="str">
        <f>HYPERLINK("http://www.twitter.com/realbeccyb", "realbeccyb")</f>
        <v>realbeccyb</v>
      </c>
      <c r="B8920" s="65" t="s">
        <v>6725</v>
      </c>
    </row>
    <row r="8921" spans="1:2" x14ac:dyDescent="0.25">
      <c r="A8921" s="64" t="str">
        <f>HYPERLINK("http://www.twitter.com/kraken_syllabub", "kraken_syllabub")</f>
        <v>kraken_syllabub</v>
      </c>
      <c r="B8921" s="65"/>
    </row>
    <row r="8922" spans="1:2" x14ac:dyDescent="0.25">
      <c r="A8922" s="64" t="str">
        <f>HYPERLINK("http://www.twitter.com/LeEmz_D", "LeEmz_D")</f>
        <v>LeEmz_D</v>
      </c>
      <c r="B8922" s="65" t="s">
        <v>70</v>
      </c>
    </row>
    <row r="8923" spans="1:2" x14ac:dyDescent="0.25">
      <c r="A8923" s="64" t="str">
        <f>HYPERLINK("http://www.twitter.com/JosaYoung", "JosaYoung")</f>
        <v>JosaYoung</v>
      </c>
      <c r="B8923" s="65" t="s">
        <v>477</v>
      </c>
    </row>
    <row r="8924" spans="1:2" x14ac:dyDescent="0.25">
      <c r="A8924" s="64" t="str">
        <f>HYPERLINK("http://www.twitter.com/Matineegirl", "Matineegirl")</f>
        <v>Matineegirl</v>
      </c>
      <c r="B8924" s="65" t="s">
        <v>36</v>
      </c>
    </row>
    <row r="8925" spans="1:2" x14ac:dyDescent="0.25">
      <c r="A8925" s="64" t="str">
        <f>HYPERLINK("http://www.twitter.com/LibDemPenguin", "LibDemPenguin")</f>
        <v>LibDemPenguin</v>
      </c>
      <c r="B8925" s="65" t="s">
        <v>4721</v>
      </c>
    </row>
    <row r="8926" spans="1:2" x14ac:dyDescent="0.25">
      <c r="A8926" s="64" t="str">
        <f>HYPERLINK("http://www.twitter.com/MsAlisonMay", "MsAlisonMay")</f>
        <v>MsAlisonMay</v>
      </c>
      <c r="B8926" s="65"/>
    </row>
    <row r="8927" spans="1:2" x14ac:dyDescent="0.25">
      <c r="A8927" s="64" t="str">
        <f>HYPERLINK("http://www.twitter.com/LorraineRogerso", "LorraineRogerso")</f>
        <v>LorraineRogerso</v>
      </c>
      <c r="B8927" s="65" t="s">
        <v>6726</v>
      </c>
    </row>
    <row r="8928" spans="1:2" x14ac:dyDescent="0.25">
      <c r="A8928" s="64" t="str">
        <f>HYPERLINK("http://www.twitter.com/HazyGray", "HazyGray")</f>
        <v>HazyGray</v>
      </c>
      <c r="B8928" s="65"/>
    </row>
    <row r="8929" spans="1:2" x14ac:dyDescent="0.25">
      <c r="A8929" s="64" t="str">
        <f>HYPERLINK("http://www.twitter.com/camlitfest", "camlitfest")</f>
        <v>camlitfest</v>
      </c>
      <c r="B8929" s="65" t="s">
        <v>788</v>
      </c>
    </row>
    <row r="8930" spans="1:2" x14ac:dyDescent="0.25">
      <c r="A8930" s="64" t="str">
        <f>HYPERLINK("http://www.twitter.com/Kirsty_Tyrrell", "Kirsty_Tyrrell")</f>
        <v>Kirsty_Tyrrell</v>
      </c>
      <c r="B8930" s="65" t="s">
        <v>2213</v>
      </c>
    </row>
    <row r="8931" spans="1:2" x14ac:dyDescent="0.25">
      <c r="A8931" s="64" t="str">
        <f>HYPERLINK("http://www.twitter.com/Malcolmmgd", "Malcolmmgd")</f>
        <v>Malcolmmgd</v>
      </c>
      <c r="B8931" s="65" t="s">
        <v>517</v>
      </c>
    </row>
    <row r="8932" spans="1:2" x14ac:dyDescent="0.25">
      <c r="A8932" s="64" t="str">
        <f>HYPERLINK("http://www.twitter.com/lynsey_s", "lynsey_s")</f>
        <v>lynsey_s</v>
      </c>
      <c r="B8932" s="65" t="s">
        <v>6727</v>
      </c>
    </row>
    <row r="8933" spans="1:2" x14ac:dyDescent="0.25">
      <c r="A8933" s="64" t="str">
        <f>HYPERLINK("http://www.twitter.com/AnemonesCloser", "AnemonesCloser")</f>
        <v>AnemonesCloser</v>
      </c>
      <c r="B8933" s="65" t="s">
        <v>2007</v>
      </c>
    </row>
    <row r="8934" spans="1:2" x14ac:dyDescent="0.25">
      <c r="A8934" s="64" t="str">
        <f>HYPERLINK("http://www.twitter.com/bookouture", "bookouture")</f>
        <v>bookouture</v>
      </c>
      <c r="B8934" s="65" t="s">
        <v>110</v>
      </c>
    </row>
    <row r="8935" spans="1:2" x14ac:dyDescent="0.25">
      <c r="A8935" s="64" t="str">
        <f>HYPERLINK("http://www.twitter.com/PdeMaurier", "PdeMaurier")</f>
        <v>PdeMaurier</v>
      </c>
      <c r="B8935" s="65"/>
    </row>
    <row r="8936" spans="1:2" x14ac:dyDescent="0.25">
      <c r="A8936" s="64" t="str">
        <f>HYPERLINK("http://www.twitter.com/FannoreFerazhin", "FannoreFerazhin")</f>
        <v>FannoreFerazhin</v>
      </c>
      <c r="B8936" s="65" t="s">
        <v>6728</v>
      </c>
    </row>
    <row r="8937" spans="1:2" x14ac:dyDescent="0.25">
      <c r="A8937" s="64" t="str">
        <f>HYPERLINK("http://www.twitter.com/Rebekah95881528", "Rebekah95881528")</f>
        <v>Rebekah95881528</v>
      </c>
      <c r="B8937" s="65" t="s">
        <v>3762</v>
      </c>
    </row>
    <row r="8938" spans="1:2" x14ac:dyDescent="0.25">
      <c r="A8938" s="64" t="str">
        <f>HYPERLINK("http://www.twitter.com/scstring", "scstring")</f>
        <v>scstring</v>
      </c>
      <c r="B8938" s="65" t="s">
        <v>569</v>
      </c>
    </row>
    <row r="8939" spans="1:2" x14ac:dyDescent="0.25">
      <c r="A8939" s="64" t="str">
        <f>HYPERLINK("http://www.twitter.com/amylownie", "amylownie")</f>
        <v>amylownie</v>
      </c>
      <c r="B8939" s="65" t="s">
        <v>6729</v>
      </c>
    </row>
    <row r="8940" spans="1:2" x14ac:dyDescent="0.25">
      <c r="A8940" s="64" t="str">
        <f>HYPERLINK("http://www.twitter.com/monabockman", "monabockman")</f>
        <v>monabockman</v>
      </c>
      <c r="B8940" s="65" t="s">
        <v>4193</v>
      </c>
    </row>
    <row r="8941" spans="1:2" x14ac:dyDescent="0.25">
      <c r="A8941" s="64" t="str">
        <f>HYPERLINK("http://www.twitter.com/emily_studies", "emily_studies")</f>
        <v>emily_studies</v>
      </c>
      <c r="B8941" s="65" t="s">
        <v>2602</v>
      </c>
    </row>
    <row r="8942" spans="1:2" x14ac:dyDescent="0.25">
      <c r="A8942" s="64" t="str">
        <f>HYPERLINK("http://www.twitter.com/The_O_G_Pal", "The_O_G_Pal")</f>
        <v>The_O_G_Pal</v>
      </c>
      <c r="B8942" s="65"/>
    </row>
    <row r="8943" spans="1:2" x14ac:dyDescent="0.25">
      <c r="A8943" s="64" t="str">
        <f>HYPERLINK("http://www.twitter.com/NeilMull", "NeilMull")</f>
        <v>NeilMull</v>
      </c>
      <c r="B8943" s="65"/>
    </row>
    <row r="8944" spans="1:2" x14ac:dyDescent="0.25">
      <c r="A8944" s="64" t="str">
        <f>HYPERLINK("http://www.twitter.com/eoghannmaccolla", "eoghannmaccolla")</f>
        <v>eoghannmaccolla</v>
      </c>
      <c r="B8944" s="65" t="s">
        <v>6730</v>
      </c>
    </row>
    <row r="8945" spans="1:2" x14ac:dyDescent="0.25">
      <c r="A8945" s="64" t="str">
        <f>HYPERLINK("http://www.twitter.com/BeautyDouro", "BeautyDouro")</f>
        <v>BeautyDouro</v>
      </c>
      <c r="B8945" s="65"/>
    </row>
    <row r="8946" spans="1:2" x14ac:dyDescent="0.25">
      <c r="A8946" s="64" t="str">
        <f>HYPERLINK("http://www.twitter.com/sarah_lungley", "sarah_lungley")</f>
        <v>sarah_lungley</v>
      </c>
      <c r="B8946" s="65" t="s">
        <v>6731</v>
      </c>
    </row>
    <row r="8947" spans="1:2" x14ac:dyDescent="0.25">
      <c r="A8947" s="64" t="str">
        <f>HYPERLINK("http://www.twitter.com/ndrlee", "ndrlee")</f>
        <v>ndrlee</v>
      </c>
      <c r="B8947" s="65"/>
    </row>
    <row r="8948" spans="1:2" x14ac:dyDescent="0.25">
      <c r="A8948" s="64" t="str">
        <f>HYPERLINK("http://www.twitter.com/TenementHouse11", "TenementHouse11")</f>
        <v>TenementHouse11</v>
      </c>
      <c r="B8948" s="65" t="s">
        <v>318</v>
      </c>
    </row>
    <row r="8949" spans="1:2" x14ac:dyDescent="0.25">
      <c r="A8949" s="64" t="str">
        <f>HYPERLINK("http://www.twitter.com/RhiannahWTP", "RhiannahWTP")</f>
        <v>RhiannahWTP</v>
      </c>
      <c r="B8949" s="65"/>
    </row>
    <row r="8950" spans="1:2" x14ac:dyDescent="0.25">
      <c r="A8950" s="64" t="str">
        <f>HYPERLINK("http://www.twitter.com/modernista44", "modernista44")</f>
        <v>modernista44</v>
      </c>
      <c r="B8950" s="65"/>
    </row>
    <row r="8951" spans="1:2" x14ac:dyDescent="0.25">
      <c r="A8951" s="64" t="str">
        <f>HYPERLINK("http://www.twitter.com/FrolandoJones", "FrolandoJones")</f>
        <v>FrolandoJones</v>
      </c>
      <c r="B8951" s="65" t="s">
        <v>6732</v>
      </c>
    </row>
    <row r="8952" spans="1:2" x14ac:dyDescent="0.25">
      <c r="A8952" s="64" t="str">
        <f>HYPERLINK("http://www.twitter.com/Librocat", "Librocat")</f>
        <v>Librocat</v>
      </c>
      <c r="B8952" s="65"/>
    </row>
    <row r="8953" spans="1:2" x14ac:dyDescent="0.25">
      <c r="A8953" s="64" t="str">
        <f>HYPERLINK("http://www.twitter.com/CEOPUK", "CEOPUK")</f>
        <v>CEOPUK</v>
      </c>
      <c r="B8953" s="65" t="s">
        <v>296</v>
      </c>
    </row>
    <row r="8954" spans="1:2" x14ac:dyDescent="0.25">
      <c r="A8954" s="64" t="str">
        <f>HYPERLINK("http://www.twitter.com/jmwedi", "jmwedi")</f>
        <v>jmwedi</v>
      </c>
      <c r="B8954" s="65" t="s">
        <v>24</v>
      </c>
    </row>
    <row r="8955" spans="1:2" x14ac:dyDescent="0.25">
      <c r="A8955" s="64" t="str">
        <f>HYPERLINK("http://www.twitter.com/mlynch1966", "mlynch1966")</f>
        <v>mlynch1966</v>
      </c>
      <c r="B8955" s="65" t="s">
        <v>427</v>
      </c>
    </row>
    <row r="8956" spans="1:2" x14ac:dyDescent="0.25">
      <c r="A8956" s="64" t="str">
        <f>HYPERLINK("http://www.twitter.com/thurso_kirk", "thurso_kirk")</f>
        <v>thurso_kirk</v>
      </c>
      <c r="B8956" s="65" t="s">
        <v>4959</v>
      </c>
    </row>
    <row r="8957" spans="1:2" x14ac:dyDescent="0.25">
      <c r="A8957" s="64" t="str">
        <f>HYPERLINK("http://www.twitter.com/NatLMcG", "NatLMcG")</f>
        <v>NatLMcG</v>
      </c>
      <c r="B8957" s="65" t="s">
        <v>630</v>
      </c>
    </row>
    <row r="8958" spans="1:2" x14ac:dyDescent="0.25">
      <c r="A8958" s="64" t="str">
        <f>HYPERLINK("http://www.twitter.com/BBCScotLearn", "BBCScotLearn")</f>
        <v>BBCScotLearn</v>
      </c>
      <c r="B8958" s="65" t="s">
        <v>6733</v>
      </c>
    </row>
    <row r="8959" spans="1:2" x14ac:dyDescent="0.25">
      <c r="A8959" s="64" t="str">
        <f>HYPERLINK("http://www.twitter.com/lkknntt", "lkknntt")</f>
        <v>lkknntt</v>
      </c>
      <c r="B8959" s="65"/>
    </row>
    <row r="8960" spans="1:2" x14ac:dyDescent="0.25">
      <c r="A8960" s="64" t="str">
        <f>HYPERLINK("http://www.twitter.com/LillaScott", "LillaScott")</f>
        <v>LillaScott</v>
      </c>
      <c r="B8960" s="65"/>
    </row>
    <row r="8961" spans="1:2" x14ac:dyDescent="0.25">
      <c r="A8961" s="64" t="str">
        <f>HYPERLINK("http://www.twitter.com/biblioforgetful", "biblioforgetful")</f>
        <v>biblioforgetful</v>
      </c>
      <c r="B8961" s="65" t="s">
        <v>138</v>
      </c>
    </row>
    <row r="8962" spans="1:2" x14ac:dyDescent="0.25">
      <c r="A8962" s="64" t="str">
        <f>HYPERLINK("http://www.twitter.com/missjillyteach", "missjillyteach")</f>
        <v>missjillyteach</v>
      </c>
      <c r="B8962" s="65" t="s">
        <v>6734</v>
      </c>
    </row>
    <row r="8963" spans="1:2" x14ac:dyDescent="0.25">
      <c r="A8963" s="64" t="str">
        <f>HYPERLINK("http://www.twitter.com/WendTerschowetz", "WendTerschowetz")</f>
        <v>WendTerschowetz</v>
      </c>
      <c r="B8963" s="65" t="s">
        <v>6735</v>
      </c>
    </row>
    <row r="8964" spans="1:2" x14ac:dyDescent="0.25">
      <c r="A8964" s="64" t="str">
        <f>HYPERLINK("http://www.twitter.com/_allmyvinyl", "_allmyvinyl")</f>
        <v>_allmyvinyl</v>
      </c>
      <c r="B8964" s="65" t="s">
        <v>24</v>
      </c>
    </row>
    <row r="8965" spans="1:2" x14ac:dyDescent="0.25">
      <c r="A8965" s="64" t="str">
        <f>HYPERLINK("http://www.twitter.com/mrmarches", "mrmarches")</f>
        <v>mrmarches</v>
      </c>
      <c r="B8965" s="65"/>
    </row>
    <row r="8966" spans="1:2" x14ac:dyDescent="0.25">
      <c r="A8966" s="64" t="str">
        <f>HYPERLINK("http://www.twitter.com/alrobbphoto", "alrobbphoto")</f>
        <v>alrobbphoto</v>
      </c>
      <c r="B8966" s="65" t="s">
        <v>808</v>
      </c>
    </row>
    <row r="8967" spans="1:2" x14ac:dyDescent="0.25">
      <c r="A8967" s="64" t="str">
        <f>HYPERLINK("http://www.twitter.com/JonDa1y", "JonDa1y")</f>
        <v>JonDa1y</v>
      </c>
      <c r="B8967" s="65" t="s">
        <v>6736</v>
      </c>
    </row>
    <row r="8968" spans="1:2" x14ac:dyDescent="0.25">
      <c r="A8968" s="64" t="str">
        <f>HYPERLINK("http://www.twitter.com/FeeBadger", "FeeBadger")</f>
        <v>FeeBadger</v>
      </c>
      <c r="B8968" s="65" t="s">
        <v>6737</v>
      </c>
    </row>
    <row r="8969" spans="1:2" x14ac:dyDescent="0.25">
      <c r="A8969" s="64" t="str">
        <f>HYPERLINK("http://www.twitter.com/staithes", "staithes")</f>
        <v>staithes</v>
      </c>
      <c r="B8969" s="65" t="s">
        <v>6738</v>
      </c>
    </row>
    <row r="8970" spans="1:2" x14ac:dyDescent="0.25">
      <c r="A8970" s="64" t="str">
        <f>HYPERLINK("http://www.twitter.com/TonyLastsButler", "TonyLastsButler")</f>
        <v>TonyLastsButler</v>
      </c>
      <c r="B8970" s="65"/>
    </row>
    <row r="8971" spans="1:2" x14ac:dyDescent="0.25">
      <c r="A8971" s="64" t="str">
        <f>HYPERLINK("http://www.twitter.com/sumarumi", "sumarumi")</f>
        <v>sumarumi</v>
      </c>
      <c r="B8971" s="65" t="s">
        <v>1008</v>
      </c>
    </row>
    <row r="8972" spans="1:2" x14ac:dyDescent="0.25">
      <c r="A8972" s="64" t="str">
        <f>HYPERLINK("http://www.twitter.com/theendofthesofa", "theendofthesofa")</f>
        <v>theendofthesofa</v>
      </c>
      <c r="B8972" s="65"/>
    </row>
    <row r="8973" spans="1:2" x14ac:dyDescent="0.25">
      <c r="A8973" s="64" t="str">
        <f>HYPERLINK("http://www.twitter.com/W1Librarian", "W1Librarian")</f>
        <v>W1Librarian</v>
      </c>
      <c r="B8973" s="65" t="s">
        <v>6739</v>
      </c>
    </row>
    <row r="8974" spans="1:2" x14ac:dyDescent="0.25">
      <c r="A8974" s="64" t="str">
        <f>HYPERLINK("http://www.twitter.com/macfraser54", "macfraser54")</f>
        <v>macfraser54</v>
      </c>
      <c r="B8974" s="65" t="s">
        <v>24</v>
      </c>
    </row>
    <row r="8975" spans="1:2" x14ac:dyDescent="0.25">
      <c r="A8975" s="64" t="str">
        <f>HYPERLINK("http://www.twitter.com/return2laughter", "return2laughter")</f>
        <v>return2laughter</v>
      </c>
      <c r="B8975" s="65"/>
    </row>
    <row r="8976" spans="1:2" x14ac:dyDescent="0.25">
      <c r="A8976" s="64" t="str">
        <f>HYPERLINK("http://www.twitter.com/SuAndersonWords", "SuAndersonWords")</f>
        <v>SuAndersonWords</v>
      </c>
      <c r="B8976" s="65" t="s">
        <v>2850</v>
      </c>
    </row>
    <row r="8977" spans="1:2" x14ac:dyDescent="0.25">
      <c r="A8977" s="64" t="str">
        <f>HYPERLINK("http://www.twitter.com/dale_lara", "dale_lara")</f>
        <v>dale_lara</v>
      </c>
      <c r="B8977" s="65" t="s">
        <v>5942</v>
      </c>
    </row>
    <row r="8978" spans="1:2" x14ac:dyDescent="0.25">
      <c r="A8978" s="64" t="str">
        <f>HYPERLINK("http://www.twitter.com/laut_forest", "laut_forest")</f>
        <v>laut_forest</v>
      </c>
      <c r="B8978" s="65" t="s">
        <v>6740</v>
      </c>
    </row>
    <row r="8979" spans="1:2" x14ac:dyDescent="0.25">
      <c r="A8979" s="64" t="str">
        <f>HYPERLINK("http://www.twitter.com/sacslibrary", "sacslibrary")</f>
        <v>sacslibrary</v>
      </c>
      <c r="B8979" s="65" t="s">
        <v>4275</v>
      </c>
    </row>
    <row r="8980" spans="1:2" x14ac:dyDescent="0.25">
      <c r="A8980" s="64" t="str">
        <f>HYPERLINK("http://www.twitter.com/Caroaceae", "Caroaceae")</f>
        <v>Caroaceae</v>
      </c>
      <c r="B8980" s="65" t="s">
        <v>487</v>
      </c>
    </row>
    <row r="8981" spans="1:2" x14ac:dyDescent="0.25">
      <c r="A8981" s="64" t="str">
        <f>HYPERLINK("http://www.twitter.com/AtelierBroucke", "AtelierBroucke")</f>
        <v>AtelierBroucke</v>
      </c>
      <c r="B8981" s="65" t="s">
        <v>3819</v>
      </c>
    </row>
    <row r="8982" spans="1:2" x14ac:dyDescent="0.25">
      <c r="A8982" s="64" t="str">
        <f>HYPERLINK("http://www.twitter.com/emiliaxjayne", "emiliaxjayne")</f>
        <v>emiliaxjayne</v>
      </c>
      <c r="B8982" s="65" t="s">
        <v>2850</v>
      </c>
    </row>
    <row r="8983" spans="1:2" x14ac:dyDescent="0.25">
      <c r="A8983" s="64" t="str">
        <f>HYPERLINK("http://www.twitter.com/jeezoh", "jeezoh")</f>
        <v>jeezoh</v>
      </c>
      <c r="B8983" s="65" t="s">
        <v>6741</v>
      </c>
    </row>
    <row r="8984" spans="1:2" x14ac:dyDescent="0.25">
      <c r="A8984" s="64" t="str">
        <f>HYPERLINK("http://www.twitter.com/LustroB", "LustroB")</f>
        <v>LustroB</v>
      </c>
      <c r="B8984" s="65" t="s">
        <v>6742</v>
      </c>
    </row>
    <row r="8985" spans="1:2" x14ac:dyDescent="0.25">
      <c r="A8985" s="64" t="str">
        <f>HYPERLINK("http://www.twitter.com/missykaren", "missykaren")</f>
        <v>missykaren</v>
      </c>
      <c r="B8985" s="65" t="s">
        <v>6743</v>
      </c>
    </row>
    <row r="8986" spans="1:2" x14ac:dyDescent="0.25">
      <c r="A8986" s="64" t="str">
        <f>HYPERLINK("http://www.twitter.com/clairejwells", "clairejwells")</f>
        <v>clairejwells</v>
      </c>
      <c r="B8986" s="65"/>
    </row>
    <row r="8987" spans="1:2" x14ac:dyDescent="0.25">
      <c r="A8987" s="64" t="str">
        <f>HYPERLINK("http://www.twitter.com/allisonclarke22", "allisonclarke22")</f>
        <v>allisonclarke22</v>
      </c>
      <c r="B8987" s="65" t="s">
        <v>6744</v>
      </c>
    </row>
    <row r="8988" spans="1:2" x14ac:dyDescent="0.25">
      <c r="A8988" s="64" t="str">
        <f>HYPERLINK("http://www.twitter.com/dqj_99", "dqj_99")</f>
        <v>dqj_99</v>
      </c>
      <c r="B8988" s="65"/>
    </row>
    <row r="8989" spans="1:2" x14ac:dyDescent="0.25">
      <c r="A8989" s="64" t="str">
        <f>HYPERLINK("http://www.twitter.com/howegong", "howegong")</f>
        <v>howegong</v>
      </c>
      <c r="B8989" s="65" t="s">
        <v>6745</v>
      </c>
    </row>
    <row r="8990" spans="1:2" x14ac:dyDescent="0.25">
      <c r="A8990" s="64" t="str">
        <f>HYPERLINK("http://www.twitter.com/MelElizabeth1", "MelElizabeth1")</f>
        <v>MelElizabeth1</v>
      </c>
      <c r="B8990" s="65" t="s">
        <v>4335</v>
      </c>
    </row>
    <row r="8991" spans="1:2" x14ac:dyDescent="0.25">
      <c r="A8991" s="64" t="str">
        <f>HYPERLINK("http://www.twitter.com/alcanlin", "alcanlin")</f>
        <v>alcanlin</v>
      </c>
      <c r="B8991" s="65"/>
    </row>
    <row r="8992" spans="1:2" x14ac:dyDescent="0.25">
      <c r="A8992" s="64" t="str">
        <f>HYPERLINK("http://www.twitter.com/daninoforsyth", "daninoforsyth")</f>
        <v>daninoforsyth</v>
      </c>
      <c r="B8992" s="65" t="s">
        <v>477</v>
      </c>
    </row>
    <row r="8993" spans="1:2" x14ac:dyDescent="0.25">
      <c r="A8993" s="64" t="str">
        <f>HYPERLINK("http://www.twitter.com/SarahMayhead", "SarahMayhead")</f>
        <v>SarahMayhead</v>
      </c>
      <c r="B8993" s="65" t="s">
        <v>1490</v>
      </c>
    </row>
    <row r="8994" spans="1:2" x14ac:dyDescent="0.25">
      <c r="A8994" s="64" t="str">
        <f>HYPERLINK("http://www.twitter.com/katereeee", "katereeee")</f>
        <v>katereeee</v>
      </c>
      <c r="B8994" s="65" t="s">
        <v>318</v>
      </c>
    </row>
    <row r="8995" spans="1:2" x14ac:dyDescent="0.25">
      <c r="A8995" s="64" t="str">
        <f>HYPERLINK("http://www.twitter.com/mrjwins", "mrjwins")</f>
        <v>mrjwins</v>
      </c>
      <c r="B8995" s="65"/>
    </row>
    <row r="8996" spans="1:2" x14ac:dyDescent="0.25">
      <c r="A8996" s="64" t="str">
        <f>HYPERLINK("http://www.twitter.com/edbroom", "edbroom")</f>
        <v>edbroom</v>
      </c>
      <c r="B8996" s="65" t="s">
        <v>1598</v>
      </c>
    </row>
    <row r="8997" spans="1:2" x14ac:dyDescent="0.25">
      <c r="A8997" s="64" t="str">
        <f>HYPERLINK("http://www.twitter.com/Traonach", "Traonach")</f>
        <v>Traonach</v>
      </c>
      <c r="B8997" s="65"/>
    </row>
    <row r="8998" spans="1:2" x14ac:dyDescent="0.25">
      <c r="A8998" s="64" t="str">
        <f>HYPERLINK("http://www.twitter.com/lucykara", "lucykara")</f>
        <v>lucykara</v>
      </c>
      <c r="B8998" s="65" t="s">
        <v>36</v>
      </c>
    </row>
    <row r="8999" spans="1:2" x14ac:dyDescent="0.25">
      <c r="A8999" s="64" t="str">
        <f>HYPERLINK("http://www.twitter.com/BiblichorBooks", "BiblichorBooks")</f>
        <v>BiblichorBooks</v>
      </c>
      <c r="B8999" s="65" t="s">
        <v>487</v>
      </c>
    </row>
    <row r="9000" spans="1:2" x14ac:dyDescent="0.25">
      <c r="A9000" s="64" t="str">
        <f>HYPERLINK("http://www.twitter.com/8Cobb", "8Cobb")</f>
        <v>8Cobb</v>
      </c>
      <c r="B9000" s="65" t="s">
        <v>3821</v>
      </c>
    </row>
    <row r="9001" spans="1:2" x14ac:dyDescent="0.25">
      <c r="A9001" s="64" t="str">
        <f>HYPERLINK("http://www.twitter.com/victorjd", "victorjd")</f>
        <v>victorjd</v>
      </c>
      <c r="B9001" s="65" t="s">
        <v>6746</v>
      </c>
    </row>
    <row r="9002" spans="1:2" x14ac:dyDescent="0.25">
      <c r="A9002" s="64" t="str">
        <f>HYPERLINK("http://www.twitter.com/MsSophiaLouise", "MsSophiaLouise")</f>
        <v>MsSophiaLouise</v>
      </c>
      <c r="B9002" s="65"/>
    </row>
    <row r="9003" spans="1:2" x14ac:dyDescent="0.25">
      <c r="A9003" s="64" t="str">
        <f>HYPERLINK("http://www.twitter.com/FinsLMS", "FinsLMS")</f>
        <v>FinsLMS</v>
      </c>
      <c r="B9003" s="65" t="s">
        <v>6747</v>
      </c>
    </row>
    <row r="9004" spans="1:2" x14ac:dyDescent="0.25">
      <c r="A9004" s="64" t="str">
        <f>HYPERLINK("http://www.twitter.com/Innellanite", "Innellanite")</f>
        <v>Innellanite</v>
      </c>
      <c r="B9004" s="65" t="s">
        <v>6748</v>
      </c>
    </row>
    <row r="9005" spans="1:2" x14ac:dyDescent="0.25">
      <c r="A9005" s="64" t="str">
        <f>HYPERLINK("http://www.twitter.com/librarianchimp", "librarianchimp")</f>
        <v>librarianchimp</v>
      </c>
      <c r="B9005" s="65" t="s">
        <v>477</v>
      </c>
    </row>
    <row r="9006" spans="1:2" x14ac:dyDescent="0.25">
      <c r="A9006" s="64" t="str">
        <f>HYPERLINK("http://www.twitter.com/BarbaraPeirce", "BarbaraPeirce")</f>
        <v>BarbaraPeirce</v>
      </c>
      <c r="B9006" s="65" t="s">
        <v>680</v>
      </c>
    </row>
    <row r="9007" spans="1:2" x14ac:dyDescent="0.25">
      <c r="A9007" s="64" t="str">
        <f>HYPERLINK("http://www.twitter.com/KirMenzies", "KirMenzies")</f>
        <v>KirMenzies</v>
      </c>
      <c r="B9007" s="65" t="s">
        <v>4366</v>
      </c>
    </row>
    <row r="9008" spans="1:2" x14ac:dyDescent="0.25">
      <c r="A9008" s="64" t="str">
        <f>HYPERLINK("http://www.twitter.com/KBrown_Unicef", "KBrown_Unicef")</f>
        <v>KBrown_Unicef</v>
      </c>
      <c r="B9008" s="65" t="s">
        <v>36</v>
      </c>
    </row>
    <row r="9009" spans="1:2" x14ac:dyDescent="0.25">
      <c r="A9009" s="64" t="str">
        <f>HYPERLINK("http://www.twitter.com/LibrarianCG", "LibrarianCG")</f>
        <v>LibrarianCG</v>
      </c>
      <c r="B9009" s="65" t="s">
        <v>273</v>
      </c>
    </row>
    <row r="9010" spans="1:2" x14ac:dyDescent="0.25">
      <c r="A9010" s="64" t="str">
        <f>HYPERLINK("http://www.twitter.com/T_SolutionsJobs", "T_SolutionsJobs")</f>
        <v>T_SolutionsJobs</v>
      </c>
      <c r="B9010" s="65" t="s">
        <v>6749</v>
      </c>
    </row>
    <row r="9011" spans="1:2" x14ac:dyDescent="0.25">
      <c r="A9011" s="64" t="str">
        <f>HYPERLINK("http://www.twitter.com/taaylorbetthh", "taaylorbetthh")</f>
        <v>taaylorbetthh</v>
      </c>
      <c r="B9011" s="65" t="s">
        <v>96</v>
      </c>
    </row>
    <row r="9012" spans="1:2" x14ac:dyDescent="0.25">
      <c r="A9012" s="64" t="str">
        <f>HYPERLINK("http://www.twitter.com/JamesPark35", "JamesPark35")</f>
        <v>JamesPark35</v>
      </c>
      <c r="B9012" s="65" t="s">
        <v>569</v>
      </c>
    </row>
    <row r="9013" spans="1:2" x14ac:dyDescent="0.25">
      <c r="A9013" s="64" t="str">
        <f>HYPERLINK("http://www.twitter.com/ResearchEngager", "ResearchEngager")</f>
        <v>ResearchEngager</v>
      </c>
      <c r="B9013" s="65" t="s">
        <v>6750</v>
      </c>
    </row>
    <row r="9014" spans="1:2" x14ac:dyDescent="0.25">
      <c r="A9014" s="64" t="str">
        <f>HYPERLINK("http://www.twitter.com/njimrie", "njimrie")</f>
        <v>njimrie</v>
      </c>
      <c r="B9014" s="65" t="s">
        <v>6751</v>
      </c>
    </row>
    <row r="9015" spans="1:2" x14ac:dyDescent="0.25">
      <c r="A9015" s="64" t="str">
        <f>HYPERLINK("http://www.twitter.com/89_photographer", "89_photographer")</f>
        <v>89_photographer</v>
      </c>
      <c r="B9015" s="65"/>
    </row>
    <row r="9016" spans="1:2" x14ac:dyDescent="0.25">
      <c r="A9016" s="64" t="str">
        <f>HYPERLINK("http://www.twitter.com/Veggiec2", "Veggiec2")</f>
        <v>Veggiec2</v>
      </c>
      <c r="B9016" s="65"/>
    </row>
    <row r="9017" spans="1:2" x14ac:dyDescent="0.25">
      <c r="A9017" s="64" t="str">
        <f>HYPERLINK("http://www.twitter.com/IKFalconer", "IKFalconer")</f>
        <v>IKFalconer</v>
      </c>
      <c r="B9017" s="65"/>
    </row>
    <row r="9018" spans="1:2" x14ac:dyDescent="0.25">
      <c r="A9018" s="64" t="str">
        <f>HYPERLINK("http://www.twitter.com/eca_edinburgh", "eca_edinburgh")</f>
        <v>eca_edinburgh</v>
      </c>
      <c r="B9018" s="65" t="s">
        <v>24</v>
      </c>
    </row>
    <row r="9019" spans="1:2" x14ac:dyDescent="0.25">
      <c r="A9019" s="64" t="str">
        <f>HYPERLINK("http://www.twitter.com/sigourneybeaver", "sigourneybeaver")</f>
        <v>sigourneybeaver</v>
      </c>
      <c r="B9019" s="65" t="s">
        <v>2007</v>
      </c>
    </row>
    <row r="9020" spans="1:2" x14ac:dyDescent="0.25">
      <c r="A9020" s="64" t="str">
        <f>HYPERLINK("http://www.twitter.com/ssssssssteph", "ssssssssteph")</f>
        <v>ssssssssteph</v>
      </c>
      <c r="B9020" s="65"/>
    </row>
    <row r="9021" spans="1:2" x14ac:dyDescent="0.25">
      <c r="A9021" s="64" t="str">
        <f>HYPERLINK("http://www.twitter.com/KelseyErinLee", "KelseyErinLee")</f>
        <v>KelseyErinLee</v>
      </c>
      <c r="B9021" s="65" t="s">
        <v>837</v>
      </c>
    </row>
    <row r="9022" spans="1:2" x14ac:dyDescent="0.25">
      <c r="A9022" s="64" t="str">
        <f>HYPERLINK("http://www.twitter.com/elkernahano", "elkernahano")</f>
        <v>elkernahano</v>
      </c>
      <c r="B9022" s="65" t="s">
        <v>70</v>
      </c>
    </row>
    <row r="9023" spans="1:2" x14ac:dyDescent="0.25">
      <c r="A9023" s="64" t="str">
        <f>HYPERLINK("http://www.twitter.com/HarrietBrace", "HarrietBrace")</f>
        <v>HarrietBrace</v>
      </c>
      <c r="B9023" s="65" t="s">
        <v>318</v>
      </c>
    </row>
    <row r="9024" spans="1:2" x14ac:dyDescent="0.25">
      <c r="A9024" s="64" t="str">
        <f>HYPERLINK("http://www.twitter.com/LynieT", "LynieT")</f>
        <v>LynieT</v>
      </c>
      <c r="B9024" s="65" t="s">
        <v>6752</v>
      </c>
    </row>
    <row r="9025" spans="1:2" x14ac:dyDescent="0.25">
      <c r="A9025" s="64" t="str">
        <f>HYPERLINK("http://www.twitter.com/hazels2000", "hazels2000")</f>
        <v>hazels2000</v>
      </c>
      <c r="B9025" s="65" t="s">
        <v>3660</v>
      </c>
    </row>
    <row r="9026" spans="1:2" x14ac:dyDescent="0.25">
      <c r="A9026" s="64" t="str">
        <f>HYPERLINK("http://www.twitter.com/DavidConahan1", "DavidConahan1")</f>
        <v>DavidConahan1</v>
      </c>
      <c r="B9026" s="65" t="s">
        <v>6753</v>
      </c>
    </row>
    <row r="9027" spans="1:2" x14ac:dyDescent="0.25">
      <c r="A9027" s="64" t="str">
        <f>HYPERLINK("http://www.twitter.com/Lumb_Bank", "Lumb_Bank")</f>
        <v>Lumb_Bank</v>
      </c>
      <c r="B9027" s="65" t="s">
        <v>6452</v>
      </c>
    </row>
    <row r="9028" spans="1:2" x14ac:dyDescent="0.25">
      <c r="A9028" s="64" t="str">
        <f>HYPERLINK("http://www.twitter.com/marjoriemews", "marjoriemews")</f>
        <v>marjoriemews</v>
      </c>
      <c r="B9028" s="65" t="s">
        <v>6754</v>
      </c>
    </row>
    <row r="9029" spans="1:2" x14ac:dyDescent="0.25">
      <c r="A9029" s="64" t="str">
        <f>HYPERLINK("http://www.twitter.com/ChristopherSTV", "ChristopherSTV")</f>
        <v>ChristopherSTV</v>
      </c>
      <c r="B9029" s="65" t="s">
        <v>808</v>
      </c>
    </row>
    <row r="9030" spans="1:2" x14ac:dyDescent="0.25">
      <c r="A9030" s="64" t="str">
        <f>HYPERLINK("http://www.twitter.com/Ciahog", "Ciahog")</f>
        <v>Ciahog</v>
      </c>
      <c r="B9030" s="65" t="s">
        <v>6755</v>
      </c>
    </row>
    <row r="9031" spans="1:2" x14ac:dyDescent="0.25">
      <c r="A9031" s="64" t="str">
        <f>HYPERLINK("http://www.twitter.com/FuegoVolante_", "FuegoVolante_")</f>
        <v>FuegoVolante_</v>
      </c>
      <c r="B9031" s="65"/>
    </row>
    <row r="9032" spans="1:2" x14ac:dyDescent="0.25">
      <c r="A9032" s="64" t="str">
        <f>HYPERLINK("http://www.twitter.com/LibFlintshire", "LibFlintshire")</f>
        <v>LibFlintshire</v>
      </c>
      <c r="B9032" s="65" t="s">
        <v>2219</v>
      </c>
    </row>
    <row r="9033" spans="1:2" x14ac:dyDescent="0.25">
      <c r="A9033" s="64" t="str">
        <f>HYPERLINK("http://www.twitter.com/LessL57", "LessL57")</f>
        <v>LessL57</v>
      </c>
      <c r="B9033" s="65" t="s">
        <v>6756</v>
      </c>
    </row>
    <row r="9034" spans="1:2" x14ac:dyDescent="0.25">
      <c r="A9034" s="64" t="str">
        <f>HYPERLINK("http://www.twitter.com/photofreaky", "photofreaky")</f>
        <v>photofreaky</v>
      </c>
      <c r="B9034" s="65"/>
    </row>
    <row r="9035" spans="1:2" x14ac:dyDescent="0.25">
      <c r="A9035" s="64" t="str">
        <f>HYPERLINK("http://www.twitter.com/YourUKParl", "YourUKParl")</f>
        <v>YourUKParl</v>
      </c>
      <c r="B9035" s="65" t="s">
        <v>6757</v>
      </c>
    </row>
    <row r="9036" spans="1:2" x14ac:dyDescent="0.25">
      <c r="A9036" s="64" t="str">
        <f>HYPERLINK("http://www.twitter.com/hemantchhabra", "hemantchhabra")</f>
        <v>hemantchhabra</v>
      </c>
      <c r="B9036" s="65" t="s">
        <v>5658</v>
      </c>
    </row>
    <row r="9037" spans="1:2" x14ac:dyDescent="0.25">
      <c r="A9037" s="64" t="str">
        <f>HYPERLINK("http://www.twitter.com/ferdieaddis", "ferdieaddis")</f>
        <v>ferdieaddis</v>
      </c>
      <c r="B9037" s="65" t="s">
        <v>36</v>
      </c>
    </row>
    <row r="9038" spans="1:2" x14ac:dyDescent="0.25">
      <c r="A9038" s="64" t="str">
        <f>HYPERLINK("http://www.twitter.com/DavieGreig", "DavieGreig")</f>
        <v>DavieGreig</v>
      </c>
      <c r="B9038" s="65" t="s">
        <v>517</v>
      </c>
    </row>
    <row r="9039" spans="1:2" x14ac:dyDescent="0.25">
      <c r="A9039" s="64" t="str">
        <f>HYPERLINK("http://www.twitter.com/stuartpeckphoto", "stuartpeckphoto")</f>
        <v>stuartpeckphoto</v>
      </c>
      <c r="B9039" s="65"/>
    </row>
    <row r="9040" spans="1:2" x14ac:dyDescent="0.25">
      <c r="A9040" s="64" t="str">
        <f>HYPERLINK("http://www.twitter.com/ChrisBohjalian", "ChrisBohjalian")</f>
        <v>ChrisBohjalian</v>
      </c>
      <c r="B9040" s="65" t="s">
        <v>6758</v>
      </c>
    </row>
    <row r="9041" spans="1:2" x14ac:dyDescent="0.25">
      <c r="A9041" s="64" t="str">
        <f>HYPERLINK("http://www.twitter.com/lesleyannejohns", "lesleyannejohns")</f>
        <v>lesleyannejohns</v>
      </c>
      <c r="B9041" s="65" t="s">
        <v>2007</v>
      </c>
    </row>
    <row r="9042" spans="1:2" x14ac:dyDescent="0.25">
      <c r="A9042" s="64" t="str">
        <f>HYPERLINK("http://www.twitter.com/agfOB", "agfOB")</f>
        <v>agfOB</v>
      </c>
      <c r="B9042" s="65"/>
    </row>
    <row r="9043" spans="1:2" x14ac:dyDescent="0.25">
      <c r="A9043" s="64" t="str">
        <f>HYPERLINK("http://www.twitter.com/mrdaveyexplains", "mrdaveyexplains")</f>
        <v>mrdaveyexplains</v>
      </c>
      <c r="B9043" s="65" t="s">
        <v>6759</v>
      </c>
    </row>
    <row r="9044" spans="1:2" x14ac:dyDescent="0.25">
      <c r="A9044" s="64" t="str">
        <f>HYPERLINK("http://www.twitter.com/nicruss13", "nicruss13")</f>
        <v>nicruss13</v>
      </c>
      <c r="B9044" s="65"/>
    </row>
    <row r="9045" spans="1:2" x14ac:dyDescent="0.25">
      <c r="A9045" s="64" t="str">
        <f>HYPERLINK("http://www.twitter.com/kellysa11", "kellysa11")</f>
        <v>kellysa11</v>
      </c>
      <c r="B9045" s="65" t="s">
        <v>296</v>
      </c>
    </row>
    <row r="9046" spans="1:2" x14ac:dyDescent="0.25">
      <c r="A9046" s="64" t="str">
        <f>HYPERLINK("http://www.twitter.com/maflphotos", "maflphotos")</f>
        <v>maflphotos</v>
      </c>
      <c r="B9046" s="65"/>
    </row>
    <row r="9047" spans="1:2" x14ac:dyDescent="0.25">
      <c r="A9047" s="64" t="str">
        <f>HYPERLINK("http://www.twitter.com/SuzySindy", "SuzySindy")</f>
        <v>SuzySindy</v>
      </c>
      <c r="B9047" s="65" t="s">
        <v>138</v>
      </c>
    </row>
    <row r="9048" spans="1:2" x14ac:dyDescent="0.25">
      <c r="A9048" s="64" t="str">
        <f>HYPERLINK("http://www.twitter.com/Peakyblinds11", "Peakyblinds11")</f>
        <v>Peakyblinds11</v>
      </c>
      <c r="B9048" s="65" t="s">
        <v>318</v>
      </c>
    </row>
    <row r="9049" spans="1:2" x14ac:dyDescent="0.25">
      <c r="A9049" s="64" t="str">
        <f>HYPERLINK("http://www.twitter.com/CarterESLibrary", "CarterESLibrary")</f>
        <v>CarterESLibrary</v>
      </c>
      <c r="B9049" s="65" t="s">
        <v>6270</v>
      </c>
    </row>
    <row r="9050" spans="1:2" x14ac:dyDescent="0.25">
      <c r="A9050" s="64" t="str">
        <f>HYPERLINK("http://www.twitter.com/lemonskysail", "lemonskysail")</f>
        <v>lemonskysail</v>
      </c>
      <c r="B9050" s="65"/>
    </row>
    <row r="9051" spans="1:2" x14ac:dyDescent="0.25">
      <c r="A9051" s="64" t="str">
        <f>HYPERLINK("http://www.twitter.com/SBMardini", "SBMardini")</f>
        <v>SBMardini</v>
      </c>
      <c r="B9051" s="65" t="s">
        <v>6760</v>
      </c>
    </row>
    <row r="9052" spans="1:2" x14ac:dyDescent="0.25">
      <c r="A9052" s="64" t="str">
        <f>HYPERLINK("http://www.twitter.com/andyjland", "andyjland")</f>
        <v>andyjland</v>
      </c>
      <c r="B9052" s="65" t="s">
        <v>33</v>
      </c>
    </row>
    <row r="9053" spans="1:2" x14ac:dyDescent="0.25">
      <c r="A9053" s="64" t="str">
        <f>HYPERLINK("http://www.twitter.com/RoryTallack", "RoryTallack")</f>
        <v>RoryTallack</v>
      </c>
      <c r="B9053" s="65"/>
    </row>
    <row r="9054" spans="1:2" x14ac:dyDescent="0.25">
      <c r="A9054" s="64" t="str">
        <f>HYPERLINK("http://www.twitter.com/KeaneMJ", "KeaneMJ")</f>
        <v>KeaneMJ</v>
      </c>
      <c r="B9054" s="65" t="s">
        <v>36</v>
      </c>
    </row>
    <row r="9055" spans="1:2" x14ac:dyDescent="0.25">
      <c r="A9055" s="64" t="str">
        <f>HYPERLINK("http://www.twitter.com/pristeenp", "pristeenp")</f>
        <v>pristeenp</v>
      </c>
      <c r="B9055" s="65"/>
    </row>
    <row r="9056" spans="1:2" x14ac:dyDescent="0.25">
      <c r="A9056" s="64" t="str">
        <f>HYPERLINK("http://www.twitter.com/CoquusGrumio", "CoquusGrumio")</f>
        <v>CoquusGrumio</v>
      </c>
      <c r="B9056" s="65" t="s">
        <v>6761</v>
      </c>
    </row>
    <row r="9057" spans="1:2" x14ac:dyDescent="0.25">
      <c r="A9057" s="64" t="str">
        <f>HYPERLINK("http://www.twitter.com/sfchica32", "sfchica32")</f>
        <v>sfchica32</v>
      </c>
      <c r="B9057" s="65" t="s">
        <v>6762</v>
      </c>
    </row>
    <row r="9058" spans="1:2" x14ac:dyDescent="0.25">
      <c r="A9058" s="64" t="str">
        <f>HYPERLINK("http://www.twitter.com/thorpe_clare", "thorpe_clare")</f>
        <v>thorpe_clare</v>
      </c>
      <c r="B9058" s="65" t="s">
        <v>4222</v>
      </c>
    </row>
    <row r="9059" spans="1:2" x14ac:dyDescent="0.25">
      <c r="A9059" s="64" t="str">
        <f>HYPERLINK("http://www.twitter.com/stephenhiscock", "stephenhiscock")</f>
        <v>stephenhiscock</v>
      </c>
      <c r="B9059" s="65" t="s">
        <v>6763</v>
      </c>
    </row>
    <row r="9060" spans="1:2" x14ac:dyDescent="0.25">
      <c r="A9060" s="64" t="str">
        <f>HYPERLINK("http://www.twitter.com/RobJobbie", "RobJobbie")</f>
        <v>RobJobbie</v>
      </c>
      <c r="B9060" s="65" t="s">
        <v>6764</v>
      </c>
    </row>
    <row r="9061" spans="1:2" x14ac:dyDescent="0.25">
      <c r="A9061" s="64" t="str">
        <f>HYPERLINK("http://www.twitter.com/WonderCity2", "WonderCity2")</f>
        <v>WonderCity2</v>
      </c>
      <c r="B9061" s="65" t="s">
        <v>4098</v>
      </c>
    </row>
    <row r="9062" spans="1:2" x14ac:dyDescent="0.25">
      <c r="A9062" s="64" t="str">
        <f>HYPERLINK("http://www.twitter.com/Inspire_sharon", "Inspire_sharon")</f>
        <v>Inspire_sharon</v>
      </c>
      <c r="B9062" s="65" t="s">
        <v>2107</v>
      </c>
    </row>
    <row r="9063" spans="1:2" x14ac:dyDescent="0.25">
      <c r="A9063" s="64" t="str">
        <f>HYPERLINK("http://www.twitter.com/vickihmdale", "vickihmdale")</f>
        <v>vickihmdale</v>
      </c>
      <c r="B9063" s="65" t="s">
        <v>138</v>
      </c>
    </row>
    <row r="9064" spans="1:2" x14ac:dyDescent="0.25">
      <c r="A9064" s="64" t="str">
        <f>HYPERLINK("http://www.twitter.com/robwgray85", "robwgray85")</f>
        <v>robwgray85</v>
      </c>
      <c r="B9064" s="65" t="s">
        <v>4223</v>
      </c>
    </row>
    <row r="9065" spans="1:2" x14ac:dyDescent="0.25">
      <c r="A9065" s="64" t="str">
        <f>HYPERLINK("http://www.twitter.com/CaineAnne", "CaineAnne")</f>
        <v>CaineAnne</v>
      </c>
      <c r="B9065" s="65"/>
    </row>
    <row r="9066" spans="1:2" x14ac:dyDescent="0.25">
      <c r="A9066" s="64" t="str">
        <f>HYPERLINK("http://www.twitter.com/TLAG01", "TLAG01")</f>
        <v>TLAG01</v>
      </c>
      <c r="B9066" s="65"/>
    </row>
    <row r="9067" spans="1:2" x14ac:dyDescent="0.25">
      <c r="A9067" s="64" t="str">
        <f>HYPERLINK("http://www.twitter.com/librariancloud", "librariancloud")</f>
        <v>librariancloud</v>
      </c>
      <c r="B9067" s="65"/>
    </row>
    <row r="9068" spans="1:2" x14ac:dyDescent="0.25">
      <c r="A9068" s="64" t="str">
        <f>HYPERLINK("http://www.twitter.com/JosObjects", "JosObjects")</f>
        <v>JosObjects</v>
      </c>
      <c r="B9068" s="65"/>
    </row>
    <row r="9069" spans="1:2" x14ac:dyDescent="0.25">
      <c r="A9069" s="64" t="str">
        <f>HYPERLINK("http://www.twitter.com/raincityjane", "raincityjane")</f>
        <v>raincityjane</v>
      </c>
      <c r="B9069" s="65" t="s">
        <v>6765</v>
      </c>
    </row>
    <row r="9070" spans="1:2" x14ac:dyDescent="0.25">
      <c r="A9070" s="64" t="str">
        <f>HYPERLINK("http://www.twitter.com/thepaperdoll201", "thepaperdoll201")</f>
        <v>thepaperdoll201</v>
      </c>
      <c r="B9070" s="65"/>
    </row>
    <row r="9071" spans="1:2" x14ac:dyDescent="0.25">
      <c r="A9071" s="64" t="str">
        <f>HYPERLINK("http://www.twitter.com/IntercultSapien", "IntercultSapien")</f>
        <v>IntercultSapien</v>
      </c>
      <c r="B9071" s="65" t="s">
        <v>4098</v>
      </c>
    </row>
    <row r="9072" spans="1:2" x14ac:dyDescent="0.25">
      <c r="A9072" s="64" t="str">
        <f>HYPERLINK("http://www.twitter.com/AlastairBishop_", "AlastairBishop_")</f>
        <v>AlastairBishop_</v>
      </c>
      <c r="B9072" s="65" t="s">
        <v>517</v>
      </c>
    </row>
    <row r="9073" spans="1:2" x14ac:dyDescent="0.25">
      <c r="A9073" s="64" t="str">
        <f>HYPERLINK("http://www.twitter.com/sheliapmoses", "sheliapmoses")</f>
        <v>sheliapmoses</v>
      </c>
      <c r="B9073" s="65"/>
    </row>
    <row r="9074" spans="1:2" x14ac:dyDescent="0.25">
      <c r="A9074" s="64" t="str">
        <f>HYPERLINK("http://www.twitter.com/karinlynnbates", "karinlynnbates")</f>
        <v>karinlynnbates</v>
      </c>
      <c r="B9074" s="65" t="s">
        <v>6366</v>
      </c>
    </row>
    <row r="9075" spans="1:2" x14ac:dyDescent="0.25">
      <c r="A9075" s="64" t="str">
        <f>HYPERLINK("http://www.twitter.com/VSUOdumLibrary", "VSUOdumLibrary")</f>
        <v>VSUOdumLibrary</v>
      </c>
      <c r="B9075" s="65" t="s">
        <v>6766</v>
      </c>
    </row>
    <row r="9076" spans="1:2" x14ac:dyDescent="0.25">
      <c r="A9076" s="64" t="str">
        <f>HYPERLINK("http://www.twitter.com/scotsgene", "scotsgene")</f>
        <v>scotsgene</v>
      </c>
      <c r="B9076" s="65" t="s">
        <v>2007</v>
      </c>
    </row>
    <row r="9077" spans="1:2" x14ac:dyDescent="0.25">
      <c r="A9077" s="64" t="str">
        <f>HYPERLINK("http://www.twitter.com/patacakebooks", "patacakebooks")</f>
        <v>patacakebooks</v>
      </c>
      <c r="B9077" s="65"/>
    </row>
    <row r="9078" spans="1:2" x14ac:dyDescent="0.25">
      <c r="A9078" s="64" t="str">
        <f>HYPERLINK("http://www.twitter.com/JenHarwoodSBT", "JenHarwoodSBT")</f>
        <v>JenHarwoodSBT</v>
      </c>
      <c r="B9078" s="65"/>
    </row>
    <row r="9079" spans="1:2" x14ac:dyDescent="0.25">
      <c r="A9079" s="64" t="str">
        <f>HYPERLINK("http://www.twitter.com/playifx", "playifx")</f>
        <v>playifx</v>
      </c>
      <c r="B9079" s="65" t="s">
        <v>639</v>
      </c>
    </row>
    <row r="9080" spans="1:2" x14ac:dyDescent="0.25">
      <c r="A9080" s="64" t="str">
        <f>HYPERLINK("http://www.twitter.com/TeresaBreedon", "TeresaBreedon")</f>
        <v>TeresaBreedon</v>
      </c>
      <c r="B9080" s="65"/>
    </row>
    <row r="9081" spans="1:2" x14ac:dyDescent="0.25">
      <c r="A9081" s="64" t="str">
        <f>HYPERLINK("http://www.twitter.com/wrenandrookbook", "wrenandrookbook")</f>
        <v>wrenandrookbook</v>
      </c>
      <c r="B9081" s="65" t="s">
        <v>477</v>
      </c>
    </row>
    <row r="9082" spans="1:2" x14ac:dyDescent="0.25">
      <c r="A9082" s="64" t="str">
        <f>HYPERLINK("http://www.twitter.com/AllisonandBusby", "AllisonandBusby")</f>
        <v>AllisonandBusby</v>
      </c>
      <c r="B9082" s="65" t="s">
        <v>36</v>
      </c>
    </row>
    <row r="9083" spans="1:2" x14ac:dyDescent="0.25">
      <c r="A9083" s="64" t="str">
        <f>HYPERLINK("http://www.twitter.com/birdandthefrog", "birdandthefrog")</f>
        <v>birdandthefrog</v>
      </c>
      <c r="B9083" s="65" t="s">
        <v>296</v>
      </c>
    </row>
    <row r="9084" spans="1:2" x14ac:dyDescent="0.25">
      <c r="A9084" s="64" t="str">
        <f>HYPERLINK("http://www.twitter.com/BookwormDH", "BookwormDH")</f>
        <v>BookwormDH</v>
      </c>
      <c r="B9084" s="65" t="s">
        <v>6767</v>
      </c>
    </row>
    <row r="9085" spans="1:2" x14ac:dyDescent="0.25">
      <c r="A9085" s="64" t="str">
        <f>HYPERLINK("http://www.twitter.com/DanestoneYouth", "DanestoneYouth")</f>
        <v>DanestoneYouth</v>
      </c>
      <c r="B9085" s="65" t="s">
        <v>808</v>
      </c>
    </row>
    <row r="9086" spans="1:2" x14ac:dyDescent="0.25">
      <c r="A9086" s="64" t="str">
        <f>HYPERLINK("http://www.twitter.com/chrissywissy67", "chrissywissy67")</f>
        <v>chrissywissy67</v>
      </c>
      <c r="B9086" s="65"/>
    </row>
    <row r="9087" spans="1:2" x14ac:dyDescent="0.25">
      <c r="A9087" s="64" t="str">
        <f>HYPERLINK("http://www.twitter.com/AMY__L_N", "AMY__L_N")</f>
        <v>AMY__L_N</v>
      </c>
      <c r="B9087" s="65" t="s">
        <v>2557</v>
      </c>
    </row>
    <row r="9088" spans="1:2" x14ac:dyDescent="0.25">
      <c r="A9088" s="64" t="str">
        <f>HYPERLINK("http://www.twitter.com/NyMataguilera", "NyMataguilera")</f>
        <v>NyMataguilera</v>
      </c>
      <c r="B9088" s="65" t="s">
        <v>6768</v>
      </c>
    </row>
    <row r="9089" spans="1:2" x14ac:dyDescent="0.25">
      <c r="A9089" s="64" t="str">
        <f>HYPERLINK("http://www.twitter.com/KirstyFwrites", "KirstyFwrites")</f>
        <v>KirstyFwrites</v>
      </c>
      <c r="B9089" s="65" t="s">
        <v>517</v>
      </c>
    </row>
    <row r="9090" spans="1:2" x14ac:dyDescent="0.25">
      <c r="A9090" s="64" t="str">
        <f>HYPERLINK("http://www.twitter.com/yeaitken", "yeaitken")</f>
        <v>yeaitken</v>
      </c>
      <c r="B9090" s="65" t="s">
        <v>6769</v>
      </c>
    </row>
    <row r="9091" spans="1:2" x14ac:dyDescent="0.25">
      <c r="A9091" s="64" t="str">
        <f>HYPERLINK("http://www.twitter.com/valentine704", "valentine704")</f>
        <v>valentine704</v>
      </c>
      <c r="B9091" s="65" t="s">
        <v>24</v>
      </c>
    </row>
    <row r="9092" spans="1:2" x14ac:dyDescent="0.25">
      <c r="A9092" s="64" t="str">
        <f>HYPERLINK("http://www.twitter.com/kilronaig", "kilronaig")</f>
        <v>kilronaig</v>
      </c>
      <c r="B9092" s="65" t="s">
        <v>24</v>
      </c>
    </row>
    <row r="9093" spans="1:2" x14ac:dyDescent="0.25">
      <c r="A9093" s="64" t="str">
        <f>HYPERLINK("http://www.twitter.com/StephenManleyU", "StephenManleyU")</f>
        <v>StephenManleyU</v>
      </c>
      <c r="B9093" s="65" t="s">
        <v>2592</v>
      </c>
    </row>
    <row r="9094" spans="1:2" x14ac:dyDescent="0.25">
      <c r="A9094" s="64" t="str">
        <f>HYPERLINK("http://www.twitter.com/danversj", "danversj")</f>
        <v>danversj</v>
      </c>
      <c r="B9094" s="65" t="s">
        <v>3779</v>
      </c>
    </row>
    <row r="9095" spans="1:2" x14ac:dyDescent="0.25">
      <c r="A9095" s="64" t="str">
        <f>HYPERLINK("http://www.twitter.com/nmkrobinson", "nmkrobinson")</f>
        <v>nmkrobinson</v>
      </c>
      <c r="B9095" s="65" t="s">
        <v>6770</v>
      </c>
    </row>
    <row r="9096" spans="1:2" x14ac:dyDescent="0.25">
      <c r="A9096" s="64" t="str">
        <f>HYPERLINK("http://www.twitter.com/Dru_Step", "Dru_Step")</f>
        <v>Dru_Step</v>
      </c>
      <c r="B9096" s="65" t="s">
        <v>296</v>
      </c>
    </row>
    <row r="9097" spans="1:2" x14ac:dyDescent="0.25">
      <c r="A9097" s="64" t="str">
        <f>HYPERLINK("http://www.twitter.com/val_graves", "val_graves")</f>
        <v>val_graves</v>
      </c>
      <c r="B9097" s="65"/>
    </row>
    <row r="9098" spans="1:2" x14ac:dyDescent="0.25">
      <c r="A9098" s="64" t="str">
        <f>HYPERLINK("http://www.twitter.com/samz_cox", "samz_cox")</f>
        <v>samz_cox</v>
      </c>
      <c r="B9098" s="65" t="s">
        <v>36</v>
      </c>
    </row>
    <row r="9099" spans="1:2" x14ac:dyDescent="0.25">
      <c r="A9099" s="64" t="str">
        <f>HYPERLINK("http://www.twitter.com/boardindundee", "boardindundee")</f>
        <v>boardindundee</v>
      </c>
      <c r="B9099" s="65" t="s">
        <v>6771</v>
      </c>
    </row>
    <row r="9100" spans="1:2" x14ac:dyDescent="0.25">
      <c r="A9100" s="64" t="str">
        <f>HYPERLINK("http://www.twitter.com/allyblue22", "allyblue22")</f>
        <v>allyblue22</v>
      </c>
      <c r="B9100" s="65" t="s">
        <v>2636</v>
      </c>
    </row>
    <row r="9101" spans="1:2" x14ac:dyDescent="0.25">
      <c r="A9101" s="64" t="str">
        <f>HYPERLINK("http://www.twitter.com/Producerofall", "Producerofall")</f>
        <v>Producerofall</v>
      </c>
      <c r="B9101" s="65" t="s">
        <v>36</v>
      </c>
    </row>
    <row r="9102" spans="1:2" x14ac:dyDescent="0.25">
      <c r="A9102" s="64" t="str">
        <f>HYPERLINK("http://www.twitter.com/jmt_jones", "jmt_jones")</f>
        <v>jmt_jones</v>
      </c>
      <c r="B9102" s="65"/>
    </row>
    <row r="9103" spans="1:2" x14ac:dyDescent="0.25">
      <c r="A9103" s="64" t="str">
        <f>HYPERLINK("http://www.twitter.com/Anna_Mazz", "Anna_Mazz")</f>
        <v>Anna_Mazz</v>
      </c>
      <c r="B9103" s="65" t="s">
        <v>4479</v>
      </c>
    </row>
    <row r="9104" spans="1:2" x14ac:dyDescent="0.25">
      <c r="A9104" s="64" t="str">
        <f>HYPERLINK("http://www.twitter.com/erukidesu", "erukidesu")</f>
        <v>erukidesu</v>
      </c>
      <c r="B9104" s="65" t="s">
        <v>346</v>
      </c>
    </row>
    <row r="9105" spans="1:2" x14ac:dyDescent="0.25">
      <c r="A9105" s="64" t="str">
        <f>HYPERLINK("http://www.twitter.com/Lilianvictorian", "Lilianvictorian")</f>
        <v>Lilianvictorian</v>
      </c>
      <c r="B9105" s="65"/>
    </row>
    <row r="9106" spans="1:2" x14ac:dyDescent="0.25">
      <c r="A9106" s="64" t="str">
        <f>HYPERLINK("http://www.twitter.com/ChrisFarey", "ChrisFarey")</f>
        <v>ChrisFarey</v>
      </c>
      <c r="B9106" s="65" t="s">
        <v>321</v>
      </c>
    </row>
    <row r="9107" spans="1:2" x14ac:dyDescent="0.25">
      <c r="A9107" s="64" t="str">
        <f>HYPERLINK("http://www.twitter.com/krisparry2", "krisparry2")</f>
        <v>krisparry2</v>
      </c>
      <c r="B9107" s="65"/>
    </row>
    <row r="9108" spans="1:2" x14ac:dyDescent="0.25">
      <c r="A9108" s="64" t="str">
        <f>HYPERLINK("http://www.twitter.com/Timespan", "Timespan")</f>
        <v>Timespan</v>
      </c>
      <c r="B9108" s="65" t="s">
        <v>6772</v>
      </c>
    </row>
    <row r="9109" spans="1:2" x14ac:dyDescent="0.25">
      <c r="A9109" s="64" t="str">
        <f>HYPERLINK("http://www.twitter.com/LondonBessie", "LondonBessie")</f>
        <v>LondonBessie</v>
      </c>
      <c r="B9109" s="65" t="s">
        <v>6773</v>
      </c>
    </row>
    <row r="9110" spans="1:2" x14ac:dyDescent="0.25">
      <c r="A9110" s="64" t="str">
        <f>HYPERLINK("http://www.twitter.com/4thWallBooks", "4thWallBooks")</f>
        <v>4thWallBooks</v>
      </c>
      <c r="B9110" s="65" t="s">
        <v>6774</v>
      </c>
    </row>
    <row r="9111" spans="1:2" x14ac:dyDescent="0.25">
      <c r="A9111" s="64" t="str">
        <f>HYPERLINK("http://www.twitter.com/mariemcquade2", "mariemcquade2")</f>
        <v>mariemcquade2</v>
      </c>
      <c r="B9111" s="65" t="s">
        <v>2007</v>
      </c>
    </row>
    <row r="9112" spans="1:2" x14ac:dyDescent="0.25">
      <c r="A9112" s="64" t="str">
        <f>HYPERLINK("http://www.twitter.com/Radannelib1", "Radannelib1")</f>
        <v>Radannelib1</v>
      </c>
      <c r="B9112" s="65" t="s">
        <v>138</v>
      </c>
    </row>
    <row r="9113" spans="1:2" x14ac:dyDescent="0.25">
      <c r="A9113" s="64" t="str">
        <f>HYPERLINK("http://www.twitter.com/EILMP", "EILMP")</f>
        <v>EILMP</v>
      </c>
      <c r="B9113" s="65" t="s">
        <v>24</v>
      </c>
    </row>
    <row r="9114" spans="1:2" x14ac:dyDescent="0.25">
      <c r="A9114" s="64" t="str">
        <f>HYPERLINK("http://www.twitter.com/timthelibrarian", "timthelibrarian")</f>
        <v>timthelibrarian</v>
      </c>
      <c r="B9114" s="65" t="s">
        <v>6775</v>
      </c>
    </row>
    <row r="9115" spans="1:2" x14ac:dyDescent="0.25">
      <c r="A9115" s="64" t="str">
        <f>HYPERLINK("http://www.twitter.com/SaveTheRave2011", "SaveTheRave2011")</f>
        <v>SaveTheRave2011</v>
      </c>
      <c r="B9115" s="65" t="s">
        <v>6776</v>
      </c>
    </row>
    <row r="9116" spans="1:2" x14ac:dyDescent="0.25">
      <c r="A9116" s="64" t="str">
        <f>HYPERLINK("http://www.twitter.com/Hawkachu", "Hawkachu")</f>
        <v>Hawkachu</v>
      </c>
      <c r="B9116" s="65" t="s">
        <v>517</v>
      </c>
    </row>
    <row r="9117" spans="1:2" x14ac:dyDescent="0.25">
      <c r="A9117" s="64" t="str">
        <f>HYPERLINK("http://www.twitter.com/owengriffith03", "owengriffith03")</f>
        <v>owengriffith03</v>
      </c>
      <c r="B9117" s="65"/>
    </row>
    <row r="9118" spans="1:2" x14ac:dyDescent="0.25">
      <c r="A9118" s="64" t="str">
        <f>HYPERLINK("http://www.twitter.com/Dimpsers", "Dimpsers")</f>
        <v>Dimpsers</v>
      </c>
      <c r="B9118" s="65"/>
    </row>
    <row r="9119" spans="1:2" x14ac:dyDescent="0.25">
      <c r="A9119" s="64" t="str">
        <f>HYPERLINK("http://www.twitter.com/FreeMacSamples", "FreeMacSamples")</f>
        <v>FreeMacSamples</v>
      </c>
      <c r="B9119" s="65" t="s">
        <v>926</v>
      </c>
    </row>
    <row r="9120" spans="1:2" x14ac:dyDescent="0.25">
      <c r="A9120" s="64" t="str">
        <f>HYPERLINK("http://www.twitter.com/beebryhte", "beebryhte")</f>
        <v>beebryhte</v>
      </c>
      <c r="B9120" s="65"/>
    </row>
    <row r="9121" spans="1:2" x14ac:dyDescent="0.25">
      <c r="A9121" s="64" t="str">
        <f>HYPERLINK("http://www.twitter.com/rthorpe63808", "rthorpe63808")</f>
        <v>rthorpe63808</v>
      </c>
      <c r="B9121" s="65" t="s">
        <v>6777</v>
      </c>
    </row>
    <row r="9122" spans="1:2" x14ac:dyDescent="0.25">
      <c r="A9122" s="64" t="str">
        <f>HYPERLINK("http://www.twitter.com/bookwormsarah", "bookwormsarah")</f>
        <v>bookwormsarah</v>
      </c>
      <c r="B9122" s="65" t="s">
        <v>6778</v>
      </c>
    </row>
    <row r="9123" spans="1:2" x14ac:dyDescent="0.25">
      <c r="A9123" s="64" t="str">
        <f>HYPERLINK("http://www.twitter.com/Sarah_Alexand", "Sarah_Alexand")</f>
        <v>Sarah_Alexand</v>
      </c>
      <c r="B9123" s="65" t="s">
        <v>6779</v>
      </c>
    </row>
    <row r="9124" spans="1:2" x14ac:dyDescent="0.25">
      <c r="A9124" s="64" t="str">
        <f>HYPERLINK("http://www.twitter.com/smithsmm", "smithsmm")</f>
        <v>smithsmm</v>
      </c>
      <c r="B9124" s="65" t="s">
        <v>6780</v>
      </c>
    </row>
    <row r="9125" spans="1:2" x14ac:dyDescent="0.25">
      <c r="A9125" s="64" t="str">
        <f>HYPERLINK("http://www.twitter.com/OT_JackieP", "OT_JackieP")</f>
        <v>OT_JackieP</v>
      </c>
      <c r="B9125" s="65" t="s">
        <v>477</v>
      </c>
    </row>
    <row r="9126" spans="1:2" x14ac:dyDescent="0.25">
      <c r="A9126" s="64" t="str">
        <f>HYPERLINK("http://www.twitter.com/OrkenMohaircut", "OrkenMohaircut")</f>
        <v>OrkenMohaircut</v>
      </c>
      <c r="B9126" s="65"/>
    </row>
    <row r="9127" spans="1:2" x14ac:dyDescent="0.25">
      <c r="A9127" s="64" t="str">
        <f>HYPERLINK("http://www.twitter.com/BlackArt_Media", "BlackArt_Media")</f>
        <v>BlackArt_Media</v>
      </c>
      <c r="B9127" s="65" t="s">
        <v>2007</v>
      </c>
    </row>
    <row r="9128" spans="1:2" x14ac:dyDescent="0.25">
      <c r="A9128" s="64" t="str">
        <f>HYPERLINK("http://www.twitter.com/Goddon00", "Goddon00")</f>
        <v>Goddon00</v>
      </c>
      <c r="B9128" s="65" t="s">
        <v>24</v>
      </c>
    </row>
    <row r="9129" spans="1:2" x14ac:dyDescent="0.25">
      <c r="A9129" s="64" t="str">
        <f>HYPERLINK("http://www.twitter.com/Onlymays", "Onlymays")</f>
        <v>Onlymays</v>
      </c>
      <c r="B9129" s="65" t="s">
        <v>2007</v>
      </c>
    </row>
    <row r="9130" spans="1:2" x14ac:dyDescent="0.25">
      <c r="A9130" s="64" t="str">
        <f>HYPERLINK("http://www.twitter.com/EelyIsland", "EelyIsland")</f>
        <v>EelyIsland</v>
      </c>
      <c r="B9130" s="65" t="s">
        <v>6781</v>
      </c>
    </row>
    <row r="9131" spans="1:2" x14ac:dyDescent="0.25">
      <c r="A9131" s="64" t="str">
        <f>HYPERLINK("http://www.twitter.com/gemdavis_", "gemdavis_")</f>
        <v>gemdavis_</v>
      </c>
      <c r="B9131" s="65" t="s">
        <v>327</v>
      </c>
    </row>
    <row r="9132" spans="1:2" x14ac:dyDescent="0.25">
      <c r="A9132" s="64" t="str">
        <f>HYPERLINK("http://www.twitter.com/LizAgnes", "LizAgnes")</f>
        <v>LizAgnes</v>
      </c>
      <c r="B9132" s="65" t="s">
        <v>3779</v>
      </c>
    </row>
    <row r="9133" spans="1:2" x14ac:dyDescent="0.25">
      <c r="A9133" s="64" t="str">
        <f>HYPERLINK("http://www.twitter.com/Awibee", "Awibee")</f>
        <v>Awibee</v>
      </c>
      <c r="B9133" s="65" t="s">
        <v>24</v>
      </c>
    </row>
    <row r="9134" spans="1:2" x14ac:dyDescent="0.25">
      <c r="A9134" s="64" t="str">
        <f>HYPERLINK("http://www.twitter.com/saratait3", "saratait3")</f>
        <v>saratait3</v>
      </c>
      <c r="B9134" s="65"/>
    </row>
    <row r="9135" spans="1:2" x14ac:dyDescent="0.25">
      <c r="A9135" s="64" t="str">
        <f>HYPERLINK("http://www.twitter.com/phlegmtornado", "phlegmtornado")</f>
        <v>phlegmtornado</v>
      </c>
      <c r="B9135" s="65" t="s">
        <v>5965</v>
      </c>
    </row>
    <row r="9136" spans="1:2" x14ac:dyDescent="0.25">
      <c r="A9136" s="64" t="str">
        <f>HYPERLINK("http://www.twitter.com/ti_kev32", "ti_kev32")</f>
        <v>ti_kev32</v>
      </c>
      <c r="B9136" s="65"/>
    </row>
    <row r="9137" spans="1:2" x14ac:dyDescent="0.25">
      <c r="A9137" s="64" t="str">
        <f>HYPERLINK("http://www.twitter.com/deoradh1", "deoradh1")</f>
        <v>deoradh1</v>
      </c>
      <c r="B9137" s="65" t="s">
        <v>6782</v>
      </c>
    </row>
    <row r="9138" spans="1:2" x14ac:dyDescent="0.25">
      <c r="A9138" s="64" t="str">
        <f>HYPERLINK("http://www.twitter.com/OrkneyDeepTime", "OrkneyDeepTime")</f>
        <v>OrkneyDeepTime</v>
      </c>
      <c r="B9138" s="65" t="s">
        <v>20</v>
      </c>
    </row>
    <row r="9139" spans="1:2" x14ac:dyDescent="0.25">
      <c r="A9139" s="64" t="str">
        <f>HYPERLINK("http://www.twitter.com/megatan327", "megatan327")</f>
        <v>megatan327</v>
      </c>
      <c r="B9139" s="65"/>
    </row>
    <row r="9140" spans="1:2" x14ac:dyDescent="0.25">
      <c r="A9140" s="64" t="str">
        <f>HYPERLINK("http://www.twitter.com/LoloWH20", "LoloWH20")</f>
        <v>LoloWH20</v>
      </c>
      <c r="B9140" s="65" t="s">
        <v>3773</v>
      </c>
    </row>
    <row r="9141" spans="1:2" x14ac:dyDescent="0.25">
      <c r="A9141" s="64" t="str">
        <f>HYPERLINK("http://www.twitter.com/siobhanward", "siobhanward")</f>
        <v>siobhanward</v>
      </c>
      <c r="B9141" s="65"/>
    </row>
    <row r="9142" spans="1:2" x14ac:dyDescent="0.25">
      <c r="A9142" s="64" t="str">
        <f>HYPERLINK("http://www.twitter.com/chsc_english", "chsc_english")</f>
        <v>chsc_english</v>
      </c>
      <c r="B9142" s="65" t="s">
        <v>3964</v>
      </c>
    </row>
    <row r="9143" spans="1:2" x14ac:dyDescent="0.25">
      <c r="A9143" s="64" t="str">
        <f>HYPERLINK("http://www.twitter.com/kezzamacaulay", "kezzamacaulay")</f>
        <v>kezzamacaulay</v>
      </c>
      <c r="B9143" s="65" t="s">
        <v>3808</v>
      </c>
    </row>
    <row r="9144" spans="1:2" x14ac:dyDescent="0.25">
      <c r="A9144" s="64" t="str">
        <f>HYPERLINK("http://www.twitter.com/iihay", "iihay")</f>
        <v>iihay</v>
      </c>
      <c r="B9144" s="65" t="s">
        <v>296</v>
      </c>
    </row>
    <row r="9145" spans="1:2" x14ac:dyDescent="0.25">
      <c r="A9145" s="64" t="str">
        <f>HYPERLINK("http://www.twitter.com/aliyn57", "aliyn57")</f>
        <v>aliyn57</v>
      </c>
      <c r="B9145" s="65"/>
    </row>
    <row r="9146" spans="1:2" x14ac:dyDescent="0.25">
      <c r="A9146" s="64" t="str">
        <f>HYPERLINK("http://www.twitter.com/ebsnare", "ebsnare")</f>
        <v>ebsnare</v>
      </c>
      <c r="B9146" s="65" t="s">
        <v>70</v>
      </c>
    </row>
    <row r="9147" spans="1:2" x14ac:dyDescent="0.25">
      <c r="A9147" s="64" t="str">
        <f>HYPERLINK("http://www.twitter.com/fuglyjowls", "fuglyjowls")</f>
        <v>fuglyjowls</v>
      </c>
      <c r="B9147" s="65"/>
    </row>
    <row r="9148" spans="1:2" x14ac:dyDescent="0.25">
      <c r="A9148" s="64" t="str">
        <f>HYPERLINK("http://www.twitter.com/khawes", "khawes")</f>
        <v>khawes</v>
      </c>
      <c r="B9148" s="65"/>
    </row>
    <row r="9149" spans="1:2" x14ac:dyDescent="0.25">
      <c r="A9149" s="64" t="str">
        <f>HYPERLINK("http://www.twitter.com/cameromilne1", "cameromilne1")</f>
        <v>cameromilne1</v>
      </c>
      <c r="B9149" s="65" t="s">
        <v>3762</v>
      </c>
    </row>
    <row r="9150" spans="1:2" x14ac:dyDescent="0.25">
      <c r="A9150" s="64" t="str">
        <f>HYPERLINK("http://www.twitter.com/maeverogan", "maeverogan")</f>
        <v>maeverogan</v>
      </c>
      <c r="B9150" s="65"/>
    </row>
    <row r="9151" spans="1:2" x14ac:dyDescent="0.25">
      <c r="A9151" s="64" t="str">
        <f>HYPERLINK("http://www.twitter.com/FionnCarroll", "FionnCarroll")</f>
        <v>FionnCarroll</v>
      </c>
      <c r="B9151" s="65" t="s">
        <v>6783</v>
      </c>
    </row>
    <row r="9152" spans="1:2" x14ac:dyDescent="0.25">
      <c r="A9152" s="64" t="str">
        <f>HYPERLINK("http://www.twitter.com/laurayoung35", "laurayoung35")</f>
        <v>laurayoung35</v>
      </c>
      <c r="B9152" s="65"/>
    </row>
    <row r="9153" spans="1:2" x14ac:dyDescent="0.25">
      <c r="A9153" s="64" t="str">
        <f>HYPERLINK("http://www.twitter.com/P_O_Neill", "P_O_Neill")</f>
        <v>P_O_Neill</v>
      </c>
      <c r="B9153" s="65" t="s">
        <v>6784</v>
      </c>
    </row>
    <row r="9154" spans="1:2" x14ac:dyDescent="0.25">
      <c r="A9154" s="64" t="str">
        <f>HYPERLINK("http://www.twitter.com/ktshepherd1", "ktshepherd1")</f>
        <v>ktshepherd1</v>
      </c>
      <c r="B9154" s="65" t="s">
        <v>6785</v>
      </c>
    </row>
    <row r="9155" spans="1:2" x14ac:dyDescent="0.25">
      <c r="A9155" s="64" t="str">
        <f>HYPERLINK("http://www.twitter.com/satisfactory20", "satisfactory20")</f>
        <v>satisfactory20</v>
      </c>
      <c r="B9155" s="65" t="s">
        <v>36</v>
      </c>
    </row>
    <row r="9156" spans="1:2" x14ac:dyDescent="0.25">
      <c r="A9156" s="64" t="str">
        <f>HYPERLINK("http://www.twitter.com/DampscotNorval", "DampscotNorval")</f>
        <v>DampscotNorval</v>
      </c>
      <c r="B9156" s="65"/>
    </row>
    <row r="9157" spans="1:2" x14ac:dyDescent="0.25">
      <c r="A9157" s="64" t="str">
        <f>HYPERLINK("http://www.twitter.com/MsPuffling", "MsPuffling")</f>
        <v>MsPuffling</v>
      </c>
      <c r="B9157" s="65" t="s">
        <v>36</v>
      </c>
    </row>
    <row r="9158" spans="1:2" x14ac:dyDescent="0.25">
      <c r="A9158" s="64" t="str">
        <f>HYPERLINK("http://www.twitter.com/SarahALaurenson", "SarahALaurenson")</f>
        <v>SarahALaurenson</v>
      </c>
      <c r="B9158" s="65" t="s">
        <v>6786</v>
      </c>
    </row>
    <row r="9159" spans="1:2" x14ac:dyDescent="0.25">
      <c r="A9159" s="64" t="str">
        <f>HYPERLINK("http://www.twitter.com/zoenbentley", "zoenbentley")</f>
        <v>zoenbentley</v>
      </c>
      <c r="B9159" s="65"/>
    </row>
    <row r="9160" spans="1:2" x14ac:dyDescent="0.25">
      <c r="A9160" s="64" t="str">
        <f>HYPERLINK("http://www.twitter.com/HoughtonBooks", "HoughtonBooks")</f>
        <v>HoughtonBooks</v>
      </c>
      <c r="B9160" s="65" t="s">
        <v>2222</v>
      </c>
    </row>
    <row r="9161" spans="1:2" x14ac:dyDescent="0.25">
      <c r="A9161" s="64" t="str">
        <f>HYPERLINK("http://www.twitter.com/CarolineRose85", "CarolineRose85")</f>
        <v>CarolineRose85</v>
      </c>
      <c r="B9161" s="65"/>
    </row>
    <row r="9162" spans="1:2" x14ac:dyDescent="0.25">
      <c r="A9162" s="64" t="str">
        <f>HYPERLINK("http://www.twitter.com/fenhuw", "fenhuw")</f>
        <v>fenhuw</v>
      </c>
      <c r="B9162" s="65"/>
    </row>
    <row r="9163" spans="1:2" x14ac:dyDescent="0.25">
      <c r="A9163" s="64" t="str">
        <f>HYPERLINK("http://www.twitter.com/BeverlyRayG", "BeverlyRayG")</f>
        <v>BeverlyRayG</v>
      </c>
      <c r="B9163" s="65" t="s">
        <v>517</v>
      </c>
    </row>
    <row r="9164" spans="1:2" x14ac:dyDescent="0.25">
      <c r="A9164" s="64" t="str">
        <f>HYPERLINK("http://www.twitter.com/andreasxl", "andreasxl")</f>
        <v>andreasxl</v>
      </c>
      <c r="B9164" s="65" t="s">
        <v>6787</v>
      </c>
    </row>
    <row r="9165" spans="1:2" x14ac:dyDescent="0.25">
      <c r="A9165" s="64" t="str">
        <f>HYPERLINK("http://www.twitter.com/thaneboulton", "thaneboulton")</f>
        <v>thaneboulton</v>
      </c>
      <c r="B9165" s="65" t="s">
        <v>5819</v>
      </c>
    </row>
    <row r="9166" spans="1:2" x14ac:dyDescent="0.25">
      <c r="A9166" s="64" t="str">
        <f>HYPERLINK("http://www.twitter.com/JustJenKing", "JustJenKing")</f>
        <v>JustJenKing</v>
      </c>
      <c r="B9166" s="65" t="s">
        <v>6788</v>
      </c>
    </row>
    <row r="9167" spans="1:2" x14ac:dyDescent="0.25">
      <c r="A9167" s="64" t="str">
        <f>HYPERLINK("http://www.twitter.com/MaireTRobinson", "MaireTRobinson")</f>
        <v>MaireTRobinson</v>
      </c>
      <c r="B9167" s="65" t="s">
        <v>3760</v>
      </c>
    </row>
    <row r="9168" spans="1:2" x14ac:dyDescent="0.25">
      <c r="A9168" s="64" t="str">
        <f>HYPERLINK("http://www.twitter.com/james_mooney", "james_mooney")</f>
        <v>james_mooney</v>
      </c>
      <c r="B9168" s="65" t="s">
        <v>6789</v>
      </c>
    </row>
    <row r="9169" spans="1:2" x14ac:dyDescent="0.25">
      <c r="A9169" s="64" t="str">
        <f>HYPERLINK("http://www.twitter.com/RebeccaMCox", "RebeccaMCox")</f>
        <v>RebeccaMCox</v>
      </c>
      <c r="B9169" s="65" t="s">
        <v>36</v>
      </c>
    </row>
    <row r="9170" spans="1:2" x14ac:dyDescent="0.25">
      <c r="A9170" s="64" t="str">
        <f>HYPERLINK("http://www.twitter.com/ThreadsAplenty", "ThreadsAplenty")</f>
        <v>ThreadsAplenty</v>
      </c>
      <c r="B9170" s="65" t="s">
        <v>4234</v>
      </c>
    </row>
    <row r="9171" spans="1:2" x14ac:dyDescent="0.25">
      <c r="A9171" s="64" t="str">
        <f>HYPERLINK("http://www.twitter.com/got_muz", "got_muz")</f>
        <v>got_muz</v>
      </c>
      <c r="B9171" s="65" t="s">
        <v>6790</v>
      </c>
    </row>
    <row r="9172" spans="1:2" x14ac:dyDescent="0.25">
      <c r="A9172" s="64" t="str">
        <f>HYPERLINK("http://www.twitter.com/RoxyMartinique", "RoxyMartinique")</f>
        <v>RoxyMartinique</v>
      </c>
      <c r="B9172" s="65" t="s">
        <v>6791</v>
      </c>
    </row>
    <row r="9173" spans="1:2" x14ac:dyDescent="0.25">
      <c r="A9173" s="64" t="str">
        <f>HYPERLINK("http://www.twitter.com/Another_Tanya", "Another_Tanya")</f>
        <v>Another_Tanya</v>
      </c>
      <c r="B9173" s="65" t="s">
        <v>6792</v>
      </c>
    </row>
    <row r="9174" spans="1:2" x14ac:dyDescent="0.25">
      <c r="A9174" s="64" t="str">
        <f>HYPERLINK("http://www.twitter.com/Tobbes73", "Tobbes73")</f>
        <v>Tobbes73</v>
      </c>
      <c r="B9174" s="65" t="s">
        <v>36</v>
      </c>
    </row>
    <row r="9175" spans="1:2" x14ac:dyDescent="0.25">
      <c r="A9175" s="64" t="str">
        <f>HYPERLINK("http://www.twitter.com/sahanarajan", "sahanarajan")</f>
        <v>sahanarajan</v>
      </c>
      <c r="B9175" s="65" t="s">
        <v>4581</v>
      </c>
    </row>
    <row r="9176" spans="1:2" x14ac:dyDescent="0.25">
      <c r="A9176" s="64" t="str">
        <f>HYPERLINK("http://www.twitter.com/QuijoteMike", "QuijoteMike")</f>
        <v>QuijoteMike</v>
      </c>
      <c r="B9176" s="65"/>
    </row>
    <row r="9177" spans="1:2" x14ac:dyDescent="0.25">
      <c r="A9177" s="64" t="str">
        <f>HYPERLINK("http://www.twitter.com/rossmackenzie", "rossmackenzie")</f>
        <v>rossmackenzie</v>
      </c>
      <c r="B9177" s="65" t="s">
        <v>6793</v>
      </c>
    </row>
    <row r="9178" spans="1:2" x14ac:dyDescent="0.25">
      <c r="A9178" s="64" t="str">
        <f>HYPERLINK("http://www.twitter.com/brybell72", "brybell72")</f>
        <v>brybell72</v>
      </c>
      <c r="B9178" s="65" t="s">
        <v>6794</v>
      </c>
    </row>
    <row r="9179" spans="1:2" x14ac:dyDescent="0.25">
      <c r="A9179" s="64" t="str">
        <f>HYPERLINK("http://www.twitter.com/Yorkstodyefor", "Yorkstodyefor")</f>
        <v>Yorkstodyefor</v>
      </c>
      <c r="B9179" s="65" t="s">
        <v>93</v>
      </c>
    </row>
    <row r="9180" spans="1:2" x14ac:dyDescent="0.25">
      <c r="A9180" s="64" t="str">
        <f>HYPERLINK("http://www.twitter.com/BridgetOFlynn", "BridgetOFlynn")</f>
        <v>BridgetOFlynn</v>
      </c>
      <c r="B9180" s="65" t="s">
        <v>4237</v>
      </c>
    </row>
    <row r="9181" spans="1:2" x14ac:dyDescent="0.25">
      <c r="A9181" s="64" t="str">
        <f>HYPERLINK("http://www.twitter.com/stellastern21", "stellastern21")</f>
        <v>stellastern21</v>
      </c>
      <c r="B9181" s="65" t="s">
        <v>6795</v>
      </c>
    </row>
    <row r="9182" spans="1:2" x14ac:dyDescent="0.25">
      <c r="A9182" s="64" t="str">
        <f>HYPERLINK("http://www.twitter.com/justmanagingart", "justmanagingart")</f>
        <v>justmanagingart</v>
      </c>
      <c r="B9182" s="65" t="s">
        <v>6796</v>
      </c>
    </row>
    <row r="9183" spans="1:2" x14ac:dyDescent="0.25">
      <c r="A9183" s="64" t="str">
        <f>HYPERLINK("http://www.twitter.com/orkneymunro", "orkneymunro")</f>
        <v>orkneymunro</v>
      </c>
      <c r="B9183" s="65"/>
    </row>
    <row r="9184" spans="1:2" x14ac:dyDescent="0.25">
      <c r="A9184" s="64" t="str">
        <f>HYPERLINK("http://www.twitter.com/BMToday", "BMToday")</f>
        <v>BMToday</v>
      </c>
      <c r="B9184" s="65"/>
    </row>
    <row r="9185" spans="1:2" x14ac:dyDescent="0.25">
      <c r="A9185" s="64" t="str">
        <f>HYPERLINK("http://www.twitter.com/SKsnehu", "SKsnehu")</f>
        <v>SKsnehu</v>
      </c>
      <c r="B9185" s="65" t="s">
        <v>6797</v>
      </c>
    </row>
    <row r="9186" spans="1:2" x14ac:dyDescent="0.25">
      <c r="A9186" s="64" t="str">
        <f>HYPERLINK("http://www.twitter.com/amesbury2", "amesbury2")</f>
        <v>amesbury2</v>
      </c>
      <c r="B9186" s="65" t="s">
        <v>6798</v>
      </c>
    </row>
    <row r="9187" spans="1:2" x14ac:dyDescent="0.25">
      <c r="A9187" s="64" t="str">
        <f>HYPERLINK("http://www.twitter.com/UCalgaryLibrary", "UCalgaryLibrary")</f>
        <v>UCalgaryLibrary</v>
      </c>
      <c r="B9187" s="65" t="s">
        <v>6799</v>
      </c>
    </row>
    <row r="9188" spans="1:2" x14ac:dyDescent="0.25">
      <c r="A9188" s="64" t="str">
        <f>HYPERLINK("http://www.twitter.com/ShesMissAllison", "ShesMissAllison")</f>
        <v>ShesMissAllison</v>
      </c>
      <c r="B9188" s="65" t="s">
        <v>3948</v>
      </c>
    </row>
    <row r="9189" spans="1:2" x14ac:dyDescent="0.25">
      <c r="A9189" s="64" t="str">
        <f>HYPERLINK("http://www.twitter.com/darrenm77", "darrenm77")</f>
        <v>darrenm77</v>
      </c>
      <c r="B9189" s="65"/>
    </row>
    <row r="9190" spans="1:2" x14ac:dyDescent="0.25">
      <c r="A9190" s="64" t="str">
        <f>HYPERLINK("http://www.twitter.com/Sand1725", "Sand1725")</f>
        <v>Sand1725</v>
      </c>
      <c r="B9190" s="65"/>
    </row>
    <row r="9191" spans="1:2" x14ac:dyDescent="0.25">
      <c r="A9191" s="64" t="str">
        <f>HYPERLINK("http://www.twitter.com/yvaman21", "yvaman21")</f>
        <v>yvaman21</v>
      </c>
      <c r="B9191" s="65"/>
    </row>
    <row r="9192" spans="1:2" x14ac:dyDescent="0.25">
      <c r="A9192" s="64" t="str">
        <f>HYPERLINK("http://www.twitter.com/Clara456350771", "Clara456350771")</f>
        <v>Clara456350771</v>
      </c>
      <c r="B9192" s="65"/>
    </row>
    <row r="9193" spans="1:2" x14ac:dyDescent="0.25">
      <c r="A9193" s="64" t="str">
        <f>HYPERLINK("http://www.twitter.com/rossjfoley", "rossjfoley")</f>
        <v>rossjfoley</v>
      </c>
      <c r="B9193" s="65" t="s">
        <v>487</v>
      </c>
    </row>
    <row r="9194" spans="1:2" x14ac:dyDescent="0.25">
      <c r="A9194" s="64" t="str">
        <f>HYPERLINK("http://www.twitter.com/nhsknowledge", "nhsknowledge")</f>
        <v>nhsknowledge</v>
      </c>
      <c r="B9194" s="65" t="s">
        <v>4040</v>
      </c>
    </row>
    <row r="9195" spans="1:2" x14ac:dyDescent="0.25">
      <c r="A9195" s="64" t="str">
        <f>HYPERLINK("http://www.twitter.com/DebRichardson26", "DebRichardson26")</f>
        <v>DebRichardson26</v>
      </c>
      <c r="B9195" s="65" t="s">
        <v>5878</v>
      </c>
    </row>
    <row r="9196" spans="1:2" x14ac:dyDescent="0.25">
      <c r="A9196" s="64" t="str">
        <f>HYPERLINK("http://www.twitter.com/hattou221", "hattou221")</f>
        <v>hattou221</v>
      </c>
      <c r="B9196" s="65"/>
    </row>
    <row r="9197" spans="1:2" x14ac:dyDescent="0.25">
      <c r="A9197" s="64" t="str">
        <f>HYPERLINK("http://www.twitter.com/solty_coffee", "solty_coffee")</f>
        <v>solty_coffee</v>
      </c>
      <c r="B9197" s="65"/>
    </row>
    <row r="9198" spans="1:2" x14ac:dyDescent="0.25">
      <c r="A9198" s="64" t="str">
        <f>HYPERLINK("http://www.twitter.com/KaySimp05997318", "KaySimp05997318")</f>
        <v>KaySimp05997318</v>
      </c>
      <c r="B9198" s="65"/>
    </row>
    <row r="9199" spans="1:2" x14ac:dyDescent="0.25">
      <c r="A9199" s="64" t="str">
        <f>HYPERLINK("http://www.twitter.com/SallyMHarcus", "SallyMHarcus")</f>
        <v>SallyMHarcus</v>
      </c>
      <c r="B9199" s="65" t="s">
        <v>6800</v>
      </c>
    </row>
    <row r="9200" spans="1:2" x14ac:dyDescent="0.25">
      <c r="A9200" s="64" t="str">
        <f>HYPERLINK("http://www.twitter.com/VervePoetryFest", "VervePoetryFest")</f>
        <v>VervePoetryFest</v>
      </c>
      <c r="B9200" s="65" t="s">
        <v>926</v>
      </c>
    </row>
    <row r="9201" spans="1:2" x14ac:dyDescent="0.25">
      <c r="A9201" s="64" t="str">
        <f>HYPERLINK("http://www.twitter.com/urrismcd", "urrismcd")</f>
        <v>urrismcd</v>
      </c>
      <c r="B9201" s="65" t="s">
        <v>6801</v>
      </c>
    </row>
    <row r="9202" spans="1:2" x14ac:dyDescent="0.25">
      <c r="A9202" s="64" t="str">
        <f>HYPERLINK("http://www.twitter.com/GrumpyFitChick", "GrumpyFitChick")</f>
        <v>GrumpyFitChick</v>
      </c>
      <c r="B9202" s="65" t="s">
        <v>1739</v>
      </c>
    </row>
    <row r="9203" spans="1:2" x14ac:dyDescent="0.25">
      <c r="A9203" s="64" t="str">
        <f>HYPERLINK("http://www.twitter.com/deepadharmaraj", "deepadharmaraj")</f>
        <v>deepadharmaraj</v>
      </c>
      <c r="B9203" s="65" t="s">
        <v>6802</v>
      </c>
    </row>
    <row r="9204" spans="1:2" x14ac:dyDescent="0.25">
      <c r="A9204" s="64" t="str">
        <f>HYPERLINK("http://www.twitter.com/JaneHill8", "JaneHill8")</f>
        <v>JaneHill8</v>
      </c>
      <c r="B9204" s="65"/>
    </row>
    <row r="9205" spans="1:2" x14ac:dyDescent="0.25">
      <c r="A9205" s="64" t="str">
        <f>HYPERLINK("http://www.twitter.com/sfmphotog", "sfmphotog")</f>
        <v>sfmphotog</v>
      </c>
      <c r="B9205" s="65"/>
    </row>
    <row r="9206" spans="1:2" x14ac:dyDescent="0.25">
      <c r="A9206" s="64" t="str">
        <f>HYPERLINK("http://www.twitter.com/katelunnpigula", "katelunnpigula")</f>
        <v>katelunnpigula</v>
      </c>
      <c r="B9206" s="65"/>
    </row>
    <row r="9207" spans="1:2" x14ac:dyDescent="0.25">
      <c r="A9207" s="64" t="str">
        <f>HYPERLINK("http://www.twitter.com/queetko", "queetko")</f>
        <v>queetko</v>
      </c>
      <c r="B9207" s="65"/>
    </row>
    <row r="9208" spans="1:2" x14ac:dyDescent="0.25">
      <c r="A9208" s="64" t="str">
        <f>HYPERLINK("http://www.twitter.com/JessicaJC18", "JessicaJC18")</f>
        <v>JessicaJC18</v>
      </c>
      <c r="B9208" s="65"/>
    </row>
    <row r="9209" spans="1:2" x14ac:dyDescent="0.25">
      <c r="A9209" s="64" t="str">
        <f>HYPERLINK("http://www.twitter.com/ZulNHOfficial", "ZulNHOfficial")</f>
        <v>ZulNHOfficial</v>
      </c>
      <c r="B9209" s="65" t="s">
        <v>6803</v>
      </c>
    </row>
    <row r="9210" spans="1:2" x14ac:dyDescent="0.25">
      <c r="A9210" s="64" t="str">
        <f>HYPERLINK("http://www.twitter.com/robowers", "robowers")</f>
        <v>robowers</v>
      </c>
      <c r="B9210" s="65" t="s">
        <v>477</v>
      </c>
    </row>
    <row r="9211" spans="1:2" x14ac:dyDescent="0.25">
      <c r="A9211" s="64" t="str">
        <f>HYPERLINK("http://www.twitter.com/randolphsleap", "randolphsleap")</f>
        <v>randolphsleap</v>
      </c>
      <c r="B9211" s="65"/>
    </row>
    <row r="9212" spans="1:2" x14ac:dyDescent="0.25">
      <c r="A9212" s="64" t="str">
        <f>HYPERLINK("http://www.twitter.com/LintonV86ness", "LintonV86ness")</f>
        <v>LintonV86ness</v>
      </c>
      <c r="B9212" s="65"/>
    </row>
    <row r="9213" spans="1:2" x14ac:dyDescent="0.25">
      <c r="A9213" s="64" t="str">
        <f>HYPERLINK("http://www.twitter.com/domola1", "domola1")</f>
        <v>domola1</v>
      </c>
      <c r="B9213" s="65"/>
    </row>
    <row r="9214" spans="1:2" x14ac:dyDescent="0.25">
      <c r="A9214" s="64" t="str">
        <f>HYPERLINK("http://www.twitter.com/NicolsonRuth", "NicolsonRuth")</f>
        <v>NicolsonRuth</v>
      </c>
      <c r="B9214" s="65" t="s">
        <v>318</v>
      </c>
    </row>
    <row r="9215" spans="1:2" x14ac:dyDescent="0.25">
      <c r="A9215" s="64" t="str">
        <f>HYPERLINK("http://www.twitter.com/starenergy28", "starenergy28")</f>
        <v>starenergy28</v>
      </c>
      <c r="B9215" s="65" t="s">
        <v>3998</v>
      </c>
    </row>
    <row r="9216" spans="1:2" x14ac:dyDescent="0.25">
      <c r="A9216" s="64" t="str">
        <f>HYPERLINK("http://www.twitter.com/joshuaparter", "joshuaparter")</f>
        <v>joshuaparter</v>
      </c>
      <c r="B9216" s="65" t="s">
        <v>70</v>
      </c>
    </row>
    <row r="9217" spans="1:2" x14ac:dyDescent="0.25">
      <c r="A9217" s="64" t="str">
        <f>HYPERLINK("http://www.twitter.com/KatieForrest11", "KatieForrest11")</f>
        <v>KatieForrest11</v>
      </c>
      <c r="B9217" s="65"/>
    </row>
    <row r="9218" spans="1:2" x14ac:dyDescent="0.25">
      <c r="A9218" s="64" t="str">
        <f>HYPERLINK("http://www.twitter.com/clshe", "clshe")</f>
        <v>clshe</v>
      </c>
      <c r="B9218" s="65"/>
    </row>
    <row r="9219" spans="1:2" x14ac:dyDescent="0.25">
      <c r="A9219" s="64" t="str">
        <f>HYPERLINK("http://www.twitter.com/katie_d_souza", "katie_d_souza")</f>
        <v>katie_d_souza</v>
      </c>
      <c r="B9219" s="65"/>
    </row>
    <row r="9220" spans="1:2" x14ac:dyDescent="0.25">
      <c r="A9220" s="64" t="str">
        <f>HYPERLINK("http://www.twitter.com/dqj999", "dqj999")</f>
        <v>dqj999</v>
      </c>
      <c r="B9220" s="65" t="s">
        <v>3516</v>
      </c>
    </row>
    <row r="9221" spans="1:2" x14ac:dyDescent="0.25">
      <c r="A9221" s="64" t="str">
        <f>HYPERLINK("http://www.twitter.com/padewhirst", "padewhirst")</f>
        <v>padewhirst</v>
      </c>
      <c r="B9221" s="65"/>
    </row>
    <row r="9222" spans="1:2" x14ac:dyDescent="0.25">
      <c r="A9222" s="64" t="str">
        <f>HYPERLINK("http://www.twitter.com/Demelza123", "Demelza123")</f>
        <v>Demelza123</v>
      </c>
      <c r="B9222" s="65"/>
    </row>
    <row r="9223" spans="1:2" x14ac:dyDescent="0.25">
      <c r="A9223" s="64" t="str">
        <f>HYPERLINK("http://www.twitter.com/aliceosharman", "aliceosharman")</f>
        <v>aliceosharman</v>
      </c>
      <c r="B9223" s="65" t="s">
        <v>6804</v>
      </c>
    </row>
    <row r="9224" spans="1:2" x14ac:dyDescent="0.25">
      <c r="A9224" s="64" t="str">
        <f>HYPERLINK("http://www.twitter.com/TheLostGirl16", "TheLostGirl16")</f>
        <v>TheLostGirl16</v>
      </c>
      <c r="B9224" s="65"/>
    </row>
    <row r="9225" spans="1:2" x14ac:dyDescent="0.25">
      <c r="A9225" s="64" t="str">
        <f>HYPERLINK("http://www.twitter.com/Irnbrumaiden666", "Irnbrumaiden666")</f>
        <v>Irnbrumaiden666</v>
      </c>
      <c r="B9225" s="65" t="s">
        <v>6805</v>
      </c>
    </row>
    <row r="9226" spans="1:2" x14ac:dyDescent="0.25">
      <c r="A9226" s="64" t="str">
        <f>HYPERLINK("http://www.twitter.com/jemma_tweets", "jemma_tweets")</f>
        <v>jemma_tweets</v>
      </c>
      <c r="B9226" s="65" t="s">
        <v>1105</v>
      </c>
    </row>
    <row r="9227" spans="1:2" x14ac:dyDescent="0.25">
      <c r="A9227" s="64" t="str">
        <f>HYPERLINK("http://www.twitter.com/NickFairclough", "NickFairclough")</f>
        <v>NickFairclough</v>
      </c>
      <c r="B9227" s="65" t="s">
        <v>3207</v>
      </c>
    </row>
    <row r="9228" spans="1:2" x14ac:dyDescent="0.25">
      <c r="A9228" s="64" t="str">
        <f>HYPERLINK("http://www.twitter.com/lorrainesharon3", "lorrainesharon3")</f>
        <v>lorrainesharon3</v>
      </c>
      <c r="B9228" s="65" t="s">
        <v>6806</v>
      </c>
    </row>
    <row r="9229" spans="1:2" x14ac:dyDescent="0.25">
      <c r="A9229" s="64" t="str">
        <f>HYPERLINK("http://www.twitter.com/DTQLD", "DTQLD")</f>
        <v>DTQLD</v>
      </c>
      <c r="B9229" s="65"/>
    </row>
    <row r="9230" spans="1:2" x14ac:dyDescent="0.25">
      <c r="A9230" s="64" t="str">
        <f>HYPERLINK("http://www.twitter.com/jane_tanner_", "jane_tanner_")</f>
        <v>jane_tanner_</v>
      </c>
      <c r="B9230" s="65" t="s">
        <v>3988</v>
      </c>
    </row>
    <row r="9231" spans="1:2" x14ac:dyDescent="0.25">
      <c r="A9231" s="64" t="str">
        <f>HYPERLINK("http://www.twitter.com/LorGriff", "LorGriff")</f>
        <v>LorGriff</v>
      </c>
      <c r="B9231" s="65" t="s">
        <v>4092</v>
      </c>
    </row>
    <row r="9232" spans="1:2" x14ac:dyDescent="0.25">
      <c r="A9232" s="64" t="str">
        <f>HYPERLINK("http://www.twitter.com/iPhoneLakeland", "iPhoneLakeland")</f>
        <v>iPhoneLakeland</v>
      </c>
      <c r="B9232" s="65" t="s">
        <v>6807</v>
      </c>
    </row>
    <row r="9233" spans="1:2" x14ac:dyDescent="0.25">
      <c r="A9233" s="64" t="str">
        <f>HYPERLINK("http://www.twitter.com/Drimoley", "Drimoley")</f>
        <v>Drimoley</v>
      </c>
      <c r="B9233" s="65"/>
    </row>
    <row r="9234" spans="1:2" x14ac:dyDescent="0.25">
      <c r="A9234" s="64" t="str">
        <f>HYPERLINK("http://www.twitter.com/YrsaSig", "YrsaSig")</f>
        <v>YrsaSig</v>
      </c>
      <c r="B9234" s="65" t="s">
        <v>6360</v>
      </c>
    </row>
    <row r="9235" spans="1:2" x14ac:dyDescent="0.25">
      <c r="A9235" s="64" t="str">
        <f>HYPERLINK("http://www.twitter.com/Xanthi7", "Xanthi7")</f>
        <v>Xanthi7</v>
      </c>
      <c r="B9235" s="65" t="s">
        <v>6808</v>
      </c>
    </row>
    <row r="9236" spans="1:2" x14ac:dyDescent="0.25">
      <c r="A9236" s="64" t="str">
        <f>HYPERLINK("http://www.twitter.com/Phoenix064Edge", "Phoenix064Edge")</f>
        <v>Phoenix064Edge</v>
      </c>
      <c r="B9236" s="65"/>
    </row>
    <row r="9237" spans="1:2" x14ac:dyDescent="0.25">
      <c r="A9237" s="64" t="str">
        <f>HYPERLINK("http://www.twitter.com/WildGreenWood", "WildGreenWood")</f>
        <v>WildGreenWood</v>
      </c>
      <c r="B9237" s="65" t="s">
        <v>6809</v>
      </c>
    </row>
    <row r="9238" spans="1:2" x14ac:dyDescent="0.25">
      <c r="A9238" s="64" t="str">
        <f>HYPERLINK("http://www.twitter.com/SulaBrookes", "SulaBrookes")</f>
        <v>SulaBrookes</v>
      </c>
      <c r="B9238" s="65"/>
    </row>
    <row r="9239" spans="1:2" x14ac:dyDescent="0.25">
      <c r="A9239" s="64" t="str">
        <f>HYPERLINK("http://www.twitter.com/JennyDonnellan", "JennyDonnellan")</f>
        <v>JennyDonnellan</v>
      </c>
      <c r="B9239" s="65" t="s">
        <v>477</v>
      </c>
    </row>
    <row r="9240" spans="1:2" x14ac:dyDescent="0.25">
      <c r="A9240" s="64" t="str">
        <f>HYPERLINK("http://www.twitter.com/CelebMixBooks", "CelebMixBooks")</f>
        <v>CelebMixBooks</v>
      </c>
      <c r="B9240" s="65" t="s">
        <v>4149</v>
      </c>
    </row>
    <row r="9241" spans="1:2" x14ac:dyDescent="0.25">
      <c r="A9241" s="64" t="str">
        <f>HYPERLINK("http://www.twitter.com/SatanicDiaries1", "SatanicDiaries1")</f>
        <v>SatanicDiaries1</v>
      </c>
      <c r="B9241" s="65" t="s">
        <v>70</v>
      </c>
    </row>
    <row r="9242" spans="1:2" x14ac:dyDescent="0.25">
      <c r="A9242" s="64" t="str">
        <f>HYPERLINK("http://www.twitter.com/mal_macleod", "mal_macleod")</f>
        <v>mal_macleod</v>
      </c>
      <c r="B9242" s="65"/>
    </row>
    <row r="9243" spans="1:2" x14ac:dyDescent="0.25">
      <c r="A9243" s="64" t="str">
        <f>HYPERLINK("http://www.twitter.com/kobidor", "kobidor")</f>
        <v>kobidor</v>
      </c>
      <c r="B9243" s="65" t="s">
        <v>4355</v>
      </c>
    </row>
    <row r="9244" spans="1:2" x14ac:dyDescent="0.25">
      <c r="A9244" s="64" t="str">
        <f>HYPERLINK("http://www.twitter.com/mspennyface", "mspennyface")</f>
        <v>mspennyface</v>
      </c>
      <c r="B9244" s="65"/>
    </row>
    <row r="9245" spans="1:2" x14ac:dyDescent="0.25">
      <c r="A9245" s="64" t="str">
        <f>HYPERLINK("http://www.twitter.com/EdenArchCon", "EdenArchCon")</f>
        <v>EdenArchCon</v>
      </c>
      <c r="B9245" s="65" t="s">
        <v>487</v>
      </c>
    </row>
    <row r="9246" spans="1:2" x14ac:dyDescent="0.25">
      <c r="A9246" s="64" t="str">
        <f>HYPERLINK("http://www.twitter.com/kennethjbaird", "kennethjbaird")</f>
        <v>kennethjbaird</v>
      </c>
      <c r="B9246" s="65" t="s">
        <v>487</v>
      </c>
    </row>
    <row r="9247" spans="1:2" x14ac:dyDescent="0.25">
      <c r="A9247" s="64" t="str">
        <f>HYPERLINK("http://www.twitter.com/barnabas_harris", "barnabas_harris")</f>
        <v>barnabas_harris</v>
      </c>
      <c r="B9247" s="65" t="s">
        <v>477</v>
      </c>
    </row>
    <row r="9248" spans="1:2" x14ac:dyDescent="0.25">
      <c r="A9248" s="64" t="str">
        <f>HYPERLINK("http://www.twitter.com/TimothyMarx_Cat", "TimothyMarx_Cat")</f>
        <v>TimothyMarx_Cat</v>
      </c>
      <c r="B9248" s="65"/>
    </row>
    <row r="9249" spans="1:2" x14ac:dyDescent="0.25">
      <c r="A9249" s="64" t="str">
        <f>HYPERLINK("http://www.twitter.com/matt_mctavish", "matt_mctavish")</f>
        <v>matt_mctavish</v>
      </c>
      <c r="B9249" s="65"/>
    </row>
    <row r="9250" spans="1:2" x14ac:dyDescent="0.25">
      <c r="A9250" s="64" t="str">
        <f>HYPERLINK("http://www.twitter.com/casualwitness", "casualwitness")</f>
        <v>casualwitness</v>
      </c>
      <c r="B9250" s="65"/>
    </row>
    <row r="9251" spans="1:2" x14ac:dyDescent="0.25">
      <c r="A9251" s="64" t="str">
        <f>HYPERLINK("http://www.twitter.com/kattennent14", "kattennent14")</f>
        <v>kattennent14</v>
      </c>
      <c r="B9251" s="65" t="s">
        <v>6810</v>
      </c>
    </row>
    <row r="9252" spans="1:2" x14ac:dyDescent="0.25">
      <c r="A9252" s="64" t="str">
        <f>HYPERLINK("http://www.twitter.com/GerryORiordan77", "GerryORiordan77")</f>
        <v>GerryORiordan77</v>
      </c>
      <c r="B9252" s="65" t="s">
        <v>24</v>
      </c>
    </row>
    <row r="9253" spans="1:2" x14ac:dyDescent="0.25">
      <c r="A9253" s="64" t="str">
        <f>HYPERLINK("http://www.twitter.com/lanero49", "lanero49")</f>
        <v>lanero49</v>
      </c>
      <c r="B9253" s="65"/>
    </row>
    <row r="9254" spans="1:2" x14ac:dyDescent="0.25">
      <c r="A9254" s="64" t="str">
        <f>HYPERLINK("http://www.twitter.com/Xxander1968", "Xxander1968")</f>
        <v>Xxander1968</v>
      </c>
      <c r="B9254" s="65" t="s">
        <v>517</v>
      </c>
    </row>
    <row r="9255" spans="1:2" x14ac:dyDescent="0.25">
      <c r="A9255" s="64" t="str">
        <f>HYPERLINK("http://www.twitter.com/AlbanDickson", "AlbanDickson")</f>
        <v>AlbanDickson</v>
      </c>
      <c r="B9255" s="65" t="s">
        <v>4092</v>
      </c>
    </row>
    <row r="9256" spans="1:2" x14ac:dyDescent="0.25">
      <c r="A9256" s="64" t="str">
        <f>HYPERLINK("http://www.twitter.com/ithinkitsnice", "ithinkitsnice")</f>
        <v>ithinkitsnice</v>
      </c>
      <c r="B9256" s="65" t="s">
        <v>138</v>
      </c>
    </row>
    <row r="9257" spans="1:2" x14ac:dyDescent="0.25">
      <c r="A9257" s="64" t="str">
        <f>HYPERLINK("http://www.twitter.com/bruce_buchan", "bruce_buchan")</f>
        <v>bruce_buchan</v>
      </c>
      <c r="B9257" s="65" t="s">
        <v>808</v>
      </c>
    </row>
    <row r="9258" spans="1:2" x14ac:dyDescent="0.25">
      <c r="A9258" s="64" t="str">
        <f>HYPERLINK("http://www.twitter.com/nosajslleb", "nosajslleb")</f>
        <v>nosajslleb</v>
      </c>
      <c r="B9258" s="65" t="s">
        <v>6811</v>
      </c>
    </row>
    <row r="9259" spans="1:2" x14ac:dyDescent="0.25">
      <c r="A9259" s="64" t="str">
        <f>HYPERLINK("http://www.twitter.com/AsteroidDavid", "AsteroidDavid")</f>
        <v>AsteroidDavid</v>
      </c>
      <c r="B9259" s="65" t="s">
        <v>6812</v>
      </c>
    </row>
    <row r="9260" spans="1:2" x14ac:dyDescent="0.25">
      <c r="A9260" s="64" t="str">
        <f>HYPERLINK("http://www.twitter.com/Skraggletooth", "Skraggletooth")</f>
        <v>Skraggletooth</v>
      </c>
      <c r="B9260" s="65"/>
    </row>
    <row r="9261" spans="1:2" x14ac:dyDescent="0.25">
      <c r="A9261" s="64" t="str">
        <f>HYPERLINK("http://www.twitter.com/kennedydalby", "kennedydalby")</f>
        <v>kennedydalby</v>
      </c>
      <c r="B9261" s="65" t="s">
        <v>6813</v>
      </c>
    </row>
    <row r="9262" spans="1:2" x14ac:dyDescent="0.25">
      <c r="A9262" s="64" t="str">
        <f>HYPERLINK("http://www.twitter.com/ATunaMeltOnRye", "ATunaMeltOnRye")</f>
        <v>ATunaMeltOnRye</v>
      </c>
      <c r="B9262" s="65" t="s">
        <v>36</v>
      </c>
    </row>
    <row r="9263" spans="1:2" x14ac:dyDescent="0.25">
      <c r="A9263" s="64" t="str">
        <f>HYPERLINK("http://www.twitter.com/bibliorura", "bibliorura")</f>
        <v>bibliorura</v>
      </c>
      <c r="B9263" s="65" t="s">
        <v>6814</v>
      </c>
    </row>
    <row r="9264" spans="1:2" x14ac:dyDescent="0.25">
      <c r="A9264" s="64" t="str">
        <f>HYPERLINK("http://www.twitter.com/tcpublib", "tcpublib")</f>
        <v>tcpublib</v>
      </c>
      <c r="B9264" s="65" t="s">
        <v>6815</v>
      </c>
    </row>
    <row r="9265" spans="1:2" x14ac:dyDescent="0.25">
      <c r="A9265" s="64" t="str">
        <f>HYPERLINK("http://www.twitter.com/GrangerJean21", "GrangerJean21")</f>
        <v>GrangerJean21</v>
      </c>
      <c r="B9265" s="65" t="s">
        <v>4837</v>
      </c>
    </row>
    <row r="9266" spans="1:2" x14ac:dyDescent="0.25">
      <c r="A9266" s="64" t="str">
        <f>HYPERLINK("http://www.twitter.com/MisssJoice", "MisssJoice")</f>
        <v>MisssJoice</v>
      </c>
      <c r="B9266" s="65"/>
    </row>
    <row r="9267" spans="1:2" x14ac:dyDescent="0.25">
      <c r="A9267" s="64" t="str">
        <f>HYPERLINK("http://www.twitter.com/JesterPilgrim", "JesterPilgrim")</f>
        <v>JesterPilgrim</v>
      </c>
      <c r="B9267" s="65" t="s">
        <v>4782</v>
      </c>
    </row>
    <row r="9268" spans="1:2" x14ac:dyDescent="0.25">
      <c r="A9268" s="64" t="str">
        <f>HYPERLINK("http://www.twitter.com/Jen__Lister", "Jen__Lister")</f>
        <v>Jen__Lister</v>
      </c>
      <c r="B9268" s="65" t="s">
        <v>33</v>
      </c>
    </row>
    <row r="9269" spans="1:2" x14ac:dyDescent="0.25">
      <c r="A9269" s="64" t="str">
        <f>HYPERLINK("http://www.twitter.com/DaneProctor", "DaneProctor")</f>
        <v>DaneProctor</v>
      </c>
      <c r="B9269" s="65" t="s">
        <v>477</v>
      </c>
    </row>
    <row r="9270" spans="1:2" x14ac:dyDescent="0.25">
      <c r="A9270" s="64" t="str">
        <f>HYPERLINK("http://www.twitter.com/sarahjreay", "sarahjreay")</f>
        <v>sarahjreay</v>
      </c>
      <c r="B9270" s="65" t="s">
        <v>5007</v>
      </c>
    </row>
    <row r="9271" spans="1:2" x14ac:dyDescent="0.25">
      <c r="A9271" s="64" t="str">
        <f>HYPERLINK("http://www.twitter.com/BarryCampbell78", "BarryCampbell78")</f>
        <v>BarryCampbell78</v>
      </c>
      <c r="B9271" s="65" t="s">
        <v>318</v>
      </c>
    </row>
    <row r="9272" spans="1:2" x14ac:dyDescent="0.25">
      <c r="A9272" s="64" t="str">
        <f>HYPERLINK("http://www.twitter.com/berrywrites", "berrywrites")</f>
        <v>berrywrites</v>
      </c>
      <c r="B9272" s="65"/>
    </row>
    <row r="9273" spans="1:2" x14ac:dyDescent="0.25">
      <c r="A9273" s="64" t="str">
        <f>HYPERLINK("http://www.twitter.com/weeziefrish", "weeziefrish")</f>
        <v>weeziefrish</v>
      </c>
      <c r="B9273" s="65" t="s">
        <v>517</v>
      </c>
    </row>
    <row r="9274" spans="1:2" x14ac:dyDescent="0.25">
      <c r="A9274" s="64" t="str">
        <f>HYPERLINK("http://www.twitter.com/pariswheels", "pariswheels")</f>
        <v>pariswheels</v>
      </c>
      <c r="B9274" s="65"/>
    </row>
    <row r="9275" spans="1:2" x14ac:dyDescent="0.25">
      <c r="A9275" s="64" t="str">
        <f>HYPERLINK("http://www.twitter.com/candiadinshaw", "candiadinshaw")</f>
        <v>candiadinshaw</v>
      </c>
      <c r="B9275" s="65"/>
    </row>
    <row r="9276" spans="1:2" x14ac:dyDescent="0.25">
      <c r="A9276" s="64" t="str">
        <f>HYPERLINK("http://www.twitter.com/fcscotland", "fcscotland")</f>
        <v>fcscotland</v>
      </c>
      <c r="B9276" s="65" t="s">
        <v>517</v>
      </c>
    </row>
    <row r="9277" spans="1:2" x14ac:dyDescent="0.25">
      <c r="A9277" s="64" t="str">
        <f>HYPERLINK("http://www.twitter.com/MackRestoration", "MackRestoration")</f>
        <v>MackRestoration</v>
      </c>
      <c r="B9277" s="65" t="s">
        <v>318</v>
      </c>
    </row>
    <row r="9278" spans="1:2" x14ac:dyDescent="0.25">
      <c r="A9278" s="64" t="str">
        <f>HYPERLINK("http://www.twitter.com/BeShakespeare", "BeShakespeare")</f>
        <v>BeShakespeare</v>
      </c>
      <c r="B9278" s="65" t="s">
        <v>3823</v>
      </c>
    </row>
    <row r="9279" spans="1:2" x14ac:dyDescent="0.25">
      <c r="A9279" s="64" t="str">
        <f>HYPERLINK("http://www.twitter.com/Batebox33", "Batebox33")</f>
        <v>Batebox33</v>
      </c>
      <c r="B9279" s="65" t="s">
        <v>36</v>
      </c>
    </row>
    <row r="9280" spans="1:2" x14ac:dyDescent="0.25">
      <c r="A9280" s="64" t="str">
        <f>HYPERLINK("http://www.twitter.com/doctorusaama1", "doctorusaama1")</f>
        <v>doctorusaama1</v>
      </c>
      <c r="B9280" s="65" t="s">
        <v>6816</v>
      </c>
    </row>
    <row r="9281" spans="1:2" x14ac:dyDescent="0.25">
      <c r="A9281" s="64" t="str">
        <f>HYPERLINK("http://www.twitter.com/sarahmariemayo1", "sarahmariemayo1")</f>
        <v>sarahmariemayo1</v>
      </c>
      <c r="B9281" s="65"/>
    </row>
    <row r="9282" spans="1:2" x14ac:dyDescent="0.25">
      <c r="A9282" s="64" t="str">
        <f>HYPERLINK("http://www.twitter.com/spencerjacquly5", "spencerjacquly5")</f>
        <v>spencerjacquly5</v>
      </c>
      <c r="B9282" s="65"/>
    </row>
    <row r="9283" spans="1:2" x14ac:dyDescent="0.25">
      <c r="A9283" s="64" t="str">
        <f>HYPERLINK("http://www.twitter.com/Cabbage_Babble", "Cabbage_Babble")</f>
        <v>Cabbage_Babble</v>
      </c>
      <c r="B9283" s="65" t="s">
        <v>6817</v>
      </c>
    </row>
    <row r="9284" spans="1:2" x14ac:dyDescent="0.25">
      <c r="A9284" s="64" t="str">
        <f>HYPERLINK("http://www.twitter.com/SimonRLCarter", "SimonRLCarter")</f>
        <v>SimonRLCarter</v>
      </c>
      <c r="B9284" s="65" t="s">
        <v>1592</v>
      </c>
    </row>
    <row r="9285" spans="1:2" x14ac:dyDescent="0.25">
      <c r="A9285" s="64" t="str">
        <f>HYPERLINK("http://www.twitter.com/rosemaryorkney", "rosemaryorkney")</f>
        <v>rosemaryorkney</v>
      </c>
      <c r="B9285" s="65"/>
    </row>
    <row r="9286" spans="1:2" x14ac:dyDescent="0.25">
      <c r="A9286" s="64" t="str">
        <f>HYPERLINK("http://www.twitter.com/LouFerGirl", "LouFerGirl")</f>
        <v>LouFerGirl</v>
      </c>
      <c r="B9286" s="65"/>
    </row>
    <row r="9287" spans="1:2" x14ac:dyDescent="0.25">
      <c r="A9287" s="64" t="str">
        <f>HYPERLINK("http://www.twitter.com/lidyvos", "lidyvos")</f>
        <v>lidyvos</v>
      </c>
      <c r="B9287" s="65" t="s">
        <v>6728</v>
      </c>
    </row>
    <row r="9288" spans="1:2" x14ac:dyDescent="0.25">
      <c r="A9288" s="64" t="str">
        <f>HYPERLINK("http://www.twitter.com/GoodReadsRonna", "GoodReadsRonna")</f>
        <v>GoodReadsRonna</v>
      </c>
      <c r="B9288" s="65" t="s">
        <v>6818</v>
      </c>
    </row>
    <row r="9289" spans="1:2" x14ac:dyDescent="0.25">
      <c r="A9289" s="64" t="str">
        <f>HYPERLINK("http://www.twitter.com/SolsticePoetry", "SolsticePoetry")</f>
        <v>SolsticePoetry</v>
      </c>
      <c r="B9289" s="65" t="s">
        <v>6384</v>
      </c>
    </row>
    <row r="9290" spans="1:2" x14ac:dyDescent="0.25">
      <c r="A9290" s="64" t="str">
        <f>HYPERLINK("http://www.twitter.com/gethersno", "gethersno")</f>
        <v>gethersno</v>
      </c>
      <c r="B9290" s="65" t="s">
        <v>6819</v>
      </c>
    </row>
    <row r="9291" spans="1:2" x14ac:dyDescent="0.25">
      <c r="A9291" s="64" t="str">
        <f>HYPERLINK("http://www.twitter.com/gardens_michael", "gardens_michael")</f>
        <v>gardens_michael</v>
      </c>
      <c r="B9291" s="65" t="s">
        <v>3961</v>
      </c>
    </row>
    <row r="9292" spans="1:2" x14ac:dyDescent="0.25">
      <c r="A9292" s="64" t="str">
        <f>HYPERLINK("http://www.twitter.com/BlueBracken", "BlueBracken")</f>
        <v>BlueBracken</v>
      </c>
      <c r="B9292" s="65"/>
    </row>
    <row r="9293" spans="1:2" x14ac:dyDescent="0.25">
      <c r="A9293" s="64" t="str">
        <f>HYPERLINK("http://www.twitter.com/ArchiSchools", "ArchiSchools")</f>
        <v>ArchiSchools</v>
      </c>
      <c r="B9293" s="65" t="s">
        <v>601</v>
      </c>
    </row>
    <row r="9294" spans="1:2" x14ac:dyDescent="0.25">
      <c r="A9294" s="64" t="str">
        <f>HYPERLINK("http://www.twitter.com/SachaMenses", "SachaMenses")</f>
        <v>SachaMenses</v>
      </c>
      <c r="B9294" s="65"/>
    </row>
    <row r="9295" spans="1:2" x14ac:dyDescent="0.25">
      <c r="A9295" s="64" t="str">
        <f>HYPERLINK("http://www.twitter.com/StefanHahue1", "StefanHahue1")</f>
        <v>StefanHahue1</v>
      </c>
      <c r="B9295" s="65" t="s">
        <v>6820</v>
      </c>
    </row>
    <row r="9296" spans="1:2" x14ac:dyDescent="0.25">
      <c r="A9296" s="64" t="str">
        <f>HYPERLINK("http://www.twitter.com/anna_halford", "anna_halford")</f>
        <v>anna_halford</v>
      </c>
      <c r="B9296" s="65" t="s">
        <v>6821</v>
      </c>
    </row>
    <row r="9297" spans="1:2" x14ac:dyDescent="0.25">
      <c r="A9297" s="64" t="str">
        <f>HYPERLINK("http://www.twitter.com/ewlyn", "ewlyn")</f>
        <v>ewlyn</v>
      </c>
      <c r="B9297" s="65" t="s">
        <v>6822</v>
      </c>
    </row>
    <row r="9298" spans="1:2" x14ac:dyDescent="0.25">
      <c r="A9298" s="64" t="str">
        <f>HYPERLINK("http://www.twitter.com/KristieHanley", "KristieHanley")</f>
        <v>KristieHanley</v>
      </c>
      <c r="B9298" s="65" t="s">
        <v>6823</v>
      </c>
    </row>
    <row r="9299" spans="1:2" x14ac:dyDescent="0.25">
      <c r="A9299" s="64" t="str">
        <f>HYPERLINK("http://www.twitter.com/brisbane_lib", "brisbane_lib")</f>
        <v>brisbane_lib</v>
      </c>
      <c r="B9299" s="65" t="s">
        <v>6824</v>
      </c>
    </row>
    <row r="9300" spans="1:2" x14ac:dyDescent="0.25">
      <c r="A9300" s="64" t="str">
        <f>HYPERLINK("http://www.twitter.com/mahhkk", "mahhkk")</f>
        <v>mahhkk</v>
      </c>
      <c r="B9300" s="65" t="s">
        <v>6825</v>
      </c>
    </row>
    <row r="9301" spans="1:2" x14ac:dyDescent="0.25">
      <c r="A9301" s="64" t="str">
        <f>HYPERLINK("http://www.twitter.com/33butterflies", "33butterflies")</f>
        <v>33butterflies</v>
      </c>
      <c r="B9301" s="65"/>
    </row>
    <row r="9302" spans="1:2" x14ac:dyDescent="0.25">
      <c r="A9302" s="64" t="str">
        <f>HYPERLINK("http://www.twitter.com/therealhpa", "therealhpa")</f>
        <v>therealhpa</v>
      </c>
      <c r="B9302" s="65"/>
    </row>
    <row r="9303" spans="1:2" x14ac:dyDescent="0.25">
      <c r="A9303" s="64" t="str">
        <f>HYPERLINK("http://www.twitter.com/writingonapples", "writingonapples")</f>
        <v>writingonapples</v>
      </c>
      <c r="B9303" s="65"/>
    </row>
    <row r="9304" spans="1:2" x14ac:dyDescent="0.25">
      <c r="A9304" s="64" t="str">
        <f>HYPERLINK("http://www.twitter.com/ZeldaL7", "ZeldaL7")</f>
        <v>ZeldaL7</v>
      </c>
      <c r="B9304" s="65" t="s">
        <v>6826</v>
      </c>
    </row>
    <row r="9305" spans="1:2" x14ac:dyDescent="0.25">
      <c r="A9305" s="64" t="str">
        <f>HYPERLINK("http://www.twitter.com/APA_Style", "APA_Style")</f>
        <v>APA_Style</v>
      </c>
      <c r="B9305" s="65" t="s">
        <v>3785</v>
      </c>
    </row>
    <row r="9306" spans="1:2" x14ac:dyDescent="0.25">
      <c r="A9306" s="64" t="str">
        <f>HYPERLINK("http://www.twitter.com/Bookmonkey00k", "Bookmonkey00k")</f>
        <v>Bookmonkey00k</v>
      </c>
      <c r="B9306" s="65" t="s">
        <v>6827</v>
      </c>
    </row>
    <row r="9307" spans="1:2" x14ac:dyDescent="0.25">
      <c r="A9307" s="64" t="str">
        <f>HYPERLINK("http://www.twitter.com/bako_yerima", "bako_yerima")</f>
        <v>bako_yerima</v>
      </c>
      <c r="B9307" s="65" t="s">
        <v>6828</v>
      </c>
    </row>
    <row r="9308" spans="1:2" x14ac:dyDescent="0.25">
      <c r="A9308" s="64" t="str">
        <f>HYPERLINK("http://www.twitter.com/FourOddSocks", "FourOddSocks")</f>
        <v>FourOddSocks</v>
      </c>
      <c r="B9308" s="65"/>
    </row>
    <row r="9309" spans="1:2" x14ac:dyDescent="0.25">
      <c r="A9309" s="64" t="str">
        <f>HYPERLINK("http://www.twitter.com/ZTScotland", "ZTScotland")</f>
        <v>ZTScotland</v>
      </c>
      <c r="B9309" s="65" t="s">
        <v>517</v>
      </c>
    </row>
    <row r="9310" spans="1:2" x14ac:dyDescent="0.25">
      <c r="A9310" s="64" t="str">
        <f>HYPERLINK("http://www.twitter.com/EricvantZelfde2", "EricvantZelfde2")</f>
        <v>EricvantZelfde2</v>
      </c>
      <c r="B9310" s="65" t="s">
        <v>6829</v>
      </c>
    </row>
    <row r="9311" spans="1:2" x14ac:dyDescent="0.25">
      <c r="A9311" s="64" t="str">
        <f>HYPERLINK("http://www.twitter.com/lori_up", "lori_up")</f>
        <v>lori_up</v>
      </c>
      <c r="B9311" s="65" t="s">
        <v>74</v>
      </c>
    </row>
    <row r="9312" spans="1:2" x14ac:dyDescent="0.25">
      <c r="A9312" s="64" t="str">
        <f>HYPERLINK("http://www.twitter.com/Andrew_Kells", "Andrew_Kells")</f>
        <v>Andrew_Kells</v>
      </c>
      <c r="B9312" s="65" t="s">
        <v>526</v>
      </c>
    </row>
    <row r="9313" spans="1:2" x14ac:dyDescent="0.25">
      <c r="A9313" s="64" t="str">
        <f>HYPERLINK("http://www.twitter.com/WebstersHighLib", "WebstersHighLib")</f>
        <v>WebstersHighLib</v>
      </c>
      <c r="B9313" s="65" t="s">
        <v>3334</v>
      </c>
    </row>
    <row r="9314" spans="1:2" x14ac:dyDescent="0.25">
      <c r="A9314" s="64" t="str">
        <f>HYPERLINK("http://www.twitter.com/belledejour_uk", "belledejour_uk")</f>
        <v>belledejour_uk</v>
      </c>
      <c r="B9314" s="65" t="s">
        <v>6830</v>
      </c>
    </row>
    <row r="9315" spans="1:2" x14ac:dyDescent="0.25">
      <c r="A9315" s="64" t="str">
        <f>HYPERLINK("http://www.twitter.com/KristinBourassa", "KristinBourassa")</f>
        <v>KristinBourassa</v>
      </c>
      <c r="B9315" s="65" t="s">
        <v>6831</v>
      </c>
    </row>
    <row r="9316" spans="1:2" x14ac:dyDescent="0.25">
      <c r="A9316" s="64" t="str">
        <f>HYPERLINK("http://www.twitter.com/Library_Lara", "Library_Lara")</f>
        <v>Library_Lara</v>
      </c>
      <c r="B9316" s="65" t="s">
        <v>6832</v>
      </c>
    </row>
    <row r="9317" spans="1:2" x14ac:dyDescent="0.25">
      <c r="A9317" s="64" t="str">
        <f>HYPERLINK("http://www.twitter.com/flyinghaggis77", "flyinghaggis77")</f>
        <v>flyinghaggis77</v>
      </c>
      <c r="B9317" s="65" t="s">
        <v>4238</v>
      </c>
    </row>
    <row r="9318" spans="1:2" x14ac:dyDescent="0.25">
      <c r="A9318" s="64" t="str">
        <f>HYPERLINK("http://www.twitter.com/nltownshend", "nltownshend")</f>
        <v>nltownshend</v>
      </c>
      <c r="B9318" s="65" t="s">
        <v>2007</v>
      </c>
    </row>
    <row r="9319" spans="1:2" x14ac:dyDescent="0.25">
      <c r="A9319" s="64" t="str">
        <f>HYPERLINK("http://www.twitter.com/DaysDyingGlory", "DaysDyingGlory")</f>
        <v>DaysDyingGlory</v>
      </c>
      <c r="B9319" s="65" t="s">
        <v>2007</v>
      </c>
    </row>
    <row r="9320" spans="1:2" x14ac:dyDescent="0.25">
      <c r="A9320" s="64" t="str">
        <f>HYPERLINK("http://www.twitter.com/slouisebarnard", "slouisebarnard")</f>
        <v>slouisebarnard</v>
      </c>
      <c r="B9320" s="65" t="s">
        <v>24</v>
      </c>
    </row>
    <row r="9321" spans="1:2" x14ac:dyDescent="0.25">
      <c r="A9321" s="64" t="str">
        <f>HYPERLINK("http://www.twitter.com/CrystalWaters06", "CrystalWaters06")</f>
        <v>CrystalWaters06</v>
      </c>
      <c r="B9321" s="65" t="s">
        <v>364</v>
      </c>
    </row>
    <row r="9322" spans="1:2" x14ac:dyDescent="0.25">
      <c r="A9322" s="64" t="str">
        <f>HYPERLINK("http://www.twitter.com/area94", "area94")</f>
        <v>area94</v>
      </c>
      <c r="B9322" s="65"/>
    </row>
    <row r="9323" spans="1:2" x14ac:dyDescent="0.25">
      <c r="A9323" s="64" t="str">
        <f>HYPERLINK("http://www.twitter.com/chronicista", "chronicista")</f>
        <v>chronicista</v>
      </c>
      <c r="B9323" s="65" t="s">
        <v>5364</v>
      </c>
    </row>
    <row r="9324" spans="1:2" x14ac:dyDescent="0.25">
      <c r="A9324" s="64" t="str">
        <f>HYPERLINK("http://www.twitter.com/RunningtheGoat", "RunningtheGoat")</f>
        <v>RunningtheGoat</v>
      </c>
      <c r="B9324" s="65" t="s">
        <v>6833</v>
      </c>
    </row>
    <row r="9325" spans="1:2" x14ac:dyDescent="0.25">
      <c r="A9325" s="64" t="str">
        <f>HYPERLINK("http://www.twitter.com/1903Mark", "1903Mark")</f>
        <v>1903Mark</v>
      </c>
      <c r="B9325" s="65" t="s">
        <v>2007</v>
      </c>
    </row>
    <row r="9326" spans="1:2" x14ac:dyDescent="0.25">
      <c r="A9326" s="64" t="str">
        <f>HYPERLINK("http://www.twitter.com/DarrenQscenemag", "DarrenQscenemag")</f>
        <v>DarrenQscenemag</v>
      </c>
      <c r="B9326" s="65" t="s">
        <v>138</v>
      </c>
    </row>
    <row r="9327" spans="1:2" x14ac:dyDescent="0.25">
      <c r="A9327" s="64" t="str">
        <f>HYPERLINK("http://www.twitter.com/karenross007", "karenross007")</f>
        <v>karenross007</v>
      </c>
      <c r="B9327" s="65"/>
    </row>
    <row r="9328" spans="1:2" x14ac:dyDescent="0.25">
      <c r="A9328" s="64" t="str">
        <f>HYPERLINK("http://www.twitter.com/weebob", "weebob")</f>
        <v>weebob</v>
      </c>
      <c r="B9328" s="65" t="s">
        <v>808</v>
      </c>
    </row>
    <row r="9329" spans="1:2" x14ac:dyDescent="0.25">
      <c r="A9329" s="64" t="str">
        <f>HYPERLINK("http://www.twitter.com/polly1508", "polly1508")</f>
        <v>polly1508</v>
      </c>
      <c r="B9329" s="65" t="s">
        <v>487</v>
      </c>
    </row>
    <row r="9330" spans="1:2" x14ac:dyDescent="0.25">
      <c r="A9330" s="64" t="str">
        <f>HYPERLINK("http://www.twitter.com/jacmaclean", "jacmaclean")</f>
        <v>jacmaclean</v>
      </c>
      <c r="B9330" s="65" t="s">
        <v>517</v>
      </c>
    </row>
    <row r="9331" spans="1:2" x14ac:dyDescent="0.25">
      <c r="A9331" s="64" t="str">
        <f>HYPERLINK("http://www.twitter.com/reece12worthy", "reece12worthy")</f>
        <v>reece12worthy</v>
      </c>
      <c r="B9331" s="65" t="s">
        <v>3762</v>
      </c>
    </row>
    <row r="9332" spans="1:2" x14ac:dyDescent="0.25">
      <c r="A9332" s="64" t="str">
        <f>HYPERLINK("http://www.twitter.com/ArmadaRover72", "ArmadaRover72")</f>
        <v>ArmadaRover72</v>
      </c>
      <c r="B9332" s="65"/>
    </row>
    <row r="9333" spans="1:2" x14ac:dyDescent="0.25">
      <c r="A9333" s="64" t="str">
        <f>HYPERLINK("http://www.twitter.com/MetaHoffman", "MetaHoffman")</f>
        <v>MetaHoffman</v>
      </c>
      <c r="B9333" s="65" t="s">
        <v>6834</v>
      </c>
    </row>
    <row r="9334" spans="1:2" x14ac:dyDescent="0.25">
      <c r="A9334" s="64" t="str">
        <f>HYPERLINK("http://www.twitter.com/BNSpanishFort", "BNSpanishFort")</f>
        <v>BNSpanishFort</v>
      </c>
      <c r="B9334" s="65"/>
    </row>
    <row r="9335" spans="1:2" x14ac:dyDescent="0.25">
      <c r="A9335" s="64" t="str">
        <f>HYPERLINK("http://www.twitter.com/antond_rich", "antond_rich")</f>
        <v>antond_rich</v>
      </c>
      <c r="B9335" s="65" t="s">
        <v>6835</v>
      </c>
    </row>
    <row r="9336" spans="1:2" x14ac:dyDescent="0.25">
      <c r="A9336" s="64" t="str">
        <f>HYPERLINK("http://www.twitter.com/CelticAber", "CelticAber")</f>
        <v>CelticAber</v>
      </c>
      <c r="B9336" s="65" t="s">
        <v>6836</v>
      </c>
    </row>
    <row r="9337" spans="1:2" x14ac:dyDescent="0.25">
      <c r="A9337" s="64" t="str">
        <f>HYPERLINK("http://www.twitter.com/MiriamWarm", "MiriamWarm")</f>
        <v>MiriamWarm</v>
      </c>
      <c r="B9337" s="65" t="s">
        <v>93</v>
      </c>
    </row>
    <row r="9338" spans="1:2" x14ac:dyDescent="0.25">
      <c r="A9338" s="64" t="str">
        <f>HYPERLINK("http://www.twitter.com/MacmillanEdLib", "MacmillanEdLib")</f>
        <v>MacmillanEdLib</v>
      </c>
      <c r="B9338" s="65" t="s">
        <v>487</v>
      </c>
    </row>
    <row r="9339" spans="1:2" x14ac:dyDescent="0.25">
      <c r="A9339" s="64" t="str">
        <f>HYPERLINK("http://www.twitter.com/KarenHutchy73", "KarenHutchy73")</f>
        <v>KarenHutchy73</v>
      </c>
      <c r="B9339" s="65"/>
    </row>
    <row r="9340" spans="1:2" x14ac:dyDescent="0.25">
      <c r="A9340" s="64" t="str">
        <f>HYPERLINK("http://www.twitter.com/DMMacphail1", "DMMacphail1")</f>
        <v>DMMacphail1</v>
      </c>
      <c r="B9340" s="65" t="s">
        <v>6837</v>
      </c>
    </row>
    <row r="9341" spans="1:2" x14ac:dyDescent="0.25">
      <c r="A9341" s="64" t="str">
        <f>HYPERLINK("http://www.twitter.com/christinrloves", "christinrloves")</f>
        <v>christinrloves</v>
      </c>
      <c r="B9341" s="65" t="s">
        <v>4676</v>
      </c>
    </row>
    <row r="9342" spans="1:2" x14ac:dyDescent="0.25">
      <c r="A9342" s="64" t="str">
        <f>HYPERLINK("http://www.twitter.com/Simon1275", "Simon1275")</f>
        <v>Simon1275</v>
      </c>
      <c r="B9342" s="65"/>
    </row>
    <row r="9343" spans="1:2" x14ac:dyDescent="0.25">
      <c r="A9343" s="64" t="str">
        <f>HYPERLINK("http://www.twitter.com/Lau__1985", "Lau__1985")</f>
        <v>Lau__1985</v>
      </c>
      <c r="B9343" s="65" t="s">
        <v>296</v>
      </c>
    </row>
    <row r="9344" spans="1:2" x14ac:dyDescent="0.25">
      <c r="A9344" s="64" t="str">
        <f>HYPERLINK("http://www.twitter.com/Fullerarty", "Fullerarty")</f>
        <v>Fullerarty</v>
      </c>
      <c r="B9344" s="65" t="s">
        <v>6838</v>
      </c>
    </row>
    <row r="9345" spans="1:2" x14ac:dyDescent="0.25">
      <c r="A9345" s="64" t="str">
        <f>HYPERLINK("http://www.twitter.com/TasWriters", "TasWriters")</f>
        <v>TasWriters</v>
      </c>
      <c r="B9345" s="65" t="s">
        <v>6839</v>
      </c>
    </row>
    <row r="9346" spans="1:2" x14ac:dyDescent="0.25">
      <c r="A9346" s="64" t="str">
        <f>HYPERLINK("http://www.twitter.com/kirkmurphy", "kirkmurphy")</f>
        <v>kirkmurphy</v>
      </c>
      <c r="B9346" s="65"/>
    </row>
    <row r="9347" spans="1:2" x14ac:dyDescent="0.25">
      <c r="A9347" s="64" t="str">
        <f>HYPERLINK("http://www.twitter.com/cafelolzLPT", "cafelolzLPT")</f>
        <v>cafelolzLPT</v>
      </c>
      <c r="B9347" s="65" t="s">
        <v>3762</v>
      </c>
    </row>
    <row r="9348" spans="1:2" x14ac:dyDescent="0.25">
      <c r="A9348" s="64" t="str">
        <f>HYPERLINK("http://www.twitter.com/caithnessexile", "caithnessexile")</f>
        <v>caithnessexile</v>
      </c>
      <c r="B9348" s="65" t="s">
        <v>70</v>
      </c>
    </row>
    <row r="9349" spans="1:2" x14ac:dyDescent="0.25">
      <c r="A9349" s="64" t="str">
        <f>HYPERLINK("http://www.twitter.com/RonanLauder2k16", "RonanLauder2k16")</f>
        <v>RonanLauder2k16</v>
      </c>
      <c r="B9349" s="65" t="s">
        <v>3762</v>
      </c>
    </row>
    <row r="9350" spans="1:2" x14ac:dyDescent="0.25">
      <c r="A9350" s="64" t="str">
        <f>HYPERLINK("http://www.twitter.com/DushyLarge", "DushyLarge")</f>
        <v>DushyLarge</v>
      </c>
      <c r="B9350" s="65" t="s">
        <v>4900</v>
      </c>
    </row>
    <row r="9351" spans="1:2" x14ac:dyDescent="0.25">
      <c r="A9351" s="64" t="str">
        <f>HYPERLINK("http://www.twitter.com/EposShetland", "EposShetland")</f>
        <v>EposShetland</v>
      </c>
      <c r="B9351" s="65" t="s">
        <v>6208</v>
      </c>
    </row>
    <row r="9352" spans="1:2" x14ac:dyDescent="0.25">
      <c r="A9352" s="64" t="str">
        <f>HYPERLINK("http://www.twitter.com/ArtsClubWriters", "ArtsClubWriters")</f>
        <v>ArtsClubWriters</v>
      </c>
      <c r="B9352" s="65" t="s">
        <v>487</v>
      </c>
    </row>
    <row r="9353" spans="1:2" x14ac:dyDescent="0.25">
      <c r="A9353" s="64" t="str">
        <f>HYPERLINK("http://www.twitter.com/yshearer28", "yshearer28")</f>
        <v>yshearer28</v>
      </c>
      <c r="B9353" s="65"/>
    </row>
    <row r="9354" spans="1:2" x14ac:dyDescent="0.25">
      <c r="A9354" s="64" t="str">
        <f>HYPERLINK("http://www.twitter.com/starella789", "starella789")</f>
        <v>starella789</v>
      </c>
      <c r="B9354" s="65" t="s">
        <v>6840</v>
      </c>
    </row>
    <row r="9355" spans="1:2" x14ac:dyDescent="0.25">
      <c r="A9355" s="64" t="str">
        <f>HYPERLINK("http://www.twitter.com/56189c693a3649c", "56189c693a3649c")</f>
        <v>56189c693a3649c</v>
      </c>
      <c r="B9355" s="65"/>
    </row>
    <row r="9356" spans="1:2" x14ac:dyDescent="0.25">
      <c r="A9356" s="64" t="str">
        <f>HYPERLINK("http://www.twitter.com/cavitcooke", "cavitcooke")</f>
        <v>cavitcooke</v>
      </c>
      <c r="B9356" s="65"/>
    </row>
    <row r="9357" spans="1:2" x14ac:dyDescent="0.25">
      <c r="A9357" s="64" t="str">
        <f>HYPERLINK("http://www.twitter.com/OttomanArchive", "OttomanArchive")</f>
        <v>OttomanArchive</v>
      </c>
      <c r="B9357" s="65" t="s">
        <v>6841</v>
      </c>
    </row>
    <row r="9358" spans="1:2" x14ac:dyDescent="0.25">
      <c r="A9358" s="64" t="str">
        <f>HYPERLINK("http://www.twitter.com/AnnaSouhami", "AnnaSouhami")</f>
        <v>AnnaSouhami</v>
      </c>
      <c r="B9358" s="65" t="s">
        <v>2007</v>
      </c>
    </row>
    <row r="9359" spans="1:2" x14ac:dyDescent="0.25">
      <c r="A9359" s="64" t="str">
        <f>HYPERLINK("http://www.twitter.com/lynabby16", "lynabby16")</f>
        <v>lynabby16</v>
      </c>
      <c r="B9359" s="65" t="s">
        <v>3978</v>
      </c>
    </row>
    <row r="9360" spans="1:2" x14ac:dyDescent="0.25">
      <c r="A9360" s="64" t="str">
        <f>HYPERLINK("http://www.twitter.com/Scaramucci", "Scaramucci")</f>
        <v>Scaramucci</v>
      </c>
      <c r="B9360" s="65" t="s">
        <v>4145</v>
      </c>
    </row>
    <row r="9361" spans="1:2" x14ac:dyDescent="0.25">
      <c r="A9361" s="64" t="str">
        <f>HYPERLINK("http://www.twitter.com/treebirds", "treebirds")</f>
        <v>treebirds</v>
      </c>
      <c r="B9361" s="65" t="s">
        <v>6842</v>
      </c>
    </row>
    <row r="9362" spans="1:2" x14ac:dyDescent="0.25">
      <c r="A9362" s="64" t="str">
        <f>HYPERLINK("http://www.twitter.com/garryrcampbell", "garryrcampbell")</f>
        <v>garryrcampbell</v>
      </c>
      <c r="B9362" s="65" t="s">
        <v>2289</v>
      </c>
    </row>
    <row r="9363" spans="1:2" x14ac:dyDescent="0.25">
      <c r="A9363" s="64" t="str">
        <f>HYPERLINK("http://www.twitter.com/emmelleanderson", "emmelleanderson")</f>
        <v>emmelleanderson</v>
      </c>
      <c r="B9363" s="65"/>
    </row>
    <row r="9364" spans="1:2" x14ac:dyDescent="0.25">
      <c r="A9364" s="64" t="str">
        <f>HYPERLINK("http://www.twitter.com/benchaddock", "benchaddock")</f>
        <v>benchaddock</v>
      </c>
      <c r="B9364" s="65"/>
    </row>
    <row r="9365" spans="1:2" x14ac:dyDescent="0.25">
      <c r="A9365" s="64" t="str">
        <f>HYPERLINK("http://www.twitter.com/lrcnewcollege", "lrcnewcollege")</f>
        <v>lrcnewcollege</v>
      </c>
      <c r="B9365" s="65" t="s">
        <v>6843</v>
      </c>
    </row>
    <row r="9366" spans="1:2" x14ac:dyDescent="0.25">
      <c r="A9366" s="64" t="str">
        <f>HYPERLINK("http://www.twitter.com/lakkinheit", "lakkinheit")</f>
        <v>lakkinheit</v>
      </c>
      <c r="B9366" s="65" t="s">
        <v>1871</v>
      </c>
    </row>
    <row r="9367" spans="1:2" x14ac:dyDescent="0.25">
      <c r="A9367" s="64" t="str">
        <f>HYPERLINK("http://www.twitter.com/cathyburke7", "cathyburke7")</f>
        <v>cathyburke7</v>
      </c>
      <c r="B9367" s="65"/>
    </row>
    <row r="9368" spans="1:2" x14ac:dyDescent="0.25">
      <c r="A9368" s="64" t="str">
        <f>HYPERLINK("http://www.twitter.com/BookshopMike", "BookshopMike")</f>
        <v>BookshopMike</v>
      </c>
      <c r="B9368" s="65" t="s">
        <v>6844</v>
      </c>
    </row>
    <row r="9369" spans="1:2" x14ac:dyDescent="0.25">
      <c r="A9369" s="64" t="str">
        <f>HYPERLINK("http://www.twitter.com/hazzer111798", "hazzer111798")</f>
        <v>hazzer111798</v>
      </c>
      <c r="B9369" s="65" t="s">
        <v>1377</v>
      </c>
    </row>
    <row r="9370" spans="1:2" x14ac:dyDescent="0.25">
      <c r="A9370" s="64" t="str">
        <f>HYPERLINK("http://www.twitter.com/ptbolibrary", "ptbolibrary")</f>
        <v>ptbolibrary</v>
      </c>
      <c r="B9370" s="65" t="s">
        <v>6845</v>
      </c>
    </row>
    <row r="9371" spans="1:2" x14ac:dyDescent="0.25">
      <c r="A9371" s="64" t="str">
        <f>HYPERLINK("http://www.twitter.com/DamianJHarvey", "DamianJHarvey")</f>
        <v>DamianJHarvey</v>
      </c>
      <c r="B9371" s="65" t="s">
        <v>6846</v>
      </c>
    </row>
    <row r="9372" spans="1:2" x14ac:dyDescent="0.25">
      <c r="A9372" s="64" t="str">
        <f>HYPERLINK("http://www.twitter.com/cityoflight84", "cityoflight84")</f>
        <v>cityoflight84</v>
      </c>
      <c r="B9372" s="65"/>
    </row>
    <row r="9373" spans="1:2" x14ac:dyDescent="0.25">
      <c r="A9373" s="64" t="str">
        <f>HYPERLINK("http://www.twitter.com/wendycr_", "wendycr_")</f>
        <v>wendycr_</v>
      </c>
      <c r="B9373" s="65" t="s">
        <v>6847</v>
      </c>
    </row>
    <row r="9374" spans="1:2" x14ac:dyDescent="0.25">
      <c r="A9374" s="64" t="str">
        <f>HYPERLINK("http://www.twitter.com/okeeffe_sean", "okeeffe_sean")</f>
        <v>okeeffe_sean</v>
      </c>
      <c r="B9374" s="65" t="s">
        <v>6848</v>
      </c>
    </row>
    <row r="9375" spans="1:2" x14ac:dyDescent="0.25">
      <c r="A9375" s="64" t="str">
        <f>HYPERLINK("http://www.twitter.com/AilsRobertson", "AilsRobertson")</f>
        <v>AilsRobertson</v>
      </c>
      <c r="B9375" s="65" t="s">
        <v>421</v>
      </c>
    </row>
    <row r="9376" spans="1:2" x14ac:dyDescent="0.25">
      <c r="A9376" s="64" t="str">
        <f>HYPERLINK("http://www.twitter.com/ace_national", "ace_national")</f>
        <v>ace_national</v>
      </c>
      <c r="B9376" s="65" t="s">
        <v>1490</v>
      </c>
    </row>
    <row r="9377" spans="1:2" x14ac:dyDescent="0.25">
      <c r="A9377" s="64" t="str">
        <f>HYPERLINK("http://www.twitter.com/librariesinfot4", "librariesinfot4")</f>
        <v>librariesinfot4</v>
      </c>
      <c r="B9377" s="65"/>
    </row>
    <row r="9378" spans="1:2" x14ac:dyDescent="0.25">
      <c r="A9378" s="64" t="str">
        <f>HYPERLINK("http://www.twitter.com/AcrossNowhere", "AcrossNowhere")</f>
        <v>AcrossNowhere</v>
      </c>
      <c r="B9378" s="65" t="s">
        <v>6849</v>
      </c>
    </row>
    <row r="9379" spans="1:2" x14ac:dyDescent="0.25">
      <c r="A9379" s="64" t="str">
        <f>HYPERLINK("http://www.twitter.com/thepostalmuseum", "thepostalmuseum")</f>
        <v>thepostalmuseum</v>
      </c>
      <c r="B9379" s="65" t="s">
        <v>477</v>
      </c>
    </row>
    <row r="9380" spans="1:2" x14ac:dyDescent="0.25">
      <c r="A9380" s="64" t="str">
        <f>HYPERLINK("http://www.twitter.com/Makmurthly", "Makmurthly")</f>
        <v>Makmurthly</v>
      </c>
      <c r="B9380" s="65"/>
    </row>
    <row r="9381" spans="1:2" x14ac:dyDescent="0.25">
      <c r="A9381" s="64" t="str">
        <f>HYPERLINK("http://www.twitter.com/StanfordsTravel", "StanfordsTravel")</f>
        <v>StanfordsTravel</v>
      </c>
      <c r="B9381" s="65" t="s">
        <v>6850</v>
      </c>
    </row>
    <row r="9382" spans="1:2" x14ac:dyDescent="0.25">
      <c r="A9382" s="64" t="str">
        <f>HYPERLINK("http://www.twitter.com/Marie60136656", "Marie60136656")</f>
        <v>Marie60136656</v>
      </c>
      <c r="B9382" s="65" t="s">
        <v>6851</v>
      </c>
    </row>
    <row r="9383" spans="1:2" x14ac:dyDescent="0.25">
      <c r="A9383" s="64" t="str">
        <f>HYPERLINK("http://www.twitter.com/VivaThePublic", "VivaThePublic")</f>
        <v>VivaThePublic</v>
      </c>
      <c r="B9383" s="65"/>
    </row>
    <row r="9384" spans="1:2" x14ac:dyDescent="0.25">
      <c r="A9384" s="64" t="str">
        <f>HYPERLINK("http://www.twitter.com/Rakkal06", "Rakkal06")</f>
        <v>Rakkal06</v>
      </c>
      <c r="B9384" s="65"/>
    </row>
    <row r="9385" spans="1:2" x14ac:dyDescent="0.25">
      <c r="A9385" s="64" t="str">
        <f>HYPERLINK("http://www.twitter.com/RachalThomson", "RachalThomson")</f>
        <v>RachalThomson</v>
      </c>
      <c r="B9385" s="65"/>
    </row>
    <row r="9386" spans="1:2" x14ac:dyDescent="0.25">
      <c r="A9386" s="64" t="str">
        <f>HYPERLINK("http://www.twitter.com/jonoellis", "jonoellis")</f>
        <v>jonoellis</v>
      </c>
      <c r="B9386" s="65" t="s">
        <v>24</v>
      </c>
    </row>
    <row r="9387" spans="1:2" x14ac:dyDescent="0.25">
      <c r="A9387" s="64" t="str">
        <f>HYPERLINK("http://www.twitter.com/NB_Anecdotes", "NB_Anecdotes")</f>
        <v>NB_Anecdotes</v>
      </c>
      <c r="B9387" s="65" t="s">
        <v>6852</v>
      </c>
    </row>
    <row r="9388" spans="1:2" x14ac:dyDescent="0.25">
      <c r="A9388" s="64" t="str">
        <f>HYPERLINK("http://www.twitter.com/oclslibrary", "oclslibrary")</f>
        <v>oclslibrary</v>
      </c>
      <c r="B9388" s="65" t="s">
        <v>6853</v>
      </c>
    </row>
    <row r="9389" spans="1:2" x14ac:dyDescent="0.25">
      <c r="A9389" s="64" t="str">
        <f>HYPERLINK("http://www.twitter.com/ScottishHighTea", "ScottishHighTea")</f>
        <v>ScottishHighTea</v>
      </c>
      <c r="B9389" s="65" t="s">
        <v>6854</v>
      </c>
    </row>
    <row r="9390" spans="1:2" x14ac:dyDescent="0.25">
      <c r="A9390" s="64" t="str">
        <f>HYPERLINK("http://www.twitter.com/GregorDowell88", "GregorDowell88")</f>
        <v>GregorDowell88</v>
      </c>
      <c r="B9390" s="65"/>
    </row>
    <row r="9391" spans="1:2" x14ac:dyDescent="0.25">
      <c r="A9391" s="64" t="str">
        <f>HYPERLINK("http://www.twitter.com/unusedtotebag", "unusedtotebag")</f>
        <v>unusedtotebag</v>
      </c>
      <c r="B9391" s="65"/>
    </row>
    <row r="9392" spans="1:2" x14ac:dyDescent="0.25">
      <c r="A9392" s="64" t="str">
        <f>HYPERLINK("http://www.twitter.com/timharbour", "timharbour")</f>
        <v>timharbour</v>
      </c>
      <c r="B9392" s="65" t="s">
        <v>6855</v>
      </c>
    </row>
    <row r="9393" spans="1:2" x14ac:dyDescent="0.25">
      <c r="A9393" s="64" t="str">
        <f>HYPERLINK("http://www.twitter.com/Mr_Pooter", "Mr_Pooter")</f>
        <v>Mr_Pooter</v>
      </c>
      <c r="B9393" s="65" t="s">
        <v>6856</v>
      </c>
    </row>
    <row r="9394" spans="1:2" x14ac:dyDescent="0.25">
      <c r="A9394" s="64" t="str">
        <f>HYPERLINK("http://www.twitter.com/stevensonwriter", "stevensonwriter")</f>
        <v>stevensonwriter</v>
      </c>
      <c r="B9394" s="65" t="s">
        <v>6857</v>
      </c>
    </row>
    <row r="9395" spans="1:2" x14ac:dyDescent="0.25">
      <c r="A9395" s="64" t="str">
        <f>HYPERLINK("http://www.twitter.com/BarbaraWielka", "BarbaraWielka")</f>
        <v>BarbaraWielka</v>
      </c>
      <c r="B9395" s="65"/>
    </row>
    <row r="9396" spans="1:2" x14ac:dyDescent="0.25">
      <c r="A9396" s="64" t="str">
        <f>HYPERLINK("http://www.twitter.com/StrayPonyLtd", "StrayPonyLtd")</f>
        <v>StrayPonyLtd</v>
      </c>
      <c r="B9396" s="65"/>
    </row>
    <row r="9397" spans="1:2" x14ac:dyDescent="0.25">
      <c r="A9397" s="64" t="str">
        <f>HYPERLINK("http://www.twitter.com/lindsay_crispin", "lindsay_crispin")</f>
        <v>lindsay_crispin</v>
      </c>
      <c r="B9397" s="65"/>
    </row>
    <row r="9398" spans="1:2" x14ac:dyDescent="0.25">
      <c r="A9398" s="64" t="str">
        <f>HYPERLINK("http://www.twitter.com/j1971c", "j1971c")</f>
        <v>j1971c</v>
      </c>
      <c r="B9398" s="65"/>
    </row>
    <row r="9399" spans="1:2" x14ac:dyDescent="0.25">
      <c r="A9399" s="64" t="str">
        <f>HYPERLINK("http://www.twitter.com/k_camk", "k_camk")</f>
        <v>k_camk</v>
      </c>
      <c r="B9399" s="65" t="s">
        <v>487</v>
      </c>
    </row>
    <row r="9400" spans="1:2" x14ac:dyDescent="0.25">
      <c r="A9400" s="64" t="str">
        <f>HYPERLINK("http://www.twitter.com/pregtester", "pregtester")</f>
        <v>pregtester</v>
      </c>
      <c r="B9400" s="65" t="s">
        <v>6858</v>
      </c>
    </row>
    <row r="9401" spans="1:2" x14ac:dyDescent="0.25">
      <c r="A9401" s="64" t="str">
        <f>HYPERLINK("http://www.twitter.com/msmuphillipslib", "msmuphillipslib")</f>
        <v>msmuphillipslib</v>
      </c>
      <c r="B9401" s="65"/>
    </row>
    <row r="9402" spans="1:2" x14ac:dyDescent="0.25">
      <c r="A9402" s="64" t="str">
        <f>HYPERLINK("http://www.twitter.com/SouthendSoup", "SouthendSoup")</f>
        <v>SouthendSoup</v>
      </c>
      <c r="B9402" s="65" t="s">
        <v>6859</v>
      </c>
    </row>
    <row r="9403" spans="1:2" x14ac:dyDescent="0.25">
      <c r="A9403" s="64" t="str">
        <f>HYPERLINK("http://www.twitter.com/Marwick__", "Marwick__")</f>
        <v>Marwick__</v>
      </c>
      <c r="B9403" s="65"/>
    </row>
    <row r="9404" spans="1:2" x14ac:dyDescent="0.25">
      <c r="A9404" s="64" t="str">
        <f>HYPERLINK("http://www.twitter.com/emma_murray", "emma_murray")</f>
        <v>emma_murray</v>
      </c>
      <c r="B9404" s="65" t="s">
        <v>4447</v>
      </c>
    </row>
    <row r="9405" spans="1:2" x14ac:dyDescent="0.25">
      <c r="A9405" s="64" t="str">
        <f>HYPERLINK("http://www.twitter.com/JimMelly", "JimMelly")</f>
        <v>JimMelly</v>
      </c>
      <c r="B9405" s="65"/>
    </row>
    <row r="9406" spans="1:2" x14ac:dyDescent="0.25">
      <c r="A9406" s="64" t="str">
        <f>HYPERLINK("http://www.twitter.com/brendan_92", "brendan_92")</f>
        <v>brendan_92</v>
      </c>
      <c r="B9406" s="65" t="s">
        <v>6860</v>
      </c>
    </row>
    <row r="9407" spans="1:2" x14ac:dyDescent="0.25">
      <c r="A9407" s="64" t="str">
        <f>HYPERLINK("http://www.twitter.com/Baxterianae", "Baxterianae")</f>
        <v>Baxterianae</v>
      </c>
      <c r="B9407" s="65" t="s">
        <v>110</v>
      </c>
    </row>
    <row r="9408" spans="1:2" x14ac:dyDescent="0.25">
      <c r="A9408" s="64" t="str">
        <f>HYPERLINK("http://www.twitter.com/jaynepleasant1", "jaynepleasant1")</f>
        <v>jaynepleasant1</v>
      </c>
      <c r="B9408" s="65"/>
    </row>
    <row r="9409" spans="1:2" x14ac:dyDescent="0.25">
      <c r="A9409" s="64" t="str">
        <f>HYPERLINK("http://www.twitter.com/HaveringLibrary", "HaveringLibrary")</f>
        <v>HaveringLibrary</v>
      </c>
      <c r="B9409" s="65" t="s">
        <v>415</v>
      </c>
    </row>
    <row r="9410" spans="1:2" x14ac:dyDescent="0.25">
      <c r="A9410" s="64" t="str">
        <f>HYPERLINK("http://www.twitter.com/RothnieAlison", "RothnieAlison")</f>
        <v>RothnieAlison</v>
      </c>
      <c r="B9410" s="65" t="s">
        <v>4223</v>
      </c>
    </row>
    <row r="9411" spans="1:2" x14ac:dyDescent="0.25">
      <c r="A9411" s="64" t="str">
        <f>HYPERLINK("http://www.twitter.com/bluekayakplans", "bluekayakplans")</f>
        <v>bluekayakplans</v>
      </c>
      <c r="B9411" s="65" t="s">
        <v>96</v>
      </c>
    </row>
    <row r="9412" spans="1:2" x14ac:dyDescent="0.25">
      <c r="A9412" s="64" t="str">
        <f>HYPERLINK("http://www.twitter.com/JayEmmTee1", "JayEmmTee1")</f>
        <v>JayEmmTee1</v>
      </c>
      <c r="B9412" s="65" t="s">
        <v>6861</v>
      </c>
    </row>
    <row r="9413" spans="1:2" x14ac:dyDescent="0.25">
      <c r="A9413" s="64" t="str">
        <f>HYPERLINK("http://www.twitter.com/wainwrightprize", "wainwrightprize")</f>
        <v>wainwrightprize</v>
      </c>
      <c r="B9413" s="65"/>
    </row>
    <row r="9414" spans="1:2" x14ac:dyDescent="0.25">
      <c r="A9414" s="64" t="str">
        <f>HYPERLINK("http://www.twitter.com/margtibbles", "margtibbles")</f>
        <v>margtibbles</v>
      </c>
      <c r="B9414" s="65"/>
    </row>
    <row r="9415" spans="1:2" x14ac:dyDescent="0.25">
      <c r="A9415" s="64" t="str">
        <f>HYPERLINK("http://www.twitter.com/LBlundellArt", "LBlundellArt")</f>
        <v>LBlundellArt</v>
      </c>
      <c r="B9415" s="65" t="s">
        <v>6862</v>
      </c>
    </row>
    <row r="9416" spans="1:2" x14ac:dyDescent="0.25">
      <c r="A9416" s="64" t="str">
        <f>HYPERLINK("http://www.twitter.com/BucksburnLib", "BucksburnLib")</f>
        <v>BucksburnLib</v>
      </c>
      <c r="B9416" s="65"/>
    </row>
    <row r="9417" spans="1:2" x14ac:dyDescent="0.25">
      <c r="A9417" s="64" t="str">
        <f>HYPERLINK("http://www.twitter.com/NathanPhotoMcr", "NathanPhotoMcr")</f>
        <v>NathanPhotoMcr</v>
      </c>
      <c r="B9417" s="65" t="s">
        <v>2289</v>
      </c>
    </row>
    <row r="9418" spans="1:2" x14ac:dyDescent="0.25">
      <c r="A9418" s="64" t="str">
        <f>HYPERLINK("http://www.twitter.com/McintoshMyles", "McintoshMyles")</f>
        <v>McintoshMyles</v>
      </c>
      <c r="B9418" s="65" t="s">
        <v>487</v>
      </c>
    </row>
    <row r="9419" spans="1:2" x14ac:dyDescent="0.25">
      <c r="A9419" s="64" t="str">
        <f>HYPERLINK("http://www.twitter.com/NoWeeping", "NoWeeping")</f>
        <v>NoWeeping</v>
      </c>
      <c r="B9419" s="65"/>
    </row>
    <row r="9420" spans="1:2" x14ac:dyDescent="0.25">
      <c r="A9420" s="64" t="str">
        <f>HYPERLINK("http://www.twitter.com/SuavetteTN", "SuavetteTN")</f>
        <v>SuavetteTN</v>
      </c>
      <c r="B9420" s="65" t="s">
        <v>3797</v>
      </c>
    </row>
    <row r="9421" spans="1:2" x14ac:dyDescent="0.25">
      <c r="A9421" s="64" t="str">
        <f>HYPERLINK("http://www.twitter.com/popijones", "popijones")</f>
        <v>popijones</v>
      </c>
      <c r="B9421" s="65"/>
    </row>
    <row r="9422" spans="1:2" x14ac:dyDescent="0.25">
      <c r="A9422" s="64" t="str">
        <f>HYPERLINK("http://www.twitter.com/ilkpahar", "ilkpahar")</f>
        <v>ilkpahar</v>
      </c>
      <c r="B9422" s="65"/>
    </row>
    <row r="9423" spans="1:2" x14ac:dyDescent="0.25">
      <c r="A9423" s="64" t="str">
        <f>HYPERLINK("http://www.twitter.com/mdisenova1978", "mdisenova1978")</f>
        <v>mdisenova1978</v>
      </c>
      <c r="B9423" s="65"/>
    </row>
    <row r="9424" spans="1:2" x14ac:dyDescent="0.25">
      <c r="A9424" s="64" t="str">
        <f>HYPERLINK("http://www.twitter.com/SuBristow", "SuBristow")</f>
        <v>SuBristow</v>
      </c>
      <c r="B9424" s="65" t="s">
        <v>296</v>
      </c>
    </row>
    <row r="9425" spans="1:2" x14ac:dyDescent="0.25">
      <c r="A9425" s="64" t="str">
        <f>HYPERLINK("http://www.twitter.com/fionamaria71", "fionamaria71")</f>
        <v>fionamaria71</v>
      </c>
      <c r="B9425" s="65"/>
    </row>
    <row r="9426" spans="1:2" x14ac:dyDescent="0.25">
      <c r="A9426" s="64" t="str">
        <f>HYPERLINK("http://www.twitter.com/bodleiancsb", "bodleiancsb")</f>
        <v>bodleiancsb</v>
      </c>
      <c r="B9426" s="65" t="s">
        <v>6863</v>
      </c>
    </row>
    <row r="9427" spans="1:2" x14ac:dyDescent="0.25">
      <c r="A9427" s="64" t="str">
        <f>HYPERLINK("http://www.twitter.com/StAlbansLRC", "StAlbansLRC")</f>
        <v>StAlbansLRC</v>
      </c>
      <c r="B9427" s="65" t="s">
        <v>6731</v>
      </c>
    </row>
    <row r="9428" spans="1:2" x14ac:dyDescent="0.25">
      <c r="A9428" s="64" t="str">
        <f>HYPERLINK("http://www.twitter.com/LivvyQuirke", "LivvyQuirke")</f>
        <v>LivvyQuirke</v>
      </c>
      <c r="B9428" s="65"/>
    </row>
    <row r="9429" spans="1:2" x14ac:dyDescent="0.25">
      <c r="A9429" s="64" t="str">
        <f>HYPERLINK("http://www.twitter.com/Davisopticians", "Davisopticians")</f>
        <v>Davisopticians</v>
      </c>
      <c r="B9429" s="65" t="s">
        <v>6864</v>
      </c>
    </row>
    <row r="9430" spans="1:2" x14ac:dyDescent="0.25">
      <c r="A9430" s="64" t="str">
        <f>HYPERLINK("http://www.twitter.com/angelolexie", "angelolexie")</f>
        <v>angelolexie</v>
      </c>
      <c r="B9430" s="65" t="s">
        <v>4193</v>
      </c>
    </row>
    <row r="9431" spans="1:2" x14ac:dyDescent="0.25">
      <c r="A9431" s="64" t="str">
        <f>HYPERLINK("http://www.twitter.com/NickiLaing1", "NickiLaing1")</f>
        <v>NickiLaing1</v>
      </c>
      <c r="B9431" s="65"/>
    </row>
    <row r="9432" spans="1:2" x14ac:dyDescent="0.25">
      <c r="A9432" s="64" t="str">
        <f>HYPERLINK("http://www.twitter.com/RoyalfamilyGov", "RoyalfamilyGov")</f>
        <v>RoyalfamilyGov</v>
      </c>
      <c r="B9432" s="65" t="s">
        <v>70</v>
      </c>
    </row>
    <row r="9433" spans="1:2" x14ac:dyDescent="0.25">
      <c r="A9433" s="64" t="str">
        <f>HYPERLINK("http://www.twitter.com/watsonlisa2002", "watsonlisa2002")</f>
        <v>watsonlisa2002</v>
      </c>
      <c r="B9433" s="65" t="s">
        <v>6865</v>
      </c>
    </row>
    <row r="9434" spans="1:2" x14ac:dyDescent="0.25">
      <c r="A9434" s="64" t="str">
        <f>HYPERLINK("http://www.twitter.com/yemorris1418", "yemorris1418")</f>
        <v>yemorris1418</v>
      </c>
      <c r="B9434" s="65" t="s">
        <v>6866</v>
      </c>
    </row>
    <row r="9435" spans="1:2" x14ac:dyDescent="0.25">
      <c r="A9435" s="64" t="str">
        <f>HYPERLINK("http://www.twitter.com/Griffonity", "Griffonity")</f>
        <v>Griffonity</v>
      </c>
      <c r="B9435" s="65"/>
    </row>
    <row r="9436" spans="1:2" x14ac:dyDescent="0.25">
      <c r="A9436" s="64" t="str">
        <f>HYPERLINK("http://www.twitter.com/Hiriyappa", "Hiriyappa")</f>
        <v>Hiriyappa</v>
      </c>
      <c r="B9436" s="65"/>
    </row>
    <row r="9437" spans="1:2" x14ac:dyDescent="0.25">
      <c r="A9437" s="64" t="str">
        <f>HYPERLINK("http://www.twitter.com/EricaRosie2", "EricaRosie2")</f>
        <v>EricaRosie2</v>
      </c>
      <c r="B9437" s="65" t="s">
        <v>3762</v>
      </c>
    </row>
    <row r="9438" spans="1:2" x14ac:dyDescent="0.25">
      <c r="A9438" s="64" t="str">
        <f>HYPERLINK("http://www.twitter.com/CEG_Nina", "CEG_Nina")</f>
        <v>CEG_Nina</v>
      </c>
      <c r="B9438" s="65"/>
    </row>
    <row r="9439" spans="1:2" x14ac:dyDescent="0.25">
      <c r="A9439" s="64" t="str">
        <f>HYPERLINK("http://www.twitter.com/LornyCan", "LornyCan")</f>
        <v>LornyCan</v>
      </c>
      <c r="B9439" s="65"/>
    </row>
    <row r="9440" spans="1:2" x14ac:dyDescent="0.25">
      <c r="A9440" s="64" t="str">
        <f>HYPERLINK("http://www.twitter.com/ei9iw", "ei9iw")</f>
        <v>ei9iw</v>
      </c>
      <c r="B9440" s="65" t="s">
        <v>4062</v>
      </c>
    </row>
    <row r="9441" spans="1:2" x14ac:dyDescent="0.25">
      <c r="A9441" s="64" t="str">
        <f>HYPERLINK("http://www.twitter.com/kazzajm", "kazzajm")</f>
        <v>kazzajm</v>
      </c>
      <c r="B9441" s="65" t="s">
        <v>5807</v>
      </c>
    </row>
    <row r="9442" spans="1:2" x14ac:dyDescent="0.25">
      <c r="A9442" s="64" t="str">
        <f>HYPERLINK("http://www.twitter.com/dfr10", "dfr10")</f>
        <v>dfr10</v>
      </c>
      <c r="B9442" s="65" t="s">
        <v>6867</v>
      </c>
    </row>
    <row r="9443" spans="1:2" x14ac:dyDescent="0.25">
      <c r="A9443" s="64" t="str">
        <f>HYPERLINK("http://www.twitter.com/dandrews1976", "dandrews1976")</f>
        <v>dandrews1976</v>
      </c>
      <c r="B9443" s="65" t="s">
        <v>3779</v>
      </c>
    </row>
    <row r="9444" spans="1:2" x14ac:dyDescent="0.25">
      <c r="A9444" s="64" t="str">
        <f>HYPERLINK("http://www.twitter.com/OfficialYayYA", "OfficialYayYA")</f>
        <v>OfficialYayYA</v>
      </c>
      <c r="B9444" s="65" t="s">
        <v>6868</v>
      </c>
    </row>
    <row r="9445" spans="1:2" x14ac:dyDescent="0.25">
      <c r="A9445" s="64" t="str">
        <f>HYPERLINK("http://www.twitter.com/Curvyjax", "Curvyjax")</f>
        <v>Curvyjax</v>
      </c>
      <c r="B9445" s="65" t="s">
        <v>6869</v>
      </c>
    </row>
    <row r="9446" spans="1:2" x14ac:dyDescent="0.25">
      <c r="A9446" s="64" t="str">
        <f>HYPERLINK("http://www.twitter.com/SaraJBenincasa", "SaraJBenincasa")</f>
        <v>SaraJBenincasa</v>
      </c>
      <c r="B9446" s="65" t="s">
        <v>4193</v>
      </c>
    </row>
    <row r="9447" spans="1:2" x14ac:dyDescent="0.25">
      <c r="A9447" s="64" t="str">
        <f>HYPERLINK("http://www.twitter.com/Thebigmonkeyboy", "Thebigmonkeyboy")</f>
        <v>Thebigmonkeyboy</v>
      </c>
      <c r="B9447" s="65"/>
    </row>
    <row r="9448" spans="1:2" x14ac:dyDescent="0.25">
      <c r="A9448" s="64" t="str">
        <f>HYPERLINK("http://www.twitter.com/Maddening_Loop", "Maddening_Loop")</f>
        <v>Maddening_Loop</v>
      </c>
      <c r="B9448" s="65" t="s">
        <v>138</v>
      </c>
    </row>
    <row r="9449" spans="1:2" x14ac:dyDescent="0.25">
      <c r="A9449" s="64" t="str">
        <f>HYPERLINK("http://www.twitter.com/OrcaWilcus", "OrcaWilcus")</f>
        <v>OrcaWilcus</v>
      </c>
      <c r="B9449" s="65"/>
    </row>
    <row r="9450" spans="1:2" x14ac:dyDescent="0.25">
      <c r="A9450" s="64" t="str">
        <f>HYPERLINK("http://www.twitter.com/TatsumiHanaori", "TatsumiHanaori")</f>
        <v>TatsumiHanaori</v>
      </c>
      <c r="B9450" s="65" t="s">
        <v>5617</v>
      </c>
    </row>
    <row r="9451" spans="1:2" x14ac:dyDescent="0.25">
      <c r="A9451" s="64" t="str">
        <f>HYPERLINK("http://www.twitter.com/pekingribs", "pekingribs")</f>
        <v>pekingribs</v>
      </c>
      <c r="B9451" s="65"/>
    </row>
    <row r="9452" spans="1:2" x14ac:dyDescent="0.25">
      <c r="A9452" s="64" t="str">
        <f>HYPERLINK("http://www.twitter.com/JohnRieth7", "JohnRieth7")</f>
        <v>JohnRieth7</v>
      </c>
      <c r="B9452" s="65"/>
    </row>
    <row r="9453" spans="1:2" x14ac:dyDescent="0.25">
      <c r="A9453" s="64" t="str">
        <f>HYPERLINK("http://www.twitter.com/jonatha_kottler", "jonatha_kottler")</f>
        <v>jonatha_kottler</v>
      </c>
      <c r="B9453" s="65" t="s">
        <v>4484</v>
      </c>
    </row>
    <row r="9454" spans="1:2" x14ac:dyDescent="0.25">
      <c r="A9454" s="64" t="str">
        <f>HYPERLINK("http://www.twitter.com/innesgroves", "innesgroves")</f>
        <v>innesgroves</v>
      </c>
      <c r="B9454" s="65" t="s">
        <v>6870</v>
      </c>
    </row>
    <row r="9455" spans="1:2" x14ac:dyDescent="0.25">
      <c r="A9455" s="64" t="str">
        <f>HYPERLINK("http://www.twitter.com/anotherbooksuni", "anotherbooksuni")</f>
        <v>anotherbooksuni</v>
      </c>
      <c r="B9455" s="65"/>
    </row>
    <row r="9456" spans="1:2" x14ac:dyDescent="0.25">
      <c r="A9456" s="64" t="str">
        <f>HYPERLINK("http://www.twitter.com/NYlilrealestate", "NYlilrealestate")</f>
        <v>NYlilrealestate</v>
      </c>
      <c r="B9456" s="65" t="s">
        <v>6871</v>
      </c>
    </row>
    <row r="9457" spans="1:2" x14ac:dyDescent="0.25">
      <c r="A9457" s="64" t="str">
        <f>HYPERLINK("http://www.twitter.com/northathenian", "northathenian")</f>
        <v>northathenian</v>
      </c>
      <c r="B9457" s="65" t="s">
        <v>67</v>
      </c>
    </row>
    <row r="9458" spans="1:2" x14ac:dyDescent="0.25">
      <c r="A9458" s="64" t="str">
        <f>HYPERLINK("http://www.twitter.com/DonnaInnes03", "DonnaInnes03")</f>
        <v>DonnaInnes03</v>
      </c>
      <c r="B9458" s="65"/>
    </row>
    <row r="9459" spans="1:2" x14ac:dyDescent="0.25">
      <c r="A9459" s="64" t="str">
        <f>HYPERLINK("http://www.twitter.com/tzm_sein", "tzm_sein")</f>
        <v>tzm_sein</v>
      </c>
      <c r="B9459" s="65"/>
    </row>
    <row r="9460" spans="1:2" x14ac:dyDescent="0.25">
      <c r="A9460" s="64" t="str">
        <f>HYPERLINK("http://www.twitter.com/thrillkelly11", "thrillkelly11")</f>
        <v>thrillkelly11</v>
      </c>
      <c r="B9460" s="65"/>
    </row>
    <row r="9461" spans="1:2" x14ac:dyDescent="0.25">
      <c r="A9461" s="64" t="str">
        <f>HYPERLINK("http://www.twitter.com/rdyana90", "rdyana90")</f>
        <v>rdyana90</v>
      </c>
      <c r="B9461" s="65" t="s">
        <v>6872</v>
      </c>
    </row>
    <row r="9462" spans="1:2" x14ac:dyDescent="0.25">
      <c r="A9462" s="64" t="str">
        <f>HYPERLINK("http://www.twitter.com/ImagineComm", "ImagineComm")</f>
        <v>ImagineComm</v>
      </c>
      <c r="B9462" s="65" t="s">
        <v>6873</v>
      </c>
    </row>
    <row r="9463" spans="1:2" x14ac:dyDescent="0.25">
      <c r="A9463" s="64" t="str">
        <f>HYPERLINK("http://www.twitter.com/iKwestter", "iKwestter")</f>
        <v>iKwestter</v>
      </c>
      <c r="B9463" s="65"/>
    </row>
    <row r="9464" spans="1:2" x14ac:dyDescent="0.25">
      <c r="A9464" s="64" t="str">
        <f>HYPERLINK("http://www.twitter.com/ivndesigns", "ivndesigns")</f>
        <v>ivndesigns</v>
      </c>
      <c r="B9464" s="65" t="s">
        <v>487</v>
      </c>
    </row>
    <row r="9465" spans="1:2" x14ac:dyDescent="0.25">
      <c r="A9465" s="64" t="str">
        <f>HYPERLINK("http://www.twitter.com/GavinWilliams_7", "GavinWilliams_7")</f>
        <v>GavinWilliams_7</v>
      </c>
      <c r="B9465" s="65" t="s">
        <v>6874</v>
      </c>
    </row>
    <row r="9466" spans="1:2" x14ac:dyDescent="0.25">
      <c r="A9466" s="64" t="str">
        <f>HYPERLINK("http://www.twitter.com/not_bloody_mary", "not_bloody_mary")</f>
        <v>not_bloody_mary</v>
      </c>
      <c r="B9466" s="65" t="s">
        <v>6875</v>
      </c>
    </row>
    <row r="9467" spans="1:2" x14ac:dyDescent="0.25">
      <c r="A9467" s="64" t="str">
        <f>HYPERLINK("http://www.twitter.com/ShupravaJui", "ShupravaJui")</f>
        <v>ShupravaJui</v>
      </c>
      <c r="B9467" s="65" t="s">
        <v>4414</v>
      </c>
    </row>
    <row r="9468" spans="1:2" x14ac:dyDescent="0.25">
      <c r="A9468" s="64" t="str">
        <f>HYPERLINK("http://www.twitter.com/mrvg567456", "mrvg567456")</f>
        <v>mrvg567456</v>
      </c>
      <c r="B9468" s="65" t="s">
        <v>6876</v>
      </c>
    </row>
    <row r="9469" spans="1:2" x14ac:dyDescent="0.25">
      <c r="A9469" s="64" t="str">
        <f>HYPERLINK("http://www.twitter.com/LisBuxton77", "LisBuxton77")</f>
        <v>LisBuxton77</v>
      </c>
      <c r="B9469" s="65" t="s">
        <v>6775</v>
      </c>
    </row>
    <row r="9470" spans="1:2" x14ac:dyDescent="0.25">
      <c r="A9470" s="64" t="str">
        <f>HYPERLINK("http://www.twitter.com/adnilgnol", "adnilgnol")</f>
        <v>adnilgnol</v>
      </c>
      <c r="B9470" s="65"/>
    </row>
    <row r="9471" spans="1:2" x14ac:dyDescent="0.25">
      <c r="A9471" s="64" t="str">
        <f>HYPERLINK("http://www.twitter.com/Zenikenmilllyo1", "Zenikenmilllyo1")</f>
        <v>Zenikenmilllyo1</v>
      </c>
      <c r="B9471" s="65" t="s">
        <v>4867</v>
      </c>
    </row>
    <row r="9472" spans="1:2" x14ac:dyDescent="0.25">
      <c r="A9472" s="64" t="str">
        <f>HYPERLINK("http://www.twitter.com/BridgeHouse_", "BridgeHouse_")</f>
        <v>BridgeHouse_</v>
      </c>
      <c r="B9472" s="65" t="s">
        <v>318</v>
      </c>
    </row>
    <row r="9473" spans="1:2" x14ac:dyDescent="0.25">
      <c r="A9473" s="64" t="str">
        <f>HYPERLINK("http://www.twitter.com/ShrineBell", "ShrineBell")</f>
        <v>ShrineBell</v>
      </c>
      <c r="B9473" s="65" t="s">
        <v>4234</v>
      </c>
    </row>
    <row r="9474" spans="1:2" x14ac:dyDescent="0.25">
      <c r="A9474" s="64" t="str">
        <f>HYPERLINK("http://www.twitter.com/bec_groundwater", "bec_groundwater")</f>
        <v>bec_groundwater</v>
      </c>
      <c r="B9474" s="65" t="s">
        <v>2007</v>
      </c>
    </row>
    <row r="9475" spans="1:2" x14ac:dyDescent="0.25">
      <c r="A9475" s="64" t="str">
        <f>HYPERLINK("http://www.twitter.com/SCRobinson205", "SCRobinson205")</f>
        <v>SCRobinson205</v>
      </c>
      <c r="B9475" s="65" t="s">
        <v>6877</v>
      </c>
    </row>
    <row r="9476" spans="1:2" x14ac:dyDescent="0.25">
      <c r="A9476" s="64" t="str">
        <f>HYPERLINK("http://www.twitter.com/SachinPatelssp", "SachinPatelssp")</f>
        <v>SachinPatelssp</v>
      </c>
      <c r="B9476" s="65"/>
    </row>
    <row r="9477" spans="1:2" x14ac:dyDescent="0.25">
      <c r="A9477" s="64" t="str">
        <f>HYPERLINK("http://www.twitter.com/5l", "5l")</f>
        <v>5l</v>
      </c>
      <c r="B9477" s="65" t="s">
        <v>487</v>
      </c>
    </row>
    <row r="9478" spans="1:2" x14ac:dyDescent="0.25">
      <c r="A9478" s="64" t="str">
        <f>HYPERLINK("http://www.twitter.com/SarahC78", "SarahC78")</f>
        <v>SarahC78</v>
      </c>
      <c r="B9478" s="65"/>
    </row>
    <row r="9479" spans="1:2" x14ac:dyDescent="0.25">
      <c r="A9479" s="64" t="str">
        <f>HYPERLINK("http://www.twitter.com/Torsoman", "Torsoman")</f>
        <v>Torsoman</v>
      </c>
      <c r="B9479" s="65" t="s">
        <v>2289</v>
      </c>
    </row>
    <row r="9480" spans="1:2" x14ac:dyDescent="0.25">
      <c r="A9480" s="64" t="str">
        <f>HYPERLINK("http://www.twitter.com/youngpoetsnet", "youngpoetsnet")</f>
        <v>youngpoetsnet</v>
      </c>
      <c r="B9480" s="65" t="s">
        <v>296</v>
      </c>
    </row>
    <row r="9481" spans="1:2" x14ac:dyDescent="0.25">
      <c r="A9481" s="64" t="str">
        <f>HYPERLINK("http://www.twitter.com/AveNosam", "AveNosam")</f>
        <v>AveNosam</v>
      </c>
      <c r="B9481" s="65" t="s">
        <v>477</v>
      </c>
    </row>
    <row r="9482" spans="1:2" x14ac:dyDescent="0.25">
      <c r="A9482" s="64" t="str">
        <f>HYPERLINK("http://www.twitter.com/bethferguson92", "bethferguson92")</f>
        <v>bethferguson92</v>
      </c>
      <c r="B9482" s="65" t="s">
        <v>36</v>
      </c>
    </row>
    <row r="9483" spans="1:2" x14ac:dyDescent="0.25">
      <c r="A9483" s="64" t="str">
        <f>HYPERLINK("http://www.twitter.com/LaurnaRobertson", "LaurnaRobertson")</f>
        <v>LaurnaRobertson</v>
      </c>
      <c r="B9483" s="65" t="s">
        <v>24</v>
      </c>
    </row>
    <row r="9484" spans="1:2" x14ac:dyDescent="0.25">
      <c r="A9484" s="64" t="str">
        <f>HYPERLINK("http://www.twitter.com/chocolate_tpot", "chocolate_tpot")</f>
        <v>chocolate_tpot</v>
      </c>
      <c r="B9484" s="65"/>
    </row>
    <row r="9485" spans="1:2" x14ac:dyDescent="0.25">
      <c r="A9485" s="64" t="str">
        <f>HYPERLINK("http://www.twitter.com/swhitson1", "swhitson1")</f>
        <v>swhitson1</v>
      </c>
      <c r="B9485" s="65" t="s">
        <v>4332</v>
      </c>
    </row>
    <row r="9486" spans="1:2" x14ac:dyDescent="0.25">
      <c r="A9486" s="64" t="str">
        <f>HYPERLINK("http://www.twitter.com/ElizabethRosie7", "ElizabethRosie7")</f>
        <v>ElizabethRosie7</v>
      </c>
      <c r="B9486" s="65" t="s">
        <v>3762</v>
      </c>
    </row>
    <row r="9487" spans="1:2" x14ac:dyDescent="0.25">
      <c r="A9487" s="64" t="str">
        <f>HYPERLINK("http://www.twitter.com/ColleenJBrown01", "ColleenJBrown01")</f>
        <v>ColleenJBrown01</v>
      </c>
      <c r="B9487" s="65" t="s">
        <v>6878</v>
      </c>
    </row>
    <row r="9488" spans="1:2" x14ac:dyDescent="0.25">
      <c r="A9488" s="64" t="str">
        <f>HYPERLINK("http://www.twitter.com/Gfuelisascam", "Gfuelisascam")</f>
        <v>Gfuelisascam</v>
      </c>
      <c r="B9488" s="65"/>
    </row>
    <row r="9489" spans="1:2" x14ac:dyDescent="0.25">
      <c r="A9489" s="64" t="str">
        <f>HYPERLINK("http://www.twitter.com/SJWRogers", "SJWRogers")</f>
        <v>SJWRogers</v>
      </c>
      <c r="B9489" s="65" t="s">
        <v>6879</v>
      </c>
    </row>
    <row r="9490" spans="1:2" x14ac:dyDescent="0.25">
      <c r="A9490" s="64" t="str">
        <f>HYPERLINK("http://www.twitter.com/charitytripsnyc", "charitytripsnyc")</f>
        <v>charitytripsnyc</v>
      </c>
      <c r="B9490" s="65" t="s">
        <v>4623</v>
      </c>
    </row>
    <row r="9491" spans="1:2" x14ac:dyDescent="0.25">
      <c r="A9491" s="64" t="str">
        <f>HYPERLINK("http://www.twitter.com/spudnando", "spudnando")</f>
        <v>spudnando</v>
      </c>
      <c r="B9491" s="65" t="s">
        <v>5389</v>
      </c>
    </row>
    <row r="9492" spans="1:2" x14ac:dyDescent="0.25">
      <c r="A9492" s="64" t="str">
        <f>HYPERLINK("http://www.twitter.com/ProductForge", "ProductForge")</f>
        <v>ProductForge</v>
      </c>
      <c r="B9492" s="65" t="s">
        <v>24</v>
      </c>
    </row>
    <row r="9493" spans="1:2" x14ac:dyDescent="0.25">
      <c r="A9493" s="64" t="str">
        <f>HYPERLINK("http://www.twitter.com/AsthmaHome", "AsthmaHome")</f>
        <v>AsthmaHome</v>
      </c>
      <c r="B9493" s="65" t="s">
        <v>2007</v>
      </c>
    </row>
    <row r="9494" spans="1:2" x14ac:dyDescent="0.25">
      <c r="A9494" s="64" t="str">
        <f>HYPERLINK("http://www.twitter.com/Ad_in_Ed", "Ad_in_Ed")</f>
        <v>Ad_in_Ed</v>
      </c>
      <c r="B9494" s="65" t="s">
        <v>24</v>
      </c>
    </row>
    <row r="9495" spans="1:2" x14ac:dyDescent="0.25">
      <c r="A9495" s="64" t="str">
        <f>HYPERLINK("http://www.twitter.com/scotlit", "scotlit")</f>
        <v>scotlit</v>
      </c>
      <c r="B9495" s="65" t="s">
        <v>138</v>
      </c>
    </row>
    <row r="9496" spans="1:2" x14ac:dyDescent="0.25">
      <c r="A9496" s="64" t="str">
        <f>HYPERLINK("http://www.twitter.com/wx_k", "wx_k")</f>
        <v>wx_k</v>
      </c>
      <c r="B9496" s="65" t="s">
        <v>6880</v>
      </c>
    </row>
    <row r="9497" spans="1:2" x14ac:dyDescent="0.25">
      <c r="A9497" s="64" t="str">
        <f>HYPERLINK("http://www.twitter.com/DOUTEUR", "DOUTEUR")</f>
        <v>DOUTEUR</v>
      </c>
      <c r="B9497" s="65" t="s">
        <v>6881</v>
      </c>
    </row>
    <row r="9498" spans="1:2" x14ac:dyDescent="0.25">
      <c r="A9498" s="64" t="str">
        <f>HYPERLINK("http://www.twitter.com/XxEmma_4_xX", "XxEmma_4_xX")</f>
        <v>XxEmma_4_xX</v>
      </c>
      <c r="B9498" s="65" t="s">
        <v>6882</v>
      </c>
    </row>
    <row r="9499" spans="1:2" x14ac:dyDescent="0.25">
      <c r="A9499" s="64" t="str">
        <f>HYPERLINK("http://www.twitter.com/librarianlaurs", "librarianlaurs")</f>
        <v>librarianlaurs</v>
      </c>
      <c r="B9499" s="65" t="s">
        <v>318</v>
      </c>
    </row>
    <row r="9500" spans="1:2" x14ac:dyDescent="0.25">
      <c r="A9500" s="64" t="str">
        <f>HYPERLINK("http://www.twitter.com/librarylaura674", "librarylaura674")</f>
        <v>librarylaura674</v>
      </c>
      <c r="B9500" s="65"/>
    </row>
    <row r="9501" spans="1:2" x14ac:dyDescent="0.25">
      <c r="A9501" s="64" t="str">
        <f>HYPERLINK("http://www.twitter.com/bodleianlibs", "bodleianlibs")</f>
        <v>bodleianlibs</v>
      </c>
      <c r="B9501" s="65" t="s">
        <v>12</v>
      </c>
    </row>
    <row r="9502" spans="1:2" x14ac:dyDescent="0.25">
      <c r="A9502" s="64" t="str">
        <f>HYPERLINK("http://www.twitter.com/Modern_ss", "Modern_ss")</f>
        <v>Modern_ss</v>
      </c>
      <c r="B9502" s="65" t="s">
        <v>6686</v>
      </c>
    </row>
    <row r="9503" spans="1:2" x14ac:dyDescent="0.25">
      <c r="A9503" s="64" t="str">
        <f>HYPERLINK("http://www.twitter.com/smspublishing", "smspublishing")</f>
        <v>smspublishing</v>
      </c>
      <c r="B9503" s="65" t="s">
        <v>296</v>
      </c>
    </row>
    <row r="9504" spans="1:2" x14ac:dyDescent="0.25">
      <c r="A9504" s="64" t="str">
        <f>HYPERLINK("http://www.twitter.com/GillianPeel", "GillianPeel")</f>
        <v>GillianPeel</v>
      </c>
      <c r="B9504" s="65" t="s">
        <v>6883</v>
      </c>
    </row>
    <row r="9505" spans="1:2" x14ac:dyDescent="0.25">
      <c r="A9505" s="64" t="str">
        <f>HYPERLINK("http://www.twitter.com/HallaqSami", "HallaqSami")</f>
        <v>HallaqSami</v>
      </c>
      <c r="B9505" s="65" t="s">
        <v>6884</v>
      </c>
    </row>
    <row r="9506" spans="1:2" x14ac:dyDescent="0.25">
      <c r="A9506" s="64" t="str">
        <f>HYPERLINK("http://www.twitter.com/nicsur", "nicsur")</f>
        <v>nicsur</v>
      </c>
      <c r="B9506" s="65" t="s">
        <v>33</v>
      </c>
    </row>
    <row r="9507" spans="1:2" x14ac:dyDescent="0.25">
      <c r="A9507" s="64" t="str">
        <f>HYPERLINK("http://www.twitter.com/TPLWychwood", "TPLWychwood")</f>
        <v>TPLWychwood</v>
      </c>
      <c r="B9507" s="65" t="s">
        <v>6885</v>
      </c>
    </row>
    <row r="9508" spans="1:2" x14ac:dyDescent="0.25">
      <c r="A9508" s="64" t="str">
        <f>HYPERLINK("http://www.twitter.com/ZuganovArtist", "ZuganovArtist")</f>
        <v>ZuganovArtist</v>
      </c>
      <c r="B9508" s="65"/>
    </row>
    <row r="9509" spans="1:2" x14ac:dyDescent="0.25">
      <c r="A9509" s="64" t="str">
        <f>HYPERLINK("http://www.twitter.com/dchinemelum2", "dchinemelum2")</f>
        <v>dchinemelum2</v>
      </c>
      <c r="B9509" s="65"/>
    </row>
    <row r="9510" spans="1:2" x14ac:dyDescent="0.25">
      <c r="A9510" s="64" t="str">
        <f>HYPERLINK("http://www.twitter.com/WaterstonesBar", "WaterstonesBar")</f>
        <v>WaterstonesBar</v>
      </c>
      <c r="B9510" s="65" t="s">
        <v>6886</v>
      </c>
    </row>
    <row r="9511" spans="1:2" x14ac:dyDescent="0.25">
      <c r="A9511" s="64" t="str">
        <f>HYPERLINK("http://www.twitter.com/whollybrogued", "whollybrogued")</f>
        <v>whollybrogued</v>
      </c>
      <c r="B9511" s="65"/>
    </row>
    <row r="9512" spans="1:2" x14ac:dyDescent="0.25">
      <c r="A9512" s="64" t="str">
        <f>HYPERLINK("http://www.twitter.com/treyptrsn", "treyptrsn")</f>
        <v>treyptrsn</v>
      </c>
      <c r="B9512" s="65" t="s">
        <v>5069</v>
      </c>
    </row>
    <row r="9513" spans="1:2" x14ac:dyDescent="0.25">
      <c r="A9513" s="64" t="str">
        <f>HYPERLINK("http://www.twitter.com/CLIS_UK", "CLIS_UK")</f>
        <v>CLIS_UK</v>
      </c>
      <c r="B9513" s="65" t="s">
        <v>70</v>
      </c>
    </row>
    <row r="9514" spans="1:2" x14ac:dyDescent="0.25">
      <c r="A9514" s="64" t="str">
        <f>HYPERLINK("http://www.twitter.com/chillypiper39", "chillypiper39")</f>
        <v>chillypiper39</v>
      </c>
      <c r="B9514" s="65"/>
    </row>
    <row r="9515" spans="1:2" x14ac:dyDescent="0.25">
      <c r="A9515" s="64" t="str">
        <f>HYPERLINK("http://www.twitter.com/helen_nicholas7", "helen_nicholas7")</f>
        <v>helen_nicholas7</v>
      </c>
      <c r="B9515" s="65" t="s">
        <v>70</v>
      </c>
    </row>
    <row r="9516" spans="1:2" x14ac:dyDescent="0.25">
      <c r="A9516" s="64" t="str">
        <f>HYPERLINK("http://www.twitter.com/eisha200286", "eisha200286")</f>
        <v>eisha200286</v>
      </c>
      <c r="B9516" s="65" t="s">
        <v>4223</v>
      </c>
    </row>
    <row r="9517" spans="1:2" x14ac:dyDescent="0.25">
      <c r="A9517" s="64" t="str">
        <f>HYPERLINK("http://www.twitter.com/PermaCard", "PermaCard")</f>
        <v>PermaCard</v>
      </c>
      <c r="B9517" s="65" t="s">
        <v>6887</v>
      </c>
    </row>
    <row r="9518" spans="1:2" x14ac:dyDescent="0.25">
      <c r="A9518" s="64" t="str">
        <f>HYPERLINK("http://www.twitter.com/tinkerbellxxz", "tinkerbellxxz")</f>
        <v>tinkerbellxxz</v>
      </c>
      <c r="B9518" s="65"/>
    </row>
    <row r="9519" spans="1:2" x14ac:dyDescent="0.25">
      <c r="A9519" s="64" t="str">
        <f>HYPERLINK("http://www.twitter.com/DavidFisman", "DavidFisman")</f>
        <v>DavidFisman</v>
      </c>
      <c r="B9519" s="65" t="s">
        <v>4681</v>
      </c>
    </row>
    <row r="9520" spans="1:2" x14ac:dyDescent="0.25">
      <c r="A9520" s="64" t="str">
        <f>HYPERLINK("http://www.twitter.com/DuranceauRandi", "DuranceauRandi")</f>
        <v>DuranceauRandi</v>
      </c>
      <c r="B9520" s="65" t="s">
        <v>6888</v>
      </c>
    </row>
    <row r="9521" spans="1:2" x14ac:dyDescent="0.25">
      <c r="A9521" s="64" t="str">
        <f>HYPERLINK("http://www.twitter.com/SimonGreenway32", "SimonGreenway32")</f>
        <v>SimonGreenway32</v>
      </c>
      <c r="B9521" s="65" t="s">
        <v>6889</v>
      </c>
    </row>
    <row r="9522" spans="1:2" x14ac:dyDescent="0.25">
      <c r="A9522" s="64" t="str">
        <f>HYPERLINK("http://www.twitter.com/iamclairewhite", "iamclairewhite")</f>
        <v>iamclairewhite</v>
      </c>
      <c r="B9522" s="65" t="s">
        <v>6890</v>
      </c>
    </row>
    <row r="9523" spans="1:2" x14ac:dyDescent="0.25">
      <c r="A9523" s="64" t="str">
        <f>HYPERLINK("http://www.twitter.com/kamiyama122", "kamiyama122")</f>
        <v>kamiyama122</v>
      </c>
      <c r="B9523" s="65"/>
    </row>
    <row r="9524" spans="1:2" x14ac:dyDescent="0.25">
      <c r="A9524" s="64" t="str">
        <f>HYPERLINK("http://www.twitter.com/SL_THS_English", "SL_THS_English")</f>
        <v>SL_THS_English</v>
      </c>
      <c r="B9524" s="65" t="s">
        <v>318</v>
      </c>
    </row>
    <row r="9525" spans="1:2" x14ac:dyDescent="0.25">
      <c r="A9525" s="64" t="str">
        <f>HYPERLINK("http://www.twitter.com/jadetoddx", "jadetoddx")</f>
        <v>jadetoddx</v>
      </c>
      <c r="B9525" s="65" t="s">
        <v>6891</v>
      </c>
    </row>
    <row r="9526" spans="1:2" x14ac:dyDescent="0.25">
      <c r="A9526" s="64" t="str">
        <f>HYPERLINK("http://www.twitter.com/FrankiesFish", "FrankiesFish")</f>
        <v>FrankiesFish</v>
      </c>
      <c r="B9526" s="65" t="s">
        <v>6892</v>
      </c>
    </row>
    <row r="9527" spans="1:2" x14ac:dyDescent="0.25">
      <c r="A9527" s="64" t="str">
        <f>HYPERLINK("http://www.twitter.com/CelineCamp88", "CelineCamp88")</f>
        <v>CelineCamp88</v>
      </c>
      <c r="B9527" s="65" t="s">
        <v>4254</v>
      </c>
    </row>
    <row r="9528" spans="1:2" x14ac:dyDescent="0.25">
      <c r="A9528" s="64" t="str">
        <f>HYPERLINK("http://www.twitter.com/imyril", "imyril")</f>
        <v>imyril</v>
      </c>
      <c r="B9528" s="65" t="s">
        <v>36</v>
      </c>
    </row>
    <row r="9529" spans="1:2" x14ac:dyDescent="0.25">
      <c r="A9529" s="64" t="str">
        <f>HYPERLINK("http://www.twitter.com/ThatRyn", "ThatRyn")</f>
        <v>ThatRyn</v>
      </c>
      <c r="B9529" s="65" t="s">
        <v>2107</v>
      </c>
    </row>
    <row r="9530" spans="1:2" x14ac:dyDescent="0.25">
      <c r="A9530" s="64" t="str">
        <f>HYPERLINK("http://www.twitter.com/tessaq03", "tessaq03")</f>
        <v>tessaq03</v>
      </c>
      <c r="B9530" s="65" t="s">
        <v>487</v>
      </c>
    </row>
    <row r="9531" spans="1:2" x14ac:dyDescent="0.25">
      <c r="A9531" s="64" t="str">
        <f>HYPERLINK("http://www.twitter.com/shet_janitorial", "shet_janitorial")</f>
        <v>shet_janitorial</v>
      </c>
      <c r="B9531" s="65" t="s">
        <v>4797</v>
      </c>
    </row>
    <row r="9532" spans="1:2" x14ac:dyDescent="0.25">
      <c r="A9532" s="64" t="str">
        <f>HYPERLINK("http://www.twitter.com/dawn_rodger", "dawn_rodger")</f>
        <v>dawn_rodger</v>
      </c>
      <c r="B9532" s="65" t="s">
        <v>598</v>
      </c>
    </row>
    <row r="9533" spans="1:2" x14ac:dyDescent="0.25">
      <c r="A9533" s="64" t="str">
        <f>HYPERLINK("http://www.twitter.com/swilks123", "swilks123")</f>
        <v>swilks123</v>
      </c>
      <c r="B9533" s="65" t="s">
        <v>5212</v>
      </c>
    </row>
    <row r="9534" spans="1:2" x14ac:dyDescent="0.25">
      <c r="A9534" s="64" t="str">
        <f>HYPERLINK("http://www.twitter.com/estherlemur", "estherlemur")</f>
        <v>estherlemur</v>
      </c>
      <c r="B9534" s="65"/>
    </row>
    <row r="9535" spans="1:2" x14ac:dyDescent="0.25">
      <c r="A9535" s="64" t="str">
        <f>HYPERLINK("http://www.twitter.com/holidayhighland", "holidayhighland")</f>
        <v>holidayhighland</v>
      </c>
      <c r="B9535" s="65" t="s">
        <v>296</v>
      </c>
    </row>
    <row r="9536" spans="1:2" x14ac:dyDescent="0.25">
      <c r="A9536" s="64" t="str">
        <f>HYPERLINK("http://www.twitter.com/MehrazMorshed", "MehrazMorshed")</f>
        <v>MehrazMorshed</v>
      </c>
      <c r="B9536" s="65" t="s">
        <v>4414</v>
      </c>
    </row>
    <row r="9537" spans="1:2" x14ac:dyDescent="0.25">
      <c r="A9537" s="64" t="str">
        <f>HYPERLINK("http://www.twitter.com/hav3a9o", "hav3a9o")</f>
        <v>hav3a9o</v>
      </c>
      <c r="B9537" s="65" t="s">
        <v>3040</v>
      </c>
    </row>
    <row r="9538" spans="1:2" x14ac:dyDescent="0.25">
      <c r="A9538" s="64" t="str">
        <f>HYPERLINK("http://www.twitter.com/kellyhassan", "kellyhassan")</f>
        <v>kellyhassan</v>
      </c>
      <c r="B9538" s="65" t="s">
        <v>915</v>
      </c>
    </row>
    <row r="9539" spans="1:2" x14ac:dyDescent="0.25">
      <c r="A9539" s="64" t="str">
        <f>HYPERLINK("http://www.twitter.com/Sarahcantutor", "Sarahcantutor")</f>
        <v>Sarahcantutor</v>
      </c>
      <c r="B9539" s="65" t="s">
        <v>1739</v>
      </c>
    </row>
    <row r="9540" spans="1:2" x14ac:dyDescent="0.25">
      <c r="A9540" s="64" t="str">
        <f>HYPERLINK("http://www.twitter.com/Kirsten_wylie", "Kirsten_wylie")</f>
        <v>Kirsten_wylie</v>
      </c>
      <c r="B9540" s="65"/>
    </row>
    <row r="9541" spans="1:2" x14ac:dyDescent="0.25">
      <c r="A9541" s="64" t="str">
        <f>HYPERLINK("http://www.twitter.com/keishaofdogs", "keishaofdogs")</f>
        <v>keishaofdogs</v>
      </c>
      <c r="B9541" s="65" t="s">
        <v>6893</v>
      </c>
    </row>
    <row r="9542" spans="1:2" x14ac:dyDescent="0.25">
      <c r="A9542" s="64" t="str">
        <f>HYPERLINK("http://www.twitter.com/Mask_PT", "Mask_PT")</f>
        <v>Mask_PT</v>
      </c>
      <c r="B9542" s="65" t="s">
        <v>3838</v>
      </c>
    </row>
    <row r="9543" spans="1:2" x14ac:dyDescent="0.25">
      <c r="A9543" s="64" t="str">
        <f>HYPERLINK("http://www.twitter.com/KetlinJhennyfer", "KetlinJhennyfer")</f>
        <v>KetlinJhennyfer</v>
      </c>
      <c r="B9543" s="65" t="s">
        <v>6894</v>
      </c>
    </row>
    <row r="9544" spans="1:2" x14ac:dyDescent="0.25">
      <c r="A9544" s="64" t="str">
        <f>HYPERLINK("http://www.twitter.com/BookjacketsHQ", "BookjacketsHQ")</f>
        <v>BookjacketsHQ</v>
      </c>
      <c r="B9544" s="65" t="s">
        <v>590</v>
      </c>
    </row>
    <row r="9545" spans="1:2" x14ac:dyDescent="0.25">
      <c r="A9545" s="64" t="str">
        <f>HYPERLINK("http://www.twitter.com/petergokiburi", "petergokiburi")</f>
        <v>petergokiburi</v>
      </c>
      <c r="B9545" s="65" t="s">
        <v>6895</v>
      </c>
    </row>
    <row r="9546" spans="1:2" x14ac:dyDescent="0.25">
      <c r="A9546" s="64" t="str">
        <f>HYPERLINK("http://www.twitter.com/Peeple_Sally", "Peeple_Sally")</f>
        <v>Peeple_Sally</v>
      </c>
      <c r="B9546" s="65" t="s">
        <v>6896</v>
      </c>
    </row>
    <row r="9547" spans="1:2" x14ac:dyDescent="0.25">
      <c r="A9547" s="64" t="str">
        <f>HYPERLINK("http://www.twitter.com/ArchieAberdeen", "ArchieAberdeen")</f>
        <v>ArchieAberdeen</v>
      </c>
      <c r="B9547" s="65" t="s">
        <v>6897</v>
      </c>
    </row>
    <row r="9548" spans="1:2" x14ac:dyDescent="0.25">
      <c r="A9548" s="64" t="str">
        <f>HYPERLINK("http://www.twitter.com/1978Johnson", "1978Johnson")</f>
        <v>1978Johnson</v>
      </c>
      <c r="B9548" s="65"/>
    </row>
    <row r="9549" spans="1:2" x14ac:dyDescent="0.25">
      <c r="A9549" s="64" t="str">
        <f>HYPERLINK("http://www.twitter.com/uomlib_olivia", "uomlib_olivia")</f>
        <v>uomlib_olivia</v>
      </c>
      <c r="B9549" s="65"/>
    </row>
    <row r="9550" spans="1:2" x14ac:dyDescent="0.25">
      <c r="A9550" s="64" t="str">
        <f>HYPERLINK("http://www.twitter.com/koegearkiv", "koegearkiv")</f>
        <v>koegearkiv</v>
      </c>
      <c r="B9550" s="65" t="s">
        <v>6898</v>
      </c>
    </row>
    <row r="9551" spans="1:2" x14ac:dyDescent="0.25">
      <c r="A9551" s="64" t="str">
        <f>HYPERLINK("http://www.twitter.com/imogen_negomi", "imogen_negomi")</f>
        <v>imogen_negomi</v>
      </c>
      <c r="B9551" s="65" t="s">
        <v>6899</v>
      </c>
    </row>
    <row r="9552" spans="1:2" x14ac:dyDescent="0.25">
      <c r="A9552" s="64" t="str">
        <f>HYPERLINK("http://www.twitter.com/BiltonLibrary", "BiltonLibrary")</f>
        <v>BiltonLibrary</v>
      </c>
      <c r="B9552" s="65" t="s">
        <v>2093</v>
      </c>
    </row>
    <row r="9553" spans="1:2" x14ac:dyDescent="0.25">
      <c r="A9553" s="64" t="str">
        <f>HYPERLINK("http://www.twitter.com/ClairePearse", "ClairePearse")</f>
        <v>ClairePearse</v>
      </c>
      <c r="B9553" s="65" t="s">
        <v>6900</v>
      </c>
    </row>
    <row r="9554" spans="1:2" x14ac:dyDescent="0.25">
      <c r="A9554" s="64" t="str">
        <f>HYPERLINK("http://www.twitter.com/LiamGarriock26", "LiamGarriock26")</f>
        <v>LiamGarriock26</v>
      </c>
      <c r="B9554" s="65" t="s">
        <v>487</v>
      </c>
    </row>
    <row r="9555" spans="1:2" x14ac:dyDescent="0.25">
      <c r="A9555" s="64" t="str">
        <f>HYPERLINK("http://www.twitter.com/LibrarySheila", "LibrarySheila")</f>
        <v>LibrarySheila</v>
      </c>
      <c r="B9555" s="65"/>
    </row>
    <row r="9556" spans="1:2" x14ac:dyDescent="0.25">
      <c r="A9556" s="64" t="str">
        <f>HYPERLINK("http://www.twitter.com/ca_howarth", "ca_howarth")</f>
        <v>ca_howarth</v>
      </c>
      <c r="B9556" s="65" t="s">
        <v>477</v>
      </c>
    </row>
    <row r="9557" spans="1:2" x14ac:dyDescent="0.25">
      <c r="A9557" s="64" t="str">
        <f>HYPERLINK("http://www.twitter.com/SimonJosephGray", "SimonJosephGray")</f>
        <v>SimonJosephGray</v>
      </c>
      <c r="B9557" s="65" t="s">
        <v>2213</v>
      </c>
    </row>
    <row r="9558" spans="1:2" x14ac:dyDescent="0.25">
      <c r="A9558" s="64" t="str">
        <f>HYPERLINK("http://www.twitter.com/jbartoy", "jbartoy")</f>
        <v>jbartoy</v>
      </c>
      <c r="B9558" s="65" t="s">
        <v>5156</v>
      </c>
    </row>
    <row r="9559" spans="1:2" x14ac:dyDescent="0.25">
      <c r="A9559" s="64" t="str">
        <f>HYPERLINK("http://www.twitter.com/judithattard", "judithattard")</f>
        <v>judithattard</v>
      </c>
      <c r="B9559" s="65" t="s">
        <v>6901</v>
      </c>
    </row>
    <row r="9560" spans="1:2" x14ac:dyDescent="0.25">
      <c r="A9560" s="64" t="str">
        <f>HYPERLINK("http://www.twitter.com/showthecrow", "showthecrow")</f>
        <v>showthecrow</v>
      </c>
      <c r="B9560" s="65" t="s">
        <v>1377</v>
      </c>
    </row>
    <row r="9561" spans="1:2" x14ac:dyDescent="0.25">
      <c r="A9561" s="64" t="str">
        <f>HYPERLINK("http://www.twitter.com/SeAscapeCEO", "SeAscapeCEO")</f>
        <v>SeAscapeCEO</v>
      </c>
      <c r="B9561" s="65" t="s">
        <v>6902</v>
      </c>
    </row>
    <row r="9562" spans="1:2" x14ac:dyDescent="0.25">
      <c r="A9562" s="64" t="str">
        <f>HYPERLINK("http://www.twitter.com/YDanceScotland", "YDanceScotland")</f>
        <v>YDanceScotland</v>
      </c>
      <c r="B9562" s="65" t="s">
        <v>517</v>
      </c>
    </row>
    <row r="9563" spans="1:2" x14ac:dyDescent="0.25">
      <c r="A9563" s="64" t="str">
        <f>HYPERLINK("http://www.twitter.com/JGlaisher", "JGlaisher")</f>
        <v>JGlaisher</v>
      </c>
      <c r="B9563" s="65" t="s">
        <v>36</v>
      </c>
    </row>
    <row r="9564" spans="1:2" x14ac:dyDescent="0.25">
      <c r="A9564" s="64" t="str">
        <f>HYPERLINK("http://www.twitter.com/Laragh13", "Laragh13")</f>
        <v>Laragh13</v>
      </c>
      <c r="B9564" s="65" t="s">
        <v>517</v>
      </c>
    </row>
    <row r="9565" spans="1:2" x14ac:dyDescent="0.25">
      <c r="A9565" s="64" t="str">
        <f>HYPERLINK("http://www.twitter.com/frasergrieve", "frasergrieve")</f>
        <v>frasergrieve</v>
      </c>
      <c r="B9565" s="65" t="s">
        <v>4023</v>
      </c>
    </row>
    <row r="9566" spans="1:2" x14ac:dyDescent="0.25">
      <c r="A9566" s="64" t="str">
        <f>HYPERLINK("http://www.twitter.com/Leigh_Dunbar", "Leigh_Dunbar")</f>
        <v>Leigh_Dunbar</v>
      </c>
      <c r="B9566" s="65" t="s">
        <v>4501</v>
      </c>
    </row>
    <row r="9567" spans="1:2" x14ac:dyDescent="0.25">
      <c r="A9567" s="64" t="str">
        <f>HYPERLINK("http://www.twitter.com/GailyM_44", "GailyM_44")</f>
        <v>GailyM_44</v>
      </c>
      <c r="B9567" s="65" t="s">
        <v>6903</v>
      </c>
    </row>
    <row r="9568" spans="1:2" x14ac:dyDescent="0.25">
      <c r="A9568" s="64" t="str">
        <f>HYPERLINK("http://www.twitter.com/angusalive", "angusalive")</f>
        <v>angusalive</v>
      </c>
      <c r="B9568" s="65" t="s">
        <v>5822</v>
      </c>
    </row>
    <row r="9569" spans="1:2" x14ac:dyDescent="0.25">
      <c r="A9569" s="64" t="str">
        <f>HYPERLINK("http://www.twitter.com/Ally_Lemon", "Ally_Lemon")</f>
        <v>Ally_Lemon</v>
      </c>
      <c r="B9569" s="65" t="s">
        <v>4092</v>
      </c>
    </row>
    <row r="9570" spans="1:2" x14ac:dyDescent="0.25">
      <c r="A9570" s="64" t="str">
        <f>HYPERLINK("http://www.twitter.com/ErinBlairWrites", "ErinBlairWrites")</f>
        <v>ErinBlairWrites</v>
      </c>
      <c r="B9570" s="65" t="s">
        <v>33</v>
      </c>
    </row>
    <row r="9571" spans="1:2" x14ac:dyDescent="0.25">
      <c r="A9571" s="64" t="str">
        <f>HYPERLINK("http://www.twitter.com/ScentedForager", "ScentedForager")</f>
        <v>ScentedForager</v>
      </c>
      <c r="B9571" s="65" t="s">
        <v>6904</v>
      </c>
    </row>
    <row r="9572" spans="1:2" x14ac:dyDescent="0.25">
      <c r="A9572" s="64" t="str">
        <f>HYPERLINK("http://www.twitter.com/bishopglibrary", "bishopglibrary")</f>
        <v>bishopglibrary</v>
      </c>
      <c r="B9572" s="65" t="s">
        <v>2142</v>
      </c>
    </row>
    <row r="9573" spans="1:2" x14ac:dyDescent="0.25">
      <c r="A9573" s="64" t="str">
        <f>HYPERLINK("http://www.twitter.com/badpenny111", "badpenny111")</f>
        <v>badpenny111</v>
      </c>
      <c r="B9573" s="65"/>
    </row>
    <row r="9574" spans="1:2" x14ac:dyDescent="0.25">
      <c r="A9574" s="64" t="str">
        <f>HYPERLINK("http://www.twitter.com/gwynn255", "gwynn255")</f>
        <v>gwynn255</v>
      </c>
      <c r="B9574" s="65" t="s">
        <v>6905</v>
      </c>
    </row>
    <row r="9575" spans="1:2" x14ac:dyDescent="0.25">
      <c r="A9575" s="64" t="str">
        <f>HYPERLINK("http://www.twitter.com/ElizabethLovatt", "ElizabethLovatt")</f>
        <v>ElizabethLovatt</v>
      </c>
      <c r="B9575" s="65" t="s">
        <v>36</v>
      </c>
    </row>
    <row r="9576" spans="1:2" x14ac:dyDescent="0.25">
      <c r="A9576" s="64" t="str">
        <f>HYPERLINK("http://www.twitter.com/TalkSport7777", "TalkSport7777")</f>
        <v>TalkSport7777</v>
      </c>
      <c r="B9576" s="65" t="s">
        <v>6906</v>
      </c>
    </row>
    <row r="9577" spans="1:2" x14ac:dyDescent="0.25">
      <c r="A9577" s="64" t="str">
        <f>HYPERLINK("http://www.twitter.com/DLeniuk", "DLeniuk")</f>
        <v>DLeniuk</v>
      </c>
      <c r="B9577" s="65" t="s">
        <v>6907</v>
      </c>
    </row>
    <row r="9578" spans="1:2" x14ac:dyDescent="0.25">
      <c r="A9578" s="64" t="str">
        <f>HYPERLINK("http://www.twitter.com/inquirylibrary", "inquirylibrary")</f>
        <v>inquirylibrary</v>
      </c>
      <c r="B9578" s="65"/>
    </row>
    <row r="9579" spans="1:2" x14ac:dyDescent="0.25">
      <c r="A9579" s="64" t="str">
        <f>HYPERLINK("http://www.twitter.com/rose_mcdonagh", "rose_mcdonagh")</f>
        <v>rose_mcdonagh</v>
      </c>
      <c r="B9579" s="65" t="s">
        <v>487</v>
      </c>
    </row>
    <row r="9580" spans="1:2" x14ac:dyDescent="0.25">
      <c r="A9580" s="64" t="str">
        <f>HYPERLINK("http://www.twitter.com/Hazeley6th", "Hazeley6th")</f>
        <v>Hazeley6th</v>
      </c>
      <c r="B9580" s="65" t="s">
        <v>6101</v>
      </c>
    </row>
    <row r="9581" spans="1:2" x14ac:dyDescent="0.25">
      <c r="A9581" s="64" t="str">
        <f>HYPERLINK("http://www.twitter.com/unwritering", "unwritering")</f>
        <v>unwritering</v>
      </c>
      <c r="B9581" s="65"/>
    </row>
    <row r="9582" spans="1:2" x14ac:dyDescent="0.25">
      <c r="A9582" s="64" t="str">
        <f>HYPERLINK("http://www.twitter.com/BlueRunOfficial", "BlueRunOfficial")</f>
        <v>BlueRunOfficial</v>
      </c>
      <c r="B9582" s="65"/>
    </row>
    <row r="9583" spans="1:2" x14ac:dyDescent="0.25">
      <c r="A9583" s="64" t="str">
        <f>HYPERLINK("http://www.twitter.com/_ChloeGreen_", "_ChloeGreen_")</f>
        <v>_ChloeGreen_</v>
      </c>
      <c r="B9583" s="65" t="s">
        <v>36</v>
      </c>
    </row>
    <row r="9584" spans="1:2" x14ac:dyDescent="0.25">
      <c r="A9584" s="64" t="str">
        <f>HYPERLINK("http://www.twitter.com/naina_bajekal", "naina_bajekal")</f>
        <v>naina_bajekal</v>
      </c>
      <c r="B9584" s="65" t="s">
        <v>36</v>
      </c>
    </row>
    <row r="9585" spans="1:2" x14ac:dyDescent="0.25">
      <c r="A9585" s="64" t="str">
        <f>HYPERLINK("http://www.twitter.com/headinabook22", "headinabook22")</f>
        <v>headinabook22</v>
      </c>
      <c r="B9585" s="65" t="s">
        <v>6908</v>
      </c>
    </row>
    <row r="9586" spans="1:2" x14ac:dyDescent="0.25">
      <c r="A9586" s="64" t="str">
        <f>HYPERLINK("http://www.twitter.com/AdamsLaura", "AdamsLaura")</f>
        <v>AdamsLaura</v>
      </c>
      <c r="B9586" s="65" t="s">
        <v>36</v>
      </c>
    </row>
    <row r="9587" spans="1:2" x14ac:dyDescent="0.25">
      <c r="A9587" s="64" t="str">
        <f>HYPERLINK("http://www.twitter.com/Growsbeak", "Growsbeak")</f>
        <v>Growsbeak</v>
      </c>
      <c r="B9587" s="65" t="s">
        <v>6909</v>
      </c>
    </row>
    <row r="9588" spans="1:2" x14ac:dyDescent="0.25">
      <c r="A9588" s="64" t="str">
        <f>HYPERLINK("http://www.twitter.com/KrystalVittles", "KrystalVittles")</f>
        <v>KrystalVittles</v>
      </c>
      <c r="B9588" s="65" t="s">
        <v>4409</v>
      </c>
    </row>
    <row r="9589" spans="1:2" x14ac:dyDescent="0.25">
      <c r="A9589" s="64" t="str">
        <f>HYPERLINK("http://www.twitter.com/MarvelG33k", "MarvelG33k")</f>
        <v>MarvelG33k</v>
      </c>
      <c r="B9589" s="65" t="s">
        <v>6910</v>
      </c>
    </row>
    <row r="9590" spans="1:2" x14ac:dyDescent="0.25">
      <c r="A9590" s="64" t="str">
        <f>HYPERLINK("http://www.twitter.com/Oddsansods", "Oddsansods")</f>
        <v>Oddsansods</v>
      </c>
      <c r="B9590" s="65"/>
    </row>
    <row r="9591" spans="1:2" x14ac:dyDescent="0.25">
      <c r="A9591" s="64" t="str">
        <f>HYPERLINK("http://www.twitter.com/lalsoommen", "lalsoommen")</f>
        <v>lalsoommen</v>
      </c>
      <c r="B9591" s="65" t="s">
        <v>36</v>
      </c>
    </row>
    <row r="9592" spans="1:2" x14ac:dyDescent="0.25">
      <c r="A9592" s="64" t="str">
        <f>HYPERLINK("http://www.twitter.com/AlexLandAuthor", "AlexLandAuthor")</f>
        <v>AlexLandAuthor</v>
      </c>
      <c r="B9592" s="65" t="s">
        <v>70</v>
      </c>
    </row>
    <row r="9593" spans="1:2" x14ac:dyDescent="0.25">
      <c r="A9593" s="64" t="str">
        <f>HYPERLINK("http://www.twitter.com/MyJoybird", "MyJoybird")</f>
        <v>MyJoybird</v>
      </c>
      <c r="B9593" s="65" t="s">
        <v>2007</v>
      </c>
    </row>
    <row r="9594" spans="1:2" x14ac:dyDescent="0.25">
      <c r="A9594" s="64" t="str">
        <f>HYPERLINK("http://www.twitter.com/ajfizzypop", "ajfizzypop")</f>
        <v>ajfizzypop</v>
      </c>
      <c r="B9594" s="65"/>
    </row>
    <row r="9595" spans="1:2" x14ac:dyDescent="0.25">
      <c r="A9595" s="64" t="str">
        <f>HYPERLINK("http://www.twitter.com/LaurenBauman4", "LaurenBauman4")</f>
        <v>LaurenBauman4</v>
      </c>
      <c r="B9595" s="65" t="s">
        <v>110</v>
      </c>
    </row>
    <row r="9596" spans="1:2" x14ac:dyDescent="0.25">
      <c r="A9596" s="64" t="str">
        <f>HYPERLINK("http://www.twitter.com/MissBissettEng", "MissBissettEng")</f>
        <v>MissBissettEng</v>
      </c>
      <c r="B9596" s="65" t="s">
        <v>4895</v>
      </c>
    </row>
    <row r="9597" spans="1:2" x14ac:dyDescent="0.25">
      <c r="A9597" s="64" t="str">
        <f>HYPERLINK("http://www.twitter.com/christobelfox", "christobelfox")</f>
        <v>christobelfox</v>
      </c>
      <c r="B9597" s="65" t="s">
        <v>6911</v>
      </c>
    </row>
    <row r="9598" spans="1:2" x14ac:dyDescent="0.25">
      <c r="A9598" s="64" t="str">
        <f>HYPERLINK("http://www.twitter.com/Annie_Beez", "Annie_Beez")</f>
        <v>Annie_Beez</v>
      </c>
      <c r="B9598" s="65" t="s">
        <v>36</v>
      </c>
    </row>
    <row r="9599" spans="1:2" x14ac:dyDescent="0.25">
      <c r="A9599" s="64" t="str">
        <f>HYPERLINK("http://www.twitter.com/ven_rez", "ven_rez")</f>
        <v>ven_rez</v>
      </c>
      <c r="B9599" s="65" t="s">
        <v>6912</v>
      </c>
    </row>
    <row r="9600" spans="1:2" x14ac:dyDescent="0.25">
      <c r="A9600" s="64" t="str">
        <f>HYPERLINK("http://www.twitter.com/nuttyscot", "nuttyscot")</f>
        <v>nuttyscot</v>
      </c>
      <c r="B9600" s="65" t="s">
        <v>6913</v>
      </c>
    </row>
    <row r="9601" spans="1:2" x14ac:dyDescent="0.25">
      <c r="A9601" s="64" t="str">
        <f>HYPERLINK("http://www.twitter.com/Boadicea_22", "Boadicea_22")</f>
        <v>Boadicea_22</v>
      </c>
      <c r="B9601" s="65"/>
    </row>
    <row r="9602" spans="1:2" x14ac:dyDescent="0.25">
      <c r="A9602" s="64" t="str">
        <f>HYPERLINK("http://www.twitter.com/nellerobs", "nellerobs")</f>
        <v>nellerobs</v>
      </c>
      <c r="B9602" s="65" t="s">
        <v>6914</v>
      </c>
    </row>
    <row r="9603" spans="1:2" x14ac:dyDescent="0.25">
      <c r="A9603" s="64" t="str">
        <f>HYPERLINK("http://www.twitter.com/hist_adventures", "hist_adventures")</f>
        <v>hist_adventures</v>
      </c>
      <c r="B9603" s="65" t="s">
        <v>138</v>
      </c>
    </row>
    <row r="9604" spans="1:2" x14ac:dyDescent="0.25">
      <c r="A9604" s="64" t="str">
        <f>HYPERLINK("http://www.twitter.com/KitchenFoodsUK", "KitchenFoodsUK")</f>
        <v>KitchenFoodsUK</v>
      </c>
      <c r="B9604" s="65" t="s">
        <v>6915</v>
      </c>
    </row>
    <row r="9605" spans="1:2" x14ac:dyDescent="0.25">
      <c r="A9605" s="64" t="str">
        <f>HYPERLINK("http://www.twitter.com/lucindahoose", "lucindahoose")</f>
        <v>lucindahoose</v>
      </c>
      <c r="B9605" s="65"/>
    </row>
    <row r="9606" spans="1:2" x14ac:dyDescent="0.25">
      <c r="A9606" s="64" t="str">
        <f>HYPERLINK("http://www.twitter.com/Pampamddd", "Pampamddd")</f>
        <v>Pampamddd</v>
      </c>
      <c r="B9606" s="65"/>
    </row>
    <row r="9607" spans="1:2" x14ac:dyDescent="0.25">
      <c r="A9607" s="64" t="str">
        <f>HYPERLINK("http://www.twitter.com/littleclarestar", "littleclarestar")</f>
        <v>littleclarestar</v>
      </c>
      <c r="B9607" s="65" t="s">
        <v>6916</v>
      </c>
    </row>
    <row r="9608" spans="1:2" x14ac:dyDescent="0.25">
      <c r="A9608" s="64" t="str">
        <f>HYPERLINK("http://www.twitter.com/MrsCherian", "MrsCherian")</f>
        <v>MrsCherian</v>
      </c>
      <c r="B9608" s="65" t="s">
        <v>6917</v>
      </c>
    </row>
    <row r="9609" spans="1:2" x14ac:dyDescent="0.25">
      <c r="A9609" s="64" t="str">
        <f>HYPERLINK("http://www.twitter.com/DrOSHA_ID", "DrOSHA_ID")</f>
        <v>DrOSHA_ID</v>
      </c>
      <c r="B9609" s="65" t="s">
        <v>5563</v>
      </c>
    </row>
    <row r="9610" spans="1:2" x14ac:dyDescent="0.25">
      <c r="A9610" s="64" t="str">
        <f>HYPERLINK("http://www.twitter.com/AvrilLuke", "AvrilLuke")</f>
        <v>AvrilLuke</v>
      </c>
      <c r="B9610" s="65"/>
    </row>
    <row r="9611" spans="1:2" x14ac:dyDescent="0.25">
      <c r="A9611" s="64" t="str">
        <f>HYPERLINK("http://www.twitter.com/RedThreadBooks", "RedThreadBooks")</f>
        <v>RedThreadBooks</v>
      </c>
      <c r="B9611" s="65" t="s">
        <v>6918</v>
      </c>
    </row>
    <row r="9612" spans="1:2" x14ac:dyDescent="0.25">
      <c r="A9612" s="64" t="str">
        <f>HYPERLINK("http://www.twitter.com/lacorkish", "lacorkish")</f>
        <v>lacorkish</v>
      </c>
      <c r="B9612" s="65"/>
    </row>
    <row r="9613" spans="1:2" x14ac:dyDescent="0.25">
      <c r="A9613" s="64" t="str">
        <f>HYPERLINK("http://www.twitter.com/BilldaceAndrew", "BilldaceAndrew")</f>
        <v>BilldaceAndrew</v>
      </c>
      <c r="B9613" s="65"/>
    </row>
    <row r="9614" spans="1:2" x14ac:dyDescent="0.25">
      <c r="A9614" s="64" t="str">
        <f>HYPERLINK("http://www.twitter.com/juobrien007", "juobrien007")</f>
        <v>juobrien007</v>
      </c>
      <c r="B9614" s="65"/>
    </row>
    <row r="9615" spans="1:2" x14ac:dyDescent="0.25">
      <c r="A9615" s="64" t="str">
        <f>HYPERLINK("http://www.twitter.com/SwearyLady", "SwearyLady")</f>
        <v>SwearyLady</v>
      </c>
      <c r="B9615" s="65" t="s">
        <v>6919</v>
      </c>
    </row>
    <row r="9616" spans="1:2" x14ac:dyDescent="0.25">
      <c r="A9616" s="64" t="str">
        <f>HYPERLINK("http://www.twitter.com/MagiMagi75", "MagiMagi75")</f>
        <v>MagiMagi75</v>
      </c>
      <c r="B9616" s="65"/>
    </row>
    <row r="9617" spans="1:2" x14ac:dyDescent="0.25">
      <c r="A9617" s="64" t="str">
        <f>HYPERLINK("http://www.twitter.com/KirstyAtMoC", "KirstyAtMoC")</f>
        <v>KirstyAtMoC</v>
      </c>
      <c r="B9617" s="65" t="s">
        <v>6920</v>
      </c>
    </row>
    <row r="9618" spans="1:2" x14ac:dyDescent="0.25">
      <c r="A9618" s="64" t="str">
        <f>HYPERLINK("http://www.twitter.com/apsenews", "apsenews")</f>
        <v>apsenews</v>
      </c>
      <c r="B9618" s="65" t="s">
        <v>2289</v>
      </c>
    </row>
    <row r="9619" spans="1:2" x14ac:dyDescent="0.25">
      <c r="A9619" s="64" t="str">
        <f>HYPERLINK("http://www.twitter.com/littlefec", "littlefec")</f>
        <v>littlefec</v>
      </c>
      <c r="B9619" s="65" t="s">
        <v>3978</v>
      </c>
    </row>
    <row r="9620" spans="1:2" x14ac:dyDescent="0.25">
      <c r="A9620" s="64" t="str">
        <f>HYPERLINK("http://www.twitter.com/UoA_LLMVC", "UoA_LLMVC")</f>
        <v>UoA_LLMVC</v>
      </c>
      <c r="B9620" s="65" t="s">
        <v>569</v>
      </c>
    </row>
    <row r="9621" spans="1:2" x14ac:dyDescent="0.25">
      <c r="A9621" s="64" t="str">
        <f>HYPERLINK("http://www.twitter.com/grlhereandthere", "grlhereandthere")</f>
        <v>grlhereandthere</v>
      </c>
      <c r="B9621" s="65" t="s">
        <v>318</v>
      </c>
    </row>
    <row r="9622" spans="1:2" x14ac:dyDescent="0.25">
      <c r="A9622" s="64" t="str">
        <f>HYPERLINK("http://www.twitter.com/rufus_", "rufus_")</f>
        <v>rufus_</v>
      </c>
      <c r="B9622" s="65" t="s">
        <v>6921</v>
      </c>
    </row>
    <row r="9623" spans="1:2" x14ac:dyDescent="0.25">
      <c r="A9623" s="64" t="str">
        <f>HYPERLINK("http://www.twitter.com/_elHo", "_elHo")</f>
        <v>_elHo</v>
      </c>
      <c r="B9623" s="65" t="s">
        <v>24</v>
      </c>
    </row>
    <row r="9624" spans="1:2" x14ac:dyDescent="0.25">
      <c r="A9624" s="64" t="str">
        <f>HYPERLINK("http://www.twitter.com/kfnagle", "kfnagle")</f>
        <v>kfnagle</v>
      </c>
      <c r="B9624" s="65" t="s">
        <v>4522</v>
      </c>
    </row>
    <row r="9625" spans="1:2" x14ac:dyDescent="0.25">
      <c r="A9625" s="64" t="str">
        <f>HYPERLINK("http://www.twitter.com/jlib", "jlib")</f>
        <v>jlib</v>
      </c>
      <c r="B9625" s="65" t="s">
        <v>6922</v>
      </c>
    </row>
    <row r="9626" spans="1:2" x14ac:dyDescent="0.25">
      <c r="A9626" s="64" t="str">
        <f>HYPERLINK("http://www.twitter.com/AislingTax", "AislingTax")</f>
        <v>AislingTax</v>
      </c>
      <c r="B9626" s="65"/>
    </row>
    <row r="9627" spans="1:2" x14ac:dyDescent="0.25">
      <c r="A9627" s="64" t="str">
        <f>HYPERLINK("http://www.twitter.com/TashaBatsford", "TashaBatsford")</f>
        <v>TashaBatsford</v>
      </c>
      <c r="B9627" s="65" t="s">
        <v>4436</v>
      </c>
    </row>
    <row r="9628" spans="1:2" x14ac:dyDescent="0.25">
      <c r="A9628" s="64" t="str">
        <f>HYPERLINK("http://www.twitter.com/Chloe_Flett15", "Chloe_Flett15")</f>
        <v>Chloe_Flett15</v>
      </c>
      <c r="B9628" s="65"/>
    </row>
    <row r="9629" spans="1:2" x14ac:dyDescent="0.25">
      <c r="A9629" s="64" t="str">
        <f>HYPERLINK("http://www.twitter.com/wjollmusic", "wjollmusic")</f>
        <v>wjollmusic</v>
      </c>
      <c r="B9629" s="65" t="s">
        <v>6923</v>
      </c>
    </row>
    <row r="9630" spans="1:2" x14ac:dyDescent="0.25">
      <c r="A9630" s="64" t="str">
        <f>HYPERLINK("http://www.twitter.com/weealvee", "weealvee")</f>
        <v>weealvee</v>
      </c>
      <c r="B9630" s="65" t="s">
        <v>6924</v>
      </c>
    </row>
    <row r="9631" spans="1:2" x14ac:dyDescent="0.25">
      <c r="A9631" s="64" t="str">
        <f>HYPERLINK("http://www.twitter.com/Shaun_the_cunt", "Shaun_the_cunt")</f>
        <v>Shaun_the_cunt</v>
      </c>
      <c r="B9631" s="65"/>
    </row>
    <row r="9632" spans="1:2" x14ac:dyDescent="0.25">
      <c r="A9632" s="64" t="str">
        <f>HYPERLINK("http://www.twitter.com/RCAFC1903", "RCAFC1903")</f>
        <v>RCAFC1903</v>
      </c>
      <c r="B9632" s="65" t="s">
        <v>6925</v>
      </c>
    </row>
    <row r="9633" spans="1:2" x14ac:dyDescent="0.25">
      <c r="A9633" s="64" t="str">
        <f>HYPERLINK("http://www.twitter.com/phrdy", "phrdy")</f>
        <v>phrdy</v>
      </c>
      <c r="B9633" s="65" t="s">
        <v>6926</v>
      </c>
    </row>
    <row r="9634" spans="1:2" x14ac:dyDescent="0.25">
      <c r="A9634" s="64" t="str">
        <f>HYPERLINK("http://www.twitter.com/MoralFibres", "MoralFibres")</f>
        <v>MoralFibres</v>
      </c>
      <c r="B9634" s="65" t="s">
        <v>24</v>
      </c>
    </row>
    <row r="9635" spans="1:2" x14ac:dyDescent="0.25">
      <c r="A9635" s="64" t="str">
        <f>HYPERLINK("http://www.twitter.com/nafascool77", "nafascool77")</f>
        <v>nafascool77</v>
      </c>
      <c r="B9635" s="65"/>
    </row>
    <row r="9636" spans="1:2" x14ac:dyDescent="0.25">
      <c r="A9636" s="64" t="str">
        <f>HYPERLINK("http://www.twitter.com/adrian_zebib", "adrian_zebib")</f>
        <v>adrian_zebib</v>
      </c>
      <c r="B9636" s="65"/>
    </row>
    <row r="9637" spans="1:2" x14ac:dyDescent="0.25">
      <c r="A9637" s="64" t="str">
        <f>HYPERLINK("http://www.twitter.com/miltonmichael", "miltonmichael")</f>
        <v>miltonmichael</v>
      </c>
      <c r="B9637" s="65" t="s">
        <v>70</v>
      </c>
    </row>
    <row r="9638" spans="1:2" x14ac:dyDescent="0.25">
      <c r="A9638" s="64" t="str">
        <f>HYPERLINK("http://www.twitter.com/heresjonnyjames", "heresjonnyjames")</f>
        <v>heresjonnyjames</v>
      </c>
      <c r="B9638" s="65" t="s">
        <v>3778</v>
      </c>
    </row>
    <row r="9639" spans="1:2" x14ac:dyDescent="0.25">
      <c r="A9639" s="64" t="str">
        <f>HYPERLINK("http://www.twitter.com/mentionthewar", "mentionthewar")</f>
        <v>mentionthewar</v>
      </c>
      <c r="B9639" s="65" t="s">
        <v>110</v>
      </c>
    </row>
    <row r="9640" spans="1:2" x14ac:dyDescent="0.25">
      <c r="A9640" s="64" t="str">
        <f>HYPERLINK("http://www.twitter.com/Dozy_Duck", "Dozy_Duck")</f>
        <v>Dozy_Duck</v>
      </c>
      <c r="B9640" s="65"/>
    </row>
    <row r="9641" spans="1:2" x14ac:dyDescent="0.25">
      <c r="A9641" s="64" t="str">
        <f>HYPERLINK("http://www.twitter.com/korbanblakereal", "korbanblakereal")</f>
        <v>korbanblakereal</v>
      </c>
      <c r="B9641" s="65" t="s">
        <v>6927</v>
      </c>
    </row>
    <row r="9642" spans="1:2" x14ac:dyDescent="0.25">
      <c r="A9642" s="64" t="str">
        <f>HYPERLINK("http://www.twitter.com/HobartRuth", "HobartRuth")</f>
        <v>HobartRuth</v>
      </c>
      <c r="B9642" s="65" t="s">
        <v>3949</v>
      </c>
    </row>
    <row r="9643" spans="1:2" x14ac:dyDescent="0.25">
      <c r="A9643" s="64" t="str">
        <f>HYPERLINK("http://www.twitter.com/patstokes", "patstokes")</f>
        <v>patstokes</v>
      </c>
      <c r="B9643" s="65" t="s">
        <v>4147</v>
      </c>
    </row>
    <row r="9644" spans="1:2" x14ac:dyDescent="0.25">
      <c r="A9644" s="64" t="str">
        <f>HYPERLINK("http://www.twitter.com/Amy_CKing1", "Amy_CKing1")</f>
        <v>Amy_CKing1</v>
      </c>
      <c r="B9644" s="65" t="s">
        <v>487</v>
      </c>
    </row>
    <row r="9645" spans="1:2" x14ac:dyDescent="0.25">
      <c r="A9645" s="64" t="str">
        <f>HYPERLINK("http://www.twitter.com/YurGames", "YurGames")</f>
        <v>YurGames</v>
      </c>
      <c r="B9645" s="65" t="s">
        <v>296</v>
      </c>
    </row>
    <row r="9646" spans="1:2" x14ac:dyDescent="0.25">
      <c r="A9646" s="64" t="str">
        <f>HYPERLINK("http://www.twitter.com/surelysarah", "surelysarah")</f>
        <v>surelysarah</v>
      </c>
      <c r="B9646" s="65" t="s">
        <v>1479</v>
      </c>
    </row>
    <row r="9647" spans="1:2" x14ac:dyDescent="0.25">
      <c r="A9647" s="64" t="str">
        <f>HYPERLINK("http://www.twitter.com/LordsfieldSwim1", "LordsfieldSwim1")</f>
        <v>LordsfieldSwim1</v>
      </c>
      <c r="B9647" s="65" t="s">
        <v>6928</v>
      </c>
    </row>
    <row r="9648" spans="1:2" x14ac:dyDescent="0.25">
      <c r="A9648" s="64" t="str">
        <f>HYPERLINK("http://www.twitter.com/LibrarianLorna", "LibrarianLorna")</f>
        <v>LibrarianLorna</v>
      </c>
      <c r="B9648" s="65"/>
    </row>
    <row r="9649" spans="1:2" x14ac:dyDescent="0.25">
      <c r="A9649" s="64" t="str">
        <f>HYPERLINK("http://www.twitter.com/maggie01msn", "maggie01msn")</f>
        <v>maggie01msn</v>
      </c>
      <c r="B9649" s="65" t="s">
        <v>4241</v>
      </c>
    </row>
    <row r="9650" spans="1:2" x14ac:dyDescent="0.25">
      <c r="A9650" s="64" t="str">
        <f>HYPERLINK("http://www.twitter.com/nocraigs", "nocraigs")</f>
        <v>nocraigs</v>
      </c>
      <c r="B9650" s="65" t="s">
        <v>487</v>
      </c>
    </row>
    <row r="9651" spans="1:2" x14ac:dyDescent="0.25">
      <c r="A9651" s="64" t="str">
        <f>HYPERLINK("http://www.twitter.com/niska65", "niska65")</f>
        <v>niska65</v>
      </c>
      <c r="B9651" s="65"/>
    </row>
    <row r="9652" spans="1:2" x14ac:dyDescent="0.25">
      <c r="A9652" s="64" t="str">
        <f>HYPERLINK("http://www.twitter.com/arendse", "arendse")</f>
        <v>arendse</v>
      </c>
      <c r="B9652" s="65"/>
    </row>
    <row r="9653" spans="1:2" x14ac:dyDescent="0.25">
      <c r="A9653" s="64" t="str">
        <f>HYPERLINK("http://www.twitter.com/alicewyllie", "alicewyllie")</f>
        <v>alicewyllie</v>
      </c>
      <c r="B9653" s="65"/>
    </row>
    <row r="9654" spans="1:2" x14ac:dyDescent="0.25">
      <c r="A9654" s="64" t="str">
        <f>HYPERLINK("http://www.twitter.com/AKGMurray", "AKGMurray")</f>
        <v>AKGMurray</v>
      </c>
      <c r="B9654" s="65" t="s">
        <v>6929</v>
      </c>
    </row>
    <row r="9655" spans="1:2" x14ac:dyDescent="0.25">
      <c r="A9655" s="64" t="str">
        <f>HYPERLINK("http://www.twitter.com/HowToBeHappy89", "HowToBeHappy89")</f>
        <v>HowToBeHappy89</v>
      </c>
      <c r="B9655" s="65" t="s">
        <v>487</v>
      </c>
    </row>
    <row r="9656" spans="1:2" x14ac:dyDescent="0.25">
      <c r="A9656" s="64" t="str">
        <f>HYPERLINK("http://www.twitter.com/vestachowmein", "vestachowmein")</f>
        <v>vestachowmein</v>
      </c>
      <c r="B9656" s="65"/>
    </row>
    <row r="9657" spans="1:2" x14ac:dyDescent="0.25">
      <c r="A9657" s="64" t="str">
        <f>HYPERLINK("http://www.twitter.com/sarahxgilbert", "sarahxgilbert")</f>
        <v>sarahxgilbert</v>
      </c>
      <c r="B9657" s="65" t="s">
        <v>1490</v>
      </c>
    </row>
    <row r="9658" spans="1:2" x14ac:dyDescent="0.25">
      <c r="A9658" s="64" t="str">
        <f>HYPERLINK("http://www.twitter.com/bedwyr79", "bedwyr79")</f>
        <v>bedwyr79</v>
      </c>
      <c r="B9658" s="65"/>
    </row>
    <row r="9659" spans="1:2" x14ac:dyDescent="0.25">
      <c r="A9659" s="64" t="str">
        <f>HYPERLINK("http://www.twitter.com/AxiellUK", "AxiellUK")</f>
        <v>AxiellUK</v>
      </c>
      <c r="B9659" s="65" t="s">
        <v>70</v>
      </c>
    </row>
    <row r="9660" spans="1:2" x14ac:dyDescent="0.25">
      <c r="A9660" s="64" t="str">
        <f>HYPERLINK("http://www.twitter.com/chaletschoolfan", "chaletschoolfan")</f>
        <v>chaletschoolfan</v>
      </c>
      <c r="B9660" s="65"/>
    </row>
    <row r="9661" spans="1:2" x14ac:dyDescent="0.25">
      <c r="A9661" s="64" t="str">
        <f>HYPERLINK("http://www.twitter.com/SallyKellas", "SallyKellas")</f>
        <v>SallyKellas</v>
      </c>
      <c r="B9661" s="65" t="s">
        <v>318</v>
      </c>
    </row>
    <row r="9662" spans="1:2" x14ac:dyDescent="0.25">
      <c r="A9662" s="64" t="str">
        <f>HYPERLINK("http://www.twitter.com/PEUGEOT_4874850", "PEUGEOT_4874850")</f>
        <v>PEUGEOT_4874850</v>
      </c>
      <c r="B9662" s="65" t="s">
        <v>6930</v>
      </c>
    </row>
    <row r="9663" spans="1:2" x14ac:dyDescent="0.25">
      <c r="A9663" s="64" t="str">
        <f>HYPERLINK("http://www.twitter.com/VeronicaDenhol", "VeronicaDenhol")</f>
        <v>VeronicaDenhol</v>
      </c>
      <c r="B9663" s="65"/>
    </row>
    <row r="9664" spans="1:2" x14ac:dyDescent="0.25">
      <c r="A9664" s="64" t="str">
        <f>HYPERLINK("http://www.twitter.com/abdulbaseeeru", "abdulbaseeeru")</f>
        <v>abdulbaseeeru</v>
      </c>
      <c r="B9664" s="65"/>
    </row>
    <row r="9665" spans="1:2" x14ac:dyDescent="0.25">
      <c r="A9665" s="64" t="str">
        <f>HYPERLINK("http://www.twitter.com/silviaro7", "silviaro7")</f>
        <v>silviaro7</v>
      </c>
      <c r="B9665" s="65" t="s">
        <v>477</v>
      </c>
    </row>
    <row r="9666" spans="1:2" x14ac:dyDescent="0.25">
      <c r="A9666" s="64" t="str">
        <f>HYPERLINK("http://www.twitter.com/TomGraddon89", "TomGraddon89")</f>
        <v>TomGraddon89</v>
      </c>
      <c r="B9666" s="65" t="s">
        <v>883</v>
      </c>
    </row>
    <row r="9667" spans="1:2" x14ac:dyDescent="0.25">
      <c r="A9667" s="64" t="str">
        <f>HYPERLINK("http://www.twitter.com/tmhrtly", "tmhrtly")</f>
        <v>tmhrtly</v>
      </c>
      <c r="B9667" s="65" t="s">
        <v>6931</v>
      </c>
    </row>
    <row r="9668" spans="1:2" x14ac:dyDescent="0.25">
      <c r="A9668" s="64" t="str">
        <f>HYPERLINK("http://www.twitter.com/victorialatona", "victorialatona")</f>
        <v>victorialatona</v>
      </c>
      <c r="B9668" s="65" t="s">
        <v>6932</v>
      </c>
    </row>
    <row r="9669" spans="1:2" x14ac:dyDescent="0.25">
      <c r="A9669" s="64" t="str">
        <f>HYPERLINK("http://www.twitter.com/RecordOffice", "RecordOffice")</f>
        <v>RecordOffice</v>
      </c>
      <c r="B9669" s="65" t="s">
        <v>222</v>
      </c>
    </row>
    <row r="9670" spans="1:2" x14ac:dyDescent="0.25">
      <c r="A9670" s="64" t="str">
        <f>HYPERLINK("http://www.twitter.com/gabriellejames_", "gabriellejames_")</f>
        <v>gabriellejames_</v>
      </c>
      <c r="B9670" s="65" t="s">
        <v>6337</v>
      </c>
    </row>
    <row r="9671" spans="1:2" x14ac:dyDescent="0.25">
      <c r="A9671" s="64" t="str">
        <f>HYPERLINK("http://www.twitter.com/RPachecoRuizSea", "RPachecoRuizSea")</f>
        <v>RPachecoRuizSea</v>
      </c>
      <c r="B9671" s="65" t="s">
        <v>6933</v>
      </c>
    </row>
    <row r="9672" spans="1:2" x14ac:dyDescent="0.25">
      <c r="A9672" s="64" t="str">
        <f>HYPERLINK("http://www.twitter.com/phearaphai", "phearaphai")</f>
        <v>phearaphai</v>
      </c>
      <c r="B9672" s="65" t="s">
        <v>3797</v>
      </c>
    </row>
    <row r="9673" spans="1:2" x14ac:dyDescent="0.25">
      <c r="A9673" s="64" t="str">
        <f>HYPERLINK("http://www.twitter.com/CantThora", "CantThora")</f>
        <v>CantThora</v>
      </c>
      <c r="B9673" s="65"/>
    </row>
    <row r="9674" spans="1:2" x14ac:dyDescent="0.25">
      <c r="A9674" s="64" t="str">
        <f>HYPERLINK("http://www.twitter.com/RobertFindlay6", "RobertFindlay6")</f>
        <v>RobertFindlay6</v>
      </c>
      <c r="B9674" s="65" t="s">
        <v>6934</v>
      </c>
    </row>
    <row r="9675" spans="1:2" x14ac:dyDescent="0.25">
      <c r="A9675" s="64" t="str">
        <f>HYPERLINK("http://www.twitter.com/Topaztock", "Topaztock")</f>
        <v>Topaztock</v>
      </c>
      <c r="B9675" s="65" t="s">
        <v>6935</v>
      </c>
    </row>
    <row r="9676" spans="1:2" x14ac:dyDescent="0.25">
      <c r="A9676" s="64" t="str">
        <f>HYPERLINK("http://www.twitter.com/AlJaWa", "AlJaWa")</f>
        <v>AlJaWa</v>
      </c>
      <c r="B9676" s="65"/>
    </row>
    <row r="9677" spans="1:2" x14ac:dyDescent="0.25">
      <c r="A9677" s="64" t="str">
        <f>HYPERLINK("http://www.twitter.com/daviruss", "daviruss")</f>
        <v>daviruss</v>
      </c>
      <c r="B9677" s="65" t="s">
        <v>3529</v>
      </c>
    </row>
    <row r="9678" spans="1:2" x14ac:dyDescent="0.25">
      <c r="A9678" s="64" t="str">
        <f>HYPERLINK("http://www.twitter.com/BrownsBFS", "BrownsBFS")</f>
        <v>BrownsBFS</v>
      </c>
      <c r="B9678" s="65" t="s">
        <v>2951</v>
      </c>
    </row>
    <row r="9679" spans="1:2" x14ac:dyDescent="0.25">
      <c r="A9679" s="64" t="str">
        <f>HYPERLINK("http://www.twitter.com/adamfiddle", "adamfiddle")</f>
        <v>adamfiddle</v>
      </c>
      <c r="B9679" s="65" t="s">
        <v>517</v>
      </c>
    </row>
    <row r="9680" spans="1:2" x14ac:dyDescent="0.25">
      <c r="A9680" s="64" t="str">
        <f>HYPERLINK("http://www.twitter.com/DCLynneHaddock", "DCLynneHaddock")</f>
        <v>DCLynneHaddock</v>
      </c>
      <c r="B9680" s="65" t="s">
        <v>318</v>
      </c>
    </row>
    <row r="9681" spans="1:2" x14ac:dyDescent="0.25">
      <c r="A9681" s="64" t="str">
        <f>HYPERLINK("http://www.twitter.com/hayleyswift1", "hayleyswift1")</f>
        <v>hayleyswift1</v>
      </c>
      <c r="B9681" s="65"/>
    </row>
    <row r="9682" spans="1:2" x14ac:dyDescent="0.25">
      <c r="A9682" s="64" t="str">
        <f>HYPERLINK("http://www.twitter.com/natashafeiner", "natashafeiner")</f>
        <v>natashafeiner</v>
      </c>
      <c r="B9682" s="65" t="s">
        <v>6936</v>
      </c>
    </row>
    <row r="9683" spans="1:2" x14ac:dyDescent="0.25">
      <c r="A9683" s="64" t="str">
        <f>HYPERLINK("http://www.twitter.com/FilmXclusive", "FilmXclusive")</f>
        <v>FilmXclusive</v>
      </c>
      <c r="B9683" s="65" t="s">
        <v>3823</v>
      </c>
    </row>
    <row r="9684" spans="1:2" x14ac:dyDescent="0.25">
      <c r="A9684" s="64" t="str">
        <f>HYPERLINK("http://www.twitter.com/MaryWestview", "MaryWestview")</f>
        <v>MaryWestview</v>
      </c>
      <c r="B9684" s="65" t="s">
        <v>4239</v>
      </c>
    </row>
    <row r="9685" spans="1:2" x14ac:dyDescent="0.25">
      <c r="A9685" s="64" t="str">
        <f>HYPERLINK("http://www.twitter.com/panga73", "panga73")</f>
        <v>panga73</v>
      </c>
      <c r="B9685" s="65"/>
    </row>
    <row r="9686" spans="1:2" x14ac:dyDescent="0.25">
      <c r="A9686" s="64" t="str">
        <f>HYPERLINK("http://www.twitter.com/edrabinski", "edrabinski")</f>
        <v>edrabinski</v>
      </c>
      <c r="B9686" s="65" t="s">
        <v>6937</v>
      </c>
    </row>
    <row r="9687" spans="1:2" x14ac:dyDescent="0.25">
      <c r="A9687" s="64" t="str">
        <f>HYPERLINK("http://www.twitter.com/_AngelMitsukai", "_AngelMitsukai")</f>
        <v>_AngelMitsukai</v>
      </c>
      <c r="B9687" s="65" t="s">
        <v>3040</v>
      </c>
    </row>
    <row r="9688" spans="1:2" x14ac:dyDescent="0.25">
      <c r="A9688" s="64" t="str">
        <f>HYPERLINK("http://www.twitter.com/JTLib", "JTLib")</f>
        <v>JTLib</v>
      </c>
      <c r="B9688" s="65"/>
    </row>
    <row r="9689" spans="1:2" x14ac:dyDescent="0.25">
      <c r="A9689" s="64" t="str">
        <f>HYPERLINK("http://www.twitter.com/Egiap_2004", "Egiap_2004")</f>
        <v>Egiap_2004</v>
      </c>
      <c r="B9689" s="65" t="s">
        <v>4446</v>
      </c>
    </row>
    <row r="9690" spans="1:2" x14ac:dyDescent="0.25">
      <c r="A9690" s="64" t="str">
        <f>HYPERLINK("http://www.twitter.com/Mocko500", "Mocko500")</f>
        <v>Mocko500</v>
      </c>
      <c r="B9690" s="65"/>
    </row>
    <row r="9691" spans="1:2" x14ac:dyDescent="0.25">
      <c r="A9691" s="64" t="str">
        <f>HYPERLINK("http://www.twitter.com/ChristineHSharp", "ChristineHSharp")</f>
        <v>ChristineHSharp</v>
      </c>
      <c r="B9691" s="65"/>
    </row>
    <row r="9692" spans="1:2" x14ac:dyDescent="0.25">
      <c r="A9692" s="64" t="str">
        <f>HYPERLINK("http://www.twitter.com/aarond402", "aarond402")</f>
        <v>aarond402</v>
      </c>
      <c r="B9692" s="65" t="s">
        <v>2007</v>
      </c>
    </row>
    <row r="9693" spans="1:2" x14ac:dyDescent="0.25">
      <c r="A9693" s="64" t="str">
        <f>HYPERLINK("http://www.twitter.com/AyaAhmed127", "AyaAhmed127")</f>
        <v>AyaAhmed127</v>
      </c>
      <c r="B9693" s="65" t="s">
        <v>6938</v>
      </c>
    </row>
    <row r="9694" spans="1:2" x14ac:dyDescent="0.25">
      <c r="A9694" s="64" t="str">
        <f>HYPERLINK("http://www.twitter.com/macinnes_neil", "macinnes_neil")</f>
        <v>macinnes_neil</v>
      </c>
      <c r="B9694" s="65" t="s">
        <v>2289</v>
      </c>
    </row>
    <row r="9695" spans="1:2" x14ac:dyDescent="0.25">
      <c r="A9695" s="64" t="str">
        <f>HYPERLINK("http://www.twitter.com/treasuredthots", "treasuredthots")</f>
        <v>treasuredthots</v>
      </c>
      <c r="B9695" s="65" t="s">
        <v>6254</v>
      </c>
    </row>
    <row r="9696" spans="1:2" x14ac:dyDescent="0.25">
      <c r="A9696" s="64" t="str">
        <f>HYPERLINK("http://www.twitter.com/jamiedog62", "jamiedog62")</f>
        <v>jamiedog62</v>
      </c>
      <c r="B9696" s="65"/>
    </row>
    <row r="9697" spans="1:2" x14ac:dyDescent="0.25">
      <c r="A9697" s="64" t="str">
        <f>HYPERLINK("http://www.twitter.com/Gemma_Hadley", "Gemma_Hadley")</f>
        <v>Gemma_Hadley</v>
      </c>
      <c r="B9697" s="65" t="s">
        <v>6939</v>
      </c>
    </row>
    <row r="9698" spans="1:2" x14ac:dyDescent="0.25">
      <c r="A9698" s="64" t="str">
        <f>HYPERLINK("http://www.twitter.com/vivienhartley25", "vivienhartley25")</f>
        <v>vivienhartley25</v>
      </c>
      <c r="B9698" s="65" t="s">
        <v>6940</v>
      </c>
    </row>
    <row r="9699" spans="1:2" x14ac:dyDescent="0.25">
      <c r="A9699" s="64" t="str">
        <f>HYPERLINK("http://www.twitter.com/AodhanMcauley", "AodhanMcauley")</f>
        <v>AodhanMcauley</v>
      </c>
      <c r="B9699" s="65"/>
    </row>
    <row r="9700" spans="1:2" x14ac:dyDescent="0.25">
      <c r="A9700" s="64" t="str">
        <f>HYPERLINK("http://www.twitter.com/WorldJobExtra", "WorldJobExtra")</f>
        <v>WorldJobExtra</v>
      </c>
      <c r="B9700" s="65" t="s">
        <v>3797</v>
      </c>
    </row>
    <row r="9701" spans="1:2" x14ac:dyDescent="0.25">
      <c r="A9701" s="64" t="str">
        <f>HYPERLINK("http://www.twitter.com/FloraPainter", "FloraPainter")</f>
        <v>FloraPainter</v>
      </c>
      <c r="B9701" s="65" t="s">
        <v>6941</v>
      </c>
    </row>
    <row r="9702" spans="1:2" x14ac:dyDescent="0.25">
      <c r="A9702" s="64" t="str">
        <f>HYPERLINK("http://www.twitter.com/harriolkn", "harriolkn")</f>
        <v>harriolkn</v>
      </c>
      <c r="B9702" s="65" t="s">
        <v>6211</v>
      </c>
    </row>
    <row r="9703" spans="1:2" x14ac:dyDescent="0.25">
      <c r="A9703" s="64" t="str">
        <f>HYPERLINK("http://www.twitter.com/CS_Renfrewshire", "CS_Renfrewshire")</f>
        <v>CS_Renfrewshire</v>
      </c>
      <c r="B9703" s="65" t="s">
        <v>2007</v>
      </c>
    </row>
    <row r="9704" spans="1:2" x14ac:dyDescent="0.25">
      <c r="A9704" s="64" t="str">
        <f>HYPERLINK("http://www.twitter.com/SusannahLeake", "SusannahLeake")</f>
        <v>SusannahLeake</v>
      </c>
      <c r="B9704" s="65" t="s">
        <v>487</v>
      </c>
    </row>
    <row r="9705" spans="1:2" x14ac:dyDescent="0.25">
      <c r="A9705" s="64" t="str">
        <f>HYPERLINK("http://www.twitter.com/geo_workshop", "geo_workshop")</f>
        <v>geo_workshop</v>
      </c>
      <c r="B9705" s="65"/>
    </row>
    <row r="9706" spans="1:2" x14ac:dyDescent="0.25">
      <c r="A9706" s="64" t="str">
        <f>HYPERLINK("http://www.twitter.com/katya_pereyas", "katya_pereyas")</f>
        <v>katya_pereyas</v>
      </c>
      <c r="B9706" s="65" t="s">
        <v>6942</v>
      </c>
    </row>
    <row r="9707" spans="1:2" x14ac:dyDescent="0.25">
      <c r="A9707" s="64" t="str">
        <f>HYPERLINK("http://www.twitter.com/FestivalBeCause", "FestivalBeCause")</f>
        <v>FestivalBeCause</v>
      </c>
      <c r="B9707" s="65" t="s">
        <v>3785</v>
      </c>
    </row>
    <row r="9708" spans="1:2" x14ac:dyDescent="0.25">
      <c r="A9708" s="64" t="str">
        <f>HYPERLINK("http://www.twitter.com/PuffinBooks", "PuffinBooks")</f>
        <v>PuffinBooks</v>
      </c>
      <c r="B9708" s="65" t="s">
        <v>36</v>
      </c>
    </row>
    <row r="9709" spans="1:2" x14ac:dyDescent="0.25">
      <c r="A9709" s="64" t="str">
        <f>HYPERLINK("http://www.twitter.com/EvertMonkey", "EvertMonkey")</f>
        <v>EvertMonkey</v>
      </c>
      <c r="B9709" s="65"/>
    </row>
    <row r="9710" spans="1:2" x14ac:dyDescent="0.25">
      <c r="A9710" s="64" t="str">
        <f>HYPERLINK("http://www.twitter.com/Dundeelite", "Dundeelite")</f>
        <v>Dundeelite</v>
      </c>
      <c r="B9710" s="65"/>
    </row>
    <row r="9711" spans="1:2" x14ac:dyDescent="0.25">
      <c r="A9711" s="64" t="str">
        <f>HYPERLINK("http://www.twitter.com/KimNotSoWilde", "KimNotSoWilde")</f>
        <v>KimNotSoWilde</v>
      </c>
      <c r="B9711" s="65" t="s">
        <v>6943</v>
      </c>
    </row>
    <row r="9712" spans="1:2" x14ac:dyDescent="0.25">
      <c r="A9712" s="64" t="str">
        <f>HYPERLINK("http://www.twitter.com/Julesgreaves", "Julesgreaves")</f>
        <v>Julesgreaves</v>
      </c>
      <c r="B9712" s="65"/>
    </row>
    <row r="9713" spans="1:2" x14ac:dyDescent="0.25">
      <c r="A9713" s="64" t="str">
        <f>HYPERLINK("http://www.twitter.com/Clairagh", "Clairagh")</f>
        <v>Clairagh</v>
      </c>
      <c r="B9713" s="65"/>
    </row>
    <row r="9714" spans="1:2" x14ac:dyDescent="0.25">
      <c r="A9714" s="64" t="str">
        <f>HYPERLINK("http://www.twitter.com/Tiller5", "Tiller5")</f>
        <v>Tiller5</v>
      </c>
      <c r="B9714" s="65" t="s">
        <v>1221</v>
      </c>
    </row>
    <row r="9715" spans="1:2" x14ac:dyDescent="0.25">
      <c r="A9715" s="64" t="str">
        <f>HYPERLINK("http://www.twitter.com/Existentjul", "Existentjul")</f>
        <v>Existentjul</v>
      </c>
      <c r="B9715" s="65"/>
    </row>
    <row r="9716" spans="1:2" x14ac:dyDescent="0.25">
      <c r="A9716" s="64" t="str">
        <f>HYPERLINK("http://www.twitter.com/Barnzema", "Barnzema")</f>
        <v>Barnzema</v>
      </c>
      <c r="B9716" s="65"/>
    </row>
    <row r="9717" spans="1:2" x14ac:dyDescent="0.25">
      <c r="A9717" s="64" t="str">
        <f>HYPERLINK("http://www.twitter.com/Squidweiser", "Squidweiser")</f>
        <v>Squidweiser</v>
      </c>
      <c r="B9717" s="65"/>
    </row>
    <row r="9718" spans="1:2" x14ac:dyDescent="0.25">
      <c r="A9718" s="64" t="str">
        <f>HYPERLINK("http://www.twitter.com/ffreyya", "ffreyya")</f>
        <v>ffreyya</v>
      </c>
      <c r="B9718" s="65" t="s">
        <v>138</v>
      </c>
    </row>
    <row r="9719" spans="1:2" x14ac:dyDescent="0.25">
      <c r="A9719" s="64" t="str">
        <f>HYPERLINK("http://www.twitter.com/nikitaa_r", "nikitaa_r")</f>
        <v>nikitaa_r</v>
      </c>
      <c r="B9719" s="65"/>
    </row>
    <row r="9720" spans="1:2" x14ac:dyDescent="0.25">
      <c r="A9720" s="64" t="str">
        <f>HYPERLINK("http://www.twitter.com/woodforthetree2", "woodforthetree2")</f>
        <v>woodforthetree2</v>
      </c>
      <c r="B9720" s="65" t="s">
        <v>1377</v>
      </c>
    </row>
    <row r="9721" spans="1:2" x14ac:dyDescent="0.25">
      <c r="A9721" s="64" t="str">
        <f>HYPERLINK("http://www.twitter.com/CalumCarpenter", "CalumCarpenter")</f>
        <v>CalumCarpenter</v>
      </c>
      <c r="B9721" s="65" t="s">
        <v>110</v>
      </c>
    </row>
    <row r="9722" spans="1:2" x14ac:dyDescent="0.25">
      <c r="A9722" s="64" t="str">
        <f>HYPERLINK("http://www.twitter.com/jilldavison2008", "jilldavison2008")</f>
        <v>jilldavison2008</v>
      </c>
      <c r="B9722" s="65"/>
    </row>
    <row r="9723" spans="1:2" x14ac:dyDescent="0.25">
      <c r="A9723" s="64" t="str">
        <f>HYPERLINK("http://www.twitter.com/justbock", "justbock")</f>
        <v>justbock</v>
      </c>
      <c r="B9723" s="65" t="s">
        <v>630</v>
      </c>
    </row>
    <row r="9724" spans="1:2" x14ac:dyDescent="0.25">
      <c r="A9724" s="64" t="str">
        <f>HYPERLINK("http://www.twitter.com/Sash1978", "Sash1978")</f>
        <v>Sash1978</v>
      </c>
      <c r="B9724" s="65"/>
    </row>
    <row r="9725" spans="1:2" x14ac:dyDescent="0.25">
      <c r="A9725" s="64" t="str">
        <f>HYPERLINK("http://www.twitter.com/nicnatnic", "nicnatnic")</f>
        <v>nicnatnic</v>
      </c>
      <c r="B9725" s="65"/>
    </row>
    <row r="9726" spans="1:2" x14ac:dyDescent="0.25">
      <c r="A9726" s="64" t="str">
        <f>HYPERLINK("http://www.twitter.com/Jo46442729", "Jo46442729")</f>
        <v>Jo46442729</v>
      </c>
      <c r="B9726" s="65"/>
    </row>
    <row r="9727" spans="1:2" x14ac:dyDescent="0.25">
      <c r="A9727" s="64" t="str">
        <f>HYPERLINK("http://www.twitter.com/WilliamDav0", "WilliamDav0")</f>
        <v>WilliamDav0</v>
      </c>
      <c r="B9727" s="65" t="s">
        <v>5413</v>
      </c>
    </row>
    <row r="9728" spans="1:2" x14ac:dyDescent="0.25">
      <c r="A9728" s="64" t="str">
        <f>HYPERLINK("http://www.twitter.com/helenlizzies", "helenlizzies")</f>
        <v>helenlizzies</v>
      </c>
      <c r="B9728" s="65" t="s">
        <v>180</v>
      </c>
    </row>
    <row r="9729" spans="1:2" x14ac:dyDescent="0.25">
      <c r="A9729" s="64" t="str">
        <f>HYPERLINK("http://www.twitter.com/domirybar", "domirybar")</f>
        <v>domirybar</v>
      </c>
      <c r="B9729" s="65" t="s">
        <v>6944</v>
      </c>
    </row>
    <row r="9730" spans="1:2" x14ac:dyDescent="0.25">
      <c r="A9730" s="64" t="str">
        <f>HYPERLINK("http://www.twitter.com/ariana_alameda", "ariana_alameda")</f>
        <v>ariana_alameda</v>
      </c>
      <c r="B9730" s="65"/>
    </row>
    <row r="9731" spans="1:2" x14ac:dyDescent="0.25">
      <c r="A9731" s="64" t="str">
        <f>HYPERLINK("http://www.twitter.com/maccyf", "maccyf")</f>
        <v>maccyf</v>
      </c>
      <c r="B9731" s="65"/>
    </row>
    <row r="9732" spans="1:2" x14ac:dyDescent="0.25">
      <c r="A9732" s="64" t="str">
        <f>HYPERLINK("http://www.twitter.com/ktptrayno", "ktptrayno")</f>
        <v>ktptrayno</v>
      </c>
      <c r="B9732" s="65"/>
    </row>
    <row r="9733" spans="1:2" x14ac:dyDescent="0.25">
      <c r="A9733" s="64" t="str">
        <f>HYPERLINK("http://www.twitter.com/Orkatex", "Orkatex")</f>
        <v>Orkatex</v>
      </c>
      <c r="B9733" s="65" t="s">
        <v>6945</v>
      </c>
    </row>
    <row r="9734" spans="1:2" x14ac:dyDescent="0.25">
      <c r="A9734" s="64" t="str">
        <f>HYPERLINK("http://www.twitter.com/groomtings", "groomtings")</f>
        <v>groomtings</v>
      </c>
      <c r="B9734" s="65" t="s">
        <v>2608</v>
      </c>
    </row>
    <row r="9735" spans="1:2" x14ac:dyDescent="0.25">
      <c r="A9735" s="64" t="str">
        <f>HYPERLINK("http://www.twitter.com/GBClarkson", "GBClarkson")</f>
        <v>GBClarkson</v>
      </c>
      <c r="B9735" s="65"/>
    </row>
    <row r="9736" spans="1:2" x14ac:dyDescent="0.25">
      <c r="A9736" s="64" t="str">
        <f>HYPERLINK("http://www.twitter.com/laurajboam", "laurajboam")</f>
        <v>laurajboam</v>
      </c>
      <c r="B9736" s="65"/>
    </row>
    <row r="9737" spans="1:2" x14ac:dyDescent="0.25">
      <c r="A9737" s="64" t="str">
        <f>HYPERLINK("http://www.twitter.com/forgotthewords", "forgotthewords")</f>
        <v>forgotthewords</v>
      </c>
      <c r="B9737" s="65" t="s">
        <v>6946</v>
      </c>
    </row>
    <row r="9738" spans="1:2" x14ac:dyDescent="0.25">
      <c r="A9738" s="64" t="str">
        <f>HYPERLINK("http://www.twitter.com/ficklefem", "ficklefem")</f>
        <v>ficklefem</v>
      </c>
      <c r="B9738" s="65" t="s">
        <v>5566</v>
      </c>
    </row>
    <row r="9739" spans="1:2" x14ac:dyDescent="0.25">
      <c r="A9739" s="64" t="str">
        <f>HYPERLINK("http://www.twitter.com/NeuroscientistK", "NeuroscientistK")</f>
        <v>NeuroscientistK</v>
      </c>
      <c r="B9739" s="65" t="s">
        <v>6947</v>
      </c>
    </row>
    <row r="9740" spans="1:2" x14ac:dyDescent="0.25">
      <c r="A9740" s="64" t="str">
        <f>HYPERLINK("http://www.twitter.com/DrPhilipBraude", "DrPhilipBraude")</f>
        <v>DrPhilipBraude</v>
      </c>
      <c r="B9740" s="65" t="s">
        <v>36</v>
      </c>
    </row>
    <row r="9741" spans="1:2" x14ac:dyDescent="0.25">
      <c r="A9741" s="64" t="str">
        <f>HYPERLINK("http://www.twitter.com/ashleyeglin23", "ashleyeglin23")</f>
        <v>ashleyeglin23</v>
      </c>
      <c r="B9741" s="65" t="s">
        <v>70</v>
      </c>
    </row>
    <row r="9742" spans="1:2" x14ac:dyDescent="0.25">
      <c r="A9742" s="64" t="str">
        <f>HYPERLINK("http://www.twitter.com/smallersadsoph", "smallersadsoph")</f>
        <v>smallersadsoph</v>
      </c>
      <c r="B9742" s="65" t="s">
        <v>926</v>
      </c>
    </row>
    <row r="9743" spans="1:2" x14ac:dyDescent="0.25">
      <c r="A9743" s="64" t="str">
        <f>HYPERLINK("http://www.twitter.com/bernsbiome", "bernsbiome")</f>
        <v>bernsbiome</v>
      </c>
      <c r="B9743" s="65" t="s">
        <v>257</v>
      </c>
    </row>
    <row r="9744" spans="1:2" x14ac:dyDescent="0.25">
      <c r="A9744" s="64" t="str">
        <f>HYPERLINK("http://www.twitter.com/BobbysStory", "BobbysStory")</f>
        <v>BobbysStory</v>
      </c>
      <c r="B9744" s="65" t="s">
        <v>6948</v>
      </c>
    </row>
    <row r="9745" spans="1:2" x14ac:dyDescent="0.25">
      <c r="A9745" s="64" t="str">
        <f>HYPERLINK("http://www.twitter.com/DanielRoyMackay", "DanielRoyMackay")</f>
        <v>DanielRoyMackay</v>
      </c>
      <c r="B9745" s="65"/>
    </row>
    <row r="9746" spans="1:2" x14ac:dyDescent="0.25">
      <c r="A9746" s="64" t="str">
        <f>HYPERLINK("http://www.twitter.com/Orkneylady", "Orkneylady")</f>
        <v>Orkneylady</v>
      </c>
      <c r="B9746" s="65"/>
    </row>
    <row r="9747" spans="1:2" x14ac:dyDescent="0.25">
      <c r="A9747" s="64" t="str">
        <f>HYPERLINK("http://www.twitter.com/lively_library", "lively_library")</f>
        <v>lively_library</v>
      </c>
      <c r="B9747" s="65" t="s">
        <v>4492</v>
      </c>
    </row>
    <row r="9748" spans="1:2" x14ac:dyDescent="0.25">
      <c r="A9748" s="64" t="str">
        <f>HYPERLINK("http://www.twitter.com/noobgaming4real", "noobgaming4real")</f>
        <v>noobgaming4real</v>
      </c>
      <c r="B9748" s="65" t="s">
        <v>3762</v>
      </c>
    </row>
    <row r="9749" spans="1:2" x14ac:dyDescent="0.25">
      <c r="A9749" s="64" t="str">
        <f>HYPERLINK("http://www.twitter.com/feebeesnees", "feebeesnees")</f>
        <v>feebeesnees</v>
      </c>
      <c r="B9749" s="65" t="s">
        <v>6949</v>
      </c>
    </row>
    <row r="9750" spans="1:2" x14ac:dyDescent="0.25">
      <c r="A9750" s="64" t="str">
        <f>HYPERLINK("http://www.twitter.com/marksclater8", "marksclater8")</f>
        <v>marksclater8</v>
      </c>
      <c r="B9750" s="65" t="s">
        <v>3762</v>
      </c>
    </row>
    <row r="9751" spans="1:2" x14ac:dyDescent="0.25">
      <c r="A9751" s="64" t="str">
        <f>HYPERLINK("http://www.twitter.com/GrantJolly", "GrantJolly")</f>
        <v>GrantJolly</v>
      </c>
      <c r="B9751" s="65" t="s">
        <v>517</v>
      </c>
    </row>
    <row r="9752" spans="1:2" x14ac:dyDescent="0.25">
      <c r="A9752" s="64" t="str">
        <f>HYPERLINK("http://www.twitter.com/favouriteirish", "favouriteirish")</f>
        <v>favouriteirish</v>
      </c>
      <c r="B9752" s="65"/>
    </row>
    <row r="9753" spans="1:2" x14ac:dyDescent="0.25">
      <c r="A9753" s="64" t="str">
        <f>HYPERLINK("http://www.twitter.com/cuteasdesigns", "cuteasdesigns")</f>
        <v>cuteasdesigns</v>
      </c>
      <c r="B9753" s="65"/>
    </row>
    <row r="9754" spans="1:2" x14ac:dyDescent="0.25">
      <c r="A9754" s="64" t="str">
        <f>HYPERLINK("http://www.twitter.com/SianDavis9", "SianDavis9")</f>
        <v>SianDavis9</v>
      </c>
      <c r="B9754" s="65"/>
    </row>
    <row r="9755" spans="1:2" x14ac:dyDescent="0.25">
      <c r="A9755" s="64" t="str">
        <f>HYPERLINK("http://www.twitter.com/soleil_bo", "soleil_bo")</f>
        <v>soleil_bo</v>
      </c>
      <c r="B9755" s="65"/>
    </row>
    <row r="9756" spans="1:2" x14ac:dyDescent="0.25">
      <c r="A9756" s="64" t="str">
        <f>HYPERLINK("http://www.twitter.com/SaraParam0", "SaraParam0")</f>
        <v>SaraParam0</v>
      </c>
      <c r="B9756" s="65"/>
    </row>
    <row r="9757" spans="1:2" x14ac:dyDescent="0.25">
      <c r="A9757" s="64" t="str">
        <f>HYPERLINK("http://www.twitter.com/PearlKeenan", "PearlKeenan")</f>
        <v>PearlKeenan</v>
      </c>
      <c r="B9757" s="65"/>
    </row>
    <row r="9758" spans="1:2" x14ac:dyDescent="0.25">
      <c r="A9758" s="64" t="str">
        <f>HYPERLINK("http://www.twitter.com/saraweale", "saraweale")</f>
        <v>saraweale</v>
      </c>
      <c r="B9758" s="65" t="s">
        <v>4562</v>
      </c>
    </row>
    <row r="9759" spans="1:2" x14ac:dyDescent="0.25">
      <c r="A9759" s="64" t="str">
        <f>HYPERLINK("http://www.twitter.com/SCClibrariesCom", "SCClibrariesCom")</f>
        <v>SCClibrariesCom</v>
      </c>
      <c r="B9759" s="65"/>
    </row>
    <row r="9760" spans="1:2" x14ac:dyDescent="0.25">
      <c r="A9760" s="64" t="str">
        <f>HYPERLINK("http://www.twitter.com/NorthldArchives", "NorthldArchives")</f>
        <v>NorthldArchives</v>
      </c>
      <c r="B9760" s="65" t="s">
        <v>1328</v>
      </c>
    </row>
    <row r="9761" spans="1:2" x14ac:dyDescent="0.25">
      <c r="A9761" s="64" t="str">
        <f>HYPERLINK("http://www.twitter.com/creativemind731", "creativemind731")</f>
        <v>creativemind731</v>
      </c>
      <c r="B9761" s="65"/>
    </row>
    <row r="9762" spans="1:2" x14ac:dyDescent="0.25">
      <c r="A9762" s="64" t="str">
        <f>HYPERLINK("http://www.twitter.com/polyphonies", "polyphonies")</f>
        <v>polyphonies</v>
      </c>
      <c r="B9762" s="65" t="s">
        <v>4015</v>
      </c>
    </row>
    <row r="9763" spans="1:2" x14ac:dyDescent="0.25">
      <c r="A9763" s="64" t="str">
        <f>HYPERLINK("http://www.twitter.com/UniversityGred", "UniversityGred")</f>
        <v>UniversityGred</v>
      </c>
      <c r="B9763" s="65"/>
    </row>
    <row r="9764" spans="1:2" x14ac:dyDescent="0.25">
      <c r="A9764" s="64" t="str">
        <f>HYPERLINK("http://www.twitter.com/LibraryUnedited", "LibraryUnedited")</f>
        <v>LibraryUnedited</v>
      </c>
      <c r="B9764" s="65" t="s">
        <v>3040</v>
      </c>
    </row>
    <row r="9765" spans="1:2" x14ac:dyDescent="0.25">
      <c r="A9765" s="64" t="str">
        <f>HYPERLINK("http://www.twitter.com/LibrariesRUs1", "LibrariesRUs1")</f>
        <v>LibrariesRUs1</v>
      </c>
      <c r="B9765" s="65"/>
    </row>
    <row r="9766" spans="1:2" x14ac:dyDescent="0.25">
      <c r="A9766" s="64" t="str">
        <f>HYPERLINK("http://www.twitter.com/TruGryfnGirl", "TruGryfnGirl")</f>
        <v>TruGryfnGirl</v>
      </c>
      <c r="B9766" s="65" t="s">
        <v>3921</v>
      </c>
    </row>
    <row r="9767" spans="1:2" x14ac:dyDescent="0.25">
      <c r="A9767" s="64" t="str">
        <f>HYPERLINK("http://www.twitter.com/pukk1la_taun0", "pukk1la_taun0")</f>
        <v>pukk1la_taun0</v>
      </c>
      <c r="B9767" s="65"/>
    </row>
    <row r="9768" spans="1:2" x14ac:dyDescent="0.25">
      <c r="A9768" s="64" t="str">
        <f>HYPERLINK("http://www.twitter.com/jonorcup", "jonorcup")</f>
        <v>jonorcup</v>
      </c>
      <c r="B9768" s="65"/>
    </row>
    <row r="9769" spans="1:2" x14ac:dyDescent="0.25">
      <c r="A9769" s="64" t="str">
        <f>HYPERLINK("http://www.twitter.com/paru2389", "paru2389")</f>
        <v>paru2389</v>
      </c>
      <c r="B9769" s="65" t="s">
        <v>6950</v>
      </c>
    </row>
    <row r="9770" spans="1:2" x14ac:dyDescent="0.25">
      <c r="A9770" s="64" t="str">
        <f>HYPERLINK("http://www.twitter.com/AliGittoes", "AliGittoes")</f>
        <v>AliGittoes</v>
      </c>
      <c r="B9770" s="65"/>
    </row>
    <row r="9771" spans="1:2" x14ac:dyDescent="0.25">
      <c r="A9771" s="64" t="str">
        <f>HYPERLINK("http://www.twitter.com/loudribs", "loudribs")</f>
        <v>loudribs</v>
      </c>
      <c r="B9771" s="65" t="s">
        <v>180</v>
      </c>
    </row>
    <row r="9772" spans="1:2" x14ac:dyDescent="0.25">
      <c r="A9772" s="64" t="str">
        <f>HYPERLINK("http://www.twitter.com/lagringaeterna", "lagringaeterna")</f>
        <v>lagringaeterna</v>
      </c>
      <c r="B9772" s="65" t="s">
        <v>6951</v>
      </c>
    </row>
    <row r="9773" spans="1:2" x14ac:dyDescent="0.25">
      <c r="A9773" s="64" t="str">
        <f>HYPERLINK("http://www.twitter.com/offersdeals1", "offersdeals1")</f>
        <v>offersdeals1</v>
      </c>
      <c r="B9773" s="65" t="s">
        <v>4613</v>
      </c>
    </row>
    <row r="9774" spans="1:2" x14ac:dyDescent="0.25">
      <c r="A9774" s="64" t="str">
        <f>HYPERLINK("http://www.twitter.com/redpen_bluepen", "redpen_bluepen")</f>
        <v>redpen_bluepen</v>
      </c>
      <c r="B9774" s="65" t="s">
        <v>487</v>
      </c>
    </row>
    <row r="9775" spans="1:2" x14ac:dyDescent="0.25">
      <c r="A9775" s="64" t="str">
        <f>HYPERLINK("http://www.twitter.com/KristinParry1", "KristinParry1")</f>
        <v>KristinParry1</v>
      </c>
      <c r="B9775" s="65"/>
    </row>
    <row r="9776" spans="1:2" x14ac:dyDescent="0.25">
      <c r="A9776" s="64" t="str">
        <f>HYPERLINK("http://www.twitter.com/GarthStewart1", "GarthStewart1")</f>
        <v>GarthStewart1</v>
      </c>
      <c r="B9776" s="65" t="s">
        <v>24</v>
      </c>
    </row>
    <row r="9777" spans="1:2" x14ac:dyDescent="0.25">
      <c r="A9777" s="64" t="str">
        <f>HYPERLINK("http://www.twitter.com/laveesh_sharma", "laveesh_sharma")</f>
        <v>laveesh_sharma</v>
      </c>
      <c r="B9777" s="65" t="s">
        <v>4452</v>
      </c>
    </row>
    <row r="9778" spans="1:2" x14ac:dyDescent="0.25">
      <c r="A9778" s="64" t="str">
        <f>HYPERLINK("http://www.twitter.com/tweetnatsabat", "tweetnatsabat")</f>
        <v>tweetnatsabat</v>
      </c>
      <c r="B9778" s="65" t="s">
        <v>70</v>
      </c>
    </row>
    <row r="9779" spans="1:2" x14ac:dyDescent="0.25">
      <c r="A9779" s="64" t="str">
        <f>HYPERLINK("http://www.twitter.com/FEnglberger", "FEnglberger")</f>
        <v>FEnglberger</v>
      </c>
      <c r="B9779" s="65"/>
    </row>
    <row r="9780" spans="1:2" x14ac:dyDescent="0.25">
      <c r="A9780" s="64" t="str">
        <f>HYPERLINK("http://www.twitter.com/DrewUSpecColl", "DrewUSpecColl")</f>
        <v>DrewUSpecColl</v>
      </c>
      <c r="B9780" s="65" t="s">
        <v>6952</v>
      </c>
    </row>
    <row r="9781" spans="1:2" x14ac:dyDescent="0.25">
      <c r="A9781" s="64" t="str">
        <f>HYPERLINK("http://www.twitter.com/qwebooevents", "qwebooevents")</f>
        <v>qwebooevents</v>
      </c>
      <c r="B9781" s="65" t="s">
        <v>3775</v>
      </c>
    </row>
    <row r="9782" spans="1:2" x14ac:dyDescent="0.25">
      <c r="A9782" s="64" t="str">
        <f>HYPERLINK("http://www.twitter.com/CLEWritersGroup", "CLEWritersGroup")</f>
        <v>CLEWritersGroup</v>
      </c>
      <c r="B9782" s="65" t="s">
        <v>6953</v>
      </c>
    </row>
    <row r="9783" spans="1:2" x14ac:dyDescent="0.25">
      <c r="A9783" s="64" t="str">
        <f>HYPERLINK("http://www.twitter.com/GeSIGeobau", "GeSIGeobau")</f>
        <v>GeSIGeobau</v>
      </c>
      <c r="B9783" s="65"/>
    </row>
    <row r="9784" spans="1:2" x14ac:dyDescent="0.25">
      <c r="A9784" s="64" t="str">
        <f>HYPERLINK("http://www.twitter.com/CPKMuseums", "CPKMuseums")</f>
        <v>CPKMuseums</v>
      </c>
      <c r="B9784" s="65" t="s">
        <v>517</v>
      </c>
    </row>
    <row r="9785" spans="1:2" x14ac:dyDescent="0.25">
      <c r="A9785" s="64" t="str">
        <f>HYPERLINK("http://www.twitter.com/MichelleBudge2", "MichelleBudge2")</f>
        <v>MichelleBudge2</v>
      </c>
      <c r="B9785" s="65"/>
    </row>
    <row r="9786" spans="1:2" x14ac:dyDescent="0.25">
      <c r="A9786" s="64" t="str">
        <f>HYPERLINK("http://www.twitter.com/art_librarians", "art_librarians")</f>
        <v>art_librarians</v>
      </c>
      <c r="B9786" s="65" t="s">
        <v>2679</v>
      </c>
    </row>
    <row r="9787" spans="1:2" x14ac:dyDescent="0.25">
      <c r="A9787" s="64" t="str">
        <f>HYPERLINK("http://www.twitter.com/RachaelHill6", "RachaelHill6")</f>
        <v>RachaelHill6</v>
      </c>
      <c r="B9787" s="65"/>
    </row>
    <row r="9788" spans="1:2" x14ac:dyDescent="0.25">
      <c r="A9788" s="64" t="str">
        <f>HYPERLINK("http://www.twitter.com/sexualspanker", "sexualspanker")</f>
        <v>sexualspanker</v>
      </c>
      <c r="B9788" s="65"/>
    </row>
    <row r="9789" spans="1:2" x14ac:dyDescent="0.25">
      <c r="A9789" s="64" t="str">
        <f>HYPERLINK("http://www.twitter.com/marieleese149", "marieleese149")</f>
        <v>marieleese149</v>
      </c>
      <c r="B9789" s="65"/>
    </row>
    <row r="9790" spans="1:2" x14ac:dyDescent="0.25">
      <c r="A9790" s="64" t="str">
        <f>HYPERLINK("http://www.twitter.com/babi_zurita", "babi_zurita")</f>
        <v>babi_zurita</v>
      </c>
      <c r="B9790" s="65" t="s">
        <v>6954</v>
      </c>
    </row>
    <row r="9791" spans="1:2" x14ac:dyDescent="0.25">
      <c r="A9791" s="64" t="str">
        <f>HYPERLINK("http://www.twitter.com/noreenmwright", "noreenmwright")</f>
        <v>noreenmwright</v>
      </c>
      <c r="B9791" s="65"/>
    </row>
    <row r="9792" spans="1:2" x14ac:dyDescent="0.25">
      <c r="A9792" s="64" t="str">
        <f>HYPERLINK("http://www.twitter.com/FocusForBest", "FocusForBest")</f>
        <v>FocusForBest</v>
      </c>
      <c r="B9792" s="65"/>
    </row>
    <row r="9793" spans="1:2" x14ac:dyDescent="0.25">
      <c r="A9793" s="64" t="str">
        <f>HYPERLINK("http://www.twitter.com/MelissaAkoral", "MelissaAkoral")</f>
        <v>MelissaAkoral</v>
      </c>
      <c r="B9793" s="65" t="s">
        <v>24</v>
      </c>
    </row>
    <row r="9794" spans="1:2" x14ac:dyDescent="0.25">
      <c r="A9794" s="64" t="str">
        <f>HYPERLINK("http://www.twitter.com/KendallClark15", "KendallClark15")</f>
        <v>KendallClark15</v>
      </c>
      <c r="B9794" s="65" t="s">
        <v>6955</v>
      </c>
    </row>
    <row r="9795" spans="1:2" x14ac:dyDescent="0.25">
      <c r="A9795" s="64" t="str">
        <f>HYPERLINK("http://www.twitter.com/LMKorimboccus", "LMKorimboccus")</f>
        <v>LMKorimboccus</v>
      </c>
      <c r="B9795" s="65" t="s">
        <v>6956</v>
      </c>
    </row>
    <row r="9796" spans="1:2" x14ac:dyDescent="0.25">
      <c r="A9796" s="64" t="str">
        <f>HYPERLINK("http://www.twitter.com/MayMoss1", "MayMoss1")</f>
        <v>MayMoss1</v>
      </c>
      <c r="B9796" s="65" t="s">
        <v>24</v>
      </c>
    </row>
    <row r="9797" spans="1:2" x14ac:dyDescent="0.25">
      <c r="A9797" s="64" t="str">
        <f>HYPERLINK("http://www.twitter.com/FyrDrakken", "FyrDrakken")</f>
        <v>FyrDrakken</v>
      </c>
      <c r="B9797" s="65" t="s">
        <v>6957</v>
      </c>
    </row>
    <row r="9798" spans="1:2" x14ac:dyDescent="0.25">
      <c r="A9798" s="64" t="str">
        <f>HYPERLINK("http://www.twitter.com/JoCornish4", "JoCornish4")</f>
        <v>JoCornish4</v>
      </c>
      <c r="B9798" s="65"/>
    </row>
    <row r="9799" spans="1:2" x14ac:dyDescent="0.25">
      <c r="A9799" s="64" t="str">
        <f>HYPERLINK("http://www.twitter.com/tweettwattween", "tweettwattween")</f>
        <v>tweettwattween</v>
      </c>
      <c r="B9799" s="65"/>
    </row>
    <row r="9800" spans="1:2" x14ac:dyDescent="0.25">
      <c r="A9800" s="64" t="str">
        <f>HYPERLINK("http://www.twitter.com/EdinburghRide", "EdinburghRide")</f>
        <v>EdinburghRide</v>
      </c>
      <c r="B9800" s="65" t="s">
        <v>487</v>
      </c>
    </row>
    <row r="9801" spans="1:2" x14ac:dyDescent="0.25">
      <c r="A9801" s="64" t="str">
        <f>HYPERLINK("http://www.twitter.com/weeal75", "weeal75")</f>
        <v>weeal75</v>
      </c>
      <c r="B9801" s="65"/>
    </row>
    <row r="9802" spans="1:2" x14ac:dyDescent="0.25">
      <c r="A9802" s="64" t="str">
        <f>HYPERLINK("http://www.twitter.com/PatPDonovan", "PatPDonovan")</f>
        <v>PatPDonovan</v>
      </c>
      <c r="B9802" s="65" t="s">
        <v>6958</v>
      </c>
    </row>
    <row r="9803" spans="1:2" x14ac:dyDescent="0.25">
      <c r="A9803" s="64" t="str">
        <f>HYPERLINK("http://www.twitter.com/Lindseym", "Lindseym")</f>
        <v>Lindseym</v>
      </c>
      <c r="B9803" s="65" t="s">
        <v>3633</v>
      </c>
    </row>
    <row r="9804" spans="1:2" x14ac:dyDescent="0.25">
      <c r="A9804" s="64" t="str">
        <f>HYPERLINK("http://www.twitter.com/kimbofo", "kimbofo")</f>
        <v>kimbofo</v>
      </c>
      <c r="B9804" s="65" t="s">
        <v>110</v>
      </c>
    </row>
    <row r="9805" spans="1:2" x14ac:dyDescent="0.25">
      <c r="A9805" s="64" t="str">
        <f>HYPERLINK("http://www.twitter.com/bheolain", "bheolain")</f>
        <v>bheolain</v>
      </c>
      <c r="B9805" s="65" t="s">
        <v>6959</v>
      </c>
    </row>
    <row r="9806" spans="1:2" x14ac:dyDescent="0.25">
      <c r="A9806" s="64" t="str">
        <f>HYPERLINK("http://www.twitter.com/mergenatayew15", "mergenatayew15")</f>
        <v>mergenatayew15</v>
      </c>
      <c r="B9806" s="65"/>
    </row>
    <row r="9807" spans="1:2" x14ac:dyDescent="0.25">
      <c r="A9807" s="64" t="str">
        <f>HYPERLINK("http://www.twitter.com/OrkneyPolice", "OrkneyPolice")</f>
        <v>OrkneyPolice</v>
      </c>
      <c r="B9807" s="65" t="s">
        <v>6960</v>
      </c>
    </row>
    <row r="9808" spans="1:2" x14ac:dyDescent="0.25">
      <c r="A9808" s="64" t="str">
        <f>HYPERLINK("http://www.twitter.com/paulbloomerart", "paulbloomerart")</f>
        <v>paulbloomerart</v>
      </c>
      <c r="B9808" s="65"/>
    </row>
    <row r="9809" spans="1:2" x14ac:dyDescent="0.25">
      <c r="A9809" s="64" t="str">
        <f>HYPERLINK("http://www.twitter.com/upnorthwebdev", "upnorthwebdev")</f>
        <v>upnorthwebdev</v>
      </c>
      <c r="B9809" s="65" t="s">
        <v>5824</v>
      </c>
    </row>
    <row r="9810" spans="1:2" x14ac:dyDescent="0.25">
      <c r="A9810" s="64" t="str">
        <f>HYPERLINK("http://www.twitter.com/datemybookshelf", "datemybookshelf")</f>
        <v>datemybookshelf</v>
      </c>
      <c r="B9810" s="65" t="s">
        <v>6961</v>
      </c>
    </row>
    <row r="9811" spans="1:2" x14ac:dyDescent="0.25">
      <c r="A9811" s="64" t="str">
        <f>HYPERLINK("http://www.twitter.com/JacqRice", "JacqRice")</f>
        <v>JacqRice</v>
      </c>
      <c r="B9811" s="65" t="s">
        <v>6962</v>
      </c>
    </row>
    <row r="9812" spans="1:2" x14ac:dyDescent="0.25">
      <c r="A9812" s="64" t="str">
        <f>HYPERLINK("http://www.twitter.com/MMarybews", "MMarybews")</f>
        <v>MMarybews</v>
      </c>
      <c r="B9812" s="65"/>
    </row>
    <row r="9813" spans="1:2" x14ac:dyDescent="0.25">
      <c r="A9813" s="64" t="str">
        <f>HYPERLINK("http://www.twitter.com/BrowningPenny", "BrowningPenny")</f>
        <v>BrowningPenny</v>
      </c>
      <c r="B9813" s="65"/>
    </row>
    <row r="9814" spans="1:2" x14ac:dyDescent="0.25">
      <c r="A9814" s="64" t="str">
        <f>HYPERLINK("http://www.twitter.com/peediemodels", "peediemodels")</f>
        <v>peediemodels</v>
      </c>
      <c r="B9814" s="65" t="s">
        <v>6963</v>
      </c>
    </row>
    <row r="9815" spans="1:2" x14ac:dyDescent="0.25">
      <c r="A9815" s="64" t="str">
        <f>HYPERLINK("http://www.twitter.com/KateGibson22", "KateGibson22")</f>
        <v>KateGibson22</v>
      </c>
      <c r="B9815" s="65" t="s">
        <v>6964</v>
      </c>
    </row>
    <row r="9816" spans="1:2" x14ac:dyDescent="0.25">
      <c r="A9816" s="64" t="str">
        <f>HYPERLINK("http://www.twitter.com/pearce_pearce8", "pearce_pearce8")</f>
        <v>pearce_pearce8</v>
      </c>
      <c r="B9816" s="65"/>
    </row>
    <row r="9817" spans="1:2" x14ac:dyDescent="0.25">
      <c r="A9817" s="64" t="str">
        <f>HYPERLINK("http://www.twitter.com/TheHelpDeskblog", "TheHelpDeskblog")</f>
        <v>TheHelpDeskblog</v>
      </c>
      <c r="B9817" s="65" t="s">
        <v>6965</v>
      </c>
    </row>
    <row r="9818" spans="1:2" x14ac:dyDescent="0.25">
      <c r="A9818" s="64" t="str">
        <f>HYPERLINK("http://www.twitter.com/paulftremlett", "paulftremlett")</f>
        <v>paulftremlett</v>
      </c>
      <c r="B9818" s="65" t="s">
        <v>296</v>
      </c>
    </row>
    <row r="9819" spans="1:2" x14ac:dyDescent="0.25">
      <c r="A9819" s="64" t="str">
        <f>HYPERLINK("http://www.twitter.com/RuralCreditUn", "RuralCreditUn")</f>
        <v>RuralCreditUn</v>
      </c>
      <c r="B9819" s="65" t="s">
        <v>296</v>
      </c>
    </row>
    <row r="9820" spans="1:2" x14ac:dyDescent="0.25">
      <c r="A9820" s="64" t="str">
        <f>HYPERLINK("http://www.twitter.com/UnlimitedTunes", "UnlimitedTunes")</f>
        <v>UnlimitedTunes</v>
      </c>
      <c r="B9820" s="65" t="s">
        <v>24</v>
      </c>
    </row>
    <row r="9821" spans="1:2" x14ac:dyDescent="0.25">
      <c r="A9821" s="64" t="str">
        <f>HYPERLINK("http://www.twitter.com/ttedoldi", "ttedoldi")</f>
        <v>ttedoldi</v>
      </c>
      <c r="B9821" s="65" t="s">
        <v>6966</v>
      </c>
    </row>
    <row r="9822" spans="1:2" x14ac:dyDescent="0.25">
      <c r="A9822" s="64" t="str">
        <f>HYPERLINK("http://www.twitter.com/VerneProject", "VerneProject")</f>
        <v>VerneProject</v>
      </c>
      <c r="B9822" s="65"/>
    </row>
    <row r="9823" spans="1:2" x14ac:dyDescent="0.25">
      <c r="A9823" s="64" t="str">
        <f>HYPERLINK("http://www.twitter.com/lizmakesit", "lizmakesit")</f>
        <v>lizmakesit</v>
      </c>
      <c r="B9823" s="65" t="s">
        <v>5490</v>
      </c>
    </row>
    <row r="9824" spans="1:2" x14ac:dyDescent="0.25">
      <c r="A9824" s="64" t="str">
        <f>HYPERLINK("http://www.twitter.com/arestlessart", "arestlessart")</f>
        <v>arestlessart</v>
      </c>
      <c r="B9824" s="65" t="s">
        <v>6967</v>
      </c>
    </row>
    <row r="9825" spans="1:2" x14ac:dyDescent="0.25">
      <c r="A9825" s="64" t="str">
        <f>HYPERLINK("http://www.twitter.com/SLICCEO", "SLICCEO")</f>
        <v>SLICCEO</v>
      </c>
      <c r="B9825" s="65" t="s">
        <v>318</v>
      </c>
    </row>
    <row r="9826" spans="1:2" x14ac:dyDescent="0.25">
      <c r="A9826" s="64" t="str">
        <f>HYPERLINK("http://www.twitter.com/OxfamBookshops", "OxfamBookshops")</f>
        <v>OxfamBookshops</v>
      </c>
      <c r="B9826" s="65" t="s">
        <v>70</v>
      </c>
    </row>
    <row r="9827" spans="1:2" x14ac:dyDescent="0.25">
      <c r="A9827" s="64" t="str">
        <f>HYPERLINK("http://www.twitter.com/LornaWindham", "LornaWindham")</f>
        <v>LornaWindham</v>
      </c>
      <c r="B9827" s="65" t="s">
        <v>6968</v>
      </c>
    </row>
    <row r="9828" spans="1:2" x14ac:dyDescent="0.25">
      <c r="A9828" s="64" t="str">
        <f>HYPERLINK("http://www.twitter.com/navdlodhi4585", "navdlodhi4585")</f>
        <v>navdlodhi4585</v>
      </c>
      <c r="B9828" s="65" t="s">
        <v>6969</v>
      </c>
    </row>
    <row r="9829" spans="1:2" x14ac:dyDescent="0.25">
      <c r="A9829" s="64" t="str">
        <f>HYPERLINK("http://www.twitter.com/taistealachd17", "taistealachd17")</f>
        <v>taistealachd17</v>
      </c>
      <c r="B9829" s="65" t="s">
        <v>6970</v>
      </c>
    </row>
    <row r="9830" spans="1:2" x14ac:dyDescent="0.25">
      <c r="A9830" s="64" t="str">
        <f>HYPERLINK("http://www.twitter.com/OA_RHUL", "OA_RHUL")</f>
        <v>OA_RHUL</v>
      </c>
      <c r="B9830" s="65" t="s">
        <v>4541</v>
      </c>
    </row>
    <row r="9831" spans="1:2" x14ac:dyDescent="0.25">
      <c r="A9831" s="64" t="str">
        <f>HYPERLINK("http://www.twitter.com/hxs20144102", "hxs20144102")</f>
        <v>hxs20144102</v>
      </c>
      <c r="B9831" s="65" t="s">
        <v>6745</v>
      </c>
    </row>
    <row r="9832" spans="1:2" x14ac:dyDescent="0.25">
      <c r="A9832" s="64" t="str">
        <f>HYPERLINK("http://www.twitter.com/Sydney_Library", "Sydney_Library")</f>
        <v>Sydney_Library</v>
      </c>
      <c r="B9832" s="65" t="s">
        <v>6971</v>
      </c>
    </row>
    <row r="9833" spans="1:2" x14ac:dyDescent="0.25">
      <c r="A9833" s="64" t="str">
        <f>HYPERLINK("http://www.twitter.com/bumblebeewalter", "bumblebeewalter")</f>
        <v>bumblebeewalter</v>
      </c>
      <c r="B9833" s="65"/>
    </row>
    <row r="9834" spans="1:2" x14ac:dyDescent="0.25">
      <c r="A9834" s="64" t="str">
        <f>HYPERLINK("http://www.twitter.com/AC_library", "AC_library")</f>
        <v>AC_library</v>
      </c>
      <c r="B9834" s="65" t="s">
        <v>6972</v>
      </c>
    </row>
    <row r="9835" spans="1:2" x14ac:dyDescent="0.25">
      <c r="A9835" s="64" t="str">
        <f>HYPERLINK("http://www.twitter.com/sinclair_jerome", "sinclair_jerome")</f>
        <v>sinclair_jerome</v>
      </c>
      <c r="B9835" s="65" t="s">
        <v>138</v>
      </c>
    </row>
    <row r="9836" spans="1:2" x14ac:dyDescent="0.25">
      <c r="A9836" s="64" t="str">
        <f>HYPERLINK("http://www.twitter.com/linda_vaughan1", "linda_vaughan1")</f>
        <v>linda_vaughan1</v>
      </c>
      <c r="B9836" s="65"/>
    </row>
    <row r="9837" spans="1:2" x14ac:dyDescent="0.25">
      <c r="A9837" s="64" t="str">
        <f>HYPERLINK("http://www.twitter.com/ssjohnson88", "ssjohnson88")</f>
        <v>ssjohnson88</v>
      </c>
      <c r="B9837" s="65" t="s">
        <v>36</v>
      </c>
    </row>
    <row r="9838" spans="1:2" x14ac:dyDescent="0.25">
      <c r="A9838" s="64" t="str">
        <f>HYPERLINK("http://www.twitter.com/TB_Community", "TB_Community")</f>
        <v>TB_Community</v>
      </c>
      <c r="B9838" s="65"/>
    </row>
    <row r="9839" spans="1:2" x14ac:dyDescent="0.25">
      <c r="A9839" s="64" t="str">
        <f>HYPERLINK("http://www.twitter.com/scallyjj", "scallyjj")</f>
        <v>scallyjj</v>
      </c>
      <c r="B9839" s="65" t="s">
        <v>24</v>
      </c>
    </row>
    <row r="9840" spans="1:2" x14ac:dyDescent="0.25">
      <c r="A9840" s="64" t="str">
        <f>HYPERLINK("http://www.twitter.com/slahvcpres", "slahvcpres")</f>
        <v>slahvcpres</v>
      </c>
      <c r="B9840" s="65"/>
    </row>
    <row r="9841" spans="1:2" x14ac:dyDescent="0.25">
      <c r="A9841" s="64" t="str">
        <f>HYPERLINK("http://www.twitter.com/AbuFahadSaif", "AbuFahadSaif")</f>
        <v>AbuFahadSaif</v>
      </c>
      <c r="B9841" s="65"/>
    </row>
    <row r="9842" spans="1:2" x14ac:dyDescent="0.25">
      <c r="A9842" s="64" t="str">
        <f>HYPERLINK("http://www.twitter.com/ilkleylitfest", "ilkleylitfest")</f>
        <v>ilkleylitfest</v>
      </c>
      <c r="B9842" s="65" t="s">
        <v>6973</v>
      </c>
    </row>
    <row r="9843" spans="1:2" x14ac:dyDescent="0.25">
      <c r="A9843" s="64" t="str">
        <f>HYPERLINK("http://www.twitter.com/chewgumforever", "chewgumforever")</f>
        <v>chewgumforever</v>
      </c>
      <c r="B9843" s="65" t="s">
        <v>477</v>
      </c>
    </row>
    <row r="9844" spans="1:2" x14ac:dyDescent="0.25">
      <c r="A9844" s="64" t="str">
        <f>HYPERLINK("http://www.twitter.com/PlantTeaching", "PlantTeaching")</f>
        <v>PlantTeaching</v>
      </c>
      <c r="B9844" s="65" t="s">
        <v>6974</v>
      </c>
    </row>
    <row r="9845" spans="1:2" x14ac:dyDescent="0.25">
      <c r="A9845" s="64" t="str">
        <f>HYPERLINK("http://www.twitter.com/GLICBookTweet", "GLICBookTweet")</f>
        <v>GLICBookTweet</v>
      </c>
      <c r="B9845" s="65"/>
    </row>
    <row r="9846" spans="1:2" x14ac:dyDescent="0.25">
      <c r="A9846" s="64" t="str">
        <f>HYPERLINK("http://www.twitter.com/DeirdreLizMitch", "DeirdreLizMitch")</f>
        <v>DeirdreLizMitch</v>
      </c>
      <c r="B9846" s="65" t="s">
        <v>2007</v>
      </c>
    </row>
    <row r="9847" spans="1:2" x14ac:dyDescent="0.25">
      <c r="A9847" s="64" t="str">
        <f>HYPERLINK("http://www.twitter.com/bharathi_540", "bharathi_540")</f>
        <v>bharathi_540</v>
      </c>
      <c r="B9847" s="65" t="s">
        <v>6975</v>
      </c>
    </row>
    <row r="9848" spans="1:2" x14ac:dyDescent="0.25">
      <c r="A9848" s="64" t="str">
        <f>HYPERLINK("http://www.twitter.com/2newgirls", "2newgirls")</f>
        <v>2newgirls</v>
      </c>
      <c r="B9848" s="65"/>
    </row>
    <row r="9849" spans="1:2" x14ac:dyDescent="0.25">
      <c r="A9849" s="64" t="str">
        <f>HYPERLINK("http://www.twitter.com/comradeharps", "comradeharps")</f>
        <v>comradeharps</v>
      </c>
      <c r="B9849" s="65" t="s">
        <v>6976</v>
      </c>
    </row>
    <row r="9850" spans="1:2" x14ac:dyDescent="0.25">
      <c r="A9850" s="64" t="str">
        <f>HYPERLINK("http://www.twitter.com/Mares_B70", "Mares_B70")</f>
        <v>Mares_B70</v>
      </c>
      <c r="B9850" s="65"/>
    </row>
    <row r="9851" spans="1:2" x14ac:dyDescent="0.25">
      <c r="A9851" s="64" t="str">
        <f>HYPERLINK("http://www.twitter.com/jimena_517", "jimena_517")</f>
        <v>jimena_517</v>
      </c>
      <c r="B9851" s="65"/>
    </row>
    <row r="9852" spans="1:2" x14ac:dyDescent="0.25">
      <c r="A9852" s="64" t="str">
        <f>HYPERLINK("http://www.twitter.com/PinkTribble", "PinkTribble")</f>
        <v>PinkTribble</v>
      </c>
      <c r="B9852" s="65" t="s">
        <v>578</v>
      </c>
    </row>
    <row r="9853" spans="1:2" x14ac:dyDescent="0.25">
      <c r="A9853" s="64" t="str">
        <f>HYPERLINK("http://www.twitter.com/AngelaIrvine7", "AngelaIrvine7")</f>
        <v>AngelaIrvine7</v>
      </c>
      <c r="B9853" s="65"/>
    </row>
    <row r="9854" spans="1:2" x14ac:dyDescent="0.25">
      <c r="A9854" s="64" t="str">
        <f>HYPERLINK("http://www.twitter.com/susan4leithwalk", "susan4leithwalk")</f>
        <v>susan4leithwalk</v>
      </c>
      <c r="B9854" s="65" t="s">
        <v>6977</v>
      </c>
    </row>
    <row r="9855" spans="1:2" x14ac:dyDescent="0.25">
      <c r="A9855" s="64" t="str">
        <f>HYPERLINK("http://www.twitter.com/munazzzah", "munazzzah")</f>
        <v>munazzzah</v>
      </c>
      <c r="B9855" s="65" t="s">
        <v>508</v>
      </c>
    </row>
    <row r="9856" spans="1:2" x14ac:dyDescent="0.25">
      <c r="A9856" s="64" t="str">
        <f>HYPERLINK("http://www.twitter.com/Library_Diva", "Library_Diva")</f>
        <v>Library_Diva</v>
      </c>
      <c r="B9856" s="65"/>
    </row>
    <row r="9857" spans="1:2" x14ac:dyDescent="0.25">
      <c r="A9857" s="64" t="str">
        <f>HYPERLINK("http://www.twitter.com/Dioscoridea", "Dioscoridea")</f>
        <v>Dioscoridea</v>
      </c>
      <c r="B9857" s="65" t="s">
        <v>6978</v>
      </c>
    </row>
    <row r="9858" spans="1:2" x14ac:dyDescent="0.25">
      <c r="A9858" s="64" t="str">
        <f>HYPERLINK("http://www.twitter.com/nls_reading", "nls_reading")</f>
        <v>nls_reading</v>
      </c>
      <c r="B9858" s="65" t="s">
        <v>487</v>
      </c>
    </row>
    <row r="9859" spans="1:2" x14ac:dyDescent="0.25">
      <c r="A9859" s="64" t="str">
        <f>HYPERLINK("http://www.twitter.com/CultureKop", "CultureKop")</f>
        <v>CultureKop</v>
      </c>
      <c r="B9859" s="65" t="s">
        <v>6360</v>
      </c>
    </row>
    <row r="9860" spans="1:2" x14ac:dyDescent="0.25">
      <c r="A9860" s="64" t="str">
        <f>HYPERLINK("http://www.twitter.com/iamharrietjean", "iamharrietjean")</f>
        <v>iamharrietjean</v>
      </c>
      <c r="B9860" s="65" t="s">
        <v>6979</v>
      </c>
    </row>
    <row r="9861" spans="1:2" x14ac:dyDescent="0.25">
      <c r="A9861" s="64" t="str">
        <f>HYPERLINK("http://www.twitter.com/jelinney", "jelinney")</f>
        <v>jelinney</v>
      </c>
      <c r="B9861" s="65"/>
    </row>
    <row r="9862" spans="1:2" x14ac:dyDescent="0.25">
      <c r="A9862" s="64" t="str">
        <f>HYPERLINK("http://www.twitter.com/munchkin62", "munchkin62")</f>
        <v>munchkin62</v>
      </c>
      <c r="B9862" s="65" t="s">
        <v>4039</v>
      </c>
    </row>
    <row r="9863" spans="1:2" x14ac:dyDescent="0.25">
      <c r="A9863" s="64" t="str">
        <f>HYPERLINK("http://www.twitter.com/ashima825", "ashima825")</f>
        <v>ashima825</v>
      </c>
      <c r="B9863" s="65" t="s">
        <v>6980</v>
      </c>
    </row>
    <row r="9864" spans="1:2" x14ac:dyDescent="0.25">
      <c r="A9864" s="64" t="str">
        <f>HYPERLINK("http://www.twitter.com/Arpin_Library", "Arpin_Library")</f>
        <v>Arpin_Library</v>
      </c>
      <c r="B9864" s="65" t="s">
        <v>5810</v>
      </c>
    </row>
    <row r="9865" spans="1:2" x14ac:dyDescent="0.25">
      <c r="A9865" s="64" t="str">
        <f>HYPERLINK("http://www.twitter.com/MelanieFrances", "MelanieFrances")</f>
        <v>MelanieFrances</v>
      </c>
      <c r="B9865" s="65" t="s">
        <v>6981</v>
      </c>
    </row>
    <row r="9866" spans="1:2" x14ac:dyDescent="0.25">
      <c r="A9866" s="64" t="str">
        <f>HYPERLINK("http://www.twitter.com/westray64", "westray64")</f>
        <v>westray64</v>
      </c>
      <c r="B9866" s="65" t="s">
        <v>3040</v>
      </c>
    </row>
    <row r="9867" spans="1:2" x14ac:dyDescent="0.25">
      <c r="A9867" s="64" t="str">
        <f>HYPERLINK("http://www.twitter.com/wayne_hunt_", "wayne_hunt_")</f>
        <v>wayne_hunt_</v>
      </c>
      <c r="B9867" s="65" t="s">
        <v>3871</v>
      </c>
    </row>
    <row r="9868" spans="1:2" x14ac:dyDescent="0.25">
      <c r="A9868" s="64" t="str">
        <f>HYPERLINK("http://www.twitter.com/CaptainKim", "CaptainKim")</f>
        <v>CaptainKim</v>
      </c>
      <c r="B9868" s="65" t="s">
        <v>138</v>
      </c>
    </row>
    <row r="9869" spans="1:2" x14ac:dyDescent="0.25">
      <c r="A9869" s="64" t="str">
        <f>HYPERLINK("http://www.twitter.com/Eleanor_ESOL", "Eleanor_ESOL")</f>
        <v>Eleanor_ESOL</v>
      </c>
      <c r="B9869" s="65" t="s">
        <v>477</v>
      </c>
    </row>
    <row r="9870" spans="1:2" x14ac:dyDescent="0.25">
      <c r="A9870" s="64" t="str">
        <f>HYPERLINK("http://www.twitter.com/FopricoBooks", "FopricoBooks")</f>
        <v>FopricoBooks</v>
      </c>
      <c r="B9870" s="65" t="s">
        <v>6982</v>
      </c>
    </row>
    <row r="9871" spans="1:2" x14ac:dyDescent="0.25">
      <c r="A9871" s="64" t="str">
        <f>HYPERLINK("http://www.twitter.com/izidora_hernitz", "izidora_hernitz")</f>
        <v>izidora_hernitz</v>
      </c>
      <c r="B9871" s="65" t="s">
        <v>6983</v>
      </c>
    </row>
    <row r="9872" spans="1:2" x14ac:dyDescent="0.25">
      <c r="A9872" s="64" t="str">
        <f>HYPERLINK("http://www.twitter.com/ohthatisbadnews", "ohthatisbadnews")</f>
        <v>ohthatisbadnews</v>
      </c>
      <c r="B9872" s="65"/>
    </row>
    <row r="9873" spans="1:2" x14ac:dyDescent="0.25">
      <c r="A9873" s="64" t="str">
        <f>HYPERLINK("http://www.twitter.com/57above", "57above")</f>
        <v>57above</v>
      </c>
      <c r="B9873" s="65"/>
    </row>
    <row r="9874" spans="1:2" x14ac:dyDescent="0.25">
      <c r="A9874" s="64" t="str">
        <f>HYPERLINK("http://www.twitter.com/annefitzpa", "annefitzpa")</f>
        <v>annefitzpa</v>
      </c>
      <c r="B9874" s="65"/>
    </row>
    <row r="9875" spans="1:2" x14ac:dyDescent="0.25">
      <c r="A9875" s="64" t="str">
        <f>HYPERLINK("http://www.twitter.com/RevRichardColes", "RevRichardColes")</f>
        <v>RevRichardColes</v>
      </c>
      <c r="B9875" s="65"/>
    </row>
    <row r="9876" spans="1:2" x14ac:dyDescent="0.25">
      <c r="A9876" s="64" t="str">
        <f>HYPERLINK("http://www.twitter.com/AmwritingM", "AmwritingM")</f>
        <v>AmwritingM</v>
      </c>
      <c r="B9876" s="65" t="s">
        <v>70</v>
      </c>
    </row>
    <row r="9877" spans="1:2" x14ac:dyDescent="0.25">
      <c r="A9877" s="64" t="str">
        <f>HYPERLINK("http://www.twitter.com/samflavin", "samflavin")</f>
        <v>samflavin</v>
      </c>
      <c r="B9877" s="65" t="s">
        <v>93</v>
      </c>
    </row>
    <row r="9878" spans="1:2" x14ac:dyDescent="0.25">
      <c r="A9878" s="64" t="str">
        <f>HYPERLINK("http://www.twitter.com/tubaniels", "tubaniels")</f>
        <v>tubaniels</v>
      </c>
      <c r="B9878" s="65" t="s">
        <v>6984</v>
      </c>
    </row>
    <row r="9879" spans="1:2" x14ac:dyDescent="0.25">
      <c r="A9879" s="64" t="str">
        <f>HYPERLINK("http://www.twitter.com/SphenodonUk", "SphenodonUk")</f>
        <v>SphenodonUk</v>
      </c>
      <c r="B9879" s="65" t="s">
        <v>296</v>
      </c>
    </row>
    <row r="9880" spans="1:2" x14ac:dyDescent="0.25">
      <c r="A9880" s="64" t="str">
        <f>HYPERLINK("http://www.twitter.com/tonyatheauthor", "tonyatheauthor")</f>
        <v>tonyatheauthor</v>
      </c>
      <c r="B9880" s="65" t="s">
        <v>6985</v>
      </c>
    </row>
    <row r="9881" spans="1:2" x14ac:dyDescent="0.25">
      <c r="A9881" s="64" t="str">
        <f>HYPERLINK("http://www.twitter.com/Kerry12345687", "Kerry12345687")</f>
        <v>Kerry12345687</v>
      </c>
      <c r="B9881" s="65"/>
    </row>
    <row r="9882" spans="1:2" x14ac:dyDescent="0.25">
      <c r="A9882" s="64" t="str">
        <f>HYPERLINK("http://www.twitter.com/GavinLee_lewis", "GavinLee_lewis")</f>
        <v>GavinLee_lewis</v>
      </c>
      <c r="B9882" s="65" t="s">
        <v>6986</v>
      </c>
    </row>
    <row r="9883" spans="1:2" x14ac:dyDescent="0.25">
      <c r="A9883" s="64" t="str">
        <f>HYPERLINK("http://www.twitter.com/PostExGem", "PostExGem")</f>
        <v>PostExGem</v>
      </c>
      <c r="B9883" s="65" t="s">
        <v>5341</v>
      </c>
    </row>
    <row r="9884" spans="1:2" x14ac:dyDescent="0.25">
      <c r="A9884" s="64" t="str">
        <f>HYPERLINK("http://www.twitter.com/maggieturneris", "maggieturneris")</f>
        <v>maggieturneris</v>
      </c>
      <c r="B9884" s="65"/>
    </row>
    <row r="9885" spans="1:2" x14ac:dyDescent="0.25">
      <c r="A9885" s="64" t="str">
        <f>HYPERLINK("http://www.twitter.com/roostedbarnicle", "roostedbarnicle")</f>
        <v>roostedbarnicle</v>
      </c>
      <c r="B9885" s="65"/>
    </row>
    <row r="9886" spans="1:2" x14ac:dyDescent="0.25">
      <c r="A9886" s="64" t="str">
        <f>HYPERLINK("http://www.twitter.com/chazkaz112", "chazkaz112")</f>
        <v>chazkaz112</v>
      </c>
      <c r="B9886" s="65"/>
    </row>
    <row r="9887" spans="1:2" x14ac:dyDescent="0.25">
      <c r="A9887" s="64" t="str">
        <f>HYPERLINK("http://www.twitter.com/wakefieldfhs", "wakefieldfhs")</f>
        <v>wakefieldfhs</v>
      </c>
      <c r="B9887" s="65"/>
    </row>
    <row r="9888" spans="1:2" x14ac:dyDescent="0.25">
      <c r="A9888" s="64" t="str">
        <f>HYPERLINK("http://www.twitter.com/stephaniechany", "stephaniechany")</f>
        <v>stephaniechany</v>
      </c>
      <c r="B9888" s="65"/>
    </row>
    <row r="9889" spans="1:2" x14ac:dyDescent="0.25">
      <c r="A9889" s="64" t="str">
        <f>HYPERLINK("http://www.twitter.com/ErnaW", "ErnaW")</f>
        <v>ErnaW</v>
      </c>
      <c r="B9889" s="65" t="s">
        <v>6987</v>
      </c>
    </row>
    <row r="9890" spans="1:2" x14ac:dyDescent="0.25">
      <c r="A9890" s="64" t="str">
        <f>HYPERLINK("http://www.twitter.com/Unibrarian", "Unibrarian")</f>
        <v>Unibrarian</v>
      </c>
      <c r="B9890" s="65"/>
    </row>
    <row r="9891" spans="1:2" x14ac:dyDescent="0.25">
      <c r="A9891" s="64" t="str">
        <f>HYPERLINK("http://www.twitter.com/JudithFlanders", "JudithFlanders")</f>
        <v>JudithFlanders</v>
      </c>
      <c r="B9891" s="65"/>
    </row>
    <row r="9892" spans="1:2" x14ac:dyDescent="0.25">
      <c r="A9892" s="64" t="str">
        <f>HYPERLINK("http://www.twitter.com/AlexClark3", "AlexClark3")</f>
        <v>AlexClark3</v>
      </c>
      <c r="B9892" s="65" t="s">
        <v>36</v>
      </c>
    </row>
    <row r="9893" spans="1:2" x14ac:dyDescent="0.25">
      <c r="A9893" s="64" t="str">
        <f>HYPERLINK("http://www.twitter.com/muswell_phil", "muswell_phil")</f>
        <v>muswell_phil</v>
      </c>
      <c r="B9893" s="65"/>
    </row>
    <row r="9894" spans="1:2" x14ac:dyDescent="0.25">
      <c r="A9894" s="64" t="str">
        <f>HYPERLINK("http://www.twitter.com/RuthieAnn138", "RuthieAnn138")</f>
        <v>RuthieAnn138</v>
      </c>
      <c r="B9894" s="65" t="s">
        <v>3798</v>
      </c>
    </row>
    <row r="9895" spans="1:2" x14ac:dyDescent="0.25">
      <c r="A9895" s="64" t="str">
        <f>HYPERLINK("http://www.twitter.com/JJCloughie", "JJCloughie")</f>
        <v>JJCloughie</v>
      </c>
      <c r="B9895" s="65" t="s">
        <v>6337</v>
      </c>
    </row>
    <row r="9896" spans="1:2" x14ac:dyDescent="0.25">
      <c r="A9896" s="64" t="str">
        <f>HYPERLINK("http://www.twitter.com/deev_daav", "deev_daav")</f>
        <v>deev_daav</v>
      </c>
      <c r="B9896" s="65" t="s">
        <v>4893</v>
      </c>
    </row>
    <row r="9897" spans="1:2" x14ac:dyDescent="0.25">
      <c r="A9897" s="64" t="str">
        <f>HYPERLINK("http://www.twitter.com/jettison101", "jettison101")</f>
        <v>jettison101</v>
      </c>
      <c r="B9897" s="65"/>
    </row>
    <row r="9898" spans="1:2" x14ac:dyDescent="0.25">
      <c r="A9898" s="64" t="str">
        <f>HYPERLINK("http://www.twitter.com/LibTechnician", "LibTechnician")</f>
        <v>LibTechnician</v>
      </c>
      <c r="B9898" s="65"/>
    </row>
    <row r="9899" spans="1:2" x14ac:dyDescent="0.25">
      <c r="A9899" s="64" t="str">
        <f>HYPERLINK("http://www.twitter.com/Garnock_Library", "Garnock_Library")</f>
        <v>Garnock_Library</v>
      </c>
      <c r="B9899" s="65" t="s">
        <v>2665</v>
      </c>
    </row>
    <row r="9900" spans="1:2" x14ac:dyDescent="0.25">
      <c r="A9900" s="64" t="str">
        <f>HYPERLINK("http://www.twitter.com/artisanjohn1966", "artisanjohn1966")</f>
        <v>artisanjohn1966</v>
      </c>
      <c r="B9900" s="65" t="s">
        <v>4193</v>
      </c>
    </row>
    <row r="9901" spans="1:2" x14ac:dyDescent="0.25">
      <c r="A9901" s="64" t="str">
        <f>HYPERLINK("http://www.twitter.com/kattbibliotek", "kattbibliotek")</f>
        <v>kattbibliotek</v>
      </c>
      <c r="B9901" s="65"/>
    </row>
    <row r="9902" spans="1:2" x14ac:dyDescent="0.25">
      <c r="A9902" s="64" t="str">
        <f>HYPERLINK("http://www.twitter.com/thepacecentre", "thepacecentre")</f>
        <v>thepacecentre</v>
      </c>
      <c r="B9902" s="65" t="s">
        <v>324</v>
      </c>
    </row>
    <row r="9903" spans="1:2" x14ac:dyDescent="0.25">
      <c r="A9903" s="64" t="str">
        <f>HYPERLINK("http://www.twitter.com/pauline_goodlad", "pauline_goodlad")</f>
        <v>pauline_goodlad</v>
      </c>
      <c r="B9903" s="65" t="s">
        <v>1736</v>
      </c>
    </row>
    <row r="9904" spans="1:2" x14ac:dyDescent="0.25">
      <c r="A9904" s="64" t="str">
        <f>HYPERLINK("http://www.twitter.com/PermSecScot", "PermSecScot")</f>
        <v>PermSecScot</v>
      </c>
      <c r="B9904" s="65"/>
    </row>
    <row r="9905" spans="1:2" x14ac:dyDescent="0.25">
      <c r="A9905" s="64" t="str">
        <f>HYPERLINK("http://www.twitter.com/ruthkell32", "ruthkell32")</f>
        <v>ruthkell32</v>
      </c>
      <c r="B9905" s="65" t="s">
        <v>296</v>
      </c>
    </row>
    <row r="9906" spans="1:2" x14ac:dyDescent="0.25">
      <c r="A9906" s="64" t="str">
        <f>HYPERLINK("http://www.twitter.com/AniaZajda", "AniaZajda")</f>
        <v>AniaZajda</v>
      </c>
      <c r="B9906" s="65"/>
    </row>
    <row r="9907" spans="1:2" x14ac:dyDescent="0.25">
      <c r="A9907" s="64" t="str">
        <f>HYPERLINK("http://www.twitter.com/JudexRueda", "JudexRueda")</f>
        <v>JudexRueda</v>
      </c>
      <c r="B9907" s="65" t="s">
        <v>6988</v>
      </c>
    </row>
    <row r="9908" spans="1:2" x14ac:dyDescent="0.25">
      <c r="A9908" s="64" t="str">
        <f>HYPERLINK("http://www.twitter.com/RoryOag", "RoryOag")</f>
        <v>RoryOag</v>
      </c>
      <c r="B9908" s="65" t="s">
        <v>5667</v>
      </c>
    </row>
    <row r="9909" spans="1:2" x14ac:dyDescent="0.25">
      <c r="A9909" s="64" t="str">
        <f>HYPERLINK("http://www.twitter.com/SarahLBagnall", "SarahLBagnall")</f>
        <v>SarahLBagnall</v>
      </c>
      <c r="B9909" s="65" t="s">
        <v>3678</v>
      </c>
    </row>
    <row r="9910" spans="1:2" x14ac:dyDescent="0.25">
      <c r="A9910" s="64" t="str">
        <f>HYPERLINK("http://www.twitter.com/rachelmsavage", "rachelmsavage")</f>
        <v>rachelmsavage</v>
      </c>
      <c r="B9910" s="65" t="s">
        <v>6254</v>
      </c>
    </row>
    <row r="9911" spans="1:2" x14ac:dyDescent="0.25">
      <c r="A9911" s="64" t="str">
        <f>HYPERLINK("http://www.twitter.com/eight8itup", "eight8itup")</f>
        <v>eight8itup</v>
      </c>
      <c r="B9911" s="65"/>
    </row>
    <row r="9912" spans="1:2" x14ac:dyDescent="0.25">
      <c r="A9912" s="64" t="str">
        <f>HYPERLINK("http://www.twitter.com/amcd", "amcd")</f>
        <v>amcd</v>
      </c>
      <c r="B9912" s="65" t="s">
        <v>6989</v>
      </c>
    </row>
    <row r="9913" spans="1:2" x14ac:dyDescent="0.25">
      <c r="A9913" s="64" t="str">
        <f>HYPERLINK("http://www.twitter.com/CrxCarina", "CrxCarina")</f>
        <v>CrxCarina</v>
      </c>
      <c r="B9913" s="65"/>
    </row>
    <row r="9914" spans="1:2" x14ac:dyDescent="0.25">
      <c r="A9914" s="64" t="str">
        <f>HYPERLINK("http://www.twitter.com/larryigloo", "larryigloo")</f>
        <v>larryigloo</v>
      </c>
      <c r="B9914" s="65"/>
    </row>
    <row r="9915" spans="1:2" x14ac:dyDescent="0.25">
      <c r="A9915" s="64" t="str">
        <f>HYPERLINK("http://www.twitter.com/Alimac0701", "Alimac0701")</f>
        <v>Alimac0701</v>
      </c>
      <c r="B9915" s="65"/>
    </row>
    <row r="9916" spans="1:2" x14ac:dyDescent="0.25">
      <c r="A9916" s="64" t="str">
        <f>HYPERLINK("http://www.twitter.com/bkruthy65", "bkruthy65")</f>
        <v>bkruthy65</v>
      </c>
      <c r="B9916" s="65" t="s">
        <v>6990</v>
      </c>
    </row>
    <row r="9917" spans="1:2" x14ac:dyDescent="0.25">
      <c r="A9917" s="64" t="str">
        <f>HYPERLINK("http://www.twitter.com/LeahJArmstrong", "LeahJArmstrong")</f>
        <v>LeahJArmstrong</v>
      </c>
      <c r="B9917" s="65" t="s">
        <v>4194</v>
      </c>
    </row>
    <row r="9918" spans="1:2" x14ac:dyDescent="0.25">
      <c r="A9918" s="64" t="str">
        <f>HYPERLINK("http://www.twitter.com/FenOswin", "FenOswin")</f>
        <v>FenOswin</v>
      </c>
      <c r="B9918" s="65" t="s">
        <v>36</v>
      </c>
    </row>
    <row r="9919" spans="1:2" x14ac:dyDescent="0.25">
      <c r="A9919" s="64" t="str">
        <f>HYPERLINK("http://www.twitter.com/RobOnABike", "RobOnABike")</f>
        <v>RobOnABike</v>
      </c>
      <c r="B9919" s="65" t="s">
        <v>505</v>
      </c>
    </row>
    <row r="9920" spans="1:2" x14ac:dyDescent="0.25">
      <c r="A9920" s="64" t="str">
        <f>HYPERLINK("http://www.twitter.com/lizzers_", "lizzers_")</f>
        <v>lizzers_</v>
      </c>
      <c r="B9920" s="65" t="s">
        <v>6991</v>
      </c>
    </row>
    <row r="9921" spans="1:2" x14ac:dyDescent="0.25">
      <c r="A9921" s="64" t="str">
        <f>HYPERLINK("http://www.twitter.com/onapeakindarien", "onapeakindarien")</f>
        <v>onapeakindarien</v>
      </c>
      <c r="B9921" s="65" t="s">
        <v>24</v>
      </c>
    </row>
    <row r="9922" spans="1:2" x14ac:dyDescent="0.25">
      <c r="A9922" s="64" t="str">
        <f>HYPERLINK("http://www.twitter.com/XavierTrapnel", "XavierTrapnel")</f>
        <v>XavierTrapnel</v>
      </c>
      <c r="B9922" s="65" t="s">
        <v>477</v>
      </c>
    </row>
    <row r="9923" spans="1:2" x14ac:dyDescent="0.25">
      <c r="A9923" s="64" t="str">
        <f>HYPERLINK("http://www.twitter.com/Viccles4", "Viccles4")</f>
        <v>Viccles4</v>
      </c>
      <c r="B9923" s="65"/>
    </row>
    <row r="9924" spans="1:2" x14ac:dyDescent="0.25">
      <c r="A9924" s="64" t="str">
        <f>HYPERLINK("http://www.twitter.com/boogarry", "boogarry")</f>
        <v>boogarry</v>
      </c>
      <c r="B9924" s="65"/>
    </row>
    <row r="9925" spans="1:2" x14ac:dyDescent="0.25">
      <c r="A9925" s="64" t="str">
        <f>HYPERLINK("http://www.twitter.com/stace_walton", "stace_walton")</f>
        <v>stace_walton</v>
      </c>
      <c r="B9925" s="65" t="s">
        <v>5212</v>
      </c>
    </row>
    <row r="9926" spans="1:2" x14ac:dyDescent="0.25">
      <c r="A9926" s="64" t="str">
        <f>HYPERLINK("http://www.twitter.com/RLBFest", "RLBFest")</f>
        <v>RLBFest</v>
      </c>
      <c r="B9926" s="65" t="s">
        <v>6992</v>
      </c>
    </row>
    <row r="9927" spans="1:2" x14ac:dyDescent="0.25">
      <c r="A9927" s="64" t="str">
        <f>HYPERLINK("http://www.twitter.com/sivaraj53134817", "sivaraj53134817")</f>
        <v>sivaraj53134817</v>
      </c>
      <c r="B9927" s="65"/>
    </row>
    <row r="9928" spans="1:2" x14ac:dyDescent="0.25">
      <c r="A9928" s="64" t="str">
        <f>HYPERLINK("http://www.twitter.com/DGCham", "DGCham")</f>
        <v>DGCham</v>
      </c>
      <c r="B9928" s="65"/>
    </row>
    <row r="9929" spans="1:2" x14ac:dyDescent="0.25">
      <c r="A9929" s="64" t="str">
        <f>HYPERLINK("http://www.twitter.com/ManonFoster", "ManonFoster")</f>
        <v>ManonFoster</v>
      </c>
      <c r="B9929" s="65" t="s">
        <v>4562</v>
      </c>
    </row>
    <row r="9930" spans="1:2" x14ac:dyDescent="0.25">
      <c r="A9930" s="64" t="str">
        <f>HYPERLINK("http://www.twitter.com/SorrowWar", "SorrowWar")</f>
        <v>SorrowWar</v>
      </c>
      <c r="B9930" s="65" t="s">
        <v>6993</v>
      </c>
    </row>
    <row r="9931" spans="1:2" x14ac:dyDescent="0.25">
      <c r="A9931" s="64" t="str">
        <f>HYPERLINK("http://www.twitter.com/VickiAHend", "VickiAHend")</f>
        <v>VickiAHend</v>
      </c>
      <c r="B9931" s="65" t="s">
        <v>138</v>
      </c>
    </row>
    <row r="9932" spans="1:2" x14ac:dyDescent="0.25">
      <c r="A9932" s="64" t="str">
        <f>HYPERLINK("http://www.twitter.com/JillD1981", "JillD1981")</f>
        <v>JillD1981</v>
      </c>
      <c r="B9932" s="65" t="s">
        <v>3854</v>
      </c>
    </row>
    <row r="9933" spans="1:2" x14ac:dyDescent="0.25">
      <c r="A9933" s="64" t="str">
        <f>HYPERLINK("http://www.twitter.com/thehaywriter", "thehaywriter")</f>
        <v>thehaywriter</v>
      </c>
      <c r="B9933" s="65" t="s">
        <v>70</v>
      </c>
    </row>
    <row r="9934" spans="1:2" x14ac:dyDescent="0.25">
      <c r="A9934" s="64" t="str">
        <f>HYPERLINK("http://www.twitter.com/KULibDean", "KULibDean")</f>
        <v>KULibDean</v>
      </c>
      <c r="B9934" s="65"/>
    </row>
    <row r="9935" spans="1:2" x14ac:dyDescent="0.25">
      <c r="A9935" s="64" t="str">
        <f>HYPERLINK("http://www.twitter.com/BenHowellA11y", "BenHowellA11y")</f>
        <v>BenHowellA11y</v>
      </c>
      <c r="B9935" s="65"/>
    </row>
    <row r="9936" spans="1:2" x14ac:dyDescent="0.25">
      <c r="A9936" s="64" t="str">
        <f>HYPERLINK("http://www.twitter.com/lez_howard", "lez_howard")</f>
        <v>lez_howard</v>
      </c>
      <c r="B9936" s="65"/>
    </row>
    <row r="9937" spans="1:2" x14ac:dyDescent="0.25">
      <c r="A9937" s="64" t="str">
        <f>HYPERLINK("http://www.twitter.com/colette_hicks", "colette_hicks")</f>
        <v>colette_hicks</v>
      </c>
      <c r="B9937" s="65"/>
    </row>
    <row r="9938" spans="1:2" x14ac:dyDescent="0.25">
      <c r="A9938" s="64" t="str">
        <f>HYPERLINK("http://www.twitter.com/janebenesova", "janebenesova")</f>
        <v>janebenesova</v>
      </c>
      <c r="B9938" s="65" t="s">
        <v>6994</v>
      </c>
    </row>
    <row r="9939" spans="1:2" x14ac:dyDescent="0.25">
      <c r="A9939" s="64" t="str">
        <f>HYPERLINK("http://www.twitter.com/orkneybandb", "orkneybandb")</f>
        <v>orkneybandb</v>
      </c>
      <c r="B9939" s="65" t="s">
        <v>3762</v>
      </c>
    </row>
    <row r="9940" spans="1:2" x14ac:dyDescent="0.25">
      <c r="A9940" s="64" t="str">
        <f>HYPERLINK("http://www.twitter.com/argo_bakery", "argo_bakery")</f>
        <v>argo_bakery</v>
      </c>
      <c r="B9940" s="65"/>
    </row>
    <row r="9941" spans="1:2" x14ac:dyDescent="0.25">
      <c r="A9941" s="64" t="str">
        <f>HYPERLINK("http://www.twitter.com/TheLibraryAge", "TheLibraryAge")</f>
        <v>TheLibraryAge</v>
      </c>
      <c r="B9941" s="65"/>
    </row>
    <row r="9942" spans="1:2" x14ac:dyDescent="0.25">
      <c r="A9942" s="64" t="str">
        <f>HYPERLINK("http://www.twitter.com/Rafael_dBarros", "Rafael_dBarros")</f>
        <v>Rafael_dBarros</v>
      </c>
      <c r="B9942" s="65"/>
    </row>
    <row r="9943" spans="1:2" x14ac:dyDescent="0.25">
      <c r="A9943" s="64" t="str">
        <f>HYPERLINK("http://www.twitter.com/lorriemcdougald", "lorriemcdougald")</f>
        <v>lorriemcdougald</v>
      </c>
      <c r="B9943" s="65"/>
    </row>
    <row r="9944" spans="1:2" x14ac:dyDescent="0.25">
      <c r="A9944" s="64" t="str">
        <f>HYPERLINK("http://www.twitter.com/ruthstubbings", "ruthstubbings")</f>
        <v>ruthstubbings</v>
      </c>
      <c r="B9944" s="65" t="s">
        <v>526</v>
      </c>
    </row>
    <row r="9945" spans="1:2" x14ac:dyDescent="0.25">
      <c r="A9945" s="64" t="str">
        <f>HYPERLINK("http://www.twitter.com/SocSciScotland", "SocSciScotland")</f>
        <v>SocSciScotland</v>
      </c>
      <c r="B9945" s="65" t="s">
        <v>6263</v>
      </c>
    </row>
    <row r="9946" spans="1:2" x14ac:dyDescent="0.25">
      <c r="A9946" s="64" t="str">
        <f>HYPERLINK("http://www.twitter.com/johnmacgill", "johnmacgill")</f>
        <v>johnmacgill</v>
      </c>
      <c r="B9946" s="65" t="s">
        <v>517</v>
      </c>
    </row>
    <row r="9947" spans="1:2" x14ac:dyDescent="0.25">
      <c r="A9947" s="64" t="str">
        <f>HYPERLINK("http://www.twitter.com/Dalzielians", "Dalzielians")</f>
        <v>Dalzielians</v>
      </c>
      <c r="B9947" s="65" t="s">
        <v>1689</v>
      </c>
    </row>
    <row r="9948" spans="1:2" x14ac:dyDescent="0.25">
      <c r="A9948" s="64" t="str">
        <f>HYPERLINK("http://www.twitter.com/jk_ronews24", "jk_ronews24")</f>
        <v>jk_ronews24</v>
      </c>
      <c r="B9948" s="65"/>
    </row>
    <row r="9949" spans="1:2" x14ac:dyDescent="0.25">
      <c r="A9949" s="64" t="str">
        <f>HYPERLINK("http://www.twitter.com/saskinthecity", "saskinthecity")</f>
        <v>saskinthecity</v>
      </c>
      <c r="B9949" s="65" t="s">
        <v>477</v>
      </c>
    </row>
    <row r="9950" spans="1:2" x14ac:dyDescent="0.25">
      <c r="A9950" s="64" t="str">
        <f>HYPERLINK("http://www.twitter.com/DarkBrownVoice", "DarkBrownVoice")</f>
        <v>DarkBrownVoice</v>
      </c>
      <c r="B9950" s="65" t="s">
        <v>70</v>
      </c>
    </row>
    <row r="9951" spans="1:2" x14ac:dyDescent="0.25">
      <c r="A9951" s="64" t="str">
        <f>HYPERLINK("http://www.twitter.com/caryanne89", "caryanne89")</f>
        <v>caryanne89</v>
      </c>
      <c r="B9951" s="65" t="s">
        <v>4329</v>
      </c>
    </row>
    <row r="9952" spans="1:2" x14ac:dyDescent="0.25">
      <c r="A9952" s="64" t="str">
        <f>HYPERLINK("http://www.twitter.com/7ede544ee12e4f9", "7ede544ee12e4f9")</f>
        <v>7ede544ee12e4f9</v>
      </c>
      <c r="B9952" s="65"/>
    </row>
    <row r="9953" spans="1:2" x14ac:dyDescent="0.25">
      <c r="A9953" s="64" t="str">
        <f>HYPERLINK("http://www.twitter.com/normski3091", "normski3091")</f>
        <v>normski3091</v>
      </c>
      <c r="B9953" s="65"/>
    </row>
    <row r="9954" spans="1:2" x14ac:dyDescent="0.25">
      <c r="A9954" s="64" t="str">
        <f>HYPERLINK("http://www.twitter.com/AshbyMo", "AshbyMo")</f>
        <v>AshbyMo</v>
      </c>
      <c r="B9954" s="65"/>
    </row>
    <row r="9955" spans="1:2" x14ac:dyDescent="0.25">
      <c r="A9955" s="64" t="str">
        <f>HYPERLINK("http://www.twitter.com/HelenSlavinBook", "HelenSlavinBook")</f>
        <v>HelenSlavinBook</v>
      </c>
      <c r="B9955" s="65"/>
    </row>
    <row r="9956" spans="1:2" x14ac:dyDescent="0.25">
      <c r="A9956" s="64" t="str">
        <f>HYPERLINK("http://www.twitter.com/maxiboose", "maxiboose")</f>
        <v>maxiboose</v>
      </c>
      <c r="B9956" s="65" t="s">
        <v>517</v>
      </c>
    </row>
    <row r="9957" spans="1:2" x14ac:dyDescent="0.25">
      <c r="A9957" s="64" t="str">
        <f>HYPERLINK("http://www.twitter.com/Library_Sarah_L", "Library_Sarah_L")</f>
        <v>Library_Sarah_L</v>
      </c>
      <c r="B9957" s="65" t="s">
        <v>70</v>
      </c>
    </row>
    <row r="9958" spans="1:2" x14ac:dyDescent="0.25">
      <c r="A9958" s="64" t="str">
        <f>HYPERLINK("http://www.twitter.com/prswrites1", "prswrites1")</f>
        <v>prswrites1</v>
      </c>
      <c r="B9958" s="65" t="s">
        <v>5117</v>
      </c>
    </row>
    <row r="9959" spans="1:2" x14ac:dyDescent="0.25">
      <c r="A9959" s="64" t="str">
        <f>HYPERLINK("http://www.twitter.com/cath_simpson13", "cath_simpson13")</f>
        <v>cath_simpson13</v>
      </c>
      <c r="B9959" s="65" t="s">
        <v>517</v>
      </c>
    </row>
    <row r="9960" spans="1:2" x14ac:dyDescent="0.25">
      <c r="A9960" s="64" t="str">
        <f>HYPERLINK("http://www.twitter.com/aguidetolondon", "aguidetolondon")</f>
        <v>aguidetolondon</v>
      </c>
      <c r="B9960" s="65" t="s">
        <v>36</v>
      </c>
    </row>
    <row r="9961" spans="1:2" x14ac:dyDescent="0.25">
      <c r="A9961" s="64" t="str">
        <f>HYPERLINK("http://www.twitter.com/HBee2015", "HBee2015")</f>
        <v>HBee2015</v>
      </c>
      <c r="B9961" s="65" t="s">
        <v>477</v>
      </c>
    </row>
    <row r="9962" spans="1:2" x14ac:dyDescent="0.25">
      <c r="A9962" s="64" t="str">
        <f>HYPERLINK("http://www.twitter.com/RheanneW_", "RheanneW_")</f>
        <v>RheanneW_</v>
      </c>
      <c r="B9962" s="65"/>
    </row>
    <row r="9963" spans="1:2" x14ac:dyDescent="0.25">
      <c r="A9963" s="64" t="str">
        <f>HYPERLINK("http://www.twitter.com/ExpertLMS", "ExpertLMS")</f>
        <v>ExpertLMS</v>
      </c>
      <c r="B9963" s="65" t="s">
        <v>6995</v>
      </c>
    </row>
    <row r="9964" spans="1:2" x14ac:dyDescent="0.25">
      <c r="A9964" s="64" t="str">
        <f>HYPERLINK("http://www.twitter.com/tnicetouch", "tnicetouch")</f>
        <v>tnicetouch</v>
      </c>
      <c r="B9964" s="65"/>
    </row>
    <row r="9965" spans="1:2" x14ac:dyDescent="0.25">
      <c r="A9965" s="64" t="str">
        <f>HYPERLINK("http://www.twitter.com/DodendronReader", "DodendronReader")</f>
        <v>DodendronReader</v>
      </c>
      <c r="B9965" s="65"/>
    </row>
    <row r="9966" spans="1:2" x14ac:dyDescent="0.25">
      <c r="A9966" s="64" t="str">
        <f>HYPERLINK("http://www.twitter.com/orkneyjems", "orkneyjems")</f>
        <v>orkneyjems</v>
      </c>
      <c r="B9966" s="65"/>
    </row>
    <row r="9967" spans="1:2" x14ac:dyDescent="0.25">
      <c r="A9967" s="64" t="str">
        <f>HYPERLINK("http://www.twitter.com/missrachelbenn", "missrachelbenn")</f>
        <v>missrachelbenn</v>
      </c>
      <c r="B9967" s="65" t="s">
        <v>93</v>
      </c>
    </row>
    <row r="9968" spans="1:2" x14ac:dyDescent="0.25">
      <c r="A9968" s="64" t="str">
        <f>HYPERLINK("http://www.twitter.com/michaelpullan", "michaelpullan")</f>
        <v>michaelpullan</v>
      </c>
      <c r="B9968" s="65" t="s">
        <v>6996</v>
      </c>
    </row>
    <row r="9969" spans="1:2" x14ac:dyDescent="0.25">
      <c r="A9969" s="64" t="str">
        <f>HYPERLINK("http://www.twitter.com/lauren_macky", "lauren_macky")</f>
        <v>lauren_macky</v>
      </c>
      <c r="B9969" s="65"/>
    </row>
    <row r="9970" spans="1:2" x14ac:dyDescent="0.25">
      <c r="A9970" s="64" t="str">
        <f>HYPERLINK("http://www.twitter.com/arrowsmithlesl1", "arrowsmithlesl1")</f>
        <v>arrowsmithlesl1</v>
      </c>
      <c r="B9970" s="65" t="s">
        <v>2911</v>
      </c>
    </row>
    <row r="9971" spans="1:2" x14ac:dyDescent="0.25">
      <c r="A9971" s="64" t="str">
        <f>HYPERLINK("http://www.twitter.com/rosemarkie22", "rosemarkie22")</f>
        <v>rosemarkie22</v>
      </c>
      <c r="B9971" s="65"/>
    </row>
    <row r="9972" spans="1:2" x14ac:dyDescent="0.25">
      <c r="A9972" s="64" t="str">
        <f>HYPERLINK("http://www.twitter.com/MattMadison7", "MattMadison7")</f>
        <v>MattMadison7</v>
      </c>
      <c r="B9972" s="65" t="s">
        <v>6086</v>
      </c>
    </row>
    <row r="9973" spans="1:2" x14ac:dyDescent="0.25">
      <c r="A9973" s="64" t="str">
        <f>HYPERLINK("http://www.twitter.com/CelebrateLibra1", "CelebrateLibra1")</f>
        <v>CelebrateLibra1</v>
      </c>
      <c r="B9973" s="65"/>
    </row>
    <row r="9974" spans="1:2" x14ac:dyDescent="0.25">
      <c r="A9974" s="64" t="str">
        <f>HYPERLINK("http://www.twitter.com/Batpigsbitch", "Batpigsbitch")</f>
        <v>Batpigsbitch</v>
      </c>
      <c r="B9974" s="65"/>
    </row>
    <row r="9975" spans="1:2" x14ac:dyDescent="0.25">
      <c r="A9975" s="64" t="str">
        <f>HYPERLINK("http://www.twitter.com/abbielp", "abbielp")</f>
        <v>abbielp</v>
      </c>
      <c r="B9975" s="65"/>
    </row>
    <row r="9976" spans="1:2" x14ac:dyDescent="0.25">
      <c r="A9976" s="64" t="str">
        <f>HYPERLINK("http://www.twitter.com/minxtwit", "minxtwit")</f>
        <v>minxtwit</v>
      </c>
      <c r="B9976" s="65" t="s">
        <v>5006</v>
      </c>
    </row>
    <row r="9977" spans="1:2" x14ac:dyDescent="0.25">
      <c r="A9977" s="64" t="str">
        <f>HYPERLINK("http://www.twitter.com/ALuckyDress", "ALuckyDress")</f>
        <v>ALuckyDress</v>
      </c>
      <c r="B9977" s="65"/>
    </row>
    <row r="9978" spans="1:2" x14ac:dyDescent="0.25">
      <c r="A9978" s="64" t="str">
        <f>HYPERLINK("http://www.twitter.com/milkteatweets", "milkteatweets")</f>
        <v>milkteatweets</v>
      </c>
      <c r="B9978" s="65" t="s">
        <v>1189</v>
      </c>
    </row>
    <row r="9979" spans="1:2" x14ac:dyDescent="0.25">
      <c r="A9979" s="64" t="str">
        <f>HYPERLINK("http://www.twitter.com/KathyReid", "KathyReid")</f>
        <v>KathyReid</v>
      </c>
      <c r="B9979" s="65" t="s">
        <v>6702</v>
      </c>
    </row>
    <row r="9980" spans="1:2" x14ac:dyDescent="0.25">
      <c r="A9980" s="64" t="str">
        <f>HYPERLINK("http://www.twitter.com/Rakan_Almuteri", "Rakan_Almuteri")</f>
        <v>Rakan_Almuteri</v>
      </c>
      <c r="B9980" s="65"/>
    </row>
    <row r="9981" spans="1:2" x14ac:dyDescent="0.25">
      <c r="A9981" s="64" t="str">
        <f>HYPERLINK("http://www.twitter.com/Candice1989", "Candice1989")</f>
        <v>Candice1989</v>
      </c>
      <c r="B9981" s="65"/>
    </row>
    <row r="9982" spans="1:2" x14ac:dyDescent="0.25">
      <c r="A9982" s="64" t="str">
        <f>HYPERLINK("http://www.twitter.com/jesspietsch", "jesspietsch")</f>
        <v>jesspietsch</v>
      </c>
      <c r="B9982" s="65" t="s">
        <v>4697</v>
      </c>
    </row>
    <row r="9983" spans="1:2" x14ac:dyDescent="0.25">
      <c r="A9983" s="64" t="str">
        <f>HYPERLINK("http://www.twitter.com/KimTheBookworm", "KimTheBookworm")</f>
        <v>KimTheBookworm</v>
      </c>
      <c r="B9983" s="65" t="s">
        <v>6997</v>
      </c>
    </row>
    <row r="9984" spans="1:2" x14ac:dyDescent="0.25">
      <c r="A9984" s="64" t="str">
        <f>HYPERLINK("http://www.twitter.com/sonia6973", "sonia6973")</f>
        <v>sonia6973</v>
      </c>
      <c r="B9984" s="65" t="s">
        <v>3762</v>
      </c>
    </row>
    <row r="9985" spans="1:2" x14ac:dyDescent="0.25">
      <c r="A9985" s="64" t="str">
        <f>HYPERLINK("http://www.twitter.com/LisaPeatfield", "LisaPeatfield")</f>
        <v>LisaPeatfield</v>
      </c>
      <c r="B9985" s="65" t="s">
        <v>477</v>
      </c>
    </row>
    <row r="9986" spans="1:2" x14ac:dyDescent="0.25">
      <c r="A9986" s="64" t="str">
        <f>HYPERLINK("http://www.twitter.com/kirsty_boyle", "kirsty_boyle")</f>
        <v>kirsty_boyle</v>
      </c>
      <c r="B9986" s="65" t="s">
        <v>6222</v>
      </c>
    </row>
    <row r="9987" spans="1:2" x14ac:dyDescent="0.25">
      <c r="A9987" s="64" t="str">
        <f>HYPERLINK("http://www.twitter.com/lookingupdown", "lookingupdown")</f>
        <v>lookingupdown</v>
      </c>
      <c r="B9987" s="65" t="s">
        <v>3821</v>
      </c>
    </row>
    <row r="9988" spans="1:2" x14ac:dyDescent="0.25">
      <c r="A9988" s="64" t="str">
        <f>HYPERLINK("http://www.twitter.com/GameofTherapies", "GameofTherapies")</f>
        <v>GameofTherapies</v>
      </c>
      <c r="B9988" s="65" t="s">
        <v>487</v>
      </c>
    </row>
    <row r="9989" spans="1:2" x14ac:dyDescent="0.25">
      <c r="A9989" s="64" t="str">
        <f>HYPERLINK("http://www.twitter.com/BigBClub", "BigBClub")</f>
        <v>BigBClub</v>
      </c>
      <c r="B9989" s="65" t="s">
        <v>2401</v>
      </c>
    </row>
    <row r="9990" spans="1:2" x14ac:dyDescent="0.25">
      <c r="A9990" s="64" t="str">
        <f>HYPERLINK("http://www.twitter.com/shonabruce", "shonabruce")</f>
        <v>shonabruce</v>
      </c>
      <c r="B9990" s="65" t="s">
        <v>36</v>
      </c>
    </row>
    <row r="9991" spans="1:2" x14ac:dyDescent="0.25">
      <c r="A9991" s="64" t="str">
        <f>HYPERLINK("http://www.twitter.com/iner999", "iner999")</f>
        <v>iner999</v>
      </c>
      <c r="B9991" s="65" t="s">
        <v>6998</v>
      </c>
    </row>
    <row r="9992" spans="1:2" x14ac:dyDescent="0.25">
      <c r="A9992" s="64" t="str">
        <f>HYPERLINK("http://www.twitter.com/ludovicofontana", "ludovicofontana")</f>
        <v>ludovicofontana</v>
      </c>
      <c r="B9992" s="65" t="s">
        <v>6999</v>
      </c>
    </row>
    <row r="9993" spans="1:2" x14ac:dyDescent="0.25">
      <c r="A9993" s="64" t="str">
        <f>HYPERLINK("http://www.twitter.com/raddatabrarian", "raddatabrarian")</f>
        <v>raddatabrarian</v>
      </c>
      <c r="B9993" s="65"/>
    </row>
    <row r="9994" spans="1:2" x14ac:dyDescent="0.25">
      <c r="A9994" s="64" t="str">
        <f>HYPERLINK("http://www.twitter.com/orkneyjennys", "orkneyjennys")</f>
        <v>orkneyjennys</v>
      </c>
      <c r="B9994" s="65"/>
    </row>
    <row r="9995" spans="1:2" x14ac:dyDescent="0.25">
      <c r="A9995" s="64" t="str">
        <f>HYPERLINK("http://www.twitter.com/pedofoodHP", "pedofoodHP")</f>
        <v>pedofoodHP</v>
      </c>
      <c r="B9995" s="65" t="s">
        <v>3819</v>
      </c>
    </row>
    <row r="9996" spans="1:2" x14ac:dyDescent="0.25">
      <c r="A9996" s="64" t="str">
        <f>HYPERLINK("http://www.twitter.com/BarbarinaV_", "BarbarinaV_")</f>
        <v>BarbarinaV_</v>
      </c>
      <c r="B9996" s="65" t="s">
        <v>6634</v>
      </c>
    </row>
    <row r="9997" spans="1:2" x14ac:dyDescent="0.25">
      <c r="A9997" s="64" t="str">
        <f>HYPERLINK("http://www.twitter.com/shutterkost", "shutterkost")</f>
        <v>shutterkost</v>
      </c>
      <c r="B9997" s="65" t="s">
        <v>4932</v>
      </c>
    </row>
    <row r="9998" spans="1:2" x14ac:dyDescent="0.25">
      <c r="A9998" s="64" t="str">
        <f>HYPERLINK("http://www.twitter.com/abresslour", "abresslour")</f>
        <v>abresslour</v>
      </c>
      <c r="B9998" s="65" t="s">
        <v>6111</v>
      </c>
    </row>
    <row r="9999" spans="1:2" x14ac:dyDescent="0.25">
      <c r="A9999" s="64" t="str">
        <f>HYPERLINK("http://www.twitter.com/NiraR610", "NiraR610")</f>
        <v>NiraR610</v>
      </c>
      <c r="B9999" s="65" t="s">
        <v>7000</v>
      </c>
    </row>
    <row r="10000" spans="1:2" x14ac:dyDescent="0.25">
      <c r="A10000" s="64" t="str">
        <f>HYPERLINK("http://www.twitter.com/SherrylGuilory", "SherrylGuilory")</f>
        <v>SherrylGuilory</v>
      </c>
      <c r="B10000" s="65" t="s">
        <v>7001</v>
      </c>
    </row>
    <row r="10001" spans="1:2" x14ac:dyDescent="0.25">
      <c r="A10001" s="64" t="str">
        <f>HYPERLINK("http://www.twitter.com/jenk2021", "jenk2021")</f>
        <v>jenk2021</v>
      </c>
      <c r="B10001" s="65" t="s">
        <v>1967</v>
      </c>
    </row>
    <row r="10002" spans="1:2" x14ac:dyDescent="0.25">
      <c r="A10002" s="64" t="str">
        <f>HYPERLINK("http://www.twitter.com/madison_glisson", "madison_glisson")</f>
        <v>madison_glisson</v>
      </c>
      <c r="B10002" s="65"/>
    </row>
    <row r="10003" spans="1:2" x14ac:dyDescent="0.25">
      <c r="A10003" s="64" t="str">
        <f>HYPERLINK("http://www.twitter.com/_KennethMac", "_KennethMac")</f>
        <v>_KennethMac</v>
      </c>
      <c r="B10003" s="65" t="s">
        <v>7002</v>
      </c>
    </row>
    <row r="10004" spans="1:2" x14ac:dyDescent="0.25">
      <c r="A10004" s="64" t="str">
        <f>HYPERLINK("http://www.twitter.com/subratanandi87", "subratanandi87")</f>
        <v>subratanandi87</v>
      </c>
      <c r="B10004" s="65" t="s">
        <v>6616</v>
      </c>
    </row>
    <row r="10005" spans="1:2" x14ac:dyDescent="0.25">
      <c r="A10005" s="64" t="str">
        <f>HYPERLINK("http://www.twitter.com/Thibziboy", "Thibziboy")</f>
        <v>Thibziboy</v>
      </c>
      <c r="B10005" s="65"/>
    </row>
    <row r="10006" spans="1:2" x14ac:dyDescent="0.25">
      <c r="A10006" s="64" t="str">
        <f>HYPERLINK("http://www.twitter.com/georgiapmike", "georgiapmike")</f>
        <v>georgiapmike</v>
      </c>
      <c r="B10006" s="65"/>
    </row>
    <row r="10007" spans="1:2" x14ac:dyDescent="0.25">
      <c r="A10007" s="64" t="str">
        <f>HYPERLINK("http://www.twitter.com/Don_Cornholium", "Don_Cornholium")</f>
        <v>Don_Cornholium</v>
      </c>
      <c r="B10007" s="65" t="s">
        <v>7003</v>
      </c>
    </row>
    <row r="10008" spans="1:2" x14ac:dyDescent="0.25">
      <c r="A10008" s="64" t="str">
        <f>HYPERLINK("http://www.twitter.com/AryaScarlett", "AryaScarlett")</f>
        <v>AryaScarlett</v>
      </c>
      <c r="B10008" s="65" t="s">
        <v>7004</v>
      </c>
    </row>
    <row r="10009" spans="1:2" x14ac:dyDescent="0.25">
      <c r="A10009" s="64" t="str">
        <f>HYPERLINK("http://www.twitter.com/BethanB29", "BethanB29")</f>
        <v>BethanB29</v>
      </c>
      <c r="B10009" s="65"/>
    </row>
    <row r="10010" spans="1:2" x14ac:dyDescent="0.25">
      <c r="A10010" s="64" t="str">
        <f>HYPERLINK("http://www.twitter.com/goughpainting", "goughpainting")</f>
        <v>goughpainting</v>
      </c>
      <c r="B10010" s="65"/>
    </row>
    <row r="10011" spans="1:2" x14ac:dyDescent="0.25">
      <c r="A10011" s="64" t="str">
        <f>HYPERLINK("http://www.twitter.com/LouiseShilling", "LouiseShilling")</f>
        <v>LouiseShilling</v>
      </c>
      <c r="B10011" s="65"/>
    </row>
    <row r="10012" spans="1:2" x14ac:dyDescent="0.25">
      <c r="A10012" s="64" t="str">
        <f>HYPERLINK("http://www.twitter.com/_Ylime_", "_Ylime_")</f>
        <v>_Ylime_</v>
      </c>
      <c r="B10012" s="65" t="s">
        <v>7005</v>
      </c>
    </row>
    <row r="10013" spans="1:2" x14ac:dyDescent="0.25">
      <c r="A10013" s="64" t="str">
        <f>HYPERLINK("http://www.twitter.com/tumble33", "tumble33")</f>
        <v>tumble33</v>
      </c>
      <c r="B10013" s="65" t="s">
        <v>7006</v>
      </c>
    </row>
    <row r="10014" spans="1:2" x14ac:dyDescent="0.25">
      <c r="A10014" s="64" t="str">
        <f>HYPERLINK("http://www.twitter.com/eoinmccaul01", "eoinmccaul01")</f>
        <v>eoinmccaul01</v>
      </c>
      <c r="B10014" s="65"/>
    </row>
    <row r="10015" spans="1:2" x14ac:dyDescent="0.25">
      <c r="A10015" s="64" t="str">
        <f>HYPERLINK("http://www.twitter.com/jugolinvianna", "jugolinvianna")</f>
        <v>jugolinvianna</v>
      </c>
      <c r="B10015" s="65"/>
    </row>
    <row r="10016" spans="1:2" x14ac:dyDescent="0.25">
      <c r="A10016" s="64" t="str">
        <f>HYPERLINK("http://www.twitter.com/HoneypearsComix", "HoneypearsComix")</f>
        <v>HoneypearsComix</v>
      </c>
      <c r="B10016" s="65" t="s">
        <v>517</v>
      </c>
    </row>
    <row r="10017" spans="1:2" x14ac:dyDescent="0.25">
      <c r="A10017" s="64" t="str">
        <f>HYPERLINK("http://www.twitter.com/JimJam_2010", "JimJam_2010")</f>
        <v>JimJam_2010</v>
      </c>
      <c r="B10017" s="65" t="s">
        <v>36</v>
      </c>
    </row>
    <row r="10018" spans="1:2" x14ac:dyDescent="0.25">
      <c r="A10018" s="64" t="str">
        <f>HYPERLINK("http://www.twitter.com/jorgerivera_01", "jorgerivera_01")</f>
        <v>jorgerivera_01</v>
      </c>
      <c r="B10018" s="65" t="s">
        <v>7007</v>
      </c>
    </row>
    <row r="10019" spans="1:2" x14ac:dyDescent="0.25">
      <c r="A10019" s="64" t="str">
        <f>HYPERLINK("http://www.twitter.com/Rainbow_Worrier", "Rainbow_Worrier")</f>
        <v>Rainbow_Worrier</v>
      </c>
      <c r="B10019" s="65" t="s">
        <v>7008</v>
      </c>
    </row>
    <row r="10020" spans="1:2" x14ac:dyDescent="0.25">
      <c r="A10020" s="64" t="str">
        <f>HYPERLINK("http://www.twitter.com/theonlymar", "theonlymar")</f>
        <v>theonlymar</v>
      </c>
      <c r="B10020" s="65"/>
    </row>
    <row r="10021" spans="1:2" x14ac:dyDescent="0.25">
      <c r="A10021" s="64" t="str">
        <f>HYPERLINK("http://www.twitter.com/mentalbirdjo", "mentalbirdjo")</f>
        <v>mentalbirdjo</v>
      </c>
      <c r="B10021" s="65"/>
    </row>
    <row r="10022" spans="1:2" x14ac:dyDescent="0.25">
      <c r="A10022" s="64" t="str">
        <f>HYPERLINK("http://www.twitter.com/tait_rachel", "tait_rachel")</f>
        <v>tait_rachel</v>
      </c>
      <c r="B10022" s="65" t="s">
        <v>487</v>
      </c>
    </row>
    <row r="10023" spans="1:2" x14ac:dyDescent="0.25">
      <c r="A10023" s="64" t="str">
        <f>HYPERLINK("http://www.twitter.com/ElmerDuff1", "ElmerDuff1")</f>
        <v>ElmerDuff1</v>
      </c>
      <c r="B10023" s="65"/>
    </row>
    <row r="10024" spans="1:2" x14ac:dyDescent="0.25">
      <c r="A10024" s="64" t="str">
        <f>HYPERLINK("http://www.twitter.com/SeasideShandy", "SeasideShandy")</f>
        <v>SeasideShandy</v>
      </c>
      <c r="B10024" s="65"/>
    </row>
    <row r="10025" spans="1:2" x14ac:dyDescent="0.25">
      <c r="A10025" s="64" t="str">
        <f>HYPERLINK("http://www.twitter.com/Kimbowiggle", "Kimbowiggle")</f>
        <v>Kimbowiggle</v>
      </c>
      <c r="B10025" s="65"/>
    </row>
    <row r="10026" spans="1:2" x14ac:dyDescent="0.25">
      <c r="A10026" s="64" t="str">
        <f>HYPERLINK("http://www.twitter.com/exerciseworks", "exerciseworks")</f>
        <v>exerciseworks</v>
      </c>
      <c r="B10026" s="65" t="s">
        <v>7009</v>
      </c>
    </row>
    <row r="10027" spans="1:2" x14ac:dyDescent="0.25">
      <c r="A10027" s="64" t="str">
        <f>HYPERLINK("http://www.twitter.com/susans1406", "susans1406")</f>
        <v>susans1406</v>
      </c>
      <c r="B10027" s="65"/>
    </row>
    <row r="10028" spans="1:2" x14ac:dyDescent="0.25">
      <c r="A10028" s="64" t="str">
        <f>HYPERLINK("http://www.twitter.com/GarreauMagali", "GarreauMagali")</f>
        <v>GarreauMagali</v>
      </c>
      <c r="B10028" s="65"/>
    </row>
    <row r="10029" spans="1:2" x14ac:dyDescent="0.25">
      <c r="A10029" s="64" t="str">
        <f>HYPERLINK("http://www.twitter.com/seankenyon4", "seankenyon4")</f>
        <v>seankenyon4</v>
      </c>
      <c r="B10029" s="65" t="s">
        <v>7010</v>
      </c>
    </row>
    <row r="10030" spans="1:2" x14ac:dyDescent="0.25">
      <c r="A10030" s="64" t="str">
        <f>HYPERLINK("http://www.twitter.com/ARLinklater", "ARLinklater")</f>
        <v>ARLinklater</v>
      </c>
      <c r="B10030" s="65"/>
    </row>
    <row r="10031" spans="1:2" x14ac:dyDescent="0.25">
      <c r="A10031" s="64" t="str">
        <f>HYPERLINK("http://www.twitter.com/borokatoro", "borokatoro")</f>
        <v>borokatoro</v>
      </c>
      <c r="B10031" s="65" t="s">
        <v>808</v>
      </c>
    </row>
    <row r="10032" spans="1:2" x14ac:dyDescent="0.25">
      <c r="A10032" s="64" t="str">
        <f>HYPERLINK("http://www.twitter.com/_Qu33nV", "_Qu33nV")</f>
        <v>_Qu33nV</v>
      </c>
      <c r="B10032" s="65"/>
    </row>
    <row r="10033" spans="1:2" x14ac:dyDescent="0.25">
      <c r="A10033" s="64" t="str">
        <f>HYPERLINK("http://www.twitter.com/TristanNils", "TristanNils")</f>
        <v>TristanNils</v>
      </c>
      <c r="B10033" s="65" t="s">
        <v>7011</v>
      </c>
    </row>
    <row r="10034" spans="1:2" x14ac:dyDescent="0.25">
      <c r="A10034" s="64" t="str">
        <f>HYPERLINK("http://www.twitter.com/YonHighlandLass", "YonHighlandLass")</f>
        <v>YonHighlandLass</v>
      </c>
      <c r="B10034" s="65" t="s">
        <v>6107</v>
      </c>
    </row>
    <row r="10035" spans="1:2" x14ac:dyDescent="0.25">
      <c r="A10035" s="64" t="str">
        <f>HYPERLINK("http://www.twitter.com/peaceowain", "peaceowain")</f>
        <v>peaceowain</v>
      </c>
      <c r="B10035" s="65" t="s">
        <v>1218</v>
      </c>
    </row>
    <row r="10036" spans="1:2" x14ac:dyDescent="0.25">
      <c r="A10036" s="64" t="str">
        <f>HYPERLINK("http://www.twitter.com/stephenmccole", "stephenmccole")</f>
        <v>stephenmccole</v>
      </c>
      <c r="B10036" s="65" t="s">
        <v>4167</v>
      </c>
    </row>
    <row r="10037" spans="1:2" x14ac:dyDescent="0.25">
      <c r="A10037" s="64" t="str">
        <f>HYPERLINK("http://www.twitter.com/smallerclanger", "smallerclanger")</f>
        <v>smallerclanger</v>
      </c>
      <c r="B10037" s="65"/>
    </row>
    <row r="10038" spans="1:2" x14ac:dyDescent="0.25">
      <c r="A10038" s="64" t="str">
        <f>HYPERLINK("http://www.twitter.com/muckto", "muckto")</f>
        <v>muckto</v>
      </c>
      <c r="B10038" s="65" t="s">
        <v>4039</v>
      </c>
    </row>
    <row r="10039" spans="1:2" x14ac:dyDescent="0.25">
      <c r="A10039" s="64" t="str">
        <f>HYPERLINK("http://www.twitter.com/Jule_8P", "Jule_8P")</f>
        <v>Jule_8P</v>
      </c>
      <c r="B10039" s="65"/>
    </row>
    <row r="10040" spans="1:2" x14ac:dyDescent="0.25">
      <c r="A10040" s="64" t="str">
        <f>HYPERLINK("http://www.twitter.com/elenahj_", "elenahj_")</f>
        <v>elenahj_</v>
      </c>
      <c r="B10040" s="65" t="s">
        <v>110</v>
      </c>
    </row>
    <row r="10041" spans="1:2" x14ac:dyDescent="0.25">
      <c r="A10041" s="64" t="str">
        <f>HYPERLINK("http://www.twitter.com/GemmaEllis_", "GemmaEllis_")</f>
        <v>GemmaEllis_</v>
      </c>
      <c r="B10041" s="65" t="s">
        <v>36</v>
      </c>
    </row>
    <row r="10042" spans="1:2" x14ac:dyDescent="0.25">
      <c r="A10042" s="64" t="str">
        <f>HYPERLINK("http://www.twitter.com/lizbain", "lizbain")</f>
        <v>lizbain</v>
      </c>
      <c r="B10042" s="65"/>
    </row>
    <row r="10043" spans="1:2" x14ac:dyDescent="0.25">
      <c r="A10043" s="64" t="str">
        <f>HYPERLINK("http://www.twitter.com/LaurineLM1", "LaurineLM1")</f>
        <v>LaurineLM1</v>
      </c>
      <c r="B10043" s="65" t="s">
        <v>7012</v>
      </c>
    </row>
    <row r="10044" spans="1:2" x14ac:dyDescent="0.25">
      <c r="A10044" s="64" t="str">
        <f>HYPERLINK("http://www.twitter.com/susannahvhoward", "susannahvhoward")</f>
        <v>susannahvhoward</v>
      </c>
      <c r="B10044" s="65"/>
    </row>
    <row r="10045" spans="1:2" x14ac:dyDescent="0.25">
      <c r="A10045" s="64" t="str">
        <f>HYPERLINK("http://www.twitter.com/pshipton55", "pshipton55")</f>
        <v>pshipton55</v>
      </c>
      <c r="B10045" s="65"/>
    </row>
    <row r="10046" spans="1:2" x14ac:dyDescent="0.25">
      <c r="A10046" s="64" t="str">
        <f>HYPERLINK("http://www.twitter.com/Braambo", "Braambo")</f>
        <v>Braambo</v>
      </c>
      <c r="B10046" s="65" t="s">
        <v>138</v>
      </c>
    </row>
    <row r="10047" spans="1:2" x14ac:dyDescent="0.25">
      <c r="A10047" s="64" t="str">
        <f>HYPERLINK("http://www.twitter.com/white_hart", "white_hart")</f>
        <v>white_hart</v>
      </c>
      <c r="B10047" s="65" t="s">
        <v>505</v>
      </c>
    </row>
    <row r="10048" spans="1:2" x14ac:dyDescent="0.25">
      <c r="A10048" s="64" t="str">
        <f>HYPERLINK("http://www.twitter.com/beejay3110", "beejay3110")</f>
        <v>beejay3110</v>
      </c>
      <c r="B10048" s="65" t="s">
        <v>7013</v>
      </c>
    </row>
    <row r="10049" spans="1:2" x14ac:dyDescent="0.25">
      <c r="A10049" s="64" t="str">
        <f>HYPERLINK("http://www.twitter.com/mohara3", "mohara3")</f>
        <v>mohara3</v>
      </c>
      <c r="B10049" s="65"/>
    </row>
    <row r="10050" spans="1:2" x14ac:dyDescent="0.25">
      <c r="A10050" s="64" t="str">
        <f>HYPERLINK("http://www.twitter.com/claireecairns", "claireecairns")</f>
        <v>claireecairns</v>
      </c>
      <c r="B10050" s="65" t="s">
        <v>7014</v>
      </c>
    </row>
    <row r="10051" spans="1:2" x14ac:dyDescent="0.25">
      <c r="A10051" s="64" t="str">
        <f>HYPERLINK("http://www.twitter.com/Clexa_Potteries", "Clexa_Potteries")</f>
        <v>Clexa_Potteries</v>
      </c>
      <c r="B10051" s="65" t="s">
        <v>7015</v>
      </c>
    </row>
    <row r="10052" spans="1:2" x14ac:dyDescent="0.25">
      <c r="A10052" s="64" t="str">
        <f>HYPERLINK("http://www.twitter.com/RinDacheva", "RinDacheva")</f>
        <v>RinDacheva</v>
      </c>
      <c r="B10052" s="65" t="s">
        <v>477</v>
      </c>
    </row>
    <row r="10053" spans="1:2" x14ac:dyDescent="0.25">
      <c r="A10053" s="64" t="str">
        <f>HYPERLINK("http://www.twitter.com/TengoLoTodo", "TengoLoTodo")</f>
        <v>TengoLoTodo</v>
      </c>
      <c r="B10053" s="65" t="s">
        <v>2007</v>
      </c>
    </row>
    <row r="10054" spans="1:2" x14ac:dyDescent="0.25">
      <c r="A10054" s="64" t="str">
        <f>HYPERLINK("http://www.twitter.com/Preston97Katie", "Preston97Katie")</f>
        <v>Preston97Katie</v>
      </c>
      <c r="B10054" s="65"/>
    </row>
    <row r="10055" spans="1:2" x14ac:dyDescent="0.25">
      <c r="A10055" s="64" t="str">
        <f>HYPERLINK("http://www.twitter.com/RachelForbesy", "RachelForbesy")</f>
        <v>RachelForbesy</v>
      </c>
      <c r="B10055" s="65" t="s">
        <v>138</v>
      </c>
    </row>
    <row r="10056" spans="1:2" x14ac:dyDescent="0.25">
      <c r="A10056" s="64" t="str">
        <f>HYPERLINK("http://www.twitter.com/Mery_0015", "Mery_0015")</f>
        <v>Mery_0015</v>
      </c>
      <c r="B10056" s="65" t="s">
        <v>7016</v>
      </c>
    </row>
    <row r="10057" spans="1:2" x14ac:dyDescent="0.25">
      <c r="A10057" s="64" t="str">
        <f>HYPERLINK("http://www.twitter.com/ammiemcevoy", "ammiemcevoy")</f>
        <v>ammiemcevoy</v>
      </c>
      <c r="B10057" s="65" t="s">
        <v>7017</v>
      </c>
    </row>
    <row r="10058" spans="1:2" x14ac:dyDescent="0.25">
      <c r="A10058" s="64" t="str">
        <f>HYPERLINK("http://www.twitter.com/CenTonever", "CenTonever")</f>
        <v>CenTonever</v>
      </c>
      <c r="B10058" s="65"/>
    </row>
    <row r="10059" spans="1:2" x14ac:dyDescent="0.25">
      <c r="A10059" s="64" t="str">
        <f>HYPERLINK("http://www.twitter.com/Nantague", "Nantague")</f>
        <v>Nantague</v>
      </c>
      <c r="B10059" s="65"/>
    </row>
    <row r="10060" spans="1:2" x14ac:dyDescent="0.25">
      <c r="A10060" s="64" t="str">
        <f>HYPERLINK("http://www.twitter.com/angharadcorona", "angharadcorona")</f>
        <v>angharadcorona</v>
      </c>
      <c r="B10060" s="65" t="s">
        <v>36</v>
      </c>
    </row>
    <row r="10061" spans="1:2" x14ac:dyDescent="0.25">
      <c r="A10061" s="64" t="str">
        <f>HYPERLINK("http://www.twitter.com/Elitanegra", "Elitanegra")</f>
        <v>Elitanegra</v>
      </c>
      <c r="B10061" s="65"/>
    </row>
    <row r="10062" spans="1:2" x14ac:dyDescent="0.25">
      <c r="A10062" s="64" t="str">
        <f>HYPERLINK("http://www.twitter.com/WebSquirrel", "WebSquirrel")</f>
        <v>WebSquirrel</v>
      </c>
      <c r="B10062" s="65" t="s">
        <v>7018</v>
      </c>
    </row>
    <row r="10063" spans="1:2" x14ac:dyDescent="0.25">
      <c r="A10063" s="64" t="str">
        <f>HYPERLINK("http://www.twitter.com/u_materiation", "u_materiation")</f>
        <v>u_materiation</v>
      </c>
      <c r="B10063" s="65" t="s">
        <v>3819</v>
      </c>
    </row>
    <row r="10064" spans="1:2" x14ac:dyDescent="0.25">
      <c r="A10064" s="64" t="str">
        <f>HYPERLINK("http://www.twitter.com/blackmatty", "blackmatty")</f>
        <v>blackmatty</v>
      </c>
      <c r="B10064" s="65" t="s">
        <v>36</v>
      </c>
    </row>
    <row r="10065" spans="1:2" x14ac:dyDescent="0.25">
      <c r="A10065" s="64" t="str">
        <f>HYPERLINK("http://www.twitter.com/pippahough", "pippahough")</f>
        <v>pippahough</v>
      </c>
      <c r="B10065" s="65" t="s">
        <v>36</v>
      </c>
    </row>
    <row r="10066" spans="1:2" x14ac:dyDescent="0.25">
      <c r="A10066" s="64" t="str">
        <f>HYPERLINK("http://www.twitter.com/annainjozi", "annainjozi")</f>
        <v>annainjozi</v>
      </c>
      <c r="B10066" s="65" t="s">
        <v>1189</v>
      </c>
    </row>
    <row r="10067" spans="1:2" x14ac:dyDescent="0.25">
      <c r="A10067" s="64" t="str">
        <f>HYPERLINK("http://www.twitter.com/markhzll", "markhzll")</f>
        <v>markhzll</v>
      </c>
      <c r="B10067" s="65" t="s">
        <v>7019</v>
      </c>
    </row>
    <row r="10068" spans="1:2" x14ac:dyDescent="0.25">
      <c r="A10068" s="64" t="str">
        <f>HYPERLINK("http://www.twitter.com/77blueskybuzz", "77blueskybuzz")</f>
        <v>77blueskybuzz</v>
      </c>
      <c r="B10068" s="65" t="s">
        <v>7020</v>
      </c>
    </row>
    <row r="10069" spans="1:2" x14ac:dyDescent="0.25">
      <c r="A10069" s="64" t="str">
        <f>HYPERLINK("http://www.twitter.com/hannahrst", "hannahrst")</f>
        <v>hannahrst</v>
      </c>
      <c r="B10069" s="65" t="s">
        <v>1218</v>
      </c>
    </row>
    <row r="10070" spans="1:2" x14ac:dyDescent="0.25">
      <c r="A10070" s="64" t="str">
        <f>HYPERLINK("http://www.twitter.com/PWM1991", "PWM1991")</f>
        <v>PWM1991</v>
      </c>
      <c r="B10070" s="65" t="s">
        <v>36</v>
      </c>
    </row>
    <row r="10071" spans="1:2" x14ac:dyDescent="0.25">
      <c r="A10071" s="64" t="str">
        <f>HYPERLINK("http://www.twitter.com/BronwenAlice", "BronwenAlice")</f>
        <v>BronwenAlice</v>
      </c>
      <c r="B10071" s="65" t="s">
        <v>7021</v>
      </c>
    </row>
    <row r="10072" spans="1:2" x14ac:dyDescent="0.25">
      <c r="A10072" s="64" t="str">
        <f>HYPERLINK("http://www.twitter.com/swan_duncan", "swan_duncan")</f>
        <v>swan_duncan</v>
      </c>
      <c r="B10072" s="65" t="s">
        <v>2007</v>
      </c>
    </row>
    <row r="10073" spans="1:2" x14ac:dyDescent="0.25">
      <c r="A10073" s="64" t="str">
        <f>HYPERLINK("http://www.twitter.com/laurafindlay98", "laurafindlay98")</f>
        <v>laurafindlay98</v>
      </c>
      <c r="B10073" s="65" t="s">
        <v>2007</v>
      </c>
    </row>
    <row r="10074" spans="1:2" x14ac:dyDescent="0.25">
      <c r="A10074" s="64" t="str">
        <f>HYPERLINK("http://www.twitter.com/IsabelHem", "IsabelHem")</f>
        <v>IsabelHem</v>
      </c>
      <c r="B10074" s="65" t="s">
        <v>4234</v>
      </c>
    </row>
    <row r="10075" spans="1:2" x14ac:dyDescent="0.25">
      <c r="A10075" s="64" t="str">
        <f>HYPERLINK("http://www.twitter.com/lobsterpot_", "lobsterpot_")</f>
        <v>lobsterpot_</v>
      </c>
      <c r="B10075" s="65" t="s">
        <v>477</v>
      </c>
    </row>
    <row r="10076" spans="1:2" x14ac:dyDescent="0.25">
      <c r="A10076" s="64" t="str">
        <f>HYPERLINK("http://www.twitter.com/beckyisbonkers", "beckyisbonkers")</f>
        <v>beckyisbonkers</v>
      </c>
      <c r="B10076" s="65" t="s">
        <v>970</v>
      </c>
    </row>
    <row r="10077" spans="1:2" x14ac:dyDescent="0.25">
      <c r="A10077" s="64" t="str">
        <f>HYPERLINK("http://www.twitter.com/marionotes", "marionotes")</f>
        <v>marionotes</v>
      </c>
      <c r="B10077" s="65" t="s">
        <v>7022</v>
      </c>
    </row>
    <row r="10078" spans="1:2" x14ac:dyDescent="0.25">
      <c r="A10078" s="64" t="str">
        <f>HYPERLINK("http://www.twitter.com/EmilyTaithe", "EmilyTaithe")</f>
        <v>EmilyTaithe</v>
      </c>
      <c r="B10078" s="65" t="s">
        <v>7023</v>
      </c>
    </row>
    <row r="10079" spans="1:2" x14ac:dyDescent="0.25">
      <c r="A10079" s="64" t="str">
        <f>HYPERLINK("http://www.twitter.com/AnnemareW", "AnnemareW")</f>
        <v>AnnemareW</v>
      </c>
      <c r="B10079" s="65" t="s">
        <v>24</v>
      </c>
    </row>
    <row r="10080" spans="1:2" x14ac:dyDescent="0.25">
      <c r="A10080" s="64" t="str">
        <f>HYPERLINK("http://www.twitter.com/DrEmmaHosking", "DrEmmaHosking")</f>
        <v>DrEmmaHosking</v>
      </c>
      <c r="B10080" s="65" t="s">
        <v>2134</v>
      </c>
    </row>
    <row r="10081" spans="1:2" x14ac:dyDescent="0.25">
      <c r="A10081" s="64" t="str">
        <f>HYPERLINK("http://www.twitter.com/scottsned", "scottsned")</f>
        <v>scottsned</v>
      </c>
      <c r="B10081" s="65" t="s">
        <v>7024</v>
      </c>
    </row>
    <row r="10082" spans="1:2" x14ac:dyDescent="0.25">
      <c r="A10082" s="64" t="str">
        <f>HYPERLINK("http://www.twitter.com/DrJo_Mo", "DrJo_Mo")</f>
        <v>DrJo_Mo</v>
      </c>
      <c r="B10082" s="65" t="s">
        <v>7025</v>
      </c>
    </row>
    <row r="10083" spans="1:2" x14ac:dyDescent="0.25">
      <c r="A10083" s="64" t="str">
        <f>HYPERLINK("http://www.twitter.com/orkneyrunner", "orkneyrunner")</f>
        <v>orkneyrunner</v>
      </c>
      <c r="B10083" s="65" t="s">
        <v>7026</v>
      </c>
    </row>
    <row r="10084" spans="1:2" x14ac:dyDescent="0.25">
      <c r="A10084" s="64" t="str">
        <f>HYPERLINK("http://www.twitter.com/thegrindjournal", "thegrindjournal")</f>
        <v>thegrindjournal</v>
      </c>
      <c r="B10084" s="65" t="s">
        <v>517</v>
      </c>
    </row>
    <row r="10085" spans="1:2" x14ac:dyDescent="0.25">
      <c r="A10085" s="64" t="str">
        <f>HYPERLINK("http://www.twitter.com/misskylie77", "misskylie77")</f>
        <v>misskylie77</v>
      </c>
      <c r="B10085" s="65" t="s">
        <v>1479</v>
      </c>
    </row>
    <row r="10086" spans="1:2" x14ac:dyDescent="0.25">
      <c r="A10086" s="64" t="str">
        <f>HYPERLINK("http://www.twitter.com/deniselmeredith", "deniselmeredith")</f>
        <v>deniselmeredith</v>
      </c>
      <c r="B10086" s="65"/>
    </row>
    <row r="10087" spans="1:2" x14ac:dyDescent="0.25">
      <c r="A10087" s="64" t="str">
        <f>HYPERLINK("http://www.twitter.com/aahj", "aahj")</f>
        <v>aahj</v>
      </c>
      <c r="B10087" s="65" t="s">
        <v>7027</v>
      </c>
    </row>
    <row r="10088" spans="1:2" x14ac:dyDescent="0.25">
      <c r="A10088" s="64" t="str">
        <f>HYPERLINK("http://www.twitter.com/PannyGraham", "PannyGraham")</f>
        <v>PannyGraham</v>
      </c>
      <c r="B10088" s="65"/>
    </row>
    <row r="10089" spans="1:2" x14ac:dyDescent="0.25">
      <c r="A10089" s="64" t="str">
        <f>HYPERLINK("http://www.twitter.com/GillCraigie", "GillCraigie")</f>
        <v>GillCraigie</v>
      </c>
      <c r="B10089" s="65" t="s">
        <v>24</v>
      </c>
    </row>
    <row r="10090" spans="1:2" x14ac:dyDescent="0.25">
      <c r="A10090" s="64" t="str">
        <f>HYPERLINK("http://www.twitter.com/aphraworthy", "aphraworthy")</f>
        <v>aphraworthy</v>
      </c>
      <c r="B10090" s="65" t="s">
        <v>3762</v>
      </c>
    </row>
    <row r="10091" spans="1:2" x14ac:dyDescent="0.25">
      <c r="A10091" s="64" t="str">
        <f>HYPERLINK("http://www.twitter.com/MarlingLibrary", "MarlingLibrary")</f>
        <v>MarlingLibrary</v>
      </c>
      <c r="B10091" s="65" t="s">
        <v>5899</v>
      </c>
    </row>
    <row r="10092" spans="1:2" x14ac:dyDescent="0.25">
      <c r="A10092" s="64" t="str">
        <f>HYPERLINK("http://www.twitter.com/StromnessMuseum", "StromnessMuseum")</f>
        <v>StromnessMuseum</v>
      </c>
      <c r="B10092" s="65" t="s">
        <v>4223</v>
      </c>
    </row>
    <row r="10093" spans="1:2" x14ac:dyDescent="0.25">
      <c r="A10093" s="64" t="str">
        <f>HYPERLINK("http://www.twitter.com/TrudiFozzie", "TrudiFozzie")</f>
        <v>TrudiFozzie</v>
      </c>
      <c r="B10093" s="65" t="s">
        <v>180</v>
      </c>
    </row>
    <row r="10094" spans="1:2" x14ac:dyDescent="0.25">
      <c r="A10094" s="64" t="str">
        <f>HYPERLINK("http://www.twitter.com/HannahTOrkney", "HannahTOrkney")</f>
        <v>HannahTOrkney</v>
      </c>
      <c r="B10094" s="65" t="s">
        <v>3762</v>
      </c>
    </row>
    <row r="10095" spans="1:2" x14ac:dyDescent="0.25">
      <c r="A10095" s="64" t="str">
        <f>HYPERLINK("http://www.twitter.com/progressrogue", "progressrogue")</f>
        <v>progressrogue</v>
      </c>
      <c r="B10095" s="65" t="s">
        <v>2289</v>
      </c>
    </row>
    <row r="10096" spans="1:2" x14ac:dyDescent="0.25">
      <c r="A10096" s="64" t="str">
        <f>HYPERLINK("http://www.twitter.com/Sum1Mich", "Sum1Mich")</f>
        <v>Sum1Mich</v>
      </c>
      <c r="B10096" s="65"/>
    </row>
    <row r="10097" spans="1:2" x14ac:dyDescent="0.25">
      <c r="A10097" s="64" t="str">
        <f>HYPERLINK("http://www.twitter.com/stulennon", "stulennon")</f>
        <v>stulennon</v>
      </c>
      <c r="B10097" s="65" t="s">
        <v>1790</v>
      </c>
    </row>
    <row r="10098" spans="1:2" x14ac:dyDescent="0.25">
      <c r="A10098" s="64" t="str">
        <f>HYPERLINK("http://www.twitter.com/The3Norn", "The3Norn")</f>
        <v>The3Norn</v>
      </c>
      <c r="B10098" s="65"/>
    </row>
    <row r="10099" spans="1:2" x14ac:dyDescent="0.25">
      <c r="A10099" s="64" t="str">
        <f>HYPERLINK("http://www.twitter.com/ChaNamesOne", "ChaNamesOne")</f>
        <v>ChaNamesOne</v>
      </c>
      <c r="B10099" s="65"/>
    </row>
    <row r="10100" spans="1:2" x14ac:dyDescent="0.25">
      <c r="A10100" s="64" t="str">
        <f>HYPERLINK("http://www.twitter.com/AEWJ", "AEWJ")</f>
        <v>AEWJ</v>
      </c>
      <c r="B10100" s="65" t="s">
        <v>36</v>
      </c>
    </row>
    <row r="10101" spans="1:2" x14ac:dyDescent="0.25">
      <c r="A10101" s="64" t="str">
        <f>HYPERLINK("http://www.twitter.com/AngliaG", "AngliaG")</f>
        <v>AngliaG</v>
      </c>
      <c r="B10101" s="65" t="s">
        <v>4763</v>
      </c>
    </row>
    <row r="10102" spans="1:2" x14ac:dyDescent="0.25">
      <c r="A10102" s="64" t="str">
        <f>HYPERLINK("http://www.twitter.com/RPL_Adults", "RPL_Adults")</f>
        <v>RPL_Adults</v>
      </c>
      <c r="B10102" s="65" t="s">
        <v>3871</v>
      </c>
    </row>
    <row r="10103" spans="1:2" x14ac:dyDescent="0.25">
      <c r="A10103" s="64" t="str">
        <f>HYPERLINK("http://www.twitter.com/leicesterlibrar", "leicesterlibrar")</f>
        <v>leicesterlibrar</v>
      </c>
      <c r="B10103" s="65" t="s">
        <v>302</v>
      </c>
    </row>
    <row r="10104" spans="1:2" x14ac:dyDescent="0.25">
      <c r="A10104" s="64" t="str">
        <f>HYPERLINK("http://www.twitter.com/allykeir", "allykeir")</f>
        <v>allykeir</v>
      </c>
      <c r="B10104" s="65" t="s">
        <v>2007</v>
      </c>
    </row>
    <row r="10105" spans="1:2" x14ac:dyDescent="0.25">
      <c r="A10105" s="64" t="str">
        <f>HYPERLINK("http://www.twitter.com/rabbitfanta", "rabbitfanta")</f>
        <v>rabbitfanta</v>
      </c>
      <c r="B10105" s="65"/>
    </row>
    <row r="10106" spans="1:2" x14ac:dyDescent="0.25">
      <c r="A10106" s="64" t="str">
        <f>HYPERLINK("http://www.twitter.com/411research", "411research")</f>
        <v>411research</v>
      </c>
      <c r="B10106" s="65" t="s">
        <v>3776</v>
      </c>
    </row>
    <row r="10107" spans="1:2" x14ac:dyDescent="0.25">
      <c r="A10107" s="64" t="str">
        <f>HYPERLINK("http://www.twitter.com/Gina_Wilson_", "Gina_Wilson_")</f>
        <v>Gina_Wilson_</v>
      </c>
      <c r="B10107" s="65" t="s">
        <v>7028</v>
      </c>
    </row>
    <row r="10108" spans="1:2" x14ac:dyDescent="0.25">
      <c r="A10108" s="64" t="str">
        <f>HYPERLINK("http://www.twitter.com/perspicaciousam", "perspicaciousam")</f>
        <v>perspicaciousam</v>
      </c>
      <c r="B10108" s="65" t="s">
        <v>67</v>
      </c>
    </row>
    <row r="10109" spans="1:2" x14ac:dyDescent="0.25">
      <c r="A10109" s="64" t="str">
        <f>HYPERLINK("http://www.twitter.com/goodmovesjobs", "goodmovesjobs")</f>
        <v>goodmovesjobs</v>
      </c>
      <c r="B10109" s="65" t="s">
        <v>517</v>
      </c>
    </row>
    <row r="10110" spans="1:2" x14ac:dyDescent="0.25">
      <c r="A10110" s="64" t="str">
        <f>HYPERLINK("http://www.twitter.com/AranWS", "AranWS")</f>
        <v>AranWS</v>
      </c>
      <c r="B10110" s="65" t="s">
        <v>487</v>
      </c>
    </row>
    <row r="10111" spans="1:2" x14ac:dyDescent="0.25">
      <c r="A10111" s="64" t="str">
        <f>HYPERLINK("http://www.twitter.com/furney", "furney")</f>
        <v>furney</v>
      </c>
      <c r="B10111" s="65" t="s">
        <v>7029</v>
      </c>
    </row>
    <row r="10112" spans="1:2" x14ac:dyDescent="0.25">
      <c r="A10112" s="64" t="str">
        <f>HYPERLINK("http://www.twitter.com/AllanBrown5", "AllanBrown5")</f>
        <v>AllanBrown5</v>
      </c>
      <c r="B10112" s="65"/>
    </row>
    <row r="10113" spans="1:2" x14ac:dyDescent="0.25">
      <c r="A10113" s="64" t="str">
        <f>HYPERLINK("http://www.twitter.com/JulietEwers", "JulietEwers")</f>
        <v>JulietEwers</v>
      </c>
      <c r="B10113" s="65"/>
    </row>
    <row r="10114" spans="1:2" x14ac:dyDescent="0.25">
      <c r="A10114" s="64" t="str">
        <f>HYPERLINK("http://www.twitter.com/HeathPenelope", "HeathPenelope")</f>
        <v>HeathPenelope</v>
      </c>
      <c r="B10114" s="65" t="s">
        <v>1377</v>
      </c>
    </row>
    <row r="10115" spans="1:2" x14ac:dyDescent="0.25">
      <c r="A10115" s="64" t="str">
        <f>HYPERLINK("http://www.twitter.com/oliveowl99", "oliveowl99")</f>
        <v>oliveowl99</v>
      </c>
      <c r="B10115" s="65"/>
    </row>
    <row r="10116" spans="1:2" x14ac:dyDescent="0.25">
      <c r="A10116" s="64" t="str">
        <f>HYPERLINK("http://www.twitter.com/wilhelminapitfa", "wilhelminapitfa")</f>
        <v>wilhelminapitfa</v>
      </c>
      <c r="B10116" s="65" t="s">
        <v>7030</v>
      </c>
    </row>
    <row r="10117" spans="1:2" x14ac:dyDescent="0.25">
      <c r="A10117" s="64" t="str">
        <f>HYPERLINK("http://www.twitter.com/hourofwork", "hourofwork")</f>
        <v>hourofwork</v>
      </c>
      <c r="B10117" s="65"/>
    </row>
    <row r="10118" spans="1:2" x14ac:dyDescent="0.25">
      <c r="A10118" s="64" t="str">
        <f>HYPERLINK("http://www.twitter.com/FriendsUnitedUK", "FriendsUnitedUK")</f>
        <v>FriendsUnitedUK</v>
      </c>
      <c r="B10118" s="65" t="s">
        <v>7031</v>
      </c>
    </row>
    <row r="10119" spans="1:2" x14ac:dyDescent="0.25">
      <c r="A10119" s="64" t="str">
        <f>HYPERLINK("http://www.twitter.com/MissFreyaJ", "MissFreyaJ")</f>
        <v>MissFreyaJ</v>
      </c>
      <c r="B10119" s="65" t="s">
        <v>36</v>
      </c>
    </row>
    <row r="10120" spans="1:2" x14ac:dyDescent="0.25">
      <c r="A10120" s="64" t="str">
        <f>HYPERLINK("http://www.twitter.com/frito_kipper", "frito_kipper")</f>
        <v>frito_kipper</v>
      </c>
      <c r="B10120" s="65"/>
    </row>
    <row r="10121" spans="1:2" x14ac:dyDescent="0.25">
      <c r="A10121" s="64" t="str">
        <f>HYPERLINK("http://www.twitter.com/rainebowbean", "rainebowbean")</f>
        <v>rainebowbean</v>
      </c>
      <c r="B10121" s="65"/>
    </row>
    <row r="10122" spans="1:2" x14ac:dyDescent="0.25">
      <c r="A10122" s="64" t="str">
        <f>HYPERLINK("http://www.twitter.com/invisiblejp", "invisiblejp")</f>
        <v>invisiblejp</v>
      </c>
      <c r="B10122" s="65" t="s">
        <v>7032</v>
      </c>
    </row>
    <row r="10123" spans="1:2" x14ac:dyDescent="0.25">
      <c r="A10123" s="64" t="str">
        <f>HYPERLINK("http://www.twitter.com/Mrs_Conco", "Mrs_Conco")</f>
        <v>Mrs_Conco</v>
      </c>
      <c r="B10123" s="65"/>
    </row>
    <row r="10124" spans="1:2" x14ac:dyDescent="0.25">
      <c r="A10124" s="64" t="str">
        <f>HYPERLINK("http://www.twitter.com/adrianwalker", "adrianwalker")</f>
        <v>adrianwalker</v>
      </c>
      <c r="B10124" s="65" t="s">
        <v>477</v>
      </c>
    </row>
    <row r="10125" spans="1:2" x14ac:dyDescent="0.25">
      <c r="A10125" s="64" t="str">
        <f>HYPERLINK("http://www.twitter.com/mcilwaine", "mcilwaine")</f>
        <v>mcilwaine</v>
      </c>
      <c r="B10125" s="65" t="s">
        <v>4716</v>
      </c>
    </row>
    <row r="10126" spans="1:2" x14ac:dyDescent="0.25">
      <c r="A10126" s="64" t="str">
        <f>HYPERLINK("http://www.twitter.com/belindamycat", "belindamycat")</f>
        <v>belindamycat</v>
      </c>
      <c r="B10126" s="65"/>
    </row>
    <row r="10127" spans="1:2" x14ac:dyDescent="0.25">
      <c r="A10127" s="64" t="str">
        <f>HYPERLINK("http://www.twitter.com/fizzixteach", "fizzixteach")</f>
        <v>fizzixteach</v>
      </c>
      <c r="B10127" s="65" t="s">
        <v>7033</v>
      </c>
    </row>
    <row r="10128" spans="1:2" x14ac:dyDescent="0.25">
      <c r="A10128" s="64" t="str">
        <f>HYPERLINK("http://www.twitter.com/MrsBear21", "MrsBear21")</f>
        <v>MrsBear21</v>
      </c>
      <c r="B10128" s="65"/>
    </row>
    <row r="10129" spans="1:2" x14ac:dyDescent="0.25">
      <c r="A10129" s="64" t="str">
        <f>HYPERLINK("http://www.twitter.com/RoddisLibrary", "RoddisLibrary")</f>
        <v>RoddisLibrary</v>
      </c>
      <c r="B10129" s="65" t="s">
        <v>7034</v>
      </c>
    </row>
    <row r="10130" spans="1:2" x14ac:dyDescent="0.25">
      <c r="A10130" s="64" t="str">
        <f>HYPERLINK("http://www.twitter.com/CrownhillTSoil", "CrownhillTSoil")</f>
        <v>CrownhillTSoil</v>
      </c>
      <c r="B10130" s="65" t="s">
        <v>7035</v>
      </c>
    </row>
    <row r="10131" spans="1:2" x14ac:dyDescent="0.25">
      <c r="A10131" s="64" t="str">
        <f>HYPERLINK("http://www.twitter.com/aambankstown", "aambankstown")</f>
        <v>aambankstown</v>
      </c>
      <c r="B10131" s="65" t="s">
        <v>7036</v>
      </c>
    </row>
    <row r="10132" spans="1:2" x14ac:dyDescent="0.25">
      <c r="A10132" s="64" t="str">
        <f>HYPERLINK("http://www.twitter.com/CarlaJHalton", "CarlaJHalton")</f>
        <v>CarlaJHalton</v>
      </c>
      <c r="B10132" s="65"/>
    </row>
    <row r="10133" spans="1:2" x14ac:dyDescent="0.25">
      <c r="A10133" s="64" t="str">
        <f>HYPERLINK("http://www.twitter.com/BeanstalkHumber", "BeanstalkHumber")</f>
        <v>BeanstalkHumber</v>
      </c>
      <c r="B10133" s="65" t="s">
        <v>5048</v>
      </c>
    </row>
    <row r="10134" spans="1:2" x14ac:dyDescent="0.25">
      <c r="A10134" s="64" t="str">
        <f>HYPERLINK("http://www.twitter.com/LikesALab", "LikesALab")</f>
        <v>LikesALab</v>
      </c>
      <c r="B10134" s="65" t="s">
        <v>296</v>
      </c>
    </row>
    <row r="10135" spans="1:2" x14ac:dyDescent="0.25">
      <c r="A10135" s="64" t="str">
        <f>HYPERLINK("http://www.twitter.com/mgslibrary", "mgslibrary")</f>
        <v>mgslibrary</v>
      </c>
      <c r="B10135" s="65" t="s">
        <v>33</v>
      </c>
    </row>
    <row r="10136" spans="1:2" x14ac:dyDescent="0.25">
      <c r="A10136" s="64" t="str">
        <f>HYPERLINK("http://www.twitter.com/LeslieGRoman", "LeslieGRoman")</f>
        <v>LeslieGRoman</v>
      </c>
      <c r="B10136" s="65" t="s">
        <v>5313</v>
      </c>
    </row>
    <row r="10137" spans="1:2" x14ac:dyDescent="0.25">
      <c r="A10137" s="64" t="str">
        <f>HYPERLINK("http://www.twitter.com/LiberryBecca", "LiberryBecca")</f>
        <v>LiberryBecca</v>
      </c>
      <c r="B10137" s="65"/>
    </row>
    <row r="10138" spans="1:2" x14ac:dyDescent="0.25">
      <c r="A10138" s="64" t="str">
        <f>HYPERLINK("http://www.twitter.com/matti_colley", "matti_colley")</f>
        <v>matti_colley</v>
      </c>
      <c r="B10138" s="65" t="s">
        <v>5566</v>
      </c>
    </row>
    <row r="10139" spans="1:2" x14ac:dyDescent="0.25">
      <c r="A10139" s="64" t="str">
        <f>HYPERLINK("http://www.twitter.com/Trustbids", "Trustbids")</f>
        <v>Trustbids</v>
      </c>
      <c r="B10139" s="65" t="s">
        <v>70</v>
      </c>
    </row>
    <row r="10140" spans="1:2" x14ac:dyDescent="0.25">
      <c r="A10140" s="64" t="str">
        <f>HYPERLINK("http://www.twitter.com/ucfcomhsl", "ucfcomhsl")</f>
        <v>ucfcomhsl</v>
      </c>
      <c r="B10140" s="65" t="s">
        <v>3985</v>
      </c>
    </row>
    <row r="10141" spans="1:2" x14ac:dyDescent="0.25">
      <c r="A10141" s="64" t="str">
        <f>HYPERLINK("http://www.twitter.com/iainrriley", "iainrriley")</f>
        <v>iainrriley</v>
      </c>
      <c r="B10141" s="65"/>
    </row>
    <row r="10142" spans="1:2" x14ac:dyDescent="0.25">
      <c r="A10142" s="64" t="str">
        <f>HYPERLINK("http://www.twitter.com/UKTheDutch", "UKTheDutch")</f>
        <v>UKTheDutch</v>
      </c>
      <c r="B10142" s="65" t="s">
        <v>477</v>
      </c>
    </row>
    <row r="10143" spans="1:2" x14ac:dyDescent="0.25">
      <c r="A10143" s="64" t="str">
        <f>HYPERLINK("http://www.twitter.com/Templespa_Hanna", "Templespa_Hanna")</f>
        <v>Templespa_Hanna</v>
      </c>
      <c r="B10143" s="65" t="s">
        <v>4176</v>
      </c>
    </row>
    <row r="10144" spans="1:2" x14ac:dyDescent="0.25">
      <c r="A10144" s="64" t="str">
        <f>HYPERLINK("http://www.twitter.com/book2net", "book2net")</f>
        <v>book2net</v>
      </c>
      <c r="B10144" s="65" t="s">
        <v>7037</v>
      </c>
    </row>
    <row r="10145" spans="1:2" x14ac:dyDescent="0.25">
      <c r="A10145" s="64" t="str">
        <f>HYPERLINK("http://www.twitter.com/DamePurple", "DamePurple")</f>
        <v>DamePurple</v>
      </c>
      <c r="B10145" s="65" t="s">
        <v>4976</v>
      </c>
    </row>
    <row r="10146" spans="1:2" x14ac:dyDescent="0.25">
      <c r="A10146" s="64" t="str">
        <f>HYPERLINK("http://www.twitter.com/LimeksOfis", "LimeksOfis")</f>
        <v>LimeksOfis</v>
      </c>
      <c r="B10146" s="65"/>
    </row>
    <row r="10147" spans="1:2" x14ac:dyDescent="0.25">
      <c r="A10147" s="64" t="str">
        <f>HYPERLINK("http://www.twitter.com/thewhylab", "thewhylab")</f>
        <v>thewhylab</v>
      </c>
      <c r="B10147" s="65" t="s">
        <v>4149</v>
      </c>
    </row>
    <row r="10148" spans="1:2" x14ac:dyDescent="0.25">
      <c r="A10148" s="64" t="str">
        <f>HYPERLINK("http://www.twitter.com/JenRobsonArtist", "JenRobsonArtist")</f>
        <v>JenRobsonArtist</v>
      </c>
      <c r="B10148" s="65" t="s">
        <v>1482</v>
      </c>
    </row>
    <row r="10149" spans="1:2" x14ac:dyDescent="0.25">
      <c r="A10149" s="64" t="str">
        <f>HYPERLINK("http://www.twitter.com/janinesmith8401", "janinesmith8401")</f>
        <v>janinesmith8401</v>
      </c>
      <c r="B10149" s="65"/>
    </row>
    <row r="10150" spans="1:2" x14ac:dyDescent="0.25">
      <c r="A10150" s="64" t="str">
        <f>HYPERLINK("http://www.twitter.com/PoshepnyMark", "PoshepnyMark")</f>
        <v>PoshepnyMark</v>
      </c>
      <c r="B10150" s="65"/>
    </row>
    <row r="10151" spans="1:2" x14ac:dyDescent="0.25">
      <c r="A10151" s="64" t="str">
        <f>HYPERLINK("http://www.twitter.com/SusieBirne", "SusieBirne")</f>
        <v>SusieBirne</v>
      </c>
      <c r="B10151" s="65"/>
    </row>
    <row r="10152" spans="1:2" x14ac:dyDescent="0.25">
      <c r="A10152" s="64" t="str">
        <f>HYPERLINK("http://www.twitter.com/hnc_business", "hnc_business")</f>
        <v>hnc_business</v>
      </c>
      <c r="B10152" s="65"/>
    </row>
    <row r="10153" spans="1:2" x14ac:dyDescent="0.25">
      <c r="A10153" s="64" t="str">
        <f>HYPERLINK("http://www.twitter.com/GregorRMaxwell", "GregorRMaxwell")</f>
        <v>GregorRMaxwell</v>
      </c>
      <c r="B10153" s="65" t="s">
        <v>7038</v>
      </c>
    </row>
    <row r="10154" spans="1:2" x14ac:dyDescent="0.25">
      <c r="A10154" s="64" t="str">
        <f>HYPERLINK("http://www.twitter.com/CoplandFront", "CoplandFront")</f>
        <v>CoplandFront</v>
      </c>
      <c r="B10154" s="65" t="s">
        <v>2007</v>
      </c>
    </row>
    <row r="10155" spans="1:2" x14ac:dyDescent="0.25">
      <c r="A10155" s="64" t="str">
        <f>HYPERLINK("http://www.twitter.com/micchr", "micchr")</f>
        <v>micchr</v>
      </c>
      <c r="B10155" s="65" t="s">
        <v>7039</v>
      </c>
    </row>
    <row r="10156" spans="1:2" x14ac:dyDescent="0.25">
      <c r="A10156" s="64" t="str">
        <f>HYPERLINK("http://www.twitter.com/cnaroznycharles", "cnaroznycharles")</f>
        <v>cnaroznycharles</v>
      </c>
      <c r="B10156" s="65"/>
    </row>
    <row r="10157" spans="1:2" x14ac:dyDescent="0.25">
      <c r="A10157" s="64" t="str">
        <f>HYPERLINK("http://www.twitter.com/merlynthewizard", "merlynthewizard")</f>
        <v>merlynthewizard</v>
      </c>
      <c r="B10157" s="65"/>
    </row>
    <row r="10158" spans="1:2" x14ac:dyDescent="0.25">
      <c r="A10158" s="64" t="str">
        <f>HYPERLINK("http://www.twitter.com/MSinOrkney", "MSinOrkney")</f>
        <v>MSinOrkney</v>
      </c>
      <c r="B10158" s="65" t="s">
        <v>7040</v>
      </c>
    </row>
    <row r="10159" spans="1:2" x14ac:dyDescent="0.25">
      <c r="A10159" s="64" t="str">
        <f>HYPERLINK("http://www.twitter.com/AddiscombeVole", "AddiscombeVole")</f>
        <v>AddiscombeVole</v>
      </c>
      <c r="B10159" s="65" t="s">
        <v>7041</v>
      </c>
    </row>
    <row r="10160" spans="1:2" x14ac:dyDescent="0.25">
      <c r="A10160" s="64" t="str">
        <f>HYPERLINK("http://www.twitter.com/WoodKimbo19", "WoodKimbo19")</f>
        <v>WoodKimbo19</v>
      </c>
      <c r="B10160" s="65" t="s">
        <v>20</v>
      </c>
    </row>
    <row r="10161" spans="1:2" x14ac:dyDescent="0.25">
      <c r="A10161" s="64" t="str">
        <f>HYPERLINK("http://www.twitter.com/robertsullivan", "robertsullivan")</f>
        <v>robertsullivan</v>
      </c>
      <c r="B10161" s="65" t="s">
        <v>70</v>
      </c>
    </row>
    <row r="10162" spans="1:2" x14ac:dyDescent="0.25">
      <c r="A10162" s="64" t="str">
        <f>HYPERLINK("http://www.twitter.com/The_Eilidh", "The_Eilidh")</f>
        <v>The_Eilidh</v>
      </c>
      <c r="B10162" s="65" t="s">
        <v>2007</v>
      </c>
    </row>
    <row r="10163" spans="1:2" x14ac:dyDescent="0.25">
      <c r="A10163" s="64" t="str">
        <f>HYPERLINK("http://www.twitter.com/michelwong230", "michelwong230")</f>
        <v>michelwong230</v>
      </c>
      <c r="B10163" s="65"/>
    </row>
    <row r="10164" spans="1:2" x14ac:dyDescent="0.25">
      <c r="A10164" s="64" t="str">
        <f>HYPERLINK("http://www.twitter.com/NightOwl30", "NightOwl30")</f>
        <v>NightOwl30</v>
      </c>
      <c r="B10164" s="65" t="s">
        <v>2232</v>
      </c>
    </row>
    <row r="10165" spans="1:2" x14ac:dyDescent="0.25">
      <c r="A10165" s="64" t="str">
        <f>HYPERLINK("http://www.twitter.com/Kathryn_VDB", "Kathryn_VDB")</f>
        <v>Kathryn_VDB</v>
      </c>
      <c r="B10165" s="65" t="s">
        <v>517</v>
      </c>
    </row>
    <row r="10166" spans="1:2" x14ac:dyDescent="0.25">
      <c r="A10166" s="64" t="str">
        <f>HYPERLINK("http://www.twitter.com/SOconservation", "SOconservation")</f>
        <v>SOconservation</v>
      </c>
      <c r="B10166" s="65" t="s">
        <v>7042</v>
      </c>
    </row>
    <row r="10167" spans="1:2" x14ac:dyDescent="0.25">
      <c r="A10167" s="64" t="str">
        <f>HYPERLINK("http://www.twitter.com/Willam2690", "Willam2690")</f>
        <v>Willam2690</v>
      </c>
      <c r="B10167" s="65" t="s">
        <v>3875</v>
      </c>
    </row>
    <row r="10168" spans="1:2" x14ac:dyDescent="0.25">
      <c r="A10168" s="64" t="str">
        <f>HYPERLINK("http://www.twitter.com/David_Walliams1", "David_Walliams1")</f>
        <v>David_Walliams1</v>
      </c>
      <c r="B10168" s="65"/>
    </row>
    <row r="10169" spans="1:2" x14ac:dyDescent="0.25">
      <c r="A10169" s="64" t="str">
        <f>HYPERLINK("http://www.twitter.com/TracyMMPohill", "TracyMMPohill")</f>
        <v>TracyMMPohill</v>
      </c>
      <c r="B10169" s="65" t="s">
        <v>3948</v>
      </c>
    </row>
    <row r="10170" spans="1:2" x14ac:dyDescent="0.25">
      <c r="A10170" s="64" t="str">
        <f>HYPERLINK("http://www.twitter.com/IsobelHunter1", "IsobelHunter1")</f>
        <v>IsobelHunter1</v>
      </c>
      <c r="B10170" s="65"/>
    </row>
    <row r="10171" spans="1:2" x14ac:dyDescent="0.25">
      <c r="A10171" s="64" t="str">
        <f>HYPERLINK("http://www.twitter.com/rocks27803277", "rocks27803277")</f>
        <v>rocks27803277</v>
      </c>
      <c r="B10171" s="65"/>
    </row>
    <row r="10172" spans="1:2" x14ac:dyDescent="0.25">
      <c r="A10172" s="64" t="str">
        <f>HYPERLINK("http://www.twitter.com/trad_academy", "trad_academy")</f>
        <v>trad_academy</v>
      </c>
      <c r="B10172" s="65"/>
    </row>
    <row r="10173" spans="1:2" x14ac:dyDescent="0.25">
      <c r="A10173" s="64" t="str">
        <f>HYPERLINK("http://www.twitter.com/anna_e_fisk", "anna_e_fisk")</f>
        <v>anna_e_fisk</v>
      </c>
      <c r="B10173" s="65" t="s">
        <v>138</v>
      </c>
    </row>
    <row r="10174" spans="1:2" x14ac:dyDescent="0.25">
      <c r="A10174" s="64" t="str">
        <f>HYPERLINK("http://www.twitter.com/mcwilc", "mcwilc")</f>
        <v>mcwilc</v>
      </c>
      <c r="B10174" s="65"/>
    </row>
    <row r="10175" spans="1:2" x14ac:dyDescent="0.25">
      <c r="A10175" s="64" t="str">
        <f>HYPERLINK("http://www.twitter.com/wragg_jean", "wragg_jean")</f>
        <v>wragg_jean</v>
      </c>
      <c r="B10175" s="65"/>
    </row>
    <row r="10176" spans="1:2" x14ac:dyDescent="0.25">
      <c r="A10176" s="64" t="str">
        <f>HYPERLINK("http://www.twitter.com/stirling_fiona", "stirling_fiona")</f>
        <v>stirling_fiona</v>
      </c>
      <c r="B10176" s="65" t="s">
        <v>3917</v>
      </c>
    </row>
    <row r="10177" spans="1:2" x14ac:dyDescent="0.25">
      <c r="A10177" s="64" t="str">
        <f>HYPERLINK("http://www.twitter.com/ginkgofruit", "ginkgofruit")</f>
        <v>ginkgofruit</v>
      </c>
      <c r="B10177" s="65"/>
    </row>
    <row r="10178" spans="1:2" x14ac:dyDescent="0.25">
      <c r="A10178" s="64" t="str">
        <f>HYPERLINK("http://www.twitter.com/RossHQuinn", "RossHQuinn")</f>
        <v>RossHQuinn</v>
      </c>
      <c r="B10178" s="65" t="s">
        <v>7043</v>
      </c>
    </row>
    <row r="10179" spans="1:2" x14ac:dyDescent="0.25">
      <c r="A10179" s="64" t="str">
        <f>HYPERLINK("http://www.twitter.com/willis_abigail", "willis_abigail")</f>
        <v>willis_abigail</v>
      </c>
      <c r="B10179" s="65" t="s">
        <v>1810</v>
      </c>
    </row>
    <row r="10180" spans="1:2" x14ac:dyDescent="0.25">
      <c r="A10180" s="64" t="str">
        <f>HYPERLINK("http://www.twitter.com/NAFCShetland", "NAFCShetland")</f>
        <v>NAFCShetland</v>
      </c>
      <c r="B10180" s="65" t="s">
        <v>7044</v>
      </c>
    </row>
    <row r="10181" spans="1:2" x14ac:dyDescent="0.25">
      <c r="A10181" s="64" t="str">
        <f>HYPERLINK("http://www.twitter.com/dseang", "dseang")</f>
        <v>dseang</v>
      </c>
      <c r="B10181" s="65" t="s">
        <v>7045</v>
      </c>
    </row>
    <row r="10182" spans="1:2" x14ac:dyDescent="0.25">
      <c r="A10182" s="64" t="str">
        <f>HYPERLINK("http://www.twitter.com/TaraRawan", "TaraRawan")</f>
        <v>TaraRawan</v>
      </c>
      <c r="B10182" s="65" t="s">
        <v>7046</v>
      </c>
    </row>
    <row r="10183" spans="1:2" x14ac:dyDescent="0.25">
      <c r="A10183" s="64" t="str">
        <f>HYPERLINK("http://www.twitter.com/AvauntMagazine", "AvauntMagazine")</f>
        <v>AvauntMagazine</v>
      </c>
      <c r="B10183" s="65" t="s">
        <v>36</v>
      </c>
    </row>
    <row r="10184" spans="1:2" x14ac:dyDescent="0.25">
      <c r="A10184" s="64" t="str">
        <f>HYPERLINK("http://www.twitter.com/bookspeedLewis", "bookspeedLewis")</f>
        <v>bookspeedLewis</v>
      </c>
      <c r="B10184" s="65"/>
    </row>
    <row r="10185" spans="1:2" x14ac:dyDescent="0.25">
      <c r="A10185" s="64" t="str">
        <f>HYPERLINK("http://www.twitter.com/oniooons", "oniooons")</f>
        <v>oniooons</v>
      </c>
      <c r="B10185" s="65"/>
    </row>
    <row r="10186" spans="1:2" x14ac:dyDescent="0.25">
      <c r="A10186" s="64" t="str">
        <f>HYPERLINK("http://www.twitter.com/CloughCaroline", "CloughCaroline")</f>
        <v>CloughCaroline</v>
      </c>
      <c r="B10186" s="65" t="s">
        <v>36</v>
      </c>
    </row>
    <row r="10187" spans="1:2" x14ac:dyDescent="0.25">
      <c r="A10187" s="64" t="str">
        <f>HYPERLINK("http://www.twitter.com/UCLRecords", "UCLRecords")</f>
        <v>UCLRecords</v>
      </c>
      <c r="B10187" s="65" t="s">
        <v>520</v>
      </c>
    </row>
    <row r="10188" spans="1:2" x14ac:dyDescent="0.25">
      <c r="A10188" s="64" t="str">
        <f>HYPERLINK("http://www.twitter.com/Pocklib", "Pocklib")</f>
        <v>Pocklib</v>
      </c>
      <c r="B10188" s="65"/>
    </row>
    <row r="10189" spans="1:2" x14ac:dyDescent="0.25">
      <c r="A10189" s="64" t="str">
        <f>HYPERLINK("http://www.twitter.com/glasg0wg1rl", "glasg0wg1rl")</f>
        <v>glasg0wg1rl</v>
      </c>
      <c r="B10189" s="65" t="s">
        <v>318</v>
      </c>
    </row>
    <row r="10190" spans="1:2" x14ac:dyDescent="0.25">
      <c r="A10190" s="64" t="str">
        <f>HYPERLINK("http://www.twitter.com/lucie_dumpling", "lucie_dumpling")</f>
        <v>lucie_dumpling</v>
      </c>
      <c r="B10190" s="65" t="s">
        <v>7047</v>
      </c>
    </row>
    <row r="10191" spans="1:2" x14ac:dyDescent="0.25">
      <c r="A10191" s="64" t="str">
        <f>HYPERLINK("http://www.twitter.com/Zohreen", "Zohreen")</f>
        <v>Zohreen</v>
      </c>
      <c r="B10191" s="65" t="s">
        <v>4193</v>
      </c>
    </row>
    <row r="10192" spans="1:2" x14ac:dyDescent="0.25">
      <c r="A10192" s="64" t="str">
        <f>HYPERLINK("http://www.twitter.com/TheNugsMommy", "TheNugsMommy")</f>
        <v>TheNugsMommy</v>
      </c>
      <c r="B10192" s="65" t="s">
        <v>7048</v>
      </c>
    </row>
    <row r="10193" spans="1:2" x14ac:dyDescent="0.25">
      <c r="A10193" s="64" t="str">
        <f>HYPERLINK("http://www.twitter.com/Sanaa_80", "Sanaa_80")</f>
        <v>Sanaa_80</v>
      </c>
      <c r="B10193" s="65"/>
    </row>
    <row r="10194" spans="1:2" x14ac:dyDescent="0.25">
      <c r="A10194" s="64" t="str">
        <f>HYPERLINK("http://www.twitter.com/fionadeltoro", "fionadeltoro")</f>
        <v>fionadeltoro</v>
      </c>
      <c r="B10194" s="65" t="s">
        <v>7049</v>
      </c>
    </row>
    <row r="10195" spans="1:2" x14ac:dyDescent="0.25">
      <c r="A10195" s="64" t="str">
        <f>HYPERLINK("http://www.twitter.com/CamilaZhang", "CamilaZhang")</f>
        <v>CamilaZhang</v>
      </c>
      <c r="B10195" s="65" t="s">
        <v>3797</v>
      </c>
    </row>
    <row r="10196" spans="1:2" x14ac:dyDescent="0.25">
      <c r="A10196" s="64" t="str">
        <f>HYPERLINK("http://www.twitter.com/MariaMarianne10", "MariaMarianne10")</f>
        <v>MariaMarianne10</v>
      </c>
      <c r="B10196" s="65"/>
    </row>
    <row r="10197" spans="1:2" x14ac:dyDescent="0.25">
      <c r="A10197" s="64" t="str">
        <f>HYPERLINK("http://www.twitter.com/gingernugget20", "gingernugget20")</f>
        <v>gingernugget20</v>
      </c>
      <c r="B10197" s="65" t="s">
        <v>3762</v>
      </c>
    </row>
    <row r="10198" spans="1:2" x14ac:dyDescent="0.25">
      <c r="A10198" s="64" t="str">
        <f>HYPERLINK("http://www.twitter.com/hugowhymark", "hugowhymark")</f>
        <v>hugowhymark</v>
      </c>
      <c r="B10198" s="65" t="s">
        <v>7050</v>
      </c>
    </row>
    <row r="10199" spans="1:2" x14ac:dyDescent="0.25">
      <c r="A10199" s="64" t="str">
        <f>HYPERLINK("http://www.twitter.com/ZoeWaterston", "ZoeWaterston")</f>
        <v>ZoeWaterston</v>
      </c>
      <c r="B10199" s="65"/>
    </row>
    <row r="10200" spans="1:2" x14ac:dyDescent="0.25">
      <c r="A10200" s="64" t="str">
        <f>HYPERLINK("http://www.twitter.com/MinigolfMuseum", "MinigolfMuseum")</f>
        <v>MinigolfMuseum</v>
      </c>
      <c r="B10200" s="65"/>
    </row>
    <row r="10201" spans="1:2" x14ac:dyDescent="0.25">
      <c r="A10201" s="64" t="str">
        <f>HYPERLINK("http://www.twitter.com/richard_littler", "richard_littler")</f>
        <v>richard_littler</v>
      </c>
      <c r="B10201" s="65"/>
    </row>
    <row r="10202" spans="1:2" x14ac:dyDescent="0.25">
      <c r="A10202" s="64" t="str">
        <f>HYPERLINK("http://www.twitter.com/doconacawer", "doconacawer")</f>
        <v>doconacawer</v>
      </c>
      <c r="B10202" s="65" t="s">
        <v>4192</v>
      </c>
    </row>
    <row r="10203" spans="1:2" x14ac:dyDescent="0.25">
      <c r="A10203" s="64" t="str">
        <f>HYPERLINK("http://www.twitter.com/davegrifx", "davegrifx")</f>
        <v>davegrifx</v>
      </c>
      <c r="B10203" s="65" t="s">
        <v>12</v>
      </c>
    </row>
    <row r="10204" spans="1:2" x14ac:dyDescent="0.25">
      <c r="A10204" s="64" t="str">
        <f>HYPERLINK("http://www.twitter.com/BiblioCambrils", "BiblioCambrils")</f>
        <v>BiblioCambrils</v>
      </c>
      <c r="B10204" s="65"/>
    </row>
    <row r="10205" spans="1:2" x14ac:dyDescent="0.25">
      <c r="A10205" s="64" t="str">
        <f>HYPERLINK("http://www.twitter.com/jillily3g", "jillily3g")</f>
        <v>jillily3g</v>
      </c>
      <c r="B10205" s="65" t="s">
        <v>3797</v>
      </c>
    </row>
    <row r="10206" spans="1:2" x14ac:dyDescent="0.25">
      <c r="A10206" s="64" t="str">
        <f>HYPERLINK("http://www.twitter.com/hannahguyana", "hannahguyana")</f>
        <v>hannahguyana</v>
      </c>
      <c r="B10206" s="65"/>
    </row>
    <row r="10207" spans="1:2" x14ac:dyDescent="0.25">
      <c r="A10207" s="64" t="str">
        <f>HYPERLINK("http://www.twitter.com/TheWeeOwl", "TheWeeOwl")</f>
        <v>TheWeeOwl</v>
      </c>
      <c r="B10207" s="65" t="s">
        <v>517</v>
      </c>
    </row>
    <row r="10208" spans="1:2" x14ac:dyDescent="0.25">
      <c r="A10208" s="64" t="str">
        <f>HYPERLINK("http://www.twitter.com/tigereyedangel", "tigereyedangel")</f>
        <v>tigereyedangel</v>
      </c>
      <c r="B10208" s="65" t="s">
        <v>7051</v>
      </c>
    </row>
    <row r="10209" spans="1:2" x14ac:dyDescent="0.25">
      <c r="A10209" s="64" t="str">
        <f>HYPERLINK("http://www.twitter.com/JCIScotland", "JCIScotland")</f>
        <v>JCIScotland</v>
      </c>
      <c r="B10209" s="65" t="s">
        <v>2007</v>
      </c>
    </row>
    <row r="10210" spans="1:2" x14ac:dyDescent="0.25">
      <c r="A10210" s="64" t="str">
        <f>HYPERLINK("http://www.twitter.com/ckaturner01", "ckaturner01")</f>
        <v>ckaturner01</v>
      </c>
      <c r="B10210" s="65"/>
    </row>
    <row r="10211" spans="1:2" x14ac:dyDescent="0.25">
      <c r="A10211" s="64" t="str">
        <f>HYPERLINK("http://www.twitter.com/AndybbBrierley", "AndybbBrierley")</f>
        <v>AndybbBrierley</v>
      </c>
      <c r="B10211" s="65" t="s">
        <v>926</v>
      </c>
    </row>
    <row r="10212" spans="1:2" x14ac:dyDescent="0.25">
      <c r="A10212" s="64" t="str">
        <f>HYPERLINK("http://www.twitter.com/Hannah_Robbo", "Hannah_Robbo")</f>
        <v>Hannah_Robbo</v>
      </c>
      <c r="B10212" s="65" t="s">
        <v>36</v>
      </c>
    </row>
    <row r="10213" spans="1:2" x14ac:dyDescent="0.25">
      <c r="A10213" s="64" t="str">
        <f>HYPERLINK("http://www.twitter.com/asevetson", "asevetson")</f>
        <v>asevetson</v>
      </c>
      <c r="B10213" s="65" t="s">
        <v>7052</v>
      </c>
    </row>
    <row r="10214" spans="1:2" x14ac:dyDescent="0.25">
      <c r="A10214" s="64" t="str">
        <f>HYPERLINK("http://www.twitter.com/simulatethis", "simulatethis")</f>
        <v>simulatethis</v>
      </c>
      <c r="B10214" s="65"/>
    </row>
    <row r="10215" spans="1:2" x14ac:dyDescent="0.25">
      <c r="A10215" s="64" t="str">
        <f>HYPERLINK("http://www.twitter.com/Furtherfrom", "Furtherfrom")</f>
        <v>Furtherfrom</v>
      </c>
      <c r="B10215" s="65" t="s">
        <v>7053</v>
      </c>
    </row>
    <row r="10216" spans="1:2" x14ac:dyDescent="0.25">
      <c r="A10216" s="64" t="str">
        <f>HYPERLINK("http://www.twitter.com/RASCALL55", "RASCALL55")</f>
        <v>RASCALL55</v>
      </c>
      <c r="B10216" s="65" t="s">
        <v>7054</v>
      </c>
    </row>
    <row r="10217" spans="1:2" x14ac:dyDescent="0.25">
      <c r="A10217" s="64" t="str">
        <f>HYPERLINK("http://www.twitter.com/elissa22", "elissa22")</f>
        <v>elissa22</v>
      </c>
      <c r="B10217" s="65" t="s">
        <v>6208</v>
      </c>
    </row>
    <row r="10218" spans="1:2" x14ac:dyDescent="0.25">
      <c r="A10218" s="64" t="str">
        <f>HYPERLINK("http://www.twitter.com/aq_marine42", "aq_marine42")</f>
        <v>aq_marine42</v>
      </c>
      <c r="B10218" s="65"/>
    </row>
    <row r="10219" spans="1:2" x14ac:dyDescent="0.25">
      <c r="A10219" s="64" t="str">
        <f>HYPERLINK("http://www.twitter.com/vkbudd", "vkbudd")</f>
        <v>vkbudd</v>
      </c>
      <c r="B10219" s="65" t="s">
        <v>7055</v>
      </c>
    </row>
    <row r="10220" spans="1:2" x14ac:dyDescent="0.25">
      <c r="A10220" s="64" t="str">
        <f>HYPERLINK("http://www.twitter.com/mmarinrom", "mmarinrom")</f>
        <v>mmarinrom</v>
      </c>
      <c r="B10220" s="65"/>
    </row>
    <row r="10221" spans="1:2" x14ac:dyDescent="0.25">
      <c r="A10221" s="64" t="str">
        <f>HYPERLINK("http://www.twitter.com/ReneOkay", "ReneOkay")</f>
        <v>ReneOkay</v>
      </c>
      <c r="B10221" s="65" t="s">
        <v>4681</v>
      </c>
    </row>
    <row r="10222" spans="1:2" x14ac:dyDescent="0.25">
      <c r="A10222" s="64" t="str">
        <f>HYPERLINK("http://www.twitter.com/mollynic99", "mollynic99")</f>
        <v>mollynic99</v>
      </c>
      <c r="B10222" s="65"/>
    </row>
    <row r="10223" spans="1:2" x14ac:dyDescent="0.25">
      <c r="A10223" s="64" t="str">
        <f>HYPERLINK("http://www.twitter.com/CarolynOwen", "CarolynOwen")</f>
        <v>CarolynOwen</v>
      </c>
      <c r="B10223" s="65" t="s">
        <v>477</v>
      </c>
    </row>
    <row r="10224" spans="1:2" x14ac:dyDescent="0.25">
      <c r="A10224" s="64" t="str">
        <f>HYPERLINK("http://www.twitter.com/Redtinks", "Redtinks")</f>
        <v>Redtinks</v>
      </c>
      <c r="B10224" s="65"/>
    </row>
    <row r="10225" spans="1:2" x14ac:dyDescent="0.25">
      <c r="A10225" s="64" t="str">
        <f>HYPERLINK("http://www.twitter.com/jmtd", "jmtd")</f>
        <v>jmtd</v>
      </c>
      <c r="B10225" s="65" t="s">
        <v>7056</v>
      </c>
    </row>
    <row r="10226" spans="1:2" x14ac:dyDescent="0.25">
      <c r="A10226" s="64" t="str">
        <f>HYPERLINK("http://www.twitter.com/PolonaHomec", "PolonaHomec")</f>
        <v>PolonaHomec</v>
      </c>
      <c r="B10226" s="65" t="s">
        <v>7057</v>
      </c>
    </row>
    <row r="10227" spans="1:2" x14ac:dyDescent="0.25">
      <c r="A10227" s="64" t="str">
        <f>HYPERLINK("http://www.twitter.com/Bexbiscuit", "Bexbiscuit")</f>
        <v>Bexbiscuit</v>
      </c>
      <c r="B10227" s="65" t="s">
        <v>36</v>
      </c>
    </row>
    <row r="10228" spans="1:2" x14ac:dyDescent="0.25">
      <c r="A10228" s="64" t="str">
        <f>HYPERLINK("http://www.twitter.com/mandapeters", "mandapeters")</f>
        <v>mandapeters</v>
      </c>
      <c r="B10228" s="65" t="s">
        <v>7058</v>
      </c>
    </row>
    <row r="10229" spans="1:2" x14ac:dyDescent="0.25">
      <c r="A10229" s="64" t="str">
        <f>HYPERLINK("http://www.twitter.com/ida_nel", "ida_nel")</f>
        <v>ida_nel</v>
      </c>
      <c r="B10229" s="65"/>
    </row>
    <row r="10230" spans="1:2" x14ac:dyDescent="0.25">
      <c r="A10230" s="64" t="str">
        <f>HYPERLINK("http://www.twitter.com/caroline_wadad", "caroline_wadad")</f>
        <v>caroline_wadad</v>
      </c>
      <c r="B10230" s="65" t="s">
        <v>7059</v>
      </c>
    </row>
    <row r="10231" spans="1:2" x14ac:dyDescent="0.25">
      <c r="A10231" s="64" t="str">
        <f>HYPERLINK("http://www.twitter.com/dave__lamb", "dave__lamb")</f>
        <v>dave__lamb</v>
      </c>
      <c r="B10231" s="65"/>
    </row>
    <row r="10232" spans="1:2" x14ac:dyDescent="0.25">
      <c r="A10232" s="64" t="str">
        <f>HYPERLINK("http://www.twitter.com/Katehorse", "Katehorse")</f>
        <v>Katehorse</v>
      </c>
      <c r="B10232" s="65" t="s">
        <v>5045</v>
      </c>
    </row>
    <row r="10233" spans="1:2" x14ac:dyDescent="0.25">
      <c r="A10233" s="64" t="str">
        <f>HYPERLINK("http://www.twitter.com/imaginekat", "imaginekat")</f>
        <v>imaginekat</v>
      </c>
      <c r="B10233" s="65" t="s">
        <v>4193</v>
      </c>
    </row>
    <row r="10234" spans="1:2" x14ac:dyDescent="0.25">
      <c r="A10234" s="64" t="str">
        <f>HYPERLINK("http://www.twitter.com/Laurajohnson214", "Laurajohnson214")</f>
        <v>Laurajohnson214</v>
      </c>
      <c r="B10234" s="65"/>
    </row>
    <row r="10235" spans="1:2" x14ac:dyDescent="0.25">
      <c r="A10235" s="64" t="str">
        <f>HYPERLINK("http://www.twitter.com/candocar20", "candocar20")</f>
        <v>candocar20</v>
      </c>
      <c r="B10235" s="65"/>
    </row>
    <row r="10236" spans="1:2" x14ac:dyDescent="0.25">
      <c r="A10236" s="64" t="str">
        <f>HYPERLINK("http://www.twitter.com/laurabang", "laurabang")</f>
        <v>laurabang</v>
      </c>
      <c r="B10236" s="65" t="s">
        <v>4035</v>
      </c>
    </row>
    <row r="10237" spans="1:2" x14ac:dyDescent="0.25">
      <c r="A10237" s="64" t="str">
        <f>HYPERLINK("http://www.twitter.com/thenakedmuse", "thenakedmuse")</f>
        <v>thenakedmuse</v>
      </c>
      <c r="B10237" s="65" t="s">
        <v>1189</v>
      </c>
    </row>
    <row r="10238" spans="1:2" x14ac:dyDescent="0.25">
      <c r="A10238" s="64" t="str">
        <f>HYPERLINK("http://www.twitter.com/eric_ns", "eric_ns")</f>
        <v>eric_ns</v>
      </c>
      <c r="B10238" s="65"/>
    </row>
    <row r="10239" spans="1:2" x14ac:dyDescent="0.25">
      <c r="A10239" s="64" t="str">
        <f>HYPERLINK("http://www.twitter.com/ErikBurgess1969", "ErikBurgess1969")</f>
        <v>ErikBurgess1969</v>
      </c>
      <c r="B10239" s="65" t="s">
        <v>5720</v>
      </c>
    </row>
    <row r="10240" spans="1:2" x14ac:dyDescent="0.25">
      <c r="A10240" s="64" t="str">
        <f>HYPERLINK("http://www.twitter.com/SarahRMcDermott", "SarahRMcDermott")</f>
        <v>SarahRMcDermott</v>
      </c>
      <c r="B10240" s="65" t="s">
        <v>138</v>
      </c>
    </row>
    <row r="10241" spans="1:2" x14ac:dyDescent="0.25">
      <c r="A10241" s="64" t="str">
        <f>HYPERLINK("http://www.twitter.com/JeniMiriamBe", "JeniMiriamBe")</f>
        <v>JeniMiriamBe</v>
      </c>
      <c r="B10241" s="65" t="s">
        <v>36</v>
      </c>
    </row>
    <row r="10242" spans="1:2" x14ac:dyDescent="0.25">
      <c r="A10242" s="64" t="str">
        <f>HYPERLINK("http://www.twitter.com/cisweb", "cisweb")</f>
        <v>cisweb</v>
      </c>
      <c r="B10242" s="65" t="s">
        <v>487</v>
      </c>
    </row>
    <row r="10243" spans="1:2" x14ac:dyDescent="0.25">
      <c r="A10243" s="64" t="str">
        <f>HYPERLINK("http://www.twitter.com/clausaj", "clausaj")</f>
        <v>clausaj</v>
      </c>
      <c r="B10243" s="65"/>
    </row>
    <row r="10244" spans="1:2" x14ac:dyDescent="0.25">
      <c r="A10244" s="64" t="str">
        <f>HYPERLINK("http://www.twitter.com/raynihnio", "raynihnio")</f>
        <v>raynihnio</v>
      </c>
      <c r="B10244" s="65"/>
    </row>
    <row r="10245" spans="1:2" x14ac:dyDescent="0.25">
      <c r="A10245" s="64" t="str">
        <f>HYPERLINK("http://www.twitter.com/LibTaskforce", "LibTaskforce")</f>
        <v>LibTaskforce</v>
      </c>
      <c r="B10245" s="65"/>
    </row>
    <row r="10246" spans="1:2" x14ac:dyDescent="0.25">
      <c r="A10246" s="64" t="str">
        <f>HYPERLINK("http://www.twitter.com/Marion_Corrigan", "Marion_Corrigan")</f>
        <v>Marion_Corrigan</v>
      </c>
      <c r="B10246" s="65" t="s">
        <v>7060</v>
      </c>
    </row>
    <row r="10247" spans="1:2" x14ac:dyDescent="0.25">
      <c r="A10247" s="64" t="str">
        <f>HYPERLINK("http://www.twitter.com/PeteMaclean", "PeteMaclean")</f>
        <v>PeteMaclean</v>
      </c>
      <c r="B10247" s="65" t="s">
        <v>7061</v>
      </c>
    </row>
    <row r="10248" spans="1:2" x14ac:dyDescent="0.25">
      <c r="A10248" s="64" t="str">
        <f>HYPERLINK("http://www.twitter.com/smeebut", "smeebut")</f>
        <v>smeebut</v>
      </c>
      <c r="B10248" s="65" t="s">
        <v>138</v>
      </c>
    </row>
    <row r="10249" spans="1:2" x14ac:dyDescent="0.25">
      <c r="A10249" s="64" t="str">
        <f>HYPERLINK("http://www.twitter.com/MaddyMoore2016", "MaddyMoore2016")</f>
        <v>MaddyMoore2016</v>
      </c>
      <c r="B10249" s="65" t="s">
        <v>487</v>
      </c>
    </row>
    <row r="10250" spans="1:2" x14ac:dyDescent="0.25">
      <c r="A10250" s="64" t="str">
        <f>HYPERLINK("http://www.twitter.com/bronaghbmcc", "bronaghbmcc")</f>
        <v>bronaghbmcc</v>
      </c>
      <c r="B10250" s="65"/>
    </row>
    <row r="10251" spans="1:2" x14ac:dyDescent="0.25">
      <c r="A10251" s="64" t="str">
        <f>HYPERLINK("http://www.twitter.com/EmilyJGSams", "EmilyJGSams")</f>
        <v>EmilyJGSams</v>
      </c>
      <c r="B10251" s="65" t="s">
        <v>36</v>
      </c>
    </row>
    <row r="10252" spans="1:2" x14ac:dyDescent="0.25">
      <c r="A10252" s="64" t="str">
        <f>HYPERLINK("http://www.twitter.com/rugihih35440560", "rugihih35440560")</f>
        <v>rugihih35440560</v>
      </c>
      <c r="B10252" s="65"/>
    </row>
    <row r="10253" spans="1:2" x14ac:dyDescent="0.25">
      <c r="A10253" s="64" t="str">
        <f>HYPERLINK("http://www.twitter.com/volcionok69", "volcionok69")</f>
        <v>volcionok69</v>
      </c>
      <c r="B10253" s="65" t="s">
        <v>4213</v>
      </c>
    </row>
    <row r="10254" spans="1:2" x14ac:dyDescent="0.25">
      <c r="A10254" s="64" t="str">
        <f>HYPERLINK("http://www.twitter.com/INTOLONDONLRC", "INTOLONDONLRC")</f>
        <v>INTOLONDONLRC</v>
      </c>
      <c r="B10254" s="65" t="s">
        <v>477</v>
      </c>
    </row>
    <row r="10255" spans="1:2" x14ac:dyDescent="0.25">
      <c r="A10255" s="64" t="str">
        <f>HYPERLINK("http://www.twitter.com/PiProdCasting", "PiProdCasting")</f>
        <v>PiProdCasting</v>
      </c>
      <c r="B10255" s="65" t="s">
        <v>477</v>
      </c>
    </row>
    <row r="10256" spans="1:2" x14ac:dyDescent="0.25">
      <c r="A10256" s="64" t="str">
        <f>HYPERLINK("http://www.twitter.com/stewa03", "stewa03")</f>
        <v>stewa03</v>
      </c>
      <c r="B10256" s="65" t="s">
        <v>7062</v>
      </c>
    </row>
    <row r="10257" spans="1:2" x14ac:dyDescent="0.25">
      <c r="A10257" s="64" t="str">
        <f>HYPERLINK("http://www.twitter.com/DuncAnTosh", "DuncAnTosh")</f>
        <v>DuncAnTosh</v>
      </c>
      <c r="B10257" s="65" t="s">
        <v>7063</v>
      </c>
    </row>
    <row r="10258" spans="1:2" x14ac:dyDescent="0.25">
      <c r="A10258" s="64" t="str">
        <f>HYPERLINK("http://www.twitter.com/shomeshome", "shomeshome")</f>
        <v>shomeshome</v>
      </c>
      <c r="B10258" s="65" t="s">
        <v>7064</v>
      </c>
    </row>
    <row r="10259" spans="1:2" x14ac:dyDescent="0.25">
      <c r="A10259" s="64" t="str">
        <f>HYPERLINK("http://www.twitter.com/BhamStory", "BhamStory")</f>
        <v>BhamStory</v>
      </c>
      <c r="B10259" s="65" t="s">
        <v>7065</v>
      </c>
    </row>
    <row r="10260" spans="1:2" x14ac:dyDescent="0.25">
      <c r="A10260" s="64" t="str">
        <f>HYPERLINK("http://www.twitter.com/GSimonds95", "GSimonds95")</f>
        <v>GSimonds95</v>
      </c>
      <c r="B10260" s="65" t="s">
        <v>7066</v>
      </c>
    </row>
    <row r="10261" spans="1:2" x14ac:dyDescent="0.25">
      <c r="A10261" s="64" t="str">
        <f>HYPERLINK("http://www.twitter.com/JessiePetheram", "JessiePetheram")</f>
        <v>JessiePetheram</v>
      </c>
      <c r="B10261" s="65" t="s">
        <v>7067</v>
      </c>
    </row>
    <row r="10262" spans="1:2" x14ac:dyDescent="0.25">
      <c r="A10262" s="64" t="str">
        <f>HYPERLINK("http://www.twitter.com/CruisingKitty", "CruisingKitty")</f>
        <v>CruisingKitty</v>
      </c>
      <c r="B10262" s="65" t="s">
        <v>7068</v>
      </c>
    </row>
    <row r="10263" spans="1:2" x14ac:dyDescent="0.25">
      <c r="A10263" s="64" t="str">
        <f>HYPERLINK("http://www.twitter.com/MediumThrills", "MediumThrills")</f>
        <v>MediumThrills</v>
      </c>
      <c r="B10263" s="65" t="s">
        <v>1873</v>
      </c>
    </row>
    <row r="10264" spans="1:2" x14ac:dyDescent="0.25">
      <c r="A10264" s="64" t="str">
        <f>HYPERLINK("http://www.twitter.com/flip18", "flip18")</f>
        <v>flip18</v>
      </c>
      <c r="B10264" s="65" t="s">
        <v>7069</v>
      </c>
    </row>
    <row r="10265" spans="1:2" x14ac:dyDescent="0.25">
      <c r="A10265" s="64" t="str">
        <f>HYPERLINK("http://www.twitter.com/CariemayMakes", "CariemayMakes")</f>
        <v>CariemayMakes</v>
      </c>
      <c r="B10265" s="65" t="s">
        <v>296</v>
      </c>
    </row>
    <row r="10266" spans="1:2" x14ac:dyDescent="0.25">
      <c r="A10266" s="64" t="str">
        <f>HYPERLINK("http://www.twitter.com/johnaggasild", "johnaggasild")</f>
        <v>johnaggasild</v>
      </c>
      <c r="B10266" s="65" t="s">
        <v>138</v>
      </c>
    </row>
    <row r="10267" spans="1:2" x14ac:dyDescent="0.25">
      <c r="A10267" s="64" t="str">
        <f>HYPERLINK("http://www.twitter.com/calumrourke", "calumrourke")</f>
        <v>calumrourke</v>
      </c>
      <c r="B10267" s="65" t="s">
        <v>7070</v>
      </c>
    </row>
    <row r="10268" spans="1:2" x14ac:dyDescent="0.25">
      <c r="A10268" s="64" t="str">
        <f>HYPERLINK("http://www.twitter.com/Hannah_Sophie3", "Hannah_Sophie3")</f>
        <v>Hannah_Sophie3</v>
      </c>
      <c r="B10268" s="65"/>
    </row>
    <row r="10269" spans="1:2" x14ac:dyDescent="0.25">
      <c r="A10269" s="64" t="str">
        <f>HYPERLINK("http://www.twitter.com/MsPiep", "MsPiep")</f>
        <v>MsPiep</v>
      </c>
      <c r="B10269" s="65"/>
    </row>
    <row r="10270" spans="1:2" x14ac:dyDescent="0.25">
      <c r="A10270" s="64" t="str">
        <f>HYPERLINK("http://www.twitter.com/mazipam", "mazipam")</f>
        <v>mazipam</v>
      </c>
      <c r="B10270" s="65"/>
    </row>
    <row r="10271" spans="1:2" x14ac:dyDescent="0.25">
      <c r="A10271" s="64" t="str">
        <f>HYPERLINK("http://www.twitter.com/wholequest", "wholequest")</f>
        <v>wholequest</v>
      </c>
      <c r="B10271" s="65" t="s">
        <v>4480</v>
      </c>
    </row>
    <row r="10272" spans="1:2" x14ac:dyDescent="0.25">
      <c r="A10272" s="64" t="str">
        <f>HYPERLINK("http://www.twitter.com/suerowe1953", "suerowe1953")</f>
        <v>suerowe1953</v>
      </c>
      <c r="B10272" s="65" t="s">
        <v>12</v>
      </c>
    </row>
    <row r="10273" spans="1:2" x14ac:dyDescent="0.25">
      <c r="A10273" s="64" t="str">
        <f>HYPERLINK("http://www.twitter.com/StephenBrash", "StephenBrash")</f>
        <v>StephenBrash</v>
      </c>
      <c r="B10273" s="65" t="s">
        <v>3948</v>
      </c>
    </row>
    <row r="10274" spans="1:2" x14ac:dyDescent="0.25">
      <c r="A10274" s="64" t="str">
        <f>HYPERLINK("http://www.twitter.com/haaskalbaas", "haaskalbaas")</f>
        <v>haaskalbaas</v>
      </c>
      <c r="B10274" s="65" t="s">
        <v>7071</v>
      </c>
    </row>
    <row r="10275" spans="1:2" x14ac:dyDescent="0.25">
      <c r="A10275" s="64" t="str">
        <f>HYPERLINK("http://www.twitter.com/fspatterson", "fspatterson")</f>
        <v>fspatterson</v>
      </c>
      <c r="B10275" s="65" t="s">
        <v>5049</v>
      </c>
    </row>
    <row r="10276" spans="1:2" x14ac:dyDescent="0.25">
      <c r="A10276" s="64" t="str">
        <f>HYPERLINK("http://www.twitter.com/sazadds", "sazadds")</f>
        <v>sazadds</v>
      </c>
      <c r="B10276" s="65" t="s">
        <v>296</v>
      </c>
    </row>
    <row r="10277" spans="1:2" x14ac:dyDescent="0.25">
      <c r="A10277" s="64" t="str">
        <f>HYPERLINK("http://www.twitter.com/GWSouders", "GWSouders")</f>
        <v>GWSouders</v>
      </c>
      <c r="B10277" s="65" t="s">
        <v>70</v>
      </c>
    </row>
    <row r="10278" spans="1:2" x14ac:dyDescent="0.25">
      <c r="A10278" s="64" t="str">
        <f>HYPERLINK("http://www.twitter.com/shiny57", "shiny57")</f>
        <v>shiny57</v>
      </c>
      <c r="B10278" s="65" t="s">
        <v>1841</v>
      </c>
    </row>
    <row r="10279" spans="1:2" x14ac:dyDescent="0.25">
      <c r="A10279" s="64" t="str">
        <f>HYPERLINK("http://www.twitter.com/FinkelsteinD", "FinkelsteinD")</f>
        <v>FinkelsteinD</v>
      </c>
      <c r="B10279" s="65"/>
    </row>
    <row r="10280" spans="1:2" x14ac:dyDescent="0.25">
      <c r="A10280" s="64" t="str">
        <f>HYPERLINK("http://www.twitter.com/dianelee1412", "dianelee1412")</f>
        <v>dianelee1412</v>
      </c>
      <c r="B10280" s="65" t="s">
        <v>7072</v>
      </c>
    </row>
    <row r="10281" spans="1:2" x14ac:dyDescent="0.25">
      <c r="A10281" s="64" t="str">
        <f>HYPERLINK("http://www.twitter.com/AMC_WAW", "AMC_WAW")</f>
        <v>AMC_WAW</v>
      </c>
      <c r="B10281" s="65" t="s">
        <v>1221</v>
      </c>
    </row>
    <row r="10282" spans="1:2" x14ac:dyDescent="0.25">
      <c r="A10282" s="64" t="str">
        <f>HYPERLINK("http://www.twitter.com/jokibiz", "jokibiz")</f>
        <v>jokibiz</v>
      </c>
      <c r="B10282" s="65" t="s">
        <v>36</v>
      </c>
    </row>
    <row r="10283" spans="1:2" x14ac:dyDescent="0.25">
      <c r="A10283" s="64" t="str">
        <f>HYPERLINK("http://www.twitter.com/hmbooth0", "hmbooth0")</f>
        <v>hmbooth0</v>
      </c>
      <c r="B10283" s="65"/>
    </row>
    <row r="10284" spans="1:2" x14ac:dyDescent="0.25">
      <c r="A10284" s="64" t="str">
        <f>HYPERLINK("http://www.twitter.com/nigel0061", "nigel0061")</f>
        <v>nigel0061</v>
      </c>
      <c r="B10284" s="65" t="s">
        <v>7073</v>
      </c>
    </row>
    <row r="10285" spans="1:2" x14ac:dyDescent="0.25">
      <c r="A10285" s="64" t="str">
        <f>HYPERLINK("http://www.twitter.com/ossicarp", "ossicarp")</f>
        <v>ossicarp</v>
      </c>
      <c r="B10285" s="65"/>
    </row>
    <row r="10286" spans="1:2" x14ac:dyDescent="0.25">
      <c r="A10286" s="64" t="str">
        <f>HYPERLINK("http://www.twitter.com/flowerpotlady", "flowerpotlady")</f>
        <v>flowerpotlady</v>
      </c>
      <c r="B10286" s="65"/>
    </row>
    <row r="10287" spans="1:2" x14ac:dyDescent="0.25">
      <c r="A10287" s="64" t="str">
        <f>HYPERLINK("http://www.twitter.com/iiirogers", "iiirogers")</f>
        <v>iiirogers</v>
      </c>
      <c r="B10287" s="65"/>
    </row>
    <row r="10288" spans="1:2" x14ac:dyDescent="0.25">
      <c r="A10288" s="64" t="str">
        <f>HYPERLINK("http://www.twitter.com/joycemlink", "joycemlink")</f>
        <v>joycemlink</v>
      </c>
      <c r="B10288" s="65"/>
    </row>
    <row r="10289" spans="1:2" x14ac:dyDescent="0.25">
      <c r="A10289" s="64" t="str">
        <f>HYPERLINK("http://www.twitter.com/epilepsynurse", "epilepsynurse")</f>
        <v>epilepsynurse</v>
      </c>
      <c r="B10289" s="65" t="s">
        <v>110</v>
      </c>
    </row>
    <row r="10290" spans="1:2" x14ac:dyDescent="0.25">
      <c r="A10290" s="64" t="str">
        <f>HYPERLINK("http://www.twitter.com/Nasos6", "Nasos6")</f>
        <v>Nasos6</v>
      </c>
      <c r="B10290" s="65" t="s">
        <v>102</v>
      </c>
    </row>
    <row r="10291" spans="1:2" x14ac:dyDescent="0.25">
      <c r="A10291" s="64" t="str">
        <f>HYPERLINK("http://www.twitter.com/streetreads", "streetreads")</f>
        <v>streetreads</v>
      </c>
      <c r="B10291" s="65" t="s">
        <v>487</v>
      </c>
    </row>
    <row r="10292" spans="1:2" x14ac:dyDescent="0.25">
      <c r="A10292" s="64" t="str">
        <f>HYPERLINK("http://www.twitter.com/ScrumptiousSal", "ScrumptiousSal")</f>
        <v>ScrumptiousSal</v>
      </c>
      <c r="B10292" s="65" t="s">
        <v>36</v>
      </c>
    </row>
    <row r="10293" spans="1:2" x14ac:dyDescent="0.25">
      <c r="A10293" s="64" t="str">
        <f>HYPERLINK("http://www.twitter.com/timscrim", "timscrim")</f>
        <v>timscrim</v>
      </c>
      <c r="B10293" s="65" t="s">
        <v>4804</v>
      </c>
    </row>
    <row r="10294" spans="1:2" x14ac:dyDescent="0.25">
      <c r="A10294" s="64" t="str">
        <f>HYPERLINK("http://www.twitter.com/AlysonC39039943", "AlysonC39039943")</f>
        <v>AlysonC39039943</v>
      </c>
      <c r="B10294" s="65"/>
    </row>
    <row r="10295" spans="1:2" x14ac:dyDescent="0.25">
      <c r="A10295" s="64" t="str">
        <f>HYPERLINK("http://www.twitter.com/iancurtishunter", "iancurtishunter")</f>
        <v>iancurtishunter</v>
      </c>
      <c r="B10295" s="65"/>
    </row>
    <row r="10296" spans="1:2" x14ac:dyDescent="0.25">
      <c r="A10296" s="64" t="str">
        <f>HYPERLINK("http://www.twitter.com/pdenlinger", "pdenlinger")</f>
        <v>pdenlinger</v>
      </c>
      <c r="B10296" s="65" t="s">
        <v>7074</v>
      </c>
    </row>
    <row r="10297" spans="1:2" x14ac:dyDescent="0.25">
      <c r="A10297" s="64" t="str">
        <f>HYPERLINK("http://www.twitter.com/bgsqx", "bgsqx")</f>
        <v>bgsqx</v>
      </c>
      <c r="B10297" s="65"/>
    </row>
    <row r="10298" spans="1:2" x14ac:dyDescent="0.25">
      <c r="A10298" s="64" t="str">
        <f>HYPERLINK("http://www.twitter.com/rebekaahl", "rebekaahl")</f>
        <v>rebekaahl</v>
      </c>
      <c r="B10298" s="65"/>
    </row>
    <row r="10299" spans="1:2" x14ac:dyDescent="0.25">
      <c r="A10299" s="64" t="str">
        <f>HYPERLINK("http://www.twitter.com/macdonald_manda", "macdonald_manda")</f>
        <v>macdonald_manda</v>
      </c>
      <c r="B10299" s="65" t="s">
        <v>20</v>
      </c>
    </row>
    <row r="10300" spans="1:2" x14ac:dyDescent="0.25">
      <c r="A10300" s="64" t="str">
        <f>HYPERLINK("http://www.twitter.com/muralee11520", "muralee11520")</f>
        <v>muralee11520</v>
      </c>
      <c r="B10300" s="65" t="s">
        <v>7075</v>
      </c>
    </row>
    <row r="10301" spans="1:2" x14ac:dyDescent="0.25">
      <c r="A10301" s="64" t="str">
        <f>HYPERLINK("http://www.twitter.com/incunabula_", "incunabula_")</f>
        <v>incunabula_</v>
      </c>
      <c r="B10301" s="65"/>
    </row>
    <row r="10302" spans="1:2" x14ac:dyDescent="0.25">
      <c r="A10302" s="64" t="str">
        <f>HYPERLINK("http://www.twitter.com/Mhairi_ENABLE", "Mhairi_ENABLE")</f>
        <v>Mhairi_ENABLE</v>
      </c>
      <c r="B10302" s="65" t="s">
        <v>318</v>
      </c>
    </row>
    <row r="10303" spans="1:2" x14ac:dyDescent="0.25">
      <c r="A10303" s="64" t="str">
        <f>HYPERLINK("http://www.twitter.com/JenKerslake", "JenKerslake")</f>
        <v>JenKerslake</v>
      </c>
      <c r="B10303" s="65" t="s">
        <v>36</v>
      </c>
    </row>
    <row r="10304" spans="1:2" x14ac:dyDescent="0.25">
      <c r="A10304" s="64" t="str">
        <f>HYPERLINK("http://www.twitter.com/durgasiva9", "durgasiva9")</f>
        <v>durgasiva9</v>
      </c>
      <c r="B10304" s="65" t="s">
        <v>3762</v>
      </c>
    </row>
    <row r="10305" spans="1:2" x14ac:dyDescent="0.25">
      <c r="A10305" s="64" t="str">
        <f>HYPERLINK("http://www.twitter.com/karenedonovan", "karenedonovan")</f>
        <v>karenedonovan</v>
      </c>
      <c r="B10305" s="65" t="s">
        <v>24</v>
      </c>
    </row>
    <row r="10306" spans="1:2" x14ac:dyDescent="0.25">
      <c r="A10306" s="64" t="str">
        <f>HYPERLINK("http://www.twitter.com/OldRacistBob", "OldRacistBob")</f>
        <v>OldRacistBob</v>
      </c>
      <c r="B10306" s="65"/>
    </row>
    <row r="10307" spans="1:2" x14ac:dyDescent="0.25">
      <c r="A10307" s="64" t="str">
        <f>HYPERLINK("http://www.twitter.com/TweedNancy", "TweedNancy")</f>
        <v>TweedNancy</v>
      </c>
      <c r="B10307" s="65" t="s">
        <v>7076</v>
      </c>
    </row>
    <row r="10308" spans="1:2" x14ac:dyDescent="0.25">
      <c r="A10308" s="64" t="str">
        <f>HYPERLINK("http://www.twitter.com/embeddedgus", "embeddedgus")</f>
        <v>embeddedgus</v>
      </c>
      <c r="B10308" s="65" t="s">
        <v>7077</v>
      </c>
    </row>
    <row r="10309" spans="1:2" x14ac:dyDescent="0.25">
      <c r="A10309" s="64" t="str">
        <f>HYPERLINK("http://www.twitter.com/mjesteve", "mjesteve")</f>
        <v>mjesteve</v>
      </c>
      <c r="B10309" s="65" t="s">
        <v>6464</v>
      </c>
    </row>
    <row r="10310" spans="1:2" x14ac:dyDescent="0.25">
      <c r="A10310" s="64" t="str">
        <f>HYPERLINK("http://www.twitter.com/Vanemoyam", "Vanemoyam")</f>
        <v>Vanemoyam</v>
      </c>
      <c r="B10310" s="65"/>
    </row>
    <row r="10311" spans="1:2" x14ac:dyDescent="0.25">
      <c r="A10311" s="64" t="str">
        <f>HYPERLINK("http://www.twitter.com/miriamiglesiast", "miriamiglesiast")</f>
        <v>miriamiglesiast</v>
      </c>
      <c r="B10311" s="65" t="s">
        <v>7078</v>
      </c>
    </row>
    <row r="10312" spans="1:2" x14ac:dyDescent="0.25">
      <c r="A10312" s="64" t="str">
        <f>HYPERLINK("http://www.twitter.com/AriadnaGE", "AriadnaGE")</f>
        <v>AriadnaGE</v>
      </c>
      <c r="B10312" s="65" t="s">
        <v>7079</v>
      </c>
    </row>
    <row r="10313" spans="1:2" x14ac:dyDescent="0.25">
      <c r="A10313" s="64" t="str">
        <f>HYPERLINK("http://www.twitter.com/mabdis1", "mabdis1")</f>
        <v>mabdis1</v>
      </c>
      <c r="B10313" s="65"/>
    </row>
    <row r="10314" spans="1:2" x14ac:dyDescent="0.25">
      <c r="A10314" s="64" t="str">
        <f>HYPERLINK("http://www.twitter.com/Peter_Rivilla", "Peter_Rivilla")</f>
        <v>Peter_Rivilla</v>
      </c>
      <c r="B10314" s="65"/>
    </row>
    <row r="10315" spans="1:2" x14ac:dyDescent="0.25">
      <c r="A10315" s="64" t="str">
        <f>HYPERLINK("http://www.twitter.com/FloPartridge", "FloPartridge")</f>
        <v>FloPartridge</v>
      </c>
      <c r="B10315" s="65" t="s">
        <v>3633</v>
      </c>
    </row>
    <row r="10316" spans="1:2" x14ac:dyDescent="0.25">
      <c r="A10316" s="64" t="str">
        <f>HYPERLINK("http://www.twitter.com/BuddleiaMoth", "BuddleiaMoth")</f>
        <v>BuddleiaMoth</v>
      </c>
      <c r="B10316" s="65" t="s">
        <v>7080</v>
      </c>
    </row>
    <row r="10317" spans="1:2" x14ac:dyDescent="0.25">
      <c r="A10317" s="64" t="str">
        <f>HYPERLINK("http://www.twitter.com/spsabari", "spsabari")</f>
        <v>spsabari</v>
      </c>
      <c r="B10317" s="65" t="s">
        <v>7081</v>
      </c>
    </row>
    <row r="10318" spans="1:2" x14ac:dyDescent="0.25">
      <c r="A10318" s="64" t="str">
        <f>HYPERLINK("http://www.twitter.com/emsprout", "emsprout")</f>
        <v>emsprout</v>
      </c>
      <c r="B10318" s="65" t="s">
        <v>3936</v>
      </c>
    </row>
    <row r="10319" spans="1:2" x14ac:dyDescent="0.25">
      <c r="A10319" s="64" t="str">
        <f>HYPERLINK("http://www.twitter.com/lildestiny976", "lildestiny976")</f>
        <v>lildestiny976</v>
      </c>
      <c r="B10319" s="65" t="s">
        <v>3963</v>
      </c>
    </row>
    <row r="10320" spans="1:2" x14ac:dyDescent="0.25">
      <c r="A10320" s="64" t="str">
        <f>HYPERLINK("http://www.twitter.com/bibliobot", "bibliobot")</f>
        <v>bibliobot</v>
      </c>
      <c r="B10320" s="65" t="s">
        <v>74</v>
      </c>
    </row>
    <row r="10321" spans="1:2" x14ac:dyDescent="0.25">
      <c r="A10321" s="64" t="str">
        <f>HYPERLINK("http://www.twitter.com/glamgunn", "glamgunn")</f>
        <v>glamgunn</v>
      </c>
      <c r="B10321" s="65" t="s">
        <v>4118</v>
      </c>
    </row>
    <row r="10322" spans="1:2" x14ac:dyDescent="0.25">
      <c r="A10322" s="64" t="str">
        <f>HYPERLINK("http://www.twitter.com/DeborahJ31", "DeborahJ31")</f>
        <v>DeborahJ31</v>
      </c>
      <c r="B10322" s="65" t="s">
        <v>7082</v>
      </c>
    </row>
    <row r="10323" spans="1:2" x14ac:dyDescent="0.25">
      <c r="A10323" s="64" t="str">
        <f>HYPERLINK("http://www.twitter.com/Libraryofabook2", "Libraryofabook2")</f>
        <v>Libraryofabook2</v>
      </c>
      <c r="B10323" s="65" t="s">
        <v>70</v>
      </c>
    </row>
    <row r="10324" spans="1:2" x14ac:dyDescent="0.25">
      <c r="A10324" s="64" t="str">
        <f>HYPERLINK("http://www.twitter.com/GrantJosephine", "GrantJosephine")</f>
        <v>GrantJosephine</v>
      </c>
      <c r="B10324" s="65" t="s">
        <v>477</v>
      </c>
    </row>
    <row r="10325" spans="1:2" x14ac:dyDescent="0.25">
      <c r="A10325" s="64" t="str">
        <f>HYPERLINK("http://www.twitter.com/MontroseAcademy", "MontroseAcademy")</f>
        <v>MontroseAcademy</v>
      </c>
      <c r="B10325" s="65" t="s">
        <v>2390</v>
      </c>
    </row>
    <row r="10326" spans="1:2" x14ac:dyDescent="0.25">
      <c r="A10326" s="64" t="str">
        <f>HYPERLINK("http://www.twitter.com/WGMLiterary", "WGMLiterary")</f>
        <v>WGMLiterary</v>
      </c>
      <c r="B10326" s="65" t="s">
        <v>2289</v>
      </c>
    </row>
    <row r="10327" spans="1:2" x14ac:dyDescent="0.25">
      <c r="A10327" s="64" t="str">
        <f>HYPERLINK("http://www.twitter.com/LitHouses", "LitHouses")</f>
        <v>LitHouses</v>
      </c>
      <c r="B10327" s="65" t="s">
        <v>296</v>
      </c>
    </row>
    <row r="10328" spans="1:2" x14ac:dyDescent="0.25">
      <c r="A10328" s="64" t="str">
        <f>HYPERLINK("http://www.twitter.com/matteveritt", "matteveritt")</f>
        <v>matteveritt</v>
      </c>
      <c r="B10328" s="65" t="s">
        <v>36</v>
      </c>
    </row>
    <row r="10329" spans="1:2" x14ac:dyDescent="0.25">
      <c r="A10329" s="64" t="str">
        <f>HYPERLINK("http://www.twitter.com/louiseandrew122", "louiseandrew122")</f>
        <v>louiseandrew122</v>
      </c>
      <c r="B10329" s="65"/>
    </row>
    <row r="10330" spans="1:2" x14ac:dyDescent="0.25">
      <c r="A10330" s="64" t="str">
        <f>HYPERLINK("http://www.twitter.com/LeonBarkerRKO", "LeonBarkerRKO")</f>
        <v>LeonBarkerRKO</v>
      </c>
      <c r="B10330" s="65" t="s">
        <v>3157</v>
      </c>
    </row>
    <row r="10331" spans="1:2" x14ac:dyDescent="0.25">
      <c r="A10331" s="64" t="str">
        <f>HYPERLINK("http://www.twitter.com/OfficialMGlover", "OfficialMGlover")</f>
        <v>OfficialMGlover</v>
      </c>
      <c r="B10331" s="65" t="s">
        <v>4127</v>
      </c>
    </row>
    <row r="10332" spans="1:2" x14ac:dyDescent="0.25">
      <c r="A10332" s="64" t="str">
        <f>HYPERLINK("http://www.twitter.com/livjhooper", "livjhooper")</f>
        <v>livjhooper</v>
      </c>
      <c r="B10332" s="65" t="s">
        <v>2679</v>
      </c>
    </row>
    <row r="10333" spans="1:2" x14ac:dyDescent="0.25">
      <c r="A10333" s="64" t="str">
        <f>HYPERLINK("http://www.twitter.com/AScobes37", "AScobes37")</f>
        <v>AScobes37</v>
      </c>
      <c r="B10333" s="65" t="s">
        <v>7083</v>
      </c>
    </row>
    <row r="10334" spans="1:2" x14ac:dyDescent="0.25">
      <c r="A10334" s="64" t="str">
        <f>HYPERLINK("http://www.twitter.com/SeharRiaz2", "SeharRiaz2")</f>
        <v>SeharRiaz2</v>
      </c>
      <c r="B10334" s="65"/>
    </row>
    <row r="10335" spans="1:2" x14ac:dyDescent="0.25">
      <c r="A10335" s="64" t="str">
        <f>HYPERLINK("http://www.twitter.com/fazeelahmed01", "fazeelahmed01")</f>
        <v>fazeelahmed01</v>
      </c>
      <c r="B10335" s="65" t="s">
        <v>5050</v>
      </c>
    </row>
    <row r="10336" spans="1:2" x14ac:dyDescent="0.25">
      <c r="A10336" s="64" t="str">
        <f>HYPERLINK("http://www.twitter.com/citoongirl", "citoongirl")</f>
        <v>citoongirl</v>
      </c>
      <c r="B10336" s="65"/>
    </row>
    <row r="10337" spans="1:2" x14ac:dyDescent="0.25">
      <c r="A10337" s="64" t="str">
        <f>HYPERLINK("http://www.twitter.com/Tan_OD", "Tan_OD")</f>
        <v>Tan_OD</v>
      </c>
      <c r="B10337" s="65" t="s">
        <v>477</v>
      </c>
    </row>
    <row r="10338" spans="1:2" x14ac:dyDescent="0.25">
      <c r="A10338" s="64" t="str">
        <f>HYPERLINK("http://www.twitter.com/DonnaRe41287248", "DonnaRe41287248")</f>
        <v>DonnaRe41287248</v>
      </c>
      <c r="B10338" s="65" t="s">
        <v>7084</v>
      </c>
    </row>
    <row r="10339" spans="1:2" x14ac:dyDescent="0.25">
      <c r="A10339" s="64" t="str">
        <f>HYPERLINK("http://www.twitter.com/Pallavisms", "Pallavisms")</f>
        <v>Pallavisms</v>
      </c>
      <c r="B10339" s="65" t="s">
        <v>3823</v>
      </c>
    </row>
    <row r="10340" spans="1:2" x14ac:dyDescent="0.25">
      <c r="A10340" s="64" t="str">
        <f>HYPERLINK("http://www.twitter.com/parkycd", "parkycd")</f>
        <v>parkycd</v>
      </c>
      <c r="B10340" s="65" t="s">
        <v>3040</v>
      </c>
    </row>
    <row r="10341" spans="1:2" x14ac:dyDescent="0.25">
      <c r="A10341" s="64" t="str">
        <f>HYPERLINK("http://www.twitter.com/Orkneyholiday", "Orkneyholiday")</f>
        <v>Orkneyholiday</v>
      </c>
      <c r="B10341" s="65" t="s">
        <v>7085</v>
      </c>
    </row>
    <row r="10342" spans="1:2" x14ac:dyDescent="0.25">
      <c r="A10342" s="64" t="str">
        <f>HYPERLINK("http://www.twitter.com/ScotsMagEd", "ScotsMagEd")</f>
        <v>ScotsMagEd</v>
      </c>
      <c r="B10342" s="65" t="s">
        <v>4331</v>
      </c>
    </row>
    <row r="10343" spans="1:2" x14ac:dyDescent="0.25">
      <c r="A10343" s="64" t="str">
        <f>HYPERLINK("http://www.twitter.com/BrookeMarkey", "BrookeMarkey")</f>
        <v>BrookeMarkey</v>
      </c>
      <c r="B10343" s="65"/>
    </row>
    <row r="10344" spans="1:2" x14ac:dyDescent="0.25">
      <c r="A10344" s="64" t="str">
        <f>HYPERLINK("http://www.twitter.com/jennyjennylord", "jennyjennylord")</f>
        <v>jennyjennylord</v>
      </c>
      <c r="B10344" s="65" t="s">
        <v>36</v>
      </c>
    </row>
    <row r="10345" spans="1:2" x14ac:dyDescent="0.25">
      <c r="A10345" s="64" t="str">
        <f>HYPERLINK("http://www.twitter.com/debcyork", "debcyork")</f>
        <v>debcyork</v>
      </c>
      <c r="B10345" s="65" t="s">
        <v>1537</v>
      </c>
    </row>
    <row r="10346" spans="1:2" x14ac:dyDescent="0.25">
      <c r="A10346" s="64" t="str">
        <f>HYPERLINK("http://www.twitter.com/hannahbeckerman", "hannahbeckerman")</f>
        <v>hannahbeckerman</v>
      </c>
      <c r="B10346" s="65" t="s">
        <v>36</v>
      </c>
    </row>
    <row r="10347" spans="1:2" x14ac:dyDescent="0.25">
      <c r="A10347" s="64" t="str">
        <f>HYPERLINK("http://www.twitter.com/McTeachnLearn", "McTeachnLearn")</f>
        <v>McTeachnLearn</v>
      </c>
      <c r="B10347" s="65"/>
    </row>
    <row r="10348" spans="1:2" x14ac:dyDescent="0.25">
      <c r="A10348" s="64" t="str">
        <f>HYPERLINK("http://www.twitter.com/_andy_lord", "_andy_lord")</f>
        <v>_andy_lord</v>
      </c>
      <c r="B10348" s="65" t="s">
        <v>1980</v>
      </c>
    </row>
    <row r="10349" spans="1:2" x14ac:dyDescent="0.25">
      <c r="A10349" s="64" t="str">
        <f>HYPERLINK("http://www.twitter.com/AJellyfish", "AJellyfish")</f>
        <v>AJellyfish</v>
      </c>
      <c r="B10349" s="65"/>
    </row>
    <row r="10350" spans="1:2" x14ac:dyDescent="0.25">
      <c r="A10350" s="64" t="str">
        <f>HYPERLINK("http://www.twitter.com/fletcherjournal", "fletcherjournal")</f>
        <v>fletcherjournal</v>
      </c>
      <c r="B10350" s="65" t="s">
        <v>3978</v>
      </c>
    </row>
    <row r="10351" spans="1:2" x14ac:dyDescent="0.25">
      <c r="A10351" s="64" t="str">
        <f>HYPERLINK("http://www.twitter.com/baylorhangouts", "baylorhangouts")</f>
        <v>baylorhangouts</v>
      </c>
      <c r="B10351" s="65"/>
    </row>
    <row r="10352" spans="1:2" x14ac:dyDescent="0.25">
      <c r="A10352" s="64" t="str">
        <f>HYPERLINK("http://www.twitter.com/FlossieTeacake", "FlossieTeacake")</f>
        <v>FlossieTeacake</v>
      </c>
      <c r="B10352" s="65" t="s">
        <v>7086</v>
      </c>
    </row>
    <row r="10353" spans="1:2" x14ac:dyDescent="0.25">
      <c r="A10353" s="64" t="str">
        <f>HYPERLINK("http://www.twitter.com/Zjsaw", "Zjsaw")</f>
        <v>Zjsaw</v>
      </c>
      <c r="B10353" s="65" t="s">
        <v>477</v>
      </c>
    </row>
    <row r="10354" spans="1:2" x14ac:dyDescent="0.25">
      <c r="A10354" s="64" t="str">
        <f>HYPERLINK("http://www.twitter.com/judi_walsh", "judi_walsh")</f>
        <v>judi_walsh</v>
      </c>
      <c r="B10354" s="65"/>
    </row>
    <row r="10355" spans="1:2" x14ac:dyDescent="0.25">
      <c r="A10355" s="64" t="str">
        <f>HYPERLINK("http://www.twitter.com/Lilylaces", "Lilylaces")</f>
        <v>Lilylaces</v>
      </c>
      <c r="B10355" s="65" t="s">
        <v>3760</v>
      </c>
    </row>
    <row r="10356" spans="1:2" x14ac:dyDescent="0.25">
      <c r="A10356" s="64" t="str">
        <f>HYPERLINK("http://www.twitter.com/Claireroberello", "Claireroberello")</f>
        <v>Claireroberello</v>
      </c>
      <c r="B10356" s="65" t="s">
        <v>110</v>
      </c>
    </row>
    <row r="10357" spans="1:2" x14ac:dyDescent="0.25">
      <c r="A10357" s="64" t="str">
        <f>HYPERLINK("http://www.twitter.com/robingustafson", "robingustafson")</f>
        <v>robingustafson</v>
      </c>
      <c r="B10357" s="65" t="s">
        <v>4229</v>
      </c>
    </row>
    <row r="10358" spans="1:2" x14ac:dyDescent="0.25">
      <c r="A10358" s="64" t="str">
        <f>HYPERLINK("http://www.twitter.com/Niri_Bharadia", "Niri_Bharadia")</f>
        <v>Niri_Bharadia</v>
      </c>
      <c r="B10358" s="65" t="s">
        <v>36</v>
      </c>
    </row>
    <row r="10359" spans="1:2" x14ac:dyDescent="0.25">
      <c r="A10359" s="64" t="str">
        <f>HYPERLINK("http://www.twitter.com/FeministsCreate", "FeministsCreate")</f>
        <v>FeministsCreate</v>
      </c>
      <c r="B10359" s="65"/>
    </row>
    <row r="10360" spans="1:2" x14ac:dyDescent="0.25">
      <c r="A10360" s="64" t="str">
        <f>HYPERLINK("http://www.twitter.com/inkib", "inkib")</f>
        <v>inkib</v>
      </c>
      <c r="B10360" s="65"/>
    </row>
    <row r="10361" spans="1:2" x14ac:dyDescent="0.25">
      <c r="A10361" s="64" t="str">
        <f>HYPERLINK("http://www.twitter.com/ContraryReader", "ContraryReader")</f>
        <v>ContraryReader</v>
      </c>
      <c r="B10361" s="65"/>
    </row>
    <row r="10362" spans="1:2" x14ac:dyDescent="0.25">
      <c r="A10362" s="64" t="str">
        <f>HYPERLINK("http://www.twitter.com/cohendave", "cohendave")</f>
        <v>cohendave</v>
      </c>
      <c r="B10362" s="65" t="s">
        <v>7087</v>
      </c>
    </row>
    <row r="10363" spans="1:2" x14ac:dyDescent="0.25">
      <c r="A10363" s="64" t="str">
        <f>HYPERLINK("http://www.twitter.com/Cat_Powell_", "Cat_Powell_")</f>
        <v>Cat_Powell_</v>
      </c>
      <c r="B10363" s="65" t="s">
        <v>4234</v>
      </c>
    </row>
    <row r="10364" spans="1:2" x14ac:dyDescent="0.25">
      <c r="A10364" s="64" t="str">
        <f>HYPERLINK("http://www.twitter.com/Amber_Kutcher", "Amber_Kutcher")</f>
        <v>Amber_Kutcher</v>
      </c>
      <c r="B10364" s="65"/>
    </row>
    <row r="10365" spans="1:2" x14ac:dyDescent="0.25">
      <c r="A10365" s="64" t="str">
        <f>HYPERLINK("http://www.twitter.com/JackLeeBronson", "JackLeeBronson")</f>
        <v>JackLeeBronson</v>
      </c>
      <c r="B10365" s="65" t="s">
        <v>7088</v>
      </c>
    </row>
    <row r="10366" spans="1:2" x14ac:dyDescent="0.25">
      <c r="A10366" s="64" t="str">
        <f>HYPERLINK("http://www.twitter.com/k_hill20", "k_hill20")</f>
        <v>k_hill20</v>
      </c>
      <c r="B10366" s="65"/>
    </row>
    <row r="10367" spans="1:2" x14ac:dyDescent="0.25">
      <c r="A10367" s="64" t="str">
        <f>HYPERLINK("http://www.twitter.com/BonnierZaffre", "BonnierZaffre")</f>
        <v>BonnierZaffre</v>
      </c>
      <c r="B10367" s="65" t="s">
        <v>36</v>
      </c>
    </row>
    <row r="10368" spans="1:2" x14ac:dyDescent="0.25">
      <c r="A10368" s="64" t="str">
        <f>HYPERLINK("http://www.twitter.com/DaintyStevie", "DaintyStevie")</f>
        <v>DaintyStevie</v>
      </c>
      <c r="B10368" s="65" t="s">
        <v>7089</v>
      </c>
    </row>
    <row r="10369" spans="1:2" x14ac:dyDescent="0.25">
      <c r="A10369" s="64" t="str">
        <f>HYPERLINK("http://www.twitter.com/StevieFinegan", "StevieFinegan")</f>
        <v>StevieFinegan</v>
      </c>
      <c r="B10369" s="65" t="s">
        <v>36</v>
      </c>
    </row>
    <row r="10370" spans="1:2" x14ac:dyDescent="0.25">
      <c r="A10370" s="64" t="str">
        <f>HYPERLINK("http://www.twitter.com/louberngill", "louberngill")</f>
        <v>louberngill</v>
      </c>
      <c r="B10370" s="65"/>
    </row>
    <row r="10371" spans="1:2" x14ac:dyDescent="0.25">
      <c r="A10371" s="64" t="str">
        <f>HYPERLINK("http://www.twitter.com/anneand10916552", "anneand10916552")</f>
        <v>anneand10916552</v>
      </c>
      <c r="B10371" s="65"/>
    </row>
    <row r="10372" spans="1:2" x14ac:dyDescent="0.25">
      <c r="A10372" s="64" t="str">
        <f>HYPERLINK("http://www.twitter.com/Thorf13", "Thorf13")</f>
        <v>Thorf13</v>
      </c>
      <c r="B10372" s="65" t="s">
        <v>7090</v>
      </c>
    </row>
    <row r="10373" spans="1:2" x14ac:dyDescent="0.25">
      <c r="A10373" s="64" t="str">
        <f>HYPERLINK("http://www.twitter.com/NixKayzer", "NixKayzer")</f>
        <v>NixKayzer</v>
      </c>
      <c r="B10373" s="65" t="s">
        <v>138</v>
      </c>
    </row>
    <row r="10374" spans="1:2" x14ac:dyDescent="0.25">
      <c r="A10374" s="64" t="str">
        <f>HYPERLINK("http://www.twitter.com/narrator", "narrator")</f>
        <v>narrator</v>
      </c>
      <c r="B10374" s="65" t="s">
        <v>24</v>
      </c>
    </row>
    <row r="10375" spans="1:2" x14ac:dyDescent="0.25">
      <c r="A10375" s="64" t="str">
        <f>HYPERLINK("http://www.twitter.com/BritGrohl", "BritGrohl")</f>
        <v>BritGrohl</v>
      </c>
      <c r="B10375" s="65" t="s">
        <v>477</v>
      </c>
    </row>
    <row r="10376" spans="1:2" x14ac:dyDescent="0.25">
      <c r="A10376" s="64" t="str">
        <f>HYPERLINK("http://www.twitter.com/peedietweet", "peedietweet")</f>
        <v>peedietweet</v>
      </c>
      <c r="B10376" s="65" t="s">
        <v>24</v>
      </c>
    </row>
    <row r="10377" spans="1:2" x14ac:dyDescent="0.25">
      <c r="A10377" s="64" t="str">
        <f>HYPERLINK("http://www.twitter.com/n_rendall", "n_rendall")</f>
        <v>n_rendall</v>
      </c>
      <c r="B10377" s="65" t="s">
        <v>3762</v>
      </c>
    </row>
    <row r="10378" spans="1:2" x14ac:dyDescent="0.25">
      <c r="A10378" s="64" t="str">
        <f>HYPERLINK("http://www.twitter.com/coxywestlondonn", "coxywestlondonn")</f>
        <v>coxywestlondonn</v>
      </c>
      <c r="B10378" s="65"/>
    </row>
    <row r="10379" spans="1:2" x14ac:dyDescent="0.25">
      <c r="A10379" s="64" t="str">
        <f>HYPERLINK("http://www.twitter.com/LCCCMJ", "LCCCMJ")</f>
        <v>LCCCMJ</v>
      </c>
      <c r="B10379" s="65" t="s">
        <v>93</v>
      </c>
    </row>
    <row r="10380" spans="1:2" x14ac:dyDescent="0.25">
      <c r="A10380" s="64" t="str">
        <f>HYPERLINK("http://www.twitter.com/BottaCecilia", "BottaCecilia")</f>
        <v>BottaCecilia</v>
      </c>
      <c r="B10380" s="65"/>
    </row>
    <row r="10381" spans="1:2" x14ac:dyDescent="0.25">
      <c r="A10381" s="64" t="str">
        <f>HYPERLINK("http://www.twitter.com/libscinerd", "libscinerd")</f>
        <v>libscinerd</v>
      </c>
      <c r="B10381" s="65"/>
    </row>
    <row r="10382" spans="1:2" x14ac:dyDescent="0.25">
      <c r="A10382" s="64" t="str">
        <f>HYPERLINK("http://www.twitter.com/_samwalls", "_samwalls")</f>
        <v>_samwalls</v>
      </c>
      <c r="B10382" s="65"/>
    </row>
    <row r="10383" spans="1:2" x14ac:dyDescent="0.25">
      <c r="A10383" s="64" t="str">
        <f>HYPERLINK("http://www.twitter.com/HelenSt86496201", "HelenSt86496201")</f>
        <v>HelenSt86496201</v>
      </c>
      <c r="B10383" s="65"/>
    </row>
    <row r="10384" spans="1:2" x14ac:dyDescent="0.25">
      <c r="A10384" s="64" t="str">
        <f>HYPERLINK("http://www.twitter.com/kadlam", "kadlam")</f>
        <v>kadlam</v>
      </c>
      <c r="B10384" s="65"/>
    </row>
    <row r="10385" spans="1:2" x14ac:dyDescent="0.25">
      <c r="A10385" s="64" t="str">
        <f>HYPERLINK("http://www.twitter.com/kiteboy99", "kiteboy99")</f>
        <v>kiteboy99</v>
      </c>
      <c r="B10385" s="65"/>
    </row>
    <row r="10386" spans="1:2" x14ac:dyDescent="0.25">
      <c r="A10386" s="64" t="str">
        <f>HYPERLINK("http://www.twitter.com/PennyBee", "PennyBee")</f>
        <v>PennyBee</v>
      </c>
      <c r="B10386" s="65"/>
    </row>
    <row r="10387" spans="1:2" x14ac:dyDescent="0.25">
      <c r="A10387" s="64" t="str">
        <f>HYPERLINK("http://www.twitter.com/GarriockJulie", "GarriockJulie")</f>
        <v>GarriockJulie</v>
      </c>
      <c r="B10387" s="65"/>
    </row>
    <row r="10388" spans="1:2" x14ac:dyDescent="0.25">
      <c r="A10388" s="64" t="str">
        <f>HYPERLINK("http://www.twitter.com/AnraKennedy", "AnraKennedy")</f>
        <v>AnraKennedy</v>
      </c>
      <c r="B10388" s="65"/>
    </row>
    <row r="10389" spans="1:2" x14ac:dyDescent="0.25">
      <c r="A10389" s="64" t="str">
        <f>HYPERLINK("http://www.twitter.com/JephsonHelen", "JephsonHelen")</f>
        <v>JephsonHelen</v>
      </c>
      <c r="B10389" s="65"/>
    </row>
    <row r="10390" spans="1:2" x14ac:dyDescent="0.25">
      <c r="A10390" s="64" t="str">
        <f>HYPERLINK("http://www.twitter.com/charmeliasa", "charmeliasa")</f>
        <v>charmeliasa</v>
      </c>
      <c r="B10390" s="65"/>
    </row>
    <row r="10391" spans="1:2" x14ac:dyDescent="0.25">
      <c r="A10391" s="64" t="str">
        <f>HYPERLINK("http://www.twitter.com/MichelleDay67", "MichelleDay67")</f>
        <v>MichelleDay67</v>
      </c>
      <c r="B10391" s="65" t="s">
        <v>7091</v>
      </c>
    </row>
    <row r="10392" spans="1:2" x14ac:dyDescent="0.25">
      <c r="A10392" s="64" t="str">
        <f>HYPERLINK("http://www.twitter.com/LaingMatthew", "LaingMatthew")</f>
        <v>LaingMatthew</v>
      </c>
      <c r="B10392" s="65" t="s">
        <v>318</v>
      </c>
    </row>
    <row r="10393" spans="1:2" x14ac:dyDescent="0.25">
      <c r="A10393" s="64" t="str">
        <f>HYPERLINK("http://www.twitter.com/gwenwilkie", "gwenwilkie")</f>
        <v>gwenwilkie</v>
      </c>
      <c r="B10393" s="65"/>
    </row>
    <row r="10394" spans="1:2" x14ac:dyDescent="0.25">
      <c r="A10394" s="64" t="str">
        <f>HYPERLINK("http://www.twitter.com/ludlowa647", "ludlowa647")</f>
        <v>ludlowa647</v>
      </c>
      <c r="B10394" s="65" t="s">
        <v>1377</v>
      </c>
    </row>
    <row r="10395" spans="1:2" x14ac:dyDescent="0.25">
      <c r="A10395" s="64" t="str">
        <f>HYPERLINK("http://www.twitter.com/kcartermckee", "kcartermckee")</f>
        <v>kcartermckee</v>
      </c>
      <c r="B10395" s="65" t="s">
        <v>24</v>
      </c>
    </row>
    <row r="10396" spans="1:2" x14ac:dyDescent="0.25">
      <c r="A10396" s="64" t="str">
        <f>HYPERLINK("http://www.twitter.com/sabrydlong", "sabrydlong")</f>
        <v>sabrydlong</v>
      </c>
      <c r="B10396" s="65" t="s">
        <v>477</v>
      </c>
    </row>
    <row r="10397" spans="1:2" x14ac:dyDescent="0.25">
      <c r="A10397" s="64" t="str">
        <f>HYPERLINK("http://www.twitter.com/MrsFartyarty", "MrsFartyarty")</f>
        <v>MrsFartyarty</v>
      </c>
      <c r="B10397" s="65" t="s">
        <v>7092</v>
      </c>
    </row>
    <row r="10398" spans="1:2" x14ac:dyDescent="0.25">
      <c r="A10398" s="64" t="str">
        <f>HYPERLINK("http://www.twitter.com/rabaskeyfield", "rabaskeyfield")</f>
        <v>rabaskeyfield</v>
      </c>
      <c r="B10398" s="65" t="s">
        <v>477</v>
      </c>
    </row>
    <row r="10399" spans="1:2" x14ac:dyDescent="0.25">
      <c r="A10399" s="64" t="str">
        <f>HYPERLINK("http://www.twitter.com/AndyEllis_", "AndyEllis_")</f>
        <v>AndyEllis_</v>
      </c>
      <c r="B10399" s="65" t="s">
        <v>36</v>
      </c>
    </row>
    <row r="10400" spans="1:2" x14ac:dyDescent="0.25">
      <c r="A10400" s="64" t="str">
        <f>HYPERLINK("http://www.twitter.com/wwcrowds", "wwcrowds")</f>
        <v>wwcrowds</v>
      </c>
      <c r="B10400" s="65" t="s">
        <v>7093</v>
      </c>
    </row>
    <row r="10401" spans="1:2" x14ac:dyDescent="0.25">
      <c r="A10401" s="64" t="str">
        <f>HYPERLINK("http://www.twitter.com/toondav", "toondav")</f>
        <v>toondav</v>
      </c>
      <c r="B10401" s="65" t="s">
        <v>7094</v>
      </c>
    </row>
    <row r="10402" spans="1:2" x14ac:dyDescent="0.25">
      <c r="A10402" s="64" t="str">
        <f>HYPERLINK("http://www.twitter.com/Amylmerriott", "Amylmerriott")</f>
        <v>Amylmerriott</v>
      </c>
      <c r="B10402" s="65" t="s">
        <v>7095</v>
      </c>
    </row>
    <row r="10403" spans="1:2" x14ac:dyDescent="0.25">
      <c r="A10403" s="64" t="str">
        <f>HYPERLINK("http://www.twitter.com/BichanKathy", "BichanKathy")</f>
        <v>BichanKathy</v>
      </c>
      <c r="B10403" s="65" t="s">
        <v>20</v>
      </c>
    </row>
    <row r="10404" spans="1:2" x14ac:dyDescent="0.25">
      <c r="A10404" s="64" t="str">
        <f>HYPERLINK("http://www.twitter.com/bethlindoe", "bethlindoe")</f>
        <v>bethlindoe</v>
      </c>
      <c r="B10404" s="65" t="s">
        <v>514</v>
      </c>
    </row>
    <row r="10405" spans="1:2" x14ac:dyDescent="0.25">
      <c r="A10405" s="64" t="str">
        <f>HYPERLINK("http://www.twitter.com/keithalexander", "keithalexander")</f>
        <v>keithalexander</v>
      </c>
      <c r="B10405" s="65" t="s">
        <v>7096</v>
      </c>
    </row>
    <row r="10406" spans="1:2" x14ac:dyDescent="0.25">
      <c r="A10406" s="64" t="str">
        <f>HYPERLINK("http://www.twitter.com/RebeccaRlc1", "RebeccaRlc1")</f>
        <v>RebeccaRlc1</v>
      </c>
      <c r="B10406" s="65"/>
    </row>
    <row r="10407" spans="1:2" x14ac:dyDescent="0.25">
      <c r="A10407" s="64" t="str">
        <f>HYPERLINK("http://www.twitter.com/AWarley", "AWarley")</f>
        <v>AWarley</v>
      </c>
      <c r="B10407" s="65" t="s">
        <v>36</v>
      </c>
    </row>
    <row r="10408" spans="1:2" x14ac:dyDescent="0.25">
      <c r="A10408" s="64" t="str">
        <f>HYPERLINK("http://www.twitter.com/WellsDerek", "WellsDerek")</f>
        <v>WellsDerek</v>
      </c>
      <c r="B10408" s="65" t="s">
        <v>7097</v>
      </c>
    </row>
    <row r="10409" spans="1:2" x14ac:dyDescent="0.25">
      <c r="A10409" s="64" t="str">
        <f>HYPERLINK("http://www.twitter.com/ChristinaCBush", "ChristinaCBush")</f>
        <v>ChristinaCBush</v>
      </c>
      <c r="B10409" s="65"/>
    </row>
    <row r="10410" spans="1:2" x14ac:dyDescent="0.25">
      <c r="A10410" s="64" t="str">
        <f>HYPERLINK("http://www.twitter.com/revistaItem", "revistaItem")</f>
        <v>revistaItem</v>
      </c>
      <c r="B10410" s="65"/>
    </row>
    <row r="10411" spans="1:2" x14ac:dyDescent="0.25">
      <c r="A10411" s="64" t="str">
        <f>HYPERLINK("http://www.twitter.com/julieallinson", "julieallinson")</f>
        <v>julieallinson</v>
      </c>
      <c r="B10411" s="65" t="s">
        <v>346</v>
      </c>
    </row>
    <row r="10412" spans="1:2" x14ac:dyDescent="0.25">
      <c r="A10412" s="64" t="str">
        <f>HYPERLINK("http://www.twitter.com/MihaelaPop_01", "MihaelaPop_01")</f>
        <v>MihaelaPop_01</v>
      </c>
      <c r="B10412" s="65"/>
    </row>
    <row r="10413" spans="1:2" x14ac:dyDescent="0.25">
      <c r="A10413" s="64" t="str">
        <f>HYPERLINK("http://www.twitter.com/wawa2652", "wawa2652")</f>
        <v>wawa2652</v>
      </c>
      <c r="B10413" s="65"/>
    </row>
    <row r="10414" spans="1:2" x14ac:dyDescent="0.25">
      <c r="A10414" s="64" t="str">
        <f>HYPERLINK("http://www.twitter.com/trtyree", "trtyree")</f>
        <v>trtyree</v>
      </c>
      <c r="B10414" s="65" t="s">
        <v>4970</v>
      </c>
    </row>
    <row r="10415" spans="1:2" x14ac:dyDescent="0.25">
      <c r="A10415" s="64" t="str">
        <f>HYPERLINK("http://www.twitter.com/linneylootoo", "linneylootoo")</f>
        <v>linneylootoo</v>
      </c>
      <c r="B10415" s="65" t="s">
        <v>7098</v>
      </c>
    </row>
    <row r="10416" spans="1:2" x14ac:dyDescent="0.25">
      <c r="A10416" s="64" t="str">
        <f>HYPERLINK("http://www.twitter.com/crusaderlass", "crusaderlass")</f>
        <v>crusaderlass</v>
      </c>
      <c r="B10416" s="65"/>
    </row>
    <row r="10417" spans="1:2" x14ac:dyDescent="0.25">
      <c r="A10417" s="64" t="str">
        <f>HYPERLINK("http://www.twitter.com/gordon_struth", "gordon_struth")</f>
        <v>gordon_struth</v>
      </c>
      <c r="B10417" s="65" t="s">
        <v>24</v>
      </c>
    </row>
    <row r="10418" spans="1:2" x14ac:dyDescent="0.25">
      <c r="A10418" s="64" t="str">
        <f>HYPERLINK("http://www.twitter.com/RendallGarry", "RendallGarry")</f>
        <v>RendallGarry</v>
      </c>
      <c r="B10418" s="65"/>
    </row>
    <row r="10419" spans="1:2" x14ac:dyDescent="0.25">
      <c r="A10419" s="64" t="str">
        <f>HYPERLINK("http://www.twitter.com/janebir1", "janebir1")</f>
        <v>janebir1</v>
      </c>
      <c r="B10419" s="65"/>
    </row>
    <row r="10420" spans="1:2" x14ac:dyDescent="0.25">
      <c r="A10420" s="64" t="str">
        <f>HYPERLINK("http://www.twitter.com/PSB_HQ", "PSB_HQ")</f>
        <v>PSB_HQ</v>
      </c>
      <c r="B10420" s="65" t="s">
        <v>4171</v>
      </c>
    </row>
    <row r="10421" spans="1:2" x14ac:dyDescent="0.25">
      <c r="A10421" s="64" t="str">
        <f>HYPERLINK("http://www.twitter.com/SLibraries", "SLibraries")</f>
        <v>SLibraries</v>
      </c>
      <c r="B10421" s="65" t="s">
        <v>1468</v>
      </c>
    </row>
    <row r="10422" spans="1:2" x14ac:dyDescent="0.25">
      <c r="A10422" s="64" t="str">
        <f>HYPERLINK("http://www.twitter.com/violadoc", "violadoc")</f>
        <v>violadoc</v>
      </c>
      <c r="B10422" s="65"/>
    </row>
    <row r="10423" spans="1:2" x14ac:dyDescent="0.25">
      <c r="A10423" s="64" t="str">
        <f>HYPERLINK("http://www.twitter.com/ellybeantwo", "ellybeantwo")</f>
        <v>ellybeantwo</v>
      </c>
      <c r="B10423" s="65"/>
    </row>
    <row r="10424" spans="1:2" x14ac:dyDescent="0.25">
      <c r="A10424" s="64" t="str">
        <f>HYPERLINK("http://www.twitter.com/Alice_Payne__", "Alice_Payne__")</f>
        <v>Alice_Payne__</v>
      </c>
      <c r="B10424" s="65"/>
    </row>
    <row r="10425" spans="1:2" x14ac:dyDescent="0.25">
      <c r="A10425" s="64" t="str">
        <f>HYPERLINK("http://www.twitter.com/DMA_UK", "DMA_UK")</f>
        <v>DMA_UK</v>
      </c>
      <c r="B10425" s="65" t="s">
        <v>36</v>
      </c>
    </row>
    <row r="10426" spans="1:2" x14ac:dyDescent="0.25">
      <c r="A10426" s="64" t="str">
        <f>HYPERLINK("http://www.twitter.com/Library_Cop", "Library_Cop")</f>
        <v>Library_Cop</v>
      </c>
      <c r="B10426" s="65"/>
    </row>
    <row r="10427" spans="1:2" x14ac:dyDescent="0.25">
      <c r="A10427" s="64" t="str">
        <f>HYPERLINK("http://www.twitter.com/Isisaudio", "Isisaudio")</f>
        <v>Isisaudio</v>
      </c>
      <c r="B10427" s="65" t="s">
        <v>12</v>
      </c>
    </row>
    <row r="10428" spans="1:2" x14ac:dyDescent="0.25">
      <c r="A10428" s="64" t="str">
        <f>HYPERLINK("http://www.twitter.com/WDCCreative", "WDCCreative")</f>
        <v>WDCCreative</v>
      </c>
      <c r="B10428" s="65" t="s">
        <v>616</v>
      </c>
    </row>
    <row r="10429" spans="1:2" x14ac:dyDescent="0.25">
      <c r="A10429" s="64" t="str">
        <f>HYPERLINK("http://www.twitter.com/VicCurren", "VicCurren")</f>
        <v>VicCurren</v>
      </c>
      <c r="B10429" s="65" t="s">
        <v>4762</v>
      </c>
    </row>
    <row r="10430" spans="1:2" x14ac:dyDescent="0.25">
      <c r="A10430" s="64" t="str">
        <f>HYPERLINK("http://www.twitter.com/HMacD_September", "HMacD_September")</f>
        <v>HMacD_September</v>
      </c>
      <c r="B10430" s="65" t="s">
        <v>36</v>
      </c>
    </row>
    <row r="10431" spans="1:2" x14ac:dyDescent="0.25">
      <c r="A10431" s="64" t="str">
        <f>HYPERLINK("http://www.twitter.com/mck_scribe", "mck_scribe")</f>
        <v>mck_scribe</v>
      </c>
      <c r="B10431" s="65" t="s">
        <v>7099</v>
      </c>
    </row>
    <row r="10432" spans="1:2" x14ac:dyDescent="0.25">
      <c r="A10432" s="64" t="str">
        <f>HYPERLINK("http://www.twitter.com/djignorance", "djignorance")</f>
        <v>djignorance</v>
      </c>
      <c r="B10432" s="65" t="s">
        <v>36</v>
      </c>
    </row>
    <row r="10433" spans="1:2" x14ac:dyDescent="0.25">
      <c r="A10433" s="64" t="str">
        <f>HYPERLINK("http://www.twitter.com/philreakes", "philreakes")</f>
        <v>philreakes</v>
      </c>
      <c r="B10433" s="65" t="s">
        <v>36</v>
      </c>
    </row>
    <row r="10434" spans="1:2" x14ac:dyDescent="0.25">
      <c r="A10434" s="64" t="str">
        <f>HYPERLINK("http://www.twitter.com/MurKTayloR", "MurKTayloR")</f>
        <v>MurKTayloR</v>
      </c>
      <c r="B10434" s="65" t="s">
        <v>7100</v>
      </c>
    </row>
    <row r="10435" spans="1:2" x14ac:dyDescent="0.25">
      <c r="A10435" s="64" t="str">
        <f>HYPERLINK("http://www.twitter.com/ColinFrimmers", "ColinFrimmers")</f>
        <v>ColinFrimmers</v>
      </c>
      <c r="B10435" s="65"/>
    </row>
    <row r="10436" spans="1:2" x14ac:dyDescent="0.25">
      <c r="A10436" s="64" t="str">
        <f>HYPERLINK("http://www.twitter.com/dswarm", "dswarm")</f>
        <v>dswarm</v>
      </c>
      <c r="B10436" s="65" t="s">
        <v>5432</v>
      </c>
    </row>
    <row r="10437" spans="1:2" x14ac:dyDescent="0.25">
      <c r="A10437" s="64" t="str">
        <f>HYPERLINK("http://www.twitter.com/UWALibrary", "UWALibrary")</f>
        <v>UWALibrary</v>
      </c>
      <c r="B10437" s="65" t="s">
        <v>4129</v>
      </c>
    </row>
    <row r="10438" spans="1:2" x14ac:dyDescent="0.25">
      <c r="A10438" s="64" t="str">
        <f>HYPERLINK("http://www.twitter.com/lewis22880602", "lewis22880602")</f>
        <v>lewis22880602</v>
      </c>
      <c r="B10438" s="65"/>
    </row>
    <row r="10439" spans="1:2" x14ac:dyDescent="0.25">
      <c r="A10439" s="64" t="str">
        <f>HYPERLINK("http://www.twitter.com/rojob1", "rojob1")</f>
        <v>rojob1</v>
      </c>
      <c r="B10439" s="65" t="s">
        <v>4273</v>
      </c>
    </row>
    <row r="10440" spans="1:2" x14ac:dyDescent="0.25">
      <c r="A10440" s="64" t="str">
        <f>HYPERLINK("http://www.twitter.com/elementumjournl", "elementumjournl")</f>
        <v>elementumjournl</v>
      </c>
      <c r="B10440" s="65" t="s">
        <v>70</v>
      </c>
    </row>
    <row r="10441" spans="1:2" x14ac:dyDescent="0.25">
      <c r="A10441" s="64" t="str">
        <f>HYPERLINK("http://www.twitter.com/CulturalSnow", "CulturalSnow")</f>
        <v>CulturalSnow</v>
      </c>
      <c r="B10441" s="65"/>
    </row>
    <row r="10442" spans="1:2" x14ac:dyDescent="0.25">
      <c r="A10442" s="64" t="str">
        <f>HYPERLINK("http://www.twitter.com/vickikb", "vickikb")</f>
        <v>vickikb</v>
      </c>
      <c r="B10442" s="65" t="s">
        <v>180</v>
      </c>
    </row>
    <row r="10443" spans="1:2" x14ac:dyDescent="0.25">
      <c r="A10443" s="64" t="str">
        <f>HYPERLINK("http://www.twitter.com/EilidhEdgar", "EilidhEdgar")</f>
        <v>EilidhEdgar</v>
      </c>
      <c r="B10443" s="65" t="s">
        <v>4447</v>
      </c>
    </row>
    <row r="10444" spans="1:2" x14ac:dyDescent="0.25">
      <c r="A10444" s="64" t="str">
        <f>HYPERLINK("http://www.twitter.com/DameEvelyn", "DameEvelyn")</f>
        <v>DameEvelyn</v>
      </c>
      <c r="B10444" s="65" t="s">
        <v>70</v>
      </c>
    </row>
    <row r="10445" spans="1:2" x14ac:dyDescent="0.25">
      <c r="A10445" s="64" t="str">
        <f>HYPERLINK("http://www.twitter.com/jjfox123", "jjfox123")</f>
        <v>jjfox123</v>
      </c>
      <c r="B10445" s="65"/>
    </row>
    <row r="10446" spans="1:2" x14ac:dyDescent="0.25">
      <c r="A10446" s="64" t="str">
        <f>HYPERLINK("http://www.twitter.com/B_I_W", "B_I_W")</f>
        <v>B_I_W</v>
      </c>
      <c r="B10446" s="65" t="s">
        <v>7101</v>
      </c>
    </row>
    <row r="10447" spans="1:2" x14ac:dyDescent="0.25">
      <c r="A10447" s="64" t="str">
        <f>HYPERLINK("http://www.twitter.com/SJKMasson", "SJKMasson")</f>
        <v>SJKMasson</v>
      </c>
      <c r="B10447" s="65"/>
    </row>
    <row r="10448" spans="1:2" x14ac:dyDescent="0.25">
      <c r="A10448" s="64" t="str">
        <f>HYPERLINK("http://www.twitter.com/SaltedNotebook", "SaltedNotebook")</f>
        <v>SaltedNotebook</v>
      </c>
      <c r="B10448" s="65" t="s">
        <v>7102</v>
      </c>
    </row>
    <row r="10449" spans="1:2" x14ac:dyDescent="0.25">
      <c r="A10449" s="64" t="str">
        <f>HYPERLINK("http://www.twitter.com/WormThruBooks", "WormThruBooks")</f>
        <v>WormThruBooks</v>
      </c>
      <c r="B10449" s="65"/>
    </row>
    <row r="10450" spans="1:2" x14ac:dyDescent="0.25">
      <c r="A10450" s="64" t="str">
        <f>HYPERLINK("http://www.twitter.com/James_H_Malta", "James_H_Malta")</f>
        <v>James_H_Malta</v>
      </c>
      <c r="B10450" s="65" t="s">
        <v>7103</v>
      </c>
    </row>
    <row r="10451" spans="1:2" x14ac:dyDescent="0.25">
      <c r="A10451" s="64" t="str">
        <f>HYPERLINK("http://www.twitter.com/efhN6", "efhN6")</f>
        <v>efhN6</v>
      </c>
      <c r="B10451" s="65"/>
    </row>
    <row r="10452" spans="1:2" x14ac:dyDescent="0.25">
      <c r="A10452" s="64" t="str">
        <f>HYPERLINK("http://www.twitter.com/AbiBuckley", "AbiBuckley")</f>
        <v>AbiBuckley</v>
      </c>
      <c r="B10452" s="65"/>
    </row>
    <row r="10453" spans="1:2" x14ac:dyDescent="0.25">
      <c r="A10453" s="64" t="str">
        <f>HYPERLINK("http://www.twitter.com/MargieTun", "MargieTun")</f>
        <v>MargieTun</v>
      </c>
      <c r="B10453" s="65"/>
    </row>
    <row r="10454" spans="1:2" x14ac:dyDescent="0.25">
      <c r="A10454" s="64" t="str">
        <f>HYPERLINK("http://www.twitter.com/Lisfen", "Lisfen")</f>
        <v>Lisfen</v>
      </c>
      <c r="B10454" s="65" t="s">
        <v>7104</v>
      </c>
    </row>
    <row r="10455" spans="1:2" x14ac:dyDescent="0.25">
      <c r="A10455" s="64" t="str">
        <f>HYPERLINK("http://www.twitter.com/maxirving", "maxirving")</f>
        <v>maxirving</v>
      </c>
      <c r="B10455" s="65" t="s">
        <v>36</v>
      </c>
    </row>
    <row r="10456" spans="1:2" x14ac:dyDescent="0.25">
      <c r="A10456" s="64" t="str">
        <f>HYPERLINK("http://www.twitter.com/ManiacalCreel", "ManiacalCreel")</f>
        <v>ManiacalCreel</v>
      </c>
      <c r="B10456" s="65"/>
    </row>
    <row r="10457" spans="1:2" x14ac:dyDescent="0.25">
      <c r="A10457" s="64" t="str">
        <f>HYPERLINK("http://www.twitter.com/ladyelevator77", "ladyelevator77")</f>
        <v>ladyelevator77</v>
      </c>
      <c r="B10457" s="65"/>
    </row>
    <row r="10458" spans="1:2" x14ac:dyDescent="0.25">
      <c r="A10458" s="64" t="str">
        <f>HYPERLINK("http://www.twitter.com/sparklecupboard", "sparklecupboard")</f>
        <v>sparklecupboard</v>
      </c>
      <c r="B10458" s="65"/>
    </row>
    <row r="10459" spans="1:2" x14ac:dyDescent="0.25">
      <c r="A10459" s="64" t="str">
        <f>HYPERLINK("http://www.twitter.com/ByramEm", "ByramEm")</f>
        <v>ByramEm</v>
      </c>
      <c r="B10459" s="65"/>
    </row>
    <row r="10460" spans="1:2" x14ac:dyDescent="0.25">
      <c r="A10460" s="64" t="str">
        <f>HYPERLINK("http://www.twitter.com/oldgirlatuni", "oldgirlatuni")</f>
        <v>oldgirlatuni</v>
      </c>
      <c r="B10460" s="65" t="s">
        <v>7105</v>
      </c>
    </row>
    <row r="10461" spans="1:2" x14ac:dyDescent="0.25">
      <c r="A10461" s="64" t="str">
        <f>HYPERLINK("http://www.twitter.com/lettythomas", "lettythomas")</f>
        <v>lettythomas</v>
      </c>
      <c r="B10461" s="65" t="s">
        <v>477</v>
      </c>
    </row>
    <row r="10462" spans="1:2" x14ac:dyDescent="0.25">
      <c r="A10462" s="64" t="str">
        <f>HYPERLINK("http://www.twitter.com/CroghanCheese", "CroghanCheese")</f>
        <v>CroghanCheese</v>
      </c>
      <c r="B10462" s="65"/>
    </row>
    <row r="10463" spans="1:2" x14ac:dyDescent="0.25">
      <c r="A10463" s="64" t="str">
        <f>HYPERLINK("http://www.twitter.com/goldenbirdie", "goldenbirdie")</f>
        <v>goldenbirdie</v>
      </c>
      <c r="B10463" s="65" t="s">
        <v>5933</v>
      </c>
    </row>
    <row r="10464" spans="1:2" x14ac:dyDescent="0.25">
      <c r="A10464" s="64" t="str">
        <f>HYPERLINK("http://www.twitter.com/eadingas", "eadingas")</f>
        <v>eadingas</v>
      </c>
      <c r="B10464" s="65" t="s">
        <v>477</v>
      </c>
    </row>
    <row r="10465" spans="1:2" x14ac:dyDescent="0.25">
      <c r="A10465" s="64" t="str">
        <f>HYPERLINK("http://www.twitter.com/hevmairi", "hevmairi")</f>
        <v>hevmairi</v>
      </c>
      <c r="B10465" s="65" t="s">
        <v>487</v>
      </c>
    </row>
    <row r="10466" spans="1:2" x14ac:dyDescent="0.25">
      <c r="A10466" s="64" t="str">
        <f>HYPERLINK("http://www.twitter.com/ShulaHawes", "ShulaHawes")</f>
        <v>ShulaHawes</v>
      </c>
      <c r="B10466" s="65"/>
    </row>
    <row r="10467" spans="1:2" x14ac:dyDescent="0.25">
      <c r="A10467" s="64" t="str">
        <f>HYPERLINK("http://www.twitter.com/bryonyjwhite", "bryonyjwhite")</f>
        <v>bryonyjwhite</v>
      </c>
      <c r="B10467" s="65"/>
    </row>
    <row r="10468" spans="1:2" x14ac:dyDescent="0.25">
      <c r="A10468" s="64" t="str">
        <f>HYPERLINK("http://www.twitter.com/enidmccr", "enidmccr")</f>
        <v>enidmccr</v>
      </c>
      <c r="B10468" s="65"/>
    </row>
    <row r="10469" spans="1:2" x14ac:dyDescent="0.25">
      <c r="A10469" s="64" t="str">
        <f>HYPERLINK("http://www.twitter.com/AngieMcGazz", "AngieMcGazz")</f>
        <v>AngieMcGazz</v>
      </c>
      <c r="B10469" s="65" t="s">
        <v>4092</v>
      </c>
    </row>
    <row r="10470" spans="1:2" x14ac:dyDescent="0.25">
      <c r="A10470" s="64" t="str">
        <f>HYPERLINK("http://www.twitter.com/AmorSkynet", "AmorSkynet")</f>
        <v>AmorSkynet</v>
      </c>
      <c r="B10470" s="65" t="s">
        <v>7106</v>
      </c>
    </row>
    <row r="10471" spans="1:2" x14ac:dyDescent="0.25">
      <c r="A10471" s="64" t="str">
        <f>HYPERLINK("http://www.twitter.com/sfplreads", "sfplreads")</f>
        <v>sfplreads</v>
      </c>
      <c r="B10471" s="65" t="s">
        <v>7107</v>
      </c>
    </row>
    <row r="10472" spans="1:2" x14ac:dyDescent="0.25">
      <c r="A10472" s="64" t="str">
        <f>HYPERLINK("http://www.twitter.com/elliswoodman", "elliswoodman")</f>
        <v>elliswoodman</v>
      </c>
      <c r="B10472" s="65" t="s">
        <v>36</v>
      </c>
    </row>
    <row r="10473" spans="1:2" x14ac:dyDescent="0.25">
      <c r="A10473" s="64" t="str">
        <f>HYPERLINK("http://www.twitter.com/cw123", "cw123")</f>
        <v>cw123</v>
      </c>
      <c r="B10473" s="65"/>
    </row>
    <row r="10474" spans="1:2" x14ac:dyDescent="0.25">
      <c r="A10474" s="64" t="str">
        <f>HYPERLINK("http://www.twitter.com/Josie_Aplin", "Josie_Aplin")</f>
        <v>Josie_Aplin</v>
      </c>
      <c r="B10474" s="65" t="s">
        <v>7108</v>
      </c>
    </row>
    <row r="10475" spans="1:2" x14ac:dyDescent="0.25">
      <c r="A10475" s="64" t="str">
        <f>HYPERLINK("http://www.twitter.com/simonprichard", "simonprichard")</f>
        <v>simonprichard</v>
      </c>
      <c r="B10475" s="65" t="s">
        <v>141</v>
      </c>
    </row>
    <row r="10476" spans="1:2" x14ac:dyDescent="0.25">
      <c r="A10476" s="64" t="str">
        <f>HYPERLINK("http://www.twitter.com/geoffreyadodd", "geoffreyadodd")</f>
        <v>geoffreyadodd</v>
      </c>
      <c r="B10476" s="65" t="s">
        <v>2017</v>
      </c>
    </row>
    <row r="10477" spans="1:2" x14ac:dyDescent="0.25">
      <c r="A10477" s="64" t="str">
        <f>HYPERLINK("http://www.twitter.com/SassenachUtd", "SassenachUtd")</f>
        <v>SassenachUtd</v>
      </c>
      <c r="B10477" s="65"/>
    </row>
    <row r="10478" spans="1:2" x14ac:dyDescent="0.25">
      <c r="A10478" s="64" t="str">
        <f>HYPERLINK("http://www.twitter.com/thecaromac", "thecaromac")</f>
        <v>thecaromac</v>
      </c>
      <c r="B10478" s="65" t="s">
        <v>7109</v>
      </c>
    </row>
    <row r="10479" spans="1:2" x14ac:dyDescent="0.25">
      <c r="A10479" s="64" t="str">
        <f>HYPERLINK("http://www.twitter.com/pdallison74", "pdallison74")</f>
        <v>pdallison74</v>
      </c>
      <c r="B10479" s="65" t="s">
        <v>4829</v>
      </c>
    </row>
    <row r="10480" spans="1:2" x14ac:dyDescent="0.25">
      <c r="A10480" s="64" t="str">
        <f>HYPERLINK("http://www.twitter.com/MikeMarshall82", "MikeMarshall82")</f>
        <v>MikeMarshall82</v>
      </c>
      <c r="B10480" s="65"/>
    </row>
    <row r="10481" spans="1:2" x14ac:dyDescent="0.25">
      <c r="A10481" s="64" t="str">
        <f>HYPERLINK("http://www.twitter.com/JarroldBooks", "JarroldBooks")</f>
        <v>JarroldBooks</v>
      </c>
      <c r="B10481" s="65" t="s">
        <v>566</v>
      </c>
    </row>
    <row r="10482" spans="1:2" x14ac:dyDescent="0.25">
      <c r="A10482" s="64" t="str">
        <f>HYPERLINK("http://www.twitter.com/dot_to_dot", "dot_to_dot")</f>
        <v>dot_to_dot</v>
      </c>
      <c r="B10482" s="65" t="s">
        <v>7110</v>
      </c>
    </row>
    <row r="10483" spans="1:2" x14ac:dyDescent="0.25">
      <c r="A10483" s="64" t="str">
        <f>HYPERLINK("http://www.twitter.com/NeilMPark", "NeilMPark")</f>
        <v>NeilMPark</v>
      </c>
      <c r="B10483" s="65" t="s">
        <v>7111</v>
      </c>
    </row>
    <row r="10484" spans="1:2" x14ac:dyDescent="0.25">
      <c r="A10484" s="64" t="str">
        <f>HYPERLINK("http://www.twitter.com/JarroldsNorwich", "JarroldsNorwich")</f>
        <v>JarroldsNorwich</v>
      </c>
      <c r="B10484" s="65" t="s">
        <v>1511</v>
      </c>
    </row>
    <row r="10485" spans="1:2" x14ac:dyDescent="0.25">
      <c r="A10485" s="64" t="str">
        <f>HYPERLINK("http://www.twitter.com/lou_ny_73", "lou_ny_73")</f>
        <v>lou_ny_73</v>
      </c>
      <c r="B10485" s="65" t="s">
        <v>138</v>
      </c>
    </row>
    <row r="10486" spans="1:2" x14ac:dyDescent="0.25">
      <c r="A10486" s="64" t="str">
        <f>HYPERLINK("http://www.twitter.com/rona_student", "rona_student")</f>
        <v>rona_student</v>
      </c>
      <c r="B10486" s="65"/>
    </row>
    <row r="10487" spans="1:2" x14ac:dyDescent="0.25">
      <c r="A10487" s="64" t="str">
        <f>HYPERLINK("http://www.twitter.com/simon_tutty", "simon_tutty")</f>
        <v>simon_tutty</v>
      </c>
      <c r="B10487" s="65"/>
    </row>
    <row r="10488" spans="1:2" x14ac:dyDescent="0.25">
      <c r="A10488" s="64" t="str">
        <f>HYPERLINK("http://www.twitter.com/NishikataEiga", "NishikataEiga")</f>
        <v>NishikataEiga</v>
      </c>
      <c r="B10488" s="65" t="s">
        <v>7112</v>
      </c>
    </row>
    <row r="10489" spans="1:2" x14ac:dyDescent="0.25">
      <c r="A10489" s="64" t="str">
        <f>HYPERLINK("http://www.twitter.com/faded_pixel", "faded_pixel")</f>
        <v>faded_pixel</v>
      </c>
      <c r="B10489" s="65"/>
    </row>
    <row r="10490" spans="1:2" x14ac:dyDescent="0.25">
      <c r="A10490" s="64" t="str">
        <f>HYPERLINK("http://www.twitter.com/LizJMead", "LizJMead")</f>
        <v>LizJMead</v>
      </c>
      <c r="B10490" s="65" t="s">
        <v>2539</v>
      </c>
    </row>
    <row r="10491" spans="1:2" x14ac:dyDescent="0.25">
      <c r="A10491" s="64" t="str">
        <f>HYPERLINK("http://www.twitter.com/markalexander_m", "markalexander_m")</f>
        <v>markalexander_m</v>
      </c>
      <c r="B10491" s="65" t="s">
        <v>2007</v>
      </c>
    </row>
    <row r="10492" spans="1:2" x14ac:dyDescent="0.25">
      <c r="A10492" s="64" t="str">
        <f>HYPERLINK("http://www.twitter.com/hejones2", "hejones2")</f>
        <v>hejones2</v>
      </c>
      <c r="B10492" s="65" t="s">
        <v>7113</v>
      </c>
    </row>
    <row r="10493" spans="1:2" x14ac:dyDescent="0.25">
      <c r="A10493" s="64" t="str">
        <f>HYPERLINK("http://www.twitter.com/_DaveGiles", "_DaveGiles")</f>
        <v>_DaveGiles</v>
      </c>
      <c r="B10493" s="65" t="s">
        <v>180</v>
      </c>
    </row>
    <row r="10494" spans="1:2" x14ac:dyDescent="0.25">
      <c r="A10494" s="64" t="str">
        <f>HYPERLINK("http://www.twitter.com/lauwhitwell", "lauwhitwell")</f>
        <v>lauwhitwell</v>
      </c>
      <c r="B10494" s="65"/>
    </row>
    <row r="10495" spans="1:2" x14ac:dyDescent="0.25">
      <c r="A10495" s="64" t="str">
        <f>HYPERLINK("http://www.twitter.com/WhenInSpain", "WhenInSpain")</f>
        <v>WhenInSpain</v>
      </c>
      <c r="B10495" s="65" t="s">
        <v>7114</v>
      </c>
    </row>
    <row r="10496" spans="1:2" x14ac:dyDescent="0.25">
      <c r="A10496" s="64" t="str">
        <f>HYPERLINK("http://www.twitter.com/em_thinksaydo", "em_thinksaydo")</f>
        <v>em_thinksaydo</v>
      </c>
      <c r="B10496" s="65"/>
    </row>
    <row r="10497" spans="1:2" x14ac:dyDescent="0.25">
      <c r="A10497" s="64" t="str">
        <f>HYPERLINK("http://www.twitter.com/Abbi73", "Abbi73")</f>
        <v>Abbi73</v>
      </c>
      <c r="B10497" s="65"/>
    </row>
    <row r="10498" spans="1:2" x14ac:dyDescent="0.25">
      <c r="A10498" s="64" t="str">
        <f>HYPERLINK("http://www.twitter.com/MrRawny", "MrRawny")</f>
        <v>MrRawny</v>
      </c>
      <c r="B10498" s="65"/>
    </row>
    <row r="10499" spans="1:2" x14ac:dyDescent="0.25">
      <c r="A10499" s="64" t="str">
        <f>HYPERLINK("http://www.twitter.com/Dales_Tourism", "Dales_Tourism")</f>
        <v>Dales_Tourism</v>
      </c>
      <c r="B10499" s="65" t="s">
        <v>7115</v>
      </c>
    </row>
    <row r="10500" spans="1:2" x14ac:dyDescent="0.25">
      <c r="A10500" s="64" t="str">
        <f>HYPERLINK("http://www.twitter.com/ourvic29", "ourvic29")</f>
        <v>ourvic29</v>
      </c>
      <c r="B10500" s="65"/>
    </row>
    <row r="10501" spans="1:2" x14ac:dyDescent="0.25">
      <c r="A10501" s="64" t="str">
        <f>HYPERLINK("http://www.twitter.com/ginacz", "ginacz")</f>
        <v>ginacz</v>
      </c>
      <c r="B10501" s="65" t="s">
        <v>4703</v>
      </c>
    </row>
    <row r="10502" spans="1:2" x14ac:dyDescent="0.25">
      <c r="A10502" s="64" t="str">
        <f>HYPERLINK("http://www.twitter.com/CE_Fletcher", "CE_Fletcher")</f>
        <v>CE_Fletcher</v>
      </c>
      <c r="B10502" s="65" t="s">
        <v>36</v>
      </c>
    </row>
    <row r="10503" spans="1:2" x14ac:dyDescent="0.25">
      <c r="A10503" s="64" t="str">
        <f>HYPERLINK("http://www.twitter.com/bakhtmunir34", "bakhtmunir34")</f>
        <v>bakhtmunir34</v>
      </c>
      <c r="B10503" s="65" t="s">
        <v>7116</v>
      </c>
    </row>
    <row r="10504" spans="1:2" x14ac:dyDescent="0.25">
      <c r="A10504" s="64" t="str">
        <f>HYPERLINK("http://www.twitter.com/OMahonyPaul", "OMahonyPaul")</f>
        <v>OMahonyPaul</v>
      </c>
      <c r="B10504" s="65" t="s">
        <v>4210</v>
      </c>
    </row>
    <row r="10505" spans="1:2" x14ac:dyDescent="0.25">
      <c r="A10505" s="64" t="str">
        <f>HYPERLINK("http://www.twitter.com/InfoCamfield", "InfoCamfield")</f>
        <v>InfoCamfield</v>
      </c>
      <c r="B10505" s="65" t="s">
        <v>7117</v>
      </c>
    </row>
    <row r="10506" spans="1:2" x14ac:dyDescent="0.25">
      <c r="A10506" s="64" t="str">
        <f>HYPERLINK("http://www.twitter.com/JennyZbreezh", "JennyZbreezh")</f>
        <v>JennyZbreezh</v>
      </c>
      <c r="B10506" s="65"/>
    </row>
    <row r="10507" spans="1:2" x14ac:dyDescent="0.25">
      <c r="A10507" s="64" t="str">
        <f>HYPERLINK("http://www.twitter.com/grasshopperlibr", "grasshopperlibr")</f>
        <v>grasshopperlibr</v>
      </c>
      <c r="B10507" s="65"/>
    </row>
    <row r="10508" spans="1:2" x14ac:dyDescent="0.25">
      <c r="A10508" s="64" t="str">
        <f>HYPERLINK("http://www.twitter.com/C696866Hhhh", "C696866Hhhh")</f>
        <v>C696866Hhhh</v>
      </c>
      <c r="B10508" s="65"/>
    </row>
    <row r="10509" spans="1:2" x14ac:dyDescent="0.25">
      <c r="A10509" s="64" t="str">
        <f>HYPERLINK("http://www.twitter.com/eades_erica", "eades_erica")</f>
        <v>eades_erica</v>
      </c>
      <c r="B10509" s="65" t="s">
        <v>7118</v>
      </c>
    </row>
    <row r="10510" spans="1:2" x14ac:dyDescent="0.25">
      <c r="A10510" s="64" t="str">
        <f>HYPERLINK("http://www.twitter.com/trudysmoke", "trudysmoke")</f>
        <v>trudysmoke</v>
      </c>
      <c r="B10510" s="65" t="s">
        <v>7119</v>
      </c>
    </row>
    <row r="10511" spans="1:2" x14ac:dyDescent="0.25">
      <c r="A10511" s="64" t="str">
        <f>HYPERLINK("http://www.twitter.com/KrisJJP", "KrisJJP")</f>
        <v>KrisJJP</v>
      </c>
      <c r="B10511" s="65"/>
    </row>
    <row r="10512" spans="1:2" x14ac:dyDescent="0.25">
      <c r="A10512" s="64" t="str">
        <f>HYPERLINK("http://www.twitter.com/Brillil22", "Brillil22")</f>
        <v>Brillil22</v>
      </c>
      <c r="B10512" s="65"/>
    </row>
    <row r="10513" spans="1:2" x14ac:dyDescent="0.25">
      <c r="A10513" s="64" t="str">
        <f>HYPERLINK("http://www.twitter.com/RuaridhAHDuncan", "RuaridhAHDuncan")</f>
        <v>RuaridhAHDuncan</v>
      </c>
      <c r="B10513" s="65" t="s">
        <v>1189</v>
      </c>
    </row>
    <row r="10514" spans="1:2" x14ac:dyDescent="0.25">
      <c r="A10514" s="64" t="str">
        <f>HYPERLINK("http://www.twitter.com/DanaLyn_FNLS", "DanaLyn_FNLS")</f>
        <v>DanaLyn_FNLS</v>
      </c>
      <c r="B10514" s="65" t="s">
        <v>5695</v>
      </c>
    </row>
    <row r="10515" spans="1:2" x14ac:dyDescent="0.25">
      <c r="A10515" s="64" t="str">
        <f>HYPERLINK("http://www.twitter.com/nowmrsflynn", "nowmrsflynn")</f>
        <v>nowmrsflynn</v>
      </c>
      <c r="B10515" s="65" t="s">
        <v>138</v>
      </c>
    </row>
    <row r="10516" spans="1:2" x14ac:dyDescent="0.25">
      <c r="A10516" s="64" t="str">
        <f>HYPERLINK("http://www.twitter.com/lizakroh", "lizakroh")</f>
        <v>lizakroh</v>
      </c>
      <c r="B10516" s="65" t="s">
        <v>4015</v>
      </c>
    </row>
    <row r="10517" spans="1:2" x14ac:dyDescent="0.25">
      <c r="A10517" s="64" t="str">
        <f>HYPERLINK("http://www.twitter.com/suellewellyn", "suellewellyn")</f>
        <v>suellewellyn</v>
      </c>
      <c r="B10517" s="65" t="s">
        <v>110</v>
      </c>
    </row>
    <row r="10518" spans="1:2" x14ac:dyDescent="0.25">
      <c r="A10518" s="64" t="str">
        <f>HYPERLINK("http://www.twitter.com/benpattie1203", "benpattie1203")</f>
        <v>benpattie1203</v>
      </c>
      <c r="B10518" s="65" t="s">
        <v>36</v>
      </c>
    </row>
    <row r="10519" spans="1:2" x14ac:dyDescent="0.25">
      <c r="A10519" s="64" t="str">
        <f>HYPERLINK("http://www.twitter.com/martin_greig", "martin_greig")</f>
        <v>martin_greig</v>
      </c>
      <c r="B10519" s="65" t="s">
        <v>36</v>
      </c>
    </row>
    <row r="10520" spans="1:2" x14ac:dyDescent="0.25">
      <c r="A10520" s="64" t="str">
        <f>HYPERLINK("http://www.twitter.com/greinneyder", "greinneyder")</f>
        <v>greinneyder</v>
      </c>
      <c r="B10520" s="65" t="s">
        <v>7120</v>
      </c>
    </row>
    <row r="10521" spans="1:2" x14ac:dyDescent="0.25">
      <c r="A10521" s="64" t="str">
        <f>HYPERLINK("http://www.twitter.com/rellimbor9778", "rellimbor9778")</f>
        <v>rellimbor9778</v>
      </c>
      <c r="B10521" s="65"/>
    </row>
    <row r="10522" spans="1:2" x14ac:dyDescent="0.25">
      <c r="A10522" s="64" t="str">
        <f>HYPERLINK("http://www.twitter.com/manxmusic", "manxmusic")</f>
        <v>manxmusic</v>
      </c>
      <c r="B10522" s="65" t="s">
        <v>7121</v>
      </c>
    </row>
    <row r="10523" spans="1:2" x14ac:dyDescent="0.25">
      <c r="A10523" s="64" t="str">
        <f>HYPERLINK("http://www.twitter.com/CultureVannin", "CultureVannin")</f>
        <v>CultureVannin</v>
      </c>
      <c r="B10523" s="65" t="s">
        <v>7122</v>
      </c>
    </row>
    <row r="10524" spans="1:2" x14ac:dyDescent="0.25">
      <c r="A10524" s="64" t="str">
        <f>HYPERLINK("http://www.twitter.com/Nappish", "Nappish")</f>
        <v>Nappish</v>
      </c>
      <c r="B10524" s="65" t="s">
        <v>36</v>
      </c>
    </row>
    <row r="10525" spans="1:2" x14ac:dyDescent="0.25">
      <c r="A10525" s="64" t="str">
        <f>HYPERLINK("http://www.twitter.com/shetland_life", "shetland_life")</f>
        <v>shetland_life</v>
      </c>
      <c r="B10525" s="65" t="s">
        <v>115</v>
      </c>
    </row>
    <row r="10526" spans="1:2" x14ac:dyDescent="0.25">
      <c r="A10526" s="64" t="str">
        <f>HYPERLINK("http://www.twitter.com/TeamEdwardNotts", "TeamEdwardNotts")</f>
        <v>TeamEdwardNotts</v>
      </c>
      <c r="B10526" s="65" t="s">
        <v>6469</v>
      </c>
    </row>
    <row r="10527" spans="1:2" x14ac:dyDescent="0.25">
      <c r="A10527" s="64" t="str">
        <f>HYPERLINK("http://www.twitter.com/TerryMcDonald", "TerryMcDonald")</f>
        <v>TerryMcDonald</v>
      </c>
      <c r="B10527" s="65" t="s">
        <v>7123</v>
      </c>
    </row>
    <row r="10528" spans="1:2" x14ac:dyDescent="0.25">
      <c r="A10528" s="64" t="str">
        <f>HYPERLINK("http://www.twitter.com/TheMeInside3", "TheMeInside3")</f>
        <v>TheMeInside3</v>
      </c>
      <c r="B10528" s="65" t="s">
        <v>5269</v>
      </c>
    </row>
    <row r="10529" spans="1:2" x14ac:dyDescent="0.25">
      <c r="A10529" s="64" t="str">
        <f>HYPERLINK("http://www.twitter.com/FolkyHel", "FolkyHel")</f>
        <v>FolkyHel</v>
      </c>
      <c r="B10529" s="65"/>
    </row>
    <row r="10530" spans="1:2" x14ac:dyDescent="0.25">
      <c r="A10530" s="64" t="str">
        <f>HYPERLINK("http://www.twitter.com/treya41", "treya41")</f>
        <v>treya41</v>
      </c>
      <c r="B10530" s="65"/>
    </row>
    <row r="10531" spans="1:2" x14ac:dyDescent="0.25">
      <c r="A10531" s="64" t="str">
        <f>HYPERLINK("http://www.twitter.com/YolkPublishing", "YolkPublishing")</f>
        <v>YolkPublishing</v>
      </c>
      <c r="B10531" s="65" t="s">
        <v>12</v>
      </c>
    </row>
    <row r="10532" spans="1:2" x14ac:dyDescent="0.25">
      <c r="A10532" s="64" t="str">
        <f>HYPERLINK("http://www.twitter.com/vicsteroooo", "vicsteroooo")</f>
        <v>vicsteroooo</v>
      </c>
      <c r="B10532" s="65" t="s">
        <v>7124</v>
      </c>
    </row>
    <row r="10533" spans="1:2" x14ac:dyDescent="0.25">
      <c r="A10533" s="64" t="str">
        <f>HYPERLINK("http://www.twitter.com/Artbikini", "Artbikini")</f>
        <v>Artbikini</v>
      </c>
      <c r="B10533" s="65" t="s">
        <v>296</v>
      </c>
    </row>
    <row r="10534" spans="1:2" x14ac:dyDescent="0.25">
      <c r="A10534" s="64" t="str">
        <f>HYPERLINK("http://www.twitter.com/bluebellwoodz", "bluebellwoodz")</f>
        <v>bluebellwoodz</v>
      </c>
      <c r="B10534" s="65"/>
    </row>
    <row r="10535" spans="1:2" x14ac:dyDescent="0.25">
      <c r="A10535" s="64" t="str">
        <f>HYPERLINK("http://www.twitter.com/writealexisds", "writealexisds")</f>
        <v>writealexisds</v>
      </c>
      <c r="B10535" s="65"/>
    </row>
    <row r="10536" spans="1:2" x14ac:dyDescent="0.25">
      <c r="A10536" s="64" t="str">
        <f>HYPERLINK("http://www.twitter.com/Fiona_SPatrick", "Fiona_SPatrick")</f>
        <v>Fiona_SPatrick</v>
      </c>
      <c r="B10536" s="65" t="s">
        <v>7125</v>
      </c>
    </row>
    <row r="10537" spans="1:2" x14ac:dyDescent="0.25">
      <c r="A10537" s="64" t="str">
        <f>HYPERLINK("http://www.twitter.com/Lara1073", "Lara1073")</f>
        <v>Lara1073</v>
      </c>
      <c r="B10537" s="65" t="s">
        <v>477</v>
      </c>
    </row>
    <row r="10538" spans="1:2" x14ac:dyDescent="0.25">
      <c r="A10538" s="64" t="str">
        <f>HYPERLINK("http://www.twitter.com/khines258", "khines258")</f>
        <v>khines258</v>
      </c>
      <c r="B10538" s="65"/>
    </row>
    <row r="10539" spans="1:2" x14ac:dyDescent="0.25">
      <c r="A10539" s="64" t="str">
        <f>HYPERLINK("http://www.twitter.com/booksinbits", "booksinbits")</f>
        <v>booksinbits</v>
      </c>
      <c r="B10539" s="65"/>
    </row>
    <row r="10540" spans="1:2" x14ac:dyDescent="0.25">
      <c r="A10540" s="64" t="str">
        <f>HYPERLINK("http://www.twitter.com/Neilius101", "Neilius101")</f>
        <v>Neilius101</v>
      </c>
      <c r="B10540" s="65"/>
    </row>
    <row r="10541" spans="1:2" x14ac:dyDescent="0.25">
      <c r="A10541" s="64" t="str">
        <f>HYPERLINK("http://www.twitter.com/TXLibraryLisa", "TXLibraryLisa")</f>
        <v>TXLibraryLisa</v>
      </c>
      <c r="B10541" s="65"/>
    </row>
    <row r="10542" spans="1:2" x14ac:dyDescent="0.25">
      <c r="A10542" s="64" t="str">
        <f>HYPERLINK("http://www.twitter.com/birdyden", "birdyden")</f>
        <v>birdyden</v>
      </c>
      <c r="B10542" s="65"/>
    </row>
    <row r="10543" spans="1:2" x14ac:dyDescent="0.25">
      <c r="A10543" s="64" t="str">
        <f>HYPERLINK("http://www.twitter.com/suzanne_shearer", "suzanne_shearer")</f>
        <v>suzanne_shearer</v>
      </c>
      <c r="B10543" s="65"/>
    </row>
    <row r="10544" spans="1:2" x14ac:dyDescent="0.25">
      <c r="A10544" s="64" t="str">
        <f>HYPERLINK("http://www.twitter.com/orkneyphoto", "orkneyphoto")</f>
        <v>orkneyphoto</v>
      </c>
      <c r="B10544" s="65" t="s">
        <v>4519</v>
      </c>
    </row>
    <row r="10545" spans="1:2" x14ac:dyDescent="0.25">
      <c r="A10545" s="64" t="str">
        <f>HYPERLINK("http://www.twitter.com/Blackbird_Bks", "Blackbird_Bks")</f>
        <v>Blackbird_Bks</v>
      </c>
      <c r="B10545" s="65" t="s">
        <v>36</v>
      </c>
    </row>
    <row r="10546" spans="1:2" x14ac:dyDescent="0.25">
      <c r="A10546" s="64" t="str">
        <f>HYPERLINK("http://www.twitter.com/GubbedAccount", "GubbedAccount")</f>
        <v>GubbedAccount</v>
      </c>
      <c r="B10546" s="65"/>
    </row>
    <row r="10547" spans="1:2" x14ac:dyDescent="0.25">
      <c r="A10547" s="64" t="str">
        <f>HYPERLINK("http://www.twitter.com/emily_edmonson", "emily_edmonson")</f>
        <v>emily_edmonson</v>
      </c>
      <c r="B10547" s="65" t="s">
        <v>3797</v>
      </c>
    </row>
    <row r="10548" spans="1:2" x14ac:dyDescent="0.25">
      <c r="A10548" s="64" t="str">
        <f>HYPERLINK("http://www.twitter.com/ImWithNicola", "ImWithNicola")</f>
        <v>ImWithNicola</v>
      </c>
      <c r="B10548" s="65" t="s">
        <v>318</v>
      </c>
    </row>
    <row r="10549" spans="1:2" x14ac:dyDescent="0.25">
      <c r="A10549" s="64" t="str">
        <f>HYPERLINK("http://www.twitter.com/MsGeorginaJonas", "MsGeorginaJonas")</f>
        <v>MsGeorginaJonas</v>
      </c>
      <c r="B10549" s="65" t="s">
        <v>1739</v>
      </c>
    </row>
    <row r="10550" spans="1:2" x14ac:dyDescent="0.25">
      <c r="A10550" s="64" t="str">
        <f>HYPERLINK("http://www.twitter.com/bintees", "bintees")</f>
        <v>bintees</v>
      </c>
      <c r="B10550" s="65" t="s">
        <v>4113</v>
      </c>
    </row>
    <row r="10551" spans="1:2" x14ac:dyDescent="0.25">
      <c r="A10551" s="64" t="str">
        <f>HYPERLINK("http://www.twitter.com/nightingale_eds", "nightingale_eds")</f>
        <v>nightingale_eds</v>
      </c>
      <c r="B10551" s="65" t="s">
        <v>7126</v>
      </c>
    </row>
    <row r="10552" spans="1:2" x14ac:dyDescent="0.25">
      <c r="A10552" s="64" t="str">
        <f>HYPERLINK("http://www.twitter.com/katrinanavickas", "katrinanavickas")</f>
        <v>katrinanavickas</v>
      </c>
      <c r="B10552" s="65" t="s">
        <v>7127</v>
      </c>
    </row>
    <row r="10553" spans="1:2" x14ac:dyDescent="0.25">
      <c r="A10553" s="64" t="str">
        <f>HYPERLINK("http://www.twitter.com/noddie71", "noddie71")</f>
        <v>noddie71</v>
      </c>
      <c r="B10553" s="65" t="s">
        <v>138</v>
      </c>
    </row>
    <row r="10554" spans="1:2" x14ac:dyDescent="0.25">
      <c r="A10554" s="64" t="str">
        <f>HYPERLINK("http://www.twitter.com/mybook_journey", "mybook_journey")</f>
        <v>mybook_journey</v>
      </c>
      <c r="B10554" s="65" t="s">
        <v>2007</v>
      </c>
    </row>
    <row r="10555" spans="1:2" x14ac:dyDescent="0.25">
      <c r="A10555" s="64" t="str">
        <f>HYPERLINK("http://www.twitter.com/Macastory", "Macastory")</f>
        <v>Macastory</v>
      </c>
      <c r="B10555" s="65" t="s">
        <v>24</v>
      </c>
    </row>
    <row r="10556" spans="1:2" x14ac:dyDescent="0.25">
      <c r="A10556" s="64" t="str">
        <f>HYPERLINK("http://www.twitter.com/DsSharma23", "DsSharma23")</f>
        <v>DsSharma23</v>
      </c>
      <c r="B10556" s="65" t="s">
        <v>7128</v>
      </c>
    </row>
    <row r="10557" spans="1:2" x14ac:dyDescent="0.25">
      <c r="A10557" s="64" t="str">
        <f>HYPERLINK("http://www.twitter.com/InfoFow", "InfoFow")</f>
        <v>InfoFow</v>
      </c>
      <c r="B10557" s="65" t="s">
        <v>7129</v>
      </c>
    </row>
    <row r="10558" spans="1:2" x14ac:dyDescent="0.25">
      <c r="A10558" s="64" t="str">
        <f>HYPERLINK("http://www.twitter.com/quiddited", "quiddited")</f>
        <v>quiddited</v>
      </c>
      <c r="B10558" s="65"/>
    </row>
    <row r="10559" spans="1:2" x14ac:dyDescent="0.25">
      <c r="A10559" s="64" t="str">
        <f>HYPERLINK("http://www.twitter.com/doatmerrilees", "doatmerrilees")</f>
        <v>doatmerrilees</v>
      </c>
      <c r="B10559" s="65" t="s">
        <v>5117</v>
      </c>
    </row>
    <row r="10560" spans="1:2" x14ac:dyDescent="0.25">
      <c r="A10560" s="64" t="str">
        <f>HYPERLINK("http://www.twitter.com/t2depzh", "t2depzh")</f>
        <v>t2depzh</v>
      </c>
      <c r="B10560" s="65" t="s">
        <v>4326</v>
      </c>
    </row>
    <row r="10561" spans="1:2" x14ac:dyDescent="0.25">
      <c r="A10561" s="64" t="str">
        <f>HYPERLINK("http://www.twitter.com/snailygal", "snailygal")</f>
        <v>snailygal</v>
      </c>
      <c r="B10561" s="65" t="s">
        <v>517</v>
      </c>
    </row>
    <row r="10562" spans="1:2" x14ac:dyDescent="0.25">
      <c r="A10562" s="64" t="str">
        <f>HYPERLINK("http://www.twitter.com/SammiiKoch", "SammiiKoch")</f>
        <v>SammiiKoch</v>
      </c>
      <c r="B10562" s="65" t="s">
        <v>7130</v>
      </c>
    </row>
    <row r="10563" spans="1:2" x14ac:dyDescent="0.25">
      <c r="A10563" s="64" t="str">
        <f>HYPERLINK("http://www.twitter.com/onlinepiper", "onlinepiper")</f>
        <v>onlinepiper</v>
      </c>
      <c r="B10563" s="65" t="s">
        <v>7131</v>
      </c>
    </row>
    <row r="10564" spans="1:2" x14ac:dyDescent="0.25">
      <c r="A10564" s="64" t="str">
        <f>HYPERLINK("http://www.twitter.com/SenetUK", "SenetUK")</f>
        <v>SenetUK</v>
      </c>
      <c r="B10564" s="65" t="s">
        <v>1490</v>
      </c>
    </row>
    <row r="10565" spans="1:2" x14ac:dyDescent="0.25">
      <c r="A10565" s="64" t="str">
        <f>HYPERLINK("http://www.twitter.com/librarygoos", "librarygoos")</f>
        <v>librarygoos</v>
      </c>
      <c r="B10565" s="65" t="s">
        <v>4972</v>
      </c>
    </row>
    <row r="10566" spans="1:2" x14ac:dyDescent="0.25">
      <c r="A10566" s="64" t="str">
        <f>HYPERLINK("http://www.twitter.com/NotABatsman", "NotABatsman")</f>
        <v>NotABatsman</v>
      </c>
      <c r="B10566" s="65" t="s">
        <v>4254</v>
      </c>
    </row>
    <row r="10567" spans="1:2" x14ac:dyDescent="0.25">
      <c r="A10567" s="64" t="str">
        <f>HYPERLINK("http://www.twitter.com/heatherthevet", "heatherthevet")</f>
        <v>heatherthevet</v>
      </c>
      <c r="B10567" s="65" t="s">
        <v>7132</v>
      </c>
    </row>
    <row r="10568" spans="1:2" x14ac:dyDescent="0.25">
      <c r="A10568" s="64" t="str">
        <f>HYPERLINK("http://www.twitter.com/melbickerton", "melbickerton")</f>
        <v>melbickerton</v>
      </c>
      <c r="B10568" s="65" t="s">
        <v>808</v>
      </c>
    </row>
    <row r="10569" spans="1:2" x14ac:dyDescent="0.25">
      <c r="A10569" s="64" t="str">
        <f>HYPERLINK("http://www.twitter.com/chrishayesUK", "chrishayesUK")</f>
        <v>chrishayesUK</v>
      </c>
      <c r="B10569" s="65" t="s">
        <v>7133</v>
      </c>
    </row>
    <row r="10570" spans="1:2" x14ac:dyDescent="0.25">
      <c r="A10570" s="64" t="str">
        <f>HYPERLINK("http://www.twitter.com/11amdaydreamer", "11amdaydreamer")</f>
        <v>11amdaydreamer</v>
      </c>
      <c r="B10570" s="65" t="s">
        <v>3797</v>
      </c>
    </row>
    <row r="10571" spans="1:2" x14ac:dyDescent="0.25">
      <c r="A10571" s="64" t="str">
        <f>HYPERLINK("http://www.twitter.com/AnjelicaEtwerth", "AnjelicaEtwerth")</f>
        <v>AnjelicaEtwerth</v>
      </c>
      <c r="B10571" s="65"/>
    </row>
    <row r="10572" spans="1:2" x14ac:dyDescent="0.25">
      <c r="A10572" s="64" t="str">
        <f>HYPERLINK("http://www.twitter.com/TechkoveryB", "TechkoveryB")</f>
        <v>TechkoveryB</v>
      </c>
      <c r="B10572" s="65" t="s">
        <v>4471</v>
      </c>
    </row>
    <row r="10573" spans="1:2" x14ac:dyDescent="0.25">
      <c r="A10573" s="64" t="str">
        <f>HYPERLINK("http://www.twitter.com/TheRectorsMrs", "TheRectorsMrs")</f>
        <v>TheRectorsMrs</v>
      </c>
      <c r="B10573" s="65" t="s">
        <v>7134</v>
      </c>
    </row>
    <row r="10574" spans="1:2" x14ac:dyDescent="0.25">
      <c r="A10574" s="64" t="str">
        <f>HYPERLINK("http://www.twitter.com/cnjburns", "cnjburns")</f>
        <v>cnjburns</v>
      </c>
      <c r="B10574" s="65" t="s">
        <v>138</v>
      </c>
    </row>
    <row r="10575" spans="1:2" x14ac:dyDescent="0.25">
      <c r="A10575" s="64" t="str">
        <f>HYPERLINK("http://www.twitter.com/alibash771", "alibash771")</f>
        <v>alibash771</v>
      </c>
      <c r="B10575" s="65" t="s">
        <v>7135</v>
      </c>
    </row>
    <row r="10576" spans="1:2" x14ac:dyDescent="0.25">
      <c r="A10576" s="64" t="str">
        <f>HYPERLINK("http://www.twitter.com/SpokesTrade", "SpokesTrade")</f>
        <v>SpokesTrade</v>
      </c>
      <c r="B10576" s="65" t="s">
        <v>7136</v>
      </c>
    </row>
    <row r="10577" spans="1:2" x14ac:dyDescent="0.25">
      <c r="A10577" s="64" t="str">
        <f>HYPERLINK("http://www.twitter.com/Haggerstonreads", "Haggerstonreads")</f>
        <v>Haggerstonreads</v>
      </c>
      <c r="B10577" s="65"/>
    </row>
    <row r="10578" spans="1:2" x14ac:dyDescent="0.25">
      <c r="A10578" s="64" t="str">
        <f>HYPERLINK("http://www.twitter.com/cyclingfansnews", "cyclingfansnews")</f>
        <v>cyclingfansnews</v>
      </c>
      <c r="B10578" s="65"/>
    </row>
    <row r="10579" spans="1:2" x14ac:dyDescent="0.25">
      <c r="A10579" s="64" t="str">
        <f>HYPERLINK("http://www.twitter.com/AsiaScot", "AsiaScot")</f>
        <v>AsiaScot</v>
      </c>
      <c r="B10579" s="65"/>
    </row>
    <row r="10580" spans="1:2" x14ac:dyDescent="0.25">
      <c r="A10580" s="64" t="str">
        <f>HYPERLINK("http://www.twitter.com/mehul77356608", "mehul77356608")</f>
        <v>mehul77356608</v>
      </c>
      <c r="B10580" s="65" t="s">
        <v>4492</v>
      </c>
    </row>
    <row r="10581" spans="1:2" x14ac:dyDescent="0.25">
      <c r="A10581" s="64" t="str">
        <f>HYPERLINK("http://www.twitter.com/bereccah5", "bereccah5")</f>
        <v>bereccah5</v>
      </c>
      <c r="B10581" s="65" t="s">
        <v>7137</v>
      </c>
    </row>
    <row r="10582" spans="1:2" x14ac:dyDescent="0.25">
      <c r="A10582" s="64" t="str">
        <f>HYPERLINK("http://www.twitter.com/NorthwichLtFest", "NorthwichLtFest")</f>
        <v>NorthwichLtFest</v>
      </c>
      <c r="B10582" s="65" t="s">
        <v>7138</v>
      </c>
    </row>
    <row r="10583" spans="1:2" x14ac:dyDescent="0.25">
      <c r="A10583" s="64" t="str">
        <f>HYPERLINK("http://www.twitter.com/joannemnathan", "joannemnathan")</f>
        <v>joannemnathan</v>
      </c>
      <c r="B10583" s="65"/>
    </row>
    <row r="10584" spans="1:2" x14ac:dyDescent="0.25">
      <c r="A10584" s="64" t="str">
        <f>HYPERLINK("http://www.twitter.com/Callanyveg", "Callanyveg")</f>
        <v>Callanyveg</v>
      </c>
      <c r="B10584" s="65" t="s">
        <v>1980</v>
      </c>
    </row>
    <row r="10585" spans="1:2" x14ac:dyDescent="0.25">
      <c r="A10585" s="64" t="str">
        <f>HYPERLINK("http://www.twitter.com/ontotext", "ontotext")</f>
        <v>ontotext</v>
      </c>
      <c r="B10585" s="65" t="s">
        <v>7139</v>
      </c>
    </row>
    <row r="10586" spans="1:2" x14ac:dyDescent="0.25">
      <c r="A10586" s="64" t="str">
        <f>HYPERLINK("http://www.twitter.com/rach__may", "rach__may")</f>
        <v>rach__may</v>
      </c>
      <c r="B10586" s="65"/>
    </row>
    <row r="10587" spans="1:2" x14ac:dyDescent="0.25">
      <c r="A10587" s="64" t="str">
        <f>HYPERLINK("http://www.twitter.com/_KCLawLibrary", "_KCLawLibrary")</f>
        <v>_KCLawLibrary</v>
      </c>
      <c r="B10587" s="65" t="s">
        <v>7140</v>
      </c>
    </row>
    <row r="10588" spans="1:2" x14ac:dyDescent="0.25">
      <c r="A10588" s="64" t="str">
        <f>HYPERLINK("http://www.twitter.com/joanna_smyth", "joanna_smyth")</f>
        <v>joanna_smyth</v>
      </c>
      <c r="B10588" s="65" t="s">
        <v>4254</v>
      </c>
    </row>
    <row r="10589" spans="1:2" x14ac:dyDescent="0.25">
      <c r="A10589" s="64" t="str">
        <f>HYPERLINK("http://www.twitter.com/jamiefohara", "jamiefohara")</f>
        <v>jamiefohara</v>
      </c>
      <c r="B10589" s="65" t="s">
        <v>7141</v>
      </c>
    </row>
    <row r="10590" spans="1:2" x14ac:dyDescent="0.25">
      <c r="A10590" s="64" t="str">
        <f>HYPERLINK("http://www.twitter.com/SSPOAngela", "SSPOAngela")</f>
        <v>SSPOAngela</v>
      </c>
      <c r="B10590" s="65" t="s">
        <v>3821</v>
      </c>
    </row>
    <row r="10591" spans="1:2" x14ac:dyDescent="0.25">
      <c r="A10591" s="64" t="str">
        <f>HYPERLINK("http://www.twitter.com/MJQBirmingham", "MJQBirmingham")</f>
        <v>MJQBirmingham</v>
      </c>
      <c r="B10591" s="65" t="s">
        <v>2030</v>
      </c>
    </row>
    <row r="10592" spans="1:2" x14ac:dyDescent="0.25">
      <c r="A10592" s="64" t="str">
        <f>HYPERLINK("http://www.twitter.com/Viotet35", "Viotet35")</f>
        <v>Viotet35</v>
      </c>
      <c r="B10592" s="65"/>
    </row>
    <row r="10593" spans="1:2" x14ac:dyDescent="0.25">
      <c r="A10593" s="64" t="str">
        <f>HYPERLINK("http://www.twitter.com/thestormboy", "thestormboy")</f>
        <v>thestormboy</v>
      </c>
      <c r="B10593" s="65"/>
    </row>
    <row r="10594" spans="1:2" x14ac:dyDescent="0.25">
      <c r="A10594" s="64" t="str">
        <f>HYPERLINK("http://www.twitter.com/breeshaIOM", "breeshaIOM")</f>
        <v>breeshaIOM</v>
      </c>
      <c r="B10594" s="65" t="s">
        <v>5366</v>
      </c>
    </row>
    <row r="10595" spans="1:2" x14ac:dyDescent="0.25">
      <c r="A10595" s="64" t="str">
        <f>HYPERLINK("http://www.twitter.com/smbahalwan", "smbahalwan")</f>
        <v>smbahalwan</v>
      </c>
      <c r="B10595" s="65"/>
    </row>
    <row r="10596" spans="1:2" x14ac:dyDescent="0.25">
      <c r="A10596" s="64" t="str">
        <f>HYPERLINK("http://www.twitter.com/Christodemp", "Christodemp")</f>
        <v>Christodemp</v>
      </c>
      <c r="B10596" s="65"/>
    </row>
    <row r="10597" spans="1:2" x14ac:dyDescent="0.25">
      <c r="A10597" s="64" t="str">
        <f>HYPERLINK("http://www.twitter.com/ekgino", "ekgino")</f>
        <v>ekgino</v>
      </c>
      <c r="B10597" s="65" t="s">
        <v>3839</v>
      </c>
    </row>
    <row r="10598" spans="1:2" x14ac:dyDescent="0.25">
      <c r="A10598" s="64" t="str">
        <f>HYPERLINK("http://www.twitter.com/DyslexiaScotlan", "DyslexiaScotlan")</f>
        <v>DyslexiaScotlan</v>
      </c>
      <c r="B10598" s="65" t="s">
        <v>4092</v>
      </c>
    </row>
    <row r="10599" spans="1:2" x14ac:dyDescent="0.25">
      <c r="A10599" s="64" t="str">
        <f>HYPERLINK("http://www.twitter.com/Ruby_FMitchell", "Ruby_FMitchell")</f>
        <v>Ruby_FMitchell</v>
      </c>
      <c r="B10599" s="65" t="s">
        <v>477</v>
      </c>
    </row>
    <row r="10600" spans="1:2" x14ac:dyDescent="0.25">
      <c r="A10600" s="64" t="str">
        <f>HYPERLINK("http://www.twitter.com/CompassIPS", "CompassIPS")</f>
        <v>CompassIPS</v>
      </c>
      <c r="B10600" s="65" t="s">
        <v>7142</v>
      </c>
    </row>
    <row r="10601" spans="1:2" x14ac:dyDescent="0.25">
      <c r="A10601" s="64" t="str">
        <f>HYPERLINK("http://www.twitter.com/IamNandram", "IamNandram")</f>
        <v>IamNandram</v>
      </c>
      <c r="B10601" s="65" t="s">
        <v>4720</v>
      </c>
    </row>
    <row r="10602" spans="1:2" x14ac:dyDescent="0.25">
      <c r="A10602" s="64" t="str">
        <f>HYPERLINK("http://www.twitter.com/Sreevidya197", "Sreevidya197")</f>
        <v>Sreevidya197</v>
      </c>
      <c r="B10602" s="65" t="s">
        <v>4336</v>
      </c>
    </row>
    <row r="10603" spans="1:2" x14ac:dyDescent="0.25">
      <c r="A10603" s="64" t="str">
        <f>HYPERLINK("http://www.twitter.com/MarieisAloft", "MarieisAloft")</f>
        <v>MarieisAloft</v>
      </c>
      <c r="B10603" s="65" t="s">
        <v>7143</v>
      </c>
    </row>
    <row r="10604" spans="1:2" x14ac:dyDescent="0.25">
      <c r="A10604" s="64" t="str">
        <f>HYPERLINK("http://www.twitter.com/esthermary", "esthermary")</f>
        <v>esthermary</v>
      </c>
      <c r="B10604" s="65" t="s">
        <v>24</v>
      </c>
    </row>
    <row r="10605" spans="1:2" x14ac:dyDescent="0.25">
      <c r="A10605" s="64" t="str">
        <f>HYPERLINK("http://www.twitter.com/almostabentley", "almostabentley")</f>
        <v>almostabentley</v>
      </c>
      <c r="B10605" s="65"/>
    </row>
    <row r="10606" spans="1:2" x14ac:dyDescent="0.25">
      <c r="A10606" s="64" t="str">
        <f>HYPERLINK("http://www.twitter.com/machyak", "machyak")</f>
        <v>machyak</v>
      </c>
      <c r="B10606" s="65"/>
    </row>
    <row r="10607" spans="1:2" x14ac:dyDescent="0.25">
      <c r="A10607" s="64" t="str">
        <f>HYPERLINK("http://www.twitter.com/NowVida", "NowVida")</f>
        <v>NowVida</v>
      </c>
      <c r="B10607" s="65" t="s">
        <v>4149</v>
      </c>
    </row>
    <row r="10608" spans="1:2" x14ac:dyDescent="0.25">
      <c r="A10608" s="64" t="str">
        <f>HYPERLINK("http://www.twitter.com/addiss_kelly", "addiss_kelly")</f>
        <v>addiss_kelly</v>
      </c>
      <c r="B10608" s="65" t="s">
        <v>3665</v>
      </c>
    </row>
    <row r="10609" spans="1:2" x14ac:dyDescent="0.25">
      <c r="A10609" s="64" t="str">
        <f>HYPERLINK("http://www.twitter.com/AnneSherman20", "AnneSherman20")</f>
        <v>AnneSherman20</v>
      </c>
      <c r="B10609" s="65"/>
    </row>
    <row r="10610" spans="1:2" x14ac:dyDescent="0.25">
      <c r="A10610" s="64" t="str">
        <f>HYPERLINK("http://www.twitter.com/ElenaServini", "ElenaServini")</f>
        <v>ElenaServini</v>
      </c>
      <c r="B10610" s="65" t="s">
        <v>1218</v>
      </c>
    </row>
    <row r="10611" spans="1:2" x14ac:dyDescent="0.25">
      <c r="A10611" s="64" t="str">
        <f>HYPERLINK("http://www.twitter.com/PaddingtonRach", "PaddingtonRach")</f>
        <v>PaddingtonRach</v>
      </c>
      <c r="B10611" s="65"/>
    </row>
    <row r="10612" spans="1:2" x14ac:dyDescent="0.25">
      <c r="A10612" s="64" t="str">
        <f>HYPERLINK("http://www.twitter.com/AnnaORourke", "AnnaORourke")</f>
        <v>AnnaORourke</v>
      </c>
      <c r="B10612" s="65" t="s">
        <v>102</v>
      </c>
    </row>
    <row r="10613" spans="1:2" x14ac:dyDescent="0.25">
      <c r="A10613" s="64" t="str">
        <f>HYPERLINK("http://www.twitter.com/JeanDolan", "JeanDolan")</f>
        <v>JeanDolan</v>
      </c>
      <c r="B10613" s="65" t="s">
        <v>7144</v>
      </c>
    </row>
    <row r="10614" spans="1:2" x14ac:dyDescent="0.25">
      <c r="A10614" s="64" t="str">
        <f>HYPERLINK("http://www.twitter.com/Thelansdownepub", "Thelansdownepub")</f>
        <v>Thelansdownepub</v>
      </c>
      <c r="B10614" s="65" t="s">
        <v>1218</v>
      </c>
    </row>
    <row r="10615" spans="1:2" x14ac:dyDescent="0.25">
      <c r="A10615" s="64" t="str">
        <f>HYPERLINK("http://www.twitter.com/readingthepast", "readingthepast")</f>
        <v>readingthepast</v>
      </c>
      <c r="B10615" s="65" t="s">
        <v>7145</v>
      </c>
    </row>
    <row r="10616" spans="1:2" x14ac:dyDescent="0.25">
      <c r="A10616" s="64" t="str">
        <f>HYPERLINK("http://www.twitter.com/mimialdosa", "mimialdosa")</f>
        <v>mimialdosa</v>
      </c>
      <c r="B10616" s="65"/>
    </row>
    <row r="10617" spans="1:2" x14ac:dyDescent="0.25">
      <c r="A10617" s="64" t="str">
        <f>HYPERLINK("http://www.twitter.com/synera20", "synera20")</f>
        <v>synera20</v>
      </c>
      <c r="B10617" s="65"/>
    </row>
    <row r="10618" spans="1:2" x14ac:dyDescent="0.25">
      <c r="A10618" s="64" t="str">
        <f>HYPERLINK("http://www.twitter.com/HuisceBeatha", "HuisceBeatha")</f>
        <v>HuisceBeatha</v>
      </c>
      <c r="B10618" s="65" t="s">
        <v>3872</v>
      </c>
    </row>
    <row r="10619" spans="1:2" x14ac:dyDescent="0.25">
      <c r="A10619" s="64" t="str">
        <f>HYPERLINK("http://www.twitter.com/AwkwardAdaWitch", "AwkwardAdaWitch")</f>
        <v>AwkwardAdaWitch</v>
      </c>
      <c r="B10619" s="65" t="s">
        <v>7146</v>
      </c>
    </row>
    <row r="10620" spans="1:2" x14ac:dyDescent="0.25">
      <c r="A10620" s="64" t="str">
        <f>HYPERLINK("http://www.twitter.com/EmptyNeville", "EmptyNeville")</f>
        <v>EmptyNeville</v>
      </c>
      <c r="B10620" s="65" t="s">
        <v>7147</v>
      </c>
    </row>
    <row r="10621" spans="1:2" x14ac:dyDescent="0.25">
      <c r="A10621" s="64" t="str">
        <f>HYPERLINK("http://www.twitter.com/Elizabe20173631", "Elizabe20173631")</f>
        <v>Elizabe20173631</v>
      </c>
      <c r="B10621" s="65"/>
    </row>
    <row r="10622" spans="1:2" x14ac:dyDescent="0.25">
      <c r="A10622" s="64" t="str">
        <f>HYPERLINK("http://www.twitter.com/LisaCurtice", "LisaCurtice")</f>
        <v>LisaCurtice</v>
      </c>
      <c r="B10622" s="65"/>
    </row>
    <row r="10623" spans="1:2" x14ac:dyDescent="0.25">
      <c r="A10623" s="64" t="str">
        <f>HYPERLINK("http://www.twitter.com/cryder1974", "cryder1974")</f>
        <v>cryder1974</v>
      </c>
      <c r="B10623" s="65"/>
    </row>
    <row r="10624" spans="1:2" x14ac:dyDescent="0.25">
      <c r="A10624" s="64" t="str">
        <f>HYPERLINK("http://www.twitter.com/OPFS", "OPFS")</f>
        <v>OPFS</v>
      </c>
      <c r="B10624" s="65" t="s">
        <v>517</v>
      </c>
    </row>
    <row r="10625" spans="1:2" x14ac:dyDescent="0.25">
      <c r="A10625" s="64" t="str">
        <f>HYPERLINK("http://www.twitter.com/heartsmindsUK", "heartsmindsUK")</f>
        <v>heartsmindsUK</v>
      </c>
      <c r="B10625" s="65" t="s">
        <v>24</v>
      </c>
    </row>
    <row r="10626" spans="1:2" x14ac:dyDescent="0.25">
      <c r="A10626" s="64" t="str">
        <f>HYPERLINK("http://www.twitter.com/NKBLScotland", "NKBLScotland")</f>
        <v>NKBLScotland</v>
      </c>
      <c r="B10626" s="65" t="s">
        <v>487</v>
      </c>
    </row>
    <row r="10627" spans="1:2" x14ac:dyDescent="0.25">
      <c r="A10627" s="64" t="str">
        <f>HYPERLINK("http://www.twitter.com/OtBcommunities", "OtBcommunities")</f>
        <v>OtBcommunities</v>
      </c>
      <c r="B10627" s="65" t="s">
        <v>138</v>
      </c>
    </row>
    <row r="10628" spans="1:2" x14ac:dyDescent="0.25">
      <c r="A10628" s="64" t="str">
        <f>HYPERLINK("http://www.twitter.com/SarahRushbrooke", "SarahRushbrooke")</f>
        <v>SarahRushbrooke</v>
      </c>
      <c r="B10628" s="65" t="s">
        <v>318</v>
      </c>
    </row>
    <row r="10629" spans="1:2" x14ac:dyDescent="0.25">
      <c r="A10629" s="64" t="str">
        <f>HYPERLINK("http://www.twitter.com/CRUKGlasgow", "CRUKGlasgow")</f>
        <v>CRUKGlasgow</v>
      </c>
      <c r="B10629" s="65" t="s">
        <v>7148</v>
      </c>
    </row>
    <row r="10630" spans="1:2" x14ac:dyDescent="0.25">
      <c r="A10630" s="64" t="str">
        <f>HYPERLINK("http://www.twitter.com/socinvestscot", "socinvestscot")</f>
        <v>socinvestscot</v>
      </c>
      <c r="B10630" s="65" t="s">
        <v>487</v>
      </c>
    </row>
    <row r="10631" spans="1:2" x14ac:dyDescent="0.25">
      <c r="A10631" s="64" t="str">
        <f>HYPERLINK("http://www.twitter.com/SaraBuysBooks", "SaraBuysBooks")</f>
        <v>SaraBuysBooks</v>
      </c>
      <c r="B10631" s="65"/>
    </row>
    <row r="10632" spans="1:2" x14ac:dyDescent="0.25">
      <c r="A10632" s="64" t="str">
        <f>HYPERLINK("http://www.twitter.com/Kateyyeowz", "Kateyyeowz")</f>
        <v>Kateyyeowz</v>
      </c>
      <c r="B10632" s="65" t="s">
        <v>7149</v>
      </c>
    </row>
    <row r="10633" spans="1:2" x14ac:dyDescent="0.25">
      <c r="A10633" s="64" t="str">
        <f>HYPERLINK("http://www.twitter.com/pornokitsch", "pornokitsch")</f>
        <v>pornokitsch</v>
      </c>
      <c r="B10633" s="65" t="s">
        <v>36</v>
      </c>
    </row>
    <row r="10634" spans="1:2" x14ac:dyDescent="0.25">
      <c r="A10634" s="64" t="str">
        <f>HYPERLINK("http://www.twitter.com/jemlester", "jemlester")</f>
        <v>jemlester</v>
      </c>
      <c r="B10634" s="65" t="s">
        <v>36</v>
      </c>
    </row>
    <row r="10635" spans="1:2" x14ac:dyDescent="0.25">
      <c r="A10635" s="64" t="str">
        <f>HYPERLINK("http://www.twitter.com/beckyjeley", "beckyjeley")</f>
        <v>beckyjeley</v>
      </c>
      <c r="B10635" s="65" t="s">
        <v>3919</v>
      </c>
    </row>
    <row r="10636" spans="1:2" x14ac:dyDescent="0.25">
      <c r="A10636" s="64" t="str">
        <f>HYPERLINK("http://www.twitter.com/HMD_UK", "HMD_UK")</f>
        <v>HMD_UK</v>
      </c>
      <c r="B10636" s="65" t="s">
        <v>70</v>
      </c>
    </row>
    <row r="10637" spans="1:2" x14ac:dyDescent="0.25">
      <c r="A10637" s="64" t="str">
        <f>HYPERLINK("http://www.twitter.com/BarnsArchives", "BarnsArchives")</f>
        <v>BarnsArchives</v>
      </c>
      <c r="B10637" s="65" t="s">
        <v>538</v>
      </c>
    </row>
    <row r="10638" spans="1:2" x14ac:dyDescent="0.25">
      <c r="A10638" s="64" t="str">
        <f>HYPERLINK("http://www.twitter.com/laurabirdland", "laurabirdland")</f>
        <v>laurabirdland</v>
      </c>
      <c r="B10638" s="65"/>
    </row>
    <row r="10639" spans="1:2" x14ac:dyDescent="0.25">
      <c r="A10639" s="64" t="str">
        <f>HYPERLINK("http://www.twitter.com/TomasoFreegodi", "TomasoFreegodi")</f>
        <v>TomasoFreegodi</v>
      </c>
      <c r="B10639" s="65" t="s">
        <v>7150</v>
      </c>
    </row>
    <row r="10640" spans="1:2" x14ac:dyDescent="0.25">
      <c r="A10640" s="64" t="str">
        <f>HYPERLINK("http://www.twitter.com/LouiseLadbrooke", "LouiseLadbrooke")</f>
        <v>LouiseLadbrooke</v>
      </c>
      <c r="B10640" s="65" t="s">
        <v>1098</v>
      </c>
    </row>
    <row r="10641" spans="1:2" x14ac:dyDescent="0.25">
      <c r="A10641" s="64" t="str">
        <f>HYPERLINK("http://www.twitter.com/Sarah_E_Rigby", "Sarah_E_Rigby")</f>
        <v>Sarah_E_Rigby</v>
      </c>
      <c r="B10641" s="65"/>
    </row>
    <row r="10642" spans="1:2" x14ac:dyDescent="0.25">
      <c r="A10642" s="64" t="str">
        <f>HYPERLINK("http://www.twitter.com/rozsurtees", "rozsurtees")</f>
        <v>rozsurtees</v>
      </c>
      <c r="B10642" s="65"/>
    </row>
    <row r="10643" spans="1:2" x14ac:dyDescent="0.25">
      <c r="A10643" s="64" t="str">
        <f>HYPERLINK("http://www.twitter.com/rhodescj", "rhodescj")</f>
        <v>rhodescj</v>
      </c>
      <c r="B10643" s="65"/>
    </row>
    <row r="10644" spans="1:2" x14ac:dyDescent="0.25">
      <c r="A10644" s="64" t="str">
        <f>HYPERLINK("http://www.twitter.com/quemden", "quemden")</f>
        <v>quemden</v>
      </c>
      <c r="B10644" s="65"/>
    </row>
    <row r="10645" spans="1:2" x14ac:dyDescent="0.25">
      <c r="A10645" s="64" t="str">
        <f>HYPERLINK("http://www.twitter.com/holdfastmag", "holdfastmag")</f>
        <v>holdfastmag</v>
      </c>
      <c r="B10645" s="65"/>
    </row>
    <row r="10646" spans="1:2" x14ac:dyDescent="0.25">
      <c r="A10646" s="64" t="str">
        <f>HYPERLINK("http://www.twitter.com/TwoRoadsBooks", "TwoRoadsBooks")</f>
        <v>TwoRoadsBooks</v>
      </c>
      <c r="B10646" s="65" t="s">
        <v>7151</v>
      </c>
    </row>
    <row r="10647" spans="1:2" x14ac:dyDescent="0.25">
      <c r="A10647" s="64" t="str">
        <f>HYPERLINK("http://www.twitter.com/Dikaeopolis", "Dikaeopolis")</f>
        <v>Dikaeopolis</v>
      </c>
      <c r="B10647" s="65"/>
    </row>
    <row r="10648" spans="1:2" x14ac:dyDescent="0.25">
      <c r="A10648" s="64" t="str">
        <f>HYPERLINK("http://www.twitter.com/letterstothezoo", "letterstothezoo")</f>
        <v>letterstothezoo</v>
      </c>
      <c r="B10648" s="65" t="s">
        <v>4436</v>
      </c>
    </row>
    <row r="10649" spans="1:2" x14ac:dyDescent="0.25">
      <c r="A10649" s="64" t="str">
        <f>HYPERLINK("http://www.twitter.com/OllieDouglas", "OllieDouglas")</f>
        <v>OllieDouglas</v>
      </c>
      <c r="B10649" s="65" t="s">
        <v>7152</v>
      </c>
    </row>
    <row r="10650" spans="1:2" x14ac:dyDescent="0.25">
      <c r="A10650" s="64" t="str">
        <f>HYPERLINK("http://www.twitter.com/Oolish1", "Oolish1")</f>
        <v>Oolish1</v>
      </c>
      <c r="B10650" s="65" t="s">
        <v>7153</v>
      </c>
    </row>
    <row r="10651" spans="1:2" x14ac:dyDescent="0.25">
      <c r="A10651" s="64" t="str">
        <f>HYPERLINK("http://www.twitter.com/Gaia_xXx", "Gaia_xXx")</f>
        <v>Gaia_xXx</v>
      </c>
      <c r="B10651" s="65" t="s">
        <v>7154</v>
      </c>
    </row>
    <row r="10652" spans="1:2" x14ac:dyDescent="0.25">
      <c r="A10652" s="64" t="str">
        <f>HYPERLINK("http://www.twitter.com/goodmachine", "goodmachine")</f>
        <v>goodmachine</v>
      </c>
      <c r="B10652" s="65" t="s">
        <v>36</v>
      </c>
    </row>
    <row r="10653" spans="1:2" x14ac:dyDescent="0.25">
      <c r="A10653" s="64" t="str">
        <f>HYPERLINK("http://www.twitter.com/HarmonyMabrey", "HarmonyMabrey")</f>
        <v>HarmonyMabrey</v>
      </c>
      <c r="B10653" s="65"/>
    </row>
    <row r="10654" spans="1:2" x14ac:dyDescent="0.25">
      <c r="A10654" s="64" t="str">
        <f>HYPERLINK("http://www.twitter.com/bensenybrito", "bensenybrito")</f>
        <v>bensenybrito</v>
      </c>
      <c r="B10654" s="65"/>
    </row>
    <row r="10655" spans="1:2" x14ac:dyDescent="0.25">
      <c r="A10655" s="64" t="str">
        <f>HYPERLINK("http://www.twitter.com/id_cox", "id_cox")</f>
        <v>id_cox</v>
      </c>
      <c r="B10655" s="65"/>
    </row>
    <row r="10656" spans="1:2" x14ac:dyDescent="0.25">
      <c r="A10656" s="64" t="str">
        <f>HYPERLINK("http://www.twitter.com/Lux01", "Lux01")</f>
        <v>Lux01</v>
      </c>
      <c r="B10656" s="65" t="s">
        <v>6933</v>
      </c>
    </row>
    <row r="10657" spans="1:2" x14ac:dyDescent="0.25">
      <c r="A10657" s="64" t="str">
        <f>HYPERLINK("http://www.twitter.com/CBCConstruction", "CBCConstruction")</f>
        <v>CBCConstruction</v>
      </c>
      <c r="B10657" s="65" t="s">
        <v>138</v>
      </c>
    </row>
    <row r="10658" spans="1:2" x14ac:dyDescent="0.25">
      <c r="A10658" s="64" t="str">
        <f>HYPERLINK("http://www.twitter.com/addixtedbella", "addixtedbella")</f>
        <v>addixtedbella</v>
      </c>
      <c r="B10658" s="65" t="s">
        <v>7155</v>
      </c>
    </row>
    <row r="10659" spans="1:2" x14ac:dyDescent="0.25">
      <c r="A10659" s="64" t="str">
        <f>HYPERLINK("http://www.twitter.com/harrisonwestda3", "harrisonwestda3")</f>
        <v>harrisonwestda3</v>
      </c>
      <c r="B10659" s="65"/>
    </row>
    <row r="10660" spans="1:2" x14ac:dyDescent="0.25">
      <c r="A10660" s="64" t="str">
        <f>HYPERLINK("http://www.twitter.com/ConveryOptics", "ConveryOptics")</f>
        <v>ConveryOptics</v>
      </c>
      <c r="B10660" s="65" t="s">
        <v>7156</v>
      </c>
    </row>
    <row r="10661" spans="1:2" x14ac:dyDescent="0.25">
      <c r="A10661" s="64" t="str">
        <f>HYPERLINK("http://www.twitter.com/GordytheFerret", "GordytheFerret")</f>
        <v>GordytheFerret</v>
      </c>
      <c r="B10661" s="65" t="s">
        <v>7157</v>
      </c>
    </row>
    <row r="10662" spans="1:2" x14ac:dyDescent="0.25">
      <c r="A10662" s="64" t="str">
        <f>HYPERLINK("http://www.twitter.com/lailasohn", "lailasohn")</f>
        <v>lailasohn</v>
      </c>
      <c r="B10662" s="65" t="s">
        <v>36</v>
      </c>
    </row>
    <row r="10663" spans="1:2" x14ac:dyDescent="0.25">
      <c r="A10663" s="64" t="str">
        <f>HYPERLINK("http://www.twitter.com/cuddles193", "cuddles193")</f>
        <v>cuddles193</v>
      </c>
      <c r="B10663" s="65" t="s">
        <v>3779</v>
      </c>
    </row>
    <row r="10664" spans="1:2" x14ac:dyDescent="0.25">
      <c r="A10664" s="64" t="str">
        <f>HYPERLINK("http://www.twitter.com/squishy320", "squishy320")</f>
        <v>squishy320</v>
      </c>
      <c r="B10664" s="65" t="s">
        <v>2007</v>
      </c>
    </row>
    <row r="10665" spans="1:2" x14ac:dyDescent="0.25">
      <c r="A10665" s="64" t="str">
        <f>HYPERLINK("http://www.twitter.com/dosima_org", "dosima_org")</f>
        <v>dosima_org</v>
      </c>
      <c r="B10665" s="65" t="s">
        <v>7158</v>
      </c>
    </row>
    <row r="10666" spans="1:2" x14ac:dyDescent="0.25">
      <c r="A10666" s="64" t="str">
        <f>HYPERLINK("http://www.twitter.com/JackieKeily", "JackieKeily")</f>
        <v>JackieKeily</v>
      </c>
      <c r="B10666" s="65"/>
    </row>
    <row r="10667" spans="1:2" x14ac:dyDescent="0.25">
      <c r="A10667" s="64" t="str">
        <f>HYPERLINK("http://www.twitter.com/DrStiggins", "DrStiggins")</f>
        <v>DrStiggins</v>
      </c>
      <c r="B10667" s="65" t="s">
        <v>318</v>
      </c>
    </row>
    <row r="10668" spans="1:2" x14ac:dyDescent="0.25">
      <c r="A10668" s="64" t="str">
        <f>HYPERLINK("http://www.twitter.com/AmosTheFamous", "AmosTheFamous")</f>
        <v>AmosTheFamous</v>
      </c>
      <c r="B10668" s="65" t="s">
        <v>5513</v>
      </c>
    </row>
    <row r="10669" spans="1:2" x14ac:dyDescent="0.25">
      <c r="A10669" s="64" t="str">
        <f>HYPERLINK("http://www.twitter.com/Hurlock_C", "Hurlock_C")</f>
        <v>Hurlock_C</v>
      </c>
      <c r="B10669" s="65" t="s">
        <v>4632</v>
      </c>
    </row>
    <row r="10670" spans="1:2" x14ac:dyDescent="0.25">
      <c r="A10670" s="64" t="str">
        <f>HYPERLINK("http://www.twitter.com/AKatelynrose", "AKatelynrose")</f>
        <v>AKatelynrose</v>
      </c>
      <c r="B10670" s="65"/>
    </row>
    <row r="10671" spans="1:2" x14ac:dyDescent="0.25">
      <c r="A10671" s="64" t="str">
        <f>HYPERLINK("http://www.twitter.com/EricaRuscio", "EricaRuscio")</f>
        <v>EricaRuscio</v>
      </c>
      <c r="B10671" s="65" t="s">
        <v>4632</v>
      </c>
    </row>
    <row r="10672" spans="1:2" x14ac:dyDescent="0.25">
      <c r="A10672" s="64" t="str">
        <f>HYPERLINK("http://www.twitter.com/Snarky_Sadie", "Snarky_Sadie")</f>
        <v>Snarky_Sadie</v>
      </c>
      <c r="B10672" s="65" t="s">
        <v>4632</v>
      </c>
    </row>
    <row r="10673" spans="1:2" x14ac:dyDescent="0.25">
      <c r="A10673" s="64" t="str">
        <f>HYPERLINK("http://www.twitter.com/2345elephant1", "2345elephant1")</f>
        <v>2345elephant1</v>
      </c>
      <c r="B10673" s="65"/>
    </row>
    <row r="10674" spans="1:2" x14ac:dyDescent="0.25">
      <c r="A10674" s="64" t="str">
        <f>HYPERLINK("http://www.twitter.com/AndreaT22764551", "AndreaT22764551")</f>
        <v>AndreaT22764551</v>
      </c>
      <c r="B10674" s="65" t="s">
        <v>4035</v>
      </c>
    </row>
    <row r="10675" spans="1:2" x14ac:dyDescent="0.25">
      <c r="A10675" s="64" t="str">
        <f>HYPERLINK("http://www.twitter.com/Ag47890", "Ag47890")</f>
        <v>Ag47890</v>
      </c>
      <c r="B10675" s="65"/>
    </row>
    <row r="10676" spans="1:2" x14ac:dyDescent="0.25">
      <c r="A10676" s="64" t="str">
        <f>HYPERLINK("http://www.twitter.com/dunkyboy2", "dunkyboy2")</f>
        <v>dunkyboy2</v>
      </c>
      <c r="B10676" s="65" t="s">
        <v>3998</v>
      </c>
    </row>
    <row r="10677" spans="1:2" x14ac:dyDescent="0.25">
      <c r="A10677" s="64" t="str">
        <f>HYPERLINK("http://www.twitter.com/CraigBruney", "CraigBruney")</f>
        <v>CraigBruney</v>
      </c>
      <c r="B10677" s="65" t="s">
        <v>5156</v>
      </c>
    </row>
    <row r="10678" spans="1:2" x14ac:dyDescent="0.25">
      <c r="A10678" s="64" t="str">
        <f>HYPERLINK("http://www.twitter.com/MCGeckle", "MCGeckle")</f>
        <v>MCGeckle</v>
      </c>
      <c r="B10678" s="65"/>
    </row>
    <row r="10679" spans="1:2" x14ac:dyDescent="0.25">
      <c r="A10679" s="64" t="str">
        <f>HYPERLINK("http://www.twitter.com/Fjar", "Fjar")</f>
        <v>Fjar</v>
      </c>
      <c r="B10679" s="65" t="s">
        <v>3898</v>
      </c>
    </row>
    <row r="10680" spans="1:2" x14ac:dyDescent="0.25">
      <c r="A10680" s="64" t="str">
        <f>HYPERLINK("http://www.twitter.com/_KatieReardon", "_KatieReardon")</f>
        <v>_KatieReardon</v>
      </c>
      <c r="B10680" s="65" t="s">
        <v>7159</v>
      </c>
    </row>
    <row r="10681" spans="1:2" x14ac:dyDescent="0.25">
      <c r="A10681" s="64" t="str">
        <f>HYPERLINK("http://www.twitter.com/daggerhart", "daggerhart")</f>
        <v>daggerhart</v>
      </c>
      <c r="B10681" s="65" t="s">
        <v>7160</v>
      </c>
    </row>
    <row r="10682" spans="1:2" x14ac:dyDescent="0.25">
      <c r="A10682" s="64" t="str">
        <f>HYPERLINK("http://www.twitter.com/ngibsonphoto", "ngibsonphoto")</f>
        <v>ngibsonphoto</v>
      </c>
      <c r="B10682" s="65" t="s">
        <v>7161</v>
      </c>
    </row>
    <row r="10683" spans="1:2" x14ac:dyDescent="0.25">
      <c r="A10683" s="64" t="str">
        <f>HYPERLINK("http://www.twitter.com/Women_in_Energy", "Women_in_Energy")</f>
        <v>Women_in_Energy</v>
      </c>
      <c r="B10683" s="65" t="s">
        <v>477</v>
      </c>
    </row>
    <row r="10684" spans="1:2" x14ac:dyDescent="0.25">
      <c r="A10684" s="64" t="str">
        <f>HYPERLINK("http://www.twitter.com/BooksToBrowse", "BooksToBrowse")</f>
        <v>BooksToBrowse</v>
      </c>
      <c r="B10684" s="65"/>
    </row>
    <row r="10685" spans="1:2" x14ac:dyDescent="0.25">
      <c r="A10685" s="64" t="str">
        <f>HYPERLINK("http://www.twitter.com/AnnMitchellNUIG", "AnnMitchellNUIG")</f>
        <v>AnnMitchellNUIG</v>
      </c>
      <c r="B10685" s="65" t="s">
        <v>3943</v>
      </c>
    </row>
    <row r="10686" spans="1:2" x14ac:dyDescent="0.25">
      <c r="A10686" s="64" t="str">
        <f>HYPERLINK("http://www.twitter.com/events_michelle", "events_michelle")</f>
        <v>events_michelle</v>
      </c>
      <c r="B10686" s="65" t="s">
        <v>24</v>
      </c>
    </row>
    <row r="10687" spans="1:2" x14ac:dyDescent="0.25">
      <c r="A10687" s="64" t="str">
        <f>HYPERLINK("http://www.twitter.com/TunnicliffeBeth", "TunnicliffeBeth")</f>
        <v>TunnicliffeBeth</v>
      </c>
      <c r="B10687" s="65"/>
    </row>
    <row r="10688" spans="1:2" x14ac:dyDescent="0.25">
      <c r="A10688" s="64" t="str">
        <f>HYPERLINK("http://www.twitter.com/UsAndRufus", "UsAndRufus")</f>
        <v>UsAndRufus</v>
      </c>
      <c r="B10688" s="65" t="s">
        <v>2289</v>
      </c>
    </row>
    <row r="10689" spans="1:2" x14ac:dyDescent="0.25">
      <c r="A10689" s="64" t="str">
        <f>HYPERLINK("http://www.twitter.com/IHR_Library", "IHR_Library")</f>
        <v>IHR_Library</v>
      </c>
      <c r="B10689" s="65" t="s">
        <v>1280</v>
      </c>
    </row>
    <row r="10690" spans="1:2" x14ac:dyDescent="0.25">
      <c r="A10690" s="64" t="str">
        <f>HYPERLINK("http://www.twitter.com/jennypurcell", "jennypurcell")</f>
        <v>jennypurcell</v>
      </c>
      <c r="B10690" s="65"/>
    </row>
    <row r="10691" spans="1:2" x14ac:dyDescent="0.25">
      <c r="A10691" s="64" t="str">
        <f>HYPERLINK("http://www.twitter.com/Paradis34024761", "Paradis34024761")</f>
        <v>Paradis34024761</v>
      </c>
      <c r="B10691" s="65"/>
    </row>
    <row r="10692" spans="1:2" x14ac:dyDescent="0.25">
      <c r="A10692" s="64" t="str">
        <f>HYPERLINK("http://www.twitter.com/DOA_fans", "DOA_fans")</f>
        <v>DOA_fans</v>
      </c>
      <c r="B10692" s="65"/>
    </row>
    <row r="10693" spans="1:2" x14ac:dyDescent="0.25">
      <c r="A10693" s="64" t="str">
        <f>HYPERLINK("http://www.twitter.com/paulmccarthy79", "paulmccarthy79")</f>
        <v>paulmccarthy79</v>
      </c>
      <c r="B10693" s="65" t="s">
        <v>36</v>
      </c>
    </row>
    <row r="10694" spans="1:2" x14ac:dyDescent="0.25">
      <c r="A10694" s="64" t="str">
        <f>HYPERLINK("http://www.twitter.com/rationaldoge", "rationaldoge")</f>
        <v>rationaldoge</v>
      </c>
      <c r="B10694" s="65" t="s">
        <v>4309</v>
      </c>
    </row>
    <row r="10695" spans="1:2" x14ac:dyDescent="0.25">
      <c r="A10695" s="64" t="str">
        <f>HYPERLINK("http://www.twitter.com/MargretheII", "MargretheII")</f>
        <v>MargretheII</v>
      </c>
      <c r="B10695" s="65" t="s">
        <v>7163</v>
      </c>
    </row>
    <row r="10696" spans="1:2" x14ac:dyDescent="0.25">
      <c r="A10696" s="64" t="str">
        <f>HYPERLINK("http://www.twitter.com/Denistetro", "Denistetro")</f>
        <v>Denistetro</v>
      </c>
      <c r="B10696" s="65" t="s">
        <v>7164</v>
      </c>
    </row>
    <row r="10697" spans="1:2" x14ac:dyDescent="0.25">
      <c r="A10697" s="64" t="str">
        <f>HYPERLINK("http://www.twitter.com/onin543", "onin543")</f>
        <v>onin543</v>
      </c>
      <c r="B10697" s="65" t="s">
        <v>70</v>
      </c>
    </row>
    <row r="10698" spans="1:2" x14ac:dyDescent="0.25">
      <c r="A10698" s="64" t="str">
        <f>HYPERLINK("http://www.twitter.com/Petermc69", "Petermc69")</f>
        <v>Petermc69</v>
      </c>
      <c r="B10698" s="65" t="s">
        <v>4254</v>
      </c>
    </row>
    <row r="10699" spans="1:2" x14ac:dyDescent="0.25">
      <c r="A10699" s="64" t="str">
        <f>HYPERLINK("http://www.twitter.com/jcevershed", "jcevershed")</f>
        <v>jcevershed</v>
      </c>
      <c r="B10699" s="65" t="s">
        <v>4649</v>
      </c>
    </row>
    <row r="10700" spans="1:2" x14ac:dyDescent="0.25">
      <c r="A10700" s="64" t="str">
        <f>HYPERLINK("http://www.twitter.com/willamhariett", "willamhariett")</f>
        <v>willamhariett</v>
      </c>
      <c r="B10700" s="65"/>
    </row>
    <row r="10701" spans="1:2" x14ac:dyDescent="0.25">
      <c r="A10701" s="64" t="str">
        <f>HYPERLINK("http://www.twitter.com/SuzeCollingwood", "SuzeCollingwood")</f>
        <v>SuzeCollingwood</v>
      </c>
      <c r="B10701" s="65" t="s">
        <v>180</v>
      </c>
    </row>
    <row r="10702" spans="1:2" x14ac:dyDescent="0.25">
      <c r="A10702" s="64" t="str">
        <f>HYPERLINK("http://www.twitter.com/e_montgomery99", "e_montgomery99")</f>
        <v>e_montgomery99</v>
      </c>
      <c r="B10702" s="65" t="s">
        <v>4327</v>
      </c>
    </row>
    <row r="10703" spans="1:2" x14ac:dyDescent="0.25">
      <c r="A10703" s="64" t="str">
        <f>HYPERLINK("http://www.twitter.com/CarolineStanger", "CarolineStanger")</f>
        <v>CarolineStanger</v>
      </c>
      <c r="B10703" s="65"/>
    </row>
    <row r="10704" spans="1:2" x14ac:dyDescent="0.25">
      <c r="A10704" s="64" t="str">
        <f>HYPERLINK("http://www.twitter.com/linsnoir", "linsnoir")</f>
        <v>linsnoir</v>
      </c>
      <c r="B10704" s="65" t="s">
        <v>7165</v>
      </c>
    </row>
    <row r="10705" spans="1:2" x14ac:dyDescent="0.25">
      <c r="A10705" s="64" t="str">
        <f>HYPERLINK("http://www.twitter.com/WorcesterLib", "WorcesterLib")</f>
        <v>WorcesterLib</v>
      </c>
      <c r="B10705" s="65" t="s">
        <v>7166</v>
      </c>
    </row>
    <row r="10706" spans="1:2" x14ac:dyDescent="0.25">
      <c r="A10706" s="64" t="str">
        <f>HYPERLINK("http://www.twitter.com/Fluffyfifer", "Fluffyfifer")</f>
        <v>Fluffyfifer</v>
      </c>
      <c r="B10706" s="65" t="s">
        <v>7167</v>
      </c>
    </row>
    <row r="10707" spans="1:2" x14ac:dyDescent="0.25">
      <c r="A10707" s="64" t="str">
        <f>HYPERLINK("http://www.twitter.com/vaila_ann", "vaila_ann")</f>
        <v>vaila_ann</v>
      </c>
      <c r="B10707" s="65" t="s">
        <v>115</v>
      </c>
    </row>
    <row r="10708" spans="1:2" x14ac:dyDescent="0.25">
      <c r="A10708" s="64" t="str">
        <f>HYPERLINK("http://www.twitter.com/chriswolak", "chriswolak")</f>
        <v>chriswolak</v>
      </c>
      <c r="B10708" s="65" t="s">
        <v>3770</v>
      </c>
    </row>
    <row r="10709" spans="1:2" x14ac:dyDescent="0.25">
      <c r="A10709" s="64" t="str">
        <f>HYPERLINK("http://www.twitter.com/MorayTeale", "MorayTeale")</f>
        <v>MorayTeale</v>
      </c>
      <c r="B10709" s="65" t="s">
        <v>24</v>
      </c>
    </row>
    <row r="10710" spans="1:2" x14ac:dyDescent="0.25">
      <c r="A10710" s="64" t="str">
        <f>HYPERLINK("http://www.twitter.com/lindajnathan", "lindajnathan")</f>
        <v>lindajnathan</v>
      </c>
      <c r="B10710" s="65" t="s">
        <v>7168</v>
      </c>
    </row>
    <row r="10711" spans="1:2" x14ac:dyDescent="0.25">
      <c r="A10711" s="64" t="str">
        <f>HYPERLINK("http://www.twitter.com/AlisonmWhyte", "AlisonmWhyte")</f>
        <v>AlisonmWhyte</v>
      </c>
      <c r="B10711" s="65" t="s">
        <v>7169</v>
      </c>
    </row>
    <row r="10712" spans="1:2" x14ac:dyDescent="0.25">
      <c r="A10712" s="64" t="str">
        <f>HYPERLINK("http://www.twitter.com/nxxnok", "nxxnok")</f>
        <v>nxxnok</v>
      </c>
      <c r="B10712" s="65" t="s">
        <v>7170</v>
      </c>
    </row>
    <row r="10713" spans="1:2" x14ac:dyDescent="0.25">
      <c r="A10713" s="64" t="str">
        <f>HYPERLINK("http://www.twitter.com/orzbooks", "orzbooks")</f>
        <v>orzbooks</v>
      </c>
      <c r="B10713" s="65" t="s">
        <v>4035</v>
      </c>
    </row>
    <row r="10714" spans="1:2" x14ac:dyDescent="0.25">
      <c r="A10714" s="64" t="str">
        <f>HYPERLINK("http://www.twitter.com/AliS9393", "AliS9393")</f>
        <v>AliS9393</v>
      </c>
      <c r="B10714" s="65"/>
    </row>
    <row r="10715" spans="1:2" x14ac:dyDescent="0.25">
      <c r="A10715" s="64" t="str">
        <f>HYPERLINK("http://www.twitter.com/marycpalmer", "marycpalmer")</f>
        <v>marycpalmer</v>
      </c>
      <c r="B10715" s="65" t="s">
        <v>36</v>
      </c>
    </row>
    <row r="10716" spans="1:2" x14ac:dyDescent="0.25">
      <c r="A10716" s="64" t="str">
        <f>HYPERLINK("http://www.twitter.com/teens_PLACC", "teens_PLACC")</f>
        <v>teens_PLACC</v>
      </c>
      <c r="B10716" s="65"/>
    </row>
    <row r="10717" spans="1:2" x14ac:dyDescent="0.25">
      <c r="A10717" s="64" t="str">
        <f>HYPERLINK("http://www.twitter.com/david_hewson", "david_hewson")</f>
        <v>david_hewson</v>
      </c>
      <c r="B10717" s="65" t="s">
        <v>7171</v>
      </c>
    </row>
    <row r="10718" spans="1:2" x14ac:dyDescent="0.25">
      <c r="A10718" s="64" t="str">
        <f>HYPERLINK("http://www.twitter.com/sheilabaggins", "sheilabaggins")</f>
        <v>sheilabaggins</v>
      </c>
      <c r="B10718" s="65"/>
    </row>
    <row r="10719" spans="1:2" x14ac:dyDescent="0.25">
      <c r="A10719" s="64" t="str">
        <f>HYPERLINK("http://www.twitter.com/LibraryMules", "LibraryMules")</f>
        <v>LibraryMules</v>
      </c>
      <c r="B10719" s="65" t="s">
        <v>7172</v>
      </c>
    </row>
    <row r="10720" spans="1:2" x14ac:dyDescent="0.25">
      <c r="A10720" s="64" t="str">
        <f>HYPERLINK("http://www.twitter.com/SarahSal29", "SarahSal29")</f>
        <v>SarahSal29</v>
      </c>
      <c r="B10720" s="65"/>
    </row>
    <row r="10721" spans="1:2" x14ac:dyDescent="0.25">
      <c r="A10721" s="64" t="str">
        <f>HYPERLINK("http://www.twitter.com/jessiebonbessie", "jessiebonbessie")</f>
        <v>jessiebonbessie</v>
      </c>
      <c r="B10721" s="65" t="s">
        <v>4439</v>
      </c>
    </row>
    <row r="10722" spans="1:2" x14ac:dyDescent="0.25">
      <c r="A10722" s="64" t="str">
        <f>HYPERLINK("http://www.twitter.com/davidwalliams", "davidwalliams")</f>
        <v>davidwalliams</v>
      </c>
      <c r="B10722" s="65"/>
    </row>
    <row r="10723" spans="1:2" x14ac:dyDescent="0.25">
      <c r="A10723" s="64" t="str">
        <f>HYPERLINK("http://www.twitter.com/LibrarianLCA", "LibrarianLCA")</f>
        <v>LibrarianLCA</v>
      </c>
      <c r="B10723" s="65" t="s">
        <v>1873</v>
      </c>
    </row>
    <row r="10724" spans="1:2" x14ac:dyDescent="0.25">
      <c r="A10724" s="64" t="str">
        <f>HYPERLINK("http://www.twitter.com/saturno_09", "saturno_09")</f>
        <v>saturno_09</v>
      </c>
      <c r="B10724" s="65"/>
    </row>
    <row r="10725" spans="1:2" x14ac:dyDescent="0.25">
      <c r="A10725" s="64" t="str">
        <f>HYPERLINK("http://www.twitter.com/KarenTookeyCoff", "KarenTookeyCoff")</f>
        <v>KarenTookeyCoff</v>
      </c>
      <c r="B10725" s="65" t="s">
        <v>6819</v>
      </c>
    </row>
    <row r="10726" spans="1:2" x14ac:dyDescent="0.25">
      <c r="A10726" s="64" t="str">
        <f>HYPERLINK("http://www.twitter.com/debormo", "debormo")</f>
        <v>debormo</v>
      </c>
      <c r="B10726" s="65" t="s">
        <v>24</v>
      </c>
    </row>
    <row r="10727" spans="1:2" x14ac:dyDescent="0.25">
      <c r="A10727" s="64" t="str">
        <f>HYPERLINK("http://www.twitter.com/CaralallaStar", "CaralallaStar")</f>
        <v>CaralallaStar</v>
      </c>
      <c r="B10727" s="65" t="s">
        <v>36</v>
      </c>
    </row>
    <row r="10728" spans="1:2" x14ac:dyDescent="0.25">
      <c r="A10728" s="64" t="str">
        <f>HYPERLINK("http://www.twitter.com/IncNetAwards", "IncNetAwards")</f>
        <v>IncNetAwards</v>
      </c>
      <c r="B10728" s="65" t="s">
        <v>7173</v>
      </c>
    </row>
    <row r="10729" spans="1:2" x14ac:dyDescent="0.25">
      <c r="A10729" s="64" t="str">
        <f>HYPERLINK("http://www.twitter.com/kappatau314", "kappatau314")</f>
        <v>kappatau314</v>
      </c>
      <c r="B10729" s="65"/>
    </row>
    <row r="10730" spans="1:2" x14ac:dyDescent="0.25">
      <c r="A10730" s="64" t="str">
        <f>HYPERLINK("http://www.twitter.com/mariahmarmitage", "mariahmarmitage")</f>
        <v>mariahmarmitage</v>
      </c>
      <c r="B10730" s="65" t="s">
        <v>3854</v>
      </c>
    </row>
    <row r="10731" spans="1:2" x14ac:dyDescent="0.25">
      <c r="A10731" s="64" t="str">
        <f>HYPERLINK("http://www.twitter.com/PuckOnTheLoose", "PuckOnTheLoose")</f>
        <v>PuckOnTheLoose</v>
      </c>
      <c r="B10731" s="65" t="s">
        <v>7174</v>
      </c>
    </row>
    <row r="10732" spans="1:2" x14ac:dyDescent="0.25">
      <c r="A10732" s="64" t="str">
        <f>HYPERLINK("http://www.twitter.com/OrkneyForEurope", "OrkneyForEurope")</f>
        <v>OrkneyForEurope</v>
      </c>
      <c r="B10732" s="65" t="s">
        <v>5824</v>
      </c>
    </row>
    <row r="10733" spans="1:2" x14ac:dyDescent="0.25">
      <c r="A10733" s="64" t="str">
        <f>HYPERLINK("http://www.twitter.com/mary_mowat", "mary_mowat")</f>
        <v>mary_mowat</v>
      </c>
      <c r="B10733" s="65" t="s">
        <v>487</v>
      </c>
    </row>
    <row r="10734" spans="1:2" x14ac:dyDescent="0.25">
      <c r="A10734" s="64" t="str">
        <f>HYPERLINK("http://www.twitter.com/mark_watney__", "mark_watney__")</f>
        <v>mark_watney__</v>
      </c>
      <c r="B10734" s="65"/>
    </row>
    <row r="10735" spans="1:2" x14ac:dyDescent="0.25">
      <c r="A10735" s="64" t="str">
        <f>HYPERLINK("http://www.twitter.com/timtouring", "timtouring")</f>
        <v>timtouring</v>
      </c>
      <c r="B10735" s="65" t="s">
        <v>7175</v>
      </c>
    </row>
    <row r="10736" spans="1:2" x14ac:dyDescent="0.25">
      <c r="A10736" s="64" t="str">
        <f>HYPERLINK("http://www.twitter.com/MsDebbieHolt", "MsDebbieHolt")</f>
        <v>MsDebbieHolt</v>
      </c>
      <c r="B10736" s="65" t="s">
        <v>33</v>
      </c>
    </row>
    <row r="10737" spans="1:2" x14ac:dyDescent="0.25">
      <c r="A10737" s="64" t="str">
        <f>HYPERLINK("http://www.twitter.com/cameron_jones1", "cameron_jones1")</f>
        <v>cameron_jones1</v>
      </c>
      <c r="B10737" s="65"/>
    </row>
    <row r="10738" spans="1:2" x14ac:dyDescent="0.25">
      <c r="A10738" s="64" t="str">
        <f>HYPERLINK("http://www.twitter.com/lichtsome", "lichtsome")</f>
        <v>lichtsome</v>
      </c>
      <c r="B10738" s="65" t="s">
        <v>7176</v>
      </c>
    </row>
    <row r="10739" spans="1:2" x14ac:dyDescent="0.25">
      <c r="A10739" s="64" t="str">
        <f>HYPERLINK("http://www.twitter.com/youredrvnk", "youredrvnk")</f>
        <v>youredrvnk</v>
      </c>
      <c r="B10739" s="65"/>
    </row>
    <row r="10740" spans="1:2" x14ac:dyDescent="0.25">
      <c r="A10740" s="64" t="str">
        <f>HYPERLINK("http://www.twitter.com/TalensBou", "TalensBou")</f>
        <v>TalensBou</v>
      </c>
      <c r="B10740" s="65" t="s">
        <v>2636</v>
      </c>
    </row>
    <row r="10741" spans="1:2" x14ac:dyDescent="0.25">
      <c r="A10741" s="64" t="str">
        <f>HYPERLINK("http://www.twitter.com/737Ajl", "737Ajl")</f>
        <v>737Ajl</v>
      </c>
      <c r="B10741" s="65"/>
    </row>
    <row r="10742" spans="1:2" x14ac:dyDescent="0.25">
      <c r="A10742" s="64" t="str">
        <f>HYPERLINK("http://www.twitter.com/Ren26066717", "Ren26066717")</f>
        <v>Ren26066717</v>
      </c>
      <c r="B10742" s="65"/>
    </row>
    <row r="10743" spans="1:2" x14ac:dyDescent="0.25">
      <c r="A10743" s="64" t="str">
        <f>HYPERLINK("http://www.twitter.com/Fireflock1", "Fireflock1")</f>
        <v>Fireflock1</v>
      </c>
      <c r="B10743" s="65" t="s">
        <v>477</v>
      </c>
    </row>
    <row r="10744" spans="1:2" x14ac:dyDescent="0.25">
      <c r="A10744" s="64" t="str">
        <f>HYPERLINK("http://www.twitter.com/Guih_HenOficial", "Guih_HenOficial")</f>
        <v>Guih_HenOficial</v>
      </c>
      <c r="B10744" s="65"/>
    </row>
    <row r="10745" spans="1:2" x14ac:dyDescent="0.25">
      <c r="A10745" s="64" t="str">
        <f>HYPERLINK("http://www.twitter.com/KatherineHMHart", "KatherineHMHart")</f>
        <v>KatherineHMHart</v>
      </c>
      <c r="B10745" s="65" t="s">
        <v>7177</v>
      </c>
    </row>
    <row r="10746" spans="1:2" x14ac:dyDescent="0.25">
      <c r="A10746" s="64" t="str">
        <f>HYPERLINK("http://www.twitter.com/TheresaFattz", "TheresaFattz")</f>
        <v>TheresaFattz</v>
      </c>
      <c r="B10746" s="65" t="s">
        <v>7178</v>
      </c>
    </row>
    <row r="10747" spans="1:2" x14ac:dyDescent="0.25">
      <c r="A10747" s="64" t="str">
        <f>HYPERLINK("http://www.twitter.com/philipwcoburn", "philipwcoburn")</f>
        <v>philipwcoburn</v>
      </c>
      <c r="B10747" s="65" t="s">
        <v>477</v>
      </c>
    </row>
    <row r="10748" spans="1:2" x14ac:dyDescent="0.25">
      <c r="A10748" s="64" t="str">
        <f>HYPERLINK("http://www.twitter.com/GobbyJude", "GobbyJude")</f>
        <v>GobbyJude</v>
      </c>
      <c r="B10748" s="65" t="s">
        <v>517</v>
      </c>
    </row>
    <row r="10749" spans="1:2" x14ac:dyDescent="0.25">
      <c r="A10749" s="64" t="str">
        <f>HYPERLINK("http://www.twitter.com/bartitsuphia", "bartitsuphia")</f>
        <v>bartitsuphia</v>
      </c>
      <c r="B10749" s="65"/>
    </row>
    <row r="10750" spans="1:2" x14ac:dyDescent="0.25">
      <c r="A10750" s="64" t="str">
        <f>HYPERLINK("http://www.twitter.com/FowlestofEmAll", "FowlestofEmAll")</f>
        <v>FowlestofEmAll</v>
      </c>
      <c r="B10750" s="65" t="s">
        <v>7179</v>
      </c>
    </row>
    <row r="10751" spans="1:2" x14ac:dyDescent="0.25">
      <c r="A10751" s="64" t="str">
        <f>HYPERLINK("http://www.twitter.com/Lmurphy2M", "Lmurphy2M")</f>
        <v>Lmurphy2M</v>
      </c>
      <c r="B10751" s="65" t="s">
        <v>2185</v>
      </c>
    </row>
    <row r="10752" spans="1:2" x14ac:dyDescent="0.25">
      <c r="A10752" s="64" t="str">
        <f>HYPERLINK("http://www.twitter.com/Gilly_Jelly", "Gilly_Jelly")</f>
        <v>Gilly_Jelly</v>
      </c>
      <c r="B10752" s="65"/>
    </row>
    <row r="10753" spans="1:2" x14ac:dyDescent="0.25">
      <c r="A10753" s="64" t="str">
        <f>HYPERLINK("http://www.twitter.com/Sadist4Brendon", "Sadist4Brendon")</f>
        <v>Sadist4Brendon</v>
      </c>
      <c r="B10753" s="65"/>
    </row>
    <row r="10754" spans="1:2" x14ac:dyDescent="0.25">
      <c r="A10754" s="64" t="str">
        <f>HYPERLINK("http://www.twitter.com/dougpboro", "dougpboro")</f>
        <v>dougpboro</v>
      </c>
      <c r="B10754" s="65"/>
    </row>
    <row r="10755" spans="1:2" x14ac:dyDescent="0.25">
      <c r="A10755" s="64" t="str">
        <f>HYPERLINK("http://www.twitter.com/ClubKathy", "ClubKathy")</f>
        <v>ClubKathy</v>
      </c>
      <c r="B10755" s="65" t="s">
        <v>7180</v>
      </c>
    </row>
    <row r="10756" spans="1:2" x14ac:dyDescent="0.25">
      <c r="A10756" s="64" t="str">
        <f>HYPERLINK("http://www.twitter.com/bluntasatack", "bluntasatack")</f>
        <v>bluntasatack</v>
      </c>
      <c r="B10756" s="65" t="s">
        <v>7181</v>
      </c>
    </row>
    <row r="10757" spans="1:2" x14ac:dyDescent="0.25">
      <c r="A10757" s="64" t="str">
        <f>HYPERLINK("http://www.twitter.com/meredith_ellen_", "meredith_ellen_")</f>
        <v>meredith_ellen_</v>
      </c>
      <c r="B10757" s="65" t="s">
        <v>477</v>
      </c>
    </row>
    <row r="10758" spans="1:2" x14ac:dyDescent="0.25">
      <c r="A10758" s="64" t="str">
        <f>HYPERLINK("http://www.twitter.com/mrdavidwelsh", "mrdavidwelsh")</f>
        <v>mrdavidwelsh</v>
      </c>
      <c r="B10758" s="65" t="s">
        <v>7182</v>
      </c>
    </row>
    <row r="10759" spans="1:2" x14ac:dyDescent="0.25">
      <c r="A10759" s="64" t="str">
        <f>HYPERLINK("http://www.twitter.com/ldeegan2", "ldeegan2")</f>
        <v>ldeegan2</v>
      </c>
      <c r="B10759" s="65"/>
    </row>
    <row r="10760" spans="1:2" x14ac:dyDescent="0.25">
      <c r="A10760" s="64" t="str">
        <f>HYPERLINK("http://www.twitter.com/OrkneyFamHist", "OrkneyFamHist")</f>
        <v>OrkneyFamHist</v>
      </c>
      <c r="B10760" s="65" t="s">
        <v>4580</v>
      </c>
    </row>
    <row r="10761" spans="1:2" x14ac:dyDescent="0.25">
      <c r="A10761" s="64" t="str">
        <f>HYPERLINK("http://www.twitter.com/DigbyKathleen", "DigbyKathleen")</f>
        <v>DigbyKathleen</v>
      </c>
      <c r="B10761" s="65" t="s">
        <v>2423</v>
      </c>
    </row>
    <row r="10762" spans="1:2" x14ac:dyDescent="0.25">
      <c r="A10762" s="64" t="str">
        <f>HYPERLINK("http://www.twitter.com/mairi_mcinnes", "mairi_mcinnes")</f>
        <v>mairi_mcinnes</v>
      </c>
      <c r="B10762" s="65"/>
    </row>
    <row r="10763" spans="1:2" x14ac:dyDescent="0.25">
      <c r="A10763" s="64" t="str">
        <f>HYPERLINK("http://www.twitter.com/Lou65W", "Lou65W")</f>
        <v>Lou65W</v>
      </c>
      <c r="B10763" s="65" t="s">
        <v>296</v>
      </c>
    </row>
    <row r="10764" spans="1:2" x14ac:dyDescent="0.25">
      <c r="A10764" s="64" t="str">
        <f>HYPERLINK("http://www.twitter.com/cliveaitken1", "cliveaitken1")</f>
        <v>cliveaitken1</v>
      </c>
      <c r="B10764" s="65"/>
    </row>
    <row r="10765" spans="1:2" x14ac:dyDescent="0.25">
      <c r="A10765" s="64" t="str">
        <f>HYPERLINK("http://www.twitter.com/ranahamxaa", "ranahamxaa")</f>
        <v>ranahamxaa</v>
      </c>
      <c r="B10765" s="65" t="s">
        <v>4572</v>
      </c>
    </row>
    <row r="10766" spans="1:2" x14ac:dyDescent="0.25">
      <c r="A10766" s="64" t="str">
        <f>HYPERLINK("http://www.twitter.com/ThatJoelfella", "ThatJoelfella")</f>
        <v>ThatJoelfella</v>
      </c>
      <c r="B10766" s="65" t="s">
        <v>7183</v>
      </c>
    </row>
    <row r="10767" spans="1:2" x14ac:dyDescent="0.25">
      <c r="A10767" s="64" t="str">
        <f>HYPERLINK("http://www.twitter.com/Sarah_Woohoo", "Sarah_Woohoo")</f>
        <v>Sarah_Woohoo</v>
      </c>
      <c r="B10767" s="65"/>
    </row>
    <row r="10768" spans="1:2" x14ac:dyDescent="0.25">
      <c r="A10768" s="64" t="str">
        <f>HYPERLINK("http://www.twitter.com/orkneydict", "orkneydict")</f>
        <v>orkneydict</v>
      </c>
      <c r="B10768" s="65" t="s">
        <v>3762</v>
      </c>
    </row>
    <row r="10769" spans="1:2" x14ac:dyDescent="0.25">
      <c r="A10769" s="64" t="str">
        <f>HYPERLINK("http://www.twitter.com/spinningzoo", "spinningzoo")</f>
        <v>spinningzoo</v>
      </c>
      <c r="B10769" s="65" t="s">
        <v>1189</v>
      </c>
    </row>
    <row r="10770" spans="1:2" x14ac:dyDescent="0.25">
      <c r="A10770" s="64" t="str">
        <f>HYPERLINK("http://www.twitter.com/solongmarianne", "solongmarianne")</f>
        <v>solongmarianne</v>
      </c>
      <c r="B10770" s="65" t="s">
        <v>5212</v>
      </c>
    </row>
    <row r="10771" spans="1:2" x14ac:dyDescent="0.25">
      <c r="A10771" s="64" t="str">
        <f>HYPERLINK("http://www.twitter.com/Thedream_man", "Thedream_man")</f>
        <v>Thedream_man</v>
      </c>
      <c r="B10771" s="65" t="s">
        <v>7184</v>
      </c>
    </row>
    <row r="10772" spans="1:2" x14ac:dyDescent="0.25">
      <c r="A10772" s="64" t="str">
        <f>HYPERLINK("http://www.twitter.com/_Snowdrops_", "_Snowdrops_")</f>
        <v>_Snowdrops_</v>
      </c>
      <c r="B10772" s="65" t="s">
        <v>4366</v>
      </c>
    </row>
    <row r="10773" spans="1:2" x14ac:dyDescent="0.25">
      <c r="A10773" s="64" t="str">
        <f>HYPERLINK("http://www.twitter.com/katy_he", "katy_he")</f>
        <v>katy_he</v>
      </c>
      <c r="B10773" s="65" t="s">
        <v>318</v>
      </c>
    </row>
    <row r="10774" spans="1:2" x14ac:dyDescent="0.25">
      <c r="A10774" s="64" t="str">
        <f>HYPERLINK("http://www.twitter.com/surriya", "surriya")</f>
        <v>surriya</v>
      </c>
      <c r="B10774" s="65"/>
    </row>
    <row r="10775" spans="1:2" x14ac:dyDescent="0.25">
      <c r="A10775" s="64" t="str">
        <f>HYPERLINK("http://www.twitter.com/Gealibtech", "Gealibtech")</f>
        <v>Gealibtech</v>
      </c>
      <c r="B10775" s="65" t="s">
        <v>3948</v>
      </c>
    </row>
    <row r="10776" spans="1:2" x14ac:dyDescent="0.25">
      <c r="A10776" s="64" t="str">
        <f>HYPERLINK("http://www.twitter.com/sarahmallonxo", "sarahmallonxo")</f>
        <v>sarahmallonxo</v>
      </c>
      <c r="B10776" s="65" t="s">
        <v>7185</v>
      </c>
    </row>
    <row r="10777" spans="1:2" x14ac:dyDescent="0.25">
      <c r="A10777" s="64" t="str">
        <f>HYPERLINK("http://www.twitter.com/DalkeyParish", "DalkeyParish")</f>
        <v>DalkeyParish</v>
      </c>
      <c r="B10777" s="65" t="s">
        <v>4254</v>
      </c>
    </row>
    <row r="10778" spans="1:2" x14ac:dyDescent="0.25">
      <c r="A10778" s="64" t="str">
        <f>HYPERLINK("http://www.twitter.com/refugeeletters", "refugeeletters")</f>
        <v>refugeeletters</v>
      </c>
      <c r="B10778" s="65" t="s">
        <v>2007</v>
      </c>
    </row>
    <row r="10779" spans="1:2" x14ac:dyDescent="0.25">
      <c r="A10779" s="64" t="str">
        <f>HYPERLINK("http://www.twitter.com/JayneG3110", "JayneG3110")</f>
        <v>JayneG3110</v>
      </c>
      <c r="B10779" s="65" t="s">
        <v>517</v>
      </c>
    </row>
    <row r="10780" spans="1:2" x14ac:dyDescent="0.25">
      <c r="A10780" s="64" t="str">
        <f>HYPERLINK("http://www.twitter.com/DianaPalmerArt", "DianaPalmerArt")</f>
        <v>DianaPalmerArt</v>
      </c>
      <c r="B10780" s="65"/>
    </row>
    <row r="10781" spans="1:2" x14ac:dyDescent="0.25">
      <c r="A10781" s="64" t="str">
        <f>HYPERLINK("http://www.twitter.com/literatefutures", "literatefutures")</f>
        <v>literatefutures</v>
      </c>
      <c r="B10781" s="65"/>
    </row>
    <row r="10782" spans="1:2" x14ac:dyDescent="0.25">
      <c r="A10782" s="64" t="str">
        <f>HYPERLINK("http://www.twitter.com/PsychicDG", "PsychicDG")</f>
        <v>PsychicDG</v>
      </c>
      <c r="B10782" s="65"/>
    </row>
    <row r="10783" spans="1:2" x14ac:dyDescent="0.25">
      <c r="A10783" s="64" t="str">
        <f>HYPERLINK("http://www.twitter.com/seidsaad2005", "seidsaad2005")</f>
        <v>seidsaad2005</v>
      </c>
      <c r="B10783" s="65"/>
    </row>
    <row r="10784" spans="1:2" x14ac:dyDescent="0.25">
      <c r="A10784" s="64" t="str">
        <f>HYPERLINK("http://www.twitter.com/nachinji", "nachinji")</f>
        <v>nachinji</v>
      </c>
      <c r="B10784" s="65" t="s">
        <v>7186</v>
      </c>
    </row>
    <row r="10785" spans="1:2" x14ac:dyDescent="0.25">
      <c r="A10785" s="64" t="str">
        <f>HYPERLINK("http://www.twitter.com/Sparklymarg", "Sparklymarg")</f>
        <v>Sparklymarg</v>
      </c>
      <c r="B10785" s="65" t="s">
        <v>6784</v>
      </c>
    </row>
    <row r="10786" spans="1:2" x14ac:dyDescent="0.25">
      <c r="A10786" s="64" t="str">
        <f>HYPERLINK("http://www.twitter.com/tamstoj", "tamstoj")</f>
        <v>tamstoj</v>
      </c>
      <c r="B10786" s="65" t="s">
        <v>7187</v>
      </c>
    </row>
    <row r="10787" spans="1:2" x14ac:dyDescent="0.25">
      <c r="A10787" s="64" t="str">
        <f>HYPERLINK("http://www.twitter.com/kanosdd", "kanosdd")</f>
        <v>kanosdd</v>
      </c>
      <c r="B10787" s="65"/>
    </row>
    <row r="10788" spans="1:2" x14ac:dyDescent="0.25">
      <c r="A10788" s="64" t="str">
        <f>HYPERLINK("http://www.twitter.com/NPGLondon", "NPGLondon")</f>
        <v>NPGLondon</v>
      </c>
      <c r="B10788" s="65" t="s">
        <v>7188</v>
      </c>
    </row>
    <row r="10789" spans="1:2" x14ac:dyDescent="0.25">
      <c r="A10789" s="64" t="str">
        <f>HYPERLINK("http://www.twitter.com/kristadb1", "kristadb1")</f>
        <v>kristadb1</v>
      </c>
      <c r="B10789" s="65" t="s">
        <v>4415</v>
      </c>
    </row>
    <row r="10790" spans="1:2" x14ac:dyDescent="0.25">
      <c r="A10790" s="64" t="str">
        <f>HYPERLINK("http://www.twitter.com/UvaUrsi", "UvaUrsi")</f>
        <v>UvaUrsi</v>
      </c>
      <c r="B10790" s="65" t="s">
        <v>7189</v>
      </c>
    </row>
    <row r="10791" spans="1:2" x14ac:dyDescent="0.25">
      <c r="A10791" s="64" t="str">
        <f>HYPERLINK("http://www.twitter.com/kat_luc01", "kat_luc01")</f>
        <v>kat_luc01</v>
      </c>
      <c r="B10791" s="65"/>
    </row>
    <row r="10792" spans="1:2" x14ac:dyDescent="0.25">
      <c r="A10792" s="64" t="str">
        <f>HYPERLINK("http://www.twitter.com/E_A_Zokaites", "E_A_Zokaites")</f>
        <v>E_A_Zokaites</v>
      </c>
      <c r="B10792" s="65" t="s">
        <v>3797</v>
      </c>
    </row>
    <row r="10793" spans="1:2" x14ac:dyDescent="0.25">
      <c r="A10793" s="64" t="str">
        <f>HYPERLINK("http://www.twitter.com/HuntCiara", "HuntCiara")</f>
        <v>HuntCiara</v>
      </c>
      <c r="B10793" s="65"/>
    </row>
    <row r="10794" spans="1:2" x14ac:dyDescent="0.25">
      <c r="A10794" s="64" t="str">
        <f>HYPERLINK("http://www.twitter.com/hartsbooks", "hartsbooks")</f>
        <v>hartsbooks</v>
      </c>
      <c r="B10794" s="65" t="s">
        <v>6442</v>
      </c>
    </row>
    <row r="10795" spans="1:2" x14ac:dyDescent="0.25">
      <c r="A10795" s="64" t="str">
        <f>HYPERLINK("http://www.twitter.com/JackieMBaldwin1", "JackieMBaldwin1")</f>
        <v>JackieMBaldwin1</v>
      </c>
      <c r="B10795" s="65" t="s">
        <v>4238</v>
      </c>
    </row>
    <row r="10796" spans="1:2" x14ac:dyDescent="0.25">
      <c r="A10796" s="64" t="str">
        <f>HYPERLINK("http://www.twitter.com/emily_wester", "emily_wester")</f>
        <v>emily_wester</v>
      </c>
      <c r="B10796" s="65"/>
    </row>
    <row r="10797" spans="1:2" x14ac:dyDescent="0.25">
      <c r="A10797" s="64" t="str">
        <f>HYPERLINK("http://www.twitter.com/C_Russell88", "C_Russell88")</f>
        <v>C_Russell88</v>
      </c>
      <c r="B10797" s="65" t="s">
        <v>36</v>
      </c>
    </row>
    <row r="10798" spans="1:2" x14ac:dyDescent="0.25">
      <c r="A10798" s="64" t="str">
        <f>HYPERLINK("http://www.twitter.com/dairyspice", "dairyspice")</f>
        <v>dairyspice</v>
      </c>
      <c r="B10798" s="65" t="s">
        <v>3863</v>
      </c>
    </row>
    <row r="10799" spans="1:2" x14ac:dyDescent="0.25">
      <c r="A10799" s="64" t="str">
        <f>HYPERLINK("http://www.twitter.com/ElzeKuiper", "ElzeKuiper")</f>
        <v>ElzeKuiper</v>
      </c>
      <c r="B10799" s="65"/>
    </row>
    <row r="10800" spans="1:2" x14ac:dyDescent="0.25">
      <c r="A10800" s="64" t="str">
        <f>HYPERLINK("http://www.twitter.com/davidwhittam", "davidwhittam")</f>
        <v>davidwhittam</v>
      </c>
      <c r="B10800" s="65" t="s">
        <v>477</v>
      </c>
    </row>
    <row r="10801" spans="1:2" x14ac:dyDescent="0.25">
      <c r="A10801" s="64" t="str">
        <f>HYPERLINK("http://www.twitter.com/ClaireMcMill", "ClaireMcMill")</f>
        <v>ClaireMcMill</v>
      </c>
      <c r="B10801" s="65" t="s">
        <v>7190</v>
      </c>
    </row>
    <row r="10802" spans="1:2" x14ac:dyDescent="0.25">
      <c r="A10802" s="64" t="str">
        <f>HYPERLINK("http://www.twitter.com/JoeyPBrenner", "JoeyPBrenner")</f>
        <v>JoeyPBrenner</v>
      </c>
      <c r="B10802" s="65" t="s">
        <v>7191</v>
      </c>
    </row>
    <row r="10803" spans="1:2" x14ac:dyDescent="0.25">
      <c r="A10803" s="64" t="str">
        <f>HYPERLINK("http://www.twitter.com/VedisR", "VedisR")</f>
        <v>VedisR</v>
      </c>
      <c r="B10803" s="65" t="s">
        <v>6360</v>
      </c>
    </row>
    <row r="10804" spans="1:2" x14ac:dyDescent="0.25">
      <c r="A10804" s="64" t="str">
        <f>HYPERLINK("http://www.twitter.com/zwemzak", "zwemzak")</f>
        <v>zwemzak</v>
      </c>
      <c r="B10804" s="65"/>
    </row>
    <row r="10805" spans="1:2" x14ac:dyDescent="0.25">
      <c r="A10805" s="64" t="str">
        <f>HYPERLINK("http://www.twitter.com/Hyndlax", "Hyndlax")</f>
        <v>Hyndlax</v>
      </c>
      <c r="B10805" s="65"/>
    </row>
    <row r="10806" spans="1:2" x14ac:dyDescent="0.25">
      <c r="A10806" s="64" t="str">
        <f>HYPERLINK("http://www.twitter.com/kathbaird", "kathbaird")</f>
        <v>kathbaird</v>
      </c>
      <c r="B10806" s="65"/>
    </row>
    <row r="10807" spans="1:2" x14ac:dyDescent="0.25">
      <c r="A10807" s="64" t="str">
        <f>HYPERLINK("http://www.twitter.com/PolarPrincess", "PolarPrincess")</f>
        <v>PolarPrincess</v>
      </c>
      <c r="B10807" s="65" t="s">
        <v>7192</v>
      </c>
    </row>
    <row r="10808" spans="1:2" x14ac:dyDescent="0.25">
      <c r="A10808" s="64" t="str">
        <f>HYPERLINK("http://www.twitter.com/JackieCosy", "JackieCosy")</f>
        <v>JackieCosy</v>
      </c>
      <c r="B10808" s="65" t="s">
        <v>24</v>
      </c>
    </row>
    <row r="10809" spans="1:2" x14ac:dyDescent="0.25">
      <c r="A10809" s="64" t="str">
        <f>HYPERLINK("http://www.twitter.com/emz_davidson", "emz_davidson")</f>
        <v>emz_davidson</v>
      </c>
      <c r="B10809" s="65" t="s">
        <v>24</v>
      </c>
    </row>
    <row r="10810" spans="1:2" x14ac:dyDescent="0.25">
      <c r="A10810" s="64" t="str">
        <f>HYPERLINK("http://www.twitter.com/AnneMag99", "AnneMag99")</f>
        <v>AnneMag99</v>
      </c>
      <c r="B10810" s="65"/>
    </row>
    <row r="10811" spans="1:2" x14ac:dyDescent="0.25">
      <c r="A10811" s="64" t="str">
        <f>HYPERLINK("http://www.twitter.com/JibberJabberJo", "JibberJabberJo")</f>
        <v>JibberJabberJo</v>
      </c>
      <c r="B10811" s="65" t="s">
        <v>7193</v>
      </c>
    </row>
    <row r="10812" spans="1:2" x14ac:dyDescent="0.25">
      <c r="A10812" s="64" t="str">
        <f>HYPERLINK("http://www.twitter.com/simonthomasdean", "simonthomasdean")</f>
        <v>simonthomasdean</v>
      </c>
      <c r="B10812" s="65" t="s">
        <v>7194</v>
      </c>
    </row>
    <row r="10813" spans="1:2" x14ac:dyDescent="0.25">
      <c r="A10813" s="64" t="str">
        <f>HYPERLINK("http://www.twitter.com/HelenaK_02", "HelenaK_02")</f>
        <v>HelenaK_02</v>
      </c>
      <c r="B10813" s="65" t="s">
        <v>39</v>
      </c>
    </row>
    <row r="10814" spans="1:2" x14ac:dyDescent="0.25">
      <c r="A10814" s="64" t="str">
        <f>HYPERLINK("http://www.twitter.com/GBobL", "GBobL")</f>
        <v>GBobL</v>
      </c>
      <c r="B10814" s="65"/>
    </row>
    <row r="10815" spans="1:2" x14ac:dyDescent="0.25">
      <c r="A10815" s="64" t="str">
        <f>HYPERLINK("http://www.twitter.com/williamsdatter", "williamsdatter")</f>
        <v>williamsdatter</v>
      </c>
      <c r="B10815" s="65"/>
    </row>
    <row r="10816" spans="1:2" x14ac:dyDescent="0.25">
      <c r="A10816" s="64" t="str">
        <f>HYPERLINK("http://www.twitter.com/IntlUAdel", "IntlUAdel")</f>
        <v>IntlUAdel</v>
      </c>
      <c r="B10816" s="65" t="s">
        <v>7195</v>
      </c>
    </row>
    <row r="10817" spans="1:2" x14ac:dyDescent="0.25">
      <c r="A10817" s="64" t="str">
        <f>HYPERLINK("http://www.twitter.com/wolfcat", "wolfcat")</f>
        <v>wolfcat</v>
      </c>
      <c r="B10817" s="65" t="s">
        <v>3779</v>
      </c>
    </row>
    <row r="10818" spans="1:2" x14ac:dyDescent="0.25">
      <c r="A10818" s="64" t="str">
        <f>HYPERLINK("http://www.twitter.com/LHofflund", "LHofflund")</f>
        <v>LHofflund</v>
      </c>
      <c r="B10818" s="65"/>
    </row>
    <row r="10819" spans="1:2" x14ac:dyDescent="0.25">
      <c r="A10819" s="64" t="str">
        <f>HYPERLINK("http://www.twitter.com/scotdc9", "scotdc9")</f>
        <v>scotdc9</v>
      </c>
      <c r="B10819" s="65" t="s">
        <v>74</v>
      </c>
    </row>
    <row r="10820" spans="1:2" x14ac:dyDescent="0.25">
      <c r="A10820" s="64" t="str">
        <f>HYPERLINK("http://www.twitter.com/kisseda_frog", "kisseda_frog")</f>
        <v>kisseda_frog</v>
      </c>
      <c r="B10820" s="65"/>
    </row>
    <row r="10821" spans="1:2" x14ac:dyDescent="0.25">
      <c r="A10821" s="64" t="str">
        <f>HYPERLINK("http://www.twitter.com/choollery", "choollery")</f>
        <v>choollery</v>
      </c>
      <c r="B10821" s="65" t="s">
        <v>7196</v>
      </c>
    </row>
    <row r="10822" spans="1:2" x14ac:dyDescent="0.25">
      <c r="A10822" s="64" t="str">
        <f>HYPERLINK("http://www.twitter.com/ComeOnTheWell", "ComeOnTheWell")</f>
        <v>ComeOnTheWell</v>
      </c>
      <c r="B10822" s="65" t="s">
        <v>421</v>
      </c>
    </row>
    <row r="10823" spans="1:2" x14ac:dyDescent="0.25">
      <c r="A10823" s="64" t="str">
        <f>HYPERLINK("http://www.twitter.com/isobelgmorris", "isobelgmorris")</f>
        <v>isobelgmorris</v>
      </c>
      <c r="B10823" s="65" t="s">
        <v>7197</v>
      </c>
    </row>
    <row r="10824" spans="1:2" x14ac:dyDescent="0.25">
      <c r="A10824" s="64" t="str">
        <f>HYPERLINK("http://www.twitter.com/danieljones740", "danieljones740")</f>
        <v>danieljones740</v>
      </c>
      <c r="B10824" s="65"/>
    </row>
    <row r="10825" spans="1:2" x14ac:dyDescent="0.25">
      <c r="A10825" s="64" t="str">
        <f>HYPERLINK("http://www.twitter.com/Sarah_W_Morris", "Sarah_W_Morris")</f>
        <v>Sarah_W_Morris</v>
      </c>
      <c r="B10825" s="65" t="s">
        <v>7198</v>
      </c>
    </row>
    <row r="10826" spans="1:2" x14ac:dyDescent="0.25">
      <c r="A10826" s="64" t="str">
        <f>HYPERLINK("http://www.twitter.com/prickly247", "prickly247")</f>
        <v>prickly247</v>
      </c>
      <c r="B10826" s="65"/>
    </row>
    <row r="10827" spans="1:2" x14ac:dyDescent="0.25">
      <c r="A10827" s="64" t="str">
        <f>HYPERLINK("http://www.twitter.com/joanneowen10", "joanneowen10")</f>
        <v>joanneowen10</v>
      </c>
      <c r="B10827" s="65" t="s">
        <v>5807</v>
      </c>
    </row>
    <row r="10828" spans="1:2" x14ac:dyDescent="0.25">
      <c r="A10828" s="64" t="str">
        <f>HYPERLINK("http://www.twitter.com/ruddger_", "ruddger_")</f>
        <v>ruddger_</v>
      </c>
      <c r="B10828" s="65"/>
    </row>
    <row r="10829" spans="1:2" x14ac:dyDescent="0.25">
      <c r="A10829" s="64" t="str">
        <f>HYPERLINK("http://www.twitter.com/sccroz", "sccroz")</f>
        <v>sccroz</v>
      </c>
      <c r="B10829" s="65" t="s">
        <v>24</v>
      </c>
    </row>
    <row r="10830" spans="1:2" x14ac:dyDescent="0.25">
      <c r="A10830" s="64" t="str">
        <f>HYPERLINK("http://www.twitter.com/flynnd77", "flynnd77")</f>
        <v>flynnd77</v>
      </c>
      <c r="B10830" s="65" t="s">
        <v>36</v>
      </c>
    </row>
    <row r="10831" spans="1:2" x14ac:dyDescent="0.25">
      <c r="A10831" s="64" t="str">
        <f>HYPERLINK("http://www.twitter.com/igosatan", "igosatan")</f>
        <v>igosatan</v>
      </c>
      <c r="B10831" s="65" t="s">
        <v>7199</v>
      </c>
    </row>
    <row r="10832" spans="1:2" x14ac:dyDescent="0.25">
      <c r="A10832" s="64" t="str">
        <f>HYPERLINK("http://www.twitter.com/acomeuppance", "acomeuppance")</f>
        <v>acomeuppance</v>
      </c>
      <c r="B10832" s="65"/>
    </row>
    <row r="10833" spans="1:2" x14ac:dyDescent="0.25">
      <c r="A10833" s="64" t="str">
        <f>HYPERLINK("http://www.twitter.com/northwestherly", "northwestherly")</f>
        <v>northwestherly</v>
      </c>
      <c r="B10833" s="65" t="s">
        <v>7200</v>
      </c>
    </row>
    <row r="10834" spans="1:2" x14ac:dyDescent="0.25">
      <c r="A10834" s="64" t="str">
        <f>HYPERLINK("http://www.twitter.com/JessieMcKitrick", "JessieMcKitrick")</f>
        <v>JessieMcKitrick</v>
      </c>
      <c r="B10834" s="65" t="s">
        <v>7201</v>
      </c>
    </row>
    <row r="10835" spans="1:2" x14ac:dyDescent="0.25">
      <c r="A10835" s="64" t="str">
        <f>HYPERLINK("http://www.twitter.com/Uncivil_S", "Uncivil_S")</f>
        <v>Uncivil_S</v>
      </c>
      <c r="B10835" s="65" t="s">
        <v>610</v>
      </c>
    </row>
    <row r="10836" spans="1:2" x14ac:dyDescent="0.25">
      <c r="A10836" s="64" t="str">
        <f>HYPERLINK("http://www.twitter.com/lancerlibrary", "lancerlibrary")</f>
        <v>lancerlibrary</v>
      </c>
      <c r="B10836" s="65" t="s">
        <v>7202</v>
      </c>
    </row>
    <row r="10837" spans="1:2" x14ac:dyDescent="0.25">
      <c r="A10837" s="64" t="str">
        <f>HYPERLINK("http://www.twitter.com/gailafc", "gailafc")</f>
        <v>gailafc</v>
      </c>
      <c r="B10837" s="65"/>
    </row>
    <row r="10838" spans="1:2" x14ac:dyDescent="0.25">
      <c r="A10838" s="64" t="str">
        <f>HYPERLINK("http://www.twitter.com/tismajick", "tismajick")</f>
        <v>tismajick</v>
      </c>
      <c r="B10838" s="65"/>
    </row>
    <row r="10839" spans="1:2" x14ac:dyDescent="0.25">
      <c r="A10839" s="64" t="str">
        <f>HYPERLINK("http://www.twitter.com/jessicascott714", "jessicascott714")</f>
        <v>jessicascott714</v>
      </c>
      <c r="B10839" s="65" t="s">
        <v>7203</v>
      </c>
    </row>
    <row r="10840" spans="1:2" x14ac:dyDescent="0.25">
      <c r="A10840" s="64" t="str">
        <f>HYPERLINK("http://www.twitter.com/MrWalkerJoe", "MrWalkerJoe")</f>
        <v>MrWalkerJoe</v>
      </c>
      <c r="B10840" s="65" t="s">
        <v>3547</v>
      </c>
    </row>
    <row r="10841" spans="1:2" x14ac:dyDescent="0.25">
      <c r="A10841" s="64" t="str">
        <f>HYPERLINK("http://www.twitter.com/Betsy_AJ", "Betsy_AJ")</f>
        <v>Betsy_AJ</v>
      </c>
      <c r="B10841" s="65" t="s">
        <v>7204</v>
      </c>
    </row>
    <row r="10842" spans="1:2" x14ac:dyDescent="0.25">
      <c r="A10842" s="64" t="str">
        <f>HYPERLINK("http://www.twitter.com/mmebdesuif", "mmebdesuif")</f>
        <v>mmebdesuif</v>
      </c>
      <c r="B10842" s="65" t="s">
        <v>477</v>
      </c>
    </row>
    <row r="10843" spans="1:2" x14ac:dyDescent="0.25">
      <c r="A10843" s="64" t="str">
        <f>HYPERLINK("http://www.twitter.com/BronwynGraves", "BronwynGraves")</f>
        <v>BronwynGraves</v>
      </c>
      <c r="B10843" s="65" t="s">
        <v>7205</v>
      </c>
    </row>
    <row r="10844" spans="1:2" x14ac:dyDescent="0.25">
      <c r="A10844" s="64" t="str">
        <f>HYPERLINK("http://www.twitter.com/dawn_rebecca", "dawn_rebecca")</f>
        <v>dawn_rebecca</v>
      </c>
      <c r="B10844" s="65" t="s">
        <v>138</v>
      </c>
    </row>
    <row r="10845" spans="1:2" x14ac:dyDescent="0.25">
      <c r="A10845" s="64" t="str">
        <f>HYPERLINK("http://www.twitter.com/rari_teh", "rari_teh")</f>
        <v>rari_teh</v>
      </c>
      <c r="B10845" s="65" t="s">
        <v>7206</v>
      </c>
    </row>
    <row r="10846" spans="1:2" x14ac:dyDescent="0.25">
      <c r="A10846" s="64" t="str">
        <f>HYPERLINK("http://www.twitter.com/baldyspeccy", "baldyspeccy")</f>
        <v>baldyspeccy</v>
      </c>
      <c r="B10846" s="65" t="s">
        <v>138</v>
      </c>
    </row>
    <row r="10847" spans="1:2" x14ac:dyDescent="0.25">
      <c r="A10847" s="64" t="str">
        <f>HYPERLINK("http://www.twitter.com/WinspearBusLib", "WinspearBusLib")</f>
        <v>WinspearBusLib</v>
      </c>
      <c r="B10847" s="65" t="s">
        <v>7207</v>
      </c>
    </row>
    <row r="10848" spans="1:2" x14ac:dyDescent="0.25">
      <c r="A10848" s="64" t="str">
        <f>HYPERLINK("http://www.twitter.com/RBGEtheGateway", "RBGEtheGateway")</f>
        <v>RBGEtheGateway</v>
      </c>
      <c r="B10848" s="65" t="s">
        <v>7208</v>
      </c>
    </row>
    <row r="10849" spans="1:2" x14ac:dyDescent="0.25">
      <c r="A10849" s="64" t="str">
        <f>HYPERLINK("http://www.twitter.com/TheJenAnn", "TheJenAnn")</f>
        <v>TheJenAnn</v>
      </c>
      <c r="B10849" s="65"/>
    </row>
    <row r="10850" spans="1:2" x14ac:dyDescent="0.25">
      <c r="A10850" s="64" t="str">
        <f>HYPERLINK("http://www.twitter.com/salem_clear", "salem_clear")</f>
        <v>salem_clear</v>
      </c>
      <c r="B10850" s="65"/>
    </row>
    <row r="10851" spans="1:2" x14ac:dyDescent="0.25">
      <c r="A10851" s="64" t="str">
        <f>HYPERLINK("http://www.twitter.com/AyeRobbostrom2", "AyeRobbostrom2")</f>
        <v>AyeRobbostrom2</v>
      </c>
      <c r="B10851" s="65" t="s">
        <v>2007</v>
      </c>
    </row>
    <row r="10852" spans="1:2" x14ac:dyDescent="0.25">
      <c r="A10852" s="64" t="str">
        <f>HYPERLINK("http://www.twitter.com/badbrainAJ", "badbrainAJ")</f>
        <v>badbrainAJ</v>
      </c>
      <c r="B10852" s="65" t="s">
        <v>7209</v>
      </c>
    </row>
    <row r="10853" spans="1:2" x14ac:dyDescent="0.25">
      <c r="A10853" s="64" t="str">
        <f>HYPERLINK("http://www.twitter.com/ghostwritinguk", "ghostwritinguk")</f>
        <v>ghostwritinguk</v>
      </c>
      <c r="B10853" s="65" t="s">
        <v>487</v>
      </c>
    </row>
    <row r="10854" spans="1:2" x14ac:dyDescent="0.25">
      <c r="A10854" s="64" t="str">
        <f>HYPERLINK("http://www.twitter.com/CrispyFloyd", "CrispyFloyd")</f>
        <v>CrispyFloyd</v>
      </c>
      <c r="B10854" s="65" t="s">
        <v>2792</v>
      </c>
    </row>
    <row r="10855" spans="1:2" x14ac:dyDescent="0.25">
      <c r="A10855" s="64" t="str">
        <f>HYPERLINK("http://www.twitter.com/oreganosnail", "oreganosnail")</f>
        <v>oreganosnail</v>
      </c>
      <c r="B10855" s="65" t="s">
        <v>7210</v>
      </c>
    </row>
    <row r="10856" spans="1:2" x14ac:dyDescent="0.25">
      <c r="A10856" s="64" t="str">
        <f>HYPERLINK("http://www.twitter.com/Kirkjuvagr_Gin", "Kirkjuvagr_Gin")</f>
        <v>Kirkjuvagr_Gin</v>
      </c>
      <c r="B10856" s="65" t="s">
        <v>3762</v>
      </c>
    </row>
    <row r="10857" spans="1:2" x14ac:dyDescent="0.25">
      <c r="A10857" s="64" t="str">
        <f>HYPERLINK("http://www.twitter.com/JenInProgress", "JenInProgress")</f>
        <v>JenInProgress</v>
      </c>
      <c r="B10857" s="65" t="s">
        <v>3948</v>
      </c>
    </row>
    <row r="10858" spans="1:2" x14ac:dyDescent="0.25">
      <c r="A10858" s="64" t="str">
        <f>HYPERLINK("http://www.twitter.com/ggdubois", "ggdubois")</f>
        <v>ggdubois</v>
      </c>
      <c r="B10858" s="65" t="s">
        <v>7211</v>
      </c>
    </row>
    <row r="10859" spans="1:2" x14ac:dyDescent="0.25">
      <c r="A10859" s="64" t="str">
        <f>HYPERLINK("http://www.twitter.com/ScottRoss83", "ScottRoss83")</f>
        <v>ScottRoss83</v>
      </c>
      <c r="B10859" s="65" t="s">
        <v>7212</v>
      </c>
    </row>
    <row r="10860" spans="1:2" x14ac:dyDescent="0.25">
      <c r="A10860" s="64" t="str">
        <f>HYPERLINK("http://www.twitter.com/CaroRowland", "CaroRowland")</f>
        <v>CaroRowland</v>
      </c>
      <c r="B10860" s="65" t="s">
        <v>102</v>
      </c>
    </row>
    <row r="10861" spans="1:2" x14ac:dyDescent="0.25">
      <c r="A10861" s="64" t="str">
        <f>HYPERLINK("http://www.twitter.com/tobesbennett", "tobesbennett")</f>
        <v>tobesbennett</v>
      </c>
      <c r="B10861" s="65" t="s">
        <v>36</v>
      </c>
    </row>
    <row r="10862" spans="1:2" x14ac:dyDescent="0.25">
      <c r="A10862" s="64" t="str">
        <f>HYPERLINK("http://www.twitter.com/glitterp0ps", "glitterp0ps")</f>
        <v>glitterp0ps</v>
      </c>
      <c r="B10862" s="65" t="s">
        <v>4070</v>
      </c>
    </row>
    <row r="10863" spans="1:2" x14ac:dyDescent="0.25">
      <c r="A10863" s="64" t="str">
        <f>HYPERLINK("http://www.twitter.com/thewiccaman", "thewiccaman")</f>
        <v>thewiccaman</v>
      </c>
      <c r="B10863" s="65" t="s">
        <v>7213</v>
      </c>
    </row>
    <row r="10864" spans="1:2" x14ac:dyDescent="0.25">
      <c r="A10864" s="64" t="str">
        <f>HYPERLINK("http://www.twitter.com/modcearig", "modcearig")</f>
        <v>modcearig</v>
      </c>
      <c r="B10864" s="65" t="s">
        <v>7214</v>
      </c>
    </row>
    <row r="10865" spans="1:2" x14ac:dyDescent="0.25">
      <c r="A10865" s="64" t="str">
        <f>HYPERLINK("http://www.twitter.com/ozus", "ozus")</f>
        <v>ozus</v>
      </c>
      <c r="B10865" s="65" t="s">
        <v>7215</v>
      </c>
    </row>
    <row r="10866" spans="1:2" x14ac:dyDescent="0.25">
      <c r="A10866" s="64" t="str">
        <f>HYPERLINK("http://www.twitter.com/WhatBehaviour", "WhatBehaviour")</f>
        <v>WhatBehaviour</v>
      </c>
      <c r="B10866" s="65"/>
    </row>
    <row r="10867" spans="1:2" x14ac:dyDescent="0.25">
      <c r="A10867" s="64" t="str">
        <f>HYPERLINK("http://www.twitter.com/waylandbooks", "waylandbooks")</f>
        <v>waylandbooks</v>
      </c>
      <c r="B10867" s="65" t="s">
        <v>70</v>
      </c>
    </row>
    <row r="10868" spans="1:2" x14ac:dyDescent="0.25">
      <c r="A10868" s="64" t="str">
        <f>HYPERLINK("http://www.twitter.com/gman_90", "gman_90")</f>
        <v>gman_90</v>
      </c>
      <c r="B10868" s="65" t="s">
        <v>2232</v>
      </c>
    </row>
    <row r="10869" spans="1:2" x14ac:dyDescent="0.25">
      <c r="A10869" s="64" t="str">
        <f>HYPERLINK("http://www.twitter.com/grantcochrane", "grantcochrane")</f>
        <v>grantcochrane</v>
      </c>
      <c r="B10869" s="65"/>
    </row>
    <row r="10870" spans="1:2" x14ac:dyDescent="0.25">
      <c r="A10870" s="64" t="str">
        <f>HYPERLINK("http://www.twitter.com/OCUHIDegreeShow", "OCUHIDegreeShow")</f>
        <v>OCUHIDegreeShow</v>
      </c>
      <c r="B10870" s="65" t="s">
        <v>7216</v>
      </c>
    </row>
    <row r="10871" spans="1:2" x14ac:dyDescent="0.25">
      <c r="A10871" s="64" t="str">
        <f>HYPERLINK("http://www.twitter.com/wombat37", "wombat37")</f>
        <v>wombat37</v>
      </c>
      <c r="B10871" s="65" t="s">
        <v>7217</v>
      </c>
    </row>
    <row r="10872" spans="1:2" x14ac:dyDescent="0.25">
      <c r="A10872" s="64" t="str">
        <f>HYPERLINK("http://www.twitter.com/robbyhickman", "robbyhickman")</f>
        <v>robbyhickman</v>
      </c>
      <c r="B10872" s="65"/>
    </row>
    <row r="10873" spans="1:2" x14ac:dyDescent="0.25">
      <c r="A10873" s="64" t="str">
        <f>HYPERLINK("http://www.twitter.com/bobdbob", "bobdbob")</f>
        <v>bobdbob</v>
      </c>
      <c r="B10873" s="65" t="s">
        <v>2185</v>
      </c>
    </row>
    <row r="10874" spans="1:2" x14ac:dyDescent="0.25">
      <c r="A10874" s="64" t="str">
        <f>HYPERLINK("http://www.twitter.com/exam_writer", "exam_writer")</f>
        <v>exam_writer</v>
      </c>
      <c r="B10874" s="65" t="s">
        <v>2185</v>
      </c>
    </row>
    <row r="10875" spans="1:2" x14ac:dyDescent="0.25">
      <c r="A10875" s="64" t="str">
        <f>HYPERLINK("http://www.twitter.com/meyumyum", "meyumyum")</f>
        <v>meyumyum</v>
      </c>
      <c r="B10875" s="65" t="s">
        <v>7218</v>
      </c>
    </row>
    <row r="10876" spans="1:2" x14ac:dyDescent="0.25">
      <c r="A10876" s="64" t="str">
        <f>HYPERLINK("http://www.twitter.com/TaraDagostino1", "TaraDagostino1")</f>
        <v>TaraDagostino1</v>
      </c>
      <c r="B10876" s="65" t="s">
        <v>24</v>
      </c>
    </row>
    <row r="10877" spans="1:2" x14ac:dyDescent="0.25">
      <c r="A10877" s="64" t="str">
        <f>HYPERLINK("http://www.twitter.com/brendanfaulds62", "brendanfaulds62")</f>
        <v>brendanfaulds62</v>
      </c>
      <c r="B10877" s="65"/>
    </row>
    <row r="10878" spans="1:2" x14ac:dyDescent="0.25">
      <c r="A10878" s="64" t="str">
        <f>HYPERLINK("http://www.twitter.com/Ukulele_Clarice", "Ukulele_Clarice")</f>
        <v>Ukulele_Clarice</v>
      </c>
      <c r="B10878" s="65" t="s">
        <v>7219</v>
      </c>
    </row>
    <row r="10879" spans="1:2" x14ac:dyDescent="0.25">
      <c r="A10879" s="64" t="str">
        <f>HYPERLINK("http://www.twitter.com/lynsey_poole", "lynsey_poole")</f>
        <v>lynsey_poole</v>
      </c>
      <c r="B10879" s="65"/>
    </row>
    <row r="10880" spans="1:2" x14ac:dyDescent="0.25">
      <c r="A10880" s="64" t="str">
        <f>HYPERLINK("http://www.twitter.com/LBOffice", "LBOffice")</f>
        <v>LBOffice</v>
      </c>
      <c r="B10880" s="65" t="s">
        <v>2030</v>
      </c>
    </row>
    <row r="10881" spans="1:2" x14ac:dyDescent="0.25">
      <c r="A10881" s="64" t="str">
        <f>HYPERLINK("http://www.twitter.com/_PaulDaly", "_PaulDaly")</f>
        <v>_PaulDaly</v>
      </c>
      <c r="B10881" s="65" t="s">
        <v>3956</v>
      </c>
    </row>
    <row r="10882" spans="1:2" x14ac:dyDescent="0.25">
      <c r="A10882" s="64" t="str">
        <f>HYPERLINK("http://www.twitter.com/ILeeson", "ILeeson")</f>
        <v>ILeeson</v>
      </c>
      <c r="B10882" s="65" t="s">
        <v>3988</v>
      </c>
    </row>
    <row r="10883" spans="1:2" x14ac:dyDescent="0.25">
      <c r="A10883" s="64" t="str">
        <f>HYPERLINK("http://www.twitter.com/NearFox", "NearFox")</f>
        <v>NearFox</v>
      </c>
      <c r="B10883" s="65" t="s">
        <v>4492</v>
      </c>
    </row>
    <row r="10884" spans="1:2" x14ac:dyDescent="0.25">
      <c r="A10884" s="64" t="str">
        <f>HYPERLINK("http://www.twitter.com/Tapirus", "Tapirus")</f>
        <v>Tapirus</v>
      </c>
      <c r="B10884" s="65"/>
    </row>
    <row r="10885" spans="1:2" x14ac:dyDescent="0.25">
      <c r="A10885" s="64" t="str">
        <f>HYPERLINK("http://www.twitter.com/Carlawharvs", "Carlawharvs")</f>
        <v>Carlawharvs</v>
      </c>
      <c r="B10885" s="65" t="s">
        <v>3896</v>
      </c>
    </row>
    <row r="10886" spans="1:2" x14ac:dyDescent="0.25">
      <c r="A10886" s="64" t="str">
        <f>HYPERLINK("http://www.twitter.com/hthaynes", "hthaynes")</f>
        <v>hthaynes</v>
      </c>
      <c r="B10886" s="65" t="s">
        <v>6393</v>
      </c>
    </row>
    <row r="10887" spans="1:2" x14ac:dyDescent="0.25">
      <c r="A10887" s="64" t="str">
        <f>HYPERLINK("http://www.twitter.com/dermotcanter", "dermotcanter")</f>
        <v>dermotcanter</v>
      </c>
      <c r="B10887" s="65" t="s">
        <v>36</v>
      </c>
    </row>
    <row r="10888" spans="1:2" x14ac:dyDescent="0.25">
      <c r="A10888" s="64" t="str">
        <f>HYPERLINK("http://www.twitter.com/justadddragons", "justadddragons")</f>
        <v>justadddragons</v>
      </c>
      <c r="B10888" s="65" t="s">
        <v>7220</v>
      </c>
    </row>
    <row r="10889" spans="1:2" x14ac:dyDescent="0.25">
      <c r="A10889" s="64" t="str">
        <f>HYPERLINK("http://www.twitter.com/Grattiano", "Grattiano")</f>
        <v>Grattiano</v>
      </c>
      <c r="B10889" s="65" t="s">
        <v>3778</v>
      </c>
    </row>
    <row r="10890" spans="1:2" x14ac:dyDescent="0.25">
      <c r="A10890" s="64" t="str">
        <f>HYPERLINK("http://www.twitter.com/LouiseParry", "LouiseParry")</f>
        <v>LouiseParry</v>
      </c>
      <c r="B10890" s="65" t="s">
        <v>7221</v>
      </c>
    </row>
    <row r="10891" spans="1:2" x14ac:dyDescent="0.25">
      <c r="A10891" s="64" t="str">
        <f>HYPERLINK("http://www.twitter.com/LorraineLibatiq", "LorraineLibatiq")</f>
        <v>LorraineLibatiq</v>
      </c>
      <c r="B10891" s="65"/>
    </row>
    <row r="10892" spans="1:2" x14ac:dyDescent="0.25">
      <c r="A10892" s="64" t="str">
        <f>HYPERLINK("http://www.twitter.com/luisma_rps", "luisma_rps")</f>
        <v>luisma_rps</v>
      </c>
      <c r="B10892" s="65"/>
    </row>
    <row r="10893" spans="1:2" x14ac:dyDescent="0.25">
      <c r="A10893" s="64" t="str">
        <f>HYPERLINK("http://www.twitter.com/leadwcorevalues", "leadwcorevalues")</f>
        <v>leadwcorevalues</v>
      </c>
      <c r="B10893" s="65" t="s">
        <v>4664</v>
      </c>
    </row>
    <row r="10894" spans="1:2" x14ac:dyDescent="0.25">
      <c r="A10894" s="64" t="str">
        <f>HYPERLINK("http://www.twitter.com/GinanneBrownell", "GinanneBrownell")</f>
        <v>GinanneBrownell</v>
      </c>
      <c r="B10894" s="65" t="s">
        <v>7222</v>
      </c>
    </row>
    <row r="10895" spans="1:2" x14ac:dyDescent="0.25">
      <c r="A10895" s="64" t="str">
        <f>HYPERLINK("http://www.twitter.com/ToothnClawUK", "ToothnClawUK")</f>
        <v>ToothnClawUK</v>
      </c>
      <c r="B10895" s="65"/>
    </row>
    <row r="10896" spans="1:2" x14ac:dyDescent="0.25">
      <c r="A10896" s="64" t="str">
        <f>HYPERLINK("http://www.twitter.com/Nutrition4Kids", "Nutrition4Kids")</f>
        <v>Nutrition4Kids</v>
      </c>
      <c r="B10896" s="65"/>
    </row>
    <row r="10897" spans="1:2" x14ac:dyDescent="0.25">
      <c r="A10897" s="64" t="str">
        <f>HYPERLINK("http://www.twitter.com/JoyCarlile", "JoyCarlile")</f>
        <v>JoyCarlile</v>
      </c>
      <c r="B10897" s="65" t="s">
        <v>1377</v>
      </c>
    </row>
    <row r="10898" spans="1:2" x14ac:dyDescent="0.25">
      <c r="A10898" s="64" t="str">
        <f>HYPERLINK("http://www.twitter.com/byrnes_katie", "byrnes_katie")</f>
        <v>byrnes_katie</v>
      </c>
      <c r="B10898" s="65"/>
    </row>
    <row r="10899" spans="1:2" x14ac:dyDescent="0.25">
      <c r="A10899" s="64" t="str">
        <f>HYPERLINK("http://www.twitter.com/Debbie1502", "Debbie1502")</f>
        <v>Debbie1502</v>
      </c>
      <c r="B10899" s="65" t="s">
        <v>7223</v>
      </c>
    </row>
    <row r="10900" spans="1:2" x14ac:dyDescent="0.25">
      <c r="A10900" s="64" t="str">
        <f>HYPERLINK("http://www.twitter.com/davebetterz", "davebetterz")</f>
        <v>davebetterz</v>
      </c>
      <c r="B10900" s="65" t="s">
        <v>2289</v>
      </c>
    </row>
    <row r="10901" spans="1:2" x14ac:dyDescent="0.25">
      <c r="A10901" s="64" t="str">
        <f>HYPERLINK("http://www.twitter.com/SarahGrieves3", "SarahGrieves3")</f>
        <v>SarahGrieves3</v>
      </c>
      <c r="B10901" s="65" t="s">
        <v>508</v>
      </c>
    </row>
    <row r="10902" spans="1:2" x14ac:dyDescent="0.25">
      <c r="A10902" s="64" t="str">
        <f>HYPERLINK("http://www.twitter.com/StreetlightLove", "StreetlightLove")</f>
        <v>StreetlightLove</v>
      </c>
      <c r="B10902" s="65" t="s">
        <v>569</v>
      </c>
    </row>
    <row r="10903" spans="1:2" x14ac:dyDescent="0.25">
      <c r="A10903" s="64" t="str">
        <f>HYPERLINK("http://www.twitter.com/CharleyHazel", "CharleyHazel")</f>
        <v>CharleyHazel</v>
      </c>
      <c r="B10903" s="65" t="s">
        <v>5436</v>
      </c>
    </row>
    <row r="10904" spans="1:2" x14ac:dyDescent="0.25">
      <c r="A10904" s="64" t="str">
        <f>HYPERLINK("http://www.twitter.com/akarebecca", "akarebecca")</f>
        <v>akarebecca</v>
      </c>
      <c r="B10904" s="65" t="s">
        <v>4522</v>
      </c>
    </row>
    <row r="10905" spans="1:2" x14ac:dyDescent="0.25">
      <c r="A10905" s="64" t="str">
        <f>HYPERLINK("http://www.twitter.com/LiterallySmash", "LiterallySmash")</f>
        <v>LiterallySmash</v>
      </c>
      <c r="B10905" s="65"/>
    </row>
    <row r="10906" spans="1:2" x14ac:dyDescent="0.25">
      <c r="A10906" s="64" t="str">
        <f>HYPERLINK("http://www.twitter.com/scsandison", "scsandison")</f>
        <v>scsandison</v>
      </c>
      <c r="B10906" s="65" t="s">
        <v>24</v>
      </c>
    </row>
    <row r="10907" spans="1:2" x14ac:dyDescent="0.25">
      <c r="A10907" s="64" t="str">
        <f>HYPERLINK("http://www.twitter.com/googlebun", "googlebun")</f>
        <v>googlebun</v>
      </c>
      <c r="B10907" s="65"/>
    </row>
    <row r="10908" spans="1:2" x14ac:dyDescent="0.25">
      <c r="A10908" s="64" t="str">
        <f>HYPERLINK("http://www.twitter.com/imogenrena", "imogenrena")</f>
        <v>imogenrena</v>
      </c>
      <c r="B10908" s="65" t="s">
        <v>487</v>
      </c>
    </row>
    <row r="10909" spans="1:2" x14ac:dyDescent="0.25">
      <c r="A10909" s="64" t="str">
        <f>HYPERLINK("http://www.twitter.com/amritswali", "amritswali")</f>
        <v>amritswali</v>
      </c>
      <c r="B10909" s="65" t="s">
        <v>3137</v>
      </c>
    </row>
    <row r="10910" spans="1:2" x14ac:dyDescent="0.25">
      <c r="A10910" s="64" t="str">
        <f>HYPERLINK("http://www.twitter.com/Warburg_Library", "Warburg_Library")</f>
        <v>Warburg_Library</v>
      </c>
      <c r="B10910" s="65" t="s">
        <v>1163</v>
      </c>
    </row>
    <row r="10911" spans="1:2" x14ac:dyDescent="0.25">
      <c r="A10911" s="64" t="str">
        <f>HYPERLINK("http://www.twitter.com/whittler76", "whittler76")</f>
        <v>whittler76</v>
      </c>
      <c r="B10911" s="65" t="s">
        <v>7224</v>
      </c>
    </row>
    <row r="10912" spans="1:2" x14ac:dyDescent="0.25">
      <c r="A10912" s="64" t="str">
        <f>HYPERLINK("http://www.twitter.com/LauraRoseFinch", "LauraRoseFinch")</f>
        <v>LauraRoseFinch</v>
      </c>
      <c r="B10912" s="65" t="s">
        <v>7225</v>
      </c>
    </row>
    <row r="10913" spans="1:2" x14ac:dyDescent="0.25">
      <c r="A10913" s="64" t="str">
        <f>HYPERLINK("http://www.twitter.com/susie6946", "susie6946")</f>
        <v>susie6946</v>
      </c>
      <c r="B10913" s="65"/>
    </row>
    <row r="10914" spans="1:2" x14ac:dyDescent="0.25">
      <c r="A10914" s="64" t="str">
        <f>HYPERLINK("http://www.twitter.com/equibanter", "equibanter")</f>
        <v>equibanter</v>
      </c>
      <c r="B10914" s="65" t="s">
        <v>7226</v>
      </c>
    </row>
    <row r="10915" spans="1:2" x14ac:dyDescent="0.25">
      <c r="A10915" s="64" t="str">
        <f>HYPERLINK("http://www.twitter.com/adreannaroxs", "adreannaroxs")</f>
        <v>adreannaroxs</v>
      </c>
      <c r="B10915" s="65"/>
    </row>
    <row r="10916" spans="1:2" x14ac:dyDescent="0.25">
      <c r="A10916" s="64" t="str">
        <f>HYPERLINK("http://www.twitter.com/SamiWart", "SamiWart")</f>
        <v>SamiWart</v>
      </c>
      <c r="B10916" s="65"/>
    </row>
    <row r="10917" spans="1:2" x14ac:dyDescent="0.25">
      <c r="A10917" s="64" t="str">
        <f>HYPERLINK("http://www.twitter.com/1993yzf750r", "1993yzf750r")</f>
        <v>1993yzf750r</v>
      </c>
      <c r="B10917" s="65" t="s">
        <v>7227</v>
      </c>
    </row>
    <row r="10918" spans="1:2" x14ac:dyDescent="0.25">
      <c r="A10918" s="64" t="str">
        <f>HYPERLINK("http://www.twitter.com/KMCalder", "KMCalder")</f>
        <v>KMCalder</v>
      </c>
      <c r="B10918" s="65"/>
    </row>
    <row r="10919" spans="1:2" x14ac:dyDescent="0.25">
      <c r="A10919" s="64" t="str">
        <f>HYPERLINK("http://www.twitter.com/Xander3a", "Xander3a")</f>
        <v>Xander3a</v>
      </c>
      <c r="B10919" s="65" t="s">
        <v>7228</v>
      </c>
    </row>
    <row r="10920" spans="1:2" x14ac:dyDescent="0.25">
      <c r="A10920" s="64" t="str">
        <f>HYPERLINK("http://www.twitter.com/Staedtler", "Staedtler")</f>
        <v>Staedtler</v>
      </c>
      <c r="B10920" s="65" t="s">
        <v>7229</v>
      </c>
    </row>
    <row r="10921" spans="1:2" x14ac:dyDescent="0.25">
      <c r="A10921" s="64" t="str">
        <f>HYPERLINK("http://www.twitter.com/whippet_woman", "whippet_woman")</f>
        <v>whippet_woman</v>
      </c>
      <c r="B10921" s="65" t="s">
        <v>2007</v>
      </c>
    </row>
    <row r="10922" spans="1:2" x14ac:dyDescent="0.25">
      <c r="A10922" s="64" t="str">
        <f>HYPERLINK("http://www.twitter.com/LawrySama", "LawrySama")</f>
        <v>LawrySama</v>
      </c>
      <c r="B10922" s="65"/>
    </row>
    <row r="10923" spans="1:2" x14ac:dyDescent="0.25">
      <c r="A10923" s="64" t="str">
        <f>HYPERLINK("http://www.twitter.com/katehoffard", "katehoffard")</f>
        <v>katehoffard</v>
      </c>
      <c r="B10923" s="65" t="s">
        <v>4981</v>
      </c>
    </row>
    <row r="10924" spans="1:2" x14ac:dyDescent="0.25">
      <c r="A10924" s="64" t="str">
        <f>HYPERLINK("http://www.twitter.com/JANEMCDIARMID1", "JANEMCDIARMID1")</f>
        <v>JANEMCDIARMID1</v>
      </c>
      <c r="B10924" s="65"/>
    </row>
    <row r="10925" spans="1:2" x14ac:dyDescent="0.25">
      <c r="A10925" s="64" t="str">
        <f>HYPERLINK("http://www.twitter.com/hunter_jim", "hunter_jim")</f>
        <v>hunter_jim</v>
      </c>
      <c r="B10925" s="65" t="s">
        <v>487</v>
      </c>
    </row>
    <row r="10926" spans="1:2" x14ac:dyDescent="0.25">
      <c r="A10926" s="64" t="str">
        <f>HYPERLINK("http://www.twitter.com/jmrogers4", "jmrogers4")</f>
        <v>jmrogers4</v>
      </c>
      <c r="B10926" s="65" t="s">
        <v>4578</v>
      </c>
    </row>
    <row r="10927" spans="1:2" x14ac:dyDescent="0.25">
      <c r="A10927" s="64" t="str">
        <f>HYPERLINK("http://www.twitter.com/LachlanMain", "LachlanMain")</f>
        <v>LachlanMain</v>
      </c>
      <c r="B10927" s="65" t="s">
        <v>7230</v>
      </c>
    </row>
    <row r="10928" spans="1:2" x14ac:dyDescent="0.25">
      <c r="A10928" s="64" t="str">
        <f>HYPERLINK("http://www.twitter.com/ckeano77", "ckeano77")</f>
        <v>ckeano77</v>
      </c>
      <c r="B10928" s="65"/>
    </row>
    <row r="10929" spans="1:2" x14ac:dyDescent="0.25">
      <c r="A10929" s="64" t="str">
        <f>HYPERLINK("http://www.twitter.com/shellybarton78", "shellybarton78")</f>
        <v>shellybarton78</v>
      </c>
      <c r="B10929" s="65" t="s">
        <v>2289</v>
      </c>
    </row>
    <row r="10930" spans="1:2" x14ac:dyDescent="0.25">
      <c r="A10930" s="64" t="str">
        <f>HYPERLINK("http://www.twitter.com/RobThomas14", "RobThomas14")</f>
        <v>RobThomas14</v>
      </c>
      <c r="B10930" s="65" t="s">
        <v>1218</v>
      </c>
    </row>
    <row r="10931" spans="1:2" x14ac:dyDescent="0.25">
      <c r="A10931" s="64" t="str">
        <f>HYPERLINK("http://www.twitter.com/ClareNorris", "ClareNorris")</f>
        <v>ClareNorris</v>
      </c>
      <c r="B10931" s="65"/>
    </row>
    <row r="10932" spans="1:2" x14ac:dyDescent="0.25">
      <c r="A10932" s="64" t="str">
        <f>HYPERLINK("http://www.twitter.com/clazzerbear", "clazzerbear")</f>
        <v>clazzerbear</v>
      </c>
      <c r="B10932" s="65" t="s">
        <v>4117</v>
      </c>
    </row>
    <row r="10933" spans="1:2" x14ac:dyDescent="0.25">
      <c r="A10933" s="64" t="str">
        <f>HYPERLINK("http://www.twitter.com/ExeterTwiddle", "ExeterTwiddle")</f>
        <v>ExeterTwiddle</v>
      </c>
      <c r="B10933" s="65" t="s">
        <v>5889</v>
      </c>
    </row>
    <row r="10934" spans="1:2" x14ac:dyDescent="0.25">
      <c r="A10934" s="64" t="str">
        <f>HYPERLINK("http://www.twitter.com/Orcadianbuddo", "Orcadianbuddo")</f>
        <v>Orcadianbuddo</v>
      </c>
      <c r="B10934" s="65"/>
    </row>
    <row r="10935" spans="1:2" x14ac:dyDescent="0.25">
      <c r="A10935" s="64" t="str">
        <f>HYPERLINK("http://www.twitter.com/AmartellEsq", "AmartellEsq")</f>
        <v>AmartellEsq</v>
      </c>
      <c r="B10935" s="65"/>
    </row>
    <row r="10936" spans="1:2" x14ac:dyDescent="0.25">
      <c r="A10936" s="64" t="str">
        <f>HYPERLINK("http://www.twitter.com/humphreytracy", "humphreytracy")</f>
        <v>humphreytracy</v>
      </c>
      <c r="B10936" s="65" t="s">
        <v>2792</v>
      </c>
    </row>
    <row r="10937" spans="1:2" x14ac:dyDescent="0.25">
      <c r="A10937" s="64" t="str">
        <f>HYPERLINK("http://www.twitter.com/peaceanskittles", "peaceanskittles")</f>
        <v>peaceanskittles</v>
      </c>
      <c r="B10937" s="65" t="s">
        <v>7231</v>
      </c>
    </row>
    <row r="10938" spans="1:2" x14ac:dyDescent="0.25">
      <c r="A10938" s="64" t="str">
        <f>HYPERLINK("http://www.twitter.com/beck_w", "beck_w")</f>
        <v>beck_w</v>
      </c>
      <c r="B10938" s="65"/>
    </row>
    <row r="10939" spans="1:2" x14ac:dyDescent="0.25">
      <c r="A10939" s="64" t="str">
        <f>HYPERLINK("http://www.twitter.com/WhitehouseSM", "WhitehouseSM")</f>
        <v>WhitehouseSM</v>
      </c>
      <c r="B10939" s="65" t="s">
        <v>296</v>
      </c>
    </row>
    <row r="10940" spans="1:2" x14ac:dyDescent="0.25">
      <c r="A10940" s="64" t="str">
        <f>HYPERLINK("http://www.twitter.com/KateAlice6", "KateAlice6")</f>
        <v>KateAlice6</v>
      </c>
      <c r="B10940" s="65" t="s">
        <v>508</v>
      </c>
    </row>
    <row r="10941" spans="1:2" x14ac:dyDescent="0.25">
      <c r="A10941" s="64" t="str">
        <f>HYPERLINK("http://www.twitter.com/hilaryCrawfor12", "hilaryCrawfor12")</f>
        <v>hilaryCrawfor12</v>
      </c>
      <c r="B10941" s="65" t="s">
        <v>7232</v>
      </c>
    </row>
    <row r="10942" spans="1:2" x14ac:dyDescent="0.25">
      <c r="A10942" s="64" t="str">
        <f>HYPERLINK("http://www.twitter.com/MicroAmy", "MicroAmy")</f>
        <v>MicroAmy</v>
      </c>
      <c r="B10942" s="65" t="s">
        <v>2007</v>
      </c>
    </row>
    <row r="10943" spans="1:2" x14ac:dyDescent="0.25">
      <c r="A10943" s="64" t="str">
        <f>HYPERLINK("http://www.twitter.com/DNDeng", "DNDeng")</f>
        <v>DNDeng</v>
      </c>
      <c r="B10943" s="65" t="s">
        <v>6524</v>
      </c>
    </row>
    <row r="10944" spans="1:2" x14ac:dyDescent="0.25">
      <c r="A10944" s="64" t="str">
        <f>HYPERLINK("http://www.twitter.com/grovercarey", "grovercarey")</f>
        <v>grovercarey</v>
      </c>
      <c r="B10944" s="65" t="s">
        <v>4118</v>
      </c>
    </row>
    <row r="10945" spans="1:2" x14ac:dyDescent="0.25">
      <c r="A10945" s="64" t="str">
        <f>HYPERLINK("http://www.twitter.com/travismorgan123", "travismorgan123")</f>
        <v>travismorgan123</v>
      </c>
      <c r="B10945" s="65"/>
    </row>
    <row r="10946" spans="1:2" x14ac:dyDescent="0.25">
      <c r="A10946" s="64" t="str">
        <f>HYPERLINK("http://www.twitter.com/JellynCustard", "JellynCustard")</f>
        <v>JellynCustard</v>
      </c>
      <c r="B10946" s="65" t="s">
        <v>487</v>
      </c>
    </row>
    <row r="10947" spans="1:2" x14ac:dyDescent="0.25">
      <c r="A10947" s="64" t="str">
        <f>HYPERLINK("http://www.twitter.com/mark_whyatt", "mark_whyatt")</f>
        <v>mark_whyatt</v>
      </c>
      <c r="B10947" s="65"/>
    </row>
    <row r="10948" spans="1:2" x14ac:dyDescent="0.25">
      <c r="A10948" s="64" t="str">
        <f>HYPERLINK("http://www.twitter.com/CarolineCooke", "CarolineCooke")</f>
        <v>CarolineCooke</v>
      </c>
      <c r="B10948" s="65" t="s">
        <v>7233</v>
      </c>
    </row>
    <row r="10949" spans="1:2" x14ac:dyDescent="0.25">
      <c r="A10949" s="64" t="str">
        <f>HYPERLINK("http://www.twitter.com/strang_laura", "strang_laura")</f>
        <v>strang_laura</v>
      </c>
      <c r="B10949" s="65" t="s">
        <v>2007</v>
      </c>
    </row>
    <row r="10950" spans="1:2" x14ac:dyDescent="0.25">
      <c r="A10950" s="64" t="str">
        <f>HYPERLINK("http://www.twitter.com/Stock_Library", "Stock_Library")</f>
        <v>Stock_Library</v>
      </c>
      <c r="B10950" s="65" t="s">
        <v>2717</v>
      </c>
    </row>
    <row r="10951" spans="1:2" x14ac:dyDescent="0.25">
      <c r="A10951" s="64" t="str">
        <f>HYPERLINK("http://www.twitter.com/ParkdaleLibrary", "ParkdaleLibrary")</f>
        <v>ParkdaleLibrary</v>
      </c>
      <c r="B10951" s="65" t="s">
        <v>7234</v>
      </c>
    </row>
    <row r="10952" spans="1:2" x14ac:dyDescent="0.25">
      <c r="A10952" s="64" t="str">
        <f>HYPERLINK("http://www.twitter.com/EmilyDourish", "EmilyDourish")</f>
        <v>EmilyDourish</v>
      </c>
      <c r="B10952" s="65" t="s">
        <v>788</v>
      </c>
    </row>
    <row r="10953" spans="1:2" x14ac:dyDescent="0.25">
      <c r="A10953" s="64" t="str">
        <f>HYPERLINK("http://www.twitter.com/FeerVaynrey", "FeerVaynrey")</f>
        <v>FeerVaynrey</v>
      </c>
      <c r="B10953" s="65"/>
    </row>
    <row r="10954" spans="1:2" x14ac:dyDescent="0.25">
      <c r="A10954" s="64" t="str">
        <f>HYPERLINK("http://www.twitter.com/JasonNeish", "JasonNeish")</f>
        <v>JasonNeish</v>
      </c>
      <c r="B10954" s="65" t="s">
        <v>7235</v>
      </c>
    </row>
    <row r="10955" spans="1:2" x14ac:dyDescent="0.25">
      <c r="A10955" s="64" t="str">
        <f>HYPERLINK("http://www.twitter.com/dannytorrence", "dannytorrence")</f>
        <v>dannytorrence</v>
      </c>
      <c r="B10955" s="65" t="s">
        <v>7236</v>
      </c>
    </row>
    <row r="10956" spans="1:2" x14ac:dyDescent="0.25">
      <c r="A10956" s="64" t="str">
        <f>HYPERLINK("http://www.twitter.com/bloosonthemove", "bloosonthemove")</f>
        <v>bloosonthemove</v>
      </c>
      <c r="B10956" s="65" t="s">
        <v>7237</v>
      </c>
    </row>
    <row r="10957" spans="1:2" x14ac:dyDescent="0.25">
      <c r="A10957" s="64" t="str">
        <f>HYPERLINK("http://www.twitter.com/groatiebuckie58", "groatiebuckie58")</f>
        <v>groatiebuckie58</v>
      </c>
      <c r="B10957" s="65"/>
    </row>
    <row r="10958" spans="1:2" x14ac:dyDescent="0.25">
      <c r="A10958" s="64" t="str">
        <f>HYPERLINK("http://www.twitter.com/OshawaLibraries", "OshawaLibraries")</f>
        <v>OshawaLibraries</v>
      </c>
      <c r="B10958" s="65" t="s">
        <v>7238</v>
      </c>
    </row>
    <row r="10959" spans="1:2" x14ac:dyDescent="0.25">
      <c r="A10959" s="64" t="str">
        <f>HYPERLINK("http://www.twitter.com/CurlySooz", "CurlySooz")</f>
        <v>CurlySooz</v>
      </c>
      <c r="B10959" s="65" t="s">
        <v>7239</v>
      </c>
    </row>
    <row r="10960" spans="1:2" x14ac:dyDescent="0.25">
      <c r="A10960" s="64" t="str">
        <f>HYPERLINK("http://www.twitter.com/pickeringpublib", "pickeringpublib")</f>
        <v>pickeringpublib</v>
      </c>
      <c r="B10960" s="65" t="s">
        <v>7240</v>
      </c>
    </row>
    <row r="10961" spans="1:2" x14ac:dyDescent="0.25">
      <c r="A10961" s="64" t="str">
        <f>HYPERLINK("http://www.twitter.com/luckyheron", "luckyheron")</f>
        <v>luckyheron</v>
      </c>
      <c r="B10961" s="65" t="s">
        <v>318</v>
      </c>
    </row>
    <row r="10962" spans="1:2" x14ac:dyDescent="0.25">
      <c r="A10962" s="64" t="str">
        <f>HYPERLINK("http://www.twitter.com/HindleyKerry", "HindleyKerry")</f>
        <v>HindleyKerry</v>
      </c>
      <c r="B10962" s="65" t="s">
        <v>138</v>
      </c>
    </row>
    <row r="10963" spans="1:2" x14ac:dyDescent="0.25">
      <c r="A10963" s="64" t="str">
        <f>HYPERLINK("http://www.twitter.com/thejoyoflooking", "thejoyoflooking")</f>
        <v>thejoyoflooking</v>
      </c>
      <c r="B10963" s="65" t="s">
        <v>296</v>
      </c>
    </row>
    <row r="10964" spans="1:2" x14ac:dyDescent="0.25">
      <c r="A10964" s="64" t="str">
        <f>HYPERLINK("http://www.twitter.com/jacqui_clark", "jacqui_clark")</f>
        <v>jacqui_clark</v>
      </c>
      <c r="B10964" s="65" t="s">
        <v>115</v>
      </c>
    </row>
    <row r="10965" spans="1:2" x14ac:dyDescent="0.25">
      <c r="A10965" s="64" t="str">
        <f>HYPERLINK("http://www.twitter.com/kalia_contiki", "kalia_contiki")</f>
        <v>kalia_contiki</v>
      </c>
      <c r="B10965" s="65"/>
    </row>
    <row r="10966" spans="1:2" x14ac:dyDescent="0.25">
      <c r="A10966" s="64" t="str">
        <f>HYPERLINK("http://www.twitter.com/stevecannon83", "stevecannon83")</f>
        <v>stevecannon83</v>
      </c>
      <c r="B10966" s="65" t="s">
        <v>7241</v>
      </c>
    </row>
    <row r="10967" spans="1:2" x14ac:dyDescent="0.25">
      <c r="A10967" s="64" t="str">
        <f>HYPERLINK("http://www.twitter.com/Blankeken", "Blankeken")</f>
        <v>Blankeken</v>
      </c>
      <c r="B10967" s="65"/>
    </row>
    <row r="10968" spans="1:2" x14ac:dyDescent="0.25">
      <c r="A10968" s="64" t="str">
        <f>HYPERLINK("http://www.twitter.com/susanroper95", "susanroper95")</f>
        <v>susanroper95</v>
      </c>
      <c r="B10968" s="65"/>
    </row>
    <row r="10969" spans="1:2" x14ac:dyDescent="0.25">
      <c r="A10969" s="64" t="str">
        <f>HYPERLINK("http://www.twitter.com/CrimsonAutumn1", "CrimsonAutumn1")</f>
        <v>CrimsonAutumn1</v>
      </c>
      <c r="B10969" s="65" t="s">
        <v>4111</v>
      </c>
    </row>
    <row r="10970" spans="1:2" x14ac:dyDescent="0.25">
      <c r="A10970" s="64" t="str">
        <f>HYPERLINK("http://www.twitter.com/AimeeLibrary", "AimeeLibrary")</f>
        <v>AimeeLibrary</v>
      </c>
      <c r="B10970" s="65" t="s">
        <v>7242</v>
      </c>
    </row>
    <row r="10971" spans="1:2" x14ac:dyDescent="0.25">
      <c r="A10971" s="64" t="str">
        <f>HYPERLINK("http://www.twitter.com/TRSANDEMAN", "TRSANDEMAN")</f>
        <v>TRSANDEMAN</v>
      </c>
      <c r="B10971" s="65"/>
    </row>
    <row r="10972" spans="1:2" x14ac:dyDescent="0.25">
      <c r="A10972" s="64" t="str">
        <f>HYPERLINK("http://www.twitter.com/thebolddeceiver", "thebolddeceiver")</f>
        <v>thebolddeceiver</v>
      </c>
      <c r="B10972" s="65" t="s">
        <v>7243</v>
      </c>
    </row>
    <row r="10973" spans="1:2" x14ac:dyDescent="0.25">
      <c r="A10973" s="64" t="str">
        <f>HYPERLINK("http://www.twitter.com/emsyorkshire", "emsyorkshire")</f>
        <v>emsyorkshire</v>
      </c>
      <c r="B10973" s="65" t="s">
        <v>2492</v>
      </c>
    </row>
    <row r="10974" spans="1:2" x14ac:dyDescent="0.25">
      <c r="A10974" s="64" t="str">
        <f>HYPERLINK("http://www.twitter.com/chrisjohnball", "chrisjohnball")</f>
        <v>chrisjohnball</v>
      </c>
      <c r="B10974" s="65" t="s">
        <v>6085</v>
      </c>
    </row>
    <row r="10975" spans="1:2" x14ac:dyDescent="0.25">
      <c r="A10975" s="64" t="str">
        <f>HYPERLINK("http://www.twitter.com/jotrick65", "jotrick65")</f>
        <v>jotrick65</v>
      </c>
      <c r="B10975" s="65"/>
    </row>
    <row r="10976" spans="1:2" x14ac:dyDescent="0.25">
      <c r="A10976" s="64" t="str">
        <f>HYPERLINK("http://www.twitter.com/RJSzczerba", "RJSzczerba")</f>
        <v>RJSzczerba</v>
      </c>
      <c r="B10976" s="65" t="s">
        <v>7244</v>
      </c>
    </row>
    <row r="10977" spans="1:2" x14ac:dyDescent="0.25">
      <c r="A10977" s="64" t="str">
        <f>HYPERLINK("http://www.twitter.com/8daysedinburgh", "8daysedinburgh")</f>
        <v>8daysedinburgh</v>
      </c>
      <c r="B10977" s="65"/>
    </row>
    <row r="10978" spans="1:2" x14ac:dyDescent="0.25">
      <c r="A10978" s="64" t="str">
        <f>HYPERLINK("http://www.twitter.com/SueSmit49002874", "SueSmit49002874")</f>
        <v>SueSmit49002874</v>
      </c>
      <c r="B10978" s="65"/>
    </row>
    <row r="10979" spans="1:2" x14ac:dyDescent="0.25">
      <c r="A10979" s="64" t="str">
        <f>HYPERLINK("http://www.twitter.com/October35", "October35")</f>
        <v>October35</v>
      </c>
      <c r="B10979" s="65" t="s">
        <v>24</v>
      </c>
    </row>
    <row r="10980" spans="1:2" x14ac:dyDescent="0.25">
      <c r="A10980" s="64" t="str">
        <f>HYPERLINK("http://www.twitter.com/ADSwimCoach", "ADSwimCoach")</f>
        <v>ADSwimCoach</v>
      </c>
      <c r="B10980" s="65"/>
    </row>
    <row r="10981" spans="1:2" x14ac:dyDescent="0.25">
      <c r="A10981" s="64" t="str">
        <f>HYPERLINK("http://www.twitter.com/KirkdaleBooks", "KirkdaleBooks")</f>
        <v>KirkdaleBooks</v>
      </c>
      <c r="B10981" s="65" t="s">
        <v>7245</v>
      </c>
    </row>
    <row r="10982" spans="1:2" x14ac:dyDescent="0.25">
      <c r="A10982" s="64" t="str">
        <f>HYPERLINK("http://www.twitter.com/SarahEFranklin", "SarahEFranklin")</f>
        <v>SarahEFranklin</v>
      </c>
      <c r="B10982" s="65"/>
    </row>
    <row r="10983" spans="1:2" x14ac:dyDescent="0.25">
      <c r="A10983" s="64" t="str">
        <f>HYPERLINK("http://www.twitter.com/oxenbury", "oxenbury")</f>
        <v>oxenbury</v>
      </c>
      <c r="B10983" s="65" t="s">
        <v>7246</v>
      </c>
    </row>
    <row r="10984" spans="1:2" x14ac:dyDescent="0.25">
      <c r="A10984" s="64" t="str">
        <f>HYPERLINK("http://www.twitter.com/bikegirl0614", "bikegirl0614")</f>
        <v>bikegirl0614</v>
      </c>
      <c r="B10984" s="65" t="s">
        <v>7247</v>
      </c>
    </row>
    <row r="10985" spans="1:2" x14ac:dyDescent="0.25">
      <c r="A10985" s="64" t="str">
        <f>HYPERLINK("http://www.twitter.com/developeruk", "developeruk")</f>
        <v>developeruk</v>
      </c>
      <c r="B10985" s="65" t="s">
        <v>7248</v>
      </c>
    </row>
    <row r="10986" spans="1:2" x14ac:dyDescent="0.25">
      <c r="A10986" s="64" t="str">
        <f>HYPERLINK("http://www.twitter.com/louloustod", "louloustod")</f>
        <v>louloustod</v>
      </c>
      <c r="B10986" s="65" t="s">
        <v>24</v>
      </c>
    </row>
    <row r="10987" spans="1:2" x14ac:dyDescent="0.25">
      <c r="A10987" s="64" t="str">
        <f>HYPERLINK("http://www.twitter.com/perfectcircle77", "perfectcircle77")</f>
        <v>perfectcircle77</v>
      </c>
      <c r="B10987" s="65" t="s">
        <v>361</v>
      </c>
    </row>
    <row r="10988" spans="1:2" x14ac:dyDescent="0.25">
      <c r="A10988" s="64" t="str">
        <f>HYPERLINK("http://www.twitter.com/Stephaniemcclos", "Stephaniemcclos")</f>
        <v>Stephaniemcclos</v>
      </c>
      <c r="B10988" s="65" t="s">
        <v>248</v>
      </c>
    </row>
    <row r="10989" spans="1:2" x14ac:dyDescent="0.25">
      <c r="A10989" s="64" t="str">
        <f>HYPERLINK("http://www.twitter.com/umop_3pisdn_", "umop_3pisdn_")</f>
        <v>umop_3pisdn_</v>
      </c>
      <c r="B10989" s="65" t="s">
        <v>7249</v>
      </c>
    </row>
    <row r="10990" spans="1:2" x14ac:dyDescent="0.25">
      <c r="A10990" s="64" t="str">
        <f>HYPERLINK("http://www.twitter.com/mrsakh", "mrsakh")</f>
        <v>mrsakh</v>
      </c>
      <c r="B10990" s="65"/>
    </row>
    <row r="10991" spans="1:2" x14ac:dyDescent="0.25">
      <c r="A10991" s="64" t="str">
        <f>HYPERLINK("http://www.twitter.com/hp_always_s2r", "hp_always_s2r")</f>
        <v>hp_always_s2r</v>
      </c>
      <c r="B10991" s="65" t="s">
        <v>6203</v>
      </c>
    </row>
    <row r="10992" spans="1:2" x14ac:dyDescent="0.25">
      <c r="A10992" s="64" t="str">
        <f>HYPERLINK("http://www.twitter.com/moragdb", "moragdb")</f>
        <v>moragdb</v>
      </c>
      <c r="B10992" s="65" t="s">
        <v>517</v>
      </c>
    </row>
    <row r="10993" spans="1:2" x14ac:dyDescent="0.25">
      <c r="A10993" s="64" t="str">
        <f>HYPERLINK("http://www.twitter.com/gnomeinacage", "gnomeinacage")</f>
        <v>gnomeinacage</v>
      </c>
      <c r="B10993" s="65"/>
    </row>
    <row r="10994" spans="1:2" x14ac:dyDescent="0.25">
      <c r="A10994" s="64" t="str">
        <f>HYPERLINK("http://www.twitter.com/PJMcGovern73", "PJMcGovern73")</f>
        <v>PJMcGovern73</v>
      </c>
      <c r="B10994" s="65"/>
    </row>
    <row r="10995" spans="1:2" x14ac:dyDescent="0.25">
      <c r="A10995" s="64" t="str">
        <f>HYPERLINK("http://www.twitter.com/swgowland", "swgowland")</f>
        <v>swgowland</v>
      </c>
      <c r="B10995" s="65"/>
    </row>
    <row r="10996" spans="1:2" x14ac:dyDescent="0.25">
      <c r="A10996" s="64" t="str">
        <f>HYPERLINK("http://www.twitter.com/Bankend", "Bankend")</f>
        <v>Bankend</v>
      </c>
      <c r="B10996" s="65"/>
    </row>
    <row r="10997" spans="1:2" x14ac:dyDescent="0.25">
      <c r="A10997" s="64" t="str">
        <f>HYPERLINK("http://www.twitter.com/theZeroPumpkin", "theZeroPumpkin")</f>
        <v>theZeroPumpkin</v>
      </c>
      <c r="B10997" s="65" t="s">
        <v>24</v>
      </c>
    </row>
    <row r="10998" spans="1:2" x14ac:dyDescent="0.25">
      <c r="A10998" s="64" t="str">
        <f>HYPERLINK("http://www.twitter.com/gradtalpool", "gradtalpool")</f>
        <v>gradtalpool</v>
      </c>
      <c r="B10998" s="65" t="s">
        <v>7250</v>
      </c>
    </row>
    <row r="10999" spans="1:2" x14ac:dyDescent="0.25">
      <c r="A10999" s="64" t="str">
        <f>HYPERLINK("http://www.twitter.com/CatSPorter", "CatSPorter")</f>
        <v>CatSPorter</v>
      </c>
      <c r="B10999" s="65" t="s">
        <v>7251</v>
      </c>
    </row>
    <row r="11000" spans="1:2" x14ac:dyDescent="0.25">
      <c r="A11000" s="64" t="str">
        <f>HYPERLINK("http://www.twitter.com/MclanachanChris", "MclanachanChris")</f>
        <v>MclanachanChris</v>
      </c>
      <c r="B11000" s="65"/>
    </row>
    <row r="11001" spans="1:2" x14ac:dyDescent="0.25">
      <c r="A11001" s="64" t="str">
        <f>HYPERLINK("http://www.twitter.com/OUPLibraries", "OUPLibraries")</f>
        <v>OUPLibraries</v>
      </c>
      <c r="B11001" s="65"/>
    </row>
    <row r="11002" spans="1:2" x14ac:dyDescent="0.25">
      <c r="A11002" s="64" t="str">
        <f>HYPERLINK("http://www.twitter.com/Pavster", "Pavster")</f>
        <v>Pavster</v>
      </c>
      <c r="B11002" s="65" t="s">
        <v>7252</v>
      </c>
    </row>
    <row r="11003" spans="1:2" x14ac:dyDescent="0.25">
      <c r="A11003" s="64" t="str">
        <f>HYPERLINK("http://www.twitter.com/imcgowan17", "imcgowan17")</f>
        <v>imcgowan17</v>
      </c>
      <c r="B11003" s="65" t="s">
        <v>7253</v>
      </c>
    </row>
    <row r="11004" spans="1:2" x14ac:dyDescent="0.25">
      <c r="A11004" s="64" t="str">
        <f>HYPERLINK("http://www.twitter.com/OrangePip86", "OrangePip86")</f>
        <v>OrangePip86</v>
      </c>
      <c r="B11004" s="65" t="s">
        <v>508</v>
      </c>
    </row>
    <row r="11005" spans="1:2" x14ac:dyDescent="0.25">
      <c r="A11005" s="64" t="str">
        <f>HYPERLINK("http://www.twitter.com/RhysGwynJones", "RhysGwynJones")</f>
        <v>RhysGwynJones</v>
      </c>
      <c r="B11005" s="65" t="s">
        <v>7254</v>
      </c>
    </row>
    <row r="11006" spans="1:2" x14ac:dyDescent="0.25">
      <c r="A11006" s="64" t="str">
        <f>HYPERLINK("http://www.twitter.com/tobymeyjes", "tobymeyjes")</f>
        <v>tobymeyjes</v>
      </c>
      <c r="B11006" s="65" t="s">
        <v>477</v>
      </c>
    </row>
    <row r="11007" spans="1:2" x14ac:dyDescent="0.25">
      <c r="A11007" s="64" t="str">
        <f>HYPERLINK("http://www.twitter.com/fallinglaughing", "fallinglaughing")</f>
        <v>fallinglaughing</v>
      </c>
      <c r="B11007" s="65" t="s">
        <v>7255</v>
      </c>
    </row>
    <row r="11008" spans="1:2" x14ac:dyDescent="0.25">
      <c r="A11008" s="64" t="str">
        <f>HYPERLINK("http://www.twitter.com/stutily", "stutily")</f>
        <v>stutily</v>
      </c>
      <c r="B11008" s="65" t="s">
        <v>7256</v>
      </c>
    </row>
    <row r="11009" spans="1:2" x14ac:dyDescent="0.25">
      <c r="A11009" s="64" t="str">
        <f>HYPERLINK("http://www.twitter.com/nixnada", "nixnada")</f>
        <v>nixnada</v>
      </c>
      <c r="B11009" s="65" t="s">
        <v>318</v>
      </c>
    </row>
    <row r="11010" spans="1:2" x14ac:dyDescent="0.25">
      <c r="A11010" s="64" t="str">
        <f>HYPERLINK("http://www.twitter.com/METAKNlGHT", "METAKNlGHT")</f>
        <v>METAKNlGHT</v>
      </c>
      <c r="B11010" s="65" t="s">
        <v>318</v>
      </c>
    </row>
    <row r="11011" spans="1:2" x14ac:dyDescent="0.25">
      <c r="A11011" s="64" t="str">
        <f>HYPERLINK("http://www.twitter.com/IslingtonELS", "IslingtonELS")</f>
        <v>IslingtonELS</v>
      </c>
      <c r="B11011" s="65" t="s">
        <v>36</v>
      </c>
    </row>
    <row r="11012" spans="1:2" x14ac:dyDescent="0.25">
      <c r="A11012" s="64" t="str">
        <f>HYPERLINK("http://www.twitter.com/amsterdammed", "amsterdammed")</f>
        <v>amsterdammed</v>
      </c>
      <c r="B11012" s="65" t="s">
        <v>6737</v>
      </c>
    </row>
    <row r="11013" spans="1:2" x14ac:dyDescent="0.25">
      <c r="A11013" s="64" t="str">
        <f>HYPERLINK("http://www.twitter.com/BAshley925", "BAshley925")</f>
        <v>BAshley925</v>
      </c>
      <c r="B11013" s="65" t="s">
        <v>7257</v>
      </c>
    </row>
    <row r="11014" spans="1:2" x14ac:dyDescent="0.25">
      <c r="A11014" s="64" t="str">
        <f>HYPERLINK("http://www.twitter.com/Daily_Record", "Daily_Record")</f>
        <v>Daily_Record</v>
      </c>
      <c r="B11014" s="65" t="s">
        <v>138</v>
      </c>
    </row>
    <row r="11015" spans="1:2" x14ac:dyDescent="0.25">
      <c r="A11015" s="64" t="str">
        <f>HYPERLINK("http://www.twitter.com/AshmoleanMuseum", "AshmoleanMuseum")</f>
        <v>AshmoleanMuseum</v>
      </c>
      <c r="B11015" s="65" t="s">
        <v>12</v>
      </c>
    </row>
    <row r="11016" spans="1:2" x14ac:dyDescent="0.25">
      <c r="A11016" s="64" t="str">
        <f>HYPERLINK("http://www.twitter.com/ArrJayyy", "ArrJayyy")</f>
        <v>ArrJayyy</v>
      </c>
      <c r="B11016" s="65" t="s">
        <v>7258</v>
      </c>
    </row>
    <row r="11017" spans="1:2" x14ac:dyDescent="0.25">
      <c r="A11017" s="64" t="str">
        <f>HYPERLINK("http://www.twitter.com/pipsytip", "pipsytip")</f>
        <v>pipsytip</v>
      </c>
      <c r="B11017" s="65" t="s">
        <v>1736</v>
      </c>
    </row>
    <row r="11018" spans="1:2" x14ac:dyDescent="0.25">
      <c r="A11018" s="64" t="str">
        <f>HYPERLINK("http://www.twitter.com/elevenways", "elevenways")</f>
        <v>elevenways</v>
      </c>
      <c r="B11018" s="65" t="s">
        <v>7259</v>
      </c>
    </row>
    <row r="11019" spans="1:2" x14ac:dyDescent="0.25">
      <c r="A11019" s="64" t="str">
        <f>HYPERLINK("http://www.twitter.com/coates_72", "coates_72")</f>
        <v>coates_72</v>
      </c>
      <c r="B11019" s="65" t="s">
        <v>7260</v>
      </c>
    </row>
    <row r="11020" spans="1:2" x14ac:dyDescent="0.25">
      <c r="A11020" s="64" t="str">
        <f>HYPERLINK("http://www.twitter.com/EechieOchie", "EechieOchie")</f>
        <v>EechieOchie</v>
      </c>
      <c r="B11020" s="65" t="s">
        <v>7261</v>
      </c>
    </row>
    <row r="11021" spans="1:2" x14ac:dyDescent="0.25">
      <c r="A11021" s="64" t="str">
        <f>HYPERLINK("http://www.twitter.com/KittyTrill", "KittyTrill")</f>
        <v>KittyTrill</v>
      </c>
      <c r="B11021" s="65"/>
    </row>
    <row r="11022" spans="1:2" x14ac:dyDescent="0.25">
      <c r="A11022" s="64" t="str">
        <f>HYPERLINK("http://www.twitter.com/Penny_Watcher", "Penny_Watcher")</f>
        <v>Penny_Watcher</v>
      </c>
      <c r="B11022" s="65" t="s">
        <v>4501</v>
      </c>
    </row>
    <row r="11023" spans="1:2" x14ac:dyDescent="0.25">
      <c r="A11023" s="64" t="str">
        <f>HYPERLINK("http://www.twitter.com/rosa_albo", "rosa_albo")</f>
        <v>rosa_albo</v>
      </c>
      <c r="B11023" s="65"/>
    </row>
    <row r="11024" spans="1:2" x14ac:dyDescent="0.25">
      <c r="A11024" s="64" t="str">
        <f>HYPERLINK("http://www.twitter.com/ajammiedodger", "ajammiedodger")</f>
        <v>ajammiedodger</v>
      </c>
      <c r="B11024" s="65" t="s">
        <v>7262</v>
      </c>
    </row>
    <row r="11025" spans="1:2" x14ac:dyDescent="0.25">
      <c r="A11025" s="64" t="str">
        <f>HYPERLINK("http://www.twitter.com/AstonUniLibrary", "AstonUniLibrary")</f>
        <v>AstonUniLibrary</v>
      </c>
      <c r="B11025" s="65" t="s">
        <v>926</v>
      </c>
    </row>
    <row r="11026" spans="1:2" x14ac:dyDescent="0.25">
      <c r="A11026" s="64" t="str">
        <f>HYPERLINK("http://www.twitter.com/olevia", "olevia")</f>
        <v>olevia</v>
      </c>
      <c r="B11026" s="65" t="s">
        <v>7263</v>
      </c>
    </row>
    <row r="11027" spans="1:2" x14ac:dyDescent="0.25">
      <c r="A11027" s="64" t="str">
        <f>HYPERLINK("http://www.twitter.com/thegarethmclean", "thegarethmclean")</f>
        <v>thegarethmclean</v>
      </c>
      <c r="B11027" s="65" t="s">
        <v>7264</v>
      </c>
    </row>
    <row r="11028" spans="1:2" x14ac:dyDescent="0.25">
      <c r="A11028" s="64" t="str">
        <f>HYPERLINK("http://www.twitter.com/Easdale192", "Easdale192")</f>
        <v>Easdale192</v>
      </c>
      <c r="B11028" s="65" t="s">
        <v>1377</v>
      </c>
    </row>
    <row r="11029" spans="1:2" x14ac:dyDescent="0.25">
      <c r="A11029" s="64" t="str">
        <f>HYPERLINK("http://www.twitter.com/katnapt", "katnapt")</f>
        <v>katnapt</v>
      </c>
      <c r="B11029" s="65" t="s">
        <v>3787</v>
      </c>
    </row>
    <row r="11030" spans="1:2" x14ac:dyDescent="0.25">
      <c r="A11030" s="64" t="str">
        <f>HYPERLINK("http://www.twitter.com/cannett", "cannett")</f>
        <v>cannett</v>
      </c>
      <c r="B11030" s="65"/>
    </row>
    <row r="11031" spans="1:2" x14ac:dyDescent="0.25">
      <c r="A11031" s="64" t="str">
        <f>HYPERLINK("http://www.twitter.com/easyqueenie", "easyqueenie")</f>
        <v>easyqueenie</v>
      </c>
      <c r="B11031" s="65" t="s">
        <v>2142</v>
      </c>
    </row>
    <row r="11032" spans="1:2" x14ac:dyDescent="0.25">
      <c r="A11032" s="64" t="str">
        <f>HYPERLINK("http://www.twitter.com/Slarth", "Slarth")</f>
        <v>Slarth</v>
      </c>
      <c r="B11032" s="65" t="s">
        <v>7265</v>
      </c>
    </row>
    <row r="11033" spans="1:2" x14ac:dyDescent="0.25">
      <c r="A11033" s="64" t="str">
        <f>HYPERLINK("http://www.twitter.com/hareembook", "hareembook")</f>
        <v>hareembook</v>
      </c>
      <c r="B11033" s="65"/>
    </row>
    <row r="11034" spans="1:2" x14ac:dyDescent="0.25">
      <c r="A11034" s="64" t="str">
        <f>HYPERLINK("http://www.twitter.com/lizzielu48", "lizzielu48")</f>
        <v>lizzielu48</v>
      </c>
      <c r="B11034" s="65"/>
    </row>
    <row r="11035" spans="1:2" x14ac:dyDescent="0.25">
      <c r="A11035" s="64" t="str">
        <f>HYPERLINK("http://www.twitter.com/sherd_nerd", "sherd_nerd")</f>
        <v>sherd_nerd</v>
      </c>
      <c r="B11035" s="65" t="s">
        <v>1189</v>
      </c>
    </row>
    <row r="11036" spans="1:2" x14ac:dyDescent="0.25">
      <c r="A11036" s="64" t="str">
        <f>HYPERLINK("http://www.twitter.com/HelenCycling", "HelenCycling")</f>
        <v>HelenCycling</v>
      </c>
      <c r="B11036" s="65" t="s">
        <v>318</v>
      </c>
    </row>
    <row r="11037" spans="1:2" x14ac:dyDescent="0.25">
      <c r="A11037" s="64" t="str">
        <f>HYPERLINK("http://www.twitter.com/OMGitsMarc", "OMGitsMarc")</f>
        <v>OMGitsMarc</v>
      </c>
      <c r="B11037" s="65" t="s">
        <v>7266</v>
      </c>
    </row>
    <row r="11038" spans="1:2" x14ac:dyDescent="0.25">
      <c r="A11038" s="64" t="str">
        <f>HYPERLINK("http://www.twitter.com/bodville", "bodville")</f>
        <v>bodville</v>
      </c>
      <c r="B11038" s="65" t="s">
        <v>4040</v>
      </c>
    </row>
    <row r="11039" spans="1:2" x14ac:dyDescent="0.25">
      <c r="A11039" s="64" t="str">
        <f>HYPERLINK("http://www.twitter.com/KirstZA", "KirstZA")</f>
        <v>KirstZA</v>
      </c>
      <c r="B11039" s="65" t="s">
        <v>7267</v>
      </c>
    </row>
    <row r="11040" spans="1:2" x14ac:dyDescent="0.25">
      <c r="A11040" s="64" t="str">
        <f>HYPERLINK("http://www.twitter.com/Lpsh123", "Lpsh123")</f>
        <v>Lpsh123</v>
      </c>
      <c r="B11040" s="65" t="s">
        <v>4118</v>
      </c>
    </row>
    <row r="11041" spans="1:2" x14ac:dyDescent="0.25">
      <c r="A11041" s="64" t="str">
        <f>HYPERLINK("http://www.twitter.com/angieholmes60", "angieholmes60")</f>
        <v>angieholmes60</v>
      </c>
      <c r="B11041" s="65" t="s">
        <v>33</v>
      </c>
    </row>
    <row r="11042" spans="1:2" x14ac:dyDescent="0.25">
      <c r="A11042" s="64" t="str">
        <f>HYPERLINK("http://www.twitter.com/lizzyf101", "lizzyf101")</f>
        <v>lizzyf101</v>
      </c>
      <c r="B11042" s="65" t="s">
        <v>361</v>
      </c>
    </row>
    <row r="11043" spans="1:2" x14ac:dyDescent="0.25">
      <c r="A11043" s="64" t="str">
        <f>HYPERLINK("http://www.twitter.com/careba2010", "careba2010")</f>
        <v>careba2010</v>
      </c>
      <c r="B11043" s="65" t="s">
        <v>7268</v>
      </c>
    </row>
    <row r="11044" spans="1:2" x14ac:dyDescent="0.25">
      <c r="A11044" s="64" t="str">
        <f>HYPERLINK("http://www.twitter.com/thatsamoray", "thatsamoray")</f>
        <v>thatsamoray</v>
      </c>
      <c r="B11044" s="65" t="s">
        <v>7269</v>
      </c>
    </row>
    <row r="11045" spans="1:2" x14ac:dyDescent="0.25">
      <c r="A11045" s="64" t="str">
        <f>HYPERLINK("http://www.twitter.com/shriyakc1", "shriyakc1")</f>
        <v>shriyakc1</v>
      </c>
      <c r="B11045" s="65"/>
    </row>
    <row r="11046" spans="1:2" x14ac:dyDescent="0.25">
      <c r="A11046" s="64" t="str">
        <f>HYPERLINK("http://www.twitter.com/CrashBangWallop", "CrashBangWallop")</f>
        <v>CrashBangWallop</v>
      </c>
      <c r="B11046" s="65" t="s">
        <v>3850</v>
      </c>
    </row>
    <row r="11047" spans="1:2" x14ac:dyDescent="0.25">
      <c r="A11047" s="64" t="str">
        <f>HYPERLINK("http://www.twitter.com/LentilLover", "LentilLover")</f>
        <v>LentilLover</v>
      </c>
      <c r="B11047" s="65" t="s">
        <v>7270</v>
      </c>
    </row>
    <row r="11048" spans="1:2" x14ac:dyDescent="0.25">
      <c r="A11048" s="64" t="str">
        <f>HYPERLINK("http://www.twitter.com/AdamBeaman", "AdamBeaman")</f>
        <v>AdamBeaman</v>
      </c>
      <c r="B11048" s="65" t="s">
        <v>7271</v>
      </c>
    </row>
    <row r="11049" spans="1:2" x14ac:dyDescent="0.25">
      <c r="A11049" s="64" t="str">
        <f>HYPERLINK("http://www.twitter.com/drol007", "drol007")</f>
        <v>drol007</v>
      </c>
      <c r="B11049" s="65" t="s">
        <v>7272</v>
      </c>
    </row>
    <row r="11050" spans="1:2" x14ac:dyDescent="0.25">
      <c r="A11050" s="64" t="str">
        <f>HYPERLINK("http://www.twitter.com/jaifinn", "jaifinn")</f>
        <v>jaifinn</v>
      </c>
      <c r="B11050" s="65" t="s">
        <v>517</v>
      </c>
    </row>
    <row r="11051" spans="1:2" x14ac:dyDescent="0.25">
      <c r="A11051" s="64" t="str">
        <f>HYPERLINK("http://www.twitter.com/Modhabobo", "Modhabobo")</f>
        <v>Modhabobo</v>
      </c>
      <c r="B11051" s="65" t="s">
        <v>36</v>
      </c>
    </row>
    <row r="11052" spans="1:2" x14ac:dyDescent="0.25">
      <c r="A11052" s="64" t="str">
        <f>HYPERLINK("http://www.twitter.com/StewMH", "StewMH")</f>
        <v>StewMH</v>
      </c>
      <c r="B11052" s="65" t="s">
        <v>7273</v>
      </c>
    </row>
    <row r="11053" spans="1:2" x14ac:dyDescent="0.25">
      <c r="A11053" s="64" t="str">
        <f>HYPERLINK("http://www.twitter.com/andreaclarke121", "andreaclarke121")</f>
        <v>andreaclarke121</v>
      </c>
      <c r="B11053" s="65" t="s">
        <v>6294</v>
      </c>
    </row>
    <row r="11054" spans="1:2" x14ac:dyDescent="0.25">
      <c r="A11054" s="64" t="str">
        <f>HYPERLINK("http://www.twitter.com/tiavioann", "tiavioann")</f>
        <v>tiavioann</v>
      </c>
      <c r="B11054" s="65" t="s">
        <v>7274</v>
      </c>
    </row>
    <row r="11055" spans="1:2" x14ac:dyDescent="0.25">
      <c r="A11055" s="64" t="str">
        <f>HYPERLINK("http://www.twitter.com/urbangridlock", "urbangridlock")</f>
        <v>urbangridlock</v>
      </c>
      <c r="B11055" s="65" t="s">
        <v>7275</v>
      </c>
    </row>
    <row r="11056" spans="1:2" x14ac:dyDescent="0.25">
      <c r="A11056" s="64" t="str">
        <f>HYPERLINK("http://www.twitter.com/SuzieCurran", "SuzieCurran")</f>
        <v>SuzieCurran</v>
      </c>
      <c r="B11056" s="65" t="s">
        <v>36</v>
      </c>
    </row>
    <row r="11057" spans="1:2" x14ac:dyDescent="0.25">
      <c r="A11057" s="64" t="str">
        <f>HYPERLINK("http://www.twitter.com/StockHamster", "StockHamster")</f>
        <v>StockHamster</v>
      </c>
      <c r="B11057" s="65" t="s">
        <v>5089</v>
      </c>
    </row>
    <row r="11058" spans="1:2" x14ac:dyDescent="0.25">
      <c r="A11058" s="64" t="str">
        <f>HYPERLINK("http://www.twitter.com/CathRandewich", "CathRandewich")</f>
        <v>CathRandewich</v>
      </c>
      <c r="B11058" s="65"/>
    </row>
    <row r="11059" spans="1:2" x14ac:dyDescent="0.25">
      <c r="A11059" s="64" t="str">
        <f>HYPERLINK("http://www.twitter.com/JessSanders77", "JessSanders77")</f>
        <v>JessSanders77</v>
      </c>
      <c r="B11059" s="65"/>
    </row>
    <row r="11060" spans="1:2" x14ac:dyDescent="0.25">
      <c r="A11060" s="64" t="str">
        <f>HYPERLINK("http://www.twitter.com/StirlingSoup", "StirlingSoup")</f>
        <v>StirlingSoup</v>
      </c>
      <c r="B11060" s="65" t="s">
        <v>3875</v>
      </c>
    </row>
    <row r="11061" spans="1:2" x14ac:dyDescent="0.25">
      <c r="A11061" s="64" t="str">
        <f>HYPERLINK("http://www.twitter.com/ian17977", "ian17977")</f>
        <v>ian17977</v>
      </c>
      <c r="B11061" s="65" t="s">
        <v>883</v>
      </c>
    </row>
    <row r="11062" spans="1:2" x14ac:dyDescent="0.25">
      <c r="A11062" s="64" t="str">
        <f>HYPERLINK("http://www.twitter.com/Miss_ELT", "Miss_ELT")</f>
        <v>Miss_ELT</v>
      </c>
      <c r="B11062" s="65" t="s">
        <v>7276</v>
      </c>
    </row>
    <row r="11063" spans="1:2" x14ac:dyDescent="0.25">
      <c r="A11063" s="64" t="str">
        <f>HYPERLINK("http://www.twitter.com/fscarlet", "fscarlet")</f>
        <v>fscarlet</v>
      </c>
      <c r="B11063" s="65" t="s">
        <v>4317</v>
      </c>
    </row>
    <row r="11064" spans="1:2" x14ac:dyDescent="0.25">
      <c r="A11064" s="64" t="str">
        <f>HYPERLINK("http://www.twitter.com/misssjmurray", "misssjmurray")</f>
        <v>misssjmurray</v>
      </c>
      <c r="B11064" s="65" t="s">
        <v>7277</v>
      </c>
    </row>
    <row r="11065" spans="1:2" x14ac:dyDescent="0.25">
      <c r="A11065" s="64" t="str">
        <f>HYPERLINK("http://www.twitter.com/JonPowell23432", "JonPowell23432")</f>
        <v>JonPowell23432</v>
      </c>
      <c r="B11065" s="65" t="s">
        <v>7278</v>
      </c>
    </row>
    <row r="11066" spans="1:2" x14ac:dyDescent="0.25">
      <c r="A11066" s="64" t="str">
        <f>HYPERLINK("http://www.twitter.com/andrewpclark", "andrewpclark")</f>
        <v>andrewpclark</v>
      </c>
      <c r="B11066" s="65" t="s">
        <v>36</v>
      </c>
    </row>
    <row r="11067" spans="1:2" x14ac:dyDescent="0.25">
      <c r="A11067" s="64" t="str">
        <f>HYPERLINK("http://www.twitter.com/AylaCollins", "AylaCollins")</f>
        <v>AylaCollins</v>
      </c>
      <c r="B11067" s="65" t="s">
        <v>4981</v>
      </c>
    </row>
    <row r="11068" spans="1:2" x14ac:dyDescent="0.25">
      <c r="A11068" s="64" t="str">
        <f>HYPERLINK("http://www.twitter.com/STACEYLCRONIN", "STACEYLCRONIN")</f>
        <v>STACEYLCRONIN</v>
      </c>
      <c r="B11068" s="65" t="s">
        <v>7279</v>
      </c>
    </row>
    <row r="11069" spans="1:2" x14ac:dyDescent="0.25">
      <c r="A11069" s="64" t="str">
        <f>HYPERLINK("http://www.twitter.com/hughblackthorne", "hughblackthorne")</f>
        <v>hughblackthorne</v>
      </c>
      <c r="B11069" s="65" t="s">
        <v>7280</v>
      </c>
    </row>
    <row r="11070" spans="1:2" x14ac:dyDescent="0.25">
      <c r="A11070" s="64" t="str">
        <f>HYPERLINK("http://www.twitter.com/BubblesSinclair", "BubblesSinclair")</f>
        <v>BubblesSinclair</v>
      </c>
      <c r="B11070" s="65"/>
    </row>
    <row r="11071" spans="1:2" x14ac:dyDescent="0.25">
      <c r="A11071" s="64" t="str">
        <f>HYPERLINK("http://www.twitter.com/Tams80", "Tams80")</f>
        <v>Tams80</v>
      </c>
      <c r="B11071" s="65"/>
    </row>
    <row r="11072" spans="1:2" x14ac:dyDescent="0.25">
      <c r="A11072" s="64" t="str">
        <f>HYPERLINK("http://www.twitter.com/EavanOlivia", "EavanOlivia")</f>
        <v>EavanOlivia</v>
      </c>
      <c r="B11072" s="65"/>
    </row>
    <row r="11073" spans="1:2" x14ac:dyDescent="0.25">
      <c r="A11073" s="64" t="str">
        <f>HYPERLINK("http://www.twitter.com/lazyfriday90", "lazyfriday90")</f>
        <v>lazyfriday90</v>
      </c>
      <c r="B11073" s="65"/>
    </row>
    <row r="11074" spans="1:2" x14ac:dyDescent="0.25">
      <c r="A11074" s="64" t="str">
        <f>HYPERLINK("http://www.twitter.com/obrienatrix", "obrienatrix")</f>
        <v>obrienatrix</v>
      </c>
      <c r="B11074" s="65" t="s">
        <v>7281</v>
      </c>
    </row>
    <row r="11075" spans="1:2" x14ac:dyDescent="0.25">
      <c r="A11075" s="64" t="str">
        <f>HYPERLINK("http://www.twitter.com/julzarussell", "julzarussell")</f>
        <v>julzarussell</v>
      </c>
      <c r="B11075" s="65" t="s">
        <v>3773</v>
      </c>
    </row>
    <row r="11076" spans="1:2" x14ac:dyDescent="0.25">
      <c r="A11076" s="64" t="str">
        <f>HYPERLINK("http://www.twitter.com/forsa001", "forsa001")</f>
        <v>forsa001</v>
      </c>
      <c r="B11076" s="65"/>
    </row>
    <row r="11077" spans="1:2" x14ac:dyDescent="0.25">
      <c r="A11077" s="64" t="str">
        <f>HYPERLINK("http://www.twitter.com/p0tcom", "p0tcom")</f>
        <v>p0tcom</v>
      </c>
      <c r="B11077" s="65" t="s">
        <v>7282</v>
      </c>
    </row>
    <row r="11078" spans="1:2" x14ac:dyDescent="0.25">
      <c r="A11078" s="64" t="str">
        <f>HYPERLINK("http://www.twitter.com/ImmoralActor", "ImmoralActor")</f>
        <v>ImmoralActor</v>
      </c>
      <c r="B11078" s="65" t="s">
        <v>7283</v>
      </c>
    </row>
    <row r="11079" spans="1:2" x14ac:dyDescent="0.25">
      <c r="A11079" s="64" t="str">
        <f>HYPERLINK("http://www.twitter.com/cherylm15332460", "cherylm15332460")</f>
        <v>cherylm15332460</v>
      </c>
      <c r="B11079" s="65"/>
    </row>
    <row r="11080" spans="1:2" x14ac:dyDescent="0.25">
      <c r="A11080" s="64" t="str">
        <f>HYPERLINK("http://www.twitter.com/Elpooh64Allison", "Elpooh64Allison")</f>
        <v>Elpooh64Allison</v>
      </c>
      <c r="B11080" s="65"/>
    </row>
    <row r="11081" spans="1:2" x14ac:dyDescent="0.25">
      <c r="A11081" s="64" t="str">
        <f>HYPERLINK("http://www.twitter.com/majjerome", "majjerome")</f>
        <v>majjerome</v>
      </c>
      <c r="B11081" s="65"/>
    </row>
    <row r="11082" spans="1:2" x14ac:dyDescent="0.25">
      <c r="A11082" s="64" t="str">
        <f>HYPERLINK("http://www.twitter.com/LeverettJohn", "LeverettJohn")</f>
        <v>LeverettJohn</v>
      </c>
      <c r="B11082" s="65"/>
    </row>
    <row r="11083" spans="1:2" x14ac:dyDescent="0.25">
      <c r="A11083" s="64" t="str">
        <f>HYPERLINK("http://www.twitter.com/cupcake_77", "cupcake_77")</f>
        <v>cupcake_77</v>
      </c>
      <c r="B11083" s="65" t="s">
        <v>7284</v>
      </c>
    </row>
    <row r="11084" spans="1:2" x14ac:dyDescent="0.25">
      <c r="A11084" s="64" t="str">
        <f>HYPERLINK("http://www.twitter.com/Chilari", "Chilari")</f>
        <v>Chilari</v>
      </c>
      <c r="B11084" s="65" t="s">
        <v>296</v>
      </c>
    </row>
    <row r="11085" spans="1:2" x14ac:dyDescent="0.25">
      <c r="A11085" s="64" t="str">
        <f>HYPERLINK("http://www.twitter.com/errormessage", "errormessage")</f>
        <v>errormessage</v>
      </c>
      <c r="B11085" s="65"/>
    </row>
    <row r="11086" spans="1:2" x14ac:dyDescent="0.25">
      <c r="A11086" s="64" t="str">
        <f>HYPERLINK("http://www.twitter.com/jja_martin", "jja_martin")</f>
        <v>jja_martin</v>
      </c>
      <c r="B11086" s="65" t="s">
        <v>4092</v>
      </c>
    </row>
    <row r="11087" spans="1:2" x14ac:dyDescent="0.25">
      <c r="A11087" s="64" t="str">
        <f>HYPERLINK("http://www.twitter.com/GenevieveTudor", "GenevieveTudor")</f>
        <v>GenevieveTudor</v>
      </c>
      <c r="B11087" s="65" t="s">
        <v>2185</v>
      </c>
    </row>
    <row r="11088" spans="1:2" x14ac:dyDescent="0.25">
      <c r="A11088" s="64" t="str">
        <f>HYPERLINK("http://www.twitter.com/bing_sarah", "bing_sarah")</f>
        <v>bing_sarah</v>
      </c>
      <c r="B11088" s="65"/>
    </row>
    <row r="11089" spans="1:2" x14ac:dyDescent="0.25">
      <c r="A11089" s="64" t="str">
        <f>HYPERLINK("http://www.twitter.com/AndrewLahman", "AndrewLahman")</f>
        <v>AndrewLahman</v>
      </c>
      <c r="B11089" s="65" t="s">
        <v>7285</v>
      </c>
    </row>
    <row r="11090" spans="1:2" x14ac:dyDescent="0.25">
      <c r="A11090" s="64" t="str">
        <f>HYPERLINK("http://www.twitter.com/keithjohnston30", "keithjohnston30")</f>
        <v>keithjohnston30</v>
      </c>
      <c r="B11090" s="65" t="s">
        <v>3816</v>
      </c>
    </row>
    <row r="11091" spans="1:2" x14ac:dyDescent="0.25">
      <c r="A11091" s="64" t="str">
        <f>HYPERLINK("http://www.twitter.com/murphystrashlaw", "murphystrashlaw")</f>
        <v>murphystrashlaw</v>
      </c>
      <c r="B11091" s="65"/>
    </row>
    <row r="11092" spans="1:2" x14ac:dyDescent="0.25">
      <c r="A11092" s="64" t="str">
        <f>HYPERLINK("http://www.twitter.com/bevmeister77", "bevmeister77")</f>
        <v>bevmeister77</v>
      </c>
      <c r="B11092" s="65"/>
    </row>
    <row r="11093" spans="1:2" x14ac:dyDescent="0.25">
      <c r="A11093" s="64" t="str">
        <f>HYPERLINK("http://www.twitter.com/bushmumandbubs", "bushmumandbubs")</f>
        <v>bushmumandbubs</v>
      </c>
      <c r="B11093" s="65" t="s">
        <v>4976</v>
      </c>
    </row>
    <row r="11094" spans="1:2" x14ac:dyDescent="0.25">
      <c r="A11094" s="64" t="str">
        <f>HYPERLINK("http://www.twitter.com/JetaVojkollari", "JetaVojkollari")</f>
        <v>JetaVojkollari</v>
      </c>
      <c r="B11094" s="65" t="s">
        <v>4681</v>
      </c>
    </row>
    <row r="11095" spans="1:2" x14ac:dyDescent="0.25">
      <c r="A11095" s="64" t="str">
        <f>HYPERLINK("http://www.twitter.com/StokeyLitFest", "StokeyLitFest")</f>
        <v>StokeyLitFest</v>
      </c>
      <c r="B11095" s="65" t="s">
        <v>7287</v>
      </c>
    </row>
    <row r="11096" spans="1:2" x14ac:dyDescent="0.25">
      <c r="A11096" s="64" t="str">
        <f>HYPERLINK("http://www.twitter.com/davejmcgregor", "davejmcgregor")</f>
        <v>davejmcgregor</v>
      </c>
      <c r="B11096" s="65" t="s">
        <v>517</v>
      </c>
    </row>
    <row r="11097" spans="1:2" x14ac:dyDescent="0.25">
      <c r="A11097" s="64" t="str">
        <f>HYPERLINK("http://www.twitter.com/mags0611", "mags0611")</f>
        <v>mags0611</v>
      </c>
      <c r="B11097" s="65"/>
    </row>
    <row r="11098" spans="1:2" x14ac:dyDescent="0.25">
      <c r="A11098" s="64" t="str">
        <f>HYPERLINK("http://www.twitter.com/BexxyCheese22", "BexxyCheese22")</f>
        <v>BexxyCheese22</v>
      </c>
      <c r="B11098" s="65" t="s">
        <v>7288</v>
      </c>
    </row>
    <row r="11099" spans="1:2" x14ac:dyDescent="0.25">
      <c r="A11099" s="64" t="str">
        <f>HYPERLINK("http://www.twitter.com/palebackwriter", "palebackwriter")</f>
        <v>palebackwriter</v>
      </c>
      <c r="B11099" s="65" t="s">
        <v>1105</v>
      </c>
    </row>
    <row r="11100" spans="1:2" x14ac:dyDescent="0.25">
      <c r="A11100" s="64" t="str">
        <f>HYPERLINK("http://www.twitter.com/DanCUnderwood", "DanCUnderwood")</f>
        <v>DanCUnderwood</v>
      </c>
      <c r="B11100" s="65" t="s">
        <v>296</v>
      </c>
    </row>
    <row r="11101" spans="1:2" x14ac:dyDescent="0.25">
      <c r="A11101" s="64" t="str">
        <f>HYPERLINK("http://www.twitter.com/wcm1216", "wcm1216")</f>
        <v>wcm1216</v>
      </c>
      <c r="B11101" s="65"/>
    </row>
    <row r="11102" spans="1:2" x14ac:dyDescent="0.25">
      <c r="A11102" s="64" t="str">
        <f>HYPERLINK("http://www.twitter.com/Shangrilass", "Shangrilass")</f>
        <v>Shangrilass</v>
      </c>
      <c r="B11102" s="65"/>
    </row>
    <row r="11103" spans="1:2" x14ac:dyDescent="0.25">
      <c r="A11103" s="64" t="str">
        <f>HYPERLINK("http://www.twitter.com/archaeomadillo", "archaeomadillo")</f>
        <v>archaeomadillo</v>
      </c>
      <c r="B11103" s="65" t="s">
        <v>3959</v>
      </c>
    </row>
    <row r="11104" spans="1:2" x14ac:dyDescent="0.25">
      <c r="A11104" s="64" t="str">
        <f>HYPERLINK("http://www.twitter.com/Hibbydawn", "Hibbydawn")</f>
        <v>Hibbydawn</v>
      </c>
      <c r="B11104" s="65" t="s">
        <v>517</v>
      </c>
    </row>
    <row r="11105" spans="1:2" x14ac:dyDescent="0.25">
      <c r="A11105" s="64" t="str">
        <f>HYPERLINK("http://www.twitter.com/AliceLovatt_", "AliceLovatt_")</f>
        <v>AliceLovatt_</v>
      </c>
      <c r="B11105" s="65" t="s">
        <v>7289</v>
      </c>
    </row>
    <row r="11106" spans="1:2" x14ac:dyDescent="0.25">
      <c r="A11106" s="64" t="str">
        <f>HYPERLINK("http://www.twitter.com/sooby72", "sooby72")</f>
        <v>sooby72</v>
      </c>
      <c r="B11106" s="65" t="s">
        <v>517</v>
      </c>
    </row>
    <row r="11107" spans="1:2" x14ac:dyDescent="0.25">
      <c r="A11107" s="64" t="str">
        <f>HYPERLINK("http://www.twitter.com/claudita_soton", "claudita_soton")</f>
        <v>claudita_soton</v>
      </c>
      <c r="B11107" s="65" t="s">
        <v>296</v>
      </c>
    </row>
    <row r="11108" spans="1:2" x14ac:dyDescent="0.25">
      <c r="A11108" s="64" t="str">
        <f>HYPERLINK("http://www.twitter.com/scottcaldwell97", "scottcaldwell97")</f>
        <v>scottcaldwell97</v>
      </c>
      <c r="B11108" s="65" t="s">
        <v>7290</v>
      </c>
    </row>
    <row r="11109" spans="1:2" x14ac:dyDescent="0.25">
      <c r="A11109" s="64" t="str">
        <f>HYPERLINK("http://www.twitter.com/GreavsieE17", "GreavsieE17")</f>
        <v>GreavsieE17</v>
      </c>
      <c r="B11109" s="65" t="s">
        <v>7291</v>
      </c>
    </row>
    <row r="11110" spans="1:2" x14ac:dyDescent="0.25">
      <c r="A11110" s="64" t="str">
        <f>HYPERLINK("http://www.twitter.com/GingerRamone", "GingerRamone")</f>
        <v>GingerRamone</v>
      </c>
      <c r="B11110" s="65" t="s">
        <v>5503</v>
      </c>
    </row>
    <row r="11111" spans="1:2" x14ac:dyDescent="0.25">
      <c r="A11111" s="64" t="str">
        <f>HYPERLINK("http://www.twitter.com/cupcakeannie77", "cupcakeannie77")</f>
        <v>cupcakeannie77</v>
      </c>
      <c r="B11111" s="65"/>
    </row>
    <row r="11112" spans="1:2" x14ac:dyDescent="0.25">
      <c r="A11112" s="64" t="str">
        <f>HYPERLINK("http://www.twitter.com/catrionaelder", "catrionaelder")</f>
        <v>catrionaelder</v>
      </c>
      <c r="B11112" s="65" t="s">
        <v>4275</v>
      </c>
    </row>
    <row r="11113" spans="1:2" x14ac:dyDescent="0.25">
      <c r="A11113" s="64" t="str">
        <f>HYPERLINK("http://www.twitter.com/EvilJimKirk", "EvilJimKirk")</f>
        <v>EvilJimKirk</v>
      </c>
      <c r="B11113" s="65" t="s">
        <v>7292</v>
      </c>
    </row>
    <row r="11114" spans="1:2" x14ac:dyDescent="0.25">
      <c r="A11114" s="64" t="str">
        <f>HYPERLINK("http://www.twitter.com/nowvoyager_", "nowvoyager_")</f>
        <v>nowvoyager_</v>
      </c>
      <c r="B11114" s="65" t="s">
        <v>7293</v>
      </c>
    </row>
    <row r="11115" spans="1:2" x14ac:dyDescent="0.25">
      <c r="A11115" s="64" t="str">
        <f>HYPERLINK("http://www.twitter.com/MsSocials", "MsSocials")</f>
        <v>MsSocials</v>
      </c>
      <c r="B11115" s="65" t="s">
        <v>4317</v>
      </c>
    </row>
    <row r="11116" spans="1:2" x14ac:dyDescent="0.25">
      <c r="A11116" s="64" t="str">
        <f>HYPERLINK("http://www.twitter.com/1973fatkog", "1973fatkog")</f>
        <v>1973fatkog</v>
      </c>
      <c r="B11116" s="65"/>
    </row>
    <row r="11117" spans="1:2" x14ac:dyDescent="0.25">
      <c r="A11117" s="64" t="str">
        <f>HYPERLINK("http://www.twitter.com/BonneMillie", "BonneMillie")</f>
        <v>BonneMillie</v>
      </c>
      <c r="B11117" s="65"/>
    </row>
    <row r="11118" spans="1:2" x14ac:dyDescent="0.25">
      <c r="A11118" s="64" t="str">
        <f>HYPERLINK("http://www.twitter.com/fionani09", "fionani09")</f>
        <v>fionani09</v>
      </c>
      <c r="B11118" s="65"/>
    </row>
    <row r="11119" spans="1:2" x14ac:dyDescent="0.25">
      <c r="A11119" s="64" t="str">
        <f>HYPERLINK("http://www.twitter.com/SVisin", "SVisin")</f>
        <v>SVisin</v>
      </c>
      <c r="B11119" s="65"/>
    </row>
    <row r="11120" spans="1:2" x14ac:dyDescent="0.25">
      <c r="A11120" s="64" t="str">
        <f>HYPERLINK("http://www.twitter.com/TheKayeCrawford", "TheKayeCrawford")</f>
        <v>TheKayeCrawford</v>
      </c>
      <c r="B11120" s="65" t="s">
        <v>296</v>
      </c>
    </row>
    <row r="11121" spans="1:2" x14ac:dyDescent="0.25">
      <c r="A11121" s="64" t="str">
        <f>HYPERLINK("http://www.twitter.com/jc_sx", "jc_sx")</f>
        <v>jc_sx</v>
      </c>
      <c r="B11121" s="65" t="s">
        <v>7294</v>
      </c>
    </row>
    <row r="11122" spans="1:2" x14ac:dyDescent="0.25">
      <c r="A11122" s="64" t="str">
        <f>HYPERLINK("http://www.twitter.com/Helenw383", "Helenw383")</f>
        <v>Helenw383</v>
      </c>
      <c r="B11122" s="65"/>
    </row>
    <row r="11123" spans="1:2" x14ac:dyDescent="0.25">
      <c r="A11123" s="64" t="str">
        <f>HYPERLINK("http://www.twitter.com/mjemson", "mjemson")</f>
        <v>mjemson</v>
      </c>
      <c r="B11123" s="65"/>
    </row>
    <row r="11124" spans="1:2" x14ac:dyDescent="0.25">
      <c r="A11124" s="64" t="str">
        <f>HYPERLINK("http://www.twitter.com/zbluebirdz", "zbluebirdz")</f>
        <v>zbluebirdz</v>
      </c>
      <c r="B11124" s="65" t="s">
        <v>4062</v>
      </c>
    </row>
    <row r="11125" spans="1:2" x14ac:dyDescent="0.25">
      <c r="A11125" s="64" t="str">
        <f>HYPERLINK("http://www.twitter.com/cwt57", "cwt57")</f>
        <v>cwt57</v>
      </c>
      <c r="B11125" s="65" t="s">
        <v>24</v>
      </c>
    </row>
    <row r="11126" spans="1:2" x14ac:dyDescent="0.25">
      <c r="A11126" s="64" t="str">
        <f>HYPERLINK("http://www.twitter.com/sofafungus", "sofafungus")</f>
        <v>sofafungus</v>
      </c>
      <c r="B11126" s="65" t="s">
        <v>1226</v>
      </c>
    </row>
    <row r="11127" spans="1:2" x14ac:dyDescent="0.25">
      <c r="A11127" s="64" t="str">
        <f>HYPERLINK("http://www.twitter.com/MeatonNess", "MeatonNess")</f>
        <v>MeatonNess</v>
      </c>
      <c r="B11127" s="65" t="s">
        <v>3660</v>
      </c>
    </row>
    <row r="11128" spans="1:2" x14ac:dyDescent="0.25">
      <c r="A11128" s="64" t="str">
        <f>HYPERLINK("http://www.twitter.com/_Kateatonic", "_Kateatonic")</f>
        <v>_Kateatonic</v>
      </c>
      <c r="B11128" s="65"/>
    </row>
    <row r="11129" spans="1:2" x14ac:dyDescent="0.25">
      <c r="A11129" s="64" t="str">
        <f>HYPERLINK("http://www.twitter.com/smrobertson32", "smrobertson32")</f>
        <v>smrobertson32</v>
      </c>
      <c r="B11129" s="65"/>
    </row>
    <row r="11130" spans="1:2" x14ac:dyDescent="0.25">
      <c r="A11130" s="64" t="str">
        <f>HYPERLINK("http://www.twitter.com/for_shelter", "for_shelter")</f>
        <v>for_shelter</v>
      </c>
      <c r="B11130" s="65" t="s">
        <v>7295</v>
      </c>
    </row>
    <row r="11131" spans="1:2" x14ac:dyDescent="0.25">
      <c r="A11131" s="64" t="str">
        <f>HYPERLINK("http://www.twitter.com/RogersSian", "RogersSian")</f>
        <v>RogersSian</v>
      </c>
      <c r="B11131" s="65" t="s">
        <v>6452</v>
      </c>
    </row>
    <row r="11132" spans="1:2" x14ac:dyDescent="0.25">
      <c r="A11132" s="64" t="str">
        <f>HYPERLINK("http://www.twitter.com/rosie_michael", "rosie_michael")</f>
        <v>rosie_michael</v>
      </c>
      <c r="B11132" s="65" t="s">
        <v>24</v>
      </c>
    </row>
    <row r="11133" spans="1:2" x14ac:dyDescent="0.25">
      <c r="A11133" s="64" t="str">
        <f>HYPERLINK("http://www.twitter.com/Credgett", "Credgett")</f>
        <v>Credgett</v>
      </c>
      <c r="B11133" s="65" t="s">
        <v>6524</v>
      </c>
    </row>
    <row r="11134" spans="1:2" x14ac:dyDescent="0.25">
      <c r="A11134" s="64" t="str">
        <f>HYPERLINK("http://www.twitter.com/deormod", "deormod")</f>
        <v>deormod</v>
      </c>
      <c r="B11134" s="65" t="s">
        <v>7296</v>
      </c>
    </row>
    <row r="11135" spans="1:2" x14ac:dyDescent="0.25">
      <c r="A11135" s="64" t="str">
        <f>HYPERLINK("http://www.twitter.com/SavaySays", "SavaySays")</f>
        <v>SavaySays</v>
      </c>
      <c r="B11135" s="65" t="s">
        <v>7297</v>
      </c>
    </row>
    <row r="11136" spans="1:2" x14ac:dyDescent="0.25">
      <c r="A11136" s="64" t="str">
        <f>HYPERLINK("http://www.twitter.com/sallybannerman", "sallybannerman")</f>
        <v>sallybannerman</v>
      </c>
      <c r="B11136" s="65"/>
    </row>
    <row r="11137" spans="1:2" x14ac:dyDescent="0.25">
      <c r="A11137" s="64" t="str">
        <f>HYPERLINK("http://www.twitter.com/Jo_Mayhew", "Jo_Mayhew")</f>
        <v>Jo_Mayhew</v>
      </c>
      <c r="B11137" s="65" t="s">
        <v>477</v>
      </c>
    </row>
    <row r="11138" spans="1:2" x14ac:dyDescent="0.25">
      <c r="A11138" s="64" t="str">
        <f>HYPERLINK("http://www.twitter.com/_karenar", "_karenar")</f>
        <v>_karenar</v>
      </c>
      <c r="B11138" s="65" t="s">
        <v>318</v>
      </c>
    </row>
    <row r="11139" spans="1:2" x14ac:dyDescent="0.25">
      <c r="A11139" s="64" t="str">
        <f>HYPERLINK("http://www.twitter.com/LeslyRob", "LeslyRob")</f>
        <v>LeslyRob</v>
      </c>
      <c r="B11139" s="65"/>
    </row>
    <row r="11140" spans="1:2" x14ac:dyDescent="0.25">
      <c r="A11140" s="64" t="str">
        <f>HYPERLINK("http://www.twitter.com/katy232323", "katy232323")</f>
        <v>katy232323</v>
      </c>
      <c r="B11140" s="65" t="s">
        <v>1189</v>
      </c>
    </row>
    <row r="11141" spans="1:2" x14ac:dyDescent="0.25">
      <c r="A11141" s="64" t="str">
        <f>HYPERLINK("http://www.twitter.com/kingfola", "kingfola")</f>
        <v>kingfola</v>
      </c>
      <c r="B11141" s="65" t="s">
        <v>4940</v>
      </c>
    </row>
    <row r="11142" spans="1:2" x14ac:dyDescent="0.25">
      <c r="A11142" s="64" t="str">
        <f>HYPERLINK("http://www.twitter.com/C_Daetwyler", "C_Daetwyler")</f>
        <v>C_Daetwyler</v>
      </c>
      <c r="B11142" s="65"/>
    </row>
    <row r="11143" spans="1:2" x14ac:dyDescent="0.25">
      <c r="A11143" s="64" t="str">
        <f>HYPERLINK("http://www.twitter.com/WiseKingAido", "WiseKingAido")</f>
        <v>WiseKingAido</v>
      </c>
      <c r="B11143" s="65"/>
    </row>
    <row r="11144" spans="1:2" x14ac:dyDescent="0.25">
      <c r="A11144" s="64" t="str">
        <f>HYPERLINK("http://www.twitter.com/emmarrdee", "emmarrdee")</f>
        <v>emmarrdee</v>
      </c>
      <c r="B11144" s="65" t="s">
        <v>5389</v>
      </c>
    </row>
    <row r="11145" spans="1:2" x14ac:dyDescent="0.25">
      <c r="A11145" s="64" t="str">
        <f>HYPERLINK("http://www.twitter.com/Mustard655", "Mustard655")</f>
        <v>Mustard655</v>
      </c>
      <c r="B11145" s="65" t="s">
        <v>788</v>
      </c>
    </row>
    <row r="11146" spans="1:2" x14ac:dyDescent="0.25">
      <c r="A11146" s="64" t="str">
        <f>HYPERLINK("http://www.twitter.com/trottaround", "trottaround")</f>
        <v>trottaround</v>
      </c>
      <c r="B11146" s="65" t="s">
        <v>284</v>
      </c>
    </row>
    <row r="11147" spans="1:2" x14ac:dyDescent="0.25">
      <c r="A11147" s="64" t="str">
        <f>HYPERLINK("http://www.twitter.com/RoisinFarmer_x", "RoisinFarmer_x")</f>
        <v>RoisinFarmer_x</v>
      </c>
      <c r="B11147" s="65" t="s">
        <v>318</v>
      </c>
    </row>
    <row r="11148" spans="1:2" x14ac:dyDescent="0.25">
      <c r="A11148" s="64" t="str">
        <f>HYPERLINK("http://www.twitter.com/ShaMaRox", "ShaMaRox")</f>
        <v>ShaMaRox</v>
      </c>
      <c r="B11148" s="65"/>
    </row>
    <row r="11149" spans="1:2" x14ac:dyDescent="0.25">
      <c r="A11149" s="64" t="str">
        <f>HYPERLINK("http://www.twitter.com/Liam_the_little", "Liam_the_little")</f>
        <v>Liam_the_little</v>
      </c>
      <c r="B11149" s="65"/>
    </row>
    <row r="11150" spans="1:2" x14ac:dyDescent="0.25">
      <c r="A11150" s="64" t="str">
        <f>HYPERLINK("http://www.twitter.com/NKeighren", "NKeighren")</f>
        <v>NKeighren</v>
      </c>
      <c r="B11150" s="65"/>
    </row>
    <row r="11151" spans="1:2" x14ac:dyDescent="0.25">
      <c r="A11151" s="64" t="str">
        <f>HYPERLINK("http://www.twitter.com/pottingerstef", "pottingerstef")</f>
        <v>pottingerstef</v>
      </c>
      <c r="B11151" s="65" t="s">
        <v>4840</v>
      </c>
    </row>
    <row r="11152" spans="1:2" x14ac:dyDescent="0.25">
      <c r="A11152" s="64" t="str">
        <f>HYPERLINK("http://www.twitter.com/jo_m_88", "jo_m_88")</f>
        <v>jo_m_88</v>
      </c>
      <c r="B11152" s="65" t="s">
        <v>7298</v>
      </c>
    </row>
    <row r="11153" spans="1:2" x14ac:dyDescent="0.25">
      <c r="A11153" s="64" t="str">
        <f>HYPERLINK("http://www.twitter.com/drgeorgespeller", "drgeorgespeller")</f>
        <v>drgeorgespeller</v>
      </c>
      <c r="B11153" s="65"/>
    </row>
    <row r="11154" spans="1:2" x14ac:dyDescent="0.25">
      <c r="A11154" s="64" t="str">
        <f>HYPERLINK("http://www.twitter.com/Carldiver", "Carldiver")</f>
        <v>Carldiver</v>
      </c>
      <c r="B11154" s="65" t="s">
        <v>7299</v>
      </c>
    </row>
    <row r="11155" spans="1:2" x14ac:dyDescent="0.25">
      <c r="A11155" s="64" t="str">
        <f>HYPERLINK("http://www.twitter.com/rebeccawhodgkin", "rebeccawhodgkin")</f>
        <v>rebeccawhodgkin</v>
      </c>
      <c r="B11155" s="65" t="s">
        <v>889</v>
      </c>
    </row>
    <row r="11156" spans="1:2" x14ac:dyDescent="0.25">
      <c r="A11156" s="64" t="str">
        <f>HYPERLINK("http://www.twitter.com/madiomalc", "madiomalc")</f>
        <v>madiomalc</v>
      </c>
      <c r="B11156" s="65"/>
    </row>
    <row r="11157" spans="1:2" x14ac:dyDescent="0.25">
      <c r="A11157" s="64" t="str">
        <f>HYPERLINK("http://www.twitter.com/NickFitz", "NickFitz")</f>
        <v>NickFitz</v>
      </c>
      <c r="B11157" s="65" t="s">
        <v>7300</v>
      </c>
    </row>
    <row r="11158" spans="1:2" x14ac:dyDescent="0.25">
      <c r="A11158" s="64" t="str">
        <f>HYPERLINK("http://www.twitter.com/FARADAY69", "FARADAY69")</f>
        <v>FARADAY69</v>
      </c>
      <c r="B11158" s="65" t="s">
        <v>7301</v>
      </c>
    </row>
    <row r="11159" spans="1:2" x14ac:dyDescent="0.25">
      <c r="A11159" s="64" t="str">
        <f>HYPERLINK("http://www.twitter.com/generalche", "generalche")</f>
        <v>generalche</v>
      </c>
      <c r="B11159" s="65"/>
    </row>
    <row r="11160" spans="1:2" x14ac:dyDescent="0.25">
      <c r="A11160" s="64" t="str">
        <f>HYPERLINK("http://www.twitter.com/markjf1sher", "markjf1sher")</f>
        <v>markjf1sher</v>
      </c>
      <c r="B11160" s="65" t="s">
        <v>318</v>
      </c>
    </row>
    <row r="11161" spans="1:2" x14ac:dyDescent="0.25">
      <c r="A11161" s="64" t="str">
        <f>HYPERLINK("http://www.twitter.com/YukonLibraries", "YukonLibraries")</f>
        <v>YukonLibraries</v>
      </c>
      <c r="B11161" s="65" t="s">
        <v>7302</v>
      </c>
    </row>
    <row r="11162" spans="1:2" x14ac:dyDescent="0.25">
      <c r="A11162" s="64" t="str">
        <f>HYPERLINK("http://www.twitter.com/orkneygossip2", "orkneygossip2")</f>
        <v>orkneygossip2</v>
      </c>
      <c r="B11162" s="65"/>
    </row>
    <row r="11163" spans="1:2" x14ac:dyDescent="0.25">
      <c r="A11163" s="64" t="str">
        <f>HYPERLINK("http://www.twitter.com/CmmeJenny", "CmmeJenny")</f>
        <v>CmmeJenny</v>
      </c>
      <c r="B11163" s="65"/>
    </row>
    <row r="11164" spans="1:2" x14ac:dyDescent="0.25">
      <c r="A11164" s="64" t="str">
        <f>HYPERLINK("http://www.twitter.com/HSRath___", "HSRath___")</f>
        <v>HSRath___</v>
      </c>
      <c r="B11164" s="65" t="s">
        <v>7303</v>
      </c>
    </row>
    <row r="11165" spans="1:2" x14ac:dyDescent="0.25">
      <c r="A11165" s="64" t="str">
        <f>HYPERLINK("http://www.twitter.com/dandad", "dandad")</f>
        <v>dandad</v>
      </c>
      <c r="B11165" s="65" t="s">
        <v>110</v>
      </c>
    </row>
    <row r="11166" spans="1:2" x14ac:dyDescent="0.25">
      <c r="A11166" s="64" t="str">
        <f>HYPERLINK("http://www.twitter.com/FrazerNisbet", "FrazerNisbet")</f>
        <v>FrazerNisbet</v>
      </c>
      <c r="B11166" s="65" t="s">
        <v>7304</v>
      </c>
    </row>
    <row r="11167" spans="1:2" x14ac:dyDescent="0.25">
      <c r="A11167" s="64" t="str">
        <f>HYPERLINK("http://www.twitter.com/maggsmct", "maggsmct")</f>
        <v>maggsmct</v>
      </c>
      <c r="B11167" s="65" t="s">
        <v>138</v>
      </c>
    </row>
    <row r="11168" spans="1:2" x14ac:dyDescent="0.25">
      <c r="A11168" s="64" t="str">
        <f>HYPERLINK("http://www.twitter.com/HillsboroLib", "HillsboroLib")</f>
        <v>HillsboroLib</v>
      </c>
      <c r="B11168" s="65" t="s">
        <v>7305</v>
      </c>
    </row>
    <row r="11169" spans="1:2" x14ac:dyDescent="0.25">
      <c r="A11169" s="64" t="str">
        <f>HYPERLINK("http://www.twitter.com/acwilsonwriter", "acwilsonwriter")</f>
        <v>acwilsonwriter</v>
      </c>
      <c r="B11169" s="65" t="s">
        <v>7306</v>
      </c>
    </row>
    <row r="11170" spans="1:2" x14ac:dyDescent="0.25">
      <c r="A11170" s="64" t="str">
        <f>HYPERLINK("http://www.twitter.com/AKHibby", "AKHibby")</f>
        <v>AKHibby</v>
      </c>
      <c r="B11170" s="65" t="s">
        <v>7307</v>
      </c>
    </row>
    <row r="11171" spans="1:2" x14ac:dyDescent="0.25">
      <c r="A11171" s="64" t="str">
        <f>HYPERLINK("http://www.twitter.com/Defiaye", "Defiaye")</f>
        <v>Defiaye</v>
      </c>
      <c r="B11171" s="65" t="s">
        <v>517</v>
      </c>
    </row>
    <row r="11172" spans="1:2" x14ac:dyDescent="0.25">
      <c r="A11172" s="64" t="str">
        <f>HYPERLINK("http://www.twitter.com/_Ginnungagap", "_Ginnungagap")</f>
        <v>_Ginnungagap</v>
      </c>
      <c r="B11172" s="65" t="s">
        <v>7308</v>
      </c>
    </row>
    <row r="11173" spans="1:2" x14ac:dyDescent="0.25">
      <c r="A11173" s="64" t="str">
        <f>HYPERLINK("http://www.twitter.com/mandbeck", "mandbeck")</f>
        <v>mandbeck</v>
      </c>
      <c r="B11173" s="65" t="s">
        <v>7115</v>
      </c>
    </row>
    <row r="11174" spans="1:2" x14ac:dyDescent="0.25">
      <c r="A11174" s="64" t="str">
        <f>HYPERLINK("http://www.twitter.com/KaffeineKrone", "KaffeineKrone")</f>
        <v>KaffeineKrone</v>
      </c>
      <c r="B11174" s="65" t="s">
        <v>7309</v>
      </c>
    </row>
    <row r="11175" spans="1:2" x14ac:dyDescent="0.25">
      <c r="A11175" s="64" t="str">
        <f>HYPERLINK("http://www.twitter.com/HayleyKnight12", "HayleyKnight12")</f>
        <v>HayleyKnight12</v>
      </c>
      <c r="B11175" s="65" t="s">
        <v>7310</v>
      </c>
    </row>
    <row r="11176" spans="1:2" x14ac:dyDescent="0.25">
      <c r="A11176" s="64" t="str">
        <f>HYPERLINK("http://www.twitter.com/andrewmarkfahey", "andrewmarkfahey")</f>
        <v>andrewmarkfahey</v>
      </c>
      <c r="B11176" s="65"/>
    </row>
    <row r="11177" spans="1:2" x14ac:dyDescent="0.25">
      <c r="A11177" s="64" t="str">
        <f>HYPERLINK("http://www.twitter.com/purpledegu", "purpledegu")</f>
        <v>purpledegu</v>
      </c>
      <c r="B11177" s="65" t="s">
        <v>7311</v>
      </c>
    </row>
    <row r="11178" spans="1:2" x14ac:dyDescent="0.25">
      <c r="A11178" s="64" t="str">
        <f>HYPERLINK("http://www.twitter.com/milesmack", "milesmack")</f>
        <v>milesmack</v>
      </c>
      <c r="B11178" s="65" t="s">
        <v>7312</v>
      </c>
    </row>
    <row r="11179" spans="1:2" x14ac:dyDescent="0.25">
      <c r="A11179" s="64" t="str">
        <f>HYPERLINK("http://www.twitter.com/VickySculfor", "VickySculfor")</f>
        <v>VickySculfor</v>
      </c>
      <c r="B11179" s="65"/>
    </row>
    <row r="11180" spans="1:2" x14ac:dyDescent="0.25">
      <c r="A11180" s="64" t="str">
        <f>HYPERLINK("http://www.twitter.com/ls_p", "ls_p")</f>
        <v>ls_p</v>
      </c>
      <c r="B11180" s="65"/>
    </row>
    <row r="11181" spans="1:2" x14ac:dyDescent="0.25">
      <c r="A11181" s="64" t="str">
        <f>HYPERLINK("http://www.twitter.com/brainyisnewsexy", "brainyisnewsexy")</f>
        <v>brainyisnewsexy</v>
      </c>
      <c r="B11181" s="65" t="s">
        <v>7313</v>
      </c>
    </row>
    <row r="11182" spans="1:2" x14ac:dyDescent="0.25">
      <c r="A11182" s="64" t="str">
        <f>HYPERLINK("http://www.twitter.com/FreddyFan13", "FreddyFan13")</f>
        <v>FreddyFan13</v>
      </c>
      <c r="B11182" s="65" t="s">
        <v>7314</v>
      </c>
    </row>
    <row r="11183" spans="1:2" x14ac:dyDescent="0.25">
      <c r="A11183" s="64" t="str">
        <f>HYPERLINK("http://www.twitter.com/MrPeterHourston", "MrPeterHourston")</f>
        <v>MrPeterHourston</v>
      </c>
      <c r="B11183" s="65" t="s">
        <v>296</v>
      </c>
    </row>
    <row r="11184" spans="1:2" x14ac:dyDescent="0.25">
      <c r="A11184" s="64" t="str">
        <f>HYPERLINK("http://www.twitter.com/monsterreads", "monsterreads")</f>
        <v>monsterreads</v>
      </c>
      <c r="B11184" s="65" t="s">
        <v>296</v>
      </c>
    </row>
    <row r="11185" spans="1:2" x14ac:dyDescent="0.25">
      <c r="A11185" s="64" t="str">
        <f>HYPERLINK("http://www.twitter.com/MadeleinePears3", "MadeleinePears3")</f>
        <v>MadeleinePears3</v>
      </c>
      <c r="B11185" s="65" t="s">
        <v>2289</v>
      </c>
    </row>
    <row r="11186" spans="1:2" x14ac:dyDescent="0.25">
      <c r="A11186" s="64" t="str">
        <f>HYPERLINK("http://www.twitter.com/gracemacf", "gracemacf")</f>
        <v>gracemacf</v>
      </c>
      <c r="B11186" s="65" t="s">
        <v>318</v>
      </c>
    </row>
    <row r="11187" spans="1:2" x14ac:dyDescent="0.25">
      <c r="A11187" s="64" t="str">
        <f>HYPERLINK("http://www.twitter.com/Joi_the_Artist", "Joi_the_Artist")</f>
        <v>Joi_the_Artist</v>
      </c>
      <c r="B11187" s="65" t="s">
        <v>4116</v>
      </c>
    </row>
    <row r="11188" spans="1:2" x14ac:dyDescent="0.25">
      <c r="A11188" s="64" t="str">
        <f>HYPERLINK("http://www.twitter.com/shell568", "shell568")</f>
        <v>shell568</v>
      </c>
      <c r="B11188" s="65" t="s">
        <v>7315</v>
      </c>
    </row>
    <row r="11189" spans="1:2" x14ac:dyDescent="0.25">
      <c r="A11189" s="64" t="str">
        <f>HYPERLINK("http://www.twitter.com/Imogen_Parkes", "Imogen_Parkes")</f>
        <v>Imogen_Parkes</v>
      </c>
      <c r="B11189" s="65" t="s">
        <v>70</v>
      </c>
    </row>
    <row r="11190" spans="1:2" x14ac:dyDescent="0.25">
      <c r="A11190" s="64" t="str">
        <f>HYPERLINK("http://www.twitter.com/obo3dob", "obo3dob")</f>
        <v>obo3dob</v>
      </c>
      <c r="B11190" s="65"/>
    </row>
    <row r="11191" spans="1:2" x14ac:dyDescent="0.25">
      <c r="A11191" s="64" t="str">
        <f>HYPERLINK("http://www.twitter.com/SPLibrary", "SPLibrary")</f>
        <v>SPLibrary</v>
      </c>
      <c r="B11191" s="65" t="s">
        <v>4188</v>
      </c>
    </row>
    <row r="11192" spans="1:2" x14ac:dyDescent="0.25">
      <c r="A11192" s="64" t="str">
        <f>HYPERLINK("http://www.twitter.com/Saxy_Paul", "Saxy_Paul")</f>
        <v>Saxy_Paul</v>
      </c>
      <c r="B11192" s="65" t="s">
        <v>138</v>
      </c>
    </row>
    <row r="11193" spans="1:2" x14ac:dyDescent="0.25">
      <c r="A11193" s="64" t="str">
        <f>HYPERLINK("http://www.twitter.com/revchips", "revchips")</f>
        <v>revchips</v>
      </c>
      <c r="B11193" s="65"/>
    </row>
    <row r="11194" spans="1:2" x14ac:dyDescent="0.25">
      <c r="A11194" s="64" t="str">
        <f>HYPERLINK("http://www.twitter.com/JimMcDaid", "JimMcDaid")</f>
        <v>JimMcDaid</v>
      </c>
      <c r="B11194" s="65" t="s">
        <v>7316</v>
      </c>
    </row>
    <row r="11195" spans="1:2" x14ac:dyDescent="0.25">
      <c r="A11195" s="64" t="str">
        <f>HYPERLINK("http://www.twitter.com/Hello_NinaJoyce", "Hello_NinaJoyce")</f>
        <v>Hello_NinaJoyce</v>
      </c>
      <c r="B11195" s="65" t="s">
        <v>36</v>
      </c>
    </row>
    <row r="11196" spans="1:2" x14ac:dyDescent="0.25">
      <c r="A11196" s="64" t="str">
        <f>HYPERLINK("http://www.twitter.com/SamuelWatkin", "SamuelWatkin")</f>
        <v>SamuelWatkin</v>
      </c>
      <c r="B11196" s="65" t="s">
        <v>110</v>
      </c>
    </row>
    <row r="11197" spans="1:2" x14ac:dyDescent="0.25">
      <c r="A11197" s="64" t="str">
        <f>HYPERLINK("http://www.twitter.com/numptymo", "numptymo")</f>
        <v>numptymo</v>
      </c>
      <c r="B11197" s="65" t="s">
        <v>7317</v>
      </c>
    </row>
    <row r="11198" spans="1:2" x14ac:dyDescent="0.25">
      <c r="A11198" s="64" t="str">
        <f>HYPERLINK("http://www.twitter.com/pedalpapa", "pedalpapa")</f>
        <v>pedalpapa</v>
      </c>
      <c r="B11198" s="65" t="s">
        <v>3778</v>
      </c>
    </row>
    <row r="11199" spans="1:2" x14ac:dyDescent="0.25">
      <c r="A11199" s="64" t="str">
        <f>HYPERLINK("http://www.twitter.com/SteManUK", "SteManUK")</f>
        <v>SteManUK</v>
      </c>
      <c r="B11199" s="65" t="s">
        <v>33</v>
      </c>
    </row>
    <row r="11200" spans="1:2" x14ac:dyDescent="0.25">
      <c r="A11200" s="64" t="str">
        <f>HYPERLINK("http://www.twitter.com/d4ngibbons", "d4ngibbons")</f>
        <v>d4ngibbons</v>
      </c>
      <c r="B11200" s="65" t="s">
        <v>2007</v>
      </c>
    </row>
    <row r="11201" spans="1:2" x14ac:dyDescent="0.25">
      <c r="A11201" s="64" t="str">
        <f>HYPERLINK("http://www.twitter.com/moragfisher", "moragfisher")</f>
        <v>moragfisher</v>
      </c>
      <c r="B11201" s="65"/>
    </row>
    <row r="11202" spans="1:2" x14ac:dyDescent="0.25">
      <c r="A11202" s="64" t="str">
        <f>HYPERLINK("http://www.twitter.com/CromartyHeather", "CromartyHeather")</f>
        <v>CromartyHeather</v>
      </c>
      <c r="B11202" s="65" t="s">
        <v>3778</v>
      </c>
    </row>
    <row r="11203" spans="1:2" x14ac:dyDescent="0.25">
      <c r="A11203" s="64" t="str">
        <f>HYPERLINK("http://www.twitter.com/davecawthorn", "davecawthorn")</f>
        <v>davecawthorn</v>
      </c>
      <c r="B11203" s="65" t="s">
        <v>4566</v>
      </c>
    </row>
    <row r="11204" spans="1:2" x14ac:dyDescent="0.25">
      <c r="A11204" s="64" t="str">
        <f>HYPERLINK("http://www.twitter.com/The_Book_Wench", "The_Book_Wench")</f>
        <v>The_Book_Wench</v>
      </c>
      <c r="B11204" s="65"/>
    </row>
    <row r="11205" spans="1:2" x14ac:dyDescent="0.25">
      <c r="A11205" s="64" t="str">
        <f>HYPERLINK("http://www.twitter.com/sluntz", "sluntz")</f>
        <v>sluntz</v>
      </c>
      <c r="B11205" s="65" t="s">
        <v>4147</v>
      </c>
    </row>
    <row r="11206" spans="1:2" x14ac:dyDescent="0.25">
      <c r="A11206" s="64" t="str">
        <f>HYPERLINK("http://www.twitter.com/Jessiqa", "Jessiqa")</f>
        <v>Jessiqa</v>
      </c>
      <c r="B11206" s="65" t="s">
        <v>7318</v>
      </c>
    </row>
    <row r="11207" spans="1:2" x14ac:dyDescent="0.25">
      <c r="A11207" s="64" t="str">
        <f>HYPERLINK("http://www.twitter.com/DaveGiff", "DaveGiff")</f>
        <v>DaveGiff</v>
      </c>
      <c r="B11207" s="65" t="s">
        <v>115</v>
      </c>
    </row>
    <row r="11208" spans="1:2" x14ac:dyDescent="0.25">
      <c r="A11208" s="64" t="str">
        <f>HYPERLINK("http://www.twitter.com/somersetbagpuss", "somersetbagpuss")</f>
        <v>somersetbagpuss</v>
      </c>
      <c r="B11208" s="65" t="s">
        <v>7319</v>
      </c>
    </row>
    <row r="11209" spans="1:2" x14ac:dyDescent="0.25">
      <c r="A11209" s="64" t="str">
        <f>HYPERLINK("http://www.twitter.com/betsykeggers", "betsykeggers")</f>
        <v>betsykeggers</v>
      </c>
      <c r="B11209" s="65" t="s">
        <v>5529</v>
      </c>
    </row>
    <row r="11210" spans="1:2" x14ac:dyDescent="0.25">
      <c r="A11210" s="64" t="str">
        <f>HYPERLINK("http://www.twitter.com/GailWilson3", "GailWilson3")</f>
        <v>GailWilson3</v>
      </c>
      <c r="B11210" s="65" t="s">
        <v>4215</v>
      </c>
    </row>
    <row r="11211" spans="1:2" x14ac:dyDescent="0.25">
      <c r="A11211" s="64" t="str">
        <f>HYPERLINK("http://www.twitter.com/MochrumBelties", "MochrumBelties")</f>
        <v>MochrumBelties</v>
      </c>
      <c r="B11211" s="65" t="s">
        <v>7320</v>
      </c>
    </row>
    <row r="11212" spans="1:2" x14ac:dyDescent="0.25">
      <c r="A11212" s="64" t="str">
        <f>HYPERLINK("http://www.twitter.com/RobLeworthy", "RobLeworthy")</f>
        <v>RobLeworthy</v>
      </c>
      <c r="B11212" s="65" t="s">
        <v>36</v>
      </c>
    </row>
    <row r="11213" spans="1:2" x14ac:dyDescent="0.25">
      <c r="A11213" s="64" t="str">
        <f>HYPERLINK("http://www.twitter.com/louisemartin25", "louisemartin25")</f>
        <v>louisemartin25</v>
      </c>
      <c r="B11213" s="65" t="s">
        <v>7321</v>
      </c>
    </row>
    <row r="11214" spans="1:2" x14ac:dyDescent="0.25">
      <c r="A11214" s="64" t="str">
        <f>HYPERLINK("http://www.twitter.com/TheCrochetChain", "TheCrochetChain")</f>
        <v>TheCrochetChain</v>
      </c>
      <c r="B11214" s="65" t="s">
        <v>7322</v>
      </c>
    </row>
    <row r="11215" spans="1:2" x14ac:dyDescent="0.25">
      <c r="A11215" s="64" t="str">
        <f>HYPERLINK("http://www.twitter.com/drew_lawng", "drew_lawng")</f>
        <v>drew_lawng</v>
      </c>
      <c r="B11215" s="65" t="s">
        <v>7323</v>
      </c>
    </row>
    <row r="11216" spans="1:2" x14ac:dyDescent="0.25">
      <c r="A11216" s="64" t="str">
        <f>HYPERLINK("http://www.twitter.com/roalddahlmuseum", "roalddahlmuseum")</f>
        <v>roalddahlmuseum</v>
      </c>
      <c r="B11216" s="65" t="s">
        <v>7324</v>
      </c>
    </row>
    <row r="11217" spans="1:2" x14ac:dyDescent="0.25">
      <c r="A11217" s="64" t="str">
        <f>HYPERLINK("http://www.twitter.com/insh_f", "insh_f")</f>
        <v>insh_f</v>
      </c>
      <c r="B11217" s="65" t="s">
        <v>7325</v>
      </c>
    </row>
    <row r="11218" spans="1:2" x14ac:dyDescent="0.25">
      <c r="A11218" s="64" t="str">
        <f>HYPERLINK("http://www.twitter.com/Cammy5987", "Cammy5987")</f>
        <v>Cammy5987</v>
      </c>
      <c r="B11218" s="65" t="s">
        <v>3773</v>
      </c>
    </row>
    <row r="11219" spans="1:2" x14ac:dyDescent="0.25">
      <c r="A11219" s="64" t="str">
        <f>HYPERLINK("http://www.twitter.com/GizmoWalpole", "GizmoWalpole")</f>
        <v>GizmoWalpole</v>
      </c>
      <c r="B11219" s="65" t="s">
        <v>7326</v>
      </c>
    </row>
    <row r="11220" spans="1:2" x14ac:dyDescent="0.25">
      <c r="A11220" s="64" t="str">
        <f>HYPERLINK("http://www.twitter.com/Hempriggs", "Hempriggs")</f>
        <v>Hempriggs</v>
      </c>
      <c r="B11220" s="65" t="s">
        <v>7327</v>
      </c>
    </row>
    <row r="11221" spans="1:2" x14ac:dyDescent="0.25">
      <c r="A11221" s="64" t="str">
        <f>HYPERLINK("http://www.twitter.com/clpe1", "clpe1")</f>
        <v>clpe1</v>
      </c>
      <c r="B11221" s="65" t="s">
        <v>7328</v>
      </c>
    </row>
    <row r="11222" spans="1:2" x14ac:dyDescent="0.25">
      <c r="A11222" s="64" t="str">
        <f>HYPERLINK("http://www.twitter.com/dnorman99", "dnorman99")</f>
        <v>dnorman99</v>
      </c>
      <c r="B11222" s="65"/>
    </row>
    <row r="11223" spans="1:2" x14ac:dyDescent="0.25">
      <c r="A11223" s="64" t="str">
        <f>HYPERLINK("http://www.twitter.com/nwatchscotland", "nwatchscotland")</f>
        <v>nwatchscotland</v>
      </c>
      <c r="B11223" s="65" t="s">
        <v>517</v>
      </c>
    </row>
    <row r="11224" spans="1:2" x14ac:dyDescent="0.25">
      <c r="A11224" s="64" t="str">
        <f>HYPERLINK("http://www.twitter.com/LettiL", "LettiL")</f>
        <v>LettiL</v>
      </c>
      <c r="B11224" s="65"/>
    </row>
    <row r="11225" spans="1:2" x14ac:dyDescent="0.25">
      <c r="A11225" s="64" t="str">
        <f>HYPERLINK("http://www.twitter.com/SarahMoor_", "SarahMoor_")</f>
        <v>SarahMoor_</v>
      </c>
      <c r="B11225" s="65" t="s">
        <v>36</v>
      </c>
    </row>
    <row r="11226" spans="1:2" x14ac:dyDescent="0.25">
      <c r="A11226" s="64" t="str">
        <f>HYPERLINK("http://www.twitter.com/JamesWilscomms", "JamesWilscomms")</f>
        <v>JamesWilscomms</v>
      </c>
      <c r="B11226" s="65" t="s">
        <v>3779</v>
      </c>
    </row>
    <row r="11227" spans="1:2" x14ac:dyDescent="0.25">
      <c r="A11227" s="64" t="str">
        <f>HYPERLINK("http://www.twitter.com/jemimallah", "jemimallah")</f>
        <v>jemimallah</v>
      </c>
      <c r="B11227" s="65"/>
    </row>
    <row r="11228" spans="1:2" x14ac:dyDescent="0.25">
      <c r="A11228" s="64" t="str">
        <f>HYPERLINK("http://www.twitter.com/seanl6727", "seanl6727")</f>
        <v>seanl6727</v>
      </c>
      <c r="B11228" s="65" t="s">
        <v>7329</v>
      </c>
    </row>
    <row r="11229" spans="1:2" x14ac:dyDescent="0.25">
      <c r="A11229" s="64" t="str">
        <f>HYPERLINK("http://www.twitter.com/halfofmild", "halfofmild")</f>
        <v>halfofmild</v>
      </c>
      <c r="B11229" s="65" t="s">
        <v>7330</v>
      </c>
    </row>
    <row r="11230" spans="1:2" x14ac:dyDescent="0.25">
      <c r="A11230" s="64" t="str">
        <f>HYPERLINK("http://www.twitter.com/tan_nightingale", "tan_nightingale")</f>
        <v>tan_nightingale</v>
      </c>
      <c r="B11230" s="65" t="s">
        <v>7331</v>
      </c>
    </row>
    <row r="11231" spans="1:2" x14ac:dyDescent="0.25">
      <c r="A11231" s="64" t="str">
        <f>HYPERLINK("http://www.twitter.com/SaulPainter", "SaulPainter")</f>
        <v>SaulPainter</v>
      </c>
      <c r="B11231" s="65" t="s">
        <v>33</v>
      </c>
    </row>
    <row r="11232" spans="1:2" x14ac:dyDescent="0.25">
      <c r="A11232" s="64" t="str">
        <f>HYPERLINK("http://www.twitter.com/crisis_uk", "crisis_uk")</f>
        <v>crisis_uk</v>
      </c>
      <c r="B11232" s="65" t="s">
        <v>296</v>
      </c>
    </row>
    <row r="11233" spans="1:2" x14ac:dyDescent="0.25">
      <c r="A11233" s="64" t="str">
        <f>HYPERLINK("http://www.twitter.com/ifellonithonest", "ifellonithonest")</f>
        <v>ifellonithonest</v>
      </c>
      <c r="B11233" s="65"/>
    </row>
    <row r="11234" spans="1:2" x14ac:dyDescent="0.25">
      <c r="A11234" s="64" t="str">
        <f>HYPERLINK("http://www.twitter.com/sds9999", "sds9999")</f>
        <v>sds9999</v>
      </c>
      <c r="B11234" s="65" t="s">
        <v>3779</v>
      </c>
    </row>
    <row r="11235" spans="1:2" x14ac:dyDescent="0.25">
      <c r="A11235" s="64" t="str">
        <f>HYPERLINK("http://www.twitter.com/macsinasia", "macsinasia")</f>
        <v>macsinasia</v>
      </c>
      <c r="B11235" s="65" t="s">
        <v>3839</v>
      </c>
    </row>
    <row r="11236" spans="1:2" x14ac:dyDescent="0.25">
      <c r="A11236" s="64" t="str">
        <f>HYPERLINK("http://www.twitter.com/missbgrant", "missbgrant")</f>
        <v>missbgrant</v>
      </c>
      <c r="B11236" s="65" t="s">
        <v>7332</v>
      </c>
    </row>
    <row r="11237" spans="1:2" x14ac:dyDescent="0.25">
      <c r="A11237" s="64" t="str">
        <f>HYPERLINK("http://www.twitter.com/ChloeMacleod95", "ChloeMacleod95")</f>
        <v>ChloeMacleod95</v>
      </c>
      <c r="B11237" s="65"/>
    </row>
    <row r="11238" spans="1:2" x14ac:dyDescent="0.25">
      <c r="A11238" s="64" t="str">
        <f>HYPERLINK("http://www.twitter.com/CrowdTYouth", "CrowdTYouth")</f>
        <v>CrowdTYouth</v>
      </c>
      <c r="B11238" s="65" t="s">
        <v>4149</v>
      </c>
    </row>
    <row r="11239" spans="1:2" x14ac:dyDescent="0.25">
      <c r="A11239" s="64" t="str">
        <f>HYPERLINK("http://www.twitter.com/AmyLouiseBond", "AmyLouiseBond")</f>
        <v>AmyLouiseBond</v>
      </c>
      <c r="B11239" s="65"/>
    </row>
    <row r="11240" spans="1:2" x14ac:dyDescent="0.25">
      <c r="A11240" s="64" t="str">
        <f>HYPERLINK("http://www.twitter.com/bethy7boo", "bethy7boo")</f>
        <v>bethy7boo</v>
      </c>
      <c r="B11240" s="65"/>
    </row>
    <row r="11241" spans="1:2" x14ac:dyDescent="0.25">
      <c r="A11241" s="64" t="str">
        <f>HYPERLINK("http://www.twitter.com/McCartanC", "McCartanC")</f>
        <v>McCartanC</v>
      </c>
      <c r="B11241" s="65"/>
    </row>
    <row r="11242" spans="1:2" x14ac:dyDescent="0.25">
      <c r="A11242" s="64" t="str">
        <f>HYPERLINK("http://www.twitter.com/captainrobs", "captainrobs")</f>
        <v>captainrobs</v>
      </c>
      <c r="B11242" s="65"/>
    </row>
    <row r="11243" spans="1:2" x14ac:dyDescent="0.25">
      <c r="A11243" s="64" t="str">
        <f>HYPERLINK("http://www.twitter.com/JazDarcy", "JazDarcy")</f>
        <v>JazDarcy</v>
      </c>
      <c r="B11243" s="65" t="s">
        <v>7333</v>
      </c>
    </row>
    <row r="11244" spans="1:2" x14ac:dyDescent="0.25">
      <c r="A11244" s="64" t="str">
        <f>HYPERLINK("http://www.twitter.com/liamealbee", "liamealbee")</f>
        <v>liamealbee</v>
      </c>
      <c r="B11244" s="65" t="s">
        <v>7334</v>
      </c>
    </row>
    <row r="11245" spans="1:2" x14ac:dyDescent="0.25">
      <c r="A11245" s="64" t="str">
        <f>HYPERLINK("http://www.twitter.com/dp1970", "dp1970")</f>
        <v>dp1970</v>
      </c>
      <c r="B11245" s="65"/>
    </row>
    <row r="11246" spans="1:2" x14ac:dyDescent="0.25">
      <c r="A11246" s="64" t="str">
        <f>HYPERLINK("http://www.twitter.com/cleomeme", "cleomeme")</f>
        <v>cleomeme</v>
      </c>
      <c r="B11246" s="65" t="s">
        <v>7335</v>
      </c>
    </row>
    <row r="11247" spans="1:2" x14ac:dyDescent="0.25">
      <c r="A11247" s="64" t="str">
        <f>HYPERLINK("http://www.twitter.com/jsinclair29", "jsinclair29")</f>
        <v>jsinclair29</v>
      </c>
      <c r="B11247" s="65"/>
    </row>
    <row r="11248" spans="1:2" x14ac:dyDescent="0.25">
      <c r="A11248" s="64" t="str">
        <f>HYPERLINK("http://www.twitter.com/OzunNilgun", "OzunNilgun")</f>
        <v>OzunNilgun</v>
      </c>
      <c r="B11248" s="65"/>
    </row>
    <row r="11249" spans="1:2" x14ac:dyDescent="0.25">
      <c r="A11249" s="64" t="str">
        <f>HYPERLINK("http://www.twitter.com/kirsty__mcbride", "kirsty__mcbride")</f>
        <v>kirsty__mcbride</v>
      </c>
      <c r="B11249" s="65" t="s">
        <v>318</v>
      </c>
    </row>
    <row r="11250" spans="1:2" x14ac:dyDescent="0.25">
      <c r="A11250" s="64" t="str">
        <f>HYPERLINK("http://www.twitter.com/GazgoUK", "GazgoUK")</f>
        <v>GazgoUK</v>
      </c>
      <c r="B11250" s="65" t="s">
        <v>74</v>
      </c>
    </row>
    <row r="11251" spans="1:2" x14ac:dyDescent="0.25">
      <c r="A11251" s="64" t="str">
        <f>HYPERLINK("http://www.twitter.com/amyespeseth", "amyespeseth")</f>
        <v>amyespeseth</v>
      </c>
      <c r="B11251" s="65" t="s">
        <v>3779</v>
      </c>
    </row>
    <row r="11252" spans="1:2" x14ac:dyDescent="0.25">
      <c r="A11252" s="64" t="str">
        <f>HYPERLINK("http://www.twitter.com/britishlibrary", "britishlibrary")</f>
        <v>britishlibrary</v>
      </c>
      <c r="B11252" s="65" t="s">
        <v>7336</v>
      </c>
    </row>
    <row r="11253" spans="1:2" x14ac:dyDescent="0.25">
      <c r="A11253" s="64" t="str">
        <f>HYPERLINK("http://www.twitter.com/west_hampstead", "west_hampstead")</f>
        <v>west_hampstead</v>
      </c>
      <c r="B11253" s="65" t="s">
        <v>7337</v>
      </c>
    </row>
    <row r="11254" spans="1:2" x14ac:dyDescent="0.25">
      <c r="A11254" s="64" t="str">
        <f>HYPERLINK("http://www.twitter.com/minihannah", "minihannah")</f>
        <v>minihannah</v>
      </c>
      <c r="B11254" s="65"/>
    </row>
    <row r="11255" spans="1:2" x14ac:dyDescent="0.25">
      <c r="A11255" s="64" t="str">
        <f>HYPERLINK("http://www.twitter.com/MichaelGM_1788", "MichaelGM_1788")</f>
        <v>MichaelGM_1788</v>
      </c>
      <c r="B11255" s="65" t="s">
        <v>3787</v>
      </c>
    </row>
    <row r="11256" spans="1:2" x14ac:dyDescent="0.25">
      <c r="A11256" s="64" t="str">
        <f>HYPERLINK("http://www.twitter.com/WalterScottFest", "WalterScottFest")</f>
        <v>WalterScottFest</v>
      </c>
      <c r="B11256" s="65"/>
    </row>
    <row r="11257" spans="1:2" x14ac:dyDescent="0.25">
      <c r="A11257" s="64" t="str">
        <f>HYPERLINK("http://www.twitter.com/TanithMuller", "TanithMuller")</f>
        <v>TanithMuller</v>
      </c>
      <c r="B11257" s="65" t="s">
        <v>517</v>
      </c>
    </row>
    <row r="11258" spans="1:2" x14ac:dyDescent="0.25">
      <c r="A11258" s="64" t="str">
        <f>HYPERLINK("http://www.twitter.com/JanainaRudberg", "JanainaRudberg")</f>
        <v>JanainaRudberg</v>
      </c>
      <c r="B11258" s="65" t="s">
        <v>4765</v>
      </c>
    </row>
    <row r="11259" spans="1:2" x14ac:dyDescent="0.25">
      <c r="A11259" s="64" t="str">
        <f>HYPERLINK("http://www.twitter.com/eims_", "eims_")</f>
        <v>eims_</v>
      </c>
      <c r="B11259" s="65"/>
    </row>
    <row r="11260" spans="1:2" x14ac:dyDescent="0.25">
      <c r="A11260" s="64" t="str">
        <f>HYPERLINK("http://www.twitter.com/drewkoi", "drewkoi")</f>
        <v>drewkoi</v>
      </c>
      <c r="B11260" s="65" t="s">
        <v>7338</v>
      </c>
    </row>
    <row r="11261" spans="1:2" x14ac:dyDescent="0.25">
      <c r="A11261" s="64" t="str">
        <f>HYPERLINK("http://www.twitter.com/Jdcrawf", "Jdcrawf")</f>
        <v>Jdcrawf</v>
      </c>
      <c r="B11261" s="65" t="s">
        <v>487</v>
      </c>
    </row>
    <row r="11262" spans="1:2" x14ac:dyDescent="0.25">
      <c r="A11262" s="64" t="str">
        <f>HYPERLINK("http://www.twitter.com/autismmomsrule", "autismmomsrule")</f>
        <v>autismmomsrule</v>
      </c>
      <c r="B11262" s="65" t="s">
        <v>7339</v>
      </c>
    </row>
    <row r="11263" spans="1:2" x14ac:dyDescent="0.25">
      <c r="A11263" s="64" t="str">
        <f>HYPERLINK("http://www.twitter.com/HeartScotNews", "HeartScotNews")</f>
        <v>HeartScotNews</v>
      </c>
      <c r="B11263" s="65" t="s">
        <v>517</v>
      </c>
    </row>
    <row r="11264" spans="1:2" x14ac:dyDescent="0.25">
      <c r="A11264" s="64" t="str">
        <f>HYPERLINK("http://www.twitter.com/cynthiawmiller", "cynthiawmiller")</f>
        <v>cynthiawmiller</v>
      </c>
      <c r="B11264" s="65" t="s">
        <v>2030</v>
      </c>
    </row>
    <row r="11265" spans="1:2" x14ac:dyDescent="0.25">
      <c r="A11265" s="64" t="str">
        <f>HYPERLINK("http://www.twitter.com/aahhhamy", "aahhhamy")</f>
        <v>aahhhamy</v>
      </c>
      <c r="B11265" s="65" t="s">
        <v>110</v>
      </c>
    </row>
    <row r="11266" spans="1:2" x14ac:dyDescent="0.25">
      <c r="A11266" s="64" t="str">
        <f>HYPERLINK("http://www.twitter.com/Tyronebamba", "Tyronebamba")</f>
        <v>Tyronebamba</v>
      </c>
      <c r="B11266" s="65"/>
    </row>
    <row r="11267" spans="1:2" x14ac:dyDescent="0.25">
      <c r="A11267" s="64" t="str">
        <f>HYPERLINK("http://www.twitter.com/flosiraptor", "flosiraptor")</f>
        <v>flosiraptor</v>
      </c>
      <c r="B11267" s="65" t="s">
        <v>7340</v>
      </c>
    </row>
    <row r="11268" spans="1:2" x14ac:dyDescent="0.25">
      <c r="A11268" s="64" t="str">
        <f>HYPERLINK("http://www.twitter.com/LenaWhitaker1", "LenaWhitaker1")</f>
        <v>LenaWhitaker1</v>
      </c>
      <c r="B11268" s="65" t="s">
        <v>2580</v>
      </c>
    </row>
    <row r="11269" spans="1:2" x14ac:dyDescent="0.25">
      <c r="A11269" s="64" t="str">
        <f>HYPERLINK("http://www.twitter.com/pot1n", "pot1n")</f>
        <v>pot1n</v>
      </c>
      <c r="B11269" s="65" t="s">
        <v>5339</v>
      </c>
    </row>
    <row r="11270" spans="1:2" x14ac:dyDescent="0.25">
      <c r="A11270" s="64" t="str">
        <f>HYPERLINK("http://www.twitter.com/Waitingirl13", "Waitingirl13")</f>
        <v>Waitingirl13</v>
      </c>
      <c r="B11270" s="65" t="s">
        <v>7341</v>
      </c>
    </row>
    <row r="11271" spans="1:2" x14ac:dyDescent="0.25">
      <c r="A11271" s="64" t="str">
        <f>HYPERLINK("http://www.twitter.com/Jintyg51", "Jintyg51")</f>
        <v>Jintyg51</v>
      </c>
      <c r="B11271" s="65" t="s">
        <v>517</v>
      </c>
    </row>
    <row r="11272" spans="1:2" x14ac:dyDescent="0.25">
      <c r="A11272" s="64" t="str">
        <f>HYPERLINK("http://www.twitter.com/fridaalbiin", "fridaalbiin")</f>
        <v>fridaalbiin</v>
      </c>
      <c r="B11272" s="65"/>
    </row>
    <row r="11273" spans="1:2" x14ac:dyDescent="0.25">
      <c r="A11273" s="64" t="str">
        <f>HYPERLINK("http://www.twitter.com/Rose0Window", "Rose0Window")</f>
        <v>Rose0Window</v>
      </c>
      <c r="B11273" s="65"/>
    </row>
    <row r="11274" spans="1:2" x14ac:dyDescent="0.25">
      <c r="A11274" s="64" t="str">
        <f>HYPERLINK("http://www.twitter.com/huddleboard", "huddleboard")</f>
        <v>huddleboard</v>
      </c>
      <c r="B11274" s="65" t="s">
        <v>7162</v>
      </c>
    </row>
    <row r="11275" spans="1:2" x14ac:dyDescent="0.25">
      <c r="A11275" s="64" t="str">
        <f>HYPERLINK("http://www.twitter.com/hbullmore", "hbullmore")</f>
        <v>hbullmore</v>
      </c>
      <c r="B11275" s="65" t="s">
        <v>36</v>
      </c>
    </row>
    <row r="11276" spans="1:2" x14ac:dyDescent="0.25">
      <c r="A11276" s="64" t="str">
        <f>HYPERLINK("http://www.twitter.com/dannygarbs", "dannygarbs")</f>
        <v>dannygarbs</v>
      </c>
      <c r="B11276" s="65"/>
    </row>
    <row r="11277" spans="1:2" x14ac:dyDescent="0.25">
      <c r="A11277" s="64" t="str">
        <f>HYPERLINK("http://www.twitter.com/aleksjurczyk", "aleksjurczyk")</f>
        <v>aleksjurczyk</v>
      </c>
      <c r="B11277" s="65" t="s">
        <v>138</v>
      </c>
    </row>
    <row r="11278" spans="1:2" x14ac:dyDescent="0.25">
      <c r="A11278" s="64" t="str">
        <f>HYPERLINK("http://www.twitter.com/EMaree", "EMaree")</f>
        <v>EMaree</v>
      </c>
      <c r="B11278" s="65" t="s">
        <v>7342</v>
      </c>
    </row>
    <row r="11279" spans="1:2" x14ac:dyDescent="0.25">
      <c r="A11279" s="64" t="str">
        <f>HYPERLINK("http://www.twitter.com/Jo_Barnes", "Jo_Barnes")</f>
        <v>Jo_Barnes</v>
      </c>
      <c r="B11279" s="65" t="s">
        <v>7343</v>
      </c>
    </row>
    <row r="11280" spans="1:2" x14ac:dyDescent="0.25">
      <c r="A11280" s="64" t="str">
        <f>HYPERLINK("http://www.twitter.com/mazking", "mazking")</f>
        <v>mazking</v>
      </c>
      <c r="B11280" s="65"/>
    </row>
    <row r="11281" spans="1:2" x14ac:dyDescent="0.25">
      <c r="A11281" s="64" t="str">
        <f>HYPERLINK("http://www.twitter.com/scot_celt_alba", "scot_celt_alba")</f>
        <v>scot_celt_alba</v>
      </c>
      <c r="B11281" s="65" t="s">
        <v>7344</v>
      </c>
    </row>
    <row r="11282" spans="1:2" x14ac:dyDescent="0.25">
      <c r="A11282" s="64" t="str">
        <f>HYPERLINK("http://www.twitter.com/artifartblast", "artifartblast")</f>
        <v>artifartblast</v>
      </c>
      <c r="B11282" s="65" t="s">
        <v>7345</v>
      </c>
    </row>
    <row r="11283" spans="1:2" x14ac:dyDescent="0.25">
      <c r="A11283" s="64" t="str">
        <f>HYPERLINK("http://www.twitter.com/LHield1992", "LHield1992")</f>
        <v>LHield1992</v>
      </c>
      <c r="B11283" s="65" t="s">
        <v>514</v>
      </c>
    </row>
    <row r="11284" spans="1:2" x14ac:dyDescent="0.25">
      <c r="A11284" s="64" t="str">
        <f>HYPERLINK("http://www.twitter.com/Becksafish", "Becksafish")</f>
        <v>Becksafish</v>
      </c>
      <c r="B11284" s="65" t="s">
        <v>122</v>
      </c>
    </row>
    <row r="11285" spans="1:2" x14ac:dyDescent="0.25">
      <c r="A11285" s="64" t="str">
        <f>HYPERLINK("http://www.twitter.com/pollyannabutler", "pollyannabutler")</f>
        <v>pollyannabutler</v>
      </c>
      <c r="B11285" s="65"/>
    </row>
    <row r="11286" spans="1:2" x14ac:dyDescent="0.25">
      <c r="A11286" s="64" t="str">
        <f>HYPERLINK("http://www.twitter.com/Wrighty17911", "Wrighty17911")</f>
        <v>Wrighty17911</v>
      </c>
      <c r="B11286" s="65"/>
    </row>
    <row r="11287" spans="1:2" x14ac:dyDescent="0.25">
      <c r="A11287" s="64" t="str">
        <f>HYPERLINK("http://www.twitter.com/anitaholender", "anitaholender")</f>
        <v>anitaholender</v>
      </c>
      <c r="B11287" s="65" t="s">
        <v>7346</v>
      </c>
    </row>
    <row r="11288" spans="1:2" x14ac:dyDescent="0.25">
      <c r="A11288" s="64" t="str">
        <f>HYPERLINK("http://www.twitter.com/HirtyDarry", "HirtyDarry")</f>
        <v>HirtyDarry</v>
      </c>
      <c r="B11288" s="65" t="s">
        <v>2592</v>
      </c>
    </row>
    <row r="11289" spans="1:2" x14ac:dyDescent="0.25">
      <c r="A11289" s="64" t="str">
        <f>HYPERLINK("http://www.twitter.com/JoMidworth", "JoMidworth")</f>
        <v>JoMidworth</v>
      </c>
      <c r="B11289" s="65"/>
    </row>
    <row r="11290" spans="1:2" x14ac:dyDescent="0.25">
      <c r="A11290" s="64" t="str">
        <f>HYPERLINK("http://www.twitter.com/playdoctorduffy", "playdoctorduffy")</f>
        <v>playdoctorduffy</v>
      </c>
      <c r="B11290" s="65" t="s">
        <v>24</v>
      </c>
    </row>
    <row r="11291" spans="1:2" x14ac:dyDescent="0.25">
      <c r="A11291" s="64" t="str">
        <f>HYPERLINK("http://www.twitter.com/Centralcourtlaw", "Centralcourtlaw")</f>
        <v>Centralcourtlaw</v>
      </c>
      <c r="B11291" s="65"/>
    </row>
    <row r="11292" spans="1:2" x14ac:dyDescent="0.25">
      <c r="A11292" s="64" t="str">
        <f>HYPERLINK("http://www.twitter.com/ChippieC04", "ChippieC04")</f>
        <v>ChippieC04</v>
      </c>
      <c r="B11292" s="65" t="s">
        <v>1033</v>
      </c>
    </row>
    <row r="11293" spans="1:2" x14ac:dyDescent="0.25">
      <c r="A11293" s="64" t="str">
        <f>HYPERLINK("http://www.twitter.com/kevrid", "kevrid")</f>
        <v>kevrid</v>
      </c>
      <c r="B11293" s="65" t="s">
        <v>1455</v>
      </c>
    </row>
    <row r="11294" spans="1:2" x14ac:dyDescent="0.25">
      <c r="A11294" s="64" t="str">
        <f>HYPERLINK("http://www.twitter.com/JulietEysenck", "JulietEysenck")</f>
        <v>JulietEysenck</v>
      </c>
      <c r="B11294" s="65"/>
    </row>
    <row r="11295" spans="1:2" x14ac:dyDescent="0.25">
      <c r="A11295" s="64" t="str">
        <f>HYPERLINK("http://www.twitter.com/WayneAssiratti", "WayneAssiratti")</f>
        <v>WayneAssiratti</v>
      </c>
      <c r="B11295" s="65" t="s">
        <v>5956</v>
      </c>
    </row>
    <row r="11296" spans="1:2" x14ac:dyDescent="0.25">
      <c r="A11296" s="64" t="str">
        <f>HYPERLINK("http://www.twitter.com/tobydykes", "tobydykes")</f>
        <v>tobydykes</v>
      </c>
      <c r="B11296" s="65"/>
    </row>
    <row r="11297" spans="1:2" x14ac:dyDescent="0.25">
      <c r="A11297" s="64" t="str">
        <f>HYPERLINK("http://www.twitter.com/potcalling", "potcalling")</f>
        <v>potcalling</v>
      </c>
      <c r="B11297" s="65" t="s">
        <v>7347</v>
      </c>
    </row>
    <row r="11298" spans="1:2" x14ac:dyDescent="0.25">
      <c r="A11298" s="64" t="str">
        <f>HYPERLINK("http://www.twitter.com/moragross", "moragross")</f>
        <v>moragross</v>
      </c>
      <c r="B11298" s="65" t="s">
        <v>74</v>
      </c>
    </row>
    <row r="11299" spans="1:2" x14ac:dyDescent="0.25">
      <c r="A11299" s="64" t="str">
        <f>HYPERLINK("http://www.twitter.com/ChristinaSkye", "ChristinaSkye")</f>
        <v>ChristinaSkye</v>
      </c>
      <c r="B11299" s="65" t="s">
        <v>70</v>
      </c>
    </row>
    <row r="11300" spans="1:2" x14ac:dyDescent="0.25">
      <c r="A11300" s="64" t="str">
        <f>HYPERLINK("http://www.twitter.com/dodecapode", "dodecapode")</f>
        <v>dodecapode</v>
      </c>
      <c r="B11300" s="65" t="s">
        <v>7348</v>
      </c>
    </row>
    <row r="11301" spans="1:2" x14ac:dyDescent="0.25">
      <c r="A11301" s="64" t="str">
        <f>HYPERLINK("http://www.twitter.com/DrSaharAlshaman", "DrSaharAlshaman")</f>
        <v>DrSaharAlshaman</v>
      </c>
      <c r="B11301" s="65" t="s">
        <v>7349</v>
      </c>
    </row>
    <row r="11302" spans="1:2" x14ac:dyDescent="0.25">
      <c r="A11302" s="64" t="str">
        <f>HYPERLINK("http://www.twitter.com/temaris", "temaris")</f>
        <v>temaris</v>
      </c>
      <c r="B11302" s="65" t="s">
        <v>110</v>
      </c>
    </row>
    <row r="11303" spans="1:2" x14ac:dyDescent="0.25">
      <c r="A11303" s="64" t="str">
        <f>HYPERLINK("http://www.twitter.com/strathearnrose", "strathearnrose")</f>
        <v>strathearnrose</v>
      </c>
      <c r="B11303" s="65" t="s">
        <v>7350</v>
      </c>
    </row>
    <row r="11304" spans="1:2" x14ac:dyDescent="0.25">
      <c r="A11304" s="64" t="str">
        <f>HYPERLINK("http://www.twitter.com/watterloony", "watterloony")</f>
        <v>watterloony</v>
      </c>
      <c r="B11304" s="65" t="s">
        <v>7351</v>
      </c>
    </row>
    <row r="11305" spans="1:2" x14ac:dyDescent="0.25">
      <c r="A11305" s="64" t="str">
        <f>HYPERLINK("http://www.twitter.com/stephenboydecon", "stephenboydecon")</f>
        <v>stephenboydecon</v>
      </c>
      <c r="B11305" s="65" t="s">
        <v>7352</v>
      </c>
    </row>
    <row r="11306" spans="1:2" x14ac:dyDescent="0.25">
      <c r="A11306" s="64" t="str">
        <f>HYPERLINK("http://www.twitter.com/novelcure", "novelcure")</f>
        <v>novelcure</v>
      </c>
      <c r="B11306" s="65"/>
    </row>
    <row r="11307" spans="1:2" x14ac:dyDescent="0.25">
      <c r="A11307" s="64" t="str">
        <f>HYPERLINK("http://www.twitter.com/joel2393", "joel2393")</f>
        <v>joel2393</v>
      </c>
      <c r="B11307" s="65" t="s">
        <v>2997</v>
      </c>
    </row>
    <row r="11308" spans="1:2" x14ac:dyDescent="0.25">
      <c r="A11308" s="64" t="str">
        <f>HYPERLINK("http://www.twitter.com/SamEdwards25", "SamEdwards25")</f>
        <v>SamEdwards25</v>
      </c>
      <c r="B11308" s="65" t="s">
        <v>920</v>
      </c>
    </row>
    <row r="11309" spans="1:2" x14ac:dyDescent="0.25">
      <c r="A11309" s="64" t="str">
        <f>HYPERLINK("http://www.twitter.com/wivenhoebooks", "wivenhoebooks")</f>
        <v>wivenhoebooks</v>
      </c>
      <c r="B11309" s="65" t="s">
        <v>7353</v>
      </c>
    </row>
    <row r="11310" spans="1:2" x14ac:dyDescent="0.25">
      <c r="A11310" s="64" t="str">
        <f>HYPERLINK("http://www.twitter.com/alienpmk", "alienpmk")</f>
        <v>alienpmk</v>
      </c>
      <c r="B11310" s="65" t="s">
        <v>514</v>
      </c>
    </row>
    <row r="11311" spans="1:2" x14ac:dyDescent="0.25">
      <c r="A11311" s="64" t="str">
        <f>HYPERLINK("http://www.twitter.com/bilco62", "bilco62")</f>
        <v>bilco62</v>
      </c>
      <c r="B11311" s="65" t="s">
        <v>5389</v>
      </c>
    </row>
    <row r="11312" spans="1:2" x14ac:dyDescent="0.25">
      <c r="A11312" s="64" t="str">
        <f>HYPERLINK("http://www.twitter.com/samacu", "samacu")</f>
        <v>samacu</v>
      </c>
      <c r="B11312" s="65"/>
    </row>
    <row r="11313" spans="1:2" x14ac:dyDescent="0.25">
      <c r="A11313" s="64" t="str">
        <f>HYPERLINK("http://www.twitter.com/popcorner", "popcorner")</f>
        <v>popcorner</v>
      </c>
      <c r="B11313" s="65"/>
    </row>
    <row r="11314" spans="1:2" x14ac:dyDescent="0.25">
      <c r="A11314" s="64" t="str">
        <f>HYPERLINK("http://www.twitter.com/Guineafoul", "Guineafoul")</f>
        <v>Guineafoul</v>
      </c>
      <c r="B11314" s="65" t="s">
        <v>296</v>
      </c>
    </row>
    <row r="11315" spans="1:2" x14ac:dyDescent="0.25">
      <c r="A11315" s="64" t="str">
        <f>HYPERLINK("http://www.twitter.com/jeremydronfield", "jeremydronfield")</f>
        <v>jeremydronfield</v>
      </c>
      <c r="B11315" s="65" t="s">
        <v>7284</v>
      </c>
    </row>
    <row r="11316" spans="1:2" x14ac:dyDescent="0.25">
      <c r="A11316" s="64" t="str">
        <f>HYPERLINK("http://www.twitter.com/EmmaDixon_EU", "EmmaDixon_EU")</f>
        <v>EmmaDixon_EU</v>
      </c>
      <c r="B11316" s="65" t="s">
        <v>477</v>
      </c>
    </row>
    <row r="11317" spans="1:2" x14ac:dyDescent="0.25">
      <c r="A11317" s="64" t="str">
        <f>HYPERLINK("http://www.twitter.com/CraigW4584", "CraigW4584")</f>
        <v>CraigW4584</v>
      </c>
      <c r="B11317" s="65" t="s">
        <v>7354</v>
      </c>
    </row>
    <row r="11318" spans="1:2" x14ac:dyDescent="0.25">
      <c r="A11318" s="64" t="str">
        <f>HYPERLINK("http://www.twitter.com/earthowned", "earthowned")</f>
        <v>earthowned</v>
      </c>
      <c r="B11318" s="65" t="s">
        <v>67</v>
      </c>
    </row>
    <row r="11319" spans="1:2" x14ac:dyDescent="0.25">
      <c r="A11319" s="64" t="str">
        <f>HYPERLINK("http://www.twitter.com/amanda_fleet1", "amanda_fleet1")</f>
        <v>amanda_fleet1</v>
      </c>
      <c r="B11319" s="65" t="s">
        <v>2007</v>
      </c>
    </row>
    <row r="11320" spans="1:2" x14ac:dyDescent="0.25">
      <c r="A11320" s="64" t="str">
        <f>HYPERLINK("http://www.twitter.com/CommonofHouses", "CommonofHouses")</f>
        <v>CommonofHouses</v>
      </c>
      <c r="B11320" s="65" t="s">
        <v>74</v>
      </c>
    </row>
    <row r="11321" spans="1:2" x14ac:dyDescent="0.25">
      <c r="A11321" s="64" t="str">
        <f>HYPERLINK("http://www.twitter.com/vicky_daly", "vicky_daly")</f>
        <v>vicky_daly</v>
      </c>
      <c r="B11321" s="65" t="s">
        <v>33</v>
      </c>
    </row>
    <row r="11322" spans="1:2" x14ac:dyDescent="0.25">
      <c r="A11322" s="64" t="str">
        <f>HYPERLINK("http://www.twitter.com/SuaveRepublique", "SuaveRepublique")</f>
        <v>SuaveRepublique</v>
      </c>
      <c r="B11322" s="65" t="s">
        <v>7355</v>
      </c>
    </row>
    <row r="11323" spans="1:2" x14ac:dyDescent="0.25">
      <c r="A11323" s="64" t="str">
        <f>HYPERLINK("http://www.twitter.com/SarahGwrites", "SarahGwrites")</f>
        <v>SarahGwrites</v>
      </c>
      <c r="B11323" s="65" t="s">
        <v>138</v>
      </c>
    </row>
    <row r="11324" spans="1:2" x14ac:dyDescent="0.25">
      <c r="A11324" s="64" t="str">
        <f>HYPERLINK("http://www.twitter.com/DTWorkNew", "DTWorkNew")</f>
        <v>DTWorkNew</v>
      </c>
      <c r="B11324" s="65" t="s">
        <v>7356</v>
      </c>
    </row>
    <row r="11325" spans="1:2" x14ac:dyDescent="0.25">
      <c r="A11325" s="64" t="str">
        <f>HYPERLINK("http://www.twitter.com/matthewjpb", "matthewjpb")</f>
        <v>matthewjpb</v>
      </c>
      <c r="B11325" s="65" t="s">
        <v>7357</v>
      </c>
    </row>
    <row r="11326" spans="1:2" x14ac:dyDescent="0.25">
      <c r="A11326" s="64" t="str">
        <f>HYPERLINK("http://www.twitter.com/RCCandW", "RCCandW")</f>
        <v>RCCandW</v>
      </c>
      <c r="B11326" s="65" t="s">
        <v>7358</v>
      </c>
    </row>
    <row r="11327" spans="1:2" x14ac:dyDescent="0.25">
      <c r="A11327" s="64" t="str">
        <f>HYPERLINK("http://www.twitter.com/Mike_Ramalho", "Mike_Ramalho")</f>
        <v>Mike_Ramalho</v>
      </c>
      <c r="B11327" s="65" t="s">
        <v>5103</v>
      </c>
    </row>
    <row r="11328" spans="1:2" x14ac:dyDescent="0.25">
      <c r="A11328" s="64" t="str">
        <f>HYPERLINK("http://www.twitter.com/taparama", "taparama")</f>
        <v>taparama</v>
      </c>
      <c r="B11328" s="65"/>
    </row>
    <row r="11329" spans="1:2" x14ac:dyDescent="0.25">
      <c r="A11329" s="64" t="str">
        <f>HYPERLINK("http://www.twitter.com/JustJimWillDo", "JustJimWillDo")</f>
        <v>JustJimWillDo</v>
      </c>
      <c r="B11329" s="65" t="s">
        <v>7359</v>
      </c>
    </row>
    <row r="11330" spans="1:2" x14ac:dyDescent="0.25">
      <c r="A11330" s="64" t="str">
        <f>HYPERLINK("http://www.twitter.com/stitchthisfiona", "stitchthisfiona")</f>
        <v>stitchthisfiona</v>
      </c>
      <c r="B11330" s="65" t="s">
        <v>67</v>
      </c>
    </row>
    <row r="11331" spans="1:2" x14ac:dyDescent="0.25">
      <c r="A11331" s="64" t="str">
        <f>HYPERLINK("http://www.twitter.com/jas886788", "jas886788")</f>
        <v>jas886788</v>
      </c>
      <c r="B11331" s="65"/>
    </row>
    <row r="11332" spans="1:2" x14ac:dyDescent="0.25">
      <c r="A11332" s="64" t="str">
        <f>HYPERLINK("http://www.twitter.com/codeinedrums", "codeinedrums")</f>
        <v>codeinedrums</v>
      </c>
      <c r="B11332" s="65" t="s">
        <v>110</v>
      </c>
    </row>
    <row r="11333" spans="1:2" x14ac:dyDescent="0.25">
      <c r="A11333" s="64" t="str">
        <f>HYPERLINK("http://www.twitter.com/anneches123", "anneches123")</f>
        <v>anneches123</v>
      </c>
      <c r="B11333" s="65"/>
    </row>
    <row r="11334" spans="1:2" x14ac:dyDescent="0.25">
      <c r="A11334" s="64" t="str">
        <f>HYPERLINK("http://www.twitter.com/rharperweir", "rharperweir")</f>
        <v>rharperweir</v>
      </c>
      <c r="B11334" s="65" t="s">
        <v>138</v>
      </c>
    </row>
    <row r="11335" spans="1:2" x14ac:dyDescent="0.25">
      <c r="A11335" s="64" t="str">
        <f>HYPERLINK("http://www.twitter.com/SheenaHorner", "SheenaHorner")</f>
        <v>SheenaHorner</v>
      </c>
      <c r="B11335" s="65" t="s">
        <v>7360</v>
      </c>
    </row>
    <row r="11336" spans="1:2" x14ac:dyDescent="0.25">
      <c r="A11336" s="64" t="str">
        <f>HYPERLINK("http://www.twitter.com/Celebs4indy", "Celebs4indy")</f>
        <v>Celebs4indy</v>
      </c>
      <c r="B11336" s="65" t="s">
        <v>138</v>
      </c>
    </row>
    <row r="11337" spans="1:2" x14ac:dyDescent="0.25">
      <c r="A11337" s="64" t="str">
        <f>HYPERLINK("http://www.twitter.com/DanDartsDawson", "DanDartsDawson")</f>
        <v>DanDartsDawson</v>
      </c>
      <c r="B11337" s="65" t="s">
        <v>2030</v>
      </c>
    </row>
    <row r="11338" spans="1:2" x14ac:dyDescent="0.25">
      <c r="A11338" s="64" t="str">
        <f>HYPERLINK("http://www.twitter.com/modulemark", "modulemark")</f>
        <v>modulemark</v>
      </c>
      <c r="B11338" s="65" t="s">
        <v>7338</v>
      </c>
    </row>
    <row r="11339" spans="1:2" x14ac:dyDescent="0.25">
      <c r="A11339" s="64" t="str">
        <f>HYPERLINK("http://www.twitter.com/AMack_91", "AMack_91")</f>
        <v>AMack_91</v>
      </c>
      <c r="B11339" s="65" t="s">
        <v>36</v>
      </c>
    </row>
    <row r="11340" spans="1:2" x14ac:dyDescent="0.25">
      <c r="A11340" s="64" t="str">
        <f>HYPERLINK("http://www.twitter.com/emilyjessturner", "emilyjessturner")</f>
        <v>emilyjessturner</v>
      </c>
      <c r="B11340" s="65" t="s">
        <v>7361</v>
      </c>
    </row>
    <row r="11341" spans="1:2" x14ac:dyDescent="0.25">
      <c r="A11341" s="64" t="str">
        <f>HYPERLINK("http://www.twitter.com/twitsplatt", "twitsplatt")</f>
        <v>twitsplatt</v>
      </c>
      <c r="B11341" s="65" t="s">
        <v>7362</v>
      </c>
    </row>
    <row r="11342" spans="1:2" x14ac:dyDescent="0.25">
      <c r="A11342" s="64" t="str">
        <f>HYPERLINK("http://www.twitter.com/amjohnno", "amjohnno")</f>
        <v>amjohnno</v>
      </c>
      <c r="B11342" s="65" t="s">
        <v>7363</v>
      </c>
    </row>
    <row r="11343" spans="1:2" x14ac:dyDescent="0.25">
      <c r="A11343" s="64" t="str">
        <f>HYPERLINK("http://www.twitter.com/BonehouseWasps", "BonehouseWasps")</f>
        <v>BonehouseWasps</v>
      </c>
      <c r="B11343" s="65" t="s">
        <v>7233</v>
      </c>
    </row>
    <row r="11344" spans="1:2" x14ac:dyDescent="0.25">
      <c r="A11344" s="64" t="str">
        <f>HYPERLINK("http://www.twitter.com/mattdean26", "mattdean26")</f>
        <v>mattdean26</v>
      </c>
      <c r="B11344" s="65"/>
    </row>
    <row r="11345" spans="1:2" x14ac:dyDescent="0.25">
      <c r="A11345" s="64" t="str">
        <f>HYPERLINK("http://www.twitter.com/debaser50", "debaser50")</f>
        <v>debaser50</v>
      </c>
      <c r="B11345" s="65"/>
    </row>
    <row r="11346" spans="1:2" x14ac:dyDescent="0.25">
      <c r="A11346" s="64" t="str">
        <f>HYPERLINK("http://www.twitter.com/rebeccaehq", "rebeccaehq")</f>
        <v>rebeccaehq</v>
      </c>
      <c r="B11346" s="65"/>
    </row>
    <row r="11347" spans="1:2" x14ac:dyDescent="0.25">
      <c r="A11347" s="64" t="str">
        <f>HYPERLINK("http://www.twitter.com/samcallard", "samcallard")</f>
        <v>samcallard</v>
      </c>
      <c r="B11347" s="65" t="s">
        <v>1189</v>
      </c>
    </row>
    <row r="11348" spans="1:2" x14ac:dyDescent="0.25">
      <c r="A11348" s="64" t="str">
        <f>HYPERLINK("http://www.twitter.com/smather4", "smather4")</f>
        <v>smather4</v>
      </c>
      <c r="B11348" s="65" t="s">
        <v>7364</v>
      </c>
    </row>
    <row r="11349" spans="1:2" x14ac:dyDescent="0.25">
      <c r="A11349" s="64" t="str">
        <f>HYPERLINK("http://www.twitter.com/ianbrice", "ianbrice")</f>
        <v>ianbrice</v>
      </c>
      <c r="B11349" s="65" t="s">
        <v>4171</v>
      </c>
    </row>
    <row r="11350" spans="1:2" x14ac:dyDescent="0.25">
      <c r="A11350" s="64" t="str">
        <f>HYPERLINK("http://www.twitter.com/PV_Physicist", "PV_Physicist")</f>
        <v>PV_Physicist</v>
      </c>
      <c r="B11350" s="65"/>
    </row>
    <row r="11351" spans="1:2" x14ac:dyDescent="0.25">
      <c r="A11351" s="64" t="str">
        <f>HYPERLINK("http://www.twitter.com/KarynBurnham", "KarynBurnham")</f>
        <v>KarynBurnham</v>
      </c>
      <c r="B11351" s="65" t="s">
        <v>7365</v>
      </c>
    </row>
    <row r="11352" spans="1:2" x14ac:dyDescent="0.25">
      <c r="A11352" s="64" t="str">
        <f>HYPERLINK("http://www.twitter.com/NobleRedDevil", "NobleRedDevil")</f>
        <v>NobleRedDevil</v>
      </c>
      <c r="B11352" s="65" t="s">
        <v>7366</v>
      </c>
    </row>
    <row r="11353" spans="1:2" x14ac:dyDescent="0.25">
      <c r="A11353" s="64" t="str">
        <f>HYPERLINK("http://www.twitter.com/ramsay_bill", "ramsay_bill")</f>
        <v>ramsay_bill</v>
      </c>
      <c r="B11353" s="65" t="s">
        <v>7367</v>
      </c>
    </row>
    <row r="11354" spans="1:2" x14ac:dyDescent="0.25">
      <c r="A11354" s="64" t="str">
        <f>HYPERLINK("http://www.twitter.com/sfeegrade", "sfeegrade")</f>
        <v>sfeegrade</v>
      </c>
      <c r="B11354" s="65"/>
    </row>
    <row r="11355" spans="1:2" x14ac:dyDescent="0.25">
      <c r="A11355" s="64" t="str">
        <f>HYPERLINK("http://www.twitter.com/canongatebooks", "canongatebooks")</f>
        <v>canongatebooks</v>
      </c>
      <c r="B11355" s="65" t="s">
        <v>7368</v>
      </c>
    </row>
    <row r="11356" spans="1:2" x14ac:dyDescent="0.25">
      <c r="A11356" s="64" t="str">
        <f>HYPERLINK("http://www.twitter.com/DearJane", "DearJane")</f>
        <v>DearJane</v>
      </c>
      <c r="B11356" s="65" t="s">
        <v>7369</v>
      </c>
    </row>
    <row r="11357" spans="1:2" x14ac:dyDescent="0.25">
      <c r="A11357" s="64" t="str">
        <f>HYPERLINK("http://www.twitter.com/jlukeroberts", "jlukeroberts")</f>
        <v>jlukeroberts</v>
      </c>
      <c r="B11357" s="65"/>
    </row>
    <row r="11358" spans="1:2" x14ac:dyDescent="0.25">
      <c r="A11358" s="64" t="str">
        <f>HYPERLINK("http://www.twitter.com/JamieWaterston", "JamieWaterston")</f>
        <v>JamieWaterston</v>
      </c>
      <c r="B11358" s="65" t="s">
        <v>7370</v>
      </c>
    </row>
    <row r="11359" spans="1:2" x14ac:dyDescent="0.25">
      <c r="A11359" s="64" t="str">
        <f>HYPERLINK("http://www.twitter.com/withmountains", "withmountains")</f>
        <v>withmountains</v>
      </c>
      <c r="B11359" s="65"/>
    </row>
    <row r="11360" spans="1:2" x14ac:dyDescent="0.25">
      <c r="A11360" s="64" t="str">
        <f>HYPERLINK("http://www.twitter.com/benelwell", "benelwell")</f>
        <v>benelwell</v>
      </c>
      <c r="B11360" s="65" t="s">
        <v>5135</v>
      </c>
    </row>
    <row r="11361" spans="1:2" x14ac:dyDescent="0.25">
      <c r="A11361" s="64" t="str">
        <f>HYPERLINK("http://www.twitter.com/AnnaSayburn", "AnnaSayburn")</f>
        <v>AnnaSayburn</v>
      </c>
      <c r="B11361" s="65" t="s">
        <v>110</v>
      </c>
    </row>
    <row r="11362" spans="1:2" x14ac:dyDescent="0.25">
      <c r="A11362" s="64" t="str">
        <f>HYPERLINK("http://www.twitter.com/harrisonmike", "harrisonmike")</f>
        <v>harrisonmike</v>
      </c>
      <c r="B11362" s="65" t="s">
        <v>36</v>
      </c>
    </row>
    <row r="11363" spans="1:2" x14ac:dyDescent="0.25">
      <c r="A11363" s="64" t="str">
        <f>HYPERLINK("http://www.twitter.com/jessreid", "jessreid")</f>
        <v>jessreid</v>
      </c>
      <c r="B11363" s="65" t="s">
        <v>487</v>
      </c>
    </row>
    <row r="11364" spans="1:2" x14ac:dyDescent="0.25">
      <c r="A11364" s="64" t="str">
        <f>HYPERLINK("http://www.twitter.com/gaynor_warlow", "gaynor_warlow")</f>
        <v>gaynor_warlow</v>
      </c>
      <c r="B11364" s="65" t="s">
        <v>7371</v>
      </c>
    </row>
    <row r="11365" spans="1:2" x14ac:dyDescent="0.25">
      <c r="A11365" s="64" t="str">
        <f>HYPERLINK("http://www.twitter.com/laurasynthesis", "laurasynthesis")</f>
        <v>laurasynthesis</v>
      </c>
      <c r="B11365" s="65" t="s">
        <v>36</v>
      </c>
    </row>
    <row r="11366" spans="1:2" x14ac:dyDescent="0.25">
      <c r="A11366" s="64" t="str">
        <f>HYPERLINK("http://www.twitter.com/lindaislive", "lindaislive")</f>
        <v>lindaislive</v>
      </c>
      <c r="B11366" s="65" t="s">
        <v>318</v>
      </c>
    </row>
    <row r="11367" spans="1:2" x14ac:dyDescent="0.25">
      <c r="A11367" s="64" t="str">
        <f>HYPERLINK("http://www.twitter.com/MartinBelam", "MartinBelam")</f>
        <v>MartinBelam</v>
      </c>
      <c r="B11367" s="65" t="s">
        <v>7372</v>
      </c>
    </row>
    <row r="11368" spans="1:2" x14ac:dyDescent="0.25">
      <c r="A11368" s="64" t="str">
        <f>HYPERLINK("http://www.twitter.com/GRJB77", "GRJB77")</f>
        <v>GRJB77</v>
      </c>
      <c r="B11368" s="65" t="s">
        <v>4519</v>
      </c>
    </row>
    <row r="11369" spans="1:2" x14ac:dyDescent="0.25">
      <c r="A11369" s="64" t="str">
        <f>HYPERLINK("http://www.twitter.com/SJOHart", "SJOHart")</f>
        <v>SJOHart</v>
      </c>
      <c r="B11369" s="65" t="s">
        <v>4062</v>
      </c>
    </row>
    <row r="11370" spans="1:2" x14ac:dyDescent="0.25">
      <c r="A11370" s="64" t="str">
        <f>HYPERLINK("http://www.twitter.com/lazyhedwig", "lazyhedwig")</f>
        <v>lazyhedwig</v>
      </c>
      <c r="B11370" s="65"/>
    </row>
    <row r="11371" spans="1:2" x14ac:dyDescent="0.25">
      <c r="A11371" s="64" t="str">
        <f>HYPERLINK("http://www.twitter.com/thy_sar", "thy_sar")</f>
        <v>thy_sar</v>
      </c>
      <c r="B11371" s="65"/>
    </row>
    <row r="11372" spans="1:2" x14ac:dyDescent="0.25">
      <c r="A11372" s="64" t="str">
        <f>HYPERLINK("http://www.twitter.com/daniellegrace__", "daniellegrace__")</f>
        <v>daniellegrace__</v>
      </c>
      <c r="B11372" s="65" t="s">
        <v>5543</v>
      </c>
    </row>
    <row r="11373" spans="1:2" x14ac:dyDescent="0.25">
      <c r="A11373" s="64" t="str">
        <f>HYPERLINK("http://www.twitter.com/r45923790", "r45923790")</f>
        <v>r45923790</v>
      </c>
      <c r="B11373" s="65" t="s">
        <v>3948</v>
      </c>
    </row>
    <row r="11374" spans="1:2" x14ac:dyDescent="0.25">
      <c r="A11374" s="64" t="str">
        <f>HYPERLINK("http://www.twitter.com/verified", "verified")</f>
        <v>verified</v>
      </c>
      <c r="B11374" s="65" t="s">
        <v>7373</v>
      </c>
    </row>
    <row r="11375" spans="1:2" x14ac:dyDescent="0.25">
      <c r="A11375" s="64" t="str">
        <f>HYPERLINK("http://www.twitter.com/Davidselecta1", "Davidselecta1")</f>
        <v>Davidselecta1</v>
      </c>
      <c r="B11375" s="65" t="s">
        <v>7374</v>
      </c>
    </row>
    <row r="11376" spans="1:2" x14ac:dyDescent="0.25">
      <c r="A11376" s="64" t="str">
        <f>HYPERLINK("http://www.twitter.com/coralpt", "coralpt")</f>
        <v>coralpt</v>
      </c>
      <c r="B11376" s="65"/>
    </row>
    <row r="11377" spans="1:2" x14ac:dyDescent="0.25">
      <c r="A11377" s="64" t="str">
        <f>HYPERLINK("http://www.twitter.com/SoupingTheABCs", "SoupingTheABCs")</f>
        <v>SoupingTheABCs</v>
      </c>
      <c r="B11377" s="65" t="s">
        <v>2007</v>
      </c>
    </row>
    <row r="11378" spans="1:2" x14ac:dyDescent="0.25">
      <c r="A11378" s="64" t="str">
        <f>HYPERLINK("http://www.twitter.com/ReteBiblioBG", "ReteBiblioBG")</f>
        <v>ReteBiblioBG</v>
      </c>
      <c r="B11378" s="65" t="s">
        <v>7375</v>
      </c>
    </row>
    <row r="11379" spans="1:2" x14ac:dyDescent="0.25">
      <c r="A11379" s="64" t="str">
        <f>HYPERLINK("http://www.twitter.com/orkney_livewire", "orkney_livewire")</f>
        <v>orkney_livewire</v>
      </c>
      <c r="B11379" s="65" t="s">
        <v>4519</v>
      </c>
    </row>
    <row r="11380" spans="1:2" x14ac:dyDescent="0.25">
      <c r="A11380" s="64" t="str">
        <f>HYPERLINK("http://www.twitter.com/JWGRAYPLC", "JWGRAYPLC")</f>
        <v>JWGRAYPLC</v>
      </c>
      <c r="B11380" s="65" t="s">
        <v>7376</v>
      </c>
    </row>
    <row r="11381" spans="1:2" x14ac:dyDescent="0.25">
      <c r="A11381" s="64" t="str">
        <f>HYPERLINK("http://www.twitter.com/BiblioFigueres", "BiblioFigueres")</f>
        <v>BiblioFigueres</v>
      </c>
      <c r="B11381" s="65" t="s">
        <v>7377</v>
      </c>
    </row>
    <row r="11382" spans="1:2" x14ac:dyDescent="0.25">
      <c r="A11382" s="64" t="str">
        <f>HYPERLINK("http://www.twitter.com/KeithCharters", "KeithCharters")</f>
        <v>KeithCharters</v>
      </c>
      <c r="B11382" s="65" t="s">
        <v>138</v>
      </c>
    </row>
    <row r="11383" spans="1:2" x14ac:dyDescent="0.25">
      <c r="A11383" s="64" t="str">
        <f>HYPERLINK("http://www.twitter.com/wab_studio", "wab_studio")</f>
        <v>wab_studio</v>
      </c>
      <c r="B11383" s="65" t="s">
        <v>5325</v>
      </c>
    </row>
    <row r="11384" spans="1:2" x14ac:dyDescent="0.25">
      <c r="A11384" s="64" t="str">
        <f>HYPERLINK("http://www.twitter.com/LucyOSullivan88", "LucyOSullivan88")</f>
        <v>LucyOSullivan88</v>
      </c>
      <c r="B11384" s="65" t="s">
        <v>36</v>
      </c>
    </row>
    <row r="11385" spans="1:2" x14ac:dyDescent="0.25">
      <c r="A11385" s="64" t="str">
        <f>HYPERLINK("http://www.twitter.com/elizharcus1", "elizharcus1")</f>
        <v>elizharcus1</v>
      </c>
      <c r="B11385" s="65"/>
    </row>
    <row r="11386" spans="1:2" x14ac:dyDescent="0.25">
      <c r="A11386" s="64" t="str">
        <f>HYPERLINK("http://www.twitter.com/bevbogoeff", "bevbogoeff")</f>
        <v>bevbogoeff</v>
      </c>
      <c r="B11386" s="65"/>
    </row>
    <row r="11387" spans="1:2" x14ac:dyDescent="0.25">
      <c r="A11387" s="64" t="str">
        <f>HYPERLINK("http://www.twitter.com/androohughes", "androohughes")</f>
        <v>androohughes</v>
      </c>
      <c r="B11387" s="65"/>
    </row>
    <row r="11388" spans="1:2" x14ac:dyDescent="0.25">
      <c r="A11388" s="64" t="str">
        <f>HYPERLINK("http://www.twitter.com/alytbennett", "alytbennett")</f>
        <v>alytbennett</v>
      </c>
      <c r="B11388" s="65" t="s">
        <v>7378</v>
      </c>
    </row>
    <row r="11389" spans="1:2" x14ac:dyDescent="0.25">
      <c r="A11389" s="64" t="str">
        <f>HYPERLINK("http://www.twitter.com/OutlanderHome", "OutlanderHome")</f>
        <v>OutlanderHome</v>
      </c>
      <c r="B11389" s="65" t="s">
        <v>7379</v>
      </c>
    </row>
    <row r="11390" spans="1:2" x14ac:dyDescent="0.25">
      <c r="A11390" s="64" t="str">
        <f>HYPERLINK("http://www.twitter.com/bagilkin", "bagilkin")</f>
        <v>bagilkin</v>
      </c>
      <c r="B11390" s="65"/>
    </row>
    <row r="11391" spans="1:2" x14ac:dyDescent="0.25">
      <c r="A11391" s="64" t="str">
        <f>HYPERLINK("http://www.twitter.com/HollyAPage", "HollyAPage")</f>
        <v>HollyAPage</v>
      </c>
      <c r="B11391" s="65" t="s">
        <v>296</v>
      </c>
    </row>
    <row r="11392" spans="1:2" x14ac:dyDescent="0.25">
      <c r="A11392" s="64" t="str">
        <f>HYPERLINK("http://www.twitter.com/DrChrisAndersen", "DrChrisAndersen")</f>
        <v>DrChrisAndersen</v>
      </c>
      <c r="B11392" s="65" t="s">
        <v>4616</v>
      </c>
    </row>
    <row r="11393" spans="1:2" x14ac:dyDescent="0.25">
      <c r="A11393" s="64" t="str">
        <f>HYPERLINK("http://www.twitter.com/greg_jenner", "greg_jenner")</f>
        <v>greg_jenner</v>
      </c>
      <c r="B11393" s="65" t="s">
        <v>141</v>
      </c>
    </row>
    <row r="11394" spans="1:2" x14ac:dyDescent="0.25">
      <c r="A11394" s="64" t="str">
        <f>HYPERLINK("http://www.twitter.com/LabPartyTom", "LabPartyTom")</f>
        <v>LabPartyTom</v>
      </c>
      <c r="B11394" s="65"/>
    </row>
    <row r="11395" spans="1:2" x14ac:dyDescent="0.25">
      <c r="A11395" s="64" t="str">
        <f>HYPERLINK("http://www.twitter.com/criscola", "criscola")</f>
        <v>criscola</v>
      </c>
      <c r="B11395" s="65"/>
    </row>
    <row r="11396" spans="1:2" x14ac:dyDescent="0.25">
      <c r="A11396" s="64" t="str">
        <f>HYPERLINK("http://www.twitter.com/glaceon72", "glaceon72")</f>
        <v>glaceon72</v>
      </c>
      <c r="B11396" s="65" t="s">
        <v>4501</v>
      </c>
    </row>
    <row r="11397" spans="1:2" x14ac:dyDescent="0.25">
      <c r="A11397" s="64" t="str">
        <f>HYPERLINK("http://www.twitter.com/IcedPuns", "IcedPuns")</f>
        <v>IcedPuns</v>
      </c>
      <c r="B11397" s="65" t="s">
        <v>4820</v>
      </c>
    </row>
    <row r="11398" spans="1:2" x14ac:dyDescent="0.25">
      <c r="A11398" s="64" t="str">
        <f>HYPERLINK("http://www.twitter.com/TreeHouseBkshop", "TreeHouseBkshop")</f>
        <v>TreeHouseBkshop</v>
      </c>
      <c r="B11398" s="65" t="s">
        <v>7380</v>
      </c>
    </row>
    <row r="11399" spans="1:2" x14ac:dyDescent="0.25">
      <c r="A11399" s="64" t="str">
        <f>HYPERLINK("http://www.twitter.com/HelenBranton1", "HelenBranton1")</f>
        <v>HelenBranton1</v>
      </c>
      <c r="B11399" s="65"/>
    </row>
    <row r="11400" spans="1:2" x14ac:dyDescent="0.25">
      <c r="A11400" s="64" t="str">
        <f>HYPERLINK("http://www.twitter.com/rowsue72", "rowsue72")</f>
        <v>rowsue72</v>
      </c>
      <c r="B11400" s="65" t="s">
        <v>2007</v>
      </c>
    </row>
    <row r="11401" spans="1:2" x14ac:dyDescent="0.25">
      <c r="A11401" s="64" t="str">
        <f>HYPERLINK("http://www.twitter.com/CouncillorR2014", "CouncillorR2014")</f>
        <v>CouncillorR2014</v>
      </c>
      <c r="B11401" s="65" t="s">
        <v>318</v>
      </c>
    </row>
    <row r="11402" spans="1:2" x14ac:dyDescent="0.25">
      <c r="A11402" s="64" t="str">
        <f>HYPERLINK("http://www.twitter.com/ExistenceCharmD", "ExistenceCharmD")</f>
        <v>ExistenceCharmD</v>
      </c>
      <c r="B11402" s="65" t="s">
        <v>7381</v>
      </c>
    </row>
    <row r="11403" spans="1:2" x14ac:dyDescent="0.25">
      <c r="A11403" s="64" t="str">
        <f>HYPERLINK("http://www.twitter.com/joannak_j", "joannak_j")</f>
        <v>joannak_j</v>
      </c>
      <c r="B11403" s="65" t="s">
        <v>487</v>
      </c>
    </row>
    <row r="11404" spans="1:2" x14ac:dyDescent="0.25">
      <c r="A11404" s="64" t="str">
        <f>HYPERLINK("http://www.twitter.com/JacobOsullivan", "JacobOsullivan")</f>
        <v>JacobOsullivan</v>
      </c>
      <c r="B11404" s="65" t="s">
        <v>7382</v>
      </c>
    </row>
    <row r="11405" spans="1:2" x14ac:dyDescent="0.25">
      <c r="A11405" s="64" t="str">
        <f>HYPERLINK("http://www.twitter.com/histoholic1", "histoholic1")</f>
        <v>histoholic1</v>
      </c>
      <c r="B11405" s="65"/>
    </row>
    <row r="11406" spans="1:2" x14ac:dyDescent="0.25">
      <c r="A11406" s="64" t="str">
        <f>HYPERLINK("http://www.twitter.com/Bright_Point", "Bright_Point")</f>
        <v>Bright_Point</v>
      </c>
      <c r="B11406" s="65" t="s">
        <v>36</v>
      </c>
    </row>
    <row r="11407" spans="1:2" x14ac:dyDescent="0.25">
      <c r="A11407" s="64" t="str">
        <f>HYPERLINK("http://www.twitter.com/CASE_Europe", "CASE_Europe")</f>
        <v>CASE_Europe</v>
      </c>
      <c r="B11407" s="65" t="s">
        <v>7383</v>
      </c>
    </row>
    <row r="11408" spans="1:2" x14ac:dyDescent="0.25">
      <c r="A11408" s="64" t="str">
        <f>HYPERLINK("http://www.twitter.com/TheDivineBebe", "TheDivineBebe")</f>
        <v>TheDivineBebe</v>
      </c>
      <c r="B11408" s="65" t="s">
        <v>7384</v>
      </c>
    </row>
    <row r="11409" spans="1:2" x14ac:dyDescent="0.25">
      <c r="A11409" s="64" t="str">
        <f>HYPERLINK("http://www.twitter.com/solslib", "solslib")</f>
        <v>solslib</v>
      </c>
      <c r="B11409" s="65" t="s">
        <v>4681</v>
      </c>
    </row>
    <row r="11410" spans="1:2" x14ac:dyDescent="0.25">
      <c r="A11410" s="64" t="str">
        <f>HYPERLINK("http://www.twitter.com/libstanmore", "libstanmore")</f>
        <v>libstanmore</v>
      </c>
      <c r="B11410" s="65" t="s">
        <v>7385</v>
      </c>
    </row>
    <row r="11411" spans="1:2" x14ac:dyDescent="0.25">
      <c r="A11411" s="64" t="str">
        <f>HYPERLINK("http://www.twitter.com/Young__Writers", "Young__Writers")</f>
        <v>Young__Writers</v>
      </c>
      <c r="B11411" s="65"/>
    </row>
    <row r="11412" spans="1:2" x14ac:dyDescent="0.25">
      <c r="A11412" s="64" t="str">
        <f>HYPERLINK("http://www.twitter.com/Bibliosophus", "Bibliosophus")</f>
        <v>Bibliosophus</v>
      </c>
      <c r="B11412" s="65"/>
    </row>
    <row r="11413" spans="1:2" x14ac:dyDescent="0.25">
      <c r="A11413" s="64" t="str">
        <f>HYPERLINK("http://www.twitter.com/kim_h_1", "kim_h_1")</f>
        <v>kim_h_1</v>
      </c>
      <c r="B11413" s="65" t="s">
        <v>477</v>
      </c>
    </row>
    <row r="11414" spans="1:2" x14ac:dyDescent="0.25">
      <c r="A11414" s="64" t="str">
        <f>HYPERLINK("http://www.twitter.com/rebelraising", "rebelraising")</f>
        <v>rebelraising</v>
      </c>
      <c r="B11414" s="65" t="s">
        <v>24</v>
      </c>
    </row>
    <row r="11415" spans="1:2" x14ac:dyDescent="0.25">
      <c r="A11415" s="64" t="str">
        <f>HYPERLINK("http://www.twitter.com/GarryBurton5", "GarryBurton5")</f>
        <v>GarryBurton5</v>
      </c>
      <c r="B11415" s="65"/>
    </row>
    <row r="11416" spans="1:2" x14ac:dyDescent="0.25">
      <c r="A11416" s="64" t="str">
        <f>HYPERLINK("http://www.twitter.com/Pujol_Imma", "Pujol_Imma")</f>
        <v>Pujol_Imma</v>
      </c>
      <c r="B11416" s="65"/>
    </row>
    <row r="11417" spans="1:2" x14ac:dyDescent="0.25">
      <c r="A11417" s="64" t="str">
        <f>HYPERLINK("http://www.twitter.com/elyehiawy", "elyehiawy")</f>
        <v>elyehiawy</v>
      </c>
      <c r="B11417" s="65" t="s">
        <v>7386</v>
      </c>
    </row>
    <row r="11418" spans="1:2" x14ac:dyDescent="0.25">
      <c r="A11418" s="64" t="str">
        <f>HYPERLINK("http://www.twitter.com/ShantyChoir", "ShantyChoir")</f>
        <v>ShantyChoir</v>
      </c>
      <c r="B11418" s="65" t="s">
        <v>477</v>
      </c>
    </row>
    <row r="11419" spans="1:2" x14ac:dyDescent="0.25">
      <c r="A11419" s="64" t="str">
        <f>HYPERLINK("http://www.twitter.com/eclaress", "eclaress")</f>
        <v>eclaress</v>
      </c>
      <c r="B11419" s="65"/>
    </row>
    <row r="11420" spans="1:2" x14ac:dyDescent="0.25">
      <c r="A11420" s="64" t="str">
        <f>HYPERLINK("http://www.twitter.com/Scott_Pryor", "Scott_Pryor")</f>
        <v>Scott_Pryor</v>
      </c>
      <c r="B11420" s="65" t="s">
        <v>1218</v>
      </c>
    </row>
    <row r="11421" spans="1:2" x14ac:dyDescent="0.25">
      <c r="A11421" s="64" t="str">
        <f>HYPERLINK("http://www.twitter.com/JNatercio", "JNatercio")</f>
        <v>JNatercio</v>
      </c>
      <c r="B11421" s="65" t="s">
        <v>7387</v>
      </c>
    </row>
    <row r="11422" spans="1:2" x14ac:dyDescent="0.25">
      <c r="A11422" s="64" t="str">
        <f>HYPERLINK("http://www.twitter.com/Ruth__Alexander", "Ruth__Alexander")</f>
        <v>Ruth__Alexander</v>
      </c>
      <c r="B11422" s="65" t="s">
        <v>36</v>
      </c>
    </row>
    <row r="11423" spans="1:2" x14ac:dyDescent="0.25">
      <c r="A11423" s="64" t="str">
        <f>HYPERLINK("http://www.twitter.com/AnnaDrever", "AnnaDrever")</f>
        <v>AnnaDrever</v>
      </c>
      <c r="B11423" s="65" t="s">
        <v>7388</v>
      </c>
    </row>
    <row r="11424" spans="1:2" x14ac:dyDescent="0.25">
      <c r="A11424" s="64" t="str">
        <f>HYPERLINK("http://www.twitter.com/DouglasLib", "DouglasLib")</f>
        <v>DouglasLib</v>
      </c>
      <c r="B11424" s="65" t="s">
        <v>7389</v>
      </c>
    </row>
    <row r="11425" spans="1:2" x14ac:dyDescent="0.25">
      <c r="A11425" s="64" t="str">
        <f>HYPERLINK("http://www.twitter.com/JoAnneValentine", "JoAnneValentine")</f>
        <v>JoAnneValentine</v>
      </c>
      <c r="B11425" s="65"/>
    </row>
    <row r="11426" spans="1:2" x14ac:dyDescent="0.25">
      <c r="A11426" s="64" t="str">
        <f>HYPERLINK("http://www.twitter.com/DiannosaurusRex", "DiannosaurusRex")</f>
        <v>DiannosaurusRex</v>
      </c>
      <c r="B11426" s="65" t="s">
        <v>3863</v>
      </c>
    </row>
    <row r="11427" spans="1:2" x14ac:dyDescent="0.25">
      <c r="A11427" s="64" t="str">
        <f>HYPERLINK("http://www.twitter.com/rmounsor", "rmounsor")</f>
        <v>rmounsor</v>
      </c>
      <c r="B11427" s="65" t="s">
        <v>318</v>
      </c>
    </row>
    <row r="11428" spans="1:2" x14ac:dyDescent="0.25">
      <c r="A11428" s="64" t="str">
        <f>HYPERLINK("http://www.twitter.com/wildsunart", "wildsunart")</f>
        <v>wildsunart</v>
      </c>
      <c r="B11428" s="65" t="s">
        <v>1479</v>
      </c>
    </row>
    <row r="11429" spans="1:2" x14ac:dyDescent="0.25">
      <c r="A11429" s="64" t="str">
        <f>HYPERLINK("http://www.twitter.com/sbnchristine", "sbnchristine")</f>
        <v>sbnchristine</v>
      </c>
      <c r="B11429" s="65"/>
    </row>
    <row r="11430" spans="1:2" x14ac:dyDescent="0.25">
      <c r="A11430" s="64" t="str">
        <f>HYPERLINK("http://www.twitter.com/TurtleAlley", "TurtleAlley")</f>
        <v>TurtleAlley</v>
      </c>
      <c r="B11430" s="65" t="s">
        <v>7390</v>
      </c>
    </row>
    <row r="11431" spans="1:2" x14ac:dyDescent="0.25">
      <c r="A11431" s="64" t="str">
        <f>HYPERLINK("http://www.twitter.com/indus_culture", "indus_culture")</f>
        <v>indus_culture</v>
      </c>
      <c r="B11431" s="65" t="s">
        <v>7391</v>
      </c>
    </row>
    <row r="11432" spans="1:2" x14ac:dyDescent="0.25">
      <c r="A11432" s="64" t="str">
        <f>HYPERLINK("http://www.twitter.com/snowcsVK", "snowcsVK")</f>
        <v>snowcsVK</v>
      </c>
      <c r="B11432" s="65"/>
    </row>
    <row r="11433" spans="1:2" x14ac:dyDescent="0.25">
      <c r="A11433" s="64" t="str">
        <f>HYPERLINK("http://www.twitter.com/idlesewandsew", "idlesewandsew")</f>
        <v>idlesewandsew</v>
      </c>
      <c r="B11433" s="65" t="s">
        <v>4234</v>
      </c>
    </row>
    <row r="11434" spans="1:2" x14ac:dyDescent="0.25">
      <c r="A11434" s="64" t="str">
        <f>HYPERLINK("http://www.twitter.com/madam_dan", "madam_dan")</f>
        <v>madam_dan</v>
      </c>
      <c r="B11434" s="65"/>
    </row>
    <row r="11435" spans="1:2" x14ac:dyDescent="0.25">
      <c r="A11435" s="64" t="str">
        <f>HYPERLINK("http://www.twitter.com/RobertGlancy", "RobertGlancy")</f>
        <v>RobertGlancy</v>
      </c>
      <c r="B11435" s="65" t="s">
        <v>4436</v>
      </c>
    </row>
    <row r="11436" spans="1:2" x14ac:dyDescent="0.25">
      <c r="A11436" s="64" t="str">
        <f>HYPERLINK("http://www.twitter.com/Michell40292446", "Michell40292446")</f>
        <v>Michell40292446</v>
      </c>
      <c r="B11436" s="65"/>
    </row>
    <row r="11437" spans="1:2" x14ac:dyDescent="0.25">
      <c r="A11437" s="64" t="str">
        <f>HYPERLINK("http://www.twitter.com/LoisShedd", "LoisShedd")</f>
        <v>LoisShedd</v>
      </c>
      <c r="B11437" s="65" t="s">
        <v>3978</v>
      </c>
    </row>
    <row r="11438" spans="1:2" x14ac:dyDescent="0.25">
      <c r="A11438" s="64" t="str">
        <f>HYPERLINK("http://www.twitter.com/b28889881", "b28889881")</f>
        <v>b28889881</v>
      </c>
      <c r="B11438" s="65"/>
    </row>
    <row r="11439" spans="1:2" x14ac:dyDescent="0.25">
      <c r="A11439" s="64" t="str">
        <f>HYPERLINK("http://www.twitter.com/innseaganhotel1", "innseaganhotel1")</f>
        <v>innseaganhotel1</v>
      </c>
      <c r="B11439" s="65" t="s">
        <v>7392</v>
      </c>
    </row>
    <row r="11440" spans="1:2" x14ac:dyDescent="0.25">
      <c r="A11440" s="64" t="str">
        <f>HYPERLINK("http://www.twitter.com/Writers_blocked", "Writers_blocked")</f>
        <v>Writers_blocked</v>
      </c>
      <c r="B11440" s="65"/>
    </row>
    <row r="11441" spans="1:2" x14ac:dyDescent="0.25">
      <c r="A11441" s="64" t="str">
        <f>HYPERLINK("http://www.twitter.com/JaneAnd71249818", "JaneAnd71249818")</f>
        <v>JaneAnd71249818</v>
      </c>
      <c r="B11441" s="65" t="s">
        <v>477</v>
      </c>
    </row>
    <row r="11442" spans="1:2" x14ac:dyDescent="0.25">
      <c r="A11442" s="64" t="str">
        <f>HYPERLINK("http://www.twitter.com/cpetersc", "cpetersc")</f>
        <v>cpetersc</v>
      </c>
      <c r="B11442" s="65" t="s">
        <v>3921</v>
      </c>
    </row>
    <row r="11443" spans="1:2" x14ac:dyDescent="0.25">
      <c r="A11443" s="64" t="str">
        <f>HYPERLINK("http://www.twitter.com/FriendLIbrarian", "FriendLIbrarian")</f>
        <v>FriendLIbrarian</v>
      </c>
      <c r="B11443" s="65" t="s">
        <v>3828</v>
      </c>
    </row>
    <row r="11444" spans="1:2" x14ac:dyDescent="0.25">
      <c r="A11444" s="64" t="str">
        <f>HYPERLINK("http://www.twitter.com/HackneyandCo", "HackneyandCo")</f>
        <v>HackneyandCo</v>
      </c>
      <c r="B11444" s="65" t="s">
        <v>4327</v>
      </c>
    </row>
    <row r="11445" spans="1:2" x14ac:dyDescent="0.25">
      <c r="A11445" s="64" t="str">
        <f>HYPERLINK("http://www.twitter.com/EmmyOrlusco", "EmmyOrlusco")</f>
        <v>EmmyOrlusco</v>
      </c>
      <c r="B11445" s="65" t="s">
        <v>7393</v>
      </c>
    </row>
    <row r="11446" spans="1:2" x14ac:dyDescent="0.25">
      <c r="A11446" s="64" t="str">
        <f>HYPERLINK("http://www.twitter.com/stephenkemp1", "stephenkemp1")</f>
        <v>stephenkemp1</v>
      </c>
      <c r="B11446" s="65"/>
    </row>
    <row r="11447" spans="1:2" x14ac:dyDescent="0.25">
      <c r="A11447" s="64" t="str">
        <f>HYPERLINK("http://www.twitter.com/mon1a", "mon1a")</f>
        <v>mon1a</v>
      </c>
      <c r="B11447" s="65"/>
    </row>
    <row r="11448" spans="1:2" x14ac:dyDescent="0.25">
      <c r="A11448" s="64" t="str">
        <f>HYPERLINK("http://www.twitter.com/minjytherobot", "minjytherobot")</f>
        <v>minjytherobot</v>
      </c>
      <c r="B11448" s="65" t="s">
        <v>7394</v>
      </c>
    </row>
    <row r="11449" spans="1:2" x14ac:dyDescent="0.25">
      <c r="A11449" s="64" t="str">
        <f>HYPERLINK("http://www.twitter.com/imcrossellen", "imcrossellen")</f>
        <v>imcrossellen</v>
      </c>
      <c r="B11449" s="65" t="s">
        <v>5566</v>
      </c>
    </row>
    <row r="11450" spans="1:2" x14ac:dyDescent="0.25">
      <c r="A11450" s="64" t="str">
        <f>HYPERLINK("http://www.twitter.com/OrkneyTeaForME", "OrkneyTeaForME")</f>
        <v>OrkneyTeaForME</v>
      </c>
      <c r="B11450" s="65" t="s">
        <v>20</v>
      </c>
    </row>
    <row r="11451" spans="1:2" x14ac:dyDescent="0.25">
      <c r="A11451" s="64" t="str">
        <f>HYPERLINK("http://www.twitter.com/little_nomad", "little_nomad")</f>
        <v>little_nomad</v>
      </c>
      <c r="B11451" s="65"/>
    </row>
    <row r="11452" spans="1:2" x14ac:dyDescent="0.25">
      <c r="A11452" s="64" t="str">
        <f>HYPERLINK("http://www.twitter.com/LakeOntNessie", "LakeOntNessie")</f>
        <v>LakeOntNessie</v>
      </c>
      <c r="B11452" s="65" t="s">
        <v>7395</v>
      </c>
    </row>
    <row r="11453" spans="1:2" x14ac:dyDescent="0.25">
      <c r="A11453" s="64" t="str">
        <f>HYPERLINK("http://www.twitter.com/GGByrne", "GGByrne")</f>
        <v>GGByrne</v>
      </c>
      <c r="B11453" s="65" t="s">
        <v>74</v>
      </c>
    </row>
    <row r="11454" spans="1:2" x14ac:dyDescent="0.25">
      <c r="A11454" s="64" t="str">
        <f>HYPERLINK("http://www.twitter.com/RLWilkie", "RLWilkie")</f>
        <v>RLWilkie</v>
      </c>
      <c r="B11454" s="65" t="s">
        <v>36</v>
      </c>
    </row>
    <row r="11455" spans="1:2" x14ac:dyDescent="0.25">
      <c r="A11455" s="64" t="str">
        <f>HYPERLINK("http://www.twitter.com/IsabelAshdown", "IsabelAshdown")</f>
        <v>IsabelAshdown</v>
      </c>
      <c r="B11455" s="65" t="s">
        <v>7396</v>
      </c>
    </row>
    <row r="11456" spans="1:2" x14ac:dyDescent="0.25">
      <c r="A11456" s="64" t="str">
        <f>HYPERLINK("http://www.twitter.com/culturekhan", "culturekhan")</f>
        <v>culturekhan</v>
      </c>
      <c r="B11456" s="65" t="s">
        <v>487</v>
      </c>
    </row>
    <row r="11457" spans="1:2" x14ac:dyDescent="0.25">
      <c r="A11457" s="64" t="str">
        <f>HYPERLINK("http://www.twitter.com/jezheywood", "jezheywood")</f>
        <v>jezheywood</v>
      </c>
      <c r="B11457" s="65" t="s">
        <v>36</v>
      </c>
    </row>
    <row r="11458" spans="1:2" x14ac:dyDescent="0.25">
      <c r="A11458" s="64" t="str">
        <f>HYPERLINK("http://www.twitter.com/cultcasey", "cultcasey")</f>
        <v>cultcasey</v>
      </c>
      <c r="B11458" s="65" t="s">
        <v>7397</v>
      </c>
    </row>
    <row r="11459" spans="1:2" x14ac:dyDescent="0.25">
      <c r="A11459" s="64" t="str">
        <f>HYPERLINK("http://www.twitter.com/amburke2607", "amburke2607")</f>
        <v>amburke2607</v>
      </c>
      <c r="B11459" s="65"/>
    </row>
    <row r="11460" spans="1:2" x14ac:dyDescent="0.25">
      <c r="A11460" s="64" t="str">
        <f>HYPERLINK("http://www.twitter.com/BooksOldnNew", "BooksOldnNew")</f>
        <v>BooksOldnNew</v>
      </c>
      <c r="B11460" s="65" t="s">
        <v>2792</v>
      </c>
    </row>
    <row r="11461" spans="1:2" x14ac:dyDescent="0.25">
      <c r="A11461" s="64" t="str">
        <f>HYPERLINK("http://www.twitter.com/catamite2", "catamite2")</f>
        <v>catamite2</v>
      </c>
      <c r="B11461" s="65" t="s">
        <v>4500</v>
      </c>
    </row>
    <row r="11462" spans="1:2" x14ac:dyDescent="0.25">
      <c r="A11462" s="64" t="str">
        <f>HYPERLINK("http://www.twitter.com/frogsbreakfast", "frogsbreakfast")</f>
        <v>frogsbreakfast</v>
      </c>
      <c r="B11462" s="65"/>
    </row>
    <row r="11463" spans="1:2" x14ac:dyDescent="0.25">
      <c r="A11463" s="64" t="str">
        <f>HYPERLINK("http://www.twitter.com/GoldsboroBooks", "GoldsboroBooks")</f>
        <v>GoldsboroBooks</v>
      </c>
      <c r="B11463" s="65" t="s">
        <v>7398</v>
      </c>
    </row>
    <row r="11464" spans="1:2" x14ac:dyDescent="0.25">
      <c r="A11464" s="64" t="str">
        <f>HYPERLINK("http://www.twitter.com/LeahJMoyse", "LeahJMoyse")</f>
        <v>LeahJMoyse</v>
      </c>
      <c r="B11464" s="65" t="s">
        <v>7072</v>
      </c>
    </row>
    <row r="11465" spans="1:2" x14ac:dyDescent="0.25">
      <c r="A11465" s="64" t="str">
        <f>HYPERLINK("http://www.twitter.com/_nikkipedia", "_nikkipedia")</f>
        <v>_nikkipedia</v>
      </c>
      <c r="B11465" s="65" t="s">
        <v>7399</v>
      </c>
    </row>
    <row r="11466" spans="1:2" x14ac:dyDescent="0.25">
      <c r="A11466" s="64" t="str">
        <f>HYPERLINK("http://www.twitter.com/clarebatesphoto", "clarebatesphoto")</f>
        <v>clarebatesphoto</v>
      </c>
      <c r="B11466" s="65" t="s">
        <v>7400</v>
      </c>
    </row>
    <row r="11467" spans="1:2" x14ac:dyDescent="0.25">
      <c r="A11467" s="64" t="str">
        <f>HYPERLINK("http://www.twitter.com/Louise_Burke3", "Louise_Burke3")</f>
        <v>Louise_Burke3</v>
      </c>
      <c r="B11467" s="65" t="s">
        <v>487</v>
      </c>
    </row>
    <row r="11468" spans="1:2" x14ac:dyDescent="0.25">
      <c r="A11468" s="64" t="str">
        <f>HYPERLINK("http://www.twitter.com/dinukatare1", "dinukatare1")</f>
        <v>dinukatare1</v>
      </c>
      <c r="B11468" s="65"/>
    </row>
    <row r="11469" spans="1:2" x14ac:dyDescent="0.25">
      <c r="A11469" s="64" t="str">
        <f>HYPERLINK("http://www.twitter.com/laura_keizer", "laura_keizer")</f>
        <v>laura_keizer</v>
      </c>
      <c r="B11469" s="65" t="s">
        <v>487</v>
      </c>
    </row>
    <row r="11470" spans="1:2" x14ac:dyDescent="0.25">
      <c r="A11470" s="64" t="str">
        <f>HYPERLINK("http://www.twitter.com/semanticsdarlin", "semanticsdarlin")</f>
        <v>semanticsdarlin</v>
      </c>
      <c r="B11470" s="65" t="s">
        <v>4309</v>
      </c>
    </row>
    <row r="11471" spans="1:2" x14ac:dyDescent="0.25">
      <c r="A11471" s="64" t="str">
        <f>HYPERLINK("http://www.twitter.com/balsan133", "balsan133")</f>
        <v>balsan133</v>
      </c>
      <c r="B11471" s="65"/>
    </row>
    <row r="11472" spans="1:2" x14ac:dyDescent="0.25">
      <c r="A11472" s="64" t="str">
        <f>HYPERLINK("http://www.twitter.com/MattyBall93", "MattyBall93")</f>
        <v>MattyBall93</v>
      </c>
      <c r="B11472" s="65" t="s">
        <v>4500</v>
      </c>
    </row>
    <row r="11473" spans="1:2" x14ac:dyDescent="0.25">
      <c r="A11473" s="64" t="str">
        <f>HYPERLINK("http://www.twitter.com/WrldTreeProject", "WrldTreeProject")</f>
        <v>WrldTreeProject</v>
      </c>
      <c r="B11473" s="65" t="s">
        <v>7401</v>
      </c>
    </row>
    <row r="11474" spans="1:2" x14ac:dyDescent="0.25">
      <c r="A11474" s="64" t="str">
        <f>HYPERLINK("http://www.twitter.com/crumbstick", "crumbstick")</f>
        <v>crumbstick</v>
      </c>
      <c r="B11474" s="65"/>
    </row>
    <row r="11475" spans="1:2" x14ac:dyDescent="0.25">
      <c r="A11475" s="64" t="str">
        <f>HYPERLINK("http://www.twitter.com/bihani_alok", "bihani_alok")</f>
        <v>bihani_alok</v>
      </c>
      <c r="B11475" s="65" t="s">
        <v>4628</v>
      </c>
    </row>
    <row r="11476" spans="1:2" x14ac:dyDescent="0.25">
      <c r="A11476" s="64" t="str">
        <f>HYPERLINK("http://www.twitter.com/JaneTessaM", "JaneTessaM")</f>
        <v>JaneTessaM</v>
      </c>
      <c r="B11476" s="65"/>
    </row>
    <row r="11477" spans="1:2" x14ac:dyDescent="0.25">
      <c r="A11477" s="64" t="str">
        <f>HYPERLINK("http://www.twitter.com/shrutles", "shrutles")</f>
        <v>shrutles</v>
      </c>
      <c r="B11477" s="65" t="s">
        <v>4703</v>
      </c>
    </row>
    <row r="11478" spans="1:2" x14ac:dyDescent="0.25">
      <c r="A11478" s="64" t="str">
        <f>HYPERLINK("http://www.twitter.com/RethinkingLib", "RethinkingLib")</f>
        <v>RethinkingLib</v>
      </c>
      <c r="B11478" s="65" t="s">
        <v>7402</v>
      </c>
    </row>
    <row r="11479" spans="1:2" x14ac:dyDescent="0.25">
      <c r="A11479" s="64" t="str">
        <f>HYPERLINK("http://www.twitter.com/MarcoGBiagi", "MarcoGBiagi")</f>
        <v>MarcoGBiagi</v>
      </c>
      <c r="B11479" s="65" t="s">
        <v>7403</v>
      </c>
    </row>
    <row r="11480" spans="1:2" x14ac:dyDescent="0.25">
      <c r="A11480" s="64" t="str">
        <f>HYPERLINK("http://www.twitter.com/itsacarolyn", "itsacarolyn")</f>
        <v>itsacarolyn</v>
      </c>
      <c r="B11480" s="65" t="s">
        <v>4309</v>
      </c>
    </row>
    <row r="11481" spans="1:2" x14ac:dyDescent="0.25">
      <c r="A11481" s="64" t="str">
        <f>HYPERLINK("http://www.twitter.com/nathanrhansen", "nathanrhansen")</f>
        <v>nathanrhansen</v>
      </c>
      <c r="B11481" s="65" t="s">
        <v>7404</v>
      </c>
    </row>
    <row r="11482" spans="1:2" x14ac:dyDescent="0.25">
      <c r="A11482" s="64" t="str">
        <f>HYPERLINK("http://www.twitter.com/mrtimothyotte", "mrtimothyotte")</f>
        <v>mrtimothyotte</v>
      </c>
      <c r="B11482" s="65" t="s">
        <v>7405</v>
      </c>
    </row>
    <row r="11483" spans="1:2" x14ac:dyDescent="0.25">
      <c r="A11483" s="64" t="str">
        <f>HYPERLINK("http://www.twitter.com/ScQuoys", "ScQuoys")</f>
        <v>ScQuoys</v>
      </c>
      <c r="B11483" s="65" t="s">
        <v>7406</v>
      </c>
    </row>
    <row r="11484" spans="1:2" x14ac:dyDescent="0.25">
      <c r="A11484" s="64" t="str">
        <f>HYPERLINK("http://www.twitter.com/Talsran", "Talsran")</f>
        <v>Talsran</v>
      </c>
      <c r="B11484" s="65"/>
    </row>
    <row r="11485" spans="1:2" x14ac:dyDescent="0.25">
      <c r="A11485" s="64" t="str">
        <f>HYPERLINK("http://www.twitter.com/owlsdaughter", "owlsdaughter")</f>
        <v>owlsdaughter</v>
      </c>
      <c r="B11485" s="65" t="s">
        <v>7407</v>
      </c>
    </row>
    <row r="11486" spans="1:2" x14ac:dyDescent="0.25">
      <c r="A11486" s="64" t="str">
        <f>HYPERLINK("http://www.twitter.com/marsbarssssss", "marsbarssssss")</f>
        <v>marsbarssssss</v>
      </c>
      <c r="B11486" s="65" t="s">
        <v>7408</v>
      </c>
    </row>
    <row r="11487" spans="1:2" x14ac:dyDescent="0.25">
      <c r="A11487" s="64" t="str">
        <f>HYPERLINK("http://www.twitter.com/GoatFellBoy", "GoatFellBoy")</f>
        <v>GoatFellBoy</v>
      </c>
      <c r="B11487" s="65" t="s">
        <v>96</v>
      </c>
    </row>
    <row r="11488" spans="1:2" x14ac:dyDescent="0.25">
      <c r="A11488" s="64" t="str">
        <f>HYPERLINK("http://www.twitter.com/Lorr_Jo", "Lorr_Jo")</f>
        <v>Lorr_Jo</v>
      </c>
      <c r="B11488" s="65"/>
    </row>
    <row r="11489" spans="1:2" x14ac:dyDescent="0.25">
      <c r="A11489" s="64" t="str">
        <f>HYPERLINK("http://www.twitter.com/youngeilidh", "youngeilidh")</f>
        <v>youngeilidh</v>
      </c>
      <c r="B11489" s="65"/>
    </row>
    <row r="11490" spans="1:2" x14ac:dyDescent="0.25">
      <c r="A11490" s="64" t="str">
        <f>HYPERLINK("http://www.twitter.com/tracy_traynor", "tracy_traynor")</f>
        <v>tracy_traynor</v>
      </c>
      <c r="B11490" s="65" t="s">
        <v>7409</v>
      </c>
    </row>
    <row r="11491" spans="1:2" x14ac:dyDescent="0.25">
      <c r="A11491" s="64" t="str">
        <f>HYPERLINK("http://www.twitter.com/SallyTuckett", "SallyTuckett")</f>
        <v>SallyTuckett</v>
      </c>
      <c r="B11491" s="65" t="s">
        <v>2007</v>
      </c>
    </row>
    <row r="11492" spans="1:2" x14ac:dyDescent="0.25">
      <c r="A11492" s="64" t="str">
        <f>HYPERLINK("http://www.twitter.com/historywardrobe", "historywardrobe")</f>
        <v>historywardrobe</v>
      </c>
      <c r="B11492" s="65"/>
    </row>
    <row r="11493" spans="1:2" x14ac:dyDescent="0.25">
      <c r="A11493" s="64" t="str">
        <f>HYPERLINK("http://www.twitter.com/IslaDewar1", "IslaDewar1")</f>
        <v>IslaDewar1</v>
      </c>
      <c r="B11493" s="65" t="s">
        <v>7410</v>
      </c>
    </row>
    <row r="11494" spans="1:2" x14ac:dyDescent="0.25">
      <c r="A11494" s="64" t="str">
        <f>HYPERLINK("http://www.twitter.com/nickdigby", "nickdigby")</f>
        <v>nickdigby</v>
      </c>
      <c r="B11494" s="65"/>
    </row>
    <row r="11495" spans="1:2" x14ac:dyDescent="0.25">
      <c r="A11495" s="64" t="str">
        <f>HYPERLINK("http://www.twitter.com/ChellaDug", "ChellaDug")</f>
        <v>ChellaDug</v>
      </c>
      <c r="B11495" s="65"/>
    </row>
    <row r="11496" spans="1:2" x14ac:dyDescent="0.25">
      <c r="A11496" s="64" t="str">
        <f>HYPERLINK("http://www.twitter.com/FairmountLib", "FairmountLib")</f>
        <v>FairmountLib</v>
      </c>
      <c r="B11496" s="65" t="s">
        <v>7411</v>
      </c>
    </row>
    <row r="11497" spans="1:2" x14ac:dyDescent="0.25">
      <c r="A11497" s="64" t="str">
        <f>HYPERLINK("http://www.twitter.com/WhittifordPress", "WhittifordPress")</f>
        <v>WhittifordPress</v>
      </c>
      <c r="B11497" s="65" t="s">
        <v>7412</v>
      </c>
    </row>
    <row r="11498" spans="1:2" x14ac:dyDescent="0.25">
      <c r="A11498" s="64" t="str">
        <f>HYPERLINK("http://www.twitter.com/DrZyg", "DrZyg")</f>
        <v>DrZyg</v>
      </c>
      <c r="B11498" s="65" t="s">
        <v>7413</v>
      </c>
    </row>
    <row r="11499" spans="1:2" x14ac:dyDescent="0.25">
      <c r="A11499" s="64" t="str">
        <f>HYPERLINK("http://www.twitter.com/BremnersLaces", "BremnersLaces")</f>
        <v>BremnersLaces</v>
      </c>
      <c r="B11499" s="65" t="s">
        <v>346</v>
      </c>
    </row>
    <row r="11500" spans="1:2" x14ac:dyDescent="0.25">
      <c r="A11500" s="64" t="str">
        <f>HYPERLINK("http://www.twitter.com/beechwoodbooks", "beechwoodbooks")</f>
        <v>beechwoodbooks</v>
      </c>
      <c r="B11500" s="65" t="s">
        <v>3799</v>
      </c>
    </row>
    <row r="11501" spans="1:2" x14ac:dyDescent="0.25">
      <c r="A11501" s="64" t="str">
        <f>HYPERLINK("http://www.twitter.com/alframpton", "alframpton")</f>
        <v>alframpton</v>
      </c>
      <c r="B11501" s="65" t="s">
        <v>7414</v>
      </c>
    </row>
    <row r="11502" spans="1:2" x14ac:dyDescent="0.25">
      <c r="A11502" s="64" t="str">
        <f>HYPERLINK("http://www.twitter.com/thelovecats", "thelovecats")</f>
        <v>thelovecats</v>
      </c>
      <c r="B11502" s="65" t="s">
        <v>7415</v>
      </c>
    </row>
    <row r="11503" spans="1:2" x14ac:dyDescent="0.25">
      <c r="A11503" s="64" t="str">
        <f>HYPERLINK("http://www.twitter.com/JohnMordecai", "JohnMordecai")</f>
        <v>JohnMordecai</v>
      </c>
      <c r="B11503" s="65" t="s">
        <v>7416</v>
      </c>
    </row>
    <row r="11504" spans="1:2" x14ac:dyDescent="0.25">
      <c r="A11504" s="64" t="str">
        <f>HYPERLINK("http://www.twitter.com/josep_daras", "josep_daras")</f>
        <v>josep_daras</v>
      </c>
      <c r="B11504" s="65"/>
    </row>
    <row r="11505" spans="1:2" x14ac:dyDescent="0.25">
      <c r="A11505" s="64" t="str">
        <f>HYPERLINK("http://www.twitter.com/BatiaKrook", "BatiaKrook")</f>
        <v>BatiaKrook</v>
      </c>
      <c r="B11505" s="65"/>
    </row>
    <row r="11506" spans="1:2" x14ac:dyDescent="0.25">
      <c r="A11506" s="64" t="str">
        <f>HYPERLINK("http://www.twitter.com/_BillArmstrong", "_BillArmstrong")</f>
        <v>_BillArmstrong</v>
      </c>
      <c r="B11506" s="65" t="s">
        <v>7417</v>
      </c>
    </row>
    <row r="11507" spans="1:2" x14ac:dyDescent="0.25">
      <c r="A11507" s="64" t="str">
        <f>HYPERLINK("http://www.twitter.com/Damselmacca", "Damselmacca")</f>
        <v>Damselmacca</v>
      </c>
      <c r="B11507" s="65" t="s">
        <v>7418</v>
      </c>
    </row>
    <row r="11508" spans="1:2" x14ac:dyDescent="0.25">
      <c r="A11508" s="64" t="str">
        <f>HYPERLINK("http://www.twitter.com/lynnBdalton", "lynnBdalton")</f>
        <v>lynnBdalton</v>
      </c>
      <c r="B11508" s="65" t="s">
        <v>1135</v>
      </c>
    </row>
    <row r="11509" spans="1:2" x14ac:dyDescent="0.25">
      <c r="A11509" s="64" t="str">
        <f>HYPERLINK("http://www.twitter.com/annetterusling", "annetterusling")</f>
        <v>annetterusling</v>
      </c>
      <c r="B11509" s="65" t="s">
        <v>36</v>
      </c>
    </row>
    <row r="11510" spans="1:2" x14ac:dyDescent="0.25">
      <c r="A11510" s="64" t="str">
        <f>HYPERLINK("http://www.twitter.com/openbookwigtown", "openbookwigtown")</f>
        <v>openbookwigtown</v>
      </c>
      <c r="B11510" s="65" t="s">
        <v>7360</v>
      </c>
    </row>
    <row r="11511" spans="1:2" x14ac:dyDescent="0.25">
      <c r="A11511" s="64" t="str">
        <f>HYPERLINK("http://www.twitter.com/seanstewart1996", "seanstewart1996")</f>
        <v>seanstewart1996</v>
      </c>
      <c r="B11511" s="65" t="s">
        <v>7419</v>
      </c>
    </row>
    <row r="11512" spans="1:2" x14ac:dyDescent="0.25">
      <c r="A11512" s="64" t="str">
        <f>HYPERLINK("http://www.twitter.com/AmnestyBookshop", "AmnestyBookshop")</f>
        <v>AmnestyBookshop</v>
      </c>
      <c r="B11512" s="65" t="s">
        <v>7420</v>
      </c>
    </row>
    <row r="11513" spans="1:2" x14ac:dyDescent="0.25">
      <c r="A11513" s="64" t="str">
        <f>HYPERLINK("http://www.twitter.com/helenvoce", "helenvoce")</f>
        <v>helenvoce</v>
      </c>
      <c r="B11513" s="65" t="s">
        <v>138</v>
      </c>
    </row>
    <row r="11514" spans="1:2" x14ac:dyDescent="0.25">
      <c r="A11514" s="64" t="str">
        <f>HYPERLINK("http://www.twitter.com/johnbhoy61", "johnbhoy61")</f>
        <v>johnbhoy61</v>
      </c>
      <c r="B11514" s="65" t="s">
        <v>7421</v>
      </c>
    </row>
    <row r="11515" spans="1:2" x14ac:dyDescent="0.25">
      <c r="A11515" s="64" t="str">
        <f>HYPERLINK("http://www.twitter.com/OxfordArtist", "OxfordArtist")</f>
        <v>OxfordArtist</v>
      </c>
      <c r="B11515" s="65" t="s">
        <v>1189</v>
      </c>
    </row>
    <row r="11516" spans="1:2" x14ac:dyDescent="0.25">
      <c r="A11516" s="64" t="str">
        <f>HYPERLINK("http://www.twitter.com/zzzxzdan", "zzzxzdan")</f>
        <v>zzzxzdan</v>
      </c>
      <c r="B11516" s="65" t="s">
        <v>4716</v>
      </c>
    </row>
    <row r="11517" spans="1:2" x14ac:dyDescent="0.25">
      <c r="A11517" s="64" t="str">
        <f>HYPERLINK("http://www.twitter.com/andymcfarlane1", "andymcfarlane1")</f>
        <v>andymcfarlane1</v>
      </c>
      <c r="B11517" s="65" t="s">
        <v>7422</v>
      </c>
    </row>
    <row r="11518" spans="1:2" x14ac:dyDescent="0.25">
      <c r="A11518" s="64" t="str">
        <f>HYPERLINK("http://www.twitter.com/sannalotjonen", "sannalotjonen")</f>
        <v>sannalotjonen</v>
      </c>
      <c r="B11518" s="65" t="s">
        <v>7423</v>
      </c>
    </row>
    <row r="11519" spans="1:2" x14ac:dyDescent="0.25">
      <c r="A11519" s="64" t="str">
        <f>HYPERLINK("http://www.twitter.com/platoika", "platoika")</f>
        <v>platoika</v>
      </c>
      <c r="B11519" s="65"/>
    </row>
    <row r="11520" spans="1:2" x14ac:dyDescent="0.25">
      <c r="A11520" s="64" t="str">
        <f>HYPERLINK("http://www.twitter.com/CatR876", "CatR876")</f>
        <v>CatR876</v>
      </c>
      <c r="B11520" s="65"/>
    </row>
    <row r="11521" spans="1:2" x14ac:dyDescent="0.25">
      <c r="A11521" s="64" t="str">
        <f>HYPERLINK("http://www.twitter.com/BurghBikes", "BurghBikes")</f>
        <v>BurghBikes</v>
      </c>
      <c r="B11521" s="65" t="s">
        <v>2007</v>
      </c>
    </row>
    <row r="11522" spans="1:2" x14ac:dyDescent="0.25">
      <c r="A11522" s="64" t="str">
        <f>HYPERLINK("http://www.twitter.com/SamWoozley", "SamWoozley")</f>
        <v>SamWoozley</v>
      </c>
      <c r="B11522" s="65"/>
    </row>
    <row r="11523" spans="1:2" x14ac:dyDescent="0.25">
      <c r="A11523" s="64" t="str">
        <f>HYPERLINK("http://www.twitter.com/frau_foxwhelp", "frau_foxwhelp")</f>
        <v>frau_foxwhelp</v>
      </c>
      <c r="B11523" s="65" t="s">
        <v>7424</v>
      </c>
    </row>
    <row r="11524" spans="1:2" x14ac:dyDescent="0.25">
      <c r="A11524" s="64" t="str">
        <f>HYPERLINK("http://www.twitter.com/MollyMayGill", "MollyMayGill")</f>
        <v>MollyMayGill</v>
      </c>
      <c r="B11524" s="65" t="s">
        <v>7425</v>
      </c>
    </row>
    <row r="11525" spans="1:2" x14ac:dyDescent="0.25">
      <c r="A11525" s="64" t="str">
        <f>HYPERLINK("http://www.twitter.com/garlandwillow", "garlandwillow")</f>
        <v>garlandwillow</v>
      </c>
      <c r="B11525" s="65" t="s">
        <v>4062</v>
      </c>
    </row>
    <row r="11526" spans="1:2" x14ac:dyDescent="0.25">
      <c r="A11526" s="64" t="str">
        <f>HYPERLINK("http://www.twitter.com/karencartwright", "karencartwright")</f>
        <v>karencartwright</v>
      </c>
      <c r="B11526" s="65"/>
    </row>
    <row r="11527" spans="1:2" x14ac:dyDescent="0.25">
      <c r="A11527" s="64" t="str">
        <f>HYPERLINK("http://www.twitter.com/George_Berridge", "George_Berridge")</f>
        <v>George_Berridge</v>
      </c>
      <c r="B11527" s="65" t="s">
        <v>36</v>
      </c>
    </row>
    <row r="11528" spans="1:2" x14ac:dyDescent="0.25">
      <c r="A11528" s="64" t="str">
        <f>HYPERLINK("http://www.twitter.com/KateDaykin", "KateDaykin")</f>
        <v>KateDaykin</v>
      </c>
      <c r="B11528" s="65" t="s">
        <v>2007</v>
      </c>
    </row>
    <row r="11529" spans="1:2" x14ac:dyDescent="0.25">
      <c r="A11529" s="64" t="str">
        <f>HYPERLINK("http://www.twitter.com/bambihelen", "bambihelen")</f>
        <v>bambihelen</v>
      </c>
      <c r="B11529" s="65" t="s">
        <v>7426</v>
      </c>
    </row>
    <row r="11530" spans="1:2" x14ac:dyDescent="0.25">
      <c r="A11530" s="64" t="str">
        <f>HYPERLINK("http://www.twitter.com/macsm", "macsm")</f>
        <v>macsm</v>
      </c>
      <c r="B11530" s="65" t="s">
        <v>4032</v>
      </c>
    </row>
    <row r="11531" spans="1:2" x14ac:dyDescent="0.25">
      <c r="A11531" s="64" t="str">
        <f>HYPERLINK("http://www.twitter.com/PlattevillePL", "PlattevillePL")</f>
        <v>PlattevillePL</v>
      </c>
      <c r="B11531" s="65" t="s">
        <v>7427</v>
      </c>
    </row>
    <row r="11532" spans="1:2" x14ac:dyDescent="0.25">
      <c r="A11532" s="64" t="str">
        <f>HYPERLINK("http://www.twitter.com/Marston_A", "Marston_A")</f>
        <v>Marston_A</v>
      </c>
      <c r="B11532" s="65"/>
    </row>
    <row r="11533" spans="1:2" x14ac:dyDescent="0.25">
      <c r="A11533" s="64" t="str">
        <f>HYPERLINK("http://www.twitter.com/MagicPuddingDi", "MagicPuddingDi")</f>
        <v>MagicPuddingDi</v>
      </c>
      <c r="B11533" s="65"/>
    </row>
    <row r="11534" spans="1:2" x14ac:dyDescent="0.25">
      <c r="A11534" s="64" t="str">
        <f>HYPERLINK("http://www.twitter.com/LadyElizabethW", "LadyElizabethW")</f>
        <v>LadyElizabethW</v>
      </c>
      <c r="B11534" s="65" t="s">
        <v>5340</v>
      </c>
    </row>
    <row r="11535" spans="1:2" x14ac:dyDescent="0.25">
      <c r="A11535" s="64" t="str">
        <f>HYPERLINK("http://www.twitter.com/deborahwooduk", "deborahwooduk")</f>
        <v>deborahwooduk</v>
      </c>
      <c r="B11535" s="65" t="s">
        <v>5339</v>
      </c>
    </row>
    <row r="11536" spans="1:2" x14ac:dyDescent="0.25">
      <c r="A11536" s="64" t="str">
        <f>HYPERLINK("http://www.twitter.com/Leonade", "Leonade")</f>
        <v>Leonade</v>
      </c>
      <c r="B11536" s="65" t="s">
        <v>4254</v>
      </c>
    </row>
    <row r="11537" spans="1:2" x14ac:dyDescent="0.25">
      <c r="A11537" s="64" t="str">
        <f>HYPERLINK("http://www.twitter.com/ForresAcadLib", "ForresAcadLib")</f>
        <v>ForresAcadLib</v>
      </c>
      <c r="B11537" s="65"/>
    </row>
    <row r="11538" spans="1:2" x14ac:dyDescent="0.25">
      <c r="A11538" s="64" t="str">
        <f>HYPERLINK("http://www.twitter.com/pietatsubirats", "pietatsubirats")</f>
        <v>pietatsubirats</v>
      </c>
      <c r="B11538" s="65" t="s">
        <v>7428</v>
      </c>
    </row>
    <row r="11539" spans="1:2" x14ac:dyDescent="0.25">
      <c r="A11539" s="64" t="str">
        <f>HYPERLINK("http://www.twitter.com/StalkerMaw", "StalkerMaw")</f>
        <v>StalkerMaw</v>
      </c>
      <c r="B11539" s="65" t="s">
        <v>2007</v>
      </c>
    </row>
    <row r="11540" spans="1:2" x14ac:dyDescent="0.25">
      <c r="A11540" s="64" t="str">
        <f>HYPERLINK("http://www.twitter.com/BroadwayLib", "BroadwayLib")</f>
        <v>BroadwayLib</v>
      </c>
      <c r="B11540" s="65" t="s">
        <v>2976</v>
      </c>
    </row>
    <row r="11541" spans="1:2" x14ac:dyDescent="0.25">
      <c r="A11541" s="64" t="str">
        <f>HYPERLINK("http://www.twitter.com/CreativPortal", "CreativPortal")</f>
        <v>CreativPortal</v>
      </c>
      <c r="B11541" s="65" t="s">
        <v>517</v>
      </c>
    </row>
    <row r="11542" spans="1:2" x14ac:dyDescent="0.25">
      <c r="A11542" s="64" t="str">
        <f>HYPERLINK("http://www.twitter.com/respirant", "respirant")</f>
        <v>respirant</v>
      </c>
      <c r="B11542" s="65" t="s">
        <v>7429</v>
      </c>
    </row>
    <row r="11543" spans="1:2" x14ac:dyDescent="0.25">
      <c r="A11543" s="64" t="str">
        <f>HYPERLINK("http://www.twitter.com/craigthomson745", "craigthomson745")</f>
        <v>craigthomson745</v>
      </c>
      <c r="B11543" s="65" t="s">
        <v>67</v>
      </c>
    </row>
    <row r="11544" spans="1:2" x14ac:dyDescent="0.25">
      <c r="A11544" s="64" t="str">
        <f>HYPERLINK("http://www.twitter.com/lavalamp71", "lavalamp71")</f>
        <v>lavalamp71</v>
      </c>
      <c r="B11544" s="65"/>
    </row>
    <row r="11545" spans="1:2" x14ac:dyDescent="0.25">
      <c r="A11545" s="64" t="str">
        <f>HYPERLINK("http://www.twitter.com/DaveB90", "DaveB90")</f>
        <v>DaveB90</v>
      </c>
      <c r="B11545" s="65" t="s">
        <v>7430</v>
      </c>
    </row>
    <row r="11546" spans="1:2" x14ac:dyDescent="0.25">
      <c r="A11546" s="64" t="str">
        <f>HYPERLINK("http://www.twitter.com/BiblioRoquetes", "BiblioRoquetes")</f>
        <v>BiblioRoquetes</v>
      </c>
      <c r="B11546" s="65" t="s">
        <v>7431</v>
      </c>
    </row>
    <row r="11547" spans="1:2" x14ac:dyDescent="0.25">
      <c r="A11547" s="64" t="str">
        <f>HYPERLINK("http://www.twitter.com/Dean_RM", "Dean_RM")</f>
        <v>Dean_RM</v>
      </c>
      <c r="B11547" s="65" t="s">
        <v>7432</v>
      </c>
    </row>
    <row r="11548" spans="1:2" x14ac:dyDescent="0.25">
      <c r="A11548" s="64" t="str">
        <f>HYPERLINK("http://www.twitter.com/NearerTheExit", "NearerTheExit")</f>
        <v>NearerTheExit</v>
      </c>
      <c r="B11548" s="65"/>
    </row>
    <row r="11549" spans="1:2" x14ac:dyDescent="0.25">
      <c r="A11549" s="64" t="str">
        <f>HYPERLINK("http://www.twitter.com/Parmar_avinash", "Parmar_avinash")</f>
        <v>Parmar_avinash</v>
      </c>
      <c r="B11549" s="65" t="s">
        <v>5658</v>
      </c>
    </row>
    <row r="11550" spans="1:2" x14ac:dyDescent="0.25">
      <c r="A11550" s="64" t="str">
        <f>HYPERLINK("http://www.twitter.com/thebbcmole", "thebbcmole")</f>
        <v>thebbcmole</v>
      </c>
      <c r="B11550" s="65"/>
    </row>
    <row r="11551" spans="1:2" x14ac:dyDescent="0.25">
      <c r="A11551" s="64" t="str">
        <f>HYPERLINK("http://www.twitter.com/FubsyB", "FubsyB")</f>
        <v>FubsyB</v>
      </c>
      <c r="B11551" s="65" t="s">
        <v>5770</v>
      </c>
    </row>
    <row r="11552" spans="1:2" x14ac:dyDescent="0.25">
      <c r="A11552" s="64" t="str">
        <f>HYPERLINK("http://www.twitter.com/Glonicolau", "Glonicolau")</f>
        <v>Glonicolau</v>
      </c>
      <c r="B11552" s="65" t="s">
        <v>7433</v>
      </c>
    </row>
    <row r="11553" spans="1:2" x14ac:dyDescent="0.25">
      <c r="A11553" s="64" t="str">
        <f>HYPERLINK("http://www.twitter.com/FantasyFaction", "FantasyFaction")</f>
        <v>FantasyFaction</v>
      </c>
      <c r="B11553" s="65" t="s">
        <v>70</v>
      </c>
    </row>
    <row r="11554" spans="1:2" x14ac:dyDescent="0.25">
      <c r="A11554" s="64" t="str">
        <f>HYPERLINK("http://www.twitter.com/MakeTeaNotWar84", "MakeTeaNotWar84")</f>
        <v>MakeTeaNotWar84</v>
      </c>
      <c r="B11554" s="65" t="s">
        <v>7434</v>
      </c>
    </row>
    <row r="11555" spans="1:2" x14ac:dyDescent="0.25">
      <c r="A11555" s="64" t="str">
        <f>HYPERLINK("http://www.twitter.com/Carolcdt", "Carolcdt")</f>
        <v>Carolcdt</v>
      </c>
      <c r="B11555" s="65" t="s">
        <v>7435</v>
      </c>
    </row>
    <row r="11556" spans="1:2" x14ac:dyDescent="0.25">
      <c r="A11556" s="64" t="str">
        <f>HYPERLINK("http://www.twitter.com/sophieee_irving", "sophieee_irving")</f>
        <v>sophieee_irving</v>
      </c>
      <c r="B11556" s="65" t="s">
        <v>4239</v>
      </c>
    </row>
    <row r="11557" spans="1:2" x14ac:dyDescent="0.25">
      <c r="A11557" s="64" t="str">
        <f>HYPERLINK("http://www.twitter.com/gavbyers", "gavbyers")</f>
        <v>gavbyers</v>
      </c>
      <c r="B11557" s="65"/>
    </row>
    <row r="11558" spans="1:2" x14ac:dyDescent="0.25">
      <c r="A11558" s="64" t="str">
        <f>HYPERLINK("http://www.twitter.com/Malik", "Malik")</f>
        <v>Malik</v>
      </c>
      <c r="B11558" s="65" t="s">
        <v>4132</v>
      </c>
    </row>
    <row r="11559" spans="1:2" x14ac:dyDescent="0.25">
      <c r="A11559" s="64" t="str">
        <f>HYPERLINK("http://www.twitter.com/NewThea", "NewThea")</f>
        <v>NewThea</v>
      </c>
      <c r="B11559" s="65" t="s">
        <v>7436</v>
      </c>
    </row>
    <row r="11560" spans="1:2" x14ac:dyDescent="0.25">
      <c r="A11560" s="64" t="str">
        <f>HYPERLINK("http://www.twitter.com/davemcro", "davemcro")</f>
        <v>davemcro</v>
      </c>
      <c r="B11560" s="65"/>
    </row>
    <row r="11561" spans="1:2" x14ac:dyDescent="0.25">
      <c r="A11561" s="64" t="str">
        <f>HYPERLINK("http://www.twitter.com/CromartyLH", "CromartyLH")</f>
        <v>CromartyLH</v>
      </c>
      <c r="B11561" s="65" t="s">
        <v>6674</v>
      </c>
    </row>
    <row r="11562" spans="1:2" x14ac:dyDescent="0.25">
      <c r="A11562" s="64" t="str">
        <f>HYPERLINK("http://www.twitter.com/greig_lindsey", "greig_lindsey")</f>
        <v>greig_lindsey</v>
      </c>
      <c r="B11562" s="65"/>
    </row>
    <row r="11563" spans="1:2" x14ac:dyDescent="0.25">
      <c r="A11563" s="64" t="str">
        <f>HYPERLINK("http://www.twitter.com/NevD", "NevD")</f>
        <v>NevD</v>
      </c>
      <c r="B11563" s="65" t="s">
        <v>7437</v>
      </c>
    </row>
    <row r="11564" spans="1:2" x14ac:dyDescent="0.25">
      <c r="A11564" s="64" t="str">
        <f>HYPERLINK("http://www.twitter.com/CorbenMiranda", "CorbenMiranda")</f>
        <v>CorbenMiranda</v>
      </c>
      <c r="B11564" s="65"/>
    </row>
    <row r="11565" spans="1:2" x14ac:dyDescent="0.25">
      <c r="A11565" s="64" t="str">
        <f>HYPERLINK("http://www.twitter.com/BuckYourselves", "BuckYourselves")</f>
        <v>BuckYourselves</v>
      </c>
      <c r="B11565" s="65"/>
    </row>
    <row r="11566" spans="1:2" x14ac:dyDescent="0.25">
      <c r="A11566" s="64" t="str">
        <f>HYPERLINK("http://www.twitter.com/ColinMcArthur1", "ColinMcArthur1")</f>
        <v>ColinMcArthur1</v>
      </c>
      <c r="B11566" s="65" t="s">
        <v>7438</v>
      </c>
    </row>
    <row r="11567" spans="1:2" x14ac:dyDescent="0.25">
      <c r="A11567" s="64" t="str">
        <f>HYPERLINK("http://www.twitter.com/PhilineHa", "PhilineHa")</f>
        <v>PhilineHa</v>
      </c>
      <c r="B11567" s="65" t="s">
        <v>7439</v>
      </c>
    </row>
    <row r="11568" spans="1:2" x14ac:dyDescent="0.25">
      <c r="A11568" s="64" t="str">
        <f>HYPERLINK("http://www.twitter.com/TaytoetTayto", "TaytoetTayto")</f>
        <v>TaytoetTayto</v>
      </c>
      <c r="B11568" s="65" t="s">
        <v>7440</v>
      </c>
    </row>
    <row r="11569" spans="1:2" x14ac:dyDescent="0.25">
      <c r="A11569" s="64" t="str">
        <f>HYPERLINK("http://www.twitter.com/BibliotecaLesCa", "BibliotecaLesCa")</f>
        <v>BibliotecaLesCa</v>
      </c>
      <c r="B11569" s="65" t="s">
        <v>7441</v>
      </c>
    </row>
    <row r="11570" spans="1:2" x14ac:dyDescent="0.25">
      <c r="A11570" s="64" t="str">
        <f>HYPERLINK("http://www.twitter.com/StoddyDon", "StoddyDon")</f>
        <v>StoddyDon</v>
      </c>
      <c r="B11570" s="65" t="s">
        <v>517</v>
      </c>
    </row>
    <row r="11571" spans="1:2" x14ac:dyDescent="0.25">
      <c r="A11571" s="64" t="str">
        <f>HYPERLINK("http://www.twitter.com/CAirlie", "CAirlie")</f>
        <v>CAirlie</v>
      </c>
      <c r="B11571" s="65"/>
    </row>
    <row r="11572" spans="1:2" x14ac:dyDescent="0.25">
      <c r="A11572" s="64" t="str">
        <f>HYPERLINK("http://www.twitter.com/Francis_Ferre", "Francis_Ferre")</f>
        <v>Francis_Ferre</v>
      </c>
      <c r="B11572" s="65" t="s">
        <v>7442</v>
      </c>
    </row>
    <row r="11573" spans="1:2" x14ac:dyDescent="0.25">
      <c r="A11573" s="64" t="str">
        <f>HYPERLINK("http://www.twitter.com/Kev_2507", "Kev_2507")</f>
        <v>Kev_2507</v>
      </c>
      <c r="B11573" s="65" t="s">
        <v>7443</v>
      </c>
    </row>
    <row r="11574" spans="1:2" x14ac:dyDescent="0.25">
      <c r="A11574" s="64" t="str">
        <f>HYPERLINK("http://www.twitter.com/Dominic_Makin", "Dominic_Makin")</f>
        <v>Dominic_Makin</v>
      </c>
      <c r="B11574" s="65" t="s">
        <v>7444</v>
      </c>
    </row>
    <row r="11575" spans="1:2" x14ac:dyDescent="0.25">
      <c r="A11575" s="64" t="str">
        <f>HYPERLINK("http://www.twitter.com/bibliotequescat", "bibliotequescat")</f>
        <v>bibliotequescat</v>
      </c>
      <c r="B11575" s="65" t="s">
        <v>6988</v>
      </c>
    </row>
    <row r="11576" spans="1:2" x14ac:dyDescent="0.25">
      <c r="A11576" s="64" t="str">
        <f>HYPERLINK("http://www.twitter.com/christinawell53", "christinawell53")</f>
        <v>christinawell53</v>
      </c>
      <c r="B11576" s="65" t="s">
        <v>5807</v>
      </c>
    </row>
    <row r="11577" spans="1:2" x14ac:dyDescent="0.25">
      <c r="A11577" s="64" t="str">
        <f>HYPERLINK("http://www.twitter.com/porkypenguins", "porkypenguins")</f>
        <v>porkypenguins</v>
      </c>
      <c r="B11577" s="65" t="s">
        <v>2369</v>
      </c>
    </row>
    <row r="11578" spans="1:2" x14ac:dyDescent="0.25">
      <c r="A11578" s="64" t="str">
        <f>HYPERLINK("http://www.twitter.com/Troyvisitor", "Troyvisitor")</f>
        <v>Troyvisitor</v>
      </c>
      <c r="B11578" s="65"/>
    </row>
    <row r="11579" spans="1:2" x14ac:dyDescent="0.25">
      <c r="A11579" s="64" t="str">
        <f>HYPERLINK("http://www.twitter.com/Bibliotreviglio", "Bibliotreviglio")</f>
        <v>Bibliotreviglio</v>
      </c>
      <c r="B11579" s="65" t="s">
        <v>7445</v>
      </c>
    </row>
    <row r="11580" spans="1:2" x14ac:dyDescent="0.25">
      <c r="A11580" s="64" t="str">
        <f>HYPERLINK("http://www.twitter.com/janecauser", "janecauser")</f>
        <v>janecauser</v>
      </c>
      <c r="B11580" s="65"/>
    </row>
    <row r="11581" spans="1:2" x14ac:dyDescent="0.25">
      <c r="A11581" s="64" t="str">
        <f>HYPERLINK("http://www.twitter.com/Bibliofalset", "Bibliofalset")</f>
        <v>Bibliofalset</v>
      </c>
      <c r="B11581" s="65" t="s">
        <v>7446</v>
      </c>
    </row>
    <row r="11582" spans="1:2" x14ac:dyDescent="0.25">
      <c r="A11582" s="64" t="str">
        <f>HYPERLINK("http://www.twitter.com/andrew_dowd", "andrew_dowd")</f>
        <v>andrew_dowd</v>
      </c>
      <c r="B11582" s="65" t="s">
        <v>7447</v>
      </c>
    </row>
    <row r="11583" spans="1:2" x14ac:dyDescent="0.25">
      <c r="A11583" s="64" t="str">
        <f>HYPERLINK("http://www.twitter.com/I904JJDO", "I904JJDO")</f>
        <v>I904JJDO</v>
      </c>
      <c r="B11583" s="65" t="s">
        <v>7448</v>
      </c>
    </row>
    <row r="11584" spans="1:2" x14ac:dyDescent="0.25">
      <c r="A11584" s="64" t="str">
        <f>HYPERLINK("http://www.twitter.com/BurgeoningMedia", "BurgeoningMedia")</f>
        <v>BurgeoningMedia</v>
      </c>
      <c r="B11584" s="65" t="s">
        <v>477</v>
      </c>
    </row>
    <row r="11585" spans="1:2" x14ac:dyDescent="0.25">
      <c r="A11585" s="64" t="str">
        <f>HYPERLINK("http://www.twitter.com/Julie_Ossen", "Julie_Ossen")</f>
        <v>Julie_Ossen</v>
      </c>
      <c r="B11585" s="65" t="s">
        <v>1105</v>
      </c>
    </row>
    <row r="11586" spans="1:2" x14ac:dyDescent="0.25">
      <c r="A11586" s="64" t="str">
        <f>HYPERLINK("http://www.twitter.com/Cilla_70", "Cilla_70")</f>
        <v>Cilla_70</v>
      </c>
      <c r="B11586" s="65" t="s">
        <v>7449</v>
      </c>
    </row>
    <row r="11587" spans="1:2" x14ac:dyDescent="0.25">
      <c r="A11587" s="64" t="str">
        <f>HYPERLINK("http://www.twitter.com/Cecilia_Osorio", "Cecilia_Osorio")</f>
        <v>Cecilia_Osorio</v>
      </c>
      <c r="B11587" s="65" t="s">
        <v>7450</v>
      </c>
    </row>
    <row r="11588" spans="1:2" x14ac:dyDescent="0.25">
      <c r="A11588" s="64" t="str">
        <f>HYPERLINK("http://www.twitter.com/MarSubiratsBarr", "MarSubiratsBarr")</f>
        <v>MarSubiratsBarr</v>
      </c>
      <c r="B11588" s="65" t="s">
        <v>7428</v>
      </c>
    </row>
    <row r="11589" spans="1:2" x14ac:dyDescent="0.25">
      <c r="A11589" s="64" t="str">
        <f>HYPERLINK("http://www.twitter.com/JuditTome", "JuditTome")</f>
        <v>JuditTome</v>
      </c>
      <c r="B11589" s="65" t="s">
        <v>7451</v>
      </c>
    </row>
    <row r="11590" spans="1:2" x14ac:dyDescent="0.25">
      <c r="A11590" s="64" t="str">
        <f>HYPERLINK("http://www.twitter.com/kgaseni", "kgaseni")</f>
        <v>kgaseni</v>
      </c>
      <c r="B11590" s="65"/>
    </row>
    <row r="11591" spans="1:2" x14ac:dyDescent="0.25">
      <c r="A11591" s="64" t="str">
        <f>HYPERLINK("http://www.twitter.com/mjferre", "mjferre")</f>
        <v>mjferre</v>
      </c>
      <c r="B11591" s="65" t="s">
        <v>7452</v>
      </c>
    </row>
    <row r="11592" spans="1:2" x14ac:dyDescent="0.25">
      <c r="A11592" s="64" t="str">
        <f>HYPERLINK("http://www.twitter.com/BegonyaFerre", "BegonyaFerre")</f>
        <v>BegonyaFerre</v>
      </c>
      <c r="B11592" s="65" t="s">
        <v>7453</v>
      </c>
    </row>
    <row r="11593" spans="1:2" x14ac:dyDescent="0.25">
      <c r="A11593" s="64" t="str">
        <f>HYPERLINK("http://www.twitter.com/bibliotgn", "bibliotgn")</f>
        <v>bibliotgn</v>
      </c>
      <c r="B11593" s="65" t="s">
        <v>7454</v>
      </c>
    </row>
    <row r="11594" spans="1:2" x14ac:dyDescent="0.25">
      <c r="A11594" s="64" t="str">
        <f>HYPERLINK("http://www.twitter.com/nicola_wakeling", "nicola_wakeling")</f>
        <v>nicola_wakeling</v>
      </c>
      <c r="B11594" s="65"/>
    </row>
    <row r="11595" spans="1:2" x14ac:dyDescent="0.25">
      <c r="A11595" s="64" t="str">
        <f>HYPERLINK("http://www.twitter.com/keyhole72", "keyhole72")</f>
        <v>keyhole72</v>
      </c>
      <c r="B11595" s="65" t="s">
        <v>36</v>
      </c>
    </row>
    <row r="11596" spans="1:2" x14ac:dyDescent="0.25">
      <c r="A11596" s="64" t="str">
        <f>HYPERLINK("http://www.twitter.com/Joe_Larocco_", "Joe_Larocco_")</f>
        <v>Joe_Larocco_</v>
      </c>
      <c r="B11596" s="65" t="s">
        <v>7455</v>
      </c>
    </row>
    <row r="11597" spans="1:2" x14ac:dyDescent="0.25">
      <c r="A11597" s="64" t="str">
        <f>HYPERLINK("http://www.twitter.com/bromleyhs", "bromleyhs")</f>
        <v>bromleyhs</v>
      </c>
      <c r="B11597" s="65" t="s">
        <v>7456</v>
      </c>
    </row>
    <row r="11598" spans="1:2" x14ac:dyDescent="0.25">
      <c r="A11598" s="64" t="str">
        <f>HYPERLINK("http://www.twitter.com/CamilleRose24", "CamilleRose24")</f>
        <v>CamilleRose24</v>
      </c>
      <c r="B11598" s="65" t="s">
        <v>36</v>
      </c>
    </row>
    <row r="11599" spans="1:2" x14ac:dyDescent="0.25">
      <c r="A11599" s="64" t="str">
        <f>HYPERLINK("http://www.twitter.com/anicegreenleaf", "anicegreenleaf")</f>
        <v>anicegreenleaf</v>
      </c>
      <c r="B11599" s="65" t="s">
        <v>7457</v>
      </c>
    </row>
    <row r="11600" spans="1:2" x14ac:dyDescent="0.25">
      <c r="A11600" s="64" t="str">
        <f>HYPERLINK("http://www.twitter.com/roddie_digital", "roddie_digital")</f>
        <v>roddie_digital</v>
      </c>
      <c r="B11600" s="65" t="s">
        <v>1841</v>
      </c>
    </row>
    <row r="11601" spans="1:2" x14ac:dyDescent="0.25">
      <c r="A11601" s="64" t="str">
        <f>HYPERLINK("http://www.twitter.com/lucy_anne_marie", "lucy_anne_marie")</f>
        <v>lucy_anne_marie</v>
      </c>
      <c r="B11601" s="65" t="s">
        <v>36</v>
      </c>
    </row>
    <row r="11602" spans="1:2" x14ac:dyDescent="0.25">
      <c r="A11602" s="64" t="str">
        <f>HYPERLINK("http://www.twitter.com/SMGreenArts", "SMGreenArts")</f>
        <v>SMGreenArts</v>
      </c>
      <c r="B11602" s="65" t="s">
        <v>70</v>
      </c>
    </row>
    <row r="11603" spans="1:2" x14ac:dyDescent="0.25">
      <c r="A11603" s="64" t="str">
        <f>HYPERLINK("http://www.twitter.com/alannaheileen_", "alannaheileen_")</f>
        <v>alannaheileen_</v>
      </c>
      <c r="B11603" s="65"/>
    </row>
    <row r="11604" spans="1:2" x14ac:dyDescent="0.25">
      <c r="A11604" s="64" t="str">
        <f>HYPERLINK("http://www.twitter.com/tracykknu", "tracykknu")</f>
        <v>tracykknu</v>
      </c>
      <c r="B11604" s="65"/>
    </row>
    <row r="11605" spans="1:2" x14ac:dyDescent="0.25">
      <c r="A11605" s="64" t="str">
        <f>HYPERLINK("http://www.twitter.com/Rabbies_Travel", "Rabbies_Travel")</f>
        <v>Rabbies_Travel</v>
      </c>
      <c r="B11605" s="65" t="s">
        <v>24</v>
      </c>
    </row>
    <row r="11606" spans="1:2" x14ac:dyDescent="0.25">
      <c r="A11606" s="64" t="str">
        <f>HYPERLINK("http://www.twitter.com/culture24editor", "culture24editor")</f>
        <v>culture24editor</v>
      </c>
      <c r="B11606" s="65" t="s">
        <v>7458</v>
      </c>
    </row>
    <row r="11607" spans="1:2" x14ac:dyDescent="0.25">
      <c r="A11607" s="64" t="str">
        <f>HYPERLINK("http://www.twitter.com/scotstoryforum", "scotstoryforum")</f>
        <v>scotstoryforum</v>
      </c>
      <c r="B11607" s="65" t="s">
        <v>517</v>
      </c>
    </row>
    <row r="11608" spans="1:2" x14ac:dyDescent="0.25">
      <c r="A11608" s="64" t="str">
        <f>HYPERLINK("http://www.twitter.com/RR64043779", "RR64043779")</f>
        <v>RR64043779</v>
      </c>
      <c r="B11608" s="65"/>
    </row>
    <row r="11609" spans="1:2" x14ac:dyDescent="0.25">
      <c r="A11609" s="64" t="str">
        <f>HYPERLINK("http://www.twitter.com/ncllt", "ncllt")</f>
        <v>ncllt</v>
      </c>
      <c r="B11609" s="65" t="s">
        <v>7459</v>
      </c>
    </row>
    <row r="11610" spans="1:2" x14ac:dyDescent="0.25">
      <c r="A11610" s="64" t="str">
        <f>HYPERLINK("http://www.twitter.com/thipresocr", "thipresocr")</f>
        <v>thipresocr</v>
      </c>
      <c r="B11610" s="65" t="s">
        <v>7460</v>
      </c>
    </row>
    <row r="11611" spans="1:2" x14ac:dyDescent="0.25">
      <c r="A11611" s="64" t="str">
        <f>HYPERLINK("http://www.twitter.com/ScotEnvironment", "ScotEnvironment")</f>
        <v>ScotEnvironment</v>
      </c>
      <c r="B11611" s="65" t="s">
        <v>517</v>
      </c>
    </row>
    <row r="11612" spans="1:2" x14ac:dyDescent="0.25">
      <c r="A11612" s="64" t="str">
        <f>HYPERLINK("http://www.twitter.com/AidaRadar", "AidaRadar")</f>
        <v>AidaRadar</v>
      </c>
      <c r="B11612" s="65" t="s">
        <v>4480</v>
      </c>
    </row>
    <row r="11613" spans="1:2" x14ac:dyDescent="0.25">
      <c r="A11613" s="64" t="str">
        <f>HYPERLINK("http://www.twitter.com/EmmaBurges", "EmmaBurges")</f>
        <v>EmmaBurges</v>
      </c>
      <c r="B11613" s="65" t="s">
        <v>4240</v>
      </c>
    </row>
    <row r="11614" spans="1:2" x14ac:dyDescent="0.25">
      <c r="A11614" s="64" t="str">
        <f>HYPERLINK("http://www.twitter.com/hludlow", "hludlow")</f>
        <v>hludlow</v>
      </c>
      <c r="B11614" s="65" t="s">
        <v>3990</v>
      </c>
    </row>
    <row r="11615" spans="1:2" x14ac:dyDescent="0.25">
      <c r="A11615" s="64" t="str">
        <f>HYPERLINK("http://www.twitter.com/sinnundverstand", "sinnundverstand")</f>
        <v>sinnundverstand</v>
      </c>
      <c r="B11615" s="65" t="s">
        <v>7461</v>
      </c>
    </row>
    <row r="11616" spans="1:2" x14ac:dyDescent="0.25">
      <c r="A11616" s="64" t="str">
        <f>HYPERLINK("http://www.twitter.com/marmaaraa", "marmaaraa")</f>
        <v>marmaaraa</v>
      </c>
      <c r="B11616" s="65" t="s">
        <v>7462</v>
      </c>
    </row>
    <row r="11617" spans="1:2" x14ac:dyDescent="0.25">
      <c r="A11617" s="64" t="str">
        <f>HYPERLINK("http://www.twitter.com/GregGrouch", "GregGrouch")</f>
        <v>GregGrouch</v>
      </c>
      <c r="B11617" s="65"/>
    </row>
    <row r="11618" spans="1:2" x14ac:dyDescent="0.25">
      <c r="A11618" s="64" t="str">
        <f>HYPERLINK("http://www.twitter.com/RachelBeddow", "RachelBeddow")</f>
        <v>RachelBeddow</v>
      </c>
      <c r="B11618" s="65" t="s">
        <v>5049</v>
      </c>
    </row>
    <row r="11619" spans="1:2" x14ac:dyDescent="0.25">
      <c r="A11619" s="64" t="str">
        <f>HYPERLINK("http://www.twitter.com/sheeps74", "sheeps74")</f>
        <v>sheeps74</v>
      </c>
      <c r="B11619" s="65" t="s">
        <v>7463</v>
      </c>
    </row>
    <row r="11620" spans="1:2" x14ac:dyDescent="0.25">
      <c r="A11620" s="64" t="str">
        <f>HYPERLINK("http://www.twitter.com/AnuHautalampi", "AnuHautalampi")</f>
        <v>AnuHautalampi</v>
      </c>
      <c r="B11620" s="65" t="s">
        <v>477</v>
      </c>
    </row>
    <row r="11621" spans="1:2" x14ac:dyDescent="0.25">
      <c r="A11621" s="64" t="str">
        <f>HYPERLINK("http://www.twitter.com/TheBeardedLlama", "TheBeardedLlama")</f>
        <v>TheBeardedLlama</v>
      </c>
      <c r="B11621" s="65" t="s">
        <v>7464</v>
      </c>
    </row>
    <row r="11622" spans="1:2" x14ac:dyDescent="0.25">
      <c r="A11622" s="64" t="str">
        <f>HYPERLINK("http://www.twitter.com/ele_losavio", "ele_losavio")</f>
        <v>ele_losavio</v>
      </c>
      <c r="B11622" s="65" t="s">
        <v>477</v>
      </c>
    </row>
    <row r="11623" spans="1:2" x14ac:dyDescent="0.25">
      <c r="A11623" s="64" t="str">
        <f>HYPERLINK("http://www.twitter.com/NickWoolgar", "NickWoolgar")</f>
        <v>NickWoolgar</v>
      </c>
      <c r="B11623" s="65"/>
    </row>
    <row r="11624" spans="1:2" x14ac:dyDescent="0.25">
      <c r="A11624" s="64" t="str">
        <f>HYPERLINK("http://www.twitter.com/sreed151", "sreed151")</f>
        <v>sreed151</v>
      </c>
      <c r="B11624" s="65" t="s">
        <v>7465</v>
      </c>
    </row>
    <row r="11625" spans="1:2" x14ac:dyDescent="0.25">
      <c r="A11625" s="64" t="str">
        <f>HYPERLINK("http://www.twitter.com/BrooklandsMuseu", "BrooklandsMuseu")</f>
        <v>BrooklandsMuseu</v>
      </c>
      <c r="B11625" s="65" t="s">
        <v>7466</v>
      </c>
    </row>
    <row r="11626" spans="1:2" x14ac:dyDescent="0.25">
      <c r="A11626" s="64" t="str">
        <f>HYPERLINK("http://www.twitter.com/brostrup", "brostrup")</f>
        <v>brostrup</v>
      </c>
      <c r="B11626" s="65" t="s">
        <v>7467</v>
      </c>
    </row>
    <row r="11627" spans="1:2" x14ac:dyDescent="0.25">
      <c r="A11627" s="64" t="str">
        <f>HYPERLINK("http://www.twitter.com/MsMackem", "MsMackem")</f>
        <v>MsMackem</v>
      </c>
      <c r="B11627" s="65" t="s">
        <v>652</v>
      </c>
    </row>
    <row r="11628" spans="1:2" x14ac:dyDescent="0.25">
      <c r="A11628" s="64" t="str">
        <f>HYPERLINK("http://www.twitter.com/timjonesbooks", "timjonesbooks")</f>
        <v>timjonesbooks</v>
      </c>
      <c r="B11628" s="65" t="s">
        <v>7468</v>
      </c>
    </row>
    <row r="11629" spans="1:2" x14ac:dyDescent="0.25">
      <c r="A11629" s="64" t="str">
        <f>HYPERLINK("http://www.twitter.com/shyorke", "shyorke")</f>
        <v>shyorke</v>
      </c>
      <c r="B11629" s="65" t="s">
        <v>1841</v>
      </c>
    </row>
    <row r="11630" spans="1:2" x14ac:dyDescent="0.25">
      <c r="A11630" s="64" t="str">
        <f>HYPERLINK("http://www.twitter.com/G0WAT", "G0WAT")</f>
        <v>G0WAT</v>
      </c>
      <c r="B11630" s="65"/>
    </row>
    <row r="11631" spans="1:2" x14ac:dyDescent="0.25">
      <c r="A11631" s="64" t="str">
        <f>HYPERLINK("http://www.twitter.com/reselsnark", "reselsnark")</f>
        <v>reselsnark</v>
      </c>
      <c r="B11631" s="65" t="s">
        <v>7469</v>
      </c>
    </row>
    <row r="11632" spans="1:2" x14ac:dyDescent="0.25">
      <c r="A11632" s="64" t="str">
        <f>HYPERLINK("http://www.twitter.com/MelindaLSmith", "MelindaLSmith")</f>
        <v>MelindaLSmith</v>
      </c>
      <c r="B11632" s="65" t="s">
        <v>7470</v>
      </c>
    </row>
    <row r="11633" spans="1:2" x14ac:dyDescent="0.25">
      <c r="A11633" s="64" t="str">
        <f>HYPERLINK("http://www.twitter.com/geraintd", "geraintd")</f>
        <v>geraintd</v>
      </c>
      <c r="B11633" s="65" t="s">
        <v>7471</v>
      </c>
    </row>
    <row r="11634" spans="1:2" x14ac:dyDescent="0.25">
      <c r="A11634" s="64" t="str">
        <f>HYPERLINK("http://www.twitter.com/curvedhouse", "curvedhouse")</f>
        <v>curvedhouse</v>
      </c>
      <c r="B11634" s="65" t="s">
        <v>7472</v>
      </c>
    </row>
    <row r="11635" spans="1:2" x14ac:dyDescent="0.25">
      <c r="A11635" s="64" t="str">
        <f>HYPERLINK("http://www.twitter.com/IainLiddle", "IainLiddle")</f>
        <v>IainLiddle</v>
      </c>
      <c r="B11635" s="65"/>
    </row>
    <row r="11636" spans="1:2" x14ac:dyDescent="0.25">
      <c r="A11636" s="64" t="str">
        <f>HYPERLINK("http://www.twitter.com/EvonneOkafor", "EvonneOkafor")</f>
        <v>EvonneOkafor</v>
      </c>
      <c r="B11636" s="65" t="s">
        <v>110</v>
      </c>
    </row>
    <row r="11637" spans="1:2" x14ac:dyDescent="0.25">
      <c r="A11637" s="64" t="str">
        <f>HYPERLINK("http://www.twitter.com/Minimo48449424", "Minimo48449424")</f>
        <v>Minimo48449424</v>
      </c>
      <c r="B11637" s="65"/>
    </row>
    <row r="11638" spans="1:2" x14ac:dyDescent="0.25">
      <c r="A11638" s="64" t="str">
        <f>HYPERLINK("http://www.twitter.com/kennyoblong", "kennyoblong")</f>
        <v>kennyoblong</v>
      </c>
      <c r="B11638" s="65" t="s">
        <v>7473</v>
      </c>
    </row>
    <row r="11639" spans="1:2" x14ac:dyDescent="0.25">
      <c r="A11639" s="64" t="str">
        <f>HYPERLINK("http://www.twitter.com/AdamRamsay", "AdamRamsay")</f>
        <v>AdamRamsay</v>
      </c>
      <c r="B11639" s="65" t="s">
        <v>24</v>
      </c>
    </row>
    <row r="11640" spans="1:2" x14ac:dyDescent="0.25">
      <c r="A11640" s="64" t="str">
        <f>HYPERLINK("http://www.twitter.com/lornamhughes", "lornamhughes")</f>
        <v>lornamhughes</v>
      </c>
      <c r="B11640" s="65" t="s">
        <v>7474</v>
      </c>
    </row>
    <row r="11641" spans="1:2" x14ac:dyDescent="0.25">
      <c r="A11641" s="64" t="str">
        <f>HYPERLINK("http://www.twitter.com/pricelcassandra", "pricelcassandra")</f>
        <v>pricelcassandra</v>
      </c>
      <c r="B11641" s="65" t="s">
        <v>7475</v>
      </c>
    </row>
    <row r="11642" spans="1:2" x14ac:dyDescent="0.25">
      <c r="A11642" s="64" t="str">
        <f>HYPERLINK("http://www.twitter.com/cassandrajxne", "cassandrajxne")</f>
        <v>cassandrajxne</v>
      </c>
      <c r="B11642" s="65" t="s">
        <v>7476</v>
      </c>
    </row>
    <row r="11643" spans="1:2" x14ac:dyDescent="0.25">
      <c r="A11643" s="64" t="str">
        <f>HYPERLINK("http://www.twitter.com/HerculesEdUK", "HerculesEdUK")</f>
        <v>HerculesEdUK</v>
      </c>
      <c r="B11643" s="65" t="s">
        <v>4162</v>
      </c>
    </row>
    <row r="11644" spans="1:2" x14ac:dyDescent="0.25">
      <c r="A11644" s="64" t="str">
        <f>HYPERLINK("http://www.twitter.com/GetADinnerDate", "GetADinnerDate")</f>
        <v>GetADinnerDate</v>
      </c>
      <c r="B11644" s="65" t="s">
        <v>296</v>
      </c>
    </row>
    <row r="11645" spans="1:2" x14ac:dyDescent="0.25">
      <c r="A11645" s="64" t="str">
        <f>HYPERLINK("http://www.twitter.com/nikiboylewrites", "nikiboylewrites")</f>
        <v>nikiboylewrites</v>
      </c>
      <c r="B11645" s="65" t="s">
        <v>487</v>
      </c>
    </row>
    <row r="11646" spans="1:2" x14ac:dyDescent="0.25">
      <c r="A11646" s="64" t="str">
        <f>HYPERLINK("http://www.twitter.com/Amanda_Sasse", "Amanda_Sasse")</f>
        <v>Amanda_Sasse</v>
      </c>
      <c r="B11646" s="65" t="s">
        <v>7477</v>
      </c>
    </row>
    <row r="11647" spans="1:2" x14ac:dyDescent="0.25">
      <c r="A11647" s="64" t="str">
        <f>HYPERLINK("http://www.twitter.com/georgiebarrett_", "georgiebarrett_")</f>
        <v>georgiebarrett_</v>
      </c>
      <c r="B11647" s="65"/>
    </row>
    <row r="11648" spans="1:2" x14ac:dyDescent="0.25">
      <c r="A11648" s="64" t="str">
        <f>HYPERLINK("http://www.twitter.com/KBerston", "KBerston")</f>
        <v>KBerston</v>
      </c>
      <c r="B11648" s="65" t="s">
        <v>3762</v>
      </c>
    </row>
    <row r="11649" spans="1:2" x14ac:dyDescent="0.25">
      <c r="A11649" s="64" t="str">
        <f>HYPERLINK("http://www.twitter.com/Young_E_H", "Young_E_H")</f>
        <v>Young_E_H</v>
      </c>
      <c r="B11649" s="65" t="s">
        <v>67</v>
      </c>
    </row>
    <row r="11650" spans="1:2" x14ac:dyDescent="0.25">
      <c r="A11650" s="64" t="str">
        <f>HYPERLINK("http://www.twitter.com/JenniBrooks", "JenniBrooks")</f>
        <v>JenniBrooks</v>
      </c>
      <c r="B11650" s="65" t="s">
        <v>4234</v>
      </c>
    </row>
    <row r="11651" spans="1:2" x14ac:dyDescent="0.25">
      <c r="A11651" s="64" t="str">
        <f>HYPERLINK("http://www.twitter.com/vanillagirl1970", "vanillagirl1970")</f>
        <v>vanillagirl1970</v>
      </c>
      <c r="B11651" s="65" t="s">
        <v>3040</v>
      </c>
    </row>
    <row r="11652" spans="1:2" x14ac:dyDescent="0.25">
      <c r="A11652" s="64" t="str">
        <f>HYPERLINK("http://www.twitter.com/KirstyBunting1", "KirstyBunting1")</f>
        <v>KirstyBunting1</v>
      </c>
      <c r="B11652" s="65" t="s">
        <v>7478</v>
      </c>
    </row>
    <row r="11653" spans="1:2" x14ac:dyDescent="0.25">
      <c r="A11653" s="64" t="str">
        <f>HYPERLINK("http://www.twitter.com/rebsfletcher", "rebsfletcher")</f>
        <v>rebsfletcher</v>
      </c>
      <c r="B11653" s="65" t="s">
        <v>2007</v>
      </c>
    </row>
    <row r="11654" spans="1:2" x14ac:dyDescent="0.25">
      <c r="A11654" s="64" t="str">
        <f>HYPERLINK("http://www.twitter.com/CherIsa10", "CherIsa10")</f>
        <v>CherIsa10</v>
      </c>
      <c r="B11654" s="65"/>
    </row>
    <row r="11655" spans="1:2" x14ac:dyDescent="0.25">
      <c r="A11655" s="64" t="str">
        <f>HYPERLINK("http://www.twitter.com/noveltea4649", "noveltea4649")</f>
        <v>noveltea4649</v>
      </c>
      <c r="B11655" s="65"/>
    </row>
    <row r="11656" spans="1:2" x14ac:dyDescent="0.25">
      <c r="A11656" s="64" t="str">
        <f>HYPERLINK("http://www.twitter.com/jiayibb", "jiayibb")</f>
        <v>jiayibb</v>
      </c>
      <c r="B11656" s="65" t="s">
        <v>7479</v>
      </c>
    </row>
    <row r="11657" spans="1:2" x14ac:dyDescent="0.25">
      <c r="A11657" s="64" t="str">
        <f>HYPERLINK("http://www.twitter.com/best_sinclair", "best_sinclair")</f>
        <v>best_sinclair</v>
      </c>
      <c r="B11657" s="65" t="s">
        <v>7480</v>
      </c>
    </row>
    <row r="11658" spans="1:2" x14ac:dyDescent="0.25">
      <c r="A11658" s="64" t="str">
        <f>HYPERLINK("http://www.twitter.com/RoseSented", "RoseSented")</f>
        <v>RoseSented</v>
      </c>
      <c r="B11658" s="65"/>
    </row>
    <row r="11659" spans="1:2" x14ac:dyDescent="0.25">
      <c r="A11659" s="64" t="str">
        <f>HYPERLINK("http://www.twitter.com/Piobair", "Piobair")</f>
        <v>Piobair</v>
      </c>
      <c r="B11659" s="65" t="s">
        <v>4913</v>
      </c>
    </row>
    <row r="11660" spans="1:2" x14ac:dyDescent="0.25">
      <c r="A11660" s="64" t="str">
        <f>HYPERLINK("http://www.twitter.com/TimDee4", "TimDee4")</f>
        <v>TimDee4</v>
      </c>
      <c r="B11660" s="65" t="s">
        <v>7481</v>
      </c>
    </row>
    <row r="11661" spans="1:2" x14ac:dyDescent="0.25">
      <c r="A11661" s="64" t="str">
        <f>HYPERLINK("http://www.twitter.com/Jhinshaw1030", "Jhinshaw1030")</f>
        <v>Jhinshaw1030</v>
      </c>
      <c r="B11661" s="65"/>
    </row>
    <row r="11662" spans="1:2" x14ac:dyDescent="0.25">
      <c r="A11662" s="64" t="str">
        <f>HYPERLINK("http://www.twitter.com/RussL_HarV", "RussL_HarV")</f>
        <v>RussL_HarV</v>
      </c>
      <c r="B11662" s="65" t="s">
        <v>6457</v>
      </c>
    </row>
    <row r="11663" spans="1:2" x14ac:dyDescent="0.25">
      <c r="A11663" s="64" t="str">
        <f>HYPERLINK("http://www.twitter.com/docjgray", "docjgray")</f>
        <v>docjgray</v>
      </c>
      <c r="B11663" s="65"/>
    </row>
    <row r="11664" spans="1:2" x14ac:dyDescent="0.25">
      <c r="A11664" s="64" t="str">
        <f>HYPERLINK("http://www.twitter.com/JulieAnnEllis11", "JulieAnnEllis11")</f>
        <v>JulieAnnEllis11</v>
      </c>
      <c r="B11664" s="65"/>
    </row>
    <row r="11665" spans="1:2" x14ac:dyDescent="0.25">
      <c r="A11665" s="64" t="str">
        <f>HYPERLINK("http://www.twitter.com/clouston_craig", "clouston_craig")</f>
        <v>clouston_craig</v>
      </c>
      <c r="B11665" s="65"/>
    </row>
    <row r="11666" spans="1:2" x14ac:dyDescent="0.25">
      <c r="A11666" s="64" t="str">
        <f>HYPERLINK("http://www.twitter.com/Eteasdale", "Eteasdale")</f>
        <v>Eteasdale</v>
      </c>
      <c r="B11666" s="65" t="s">
        <v>36</v>
      </c>
    </row>
    <row r="11667" spans="1:2" x14ac:dyDescent="0.25">
      <c r="A11667" s="64" t="str">
        <f>HYPERLINK("http://www.twitter.com/LibraryGilmer", "LibraryGilmer")</f>
        <v>LibraryGilmer</v>
      </c>
      <c r="B11667" s="65" t="s">
        <v>7482</v>
      </c>
    </row>
    <row r="11668" spans="1:2" x14ac:dyDescent="0.25">
      <c r="A11668" s="64" t="str">
        <f>HYPERLINK("http://www.twitter.com/sligolib", "sligolib")</f>
        <v>sligolib</v>
      </c>
      <c r="B11668" s="65" t="s">
        <v>7483</v>
      </c>
    </row>
    <row r="11669" spans="1:2" x14ac:dyDescent="0.25">
      <c r="A11669" s="64" t="str">
        <f>HYPERLINK("http://www.twitter.com/_LearningCentre", "_LearningCentre")</f>
        <v>_LearningCentre</v>
      </c>
      <c r="B11669" s="65" t="s">
        <v>7484</v>
      </c>
    </row>
    <row r="11670" spans="1:2" x14ac:dyDescent="0.25">
      <c r="A11670" s="64" t="str">
        <f>HYPERLINK("http://www.twitter.com/JackPurling", "JackPurling")</f>
        <v>JackPurling</v>
      </c>
      <c r="B11670" s="65" t="s">
        <v>7485</v>
      </c>
    </row>
    <row r="11671" spans="1:2" x14ac:dyDescent="0.25">
      <c r="A11671" s="64" t="str">
        <f>HYPERLINK("http://www.twitter.com/Samantha_JB95", "Samantha_JB95")</f>
        <v>Samantha_JB95</v>
      </c>
      <c r="B11671" s="65" t="s">
        <v>7486</v>
      </c>
    </row>
    <row r="11672" spans="1:2" x14ac:dyDescent="0.25">
      <c r="A11672" s="64" t="str">
        <f>HYPERLINK("http://www.twitter.com/AlisonTyler", "AlisonTyler")</f>
        <v>AlisonTyler</v>
      </c>
      <c r="B11672" s="65" t="s">
        <v>7487</v>
      </c>
    </row>
    <row r="11673" spans="1:2" x14ac:dyDescent="0.25">
      <c r="A11673" s="64" t="str">
        <f>HYPERLINK("http://www.twitter.com/EnTongue", "EnTongue")</f>
        <v>EnTongue</v>
      </c>
      <c r="B11673" s="65" t="s">
        <v>36</v>
      </c>
    </row>
    <row r="11674" spans="1:2" x14ac:dyDescent="0.25">
      <c r="A11674" s="64" t="str">
        <f>HYPERLINK("http://www.twitter.com/Cotham_Library", "Cotham_Library")</f>
        <v>Cotham_Library</v>
      </c>
      <c r="B11674" s="65" t="s">
        <v>1295</v>
      </c>
    </row>
    <row r="11675" spans="1:2" x14ac:dyDescent="0.25">
      <c r="A11675" s="64" t="str">
        <f>HYPERLINK("http://www.twitter.com/omeraradwriter", "omeraradwriter")</f>
        <v>omeraradwriter</v>
      </c>
      <c r="B11675" s="65"/>
    </row>
    <row r="11676" spans="1:2" x14ac:dyDescent="0.25">
      <c r="A11676" s="64" t="str">
        <f>HYPERLINK("http://www.twitter.com/MagsByrne10", "MagsByrne10")</f>
        <v>MagsByrne10</v>
      </c>
      <c r="B11676" s="65" t="s">
        <v>7488</v>
      </c>
    </row>
    <row r="11677" spans="1:2" x14ac:dyDescent="0.25">
      <c r="A11677" s="64" t="str">
        <f>HYPERLINK("http://www.twitter.com/BloomsReader", "BloomsReader")</f>
        <v>BloomsReader</v>
      </c>
      <c r="B11677" s="65" t="s">
        <v>36</v>
      </c>
    </row>
    <row r="11678" spans="1:2" x14ac:dyDescent="0.25">
      <c r="A11678" s="64" t="str">
        <f>HYPERLINK("http://www.twitter.com/SmallsLites", "SmallsLites")</f>
        <v>SmallsLites</v>
      </c>
      <c r="B11678" s="65" t="s">
        <v>36</v>
      </c>
    </row>
    <row r="11679" spans="1:2" x14ac:dyDescent="0.25">
      <c r="A11679" s="64" t="str">
        <f>HYPERLINK("http://www.twitter.com/BenJChadwick", "BenJChadwick")</f>
        <v>BenJChadwick</v>
      </c>
      <c r="B11679" s="65" t="s">
        <v>4147</v>
      </c>
    </row>
    <row r="11680" spans="1:2" x14ac:dyDescent="0.25">
      <c r="A11680" s="64" t="str">
        <f>HYPERLINK("http://www.twitter.com/scrumpy68", "scrumpy68")</f>
        <v>scrumpy68</v>
      </c>
      <c r="B11680" s="65" t="s">
        <v>7489</v>
      </c>
    </row>
    <row r="11681" spans="1:2" x14ac:dyDescent="0.25">
      <c r="A11681" s="64" t="str">
        <f>HYPERLINK("http://www.twitter.com/langston_n", "langston_n")</f>
        <v>langston_n</v>
      </c>
      <c r="B11681" s="65"/>
    </row>
    <row r="11682" spans="1:2" x14ac:dyDescent="0.25">
      <c r="A11682" s="64" t="str">
        <f>HYPERLINK("http://www.twitter.com/DollyDeighton", "DollyDeighton")</f>
        <v>DollyDeighton</v>
      </c>
      <c r="B11682" s="65" t="s">
        <v>36</v>
      </c>
    </row>
    <row r="11683" spans="1:2" x14ac:dyDescent="0.25">
      <c r="A11683" s="64" t="str">
        <f>HYPERLINK("http://www.twitter.com/militaire1939", "militaire1939")</f>
        <v>militaire1939</v>
      </c>
      <c r="B11683" s="65" t="s">
        <v>7490</v>
      </c>
    </row>
    <row r="11684" spans="1:2" x14ac:dyDescent="0.25">
      <c r="A11684" s="64" t="str">
        <f>HYPERLINK("http://www.twitter.com/mmdevlinlibrary", "mmdevlinlibrary")</f>
        <v>mmdevlinlibrary</v>
      </c>
      <c r="B11684" s="65" t="s">
        <v>5336</v>
      </c>
    </row>
    <row r="11685" spans="1:2" x14ac:dyDescent="0.25">
      <c r="A11685" s="64" t="str">
        <f>HYPERLINK("http://www.twitter.com/SandieGray", "SandieGray")</f>
        <v>SandieGray</v>
      </c>
      <c r="B11685" s="65" t="s">
        <v>7491</v>
      </c>
    </row>
    <row r="11686" spans="1:2" x14ac:dyDescent="0.25">
      <c r="A11686" s="64" t="str">
        <f>HYPERLINK("http://www.twitter.com/josiepwray", "josiepwray")</f>
        <v>josiepwray</v>
      </c>
      <c r="B11686" s="65"/>
    </row>
    <row r="11687" spans="1:2" x14ac:dyDescent="0.25">
      <c r="A11687" s="64" t="str">
        <f>HYPERLINK("http://www.twitter.com/treasa", "treasa")</f>
        <v>treasa</v>
      </c>
      <c r="B11687" s="65" t="s">
        <v>7492</v>
      </c>
    </row>
    <row r="11688" spans="1:2" x14ac:dyDescent="0.25">
      <c r="A11688" s="64" t="str">
        <f>HYPERLINK("http://www.twitter.com/DRP252X", "DRP252X")</f>
        <v>DRP252X</v>
      </c>
      <c r="B11688" s="65" t="s">
        <v>318</v>
      </c>
    </row>
    <row r="11689" spans="1:2" x14ac:dyDescent="0.25">
      <c r="A11689" s="64" t="str">
        <f>HYPERLINK("http://www.twitter.com/cakeholepoetry", "cakeholepoetry")</f>
        <v>cakeholepoetry</v>
      </c>
      <c r="B11689" s="65" t="s">
        <v>2492</v>
      </c>
    </row>
    <row r="11690" spans="1:2" x14ac:dyDescent="0.25">
      <c r="A11690" s="64" t="str">
        <f>HYPERLINK("http://www.twitter.com/Cheek_tweets", "Cheek_tweets")</f>
        <v>Cheek_tweets</v>
      </c>
      <c r="B11690" s="65" t="s">
        <v>7493</v>
      </c>
    </row>
    <row r="11691" spans="1:2" x14ac:dyDescent="0.25">
      <c r="A11691" s="64" t="str">
        <f>HYPERLINK("http://www.twitter.com/pantel81", "pantel81")</f>
        <v>pantel81</v>
      </c>
      <c r="B11691" s="65" t="s">
        <v>7494</v>
      </c>
    </row>
    <row r="11692" spans="1:2" x14ac:dyDescent="0.25">
      <c r="A11692" s="64" t="str">
        <f>HYPERLINK("http://www.twitter.com/Tillyswonder", "Tillyswonder")</f>
        <v>Tillyswonder</v>
      </c>
      <c r="B11692" s="65" t="s">
        <v>7495</v>
      </c>
    </row>
    <row r="11693" spans="1:2" x14ac:dyDescent="0.25">
      <c r="A11693" s="64" t="str">
        <f>HYPERLINK("http://www.twitter.com/davidhume86", "davidhume86")</f>
        <v>davidhume86</v>
      </c>
      <c r="B11693" s="65" t="s">
        <v>7496</v>
      </c>
    </row>
    <row r="11694" spans="1:2" x14ac:dyDescent="0.25">
      <c r="A11694" s="64" t="str">
        <f>HYPERLINK("http://www.twitter.com/MalcSeventyFour", "MalcSeventyFour")</f>
        <v>MalcSeventyFour</v>
      </c>
      <c r="B11694" s="65" t="s">
        <v>7497</v>
      </c>
    </row>
    <row r="11695" spans="1:2" x14ac:dyDescent="0.25">
      <c r="A11695" s="64" t="str">
        <f>HYPERLINK("http://www.twitter.com/Heikepopeike", "Heikepopeike")</f>
        <v>Heikepopeike</v>
      </c>
      <c r="B11695" s="65" t="s">
        <v>7498</v>
      </c>
    </row>
    <row r="11696" spans="1:2" x14ac:dyDescent="0.25">
      <c r="A11696" s="64" t="str">
        <f>HYPERLINK("http://www.twitter.com/thegiasaur", "thegiasaur")</f>
        <v>thegiasaur</v>
      </c>
      <c r="B11696" s="65"/>
    </row>
    <row r="11697" spans="1:2" x14ac:dyDescent="0.25">
      <c r="A11697" s="64" t="str">
        <f>HYPERLINK("http://www.twitter.com/CakeKnit", "CakeKnit")</f>
        <v>CakeKnit</v>
      </c>
      <c r="B11697" s="65"/>
    </row>
    <row r="11698" spans="1:2" x14ac:dyDescent="0.25">
      <c r="A11698" s="64" t="str">
        <f>HYPERLINK("http://www.twitter.com/soulandsierra", "soulandsierra")</f>
        <v>soulandsierra</v>
      </c>
      <c r="B11698" s="65" t="s">
        <v>5869</v>
      </c>
    </row>
    <row r="11699" spans="1:2" x14ac:dyDescent="0.25">
      <c r="A11699" s="64" t="str">
        <f>HYPERLINK("http://www.twitter.com/Harcus92", "Harcus92")</f>
        <v>Harcus92</v>
      </c>
      <c r="B11699" s="65"/>
    </row>
    <row r="11700" spans="1:2" x14ac:dyDescent="0.25">
      <c r="A11700" s="64" t="str">
        <f>HYPERLINK("http://www.twitter.com/mel_melwriting", "mel_melwriting")</f>
        <v>mel_melwriting</v>
      </c>
      <c r="B11700" s="65" t="s">
        <v>1377</v>
      </c>
    </row>
    <row r="11701" spans="1:2" x14ac:dyDescent="0.25">
      <c r="A11701" s="64" t="str">
        <f>HYPERLINK("http://www.twitter.com/elainepapworth", "elainepapworth")</f>
        <v>elainepapworth</v>
      </c>
      <c r="B11701" s="65" t="s">
        <v>33</v>
      </c>
    </row>
    <row r="11702" spans="1:2" x14ac:dyDescent="0.25">
      <c r="A11702" s="64" t="str">
        <f>HYPERLINK("http://www.twitter.com/Lairy_Book", "Lairy_Book")</f>
        <v>Lairy_Book</v>
      </c>
      <c r="B11702" s="65" t="s">
        <v>7499</v>
      </c>
    </row>
    <row r="11703" spans="1:2" x14ac:dyDescent="0.25">
      <c r="A11703" s="64" t="str">
        <f>HYPERLINK("http://www.twitter.com/stellian", "stellian")</f>
        <v>stellian</v>
      </c>
      <c r="B11703" s="65" t="s">
        <v>7500</v>
      </c>
    </row>
    <row r="11704" spans="1:2" x14ac:dyDescent="0.25">
      <c r="A11704" s="64" t="str">
        <f>HYPERLINK("http://www.twitter.com/Apothetes", "Apothetes")</f>
        <v>Apothetes</v>
      </c>
      <c r="B11704" s="65" t="s">
        <v>7501</v>
      </c>
    </row>
    <row r="11705" spans="1:2" x14ac:dyDescent="0.25">
      <c r="A11705" s="64" t="str">
        <f>HYPERLINK("http://www.twitter.com/foodiejools", "foodiejools")</f>
        <v>foodiejools</v>
      </c>
      <c r="B11705" s="65"/>
    </row>
    <row r="11706" spans="1:2" x14ac:dyDescent="0.25">
      <c r="A11706" s="64" t="str">
        <f>HYPERLINK("http://www.twitter.com/aaroncritch", "aaroncritch")</f>
        <v>aaroncritch</v>
      </c>
      <c r="B11706" s="65" t="s">
        <v>7502</v>
      </c>
    </row>
    <row r="11707" spans="1:2" x14ac:dyDescent="0.25">
      <c r="A11707" s="64" t="str">
        <f>HYPERLINK("http://www.twitter.com/itmustveshifted", "itmustveshifted")</f>
        <v>itmustveshifted</v>
      </c>
      <c r="B11707" s="65" t="s">
        <v>487</v>
      </c>
    </row>
    <row r="11708" spans="1:2" x14ac:dyDescent="0.25">
      <c r="A11708" s="64" t="str">
        <f>HYPERLINK("http://www.twitter.com/DouglasDaniel", "DouglasDaniel")</f>
        <v>DouglasDaniel</v>
      </c>
      <c r="B11708" s="65" t="s">
        <v>808</v>
      </c>
    </row>
    <row r="11709" spans="1:2" x14ac:dyDescent="0.25">
      <c r="A11709" s="64" t="str">
        <f>HYPERLINK("http://www.twitter.com/schwanmitbrille", "schwanmitbrille")</f>
        <v>schwanmitbrille</v>
      </c>
      <c r="B11709" s="65"/>
    </row>
    <row r="11710" spans="1:2" x14ac:dyDescent="0.25">
      <c r="A11710" s="64" t="str">
        <f>HYPERLINK("http://www.twitter.com/SmileLookListen", "SmileLookListen")</f>
        <v>SmileLookListen</v>
      </c>
      <c r="B11710" s="65"/>
    </row>
    <row r="11711" spans="1:2" x14ac:dyDescent="0.25">
      <c r="A11711" s="64" t="str">
        <f>HYPERLINK("http://www.twitter.com/sheenamjackson", "sheenamjackson")</f>
        <v>sheenamjackson</v>
      </c>
      <c r="B11711" s="65" t="s">
        <v>7503</v>
      </c>
    </row>
    <row r="11712" spans="1:2" x14ac:dyDescent="0.25">
      <c r="A11712" s="64" t="str">
        <f>HYPERLINK("http://www.twitter.com/R_A_Grant", "R_A_Grant")</f>
        <v>R_A_Grant</v>
      </c>
      <c r="B11712" s="65"/>
    </row>
    <row r="11713" spans="1:2" x14ac:dyDescent="0.25">
      <c r="A11713" s="64" t="str">
        <f>HYPERLINK("http://www.twitter.com/valenishi", "valenishi")</f>
        <v>valenishi</v>
      </c>
      <c r="B11713" s="65"/>
    </row>
    <row r="11714" spans="1:2" x14ac:dyDescent="0.25">
      <c r="A11714" s="64" t="str">
        <f>HYPERLINK("http://www.twitter.com/jd5761", "jd5761")</f>
        <v>jd5761</v>
      </c>
      <c r="B11714" s="65" t="s">
        <v>4436</v>
      </c>
    </row>
    <row r="11715" spans="1:2" x14ac:dyDescent="0.25">
      <c r="A11715" s="64" t="str">
        <f>HYPERLINK("http://www.twitter.com/nik_sea", "nik_sea")</f>
        <v>nik_sea</v>
      </c>
      <c r="B11715" s="65"/>
    </row>
    <row r="11716" spans="1:2" x14ac:dyDescent="0.25">
      <c r="A11716" s="64" t="str">
        <f>HYPERLINK("http://www.twitter.com/iamaelred", "iamaelred")</f>
        <v>iamaelred</v>
      </c>
      <c r="B11716" s="65" t="s">
        <v>2007</v>
      </c>
    </row>
    <row r="11717" spans="1:2" x14ac:dyDescent="0.25">
      <c r="A11717" s="64" t="str">
        <f>HYPERLINK("http://www.twitter.com/moary123", "moary123")</f>
        <v>moary123</v>
      </c>
      <c r="B11717" s="65" t="s">
        <v>20</v>
      </c>
    </row>
    <row r="11718" spans="1:2" x14ac:dyDescent="0.25">
      <c r="A11718" s="64" t="str">
        <f>HYPERLINK("http://www.twitter.com/djhreed67", "djhreed67")</f>
        <v>djhreed67</v>
      </c>
      <c r="B11718" s="65" t="s">
        <v>180</v>
      </c>
    </row>
    <row r="11719" spans="1:2" x14ac:dyDescent="0.25">
      <c r="A11719" s="64" t="str">
        <f>HYPERLINK("http://www.twitter.com/SamuelFrenchLtd", "SamuelFrenchLtd")</f>
        <v>SamuelFrenchLtd</v>
      </c>
      <c r="B11719" s="65"/>
    </row>
    <row r="11720" spans="1:2" x14ac:dyDescent="0.25">
      <c r="A11720" s="64" t="str">
        <f>HYPERLINK("http://www.twitter.com/ericabookbinder", "ericabookbinder")</f>
        <v>ericabookbinder</v>
      </c>
      <c r="B11720" s="65" t="s">
        <v>4234</v>
      </c>
    </row>
    <row r="11721" spans="1:2" x14ac:dyDescent="0.25">
      <c r="A11721" s="64" t="str">
        <f>HYPERLINK("http://www.twitter.com/mariakonosky", "mariakonosky")</f>
        <v>mariakonosky</v>
      </c>
      <c r="B11721" s="65"/>
    </row>
    <row r="11722" spans="1:2" x14ac:dyDescent="0.25">
      <c r="A11722" s="64" t="str">
        <f>HYPERLINK("http://www.twitter.com/__Waxy__", "__Waxy__")</f>
        <v>__Waxy__</v>
      </c>
      <c r="B11722" s="65" t="s">
        <v>7504</v>
      </c>
    </row>
    <row r="11723" spans="1:2" x14ac:dyDescent="0.25">
      <c r="A11723" s="64" t="str">
        <f>HYPERLINK("http://www.twitter.com/woodymusgrove", "woodymusgrove")</f>
        <v>woodymusgrove</v>
      </c>
      <c r="B11723" s="65"/>
    </row>
    <row r="11724" spans="1:2" x14ac:dyDescent="0.25">
      <c r="A11724" s="64" t="str">
        <f>HYPERLINK("http://www.twitter.com/MeganLeslie21", "MeganLeslie21")</f>
        <v>MeganLeslie21</v>
      </c>
      <c r="B11724" s="65" t="s">
        <v>5667</v>
      </c>
    </row>
    <row r="11725" spans="1:2" x14ac:dyDescent="0.25">
      <c r="A11725" s="64" t="str">
        <f>HYPERLINK("http://www.twitter.com/caitlinschiller", "caitlinschiller")</f>
        <v>caitlinschiller</v>
      </c>
      <c r="B11725" s="65" t="s">
        <v>5089</v>
      </c>
    </row>
    <row r="11726" spans="1:2" x14ac:dyDescent="0.25">
      <c r="A11726" s="64" t="str">
        <f>HYPERLINK("http://www.twitter.com/derpink", "derpink")</f>
        <v>derpink</v>
      </c>
      <c r="B11726" s="65" t="s">
        <v>7505</v>
      </c>
    </row>
    <row r="11727" spans="1:2" x14ac:dyDescent="0.25">
      <c r="A11727" s="64" t="str">
        <f>HYPERLINK("http://www.twitter.com/joey_bortnick", "joey_bortnick")</f>
        <v>joey_bortnick</v>
      </c>
      <c r="B11727" s="65"/>
    </row>
    <row r="11728" spans="1:2" x14ac:dyDescent="0.25">
      <c r="A11728" s="64" t="str">
        <f>HYPERLINK("http://www.twitter.com/HITLibrarygrp", "HITLibrarygrp")</f>
        <v>HITLibrarygrp</v>
      </c>
      <c r="B11728" s="65"/>
    </row>
    <row r="11729" spans="1:2" x14ac:dyDescent="0.25">
      <c r="A11729" s="64" t="str">
        <f>HYPERLINK("http://www.twitter.com/schnitzk", "schnitzk")</f>
        <v>schnitzk</v>
      </c>
      <c r="B11729" s="65"/>
    </row>
    <row r="11730" spans="1:2" x14ac:dyDescent="0.25">
      <c r="A11730" s="64" t="str">
        <f>HYPERLINK("http://www.twitter.com/glacegirl", "glacegirl")</f>
        <v>glacegirl</v>
      </c>
      <c r="B11730" s="65" t="s">
        <v>5078</v>
      </c>
    </row>
    <row r="11731" spans="1:2" x14ac:dyDescent="0.25">
      <c r="A11731" s="64" t="str">
        <f>HYPERLINK("http://www.twitter.com/booksntravels", "booksntravels")</f>
        <v>booksntravels</v>
      </c>
      <c r="B11731" s="65"/>
    </row>
    <row r="11732" spans="1:2" x14ac:dyDescent="0.25">
      <c r="A11732" s="64" t="str">
        <f>HYPERLINK("http://www.twitter.com/saclib", "saclib")</f>
        <v>saclib</v>
      </c>
      <c r="B11732" s="65" t="s">
        <v>4208</v>
      </c>
    </row>
    <row r="11733" spans="1:2" x14ac:dyDescent="0.25">
      <c r="A11733" s="64" t="str">
        <f>HYPERLINK("http://www.twitter.com/CosmeCosminho", "CosmeCosminho")</f>
        <v>CosmeCosminho</v>
      </c>
      <c r="B11733" s="65"/>
    </row>
    <row r="11734" spans="1:2" x14ac:dyDescent="0.25">
      <c r="A11734" s="64" t="str">
        <f>HYPERLINK("http://www.twitter.com/Monkeywellbeing", "Monkeywellbeing")</f>
        <v>Monkeywellbeing</v>
      </c>
      <c r="B11734" s="65" t="s">
        <v>296</v>
      </c>
    </row>
    <row r="11735" spans="1:2" x14ac:dyDescent="0.25">
      <c r="A11735" s="64" t="str">
        <f>HYPERLINK("http://www.twitter.com/emilymelissabee", "emilymelissabee")</f>
        <v>emilymelissabee</v>
      </c>
      <c r="B11735" s="65" t="s">
        <v>3948</v>
      </c>
    </row>
    <row r="11736" spans="1:2" x14ac:dyDescent="0.25">
      <c r="A11736" s="64" t="str">
        <f>HYPERLINK("http://www.twitter.com/LandofBeasts", "LandofBeasts")</f>
        <v>LandofBeasts</v>
      </c>
      <c r="B11736" s="65"/>
    </row>
    <row r="11737" spans="1:2" x14ac:dyDescent="0.25">
      <c r="A11737" s="64" t="str">
        <f>HYPERLINK("http://www.twitter.com/beecee", "beecee")</f>
        <v>beecee</v>
      </c>
      <c r="B11737" s="65" t="s">
        <v>7506</v>
      </c>
    </row>
    <row r="11738" spans="1:2" x14ac:dyDescent="0.25">
      <c r="A11738" s="64" t="str">
        <f>HYPERLINK("http://www.twitter.com/xSallyHx", "xSallyHx")</f>
        <v>xSallyHx</v>
      </c>
      <c r="B11738" s="65"/>
    </row>
    <row r="11739" spans="1:2" x14ac:dyDescent="0.25">
      <c r="A11739" s="64" t="str">
        <f>HYPERLINK("http://www.twitter.com/sariefuller", "sariefuller")</f>
        <v>sariefuller</v>
      </c>
      <c r="B11739" s="65" t="s">
        <v>296</v>
      </c>
    </row>
    <row r="11740" spans="1:2" x14ac:dyDescent="0.25">
      <c r="A11740" s="64" t="str">
        <f>HYPERLINK("http://www.twitter.com/IrvineBecki", "IrvineBecki")</f>
        <v>IrvineBecki</v>
      </c>
      <c r="B11740" s="65"/>
    </row>
    <row r="11741" spans="1:2" x14ac:dyDescent="0.25">
      <c r="A11741" s="64" t="str">
        <f>HYPERLINK("http://www.twitter.com/lizkenhen", "lizkenhen")</f>
        <v>lizkenhen</v>
      </c>
      <c r="B11741" s="65"/>
    </row>
    <row r="11742" spans="1:2" x14ac:dyDescent="0.25">
      <c r="A11742" s="64" t="str">
        <f>HYPERLINK("http://www.twitter.com/kipptuj", "kipptuj")</f>
        <v>kipptuj</v>
      </c>
      <c r="B11742" s="65" t="s">
        <v>7507</v>
      </c>
    </row>
    <row r="11743" spans="1:2" x14ac:dyDescent="0.25">
      <c r="A11743" s="64" t="str">
        <f>HYPERLINK("http://www.twitter.com/knittingcowgirl", "knittingcowgirl")</f>
        <v>knittingcowgirl</v>
      </c>
      <c r="B11743" s="65"/>
    </row>
    <row r="11744" spans="1:2" x14ac:dyDescent="0.25">
      <c r="A11744" s="64" t="str">
        <f>HYPERLINK("http://www.twitter.com/euan24657501", "euan24657501")</f>
        <v>euan24657501</v>
      </c>
      <c r="B11744" s="65"/>
    </row>
    <row r="11745" spans="1:2" x14ac:dyDescent="0.25">
      <c r="A11745" s="64" t="str">
        <f>HYPERLINK("http://www.twitter.com/sarolinye", "sarolinye")</f>
        <v>sarolinye</v>
      </c>
      <c r="B11745" s="65" t="s">
        <v>7508</v>
      </c>
    </row>
    <row r="11746" spans="1:2" x14ac:dyDescent="0.25">
      <c r="A11746" s="64" t="str">
        <f>HYPERLINK("http://www.twitter.com/Slark42", "Slark42")</f>
        <v>Slark42</v>
      </c>
      <c r="B11746" s="65"/>
    </row>
    <row r="11747" spans="1:2" x14ac:dyDescent="0.25">
      <c r="A11747" s="64" t="str">
        <f>HYPERLINK("http://www.twitter.com/sheenlotto", "sheenlotto")</f>
        <v>sheenlotto</v>
      </c>
      <c r="B11747" s="65" t="s">
        <v>2007</v>
      </c>
    </row>
    <row r="11748" spans="1:2" x14ac:dyDescent="0.25">
      <c r="A11748" s="64" t="str">
        <f>HYPERLINK("http://www.twitter.com/VintageVibesEd", "VintageVibesEd")</f>
        <v>VintageVibesEd</v>
      </c>
      <c r="B11748" s="65" t="s">
        <v>487</v>
      </c>
    </row>
    <row r="11749" spans="1:2" x14ac:dyDescent="0.25">
      <c r="A11749" s="64" t="str">
        <f>HYPERLINK("http://www.twitter.com/1stMondayCrime", "1stMondayCrime")</f>
        <v>1stMondayCrime</v>
      </c>
      <c r="B11749" s="65" t="s">
        <v>477</v>
      </c>
    </row>
    <row r="11750" spans="1:2" x14ac:dyDescent="0.25">
      <c r="A11750" s="64" t="str">
        <f>HYPERLINK("http://www.twitter.com/CommonsScotAffs", "CommonsScotAffs")</f>
        <v>CommonsScotAffs</v>
      </c>
      <c r="B11750" s="65" t="s">
        <v>7509</v>
      </c>
    </row>
    <row r="11751" spans="1:2" x14ac:dyDescent="0.25">
      <c r="A11751" s="64" t="str">
        <f>HYPERLINK("http://www.twitter.com/LeeOglesbee", "LeeOglesbee")</f>
        <v>LeeOglesbee</v>
      </c>
      <c r="B11751" s="65"/>
    </row>
    <row r="11752" spans="1:2" x14ac:dyDescent="0.25">
      <c r="A11752" s="64" t="str">
        <f>HYPERLINK("http://www.twitter.com/benatherton71", "benatherton71")</f>
        <v>benatherton71</v>
      </c>
      <c r="B11752" s="65"/>
    </row>
    <row r="11753" spans="1:2" x14ac:dyDescent="0.25">
      <c r="A11753" s="64" t="str">
        <f>HYPERLINK("http://www.twitter.com/LAWaldenDVM", "LAWaldenDVM")</f>
        <v>LAWaldenDVM</v>
      </c>
      <c r="B11753" s="65" t="s">
        <v>7510</v>
      </c>
    </row>
    <row r="11754" spans="1:2" x14ac:dyDescent="0.25">
      <c r="A11754" s="64" t="str">
        <f>HYPERLINK("http://www.twitter.com/Ellenamy1", "Ellenamy1")</f>
        <v>Ellenamy1</v>
      </c>
      <c r="B11754" s="65" t="s">
        <v>477</v>
      </c>
    </row>
    <row r="11755" spans="1:2" x14ac:dyDescent="0.25">
      <c r="A11755" s="64" t="str">
        <f>HYPERLINK("http://www.twitter.com/writingNSW", "writingNSW")</f>
        <v>writingNSW</v>
      </c>
      <c r="B11755" s="65" t="s">
        <v>3817</v>
      </c>
    </row>
    <row r="11756" spans="1:2" x14ac:dyDescent="0.25">
      <c r="A11756" s="64" t="str">
        <f>HYPERLINK("http://www.twitter.com/Zero_Day_Mike", "Zero_Day_Mike")</f>
        <v>Zero_Day_Mike</v>
      </c>
      <c r="B11756" s="65"/>
    </row>
    <row r="11757" spans="1:2" x14ac:dyDescent="0.25">
      <c r="A11757" s="64" t="str">
        <f>HYPERLINK("http://www.twitter.com/RareEscapes", "RareEscapes")</f>
        <v>RareEscapes</v>
      </c>
      <c r="B11757" s="65" t="s">
        <v>477</v>
      </c>
    </row>
    <row r="11758" spans="1:2" x14ac:dyDescent="0.25">
      <c r="A11758" s="64" t="str">
        <f>HYPERLINK("http://www.twitter.com/lovisasagnell", "lovisasagnell")</f>
        <v>lovisasagnell</v>
      </c>
      <c r="B11758" s="65"/>
    </row>
    <row r="11759" spans="1:2" x14ac:dyDescent="0.25">
      <c r="A11759" s="64" t="str">
        <f>HYPERLINK("http://www.twitter.com/archer_jeremy", "archer_jeremy")</f>
        <v>archer_jeremy</v>
      </c>
      <c r="B11759" s="65"/>
    </row>
    <row r="11760" spans="1:2" x14ac:dyDescent="0.25">
      <c r="A11760" s="64" t="str">
        <f>HYPERLINK("http://www.twitter.com/OfSepulchre", "OfSepulchre")</f>
        <v>OfSepulchre</v>
      </c>
      <c r="B11760" s="65"/>
    </row>
    <row r="11761" spans="1:2" x14ac:dyDescent="0.25">
      <c r="A11761" s="64" t="str">
        <f>HYPERLINK("http://www.twitter.com/angelcake333", "angelcake333")</f>
        <v>angelcake333</v>
      </c>
      <c r="B11761" s="65" t="s">
        <v>6431</v>
      </c>
    </row>
    <row r="11762" spans="1:2" x14ac:dyDescent="0.25">
      <c r="A11762" s="64" t="str">
        <f>HYPERLINK("http://www.twitter.com/faerhie", "faerhie")</f>
        <v>faerhie</v>
      </c>
      <c r="B11762" s="65" t="s">
        <v>7511</v>
      </c>
    </row>
    <row r="11763" spans="1:2" x14ac:dyDescent="0.25">
      <c r="A11763" s="64" t="str">
        <f>HYPERLINK("http://www.twitter.com/WeftWork", "WeftWork")</f>
        <v>WeftWork</v>
      </c>
      <c r="B11763" s="65" t="s">
        <v>138</v>
      </c>
    </row>
    <row r="11764" spans="1:2" x14ac:dyDescent="0.25">
      <c r="A11764" s="64" t="str">
        <f>HYPERLINK("http://www.twitter.com/CristinaAladia", "CristinaAladia")</f>
        <v>CristinaAladia</v>
      </c>
      <c r="B11764" s="65" t="s">
        <v>4837</v>
      </c>
    </row>
    <row r="11765" spans="1:2" x14ac:dyDescent="0.25">
      <c r="A11765" s="64" t="str">
        <f>HYPERLINK("http://www.twitter.com/mesodweezil", "mesodweezil")</f>
        <v>mesodweezil</v>
      </c>
      <c r="B11765" s="65" t="s">
        <v>5807</v>
      </c>
    </row>
    <row r="11766" spans="1:2" x14ac:dyDescent="0.25">
      <c r="A11766" s="64" t="str">
        <f>HYPERLINK("http://www.twitter.com/sdesalvo33", "sdesalvo33")</f>
        <v>sdesalvo33</v>
      </c>
      <c r="B11766" s="65" t="s">
        <v>4632</v>
      </c>
    </row>
    <row r="11767" spans="1:2" x14ac:dyDescent="0.25">
      <c r="A11767" s="64" t="str">
        <f>HYPERLINK("http://www.twitter.com/jediarchy", "jediarchy")</f>
        <v>jediarchy</v>
      </c>
      <c r="B11767" s="65" t="s">
        <v>5269</v>
      </c>
    </row>
    <row r="11768" spans="1:2" x14ac:dyDescent="0.25">
      <c r="A11768" s="64" t="str">
        <f>HYPERLINK("http://www.twitter.com/poscas", "poscas")</f>
        <v>poscas</v>
      </c>
      <c r="B11768" s="65"/>
    </row>
    <row r="11769" spans="1:2" x14ac:dyDescent="0.25">
      <c r="A11769" s="64" t="str">
        <f>HYPERLINK("http://www.twitter.com/SURHULpolice", "SURHULpolice")</f>
        <v>SURHULpolice</v>
      </c>
      <c r="B11769" s="65" t="s">
        <v>7512</v>
      </c>
    </row>
    <row r="11770" spans="1:2" x14ac:dyDescent="0.25">
      <c r="A11770" s="64" t="str">
        <f>HYPERLINK("http://www.twitter.com/CeciliaThoren_", "CeciliaThoren_")</f>
        <v>CeciliaThoren_</v>
      </c>
      <c r="B11770" s="65"/>
    </row>
    <row r="11771" spans="1:2" x14ac:dyDescent="0.25">
      <c r="A11771" s="64" t="str">
        <f>HYPERLINK("http://www.twitter.com/_michaeleaston", "_michaeleaston")</f>
        <v>_michaeleaston</v>
      </c>
      <c r="B11771" s="65" t="s">
        <v>4500</v>
      </c>
    </row>
    <row r="11772" spans="1:2" x14ac:dyDescent="0.25">
      <c r="A11772" s="64" t="str">
        <f>HYPERLINK("http://www.twitter.com/intotheflood", "intotheflood")</f>
        <v>intotheflood</v>
      </c>
      <c r="B11772" s="65" t="s">
        <v>7513</v>
      </c>
    </row>
    <row r="11773" spans="1:2" x14ac:dyDescent="0.25">
      <c r="A11773" s="64" t="str">
        <f>HYPERLINK("http://www.twitter.com/JillPBrown", "JillPBrown")</f>
        <v>JillPBrown</v>
      </c>
      <c r="B11773" s="65" t="s">
        <v>7514</v>
      </c>
    </row>
    <row r="11774" spans="1:2" x14ac:dyDescent="0.25">
      <c r="A11774" s="64" t="str">
        <f>HYPERLINK("http://www.twitter.com/Doctor_J_", "Doctor_J_")</f>
        <v>Doctor_J_</v>
      </c>
      <c r="B11774" s="65" t="s">
        <v>3760</v>
      </c>
    </row>
    <row r="11775" spans="1:2" x14ac:dyDescent="0.25">
      <c r="A11775" s="64" t="str">
        <f>HYPERLINK("http://www.twitter.com/mj_wheatley", "mj_wheatley")</f>
        <v>mj_wheatley</v>
      </c>
      <c r="B11775" s="65" t="s">
        <v>3899</v>
      </c>
    </row>
    <row r="11776" spans="1:2" x14ac:dyDescent="0.25">
      <c r="A11776" s="64" t="str">
        <f>HYPERLINK("http://www.twitter.com/kapaterson", "kapaterson")</f>
        <v>kapaterson</v>
      </c>
      <c r="B11776" s="65"/>
    </row>
    <row r="11777" spans="1:2" x14ac:dyDescent="0.25">
      <c r="A11777" s="64" t="str">
        <f>HYPERLINK("http://www.twitter.com/DavidDwpaterson", "DavidDwpaterson")</f>
        <v>DavidDwpaterson</v>
      </c>
      <c r="B11777" s="65" t="s">
        <v>2007</v>
      </c>
    </row>
    <row r="11778" spans="1:2" x14ac:dyDescent="0.25">
      <c r="A11778" s="64" t="str">
        <f>HYPERLINK("http://www.twitter.com/oaisdujour", "oaisdujour")</f>
        <v>oaisdujour</v>
      </c>
      <c r="B11778" s="65" t="s">
        <v>4177</v>
      </c>
    </row>
    <row r="11779" spans="1:2" x14ac:dyDescent="0.25">
      <c r="A11779" s="64" t="str">
        <f>HYPERLINK("http://www.twitter.com/SaveLichLibrary", "SaveLichLibrary")</f>
        <v>SaveLichLibrary</v>
      </c>
      <c r="B11779" s="65" t="s">
        <v>7515</v>
      </c>
    </row>
    <row r="11780" spans="1:2" x14ac:dyDescent="0.25">
      <c r="A11780" s="64" t="str">
        <f>HYPERLINK("http://www.twitter.com/Bookishae", "Bookishae")</f>
        <v>Bookishae</v>
      </c>
      <c r="B11780" s="65" t="s">
        <v>4336</v>
      </c>
    </row>
    <row r="11781" spans="1:2" x14ac:dyDescent="0.25">
      <c r="A11781" s="64" t="str">
        <f>HYPERLINK("http://www.twitter.com/cathinottawa", "cathinottawa")</f>
        <v>cathinottawa</v>
      </c>
      <c r="B11781" s="65"/>
    </row>
    <row r="11782" spans="1:2" x14ac:dyDescent="0.25">
      <c r="A11782" s="64" t="str">
        <f>HYPERLINK("http://www.twitter.com/NicoleMarie805", "NicoleMarie805")</f>
        <v>NicoleMarie805</v>
      </c>
      <c r="B11782" s="65" t="s">
        <v>3893</v>
      </c>
    </row>
    <row r="11783" spans="1:2" x14ac:dyDescent="0.25">
      <c r="A11783" s="64" t="str">
        <f>HYPERLINK("http://www.twitter.com/ViniciusTatit", "ViniciusTatit")</f>
        <v>ViniciusTatit</v>
      </c>
      <c r="B11783" s="65"/>
    </row>
    <row r="11784" spans="1:2" x14ac:dyDescent="0.25">
      <c r="A11784" s="64" t="str">
        <f>HYPERLINK("http://www.twitter.com/carlafontinele", "carlafontinele")</f>
        <v>carlafontinele</v>
      </c>
      <c r="B11784" s="65" t="s">
        <v>7516</v>
      </c>
    </row>
    <row r="11785" spans="1:2" x14ac:dyDescent="0.25">
      <c r="A11785" s="64" t="str">
        <f>HYPERLINK("http://www.twitter.com/RowdenWhite", "RowdenWhite")</f>
        <v>RowdenWhite</v>
      </c>
      <c r="B11785" s="65" t="s">
        <v>7517</v>
      </c>
    </row>
    <row r="11786" spans="1:2" x14ac:dyDescent="0.25">
      <c r="A11786" s="64" t="str">
        <f>HYPERLINK("http://www.twitter.com/BrunnaCassales", "BrunnaCassales")</f>
        <v>BrunnaCassales</v>
      </c>
      <c r="B11786" s="65" t="s">
        <v>7518</v>
      </c>
    </row>
    <row r="11787" spans="1:2" x14ac:dyDescent="0.25">
      <c r="A11787" s="64" t="str">
        <f>HYPERLINK("http://www.twitter.com/herr_konsul", "herr_konsul")</f>
        <v>herr_konsul</v>
      </c>
      <c r="B11787" s="65"/>
    </row>
    <row r="11788" spans="1:2" x14ac:dyDescent="0.25">
      <c r="A11788" s="64" t="str">
        <f>HYPERLINK("http://www.twitter.com/clint_sellers", "clint_sellers")</f>
        <v>clint_sellers</v>
      </c>
      <c r="B11788" s="65" t="s">
        <v>7519</v>
      </c>
    </row>
    <row r="11789" spans="1:2" x14ac:dyDescent="0.25">
      <c r="A11789" s="64" t="str">
        <f>HYPERLINK("http://www.twitter.com/rachael_nichols", "rachael_nichols")</f>
        <v>rachael_nichols</v>
      </c>
      <c r="B11789" s="65" t="s">
        <v>7520</v>
      </c>
    </row>
    <row r="11790" spans="1:2" x14ac:dyDescent="0.25">
      <c r="A11790" s="64" t="str">
        <f>HYPERLINK("http://www.twitter.com/anabelen230", "anabelen230")</f>
        <v>anabelen230</v>
      </c>
      <c r="B11790" s="65" t="s">
        <v>7521</v>
      </c>
    </row>
    <row r="11791" spans="1:2" x14ac:dyDescent="0.25">
      <c r="A11791" s="64" t="str">
        <f>HYPERLINK("http://www.twitter.com/bblacroix", "bblacroix")</f>
        <v>bblacroix</v>
      </c>
      <c r="B11791" s="65" t="s">
        <v>7522</v>
      </c>
    </row>
    <row r="11792" spans="1:2" x14ac:dyDescent="0.25">
      <c r="A11792" s="64" t="str">
        <f>HYPERLINK("http://www.twitter.com/IPSMonkey", "IPSMonkey")</f>
        <v>IPSMonkey</v>
      </c>
      <c r="B11792" s="65" t="s">
        <v>7523</v>
      </c>
    </row>
    <row r="11793" spans="1:2" x14ac:dyDescent="0.25">
      <c r="A11793" s="64" t="str">
        <f>HYPERLINK("http://www.twitter.com/emma__j__w", "emma__j__w")</f>
        <v>emma__j__w</v>
      </c>
      <c r="B11793" s="65" t="s">
        <v>5570</v>
      </c>
    </row>
    <row r="11794" spans="1:2" x14ac:dyDescent="0.25">
      <c r="A11794" s="64" t="str">
        <f>HYPERLINK("http://www.twitter.com/eddlamp", "eddlamp")</f>
        <v>eddlamp</v>
      </c>
      <c r="B11794" s="65" t="s">
        <v>7524</v>
      </c>
    </row>
    <row r="11795" spans="1:2" x14ac:dyDescent="0.25">
      <c r="A11795" s="64" t="str">
        <f>HYPERLINK("http://www.twitter.com/thadeucupello", "thadeucupello")</f>
        <v>thadeucupello</v>
      </c>
      <c r="B11795" s="65" t="s">
        <v>7525</v>
      </c>
    </row>
    <row r="11796" spans="1:2" x14ac:dyDescent="0.25">
      <c r="A11796" s="64" t="str">
        <f>HYPERLINK("http://www.twitter.com/marimarkes", "marimarkes")</f>
        <v>marimarkes</v>
      </c>
      <c r="B11796" s="65" t="s">
        <v>7526</v>
      </c>
    </row>
    <row r="11797" spans="1:2" x14ac:dyDescent="0.25">
      <c r="A11797" s="64" t="str">
        <f>HYPERLINK("http://www.twitter.com/aMegRayner", "aMegRayner")</f>
        <v>aMegRayner</v>
      </c>
      <c r="B11797" s="65"/>
    </row>
    <row r="11798" spans="1:2" x14ac:dyDescent="0.25">
      <c r="A11798" s="64" t="str">
        <f>HYPERLINK("http://www.twitter.com/BlueHouseBunny", "BlueHouseBunny")</f>
        <v>BlueHouseBunny</v>
      </c>
      <c r="B11798" s="65"/>
    </row>
    <row r="11799" spans="1:2" x14ac:dyDescent="0.25">
      <c r="A11799" s="64" t="str">
        <f>HYPERLINK("http://www.twitter.com/HaroldHuxley", "HaroldHuxley")</f>
        <v>HaroldHuxley</v>
      </c>
      <c r="B11799" s="65" t="s">
        <v>7527</v>
      </c>
    </row>
    <row r="11800" spans="1:2" x14ac:dyDescent="0.25">
      <c r="A11800" s="64" t="str">
        <f>HYPERLINK("http://www.twitter.com/VickiAko", "VickiAko")</f>
        <v>VickiAko</v>
      </c>
      <c r="B11800" s="65" t="s">
        <v>7528</v>
      </c>
    </row>
    <row r="11801" spans="1:2" x14ac:dyDescent="0.25">
      <c r="A11801" s="64" t="str">
        <f>HYPERLINK("http://www.twitter.com/CorallKit", "CorallKit")</f>
        <v>CorallKit</v>
      </c>
      <c r="B11801" s="65"/>
    </row>
    <row r="11802" spans="1:2" x14ac:dyDescent="0.25">
      <c r="A11802" s="64" t="str">
        <f>HYPERLINK("http://www.twitter.com/shauneen23", "shauneen23")</f>
        <v>shauneen23</v>
      </c>
      <c r="B11802" s="65"/>
    </row>
    <row r="11803" spans="1:2" x14ac:dyDescent="0.25">
      <c r="A11803" s="64" t="str">
        <f>HYPERLINK("http://www.twitter.com/lowe_mj", "lowe_mj")</f>
        <v>lowe_mj</v>
      </c>
      <c r="B11803" s="65" t="s">
        <v>7529</v>
      </c>
    </row>
    <row r="11804" spans="1:2" x14ac:dyDescent="0.25">
      <c r="A11804" s="64" t="str">
        <f>HYPERLINK("http://www.twitter.com/sophieceejay", "sophieceejay")</f>
        <v>sophieceejay</v>
      </c>
      <c r="B11804" s="65"/>
    </row>
    <row r="11805" spans="1:2" x14ac:dyDescent="0.25">
      <c r="A11805" s="64" t="str">
        <f>HYPERLINK("http://www.twitter.com/JuliaLewicki", "JuliaLewicki")</f>
        <v>JuliaLewicki</v>
      </c>
      <c r="B11805" s="65" t="s">
        <v>5203</v>
      </c>
    </row>
    <row r="11806" spans="1:2" x14ac:dyDescent="0.25">
      <c r="A11806" s="64" t="str">
        <f>HYPERLINK("http://www.twitter.com/AliHowardAllan", "AliHowardAllan")</f>
        <v>AliHowardAllan</v>
      </c>
      <c r="B11806" s="65" t="s">
        <v>318</v>
      </c>
    </row>
    <row r="11807" spans="1:2" x14ac:dyDescent="0.25">
      <c r="A11807" s="64" t="str">
        <f>HYPERLINK("http://www.twitter.com/everysandwich", "everysandwich")</f>
        <v>everysandwich</v>
      </c>
      <c r="B11807" s="65" t="s">
        <v>2377</v>
      </c>
    </row>
    <row r="11808" spans="1:2" x14ac:dyDescent="0.25">
      <c r="A11808" s="64" t="str">
        <f>HYPERLINK("http://www.twitter.com/twelvejules", "twelvejules")</f>
        <v>twelvejules</v>
      </c>
      <c r="B11808" s="65" t="s">
        <v>7530</v>
      </c>
    </row>
    <row r="11809" spans="1:2" x14ac:dyDescent="0.25">
      <c r="A11809" s="64" t="str">
        <f>HYPERLINK("http://www.twitter.com/fi_714", "fi_714")</f>
        <v>fi_714</v>
      </c>
      <c r="B11809" s="65"/>
    </row>
    <row r="11810" spans="1:2" x14ac:dyDescent="0.25">
      <c r="A11810" s="64" t="str">
        <f>HYPERLINK("http://www.twitter.com/emjay1968", "emjay1968")</f>
        <v>emjay1968</v>
      </c>
      <c r="B11810" s="65" t="s">
        <v>7531</v>
      </c>
    </row>
    <row r="11811" spans="1:2" x14ac:dyDescent="0.25">
      <c r="A11811" s="64" t="str">
        <f>HYPERLINK("http://www.twitter.com/SarahPrivate", "SarahPrivate")</f>
        <v>SarahPrivate</v>
      </c>
      <c r="B11811" s="65"/>
    </row>
    <row r="11812" spans="1:2" x14ac:dyDescent="0.25">
      <c r="A11812" s="64" t="str">
        <f>HYPERLINK("http://www.twitter.com/orkneyjude", "orkneyjude")</f>
        <v>orkneyjude</v>
      </c>
      <c r="B11812" s="65"/>
    </row>
    <row r="11813" spans="1:2" x14ac:dyDescent="0.25">
      <c r="A11813" s="64" t="str">
        <f>HYPERLINK("http://www.twitter.com/Cadbreeze", "Cadbreeze")</f>
        <v>Cadbreeze</v>
      </c>
      <c r="B11813" s="65"/>
    </row>
    <row r="11814" spans="1:2" x14ac:dyDescent="0.25">
      <c r="A11814" s="64" t="str">
        <f>HYPERLINK("http://www.twitter.com/jpmcwisemorgan", "jpmcwisemorgan")</f>
        <v>jpmcwisemorgan</v>
      </c>
      <c r="B11814" s="65"/>
    </row>
    <row r="11815" spans="1:2" x14ac:dyDescent="0.25">
      <c r="A11815" s="64" t="str">
        <f>HYPERLINK("http://www.twitter.com/iheartcities", "iheartcities")</f>
        <v>iheartcities</v>
      </c>
      <c r="B11815" s="65" t="s">
        <v>4981</v>
      </c>
    </row>
    <row r="11816" spans="1:2" x14ac:dyDescent="0.25">
      <c r="A11816" s="64" t="str">
        <f>HYPERLINK("http://www.twitter.com/DorkosaurusRex", "DorkosaurusRex")</f>
        <v>DorkosaurusRex</v>
      </c>
      <c r="B11816" s="65" t="s">
        <v>4981</v>
      </c>
    </row>
    <row r="11817" spans="1:2" x14ac:dyDescent="0.25">
      <c r="A11817" s="64" t="str">
        <f>HYPERLINK("http://www.twitter.com/thwaitesdan", "thwaitesdan")</f>
        <v>thwaitesdan</v>
      </c>
      <c r="B11817" s="65" t="s">
        <v>7180</v>
      </c>
    </row>
    <row r="11818" spans="1:2" x14ac:dyDescent="0.25">
      <c r="A11818" s="64" t="str">
        <f>HYPERLINK("http://www.twitter.com/JoannaDangelo", "JoannaDangelo")</f>
        <v>JoannaDangelo</v>
      </c>
      <c r="B11818" s="65" t="s">
        <v>4587</v>
      </c>
    </row>
    <row r="11819" spans="1:2" x14ac:dyDescent="0.25">
      <c r="A11819" s="64" t="str">
        <f>HYPERLINK("http://www.twitter.com/DiamondWindow", "DiamondWindow")</f>
        <v>DiamondWindow</v>
      </c>
      <c r="B11819" s="65"/>
    </row>
    <row r="11820" spans="1:2" x14ac:dyDescent="0.25">
      <c r="A11820" s="64" t="str">
        <f>HYPERLINK("http://www.twitter.com/annaonscreen", "annaonscreen")</f>
        <v>annaonscreen</v>
      </c>
      <c r="B11820" s="65" t="s">
        <v>346</v>
      </c>
    </row>
    <row r="11821" spans="1:2" x14ac:dyDescent="0.25">
      <c r="A11821" s="64" t="str">
        <f>HYPERLINK("http://www.twitter.com/lavachat", "lavachat")</f>
        <v>lavachat</v>
      </c>
      <c r="B11821" s="65" t="s">
        <v>7532</v>
      </c>
    </row>
    <row r="11822" spans="1:2" x14ac:dyDescent="0.25">
      <c r="A11822" s="64" t="str">
        <f>HYPERLINK("http://www.twitter.com/kmhoireasdan", "kmhoireasdan")</f>
        <v>kmhoireasdan</v>
      </c>
      <c r="B11822" s="65"/>
    </row>
    <row r="11823" spans="1:2" x14ac:dyDescent="0.25">
      <c r="A11823" s="64" t="str">
        <f>HYPERLINK("http://www.twitter.com/janetleggo", "janetleggo")</f>
        <v>janetleggo</v>
      </c>
      <c r="B11823" s="65" t="s">
        <v>7533</v>
      </c>
    </row>
    <row r="11824" spans="1:2" x14ac:dyDescent="0.25">
      <c r="A11824" s="64" t="str">
        <f>HYPERLINK("http://www.twitter.com/rutheastelow", "rutheastelow")</f>
        <v>rutheastelow</v>
      </c>
      <c r="B11824" s="65" t="s">
        <v>7534</v>
      </c>
    </row>
    <row r="11825" spans="1:2" x14ac:dyDescent="0.25">
      <c r="A11825" s="64" t="str">
        <f>HYPERLINK("http://www.twitter.com/kaylssj", "kaylssj")</f>
        <v>kaylssj</v>
      </c>
      <c r="B11825" s="65" t="s">
        <v>2007</v>
      </c>
    </row>
    <row r="11826" spans="1:2" x14ac:dyDescent="0.25">
      <c r="A11826" s="64" t="str">
        <f>HYPERLINK("http://www.twitter.com/Adgie2", "Adgie2")</f>
        <v>Adgie2</v>
      </c>
      <c r="B11826" s="65"/>
    </row>
    <row r="11827" spans="1:2" x14ac:dyDescent="0.25">
      <c r="A11827" s="64" t="str">
        <f>HYPERLINK("http://www.twitter.com/lkauthor", "lkauthor")</f>
        <v>lkauthor</v>
      </c>
      <c r="B11827" s="65" t="s">
        <v>487</v>
      </c>
    </row>
    <row r="11828" spans="1:2" x14ac:dyDescent="0.25">
      <c r="A11828" s="64" t="str">
        <f>HYPERLINK("http://www.twitter.com/SlaughterKarin", "SlaughterKarin")</f>
        <v>SlaughterKarin</v>
      </c>
      <c r="B11828" s="65" t="s">
        <v>4940</v>
      </c>
    </row>
    <row r="11829" spans="1:2" x14ac:dyDescent="0.25">
      <c r="A11829" s="64" t="str">
        <f>HYPERLINK("http://www.twitter.com/AnnSinclair3", "AnnSinclair3")</f>
        <v>AnnSinclair3</v>
      </c>
      <c r="B11829" s="65" t="s">
        <v>7535</v>
      </c>
    </row>
    <row r="11830" spans="1:2" x14ac:dyDescent="0.25">
      <c r="A11830" s="64" t="str">
        <f>HYPERLINK("http://www.twitter.com/tocej", "tocej")</f>
        <v>tocej</v>
      </c>
      <c r="B11830" s="65" t="s">
        <v>4110</v>
      </c>
    </row>
    <row r="11831" spans="1:2" x14ac:dyDescent="0.25">
      <c r="A11831" s="64" t="str">
        <f>HYPERLINK("http://www.twitter.com/Wotcher9", "Wotcher9")</f>
        <v>Wotcher9</v>
      </c>
      <c r="B11831" s="65" t="s">
        <v>7536</v>
      </c>
    </row>
    <row r="11832" spans="1:2" x14ac:dyDescent="0.25">
      <c r="A11832" s="64" t="str">
        <f>HYPERLINK("http://www.twitter.com/souter13", "souter13")</f>
        <v>souter13</v>
      </c>
      <c r="B11832" s="65"/>
    </row>
    <row r="11833" spans="1:2" x14ac:dyDescent="0.25">
      <c r="A11833" s="64" t="str">
        <f>HYPERLINK("http://www.twitter.com/Franiesh", "Franiesh")</f>
        <v>Franiesh</v>
      </c>
      <c r="B11833" s="65"/>
    </row>
    <row r="11834" spans="1:2" x14ac:dyDescent="0.25">
      <c r="A11834" s="64" t="str">
        <f>HYPERLINK("http://www.twitter.com/SD_Sutherland", "SD_Sutherland")</f>
        <v>SD_Sutherland</v>
      </c>
      <c r="B11834" s="65" t="s">
        <v>138</v>
      </c>
    </row>
    <row r="11835" spans="1:2" x14ac:dyDescent="0.25">
      <c r="A11835" s="64" t="str">
        <f>HYPERLINK("http://www.twitter.com/trade_london", "trade_london")</f>
        <v>trade_london</v>
      </c>
      <c r="B11835" s="65"/>
    </row>
    <row r="11836" spans="1:2" x14ac:dyDescent="0.25">
      <c r="A11836" s="64" t="str">
        <f>HYPERLINK("http://www.twitter.com/OfAnIvoryHeart", "OfAnIvoryHeart")</f>
        <v>OfAnIvoryHeart</v>
      </c>
      <c r="B11836" s="65" t="s">
        <v>7537</v>
      </c>
    </row>
    <row r="11837" spans="1:2" x14ac:dyDescent="0.25">
      <c r="A11837" s="64" t="str">
        <f>HYPERLINK("http://www.twitter.com/johnjmacisaac", "johnjmacisaac")</f>
        <v>johnjmacisaac</v>
      </c>
      <c r="B11837" s="65" t="s">
        <v>318</v>
      </c>
    </row>
    <row r="11838" spans="1:2" x14ac:dyDescent="0.25">
      <c r="A11838" s="64" t="str">
        <f>HYPERLINK("http://www.twitter.com/RadwinterWI", "RadwinterWI")</f>
        <v>RadwinterWI</v>
      </c>
      <c r="B11838" s="65" t="s">
        <v>7538</v>
      </c>
    </row>
    <row r="11839" spans="1:2" x14ac:dyDescent="0.25">
      <c r="A11839" s="64" t="str">
        <f>HYPERLINK("http://www.twitter.com/TrapezeBooks", "TrapezeBooks")</f>
        <v>TrapezeBooks</v>
      </c>
      <c r="B11839" s="65" t="s">
        <v>36</v>
      </c>
    </row>
    <row r="11840" spans="1:2" x14ac:dyDescent="0.25">
      <c r="A11840" s="64" t="str">
        <f>HYPERLINK("http://www.twitter.com/mbellcoates", "mbellcoates")</f>
        <v>mbellcoates</v>
      </c>
      <c r="B11840" s="65" t="s">
        <v>7539</v>
      </c>
    </row>
    <row r="11841" spans="1:2" x14ac:dyDescent="0.25">
      <c r="A11841" s="64" t="str">
        <f>HYPERLINK("http://www.twitter.com/beckyjsanderson", "beckyjsanderson")</f>
        <v>beckyjsanderson</v>
      </c>
      <c r="B11841" s="65" t="s">
        <v>7540</v>
      </c>
    </row>
    <row r="11842" spans="1:2" x14ac:dyDescent="0.25">
      <c r="A11842" s="64" t="str">
        <f>HYPERLINK("http://www.twitter.com/CClverde", "CClverde")</f>
        <v>CClverde</v>
      </c>
      <c r="B11842" s="65"/>
    </row>
    <row r="11843" spans="1:2" x14ac:dyDescent="0.25">
      <c r="A11843" s="64" t="str">
        <f>HYPERLINK("http://www.twitter.com/annakana32", "annakana32")</f>
        <v>annakana32</v>
      </c>
      <c r="B11843" s="65"/>
    </row>
    <row r="11844" spans="1:2" x14ac:dyDescent="0.25">
      <c r="A11844" s="64" t="str">
        <f>HYPERLINK("http://www.twitter.com/kitsaber691", "kitsaber691")</f>
        <v>kitsaber691</v>
      </c>
      <c r="B11844" s="65" t="s">
        <v>5156</v>
      </c>
    </row>
    <row r="11845" spans="1:2" x14ac:dyDescent="0.25">
      <c r="A11845" s="64" t="str">
        <f>HYPERLINK("http://www.twitter.com/dailyangst", "dailyangst")</f>
        <v>dailyangst</v>
      </c>
      <c r="B11845" s="65" t="s">
        <v>7541</v>
      </c>
    </row>
    <row r="11846" spans="1:2" x14ac:dyDescent="0.25">
      <c r="A11846" s="64" t="str">
        <f>HYPERLINK("http://www.twitter.com/AngelaKublik", "AngelaKublik")</f>
        <v>AngelaKublik</v>
      </c>
      <c r="B11846" s="65" t="s">
        <v>4616</v>
      </c>
    </row>
    <row r="11847" spans="1:2" x14ac:dyDescent="0.25">
      <c r="A11847" s="64" t="str">
        <f>HYPERLINK("http://www.twitter.com/Terri_Brisbin", "Terri_Brisbin")</f>
        <v>Terri_Brisbin</v>
      </c>
      <c r="B11847" s="65" t="s">
        <v>4522</v>
      </c>
    </row>
    <row r="11848" spans="1:2" x14ac:dyDescent="0.25">
      <c r="A11848" s="64" t="str">
        <f>HYPERLINK("http://www.twitter.com/petrieperson", "petrieperson")</f>
        <v>petrieperson</v>
      </c>
      <c r="B11848" s="65" t="s">
        <v>459</v>
      </c>
    </row>
    <row r="11849" spans="1:2" x14ac:dyDescent="0.25">
      <c r="A11849" s="64" t="str">
        <f>HYPERLINK("http://www.twitter.com/Serena_Cinnamon", "Serena_Cinnamon")</f>
        <v>Serena_Cinnamon</v>
      </c>
      <c r="B11849" s="65" t="s">
        <v>6529</v>
      </c>
    </row>
    <row r="11850" spans="1:2" x14ac:dyDescent="0.25">
      <c r="A11850" s="64" t="str">
        <f>HYPERLINK("http://www.twitter.com/nicolawyliee", "nicolawyliee")</f>
        <v>nicolawyliee</v>
      </c>
      <c r="B11850" s="65"/>
    </row>
    <row r="11851" spans="1:2" x14ac:dyDescent="0.25">
      <c r="A11851" s="64" t="str">
        <f>HYPERLINK("http://www.twitter.com/mldiener", "mldiener")</f>
        <v>mldiener</v>
      </c>
      <c r="B11851" s="65" t="s">
        <v>7510</v>
      </c>
    </row>
    <row r="11852" spans="1:2" x14ac:dyDescent="0.25">
      <c r="A11852" s="64" t="str">
        <f>HYPERLINK("http://www.twitter.com/uscscreenwriter", "uscscreenwriter")</f>
        <v>uscscreenwriter</v>
      </c>
      <c r="B11852" s="65" t="s">
        <v>4193</v>
      </c>
    </row>
    <row r="11853" spans="1:2" x14ac:dyDescent="0.25">
      <c r="A11853" s="64" t="str">
        <f>HYPERLINK("http://www.twitter.com/565_nic", "565_nic")</f>
        <v>565_nic</v>
      </c>
      <c r="B11853" s="65" t="s">
        <v>5104</v>
      </c>
    </row>
    <row r="11854" spans="1:2" x14ac:dyDescent="0.25">
      <c r="A11854" s="64" t="str">
        <f>HYPERLINK("http://www.twitter.com/womblewanders", "womblewanders")</f>
        <v>womblewanders</v>
      </c>
      <c r="B11854" s="65"/>
    </row>
    <row r="11855" spans="1:2" x14ac:dyDescent="0.25">
      <c r="A11855" s="64" t="str">
        <f>HYPERLINK("http://www.twitter.com/MelikaEdquist", "MelikaEdquist")</f>
        <v>MelikaEdquist</v>
      </c>
      <c r="B11855" s="65" t="s">
        <v>5819</v>
      </c>
    </row>
    <row r="11856" spans="1:2" x14ac:dyDescent="0.25">
      <c r="A11856" s="64" t="str">
        <f>HYPERLINK("http://www.twitter.com/SLW50", "SLW50")</f>
        <v>SLW50</v>
      </c>
      <c r="B11856" s="65" t="s">
        <v>296</v>
      </c>
    </row>
    <row r="11857" spans="1:2" x14ac:dyDescent="0.25">
      <c r="A11857" s="64" t="str">
        <f>HYPERLINK("http://www.twitter.com/HomeByTheLee", "HomeByTheLee")</f>
        <v>HomeByTheLee</v>
      </c>
      <c r="B11857" s="65"/>
    </row>
    <row r="11858" spans="1:2" x14ac:dyDescent="0.25">
      <c r="A11858" s="64" t="str">
        <f>HYPERLINK("http://www.twitter.com/sachemlibrary", "sachemlibrary")</f>
        <v>sachemlibrary</v>
      </c>
      <c r="B11858" s="65" t="s">
        <v>7542</v>
      </c>
    </row>
    <row r="11859" spans="1:2" x14ac:dyDescent="0.25">
      <c r="A11859" s="64" t="str">
        <f>HYPERLINK("http://www.twitter.com/c_duigan", "c_duigan")</f>
        <v>c_duigan</v>
      </c>
      <c r="B11859" s="65" t="s">
        <v>7543</v>
      </c>
    </row>
    <row r="11860" spans="1:2" x14ac:dyDescent="0.25">
      <c r="A11860" s="64" t="str">
        <f>HYPERLINK("http://www.twitter.com/J_Glo70", "J_Glo70")</f>
        <v>J_Glo70</v>
      </c>
      <c r="B11860" s="65" t="s">
        <v>4039</v>
      </c>
    </row>
    <row r="11861" spans="1:2" x14ac:dyDescent="0.25">
      <c r="A11861" s="64" t="str">
        <f>HYPERLINK("http://www.twitter.com/JaneBurn2", "JaneBurn2")</f>
        <v>JaneBurn2</v>
      </c>
      <c r="B11861" s="65" t="s">
        <v>24</v>
      </c>
    </row>
    <row r="11862" spans="1:2" x14ac:dyDescent="0.25">
      <c r="A11862" s="64" t="str">
        <f>HYPERLINK("http://www.twitter.com/kirstenzerbinis", "kirstenzerbinis")</f>
        <v>kirstenzerbinis</v>
      </c>
      <c r="B11862" s="65" t="s">
        <v>4210</v>
      </c>
    </row>
    <row r="11863" spans="1:2" x14ac:dyDescent="0.25">
      <c r="A11863" s="64" t="str">
        <f>HYPERLINK("http://www.twitter.com/Avig67", "Avig67")</f>
        <v>Avig67</v>
      </c>
      <c r="B11863" s="65"/>
    </row>
    <row r="11864" spans="1:2" x14ac:dyDescent="0.25">
      <c r="A11864" s="64" t="str">
        <f>HYPERLINK("http://www.twitter.com/Jenuinely_Jen", "Jenuinely_Jen")</f>
        <v>Jenuinely_Jen</v>
      </c>
      <c r="B11864" s="65" t="s">
        <v>4584</v>
      </c>
    </row>
    <row r="11865" spans="1:2" x14ac:dyDescent="0.25">
      <c r="A11865" s="64" t="str">
        <f>HYPERLINK("http://www.twitter.com/pooj_tanna", "pooj_tanna")</f>
        <v>pooj_tanna</v>
      </c>
      <c r="B11865" s="65"/>
    </row>
    <row r="11866" spans="1:2" x14ac:dyDescent="0.25">
      <c r="A11866" s="64" t="str">
        <f>HYPERLINK("http://www.twitter.com/Chris_Oh_Connor", "Chris_Oh_Connor")</f>
        <v>Chris_Oh_Connor</v>
      </c>
      <c r="B11866" s="65" t="s">
        <v>3760</v>
      </c>
    </row>
    <row r="11867" spans="1:2" x14ac:dyDescent="0.25">
      <c r="A11867" s="64" t="str">
        <f>HYPERLINK("http://www.twitter.com/ArrnHay", "ArrnHay")</f>
        <v>ArrnHay</v>
      </c>
      <c r="B11867" s="65" t="s">
        <v>7544</v>
      </c>
    </row>
    <row r="11868" spans="1:2" x14ac:dyDescent="0.25">
      <c r="A11868" s="64" t="str">
        <f>HYPERLINK("http://www.twitter.com/Uff94TheUff", "Uff94TheUff")</f>
        <v>Uff94TheUff</v>
      </c>
      <c r="B11868" s="65"/>
    </row>
    <row r="11869" spans="1:2" x14ac:dyDescent="0.25">
      <c r="A11869" s="64" t="str">
        <f>HYPERLINK("http://www.twitter.com/ashleyOOacevedo", "ashleyOOacevedo")</f>
        <v>ashleyOOacevedo</v>
      </c>
      <c r="B11869" s="65" t="s">
        <v>7545</v>
      </c>
    </row>
    <row r="11870" spans="1:2" x14ac:dyDescent="0.25">
      <c r="A11870" s="64" t="str">
        <f>HYPERLINK("http://www.twitter.com/lawg8r", "lawg8r")</f>
        <v>lawg8r</v>
      </c>
      <c r="B11870" s="65"/>
    </row>
    <row r="11871" spans="1:2" x14ac:dyDescent="0.25">
      <c r="A11871" s="64" t="str">
        <f>HYPERLINK("http://www.twitter.com/VivacityVols", "VivacityVols")</f>
        <v>VivacityVols</v>
      </c>
      <c r="B11871" s="65" t="s">
        <v>1078</v>
      </c>
    </row>
    <row r="11872" spans="1:2" x14ac:dyDescent="0.25">
      <c r="A11872" s="64" t="str">
        <f>HYPERLINK("http://www.twitter.com/mrcppu", "mrcppu")</f>
        <v>mrcppu</v>
      </c>
      <c r="B11872" s="65" t="s">
        <v>7546</v>
      </c>
    </row>
    <row r="11873" spans="1:2" x14ac:dyDescent="0.25">
      <c r="A11873" s="64" t="str">
        <f>HYPERLINK("http://www.twitter.com/CarrieGee", "CarrieGee")</f>
        <v>CarrieGee</v>
      </c>
      <c r="B11873" s="65" t="s">
        <v>4678</v>
      </c>
    </row>
    <row r="11874" spans="1:2" x14ac:dyDescent="0.25">
      <c r="A11874" s="64" t="str">
        <f>HYPERLINK("http://www.twitter.com/caito1971", "caito1971")</f>
        <v>caito1971</v>
      </c>
      <c r="B11874" s="65"/>
    </row>
    <row r="11875" spans="1:2" x14ac:dyDescent="0.25">
      <c r="A11875" s="64" t="str">
        <f>HYPERLINK("http://www.twitter.com/kellygeorge", "kellygeorge")</f>
        <v>kellygeorge</v>
      </c>
      <c r="B11875" s="65" t="s">
        <v>4167</v>
      </c>
    </row>
    <row r="11876" spans="1:2" x14ac:dyDescent="0.25">
      <c r="A11876" s="64" t="str">
        <f>HYPERLINK("http://www.twitter.com/NlandSLS", "NlandSLS")</f>
        <v>NlandSLS</v>
      </c>
      <c r="B11876" s="65" t="s">
        <v>1328</v>
      </c>
    </row>
    <row r="11877" spans="1:2" x14ac:dyDescent="0.25">
      <c r="A11877" s="64" t="str">
        <f>HYPERLINK("http://www.twitter.com/dept4sillyverse", "dept4sillyverse")</f>
        <v>dept4sillyverse</v>
      </c>
      <c r="B11877" s="65" t="s">
        <v>7547</v>
      </c>
    </row>
    <row r="11878" spans="1:2" x14ac:dyDescent="0.25">
      <c r="A11878" s="64" t="str">
        <f>HYPERLINK("http://www.twitter.com/figuralities", "figuralities")</f>
        <v>figuralities</v>
      </c>
      <c r="B11878" s="65" t="s">
        <v>7548</v>
      </c>
    </row>
    <row r="11879" spans="1:2" x14ac:dyDescent="0.25">
      <c r="A11879" s="64" t="str">
        <f>HYPERLINK("http://www.twitter.com/cblaskowski", "cblaskowski")</f>
        <v>cblaskowski</v>
      </c>
      <c r="B11879" s="65" t="s">
        <v>7549</v>
      </c>
    </row>
    <row r="11880" spans="1:2" x14ac:dyDescent="0.25">
      <c r="A11880" s="64" t="str">
        <f>HYPERLINK("http://www.twitter.com/essembeeeee", "essembeeeee")</f>
        <v>essembeeeee</v>
      </c>
      <c r="B11880" s="65" t="s">
        <v>7550</v>
      </c>
    </row>
    <row r="11881" spans="1:2" x14ac:dyDescent="0.25">
      <c r="A11881" s="64" t="str">
        <f>HYPERLINK("http://www.twitter.com/Alextheandra", "Alextheandra")</f>
        <v>Alextheandra</v>
      </c>
      <c r="B11881" s="65" t="s">
        <v>5270</v>
      </c>
    </row>
    <row r="11882" spans="1:2" x14ac:dyDescent="0.25">
      <c r="A11882" s="64" t="str">
        <f>HYPERLINK("http://www.twitter.com/goze01", "goze01")</f>
        <v>goze01</v>
      </c>
      <c r="B11882" s="65" t="s">
        <v>517</v>
      </c>
    </row>
    <row r="11883" spans="1:2" x14ac:dyDescent="0.25">
      <c r="A11883" s="64" t="str">
        <f>HYPERLINK("http://www.twitter.com/dawnbdance11", "dawnbdance11")</f>
        <v>dawnbdance11</v>
      </c>
      <c r="B11883" s="65" t="s">
        <v>517</v>
      </c>
    </row>
    <row r="11884" spans="1:2" x14ac:dyDescent="0.25">
      <c r="A11884" s="64" t="str">
        <f>HYPERLINK("http://www.twitter.com/Lapsleykaren", "Lapsleykaren")</f>
        <v>Lapsleykaren</v>
      </c>
      <c r="B11884" s="65"/>
    </row>
    <row r="11885" spans="1:2" x14ac:dyDescent="0.25">
      <c r="A11885" s="64" t="str">
        <f>HYPERLINK("http://www.twitter.com/dandydons", "dandydons")</f>
        <v>dandydons</v>
      </c>
      <c r="B11885" s="65" t="s">
        <v>7551</v>
      </c>
    </row>
    <row r="11886" spans="1:2" x14ac:dyDescent="0.25">
      <c r="A11886" s="64" t="str">
        <f>HYPERLINK("http://www.twitter.com/BIBSRUTH", "BIBSRUTH")</f>
        <v>BIBSRUTH</v>
      </c>
      <c r="B11886" s="65" t="s">
        <v>7552</v>
      </c>
    </row>
    <row r="11887" spans="1:2" x14ac:dyDescent="0.25">
      <c r="A11887" s="64" t="str">
        <f>HYPERLINK("http://www.twitter.com/adrianOFFICI", "adrianOFFICI")</f>
        <v>adrianOFFICI</v>
      </c>
      <c r="B11887" s="65"/>
    </row>
    <row r="11888" spans="1:2" x14ac:dyDescent="0.25">
      <c r="A11888" s="64" t="str">
        <f>HYPERLINK("http://www.twitter.com/CollectiveMnd", "CollectiveMnd")</f>
        <v>CollectiveMnd</v>
      </c>
      <c r="B11888" s="65"/>
    </row>
    <row r="11889" spans="1:2" x14ac:dyDescent="0.25">
      <c r="A11889" s="64" t="str">
        <f>HYPERLINK("http://www.twitter.com/Samicus", "Samicus")</f>
        <v>Samicus</v>
      </c>
      <c r="B11889" s="65" t="s">
        <v>5667</v>
      </c>
    </row>
    <row r="11890" spans="1:2" x14ac:dyDescent="0.25">
      <c r="A11890" s="64" t="str">
        <f>HYPERLINK("http://www.twitter.com/Mary1luv", "Mary1luv")</f>
        <v>Mary1luv</v>
      </c>
      <c r="B11890" s="65"/>
    </row>
    <row r="11891" spans="1:2" x14ac:dyDescent="0.25">
      <c r="A11891" s="64" t="str">
        <f>HYPERLINK("http://www.twitter.com/rosetrees", "rosetrees")</f>
        <v>rosetrees</v>
      </c>
      <c r="B11891" s="65" t="s">
        <v>7553</v>
      </c>
    </row>
    <row r="11892" spans="1:2" x14ac:dyDescent="0.25">
      <c r="A11892" s="64" t="str">
        <f>HYPERLINK("http://www.twitter.com/J23All", "J23All")</f>
        <v>J23All</v>
      </c>
      <c r="B11892" s="65" t="s">
        <v>517</v>
      </c>
    </row>
    <row r="11893" spans="1:2" x14ac:dyDescent="0.25">
      <c r="A11893" s="64" t="str">
        <f>HYPERLINK("http://www.twitter.com/librarycat10", "librarycat10")</f>
        <v>librarycat10</v>
      </c>
      <c r="B11893" s="65" t="s">
        <v>318</v>
      </c>
    </row>
    <row r="11894" spans="1:2" x14ac:dyDescent="0.25">
      <c r="A11894" s="64" t="str">
        <f>HYPERLINK("http://www.twitter.com/IsIzzieBella", "IsIzzieBella")</f>
        <v>IsIzzieBella</v>
      </c>
      <c r="B11894" s="65" t="s">
        <v>1180</v>
      </c>
    </row>
    <row r="11895" spans="1:2" x14ac:dyDescent="0.25">
      <c r="A11895" s="64" t="str">
        <f>HYPERLINK("http://www.twitter.com/parryander", "parryander")</f>
        <v>parryander</v>
      </c>
      <c r="B11895" s="65"/>
    </row>
    <row r="11896" spans="1:2" x14ac:dyDescent="0.25">
      <c r="A11896" s="64" t="str">
        <f>HYPERLINK("http://www.twitter.com/akajill", "akajill")</f>
        <v>akajill</v>
      </c>
      <c r="B11896" s="65" t="s">
        <v>4208</v>
      </c>
    </row>
    <row r="11897" spans="1:2" x14ac:dyDescent="0.25">
      <c r="A11897" s="64" t="str">
        <f>HYPERLINK("http://www.twitter.com/SnoekBrown", "SnoekBrown")</f>
        <v>SnoekBrown</v>
      </c>
      <c r="B11897" s="65" t="s">
        <v>7554</v>
      </c>
    </row>
    <row r="11898" spans="1:2" x14ac:dyDescent="0.25">
      <c r="A11898" s="64" t="str">
        <f>HYPERLINK("http://www.twitter.com/wordpeddler", "wordpeddler")</f>
        <v>wordpeddler</v>
      </c>
      <c r="B11898" s="65" t="s">
        <v>7555</v>
      </c>
    </row>
    <row r="11899" spans="1:2" x14ac:dyDescent="0.25">
      <c r="A11899" s="64" t="str">
        <f>HYPERLINK("http://www.twitter.com/sjwatson79", "sjwatson79")</f>
        <v>sjwatson79</v>
      </c>
      <c r="B11899" s="65"/>
    </row>
    <row r="11900" spans="1:2" x14ac:dyDescent="0.25">
      <c r="A11900" s="64" t="str">
        <f>HYPERLINK("http://www.twitter.com/lozmoon", "lozmoon")</f>
        <v>lozmoon</v>
      </c>
      <c r="B11900" s="65" t="s">
        <v>7556</v>
      </c>
    </row>
    <row r="11901" spans="1:2" x14ac:dyDescent="0.25">
      <c r="A11901" s="64" t="str">
        <f>HYPERLINK("http://www.twitter.com/AKAOtherMick", "AKAOtherMick")</f>
        <v>AKAOtherMick</v>
      </c>
      <c r="B11901" s="65" t="s">
        <v>7557</v>
      </c>
    </row>
    <row r="11902" spans="1:2" x14ac:dyDescent="0.25">
      <c r="A11902" s="64" t="str">
        <f>HYPERLINK("http://www.twitter.com/Lesleymac1", "Lesleymac1")</f>
        <v>Lesleymac1</v>
      </c>
      <c r="B11902" s="65"/>
    </row>
    <row r="11903" spans="1:2" x14ac:dyDescent="0.25">
      <c r="A11903" s="64" t="str">
        <f>HYPERLINK("http://www.twitter.com/ispy125", "ispy125")</f>
        <v>ispy125</v>
      </c>
      <c r="B11903" s="65" t="s">
        <v>3893</v>
      </c>
    </row>
    <row r="11904" spans="1:2" x14ac:dyDescent="0.25">
      <c r="A11904" s="64" t="str">
        <f>HYPERLINK("http://www.twitter.com/Tarotbrarian", "Tarotbrarian")</f>
        <v>Tarotbrarian</v>
      </c>
      <c r="B11904" s="65" t="s">
        <v>7558</v>
      </c>
    </row>
    <row r="11905" spans="1:2" x14ac:dyDescent="0.25">
      <c r="A11905" s="64" t="str">
        <f>HYPERLINK("http://www.twitter.com/isleofapple", "isleofapple")</f>
        <v>isleofapple</v>
      </c>
      <c r="B11905" s="65" t="s">
        <v>7559</v>
      </c>
    </row>
    <row r="11906" spans="1:2" x14ac:dyDescent="0.25">
      <c r="A11906" s="64" t="str">
        <f>HYPERLINK("http://www.twitter.com/Macma7", "Macma7")</f>
        <v>Macma7</v>
      </c>
      <c r="B11906" s="65" t="s">
        <v>7560</v>
      </c>
    </row>
    <row r="11907" spans="1:2" x14ac:dyDescent="0.25">
      <c r="A11907" s="64" t="str">
        <f>HYPERLINK("http://www.twitter.com/shnappled", "shnappled")</f>
        <v>shnappled</v>
      </c>
      <c r="B11907" s="65"/>
    </row>
    <row r="11908" spans="1:2" x14ac:dyDescent="0.25">
      <c r="A11908" s="64" t="str">
        <f>HYPERLINK("http://www.twitter.com/mccorkell65", "mccorkell65")</f>
        <v>mccorkell65</v>
      </c>
      <c r="B11908" s="65"/>
    </row>
    <row r="11909" spans="1:2" x14ac:dyDescent="0.25">
      <c r="A11909" s="64" t="str">
        <f>HYPERLINK("http://www.twitter.com/jansarah65", "jansarah65")</f>
        <v>jansarah65</v>
      </c>
      <c r="B11909" s="65"/>
    </row>
    <row r="11910" spans="1:2" x14ac:dyDescent="0.25">
      <c r="A11910" s="64" t="str">
        <f>HYPERLINK("http://www.twitter.com/DaphneDeacon", "DaphneDeacon")</f>
        <v>DaphneDeacon</v>
      </c>
      <c r="B11910" s="65"/>
    </row>
    <row r="11911" spans="1:2" x14ac:dyDescent="0.25">
      <c r="A11911" s="64" t="str">
        <f>HYPERLINK("http://www.twitter.com/blee81", "blee81")</f>
        <v>blee81</v>
      </c>
      <c r="B11911" s="65"/>
    </row>
    <row r="11912" spans="1:2" x14ac:dyDescent="0.25">
      <c r="A11912" s="64" t="str">
        <f>HYPERLINK("http://www.twitter.com/KarenTyerman", "KarenTyerman")</f>
        <v>KarenTyerman</v>
      </c>
      <c r="B11912" s="65" t="s">
        <v>477</v>
      </c>
    </row>
    <row r="11913" spans="1:2" x14ac:dyDescent="0.25">
      <c r="A11913" s="64" t="str">
        <f>HYPERLINK("http://www.twitter.com/aineog1", "aineog1")</f>
        <v>aineog1</v>
      </c>
      <c r="B11913" s="65" t="s">
        <v>4254</v>
      </c>
    </row>
    <row r="11914" spans="1:2" x14ac:dyDescent="0.25">
      <c r="A11914" s="64" t="str">
        <f>HYPERLINK("http://www.twitter.com/Intothegreybook", "Intothegreybook")</f>
        <v>Intothegreybook</v>
      </c>
      <c r="B11914" s="65"/>
    </row>
    <row r="11915" spans="1:2" x14ac:dyDescent="0.25">
      <c r="A11915" s="64" t="str">
        <f>HYPERLINK("http://www.twitter.com/DebShez", "DebShez")</f>
        <v>DebShez</v>
      </c>
      <c r="B11915" s="65" t="s">
        <v>7561</v>
      </c>
    </row>
    <row r="11916" spans="1:2" x14ac:dyDescent="0.25">
      <c r="A11916" s="64" t="str">
        <f>HYPERLINK("http://www.twitter.com/TheCrocheteer", "TheCrocheteer")</f>
        <v>TheCrocheteer</v>
      </c>
      <c r="B11916" s="65" t="s">
        <v>4040</v>
      </c>
    </row>
    <row r="11917" spans="1:2" x14ac:dyDescent="0.25">
      <c r="A11917" s="64" t="str">
        <f>HYPERLINK("http://www.twitter.com/imalex27", "imalex27")</f>
        <v>imalex27</v>
      </c>
      <c r="B11917" s="65" t="s">
        <v>1908</v>
      </c>
    </row>
    <row r="11918" spans="1:2" x14ac:dyDescent="0.25">
      <c r="A11918" s="64" t="str">
        <f>HYPERLINK("http://www.twitter.com/samabdulla", "samabdulla")</f>
        <v>samabdulla</v>
      </c>
      <c r="B11918" s="65" t="s">
        <v>24</v>
      </c>
    </row>
    <row r="11919" spans="1:2" x14ac:dyDescent="0.25">
      <c r="A11919" s="64" t="str">
        <f>HYPERLINK("http://www.twitter.com/MelissaDark", "MelissaDark")</f>
        <v>MelissaDark</v>
      </c>
      <c r="B11919" s="65" t="s">
        <v>4222</v>
      </c>
    </row>
    <row r="11920" spans="1:2" x14ac:dyDescent="0.25">
      <c r="A11920" s="64" t="str">
        <f>HYPERLINK("http://www.twitter.com/Sassenach1973", "Sassenach1973")</f>
        <v>Sassenach1973</v>
      </c>
      <c r="B11920" s="65" t="s">
        <v>4050</v>
      </c>
    </row>
    <row r="11921" spans="1:2" x14ac:dyDescent="0.25">
      <c r="A11921" s="64" t="str">
        <f>HYPERLINK("http://www.twitter.com/jonclay_author", "jonclay_author")</f>
        <v>jonclay_author</v>
      </c>
      <c r="B11921" s="65" t="s">
        <v>296</v>
      </c>
    </row>
    <row r="11922" spans="1:2" x14ac:dyDescent="0.25">
      <c r="A11922" s="64" t="str">
        <f>HYPERLINK("http://www.twitter.com/brodinos", "brodinos")</f>
        <v>brodinos</v>
      </c>
      <c r="B11922" s="65" t="s">
        <v>7562</v>
      </c>
    </row>
    <row r="11923" spans="1:2" x14ac:dyDescent="0.25">
      <c r="A11923" s="64" t="str">
        <f>HYPERLINK("http://www.twitter.com/nlahijanify", "nlahijanify")</f>
        <v>nlahijanify</v>
      </c>
      <c r="B11923" s="65" t="s">
        <v>7563</v>
      </c>
    </row>
    <row r="11924" spans="1:2" x14ac:dyDescent="0.25">
      <c r="A11924" s="64" t="str">
        <f>HYPERLINK("http://www.twitter.com/EricaTrinity", "EricaTrinity")</f>
        <v>EricaTrinity</v>
      </c>
      <c r="B11924" s="65"/>
    </row>
    <row r="11925" spans="1:2" x14ac:dyDescent="0.25">
      <c r="A11925" s="64" t="str">
        <f>HYPERLINK("http://www.twitter.com/LW114", "LW114")</f>
        <v>LW114</v>
      </c>
      <c r="B11925" s="65" t="s">
        <v>296</v>
      </c>
    </row>
    <row r="11926" spans="1:2" x14ac:dyDescent="0.25">
      <c r="A11926" s="64" t="str">
        <f>HYPERLINK("http://www.twitter.com/TinaLikesBooks", "TinaLikesBooks")</f>
        <v>TinaLikesBooks</v>
      </c>
      <c r="B11926" s="65" t="s">
        <v>5216</v>
      </c>
    </row>
    <row r="11927" spans="1:2" x14ac:dyDescent="0.25">
      <c r="A11927" s="64" t="str">
        <f>HYPERLINK("http://www.twitter.com/DanaGrimaldi", "DanaGrimaldi")</f>
        <v>DanaGrimaldi</v>
      </c>
      <c r="B11927" s="65"/>
    </row>
    <row r="11928" spans="1:2" x14ac:dyDescent="0.25">
      <c r="A11928" s="64" t="str">
        <f>HYPERLINK("http://www.twitter.com/Aqua_Amare", "Aqua_Amare")</f>
        <v>Aqua_Amare</v>
      </c>
      <c r="B11928" s="65" t="s">
        <v>7564</v>
      </c>
    </row>
    <row r="11929" spans="1:2" x14ac:dyDescent="0.25">
      <c r="A11929" s="64" t="str">
        <f>HYPERLINK("http://www.twitter.com/byronsbrain", "byronsbrain")</f>
        <v>byronsbrain</v>
      </c>
      <c r="B11929" s="65" t="s">
        <v>296</v>
      </c>
    </row>
    <row r="11930" spans="1:2" x14ac:dyDescent="0.25">
      <c r="A11930" s="64" t="str">
        <f>HYPERLINK("http://www.twitter.com/aocdmadrid", "aocdmadrid")</f>
        <v>aocdmadrid</v>
      </c>
      <c r="B11930" s="65"/>
    </row>
    <row r="11931" spans="1:2" x14ac:dyDescent="0.25">
      <c r="A11931" s="64" t="str">
        <f>HYPERLINK("http://www.twitter.com/zhorrdarzz", "zhorrdarzz")</f>
        <v>zhorrdarzz</v>
      </c>
      <c r="B11931" s="65" t="s">
        <v>487</v>
      </c>
    </row>
    <row r="11932" spans="1:2" x14ac:dyDescent="0.25">
      <c r="A11932" s="64" t="str">
        <f>HYPERLINK("http://www.twitter.com/EHunterAuthor", "EHunterAuthor")</f>
        <v>EHunterAuthor</v>
      </c>
      <c r="B11932" s="65" t="s">
        <v>7565</v>
      </c>
    </row>
    <row r="11933" spans="1:2" x14ac:dyDescent="0.25">
      <c r="A11933" s="64" t="str">
        <f>HYPERLINK("http://www.twitter.com/laura_jbarnett", "laura_jbarnett")</f>
        <v>laura_jbarnett</v>
      </c>
      <c r="B11933" s="65" t="s">
        <v>4171</v>
      </c>
    </row>
    <row r="11934" spans="1:2" x14ac:dyDescent="0.25">
      <c r="A11934" s="64" t="str">
        <f>HYPERLINK("http://www.twitter.com/bethanyruths", "bethanyruths")</f>
        <v>bethanyruths</v>
      </c>
      <c r="B11934" s="65"/>
    </row>
    <row r="11935" spans="1:2" x14ac:dyDescent="0.25">
      <c r="A11935" s="64" t="str">
        <f>HYPERLINK("http://www.twitter.com/jamesamcgowan", "jamesamcgowan")</f>
        <v>jamesamcgowan</v>
      </c>
      <c r="B11935" s="65"/>
    </row>
    <row r="11936" spans="1:2" x14ac:dyDescent="0.25">
      <c r="A11936" s="64" t="str">
        <f>HYPERLINK("http://www.twitter.com/BarbaraStimpson", "BarbaraStimpson")</f>
        <v>BarbaraStimpson</v>
      </c>
      <c r="B11936" s="65"/>
    </row>
    <row r="11937" spans="1:2" x14ac:dyDescent="0.25">
      <c r="A11937" s="64" t="str">
        <f>HYPERLINK("http://www.twitter.com/TinaJenkins1106", "TinaJenkins1106")</f>
        <v>TinaJenkins1106</v>
      </c>
      <c r="B11937" s="65" t="s">
        <v>7566</v>
      </c>
    </row>
    <row r="11938" spans="1:2" x14ac:dyDescent="0.25">
      <c r="A11938" s="64" t="str">
        <f>HYPERLINK("http://www.twitter.com/AndreKern", "AndreKern")</f>
        <v>AndreKern</v>
      </c>
      <c r="B11938" s="65"/>
    </row>
    <row r="11939" spans="1:2" x14ac:dyDescent="0.25">
      <c r="A11939" s="64" t="str">
        <f>HYPERLINK("http://www.twitter.com/TheOldTownHall", "TheOldTownHall")</f>
        <v>TheOldTownHall</v>
      </c>
      <c r="B11939" s="65" t="s">
        <v>7567</v>
      </c>
    </row>
    <row r="11940" spans="1:2" x14ac:dyDescent="0.25">
      <c r="A11940" s="64" t="str">
        <f>HYPERLINK("http://www.twitter.com/Snowy273", "Snowy273")</f>
        <v>Snowy273</v>
      </c>
      <c r="B11940" s="65" t="s">
        <v>2007</v>
      </c>
    </row>
    <row r="11941" spans="1:2" x14ac:dyDescent="0.25">
      <c r="A11941" s="64" t="str">
        <f>HYPERLINK("http://www.twitter.com/CEamer", "CEamer")</f>
        <v>CEamer</v>
      </c>
      <c r="B11941" s="65" t="s">
        <v>7568</v>
      </c>
    </row>
    <row r="11942" spans="1:2" x14ac:dyDescent="0.25">
      <c r="A11942" s="64" t="str">
        <f>HYPERLINK("http://www.twitter.com/elsie33", "elsie33")</f>
        <v>elsie33</v>
      </c>
      <c r="B11942" s="65" t="s">
        <v>2369</v>
      </c>
    </row>
    <row r="11943" spans="1:2" x14ac:dyDescent="0.25">
      <c r="A11943" s="64" t="str">
        <f>HYPERLINK("http://www.twitter.com/rebrei0988", "rebrei0988")</f>
        <v>rebrei0988</v>
      </c>
      <c r="B11943" s="65"/>
    </row>
    <row r="11944" spans="1:2" x14ac:dyDescent="0.25">
      <c r="A11944" s="64" t="str">
        <f>HYPERLINK("http://www.twitter.com/julientk", "julientk")</f>
        <v>julientk</v>
      </c>
      <c r="B11944" s="65" t="s">
        <v>7569</v>
      </c>
    </row>
    <row r="11945" spans="1:2" x14ac:dyDescent="0.25">
      <c r="A11945" s="64" t="str">
        <f>HYPERLINK("http://www.twitter.com/agnetha666", "agnetha666")</f>
        <v>agnetha666</v>
      </c>
      <c r="B11945" s="65" t="s">
        <v>7570</v>
      </c>
    </row>
    <row r="11946" spans="1:2" x14ac:dyDescent="0.25">
      <c r="A11946" s="64" t="str">
        <f>HYPERLINK("http://www.twitter.com/ohhey_itssaniax", "ohhey_itssaniax")</f>
        <v>ohhey_itssaniax</v>
      </c>
      <c r="B11946" s="65" t="s">
        <v>7571</v>
      </c>
    </row>
    <row r="11947" spans="1:2" x14ac:dyDescent="0.25">
      <c r="A11947" s="64" t="str">
        <f>HYPERLINK("http://www.twitter.com/bugoira", "bugoira")</f>
        <v>bugoira</v>
      </c>
      <c r="B11947" s="65" t="s">
        <v>7572</v>
      </c>
    </row>
    <row r="11948" spans="1:2" x14ac:dyDescent="0.25">
      <c r="A11948" s="64" t="str">
        <f>HYPERLINK("http://www.twitter.com/rumgirly", "rumgirly")</f>
        <v>rumgirly</v>
      </c>
      <c r="B11948" s="65"/>
    </row>
    <row r="11949" spans="1:2" x14ac:dyDescent="0.25">
      <c r="A11949" s="64" t="str">
        <f>HYPERLINK("http://www.twitter.com/macbeth5", "macbeth5")</f>
        <v>macbeth5</v>
      </c>
      <c r="B11949" s="65"/>
    </row>
    <row r="11950" spans="1:2" x14ac:dyDescent="0.25">
      <c r="A11950" s="64" t="str">
        <f>HYPERLINK("http://www.twitter.com/FreegalMusic", "FreegalMusic")</f>
        <v>FreegalMusic</v>
      </c>
      <c r="B11950" s="65"/>
    </row>
    <row r="11951" spans="1:2" x14ac:dyDescent="0.25">
      <c r="A11951" s="64" t="str">
        <f>HYPERLINK("http://www.twitter.com/StuBartonWriter", "StuBartonWriter")</f>
        <v>StuBartonWriter</v>
      </c>
      <c r="B11951" s="65" t="s">
        <v>36</v>
      </c>
    </row>
    <row r="11952" spans="1:2" x14ac:dyDescent="0.25">
      <c r="A11952" s="64" t="str">
        <f>HYPERLINK("http://www.twitter.com/catfircookman", "catfircookman")</f>
        <v>catfircookman</v>
      </c>
      <c r="B11952" s="65" t="s">
        <v>180</v>
      </c>
    </row>
    <row r="11953" spans="1:2" x14ac:dyDescent="0.25">
      <c r="A11953" s="64" t="str">
        <f>HYPERLINK("http://www.twitter.com/mkschoen", "mkschoen")</f>
        <v>mkschoen</v>
      </c>
      <c r="B11953" s="65" t="s">
        <v>7573</v>
      </c>
    </row>
    <row r="11954" spans="1:2" x14ac:dyDescent="0.25">
      <c r="A11954" s="64" t="str">
        <f>HYPERLINK("http://www.twitter.com/RevPaulT", "RevPaulT")</f>
        <v>RevPaulT</v>
      </c>
      <c r="B11954" s="65" t="s">
        <v>4461</v>
      </c>
    </row>
    <row r="11955" spans="1:2" x14ac:dyDescent="0.25">
      <c r="A11955" s="64" t="str">
        <f>HYPERLINK("http://www.twitter.com/LaurenNet", "LaurenNet")</f>
        <v>LaurenNet</v>
      </c>
      <c r="B11955" s="65" t="s">
        <v>7574</v>
      </c>
    </row>
    <row r="11956" spans="1:2" x14ac:dyDescent="0.25">
      <c r="A11956" s="64" t="str">
        <f>HYPERLINK("http://www.twitter.com/iauw", "iauw")</f>
        <v>iauw</v>
      </c>
      <c r="B11956" s="65"/>
    </row>
    <row r="11957" spans="1:2" x14ac:dyDescent="0.25">
      <c r="A11957" s="64" t="str">
        <f>HYPERLINK("http://www.twitter.com/ANNROSMAN", "ANNROSMAN")</f>
        <v>ANNROSMAN</v>
      </c>
      <c r="B11957" s="65" t="s">
        <v>7575</v>
      </c>
    </row>
    <row r="11958" spans="1:2" x14ac:dyDescent="0.25">
      <c r="A11958" s="64" t="str">
        <f>HYPERLINK("http://www.twitter.com/LauraDodds93", "LauraDodds93")</f>
        <v>LauraDodds93</v>
      </c>
      <c r="B11958" s="65"/>
    </row>
    <row r="11959" spans="1:2" x14ac:dyDescent="0.25">
      <c r="A11959" s="64" t="str">
        <f>HYPERLINK("http://www.twitter.com/KipsterH", "KipsterH")</f>
        <v>KipsterH</v>
      </c>
      <c r="B11959" s="65"/>
    </row>
    <row r="11960" spans="1:2" x14ac:dyDescent="0.25">
      <c r="A11960" s="64" t="str">
        <f>HYPERLINK("http://www.twitter.com/kaydo", "kaydo")</f>
        <v>kaydo</v>
      </c>
      <c r="B11960" s="65" t="s">
        <v>2602</v>
      </c>
    </row>
    <row r="11961" spans="1:2" x14ac:dyDescent="0.25">
      <c r="A11961" s="64" t="str">
        <f>HYPERLINK("http://www.twitter.com/pjolo", "pjolo")</f>
        <v>pjolo</v>
      </c>
      <c r="B11961" s="65"/>
    </row>
    <row r="11962" spans="1:2" x14ac:dyDescent="0.25">
      <c r="A11962" s="64" t="str">
        <f>HYPERLINK("http://www.twitter.com/Lisa_Shadix", "Lisa_Shadix")</f>
        <v>Lisa_Shadix</v>
      </c>
      <c r="B11962" s="65"/>
    </row>
    <row r="11963" spans="1:2" x14ac:dyDescent="0.25">
      <c r="A11963" s="64" t="str">
        <f>HYPERLINK("http://www.twitter.com/marthasmummy72", "marthasmummy72")</f>
        <v>marthasmummy72</v>
      </c>
      <c r="B11963" s="65" t="s">
        <v>7576</v>
      </c>
    </row>
    <row r="11964" spans="1:2" x14ac:dyDescent="0.25">
      <c r="A11964" s="64" t="str">
        <f>HYPERLINK("http://www.twitter.com/sjithompson", "sjithompson")</f>
        <v>sjithompson</v>
      </c>
      <c r="B11964" s="65" t="s">
        <v>477</v>
      </c>
    </row>
    <row r="11965" spans="1:2" x14ac:dyDescent="0.25">
      <c r="A11965" s="64" t="str">
        <f>HYPERLINK("http://www.twitter.com/GrlAnachronismE", "GrlAnachronismE")</f>
        <v>GrlAnachronismE</v>
      </c>
      <c r="B11965" s="65"/>
    </row>
    <row r="11966" spans="1:2" x14ac:dyDescent="0.25">
      <c r="A11966" s="64" t="str">
        <f>HYPERLINK("http://www.twitter.com/LM_HATII", "LM_HATII")</f>
        <v>LM_HATII</v>
      </c>
      <c r="B11966" s="65" t="s">
        <v>7577</v>
      </c>
    </row>
    <row r="11967" spans="1:2" x14ac:dyDescent="0.25">
      <c r="A11967" s="64" t="str">
        <f>HYPERLINK("http://www.twitter.com/soledadobrien", "soledadobrien")</f>
        <v>soledadobrien</v>
      </c>
      <c r="B11967" s="65" t="s">
        <v>7578</v>
      </c>
    </row>
    <row r="11968" spans="1:2" x14ac:dyDescent="0.25">
      <c r="A11968" s="64" t="str">
        <f>HYPERLINK("http://www.twitter.com/simplysolo", "simplysolo")</f>
        <v>simplysolo</v>
      </c>
      <c r="B11968" s="65" t="s">
        <v>3978</v>
      </c>
    </row>
    <row r="11969" spans="1:2" x14ac:dyDescent="0.25">
      <c r="A11969" s="64" t="str">
        <f>HYPERLINK("http://www.twitter.com/DrakiesPS", "DrakiesPS")</f>
        <v>DrakiesPS</v>
      </c>
      <c r="B11969" s="65" t="s">
        <v>4447</v>
      </c>
    </row>
    <row r="11970" spans="1:2" x14ac:dyDescent="0.25">
      <c r="A11970" s="64" t="str">
        <f>HYPERLINK("http://www.twitter.com/beckyblackbooks", "beckyblackbooks")</f>
        <v>beckyblackbooks</v>
      </c>
      <c r="B11970" s="65" t="s">
        <v>1192</v>
      </c>
    </row>
    <row r="11971" spans="1:2" x14ac:dyDescent="0.25">
      <c r="A11971" s="64" t="str">
        <f>HYPERLINK("http://www.twitter.com/IanMustardTiger", "IanMustardTiger")</f>
        <v>IanMustardTiger</v>
      </c>
      <c r="B11971" s="65"/>
    </row>
    <row r="11972" spans="1:2" x14ac:dyDescent="0.25">
      <c r="A11972" s="64" t="str">
        <f>HYPERLINK("http://www.twitter.com/aislingburke84", "aislingburke84")</f>
        <v>aislingburke84</v>
      </c>
      <c r="B11972" s="65" t="s">
        <v>5777</v>
      </c>
    </row>
    <row r="11973" spans="1:2" x14ac:dyDescent="0.25">
      <c r="A11973" s="64" t="str">
        <f>HYPERLINK("http://www.twitter.com/terjij", "terjij")</f>
        <v>terjij</v>
      </c>
      <c r="B11973" s="65"/>
    </row>
    <row r="11974" spans="1:2" x14ac:dyDescent="0.25">
      <c r="A11974" s="64" t="str">
        <f>HYPERLINK("http://www.twitter.com/m5h8y", "m5h8y")</f>
        <v>m5h8y</v>
      </c>
      <c r="B11974" s="65" t="s">
        <v>7579</v>
      </c>
    </row>
    <row r="11975" spans="1:2" x14ac:dyDescent="0.25">
      <c r="A11975" s="64" t="str">
        <f>HYPERLINK("http://www.twitter.com/emmalally", "emmalally")</f>
        <v>emmalally</v>
      </c>
      <c r="B11975" s="65" t="s">
        <v>7580</v>
      </c>
    </row>
    <row r="11976" spans="1:2" x14ac:dyDescent="0.25">
      <c r="A11976" s="64" t="str">
        <f>HYPERLINK("http://www.twitter.com/mrsfraserphs", "mrsfraserphs")</f>
        <v>mrsfraserphs</v>
      </c>
      <c r="B11976" s="65" t="s">
        <v>3773</v>
      </c>
    </row>
    <row r="11977" spans="1:2" x14ac:dyDescent="0.25">
      <c r="A11977" s="64" t="str">
        <f>HYPERLINK("http://www.twitter.com/DCIDDudley", "DCIDDudley")</f>
        <v>DCIDDudley</v>
      </c>
      <c r="B11977" s="65" t="s">
        <v>7091</v>
      </c>
    </row>
    <row r="11978" spans="1:2" x14ac:dyDescent="0.25">
      <c r="A11978" s="64" t="str">
        <f>HYPERLINK("http://www.twitter.com/AlannaTouring", "AlannaTouring")</f>
        <v>AlannaTouring</v>
      </c>
      <c r="B11978" s="65" t="s">
        <v>24</v>
      </c>
    </row>
    <row r="11979" spans="1:2" x14ac:dyDescent="0.25">
      <c r="A11979" s="64" t="str">
        <f>HYPERLINK("http://www.twitter.com/East_of_Dulwich", "East_of_Dulwich")</f>
        <v>East_of_Dulwich</v>
      </c>
      <c r="B11979" s="65" t="s">
        <v>7581</v>
      </c>
    </row>
    <row r="11980" spans="1:2" x14ac:dyDescent="0.25">
      <c r="A11980" s="64" t="str">
        <f>HYPERLINK("http://www.twitter.com/gxbooks", "gxbooks")</f>
        <v>gxbooks</v>
      </c>
      <c r="B11980" s="65" t="s">
        <v>2648</v>
      </c>
    </row>
    <row r="11981" spans="1:2" x14ac:dyDescent="0.25">
      <c r="A11981" s="64" t="str">
        <f>HYPERLINK("http://www.twitter.com/Littlecantray", "Littlecantray")</f>
        <v>Littlecantray</v>
      </c>
      <c r="B11981" s="65" t="s">
        <v>7582</v>
      </c>
    </row>
    <row r="11982" spans="1:2" x14ac:dyDescent="0.25">
      <c r="A11982" s="64" t="str">
        <f>HYPERLINK("http://www.twitter.com/akuncedi", "akuncedi")</f>
        <v>akuncedi</v>
      </c>
      <c r="B11982" s="65"/>
    </row>
    <row r="11983" spans="1:2" x14ac:dyDescent="0.25">
      <c r="A11983" s="64" t="str">
        <f>HYPERLINK("http://www.twitter.com/LizBranston", "LizBranston")</f>
        <v>LizBranston</v>
      </c>
      <c r="B11983" s="65" t="s">
        <v>7583</v>
      </c>
    </row>
    <row r="11984" spans="1:2" x14ac:dyDescent="0.25">
      <c r="A11984" s="64" t="str">
        <f>HYPERLINK("http://www.twitter.com/twbeetle", "twbeetle")</f>
        <v>twbeetle</v>
      </c>
      <c r="B11984" s="65" t="s">
        <v>7584</v>
      </c>
    </row>
    <row r="11985" spans="1:2" x14ac:dyDescent="0.25">
      <c r="A11985" s="64" t="str">
        <f>HYPERLINK("http://www.twitter.com/sarahreynolds70", "sarahreynolds70")</f>
        <v>sarahreynolds70</v>
      </c>
      <c r="B11985" s="65"/>
    </row>
    <row r="11986" spans="1:2" x14ac:dyDescent="0.25">
      <c r="A11986" s="64" t="str">
        <f>HYPERLINK("http://www.twitter.com/steph_patters", "steph_patters")</f>
        <v>steph_patters</v>
      </c>
      <c r="B11986" s="65" t="s">
        <v>7585</v>
      </c>
    </row>
    <row r="11987" spans="1:2" x14ac:dyDescent="0.25">
      <c r="A11987" s="64" t="str">
        <f>HYPERLINK("http://www.twitter.com/sultan44134", "sultan44134")</f>
        <v>sultan44134</v>
      </c>
      <c r="B11987" s="65"/>
    </row>
    <row r="11988" spans="1:2" x14ac:dyDescent="0.25">
      <c r="A11988" s="64" t="str">
        <f>HYPERLINK("http://www.twitter.com/oldschoolads", "oldschoolads")</f>
        <v>oldschoolads</v>
      </c>
      <c r="B11988" s="65" t="s">
        <v>5360</v>
      </c>
    </row>
    <row r="11989" spans="1:2" x14ac:dyDescent="0.25">
      <c r="A11989" s="64" t="str">
        <f>HYPERLINK("http://www.twitter.com/KerynDenroche", "KerynDenroche")</f>
        <v>KerynDenroche</v>
      </c>
      <c r="B11989" s="65" t="s">
        <v>7586</v>
      </c>
    </row>
    <row r="11990" spans="1:2" x14ac:dyDescent="0.25">
      <c r="A11990" s="64" t="str">
        <f>HYPERLINK("http://www.twitter.com/MaggieAMcShane", "MaggieAMcShane")</f>
        <v>MaggieAMcShane</v>
      </c>
      <c r="B11990" s="65"/>
    </row>
    <row r="11991" spans="1:2" x14ac:dyDescent="0.25">
      <c r="A11991" s="64" t="str">
        <f>HYPERLINK("http://www.twitter.com/dkward", "dkward")</f>
        <v>dkward</v>
      </c>
      <c r="B11991" s="65" t="s">
        <v>4310</v>
      </c>
    </row>
    <row r="11992" spans="1:2" x14ac:dyDescent="0.25">
      <c r="A11992" s="64" t="str">
        <f>HYPERLINK("http://www.twitter.com/mmesiouxie", "mmesiouxie")</f>
        <v>mmesiouxie</v>
      </c>
      <c r="B11992" s="65" t="s">
        <v>3894</v>
      </c>
    </row>
    <row r="11993" spans="1:2" x14ac:dyDescent="0.25">
      <c r="A11993" s="64" t="str">
        <f>HYPERLINK("http://www.twitter.com/jmacdonald2508", "jmacdonald2508")</f>
        <v>jmacdonald2508</v>
      </c>
      <c r="B11993" s="65" t="s">
        <v>4447</v>
      </c>
    </row>
    <row r="11994" spans="1:2" x14ac:dyDescent="0.25">
      <c r="A11994" s="64" t="str">
        <f>HYPERLINK("http://www.twitter.com/jeputz", "jeputz")</f>
        <v>jeputz</v>
      </c>
      <c r="B11994" s="65" t="s">
        <v>7587</v>
      </c>
    </row>
    <row r="11995" spans="1:2" x14ac:dyDescent="0.25">
      <c r="A11995" s="64" t="str">
        <f>HYPERLINK("http://www.twitter.com/macshizzel", "macshizzel")</f>
        <v>macshizzel</v>
      </c>
      <c r="B11995" s="65"/>
    </row>
    <row r="11996" spans="1:2" x14ac:dyDescent="0.25">
      <c r="A11996" s="64" t="str">
        <f>HYPERLINK("http://www.twitter.com/Reykjavikcom", "Reykjavikcom")</f>
        <v>Reykjavikcom</v>
      </c>
      <c r="B11996" s="65" t="s">
        <v>6360</v>
      </c>
    </row>
    <row r="11997" spans="1:2" x14ac:dyDescent="0.25">
      <c r="A11997" s="64" t="str">
        <f>HYPERLINK("http://www.twitter.com/wonderbooze", "wonderbooze")</f>
        <v>wonderbooze</v>
      </c>
      <c r="B11997" s="65"/>
    </row>
    <row r="11998" spans="1:2" x14ac:dyDescent="0.25">
      <c r="A11998" s="64" t="str">
        <f>HYPERLINK("http://www.twitter.com/squirrelmagnet", "squirrelmagnet")</f>
        <v>squirrelmagnet</v>
      </c>
      <c r="B11998" s="65" t="s">
        <v>4148</v>
      </c>
    </row>
    <row r="11999" spans="1:2" x14ac:dyDescent="0.25">
      <c r="A11999" s="64" t="str">
        <f>HYPERLINK("http://www.twitter.com/yung4evr", "yung4evr")</f>
        <v>yung4evr</v>
      </c>
      <c r="B11999" s="65"/>
    </row>
    <row r="12000" spans="1:2" x14ac:dyDescent="0.25">
      <c r="A12000" s="64" t="str">
        <f>HYPERLINK("http://www.twitter.com/mstevnz", "mstevnz")</f>
        <v>mstevnz</v>
      </c>
      <c r="B12000" s="65" t="s">
        <v>7588</v>
      </c>
    </row>
    <row r="12001" spans="1:2" x14ac:dyDescent="0.25">
      <c r="A12001" s="64" t="str">
        <f>HYPERLINK("http://www.twitter.com/newfan305", "newfan305")</f>
        <v>newfan305</v>
      </c>
      <c r="B12001" s="65" t="s">
        <v>7589</v>
      </c>
    </row>
    <row r="12002" spans="1:2" x14ac:dyDescent="0.25">
      <c r="A12002" s="64" t="str">
        <f>HYPERLINK("http://www.twitter.com/smileo1234", "smileo1234")</f>
        <v>smileo1234</v>
      </c>
      <c r="B12002" s="65" t="s">
        <v>1841</v>
      </c>
    </row>
    <row r="12003" spans="1:2" x14ac:dyDescent="0.25">
      <c r="A12003" s="64" t="str">
        <f>HYPERLINK("http://www.twitter.com/Fi79", "Fi79")</f>
        <v>Fi79</v>
      </c>
      <c r="B12003" s="65" t="s">
        <v>7590</v>
      </c>
    </row>
    <row r="12004" spans="1:2" x14ac:dyDescent="0.25">
      <c r="A12004" s="64" t="str">
        <f>HYPERLINK("http://www.twitter.com/woodburninglife", "woodburninglife")</f>
        <v>woodburninglife</v>
      </c>
      <c r="B12004" s="65" t="s">
        <v>477</v>
      </c>
    </row>
    <row r="12005" spans="1:2" x14ac:dyDescent="0.25">
      <c r="A12005" s="64" t="str">
        <f>HYPERLINK("http://www.twitter.com/zaffrebooks", "zaffrebooks")</f>
        <v>zaffrebooks</v>
      </c>
      <c r="B12005" s="65" t="s">
        <v>36</v>
      </c>
    </row>
    <row r="12006" spans="1:2" x14ac:dyDescent="0.25">
      <c r="A12006" s="64" t="str">
        <f>HYPERLINK("http://www.twitter.com/RosalindCPH", "RosalindCPH")</f>
        <v>RosalindCPH</v>
      </c>
      <c r="B12006" s="65" t="s">
        <v>7591</v>
      </c>
    </row>
    <row r="12007" spans="1:2" x14ac:dyDescent="0.25">
      <c r="A12007" s="64" t="str">
        <f>HYPERLINK("http://www.twitter.com/Ninja_bun", "Ninja_bun")</f>
        <v>Ninja_bun</v>
      </c>
      <c r="B12007" s="65" t="s">
        <v>517</v>
      </c>
    </row>
    <row r="12008" spans="1:2" x14ac:dyDescent="0.25">
      <c r="A12008" s="64" t="str">
        <f>HYPERLINK("http://www.twitter.com/TheBrochProject", "TheBrochProject")</f>
        <v>TheBrochProject</v>
      </c>
      <c r="B12008" s="65" t="s">
        <v>4959</v>
      </c>
    </row>
    <row r="12009" spans="1:2" x14ac:dyDescent="0.25">
      <c r="A12009" s="64" t="str">
        <f>HYPERLINK("http://www.twitter.com/sarahoftheshire", "sarahoftheshire")</f>
        <v>sarahoftheshire</v>
      </c>
      <c r="B12009" s="65" t="s">
        <v>7592</v>
      </c>
    </row>
    <row r="12010" spans="1:2" x14ac:dyDescent="0.25">
      <c r="A12010" s="64" t="str">
        <f>HYPERLINK("http://www.twitter.com/DiseaseDR", "DiseaseDR")</f>
        <v>DiseaseDR</v>
      </c>
      <c r="B12010" s="65" t="s">
        <v>7593</v>
      </c>
    </row>
    <row r="12011" spans="1:2" x14ac:dyDescent="0.25">
      <c r="A12011" s="64" t="str">
        <f>HYPERLINK("http://www.twitter.com/EmLindley", "EmLindley")</f>
        <v>EmLindley</v>
      </c>
      <c r="B12011" s="65" t="s">
        <v>4924</v>
      </c>
    </row>
    <row r="12012" spans="1:2" x14ac:dyDescent="0.25">
      <c r="A12012" s="64" t="str">
        <f>HYPERLINK("http://www.twitter.com/NAM_Nero", "NAM_Nero")</f>
        <v>NAM_Nero</v>
      </c>
      <c r="B12012" s="65"/>
    </row>
    <row r="12013" spans="1:2" x14ac:dyDescent="0.25">
      <c r="A12013" s="64" t="str">
        <f>HYPERLINK("http://www.twitter.com/JonasHildeland", "JonasHildeland")</f>
        <v>JonasHildeland</v>
      </c>
      <c r="B12013" s="65" t="s">
        <v>7594</v>
      </c>
    </row>
    <row r="12014" spans="1:2" x14ac:dyDescent="0.25">
      <c r="A12014" s="64" t="str">
        <f>HYPERLINK("http://www.twitter.com/NRPLibrary", "NRPLibrary")</f>
        <v>NRPLibrary</v>
      </c>
      <c r="B12014" s="65" t="s">
        <v>7595</v>
      </c>
    </row>
    <row r="12015" spans="1:2" x14ac:dyDescent="0.25">
      <c r="A12015" s="64" t="str">
        <f>HYPERLINK("http://www.twitter.com/jlst", "jlst")</f>
        <v>jlst</v>
      </c>
      <c r="B12015" s="65" t="s">
        <v>7596</v>
      </c>
    </row>
    <row r="12016" spans="1:2" x14ac:dyDescent="0.25">
      <c r="A12016" s="64" t="str">
        <f>HYPERLINK("http://www.twitter.com/pavedwithhearts", "pavedwithhearts")</f>
        <v>pavedwithhearts</v>
      </c>
      <c r="B12016" s="65"/>
    </row>
    <row r="12017" spans="1:2" x14ac:dyDescent="0.25">
      <c r="A12017" s="64" t="str">
        <f>HYPERLINK("http://www.twitter.com/lululibrarian", "lululibrarian")</f>
        <v>lululibrarian</v>
      </c>
      <c r="B12017" s="65" t="s">
        <v>4193</v>
      </c>
    </row>
    <row r="12018" spans="1:2" x14ac:dyDescent="0.25">
      <c r="A12018" s="64" t="str">
        <f>HYPERLINK("http://www.twitter.com/FayeRimdap", "FayeRimdap")</f>
        <v>FayeRimdap</v>
      </c>
      <c r="B12018" s="65"/>
    </row>
    <row r="12019" spans="1:2" x14ac:dyDescent="0.25">
      <c r="A12019" s="64" t="str">
        <f>HYPERLINK("http://www.twitter.com/misterdickinson", "misterdickinson")</f>
        <v>misterdickinson</v>
      </c>
      <c r="B12019" s="65" t="s">
        <v>7597</v>
      </c>
    </row>
    <row r="12020" spans="1:2" x14ac:dyDescent="0.25">
      <c r="A12020" s="64" t="str">
        <f>HYPERLINK("http://www.twitter.com/HushedTomes", "HushedTomes")</f>
        <v>HushedTomes</v>
      </c>
      <c r="B12020" s="65" t="s">
        <v>2592</v>
      </c>
    </row>
    <row r="12021" spans="1:2" x14ac:dyDescent="0.25">
      <c r="A12021" s="64" t="str">
        <f>HYPERLINK("http://www.twitter.com/delaneyyr15", "delaneyyr15")</f>
        <v>delaneyyr15</v>
      </c>
      <c r="B12021" s="65"/>
    </row>
    <row r="12022" spans="1:2" x14ac:dyDescent="0.25">
      <c r="A12022" s="64" t="str">
        <f>HYPERLINK("http://www.twitter.com/pat_norman", "pat_norman")</f>
        <v>pat_norman</v>
      </c>
      <c r="B12022" s="65" t="s">
        <v>7598</v>
      </c>
    </row>
    <row r="12023" spans="1:2" x14ac:dyDescent="0.25">
      <c r="A12023" s="64" t="str">
        <f>HYPERLINK("http://www.twitter.com/WendySkene", "WendySkene")</f>
        <v>WendySkene</v>
      </c>
      <c r="B12023" s="65"/>
    </row>
    <row r="12024" spans="1:2" x14ac:dyDescent="0.25">
      <c r="A12024" s="64" t="str">
        <f>HYPERLINK("http://www.twitter.com/washingtonkate", "washingtonkate")</f>
        <v>washingtonkate</v>
      </c>
      <c r="B12024" s="65" t="s">
        <v>7599</v>
      </c>
    </row>
    <row r="12025" spans="1:2" x14ac:dyDescent="0.25">
      <c r="A12025" s="64" t="str">
        <f>HYPERLINK("http://www.twitter.com/mel_rodger", "mel_rodger")</f>
        <v>mel_rodger</v>
      </c>
      <c r="B12025" s="65" t="s">
        <v>24</v>
      </c>
    </row>
    <row r="12026" spans="1:2" x14ac:dyDescent="0.25">
      <c r="A12026" s="64" t="str">
        <f>HYPERLINK("http://www.twitter.com/Tracywall", "Tracywall")</f>
        <v>Tracywall</v>
      </c>
      <c r="B12026" s="65"/>
    </row>
    <row r="12027" spans="1:2" x14ac:dyDescent="0.25">
      <c r="A12027" s="64" t="str">
        <f>HYPERLINK("http://www.twitter.com/popplestone", "popplestone")</f>
        <v>popplestone</v>
      </c>
      <c r="B12027" s="65" t="s">
        <v>36</v>
      </c>
    </row>
    <row r="12028" spans="1:2" x14ac:dyDescent="0.25">
      <c r="A12028" s="64" t="str">
        <f>HYPERLINK("http://www.twitter.com/kathryn_nemo", "kathryn_nemo")</f>
        <v>kathryn_nemo</v>
      </c>
      <c r="B12028" s="65"/>
    </row>
    <row r="12029" spans="1:2" x14ac:dyDescent="0.25">
      <c r="A12029" s="64" t="str">
        <f>HYPERLINK("http://www.twitter.com/Jennifer_Bones", "Jennifer_Bones")</f>
        <v>Jennifer_Bones</v>
      </c>
      <c r="B12029" s="65" t="s">
        <v>7600</v>
      </c>
    </row>
    <row r="12030" spans="1:2" x14ac:dyDescent="0.25">
      <c r="A12030" s="64" t="str">
        <f>HYPERLINK("http://www.twitter.com/KTorrential", "KTorrential")</f>
        <v>KTorrential</v>
      </c>
      <c r="B12030" s="65" t="s">
        <v>1490</v>
      </c>
    </row>
    <row r="12031" spans="1:2" x14ac:dyDescent="0.25">
      <c r="A12031" s="64" t="str">
        <f>HYPERLINK("http://www.twitter.com/BadWolfRobot", "BadWolfRobot")</f>
        <v>BadWolfRobot</v>
      </c>
      <c r="B12031" s="65"/>
    </row>
    <row r="12032" spans="1:2" x14ac:dyDescent="0.25">
      <c r="A12032" s="64" t="str">
        <f>HYPERLINK("http://www.twitter.com/moragd12", "moragd12")</f>
        <v>moragd12</v>
      </c>
      <c r="B12032" s="65"/>
    </row>
    <row r="12033" spans="1:2" x14ac:dyDescent="0.25">
      <c r="A12033" s="64" t="str">
        <f>HYPERLINK("http://www.twitter.com/TheRealGearoid", "TheRealGearoid")</f>
        <v>TheRealGearoid</v>
      </c>
      <c r="B12033" s="65" t="s">
        <v>7601</v>
      </c>
    </row>
    <row r="12034" spans="1:2" x14ac:dyDescent="0.25">
      <c r="A12034" s="64" t="str">
        <f>HYPERLINK("http://www.twitter.com/shsmediacenter", "shsmediacenter")</f>
        <v>shsmediacenter</v>
      </c>
      <c r="B12034" s="65"/>
    </row>
    <row r="12035" spans="1:2" x14ac:dyDescent="0.25">
      <c r="A12035" s="64" t="str">
        <f>HYPERLINK("http://www.twitter.com/lindapedia", "lindapedia")</f>
        <v>lindapedia</v>
      </c>
      <c r="B12035" s="65"/>
    </row>
    <row r="12036" spans="1:2" x14ac:dyDescent="0.25">
      <c r="A12036" s="64" t="str">
        <f>HYPERLINK("http://www.twitter.com/Kaitlin_Bree", "Kaitlin_Bree")</f>
        <v>Kaitlin_Bree</v>
      </c>
      <c r="B12036" s="65" t="s">
        <v>3863</v>
      </c>
    </row>
    <row r="12037" spans="1:2" x14ac:dyDescent="0.25">
      <c r="A12037" s="64" t="str">
        <f>HYPERLINK("http://www.twitter.com/MelodicNova", "MelodicNova")</f>
        <v>MelodicNova</v>
      </c>
      <c r="B12037" s="65" t="s">
        <v>4861</v>
      </c>
    </row>
    <row r="12038" spans="1:2" x14ac:dyDescent="0.25">
      <c r="A12038" s="64" t="str">
        <f>HYPERLINK("http://www.twitter.com/Daggard", "Daggard")</f>
        <v>Daggard</v>
      </c>
      <c r="B12038" s="65" t="s">
        <v>7602</v>
      </c>
    </row>
    <row r="12039" spans="1:2" x14ac:dyDescent="0.25">
      <c r="A12039" s="64" t="str">
        <f>HYPERLINK("http://www.twitter.com/NathanConstable", "NathanConstable")</f>
        <v>NathanConstable</v>
      </c>
      <c r="B12039" s="65"/>
    </row>
    <row r="12040" spans="1:2" x14ac:dyDescent="0.25">
      <c r="A12040" s="64" t="str">
        <f>HYPERLINK("http://www.twitter.com/maryfshort", "maryfshort")</f>
        <v>maryfshort</v>
      </c>
      <c r="B12040" s="65" t="s">
        <v>7603</v>
      </c>
    </row>
    <row r="12041" spans="1:2" x14ac:dyDescent="0.25">
      <c r="A12041" s="64" t="str">
        <f>HYPERLINK("http://www.twitter.com/MishaRN", "MishaRN")</f>
        <v>MishaRN</v>
      </c>
      <c r="B12041" s="65" t="s">
        <v>7604</v>
      </c>
    </row>
    <row r="12042" spans="1:2" x14ac:dyDescent="0.25">
      <c r="A12042" s="64" t="str">
        <f>HYPERLINK("http://www.twitter.com/pam_ri88", "pam_ri88")</f>
        <v>pam_ri88</v>
      </c>
      <c r="B12042" s="65"/>
    </row>
    <row r="12043" spans="1:2" x14ac:dyDescent="0.25">
      <c r="A12043" s="64" t="str">
        <f>HYPERLINK("http://www.twitter.com/CaitrionaRow", "CaitrionaRow")</f>
        <v>CaitrionaRow</v>
      </c>
      <c r="B12043" s="65" t="s">
        <v>7605</v>
      </c>
    </row>
    <row r="12044" spans="1:2" x14ac:dyDescent="0.25">
      <c r="A12044" s="64" t="str">
        <f>HYPERLINK("http://www.twitter.com/mrmarkreed", "mrmarkreed")</f>
        <v>mrmarkreed</v>
      </c>
      <c r="B12044" s="65" t="s">
        <v>7606</v>
      </c>
    </row>
    <row r="12045" spans="1:2" x14ac:dyDescent="0.25">
      <c r="A12045" s="64" t="str">
        <f>HYPERLINK("http://www.twitter.com/openroadltd", "openroadltd")</f>
        <v>openroadltd</v>
      </c>
      <c r="B12045" s="65"/>
    </row>
    <row r="12046" spans="1:2" x14ac:dyDescent="0.25">
      <c r="A12046" s="64" t="str">
        <f>HYPERLINK("http://www.twitter.com/lesleyannerose", "lesleyannerose")</f>
        <v>lesleyannerose</v>
      </c>
      <c r="B12046" s="65" t="s">
        <v>4019</v>
      </c>
    </row>
    <row r="12047" spans="1:2" x14ac:dyDescent="0.25">
      <c r="A12047" s="64" t="str">
        <f>HYPERLINK("http://www.twitter.com/kama_sue", "kama_sue")</f>
        <v>kama_sue</v>
      </c>
      <c r="B12047" s="65" t="s">
        <v>3872</v>
      </c>
    </row>
    <row r="12048" spans="1:2" x14ac:dyDescent="0.25">
      <c r="A12048" s="64" t="str">
        <f>HYPERLINK("http://www.twitter.com/PooleMargaret", "PooleMargaret")</f>
        <v>PooleMargaret</v>
      </c>
      <c r="B12048" s="65"/>
    </row>
    <row r="12049" spans="1:2" x14ac:dyDescent="0.25">
      <c r="A12049" s="64" t="str">
        <f>HYPERLINK("http://www.twitter.com/RachelJTookey", "RachelJTookey")</f>
        <v>RachelJTookey</v>
      </c>
      <c r="B12049" s="65" t="s">
        <v>7607</v>
      </c>
    </row>
    <row r="12050" spans="1:2" x14ac:dyDescent="0.25">
      <c r="A12050" s="64" t="str">
        <f>HYPERLINK("http://www.twitter.com/Kalendaries", "Kalendaries")</f>
        <v>Kalendaries</v>
      </c>
      <c r="B12050" s="65" t="s">
        <v>4145</v>
      </c>
    </row>
    <row r="12051" spans="1:2" x14ac:dyDescent="0.25">
      <c r="A12051" s="64" t="str">
        <f>HYPERLINK("http://www.twitter.com/GlenysLeigh", "GlenysLeigh")</f>
        <v>GlenysLeigh</v>
      </c>
      <c r="B12051" s="65" t="s">
        <v>318</v>
      </c>
    </row>
    <row r="12052" spans="1:2" x14ac:dyDescent="0.25">
      <c r="A12052" s="64" t="str">
        <f>HYPERLINK("http://www.twitter.com/CreativePistol", "CreativePistol")</f>
        <v>CreativePistol</v>
      </c>
      <c r="B12052" s="65" t="s">
        <v>7608</v>
      </c>
    </row>
    <row r="12053" spans="1:2" x14ac:dyDescent="0.25">
      <c r="A12053" s="64" t="str">
        <f>HYPERLINK("http://www.twitter.com/CasLikeThat", "CasLikeThat")</f>
        <v>CasLikeThat</v>
      </c>
      <c r="B12053" s="65" t="s">
        <v>7609</v>
      </c>
    </row>
    <row r="12054" spans="1:2" x14ac:dyDescent="0.25">
      <c r="A12054" s="64" t="str">
        <f>HYPERLINK("http://www.twitter.com/MCPL_Boardwalk", "MCPL_Boardwalk")</f>
        <v>MCPL_Boardwalk</v>
      </c>
      <c r="B12054" s="65" t="s">
        <v>7610</v>
      </c>
    </row>
    <row r="12055" spans="1:2" x14ac:dyDescent="0.25">
      <c r="A12055" s="64" t="str">
        <f>HYPERLINK("http://www.twitter.com/Liatarl", "Liatarl")</f>
        <v>Liatarl</v>
      </c>
      <c r="B12055" s="65" t="s">
        <v>4317</v>
      </c>
    </row>
    <row r="12056" spans="1:2" x14ac:dyDescent="0.25">
      <c r="A12056" s="64" t="str">
        <f>HYPERLINK("http://www.twitter.com/RecoverinZombie", "RecoverinZombie")</f>
        <v>RecoverinZombie</v>
      </c>
      <c r="B12056" s="65" t="s">
        <v>7611</v>
      </c>
    </row>
    <row r="12057" spans="1:2" x14ac:dyDescent="0.25">
      <c r="A12057" s="64" t="str">
        <f>HYPERLINK("http://www.twitter.com/caravangallery", "caravangallery")</f>
        <v>caravangallery</v>
      </c>
      <c r="B12057" s="65" t="s">
        <v>7612</v>
      </c>
    </row>
    <row r="12058" spans="1:2" x14ac:dyDescent="0.25">
      <c r="A12058" s="64" t="str">
        <f>HYPERLINK("http://www.twitter.com/michaelcaulf", "michaelcaulf")</f>
        <v>michaelcaulf</v>
      </c>
      <c r="B12058" s="65"/>
    </row>
    <row r="12059" spans="1:2" x14ac:dyDescent="0.25">
      <c r="A12059" s="64" t="str">
        <f>HYPERLINK("http://www.twitter.com/KittyBluePaws", "KittyBluePaws")</f>
        <v>KittyBluePaws</v>
      </c>
      <c r="B12059" s="65" t="s">
        <v>7613</v>
      </c>
    </row>
    <row r="12060" spans="1:2" x14ac:dyDescent="0.25">
      <c r="A12060" s="64" t="str">
        <f>HYPERLINK("http://www.twitter.com/karendesuyo", "karendesuyo")</f>
        <v>karendesuyo</v>
      </c>
      <c r="B12060" s="65" t="s">
        <v>7614</v>
      </c>
    </row>
    <row r="12061" spans="1:2" x14ac:dyDescent="0.25">
      <c r="A12061" s="64" t="str">
        <f>HYPERLINK("http://www.twitter.com/HachetteKids", "HachetteKids")</f>
        <v>HachetteKids</v>
      </c>
      <c r="B12061" s="65" t="s">
        <v>110</v>
      </c>
    </row>
    <row r="12062" spans="1:2" x14ac:dyDescent="0.25">
      <c r="A12062" s="64" t="str">
        <f>HYPERLINK("http://www.twitter.com/tucsonsupermom", "tucsonsupermom")</f>
        <v>tucsonsupermom</v>
      </c>
      <c r="B12062" s="65"/>
    </row>
    <row r="12063" spans="1:2" x14ac:dyDescent="0.25">
      <c r="A12063" s="64" t="str">
        <f>HYPERLINK("http://www.twitter.com/ColmLawlor", "ColmLawlor")</f>
        <v>ColmLawlor</v>
      </c>
      <c r="B12063" s="65"/>
    </row>
    <row r="12064" spans="1:2" x14ac:dyDescent="0.25">
      <c r="A12064" s="64" t="str">
        <f>HYPERLINK("http://www.twitter.com/Barclay1Claire", "Barclay1Claire")</f>
        <v>Barclay1Claire</v>
      </c>
      <c r="B12064" s="65"/>
    </row>
    <row r="12065" spans="1:2" x14ac:dyDescent="0.25">
      <c r="A12065" s="64" t="str">
        <f>HYPERLINK("http://www.twitter.com/radicalhoneybee", "radicalhoneybee")</f>
        <v>radicalhoneybee</v>
      </c>
      <c r="B12065" s="65" t="s">
        <v>7615</v>
      </c>
    </row>
    <row r="12066" spans="1:2" x14ac:dyDescent="0.25">
      <c r="A12066" s="64" t="str">
        <f>HYPERLINK("http://www.twitter.com/medusicah", "medusicah")</f>
        <v>medusicah</v>
      </c>
      <c r="B12066" s="65" t="s">
        <v>7616</v>
      </c>
    </row>
    <row r="12067" spans="1:2" x14ac:dyDescent="0.25">
      <c r="A12067" s="64" t="str">
        <f>HYPERLINK("http://www.twitter.com/shirlp64", "shirlp64")</f>
        <v>shirlp64</v>
      </c>
      <c r="B12067" s="65"/>
    </row>
    <row r="12068" spans="1:2" x14ac:dyDescent="0.25">
      <c r="A12068" s="64" t="str">
        <f>HYPERLINK("http://www.twitter.com/ddnell", "ddnell")</f>
        <v>ddnell</v>
      </c>
      <c r="B12068" s="65" t="s">
        <v>7617</v>
      </c>
    </row>
    <row r="12069" spans="1:2" x14ac:dyDescent="0.25">
      <c r="A12069" s="64" t="str">
        <f>HYPERLINK("http://www.twitter.com/Spamuellabella", "Spamuellabella")</f>
        <v>Spamuellabella</v>
      </c>
      <c r="B12069" s="65"/>
    </row>
    <row r="12070" spans="1:2" x14ac:dyDescent="0.25">
      <c r="A12070" s="64" t="str">
        <f>HYPERLINK("http://www.twitter.com/bergfam", "bergfam")</f>
        <v>bergfam</v>
      </c>
      <c r="B12070" s="65"/>
    </row>
    <row r="12071" spans="1:2" x14ac:dyDescent="0.25">
      <c r="A12071" s="64" t="str">
        <f>HYPERLINK("http://www.twitter.com/elizabethpacey", "elizabethpacey")</f>
        <v>elizabethpacey</v>
      </c>
      <c r="B12071" s="65" t="s">
        <v>36</v>
      </c>
    </row>
    <row r="12072" spans="1:2" x14ac:dyDescent="0.25">
      <c r="A12072" s="64" t="str">
        <f>HYPERLINK("http://www.twitter.com/YourVeganHO", "YourVeganHO")</f>
        <v>YourVeganHO</v>
      </c>
      <c r="B12072" s="65" t="s">
        <v>5156</v>
      </c>
    </row>
    <row r="12073" spans="1:2" x14ac:dyDescent="0.25">
      <c r="A12073" s="64" t="str">
        <f>HYPERLINK("http://www.twitter.com/edgerington", "edgerington")</f>
        <v>edgerington</v>
      </c>
      <c r="B12073" s="65" t="s">
        <v>7618</v>
      </c>
    </row>
    <row r="12074" spans="1:2" x14ac:dyDescent="0.25">
      <c r="A12074" s="64" t="str">
        <f>HYPERLINK("http://www.twitter.com/reffieraptor", "reffieraptor")</f>
        <v>reffieraptor</v>
      </c>
      <c r="B12074" s="65" t="s">
        <v>1862</v>
      </c>
    </row>
    <row r="12075" spans="1:2" x14ac:dyDescent="0.25">
      <c r="A12075" s="64" t="str">
        <f>HYPERLINK("http://www.twitter.com/CathAtmore", "CathAtmore")</f>
        <v>CathAtmore</v>
      </c>
      <c r="B12075" s="65"/>
    </row>
    <row r="12076" spans="1:2" x14ac:dyDescent="0.25">
      <c r="A12076" s="64" t="str">
        <f>HYPERLINK("http://www.twitter.com/LACountyLibrary", "LACountyLibrary")</f>
        <v>LACountyLibrary</v>
      </c>
      <c r="B12076" s="65" t="s">
        <v>7619</v>
      </c>
    </row>
    <row r="12077" spans="1:2" x14ac:dyDescent="0.25">
      <c r="A12077" s="64" t="str">
        <f>HYPERLINK("http://www.twitter.com/ThisScottHudson", "ThisScottHudson")</f>
        <v>ThisScottHudson</v>
      </c>
      <c r="B12077" s="65"/>
    </row>
    <row r="12078" spans="1:2" x14ac:dyDescent="0.25">
      <c r="A12078" s="64" t="str">
        <f>HYPERLINK("http://www.twitter.com/lol_ciaran", "lol_ciaran")</f>
        <v>lol_ciaran</v>
      </c>
      <c r="B12078" s="65"/>
    </row>
    <row r="12079" spans="1:2" x14ac:dyDescent="0.25">
      <c r="A12079" s="64" t="str">
        <f>HYPERLINK("http://www.twitter.com/_MDXVII", "_MDXVII")</f>
        <v>_MDXVII</v>
      </c>
      <c r="B12079" s="65" t="s">
        <v>7620</v>
      </c>
    </row>
    <row r="12080" spans="1:2" x14ac:dyDescent="0.25">
      <c r="A12080" s="64" t="str">
        <f>HYPERLINK("http://www.twitter.com/dcswanso", "dcswanso")</f>
        <v>dcswanso</v>
      </c>
      <c r="B12080" s="65" t="s">
        <v>7621</v>
      </c>
    </row>
    <row r="12081" spans="1:2" x14ac:dyDescent="0.25">
      <c r="A12081" s="64" t="str">
        <f>HYPERLINK("http://www.twitter.com/zinggoat", "zinggoat")</f>
        <v>zinggoat</v>
      </c>
      <c r="B12081" s="65" t="s">
        <v>7622</v>
      </c>
    </row>
    <row r="12082" spans="1:2" x14ac:dyDescent="0.25">
      <c r="A12082" s="64" t="str">
        <f>HYPERLINK("http://www.twitter.com/katrinmurray", "katrinmurray")</f>
        <v>katrinmurray</v>
      </c>
      <c r="B12082" s="65" t="s">
        <v>7330</v>
      </c>
    </row>
    <row r="12083" spans="1:2" x14ac:dyDescent="0.25">
      <c r="A12083" s="64" t="str">
        <f>HYPERLINK("http://www.twitter.com/scribblingjess", "scribblingjess")</f>
        <v>scribblingjess</v>
      </c>
      <c r="B12083" s="65" t="s">
        <v>147</v>
      </c>
    </row>
    <row r="12084" spans="1:2" x14ac:dyDescent="0.25">
      <c r="A12084" s="64" t="str">
        <f>HYPERLINK("http://www.twitter.com/em_the_nem", "em_the_nem")</f>
        <v>em_the_nem</v>
      </c>
      <c r="B12084" s="65"/>
    </row>
    <row r="12085" spans="1:2" x14ac:dyDescent="0.25">
      <c r="A12085" s="64" t="str">
        <f>HYPERLINK("http://www.twitter.com/kate_teh", "kate_teh")</f>
        <v>kate_teh</v>
      </c>
      <c r="B12085" s="65" t="s">
        <v>4664</v>
      </c>
    </row>
    <row r="12086" spans="1:2" x14ac:dyDescent="0.25">
      <c r="A12086" s="64" t="str">
        <f>HYPERLINK("http://www.twitter.com/iona_seator", "iona_seator")</f>
        <v>iona_seator</v>
      </c>
      <c r="B12086" s="65"/>
    </row>
    <row r="12087" spans="1:2" x14ac:dyDescent="0.25">
      <c r="A12087" s="64" t="str">
        <f>HYPERLINK("http://www.twitter.com/ritlibraries", "ritlibraries")</f>
        <v>ritlibraries</v>
      </c>
      <c r="B12087" s="65" t="s">
        <v>5327</v>
      </c>
    </row>
    <row r="12088" spans="1:2" x14ac:dyDescent="0.25">
      <c r="A12088" s="64" t="str">
        <f>HYPERLINK("http://www.twitter.com/SwansofWinter", "SwansofWinter")</f>
        <v>SwansofWinter</v>
      </c>
      <c r="B12088" s="65" t="s">
        <v>7623</v>
      </c>
    </row>
    <row r="12089" spans="1:2" x14ac:dyDescent="0.25">
      <c r="A12089" s="64" t="str">
        <f>HYPERLINK("http://www.twitter.com/st_socialmedia", "st_socialmedia")</f>
        <v>st_socialmedia</v>
      </c>
      <c r="B12089" s="65" t="s">
        <v>7624</v>
      </c>
    </row>
    <row r="12090" spans="1:2" x14ac:dyDescent="0.25">
      <c r="A12090" s="64" t="str">
        <f>HYPERLINK("http://www.twitter.com/cmpetrie", "cmpetrie")</f>
        <v>cmpetrie</v>
      </c>
      <c r="B12090" s="65" t="s">
        <v>36</v>
      </c>
    </row>
    <row r="12091" spans="1:2" x14ac:dyDescent="0.25">
      <c r="A12091" s="64" t="str">
        <f>HYPERLINK("http://www.twitter.com/WPPLTeens", "WPPLTeens")</f>
        <v>WPPLTeens</v>
      </c>
      <c r="B12091" s="65" t="s">
        <v>7625</v>
      </c>
    </row>
    <row r="12092" spans="1:2" x14ac:dyDescent="0.25">
      <c r="A12092" s="64" t="str">
        <f>HYPERLINK("http://www.twitter.com/LewieWicksted", "LewieWicksted")</f>
        <v>LewieWicksted</v>
      </c>
      <c r="B12092" s="65"/>
    </row>
    <row r="12093" spans="1:2" x14ac:dyDescent="0.25">
      <c r="A12093" s="64" t="str">
        <f>HYPERLINK("http://www.twitter.com/C_ARobertson", "C_ARobertson")</f>
        <v>C_ARobertson</v>
      </c>
      <c r="B12093" s="65" t="s">
        <v>6216</v>
      </c>
    </row>
    <row r="12094" spans="1:2" x14ac:dyDescent="0.25">
      <c r="A12094" s="64" t="str">
        <f>HYPERLINK("http://www.twitter.com/Jenny_W_Jones", "Jenny_W_Jones")</f>
        <v>Jenny_W_Jones</v>
      </c>
      <c r="B12094" s="65"/>
    </row>
    <row r="12095" spans="1:2" x14ac:dyDescent="0.25">
      <c r="A12095" s="64" t="str">
        <f>HYPERLINK("http://www.twitter.com/WritingCoachSWS", "WritingCoachSWS")</f>
        <v>WritingCoachSWS</v>
      </c>
      <c r="B12095" s="65" t="s">
        <v>3828</v>
      </c>
    </row>
    <row r="12096" spans="1:2" x14ac:dyDescent="0.25">
      <c r="A12096" s="64" t="str">
        <f>HYPERLINK("http://www.twitter.com/TysonLynsey", "TysonLynsey")</f>
        <v>TysonLynsey</v>
      </c>
      <c r="B12096" s="65" t="s">
        <v>4019</v>
      </c>
    </row>
    <row r="12097" spans="1:2" x14ac:dyDescent="0.25">
      <c r="A12097" s="64" t="str">
        <f>HYPERLINK("http://www.twitter.com/jennaweve", "jennaweve")</f>
        <v>jennaweve</v>
      </c>
      <c r="B12097" s="65" t="s">
        <v>4712</v>
      </c>
    </row>
    <row r="12098" spans="1:2" x14ac:dyDescent="0.25">
      <c r="A12098" s="64" t="str">
        <f>HYPERLINK("http://www.twitter.com/reebee80", "reebee80")</f>
        <v>reebee80</v>
      </c>
      <c r="B12098" s="65" t="s">
        <v>7626</v>
      </c>
    </row>
    <row r="12099" spans="1:2" x14ac:dyDescent="0.25">
      <c r="A12099" s="64" t="str">
        <f>HYPERLINK("http://www.twitter.com/sportbookawards", "sportbookawards")</f>
        <v>sportbookawards</v>
      </c>
      <c r="B12099" s="65"/>
    </row>
    <row r="12100" spans="1:2" x14ac:dyDescent="0.25">
      <c r="A12100" s="64" t="str">
        <f>HYPERLINK("http://www.twitter.com/midnightjaz", "midnightjaz")</f>
        <v>midnightjaz</v>
      </c>
      <c r="B12100" s="65" t="s">
        <v>4039</v>
      </c>
    </row>
    <row r="12101" spans="1:2" x14ac:dyDescent="0.25">
      <c r="A12101" s="64" t="str">
        <f>HYPERLINK("http://www.twitter.com/JoSmith5867", "JoSmith5867")</f>
        <v>JoSmith5867</v>
      </c>
      <c r="B12101" s="65"/>
    </row>
    <row r="12102" spans="1:2" x14ac:dyDescent="0.25">
      <c r="A12102" s="64" t="str">
        <f>HYPERLINK("http://www.twitter.com/WalidFandi1", "WalidFandi1")</f>
        <v>WalidFandi1</v>
      </c>
      <c r="B12102" s="65" t="s">
        <v>4906</v>
      </c>
    </row>
    <row r="12103" spans="1:2" x14ac:dyDescent="0.25">
      <c r="A12103" s="64" t="str">
        <f>HYPERLINK("http://www.twitter.com/KatrinaLobley", "KatrinaLobley")</f>
        <v>KatrinaLobley</v>
      </c>
      <c r="B12103" s="65" t="s">
        <v>3988</v>
      </c>
    </row>
    <row r="12104" spans="1:2" x14ac:dyDescent="0.25">
      <c r="A12104" s="64" t="str">
        <f>HYPERLINK("http://www.twitter.com/reaneawilson", "reaneawilson")</f>
        <v>reaneawilson</v>
      </c>
      <c r="B12104" s="65" t="s">
        <v>3854</v>
      </c>
    </row>
    <row r="12105" spans="1:2" x14ac:dyDescent="0.25">
      <c r="A12105" s="64" t="str">
        <f>HYPERLINK("http://www.twitter.com/jess_librarian", "jess_librarian")</f>
        <v>jess_librarian</v>
      </c>
      <c r="B12105" s="65" t="s">
        <v>318</v>
      </c>
    </row>
    <row r="12106" spans="1:2" x14ac:dyDescent="0.25">
      <c r="A12106" s="64" t="str">
        <f>HYPERLINK("http://www.twitter.com/BrittyDeAnn", "BrittyDeAnn")</f>
        <v>BrittyDeAnn</v>
      </c>
      <c r="B12106" s="65" t="s">
        <v>7627</v>
      </c>
    </row>
    <row r="12107" spans="1:2" x14ac:dyDescent="0.25">
      <c r="A12107" s="64" t="str">
        <f>HYPERLINK("http://www.twitter.com/McKeeEliz", "McKeeEliz")</f>
        <v>McKeeEliz</v>
      </c>
      <c r="B12107" s="65"/>
    </row>
    <row r="12108" spans="1:2" x14ac:dyDescent="0.25">
      <c r="A12108" s="64" t="str">
        <f>HYPERLINK("http://www.twitter.com/RES_Project", "RES_Project")</f>
        <v>RES_Project</v>
      </c>
      <c r="B12108" s="65" t="s">
        <v>296</v>
      </c>
    </row>
    <row r="12109" spans="1:2" x14ac:dyDescent="0.25">
      <c r="A12109" s="64" t="str">
        <f>HYPERLINK("http://www.twitter.com/BrianMcGinley", "BrianMcGinley")</f>
        <v>BrianMcGinley</v>
      </c>
      <c r="B12109" s="65"/>
    </row>
    <row r="12110" spans="1:2" x14ac:dyDescent="0.25">
      <c r="A12110" s="64" t="str">
        <f>HYPERLINK("http://www.twitter.com/LauraSergeant_", "LauraSergeant_")</f>
        <v>LauraSergeant_</v>
      </c>
      <c r="B12110" s="65"/>
    </row>
    <row r="12111" spans="1:2" x14ac:dyDescent="0.25">
      <c r="A12111" s="64" t="str">
        <f>HYPERLINK("http://www.twitter.com/MariaRelaki", "MariaRelaki")</f>
        <v>MariaRelaki</v>
      </c>
      <c r="B12111" s="65"/>
    </row>
    <row r="12112" spans="1:2" x14ac:dyDescent="0.25">
      <c r="A12112" s="64" t="str">
        <f>HYPERLINK("http://www.twitter.com/katyark", "katyark")</f>
        <v>katyark</v>
      </c>
      <c r="B12112" s="65" t="s">
        <v>6731</v>
      </c>
    </row>
    <row r="12113" spans="1:2" x14ac:dyDescent="0.25">
      <c r="A12113" s="64" t="str">
        <f>HYPERLINK("http://www.twitter.com/WFMBrownLtd", "WFMBrownLtd")</f>
        <v>WFMBrownLtd</v>
      </c>
      <c r="B12113" s="65" t="s">
        <v>7628</v>
      </c>
    </row>
    <row r="12114" spans="1:2" x14ac:dyDescent="0.25">
      <c r="A12114" s="64" t="str">
        <f>HYPERLINK("http://www.twitter.com/AlsopAmy", "AlsopAmy")</f>
        <v>AlsopAmy</v>
      </c>
      <c r="B12114" s="65"/>
    </row>
    <row r="12115" spans="1:2" x14ac:dyDescent="0.25">
      <c r="A12115" s="64" t="str">
        <f>HYPERLINK("http://www.twitter.com/Antinic1966", "Antinic1966")</f>
        <v>Antinic1966</v>
      </c>
      <c r="B12115" s="65" t="s">
        <v>24</v>
      </c>
    </row>
    <row r="12116" spans="1:2" x14ac:dyDescent="0.25">
      <c r="A12116" s="64" t="str">
        <f>HYPERLINK("http://www.twitter.com/maryjguy", "maryjguy")</f>
        <v>maryjguy</v>
      </c>
      <c r="B12116" s="65"/>
    </row>
    <row r="12117" spans="1:2" x14ac:dyDescent="0.25">
      <c r="A12117" s="64" t="str">
        <f>HYPERLINK("http://www.twitter.com/sara_a_khan", "sara_a_khan")</f>
        <v>sara_a_khan</v>
      </c>
      <c r="B12117" s="65"/>
    </row>
    <row r="12118" spans="1:2" x14ac:dyDescent="0.25">
      <c r="A12118" s="64" t="str">
        <f>HYPERLINK("http://www.twitter.com/CarleeApthorp", "CarleeApthorp")</f>
        <v>CarleeApthorp</v>
      </c>
      <c r="B12118" s="65" t="s">
        <v>3948</v>
      </c>
    </row>
    <row r="12119" spans="1:2" x14ac:dyDescent="0.25">
      <c r="A12119" s="64" t="str">
        <f>HYPERLINK("http://www.twitter.com/sarah_iqbal", "sarah_iqbal")</f>
        <v>sarah_iqbal</v>
      </c>
      <c r="B12119" s="65" t="s">
        <v>7609</v>
      </c>
    </row>
    <row r="12120" spans="1:2" x14ac:dyDescent="0.25">
      <c r="A12120" s="64" t="str">
        <f>HYPERLINK("http://www.twitter.com/ernestopriego", "ernestopriego")</f>
        <v>ernestopriego</v>
      </c>
      <c r="B12120" s="65" t="s">
        <v>7629</v>
      </c>
    </row>
    <row r="12121" spans="1:2" x14ac:dyDescent="0.25">
      <c r="A12121" s="64" t="str">
        <f>HYPERLINK("http://www.twitter.com/pilawtesgirl", "pilawtesgirl")</f>
        <v>pilawtesgirl</v>
      </c>
      <c r="B12121" s="65"/>
    </row>
    <row r="12122" spans="1:2" x14ac:dyDescent="0.25">
      <c r="A12122" s="64" t="str">
        <f>HYPERLINK("http://www.twitter.com/LazyTrollop", "LazyTrollop")</f>
        <v>LazyTrollop</v>
      </c>
      <c r="B12122" s="65" t="s">
        <v>7630</v>
      </c>
    </row>
    <row r="12123" spans="1:2" x14ac:dyDescent="0.25">
      <c r="A12123" s="64" t="str">
        <f>HYPERLINK("http://www.twitter.com/EScotMuseums", "EScotMuseums")</f>
        <v>EScotMuseums</v>
      </c>
      <c r="B12123" s="65"/>
    </row>
    <row r="12124" spans="1:2" x14ac:dyDescent="0.25">
      <c r="A12124" s="64" t="str">
        <f>HYPERLINK("http://www.twitter.com/lovetennyson", "lovetennyson")</f>
        <v>lovetennyson</v>
      </c>
      <c r="B12124" s="65" t="s">
        <v>36</v>
      </c>
    </row>
    <row r="12125" spans="1:2" x14ac:dyDescent="0.25">
      <c r="A12125" s="64" t="str">
        <f>HYPERLINK("http://www.twitter.com/_essayer", "_essayer")</f>
        <v>_essayer</v>
      </c>
      <c r="B12125" s="65" t="s">
        <v>3779</v>
      </c>
    </row>
    <row r="12126" spans="1:2" x14ac:dyDescent="0.25">
      <c r="A12126" s="64" t="str">
        <f>HYPERLINK("http://www.twitter.com/ridingdodo", "ridingdodo")</f>
        <v>ridingdodo</v>
      </c>
      <c r="B12126" s="65"/>
    </row>
    <row r="12127" spans="1:2" x14ac:dyDescent="0.25">
      <c r="A12127" s="64" t="str">
        <f>HYPERLINK("http://www.twitter.com/MarilynMountfor", "MarilynMountfor")</f>
        <v>MarilynMountfor</v>
      </c>
      <c r="B12127" s="65" t="s">
        <v>7631</v>
      </c>
    </row>
    <row r="12128" spans="1:2" x14ac:dyDescent="0.25">
      <c r="A12128" s="64" t="str">
        <f>HYPERLINK("http://www.twitter.com/jennylitster", "jennylitster")</f>
        <v>jennylitster</v>
      </c>
      <c r="B12128" s="65" t="s">
        <v>24</v>
      </c>
    </row>
    <row r="12129" spans="1:2" x14ac:dyDescent="0.25">
      <c r="A12129" s="64" t="str">
        <f>HYPERLINK("http://www.twitter.com/lucyribchester", "lucyribchester")</f>
        <v>lucyribchester</v>
      </c>
      <c r="B12129" s="65" t="s">
        <v>601</v>
      </c>
    </row>
    <row r="12130" spans="1:2" x14ac:dyDescent="0.25">
      <c r="A12130" s="64" t="str">
        <f>HYPERLINK("http://www.twitter.com/cunchrus", "cunchrus")</f>
        <v>cunchrus</v>
      </c>
      <c r="B12130" s="65" t="s">
        <v>7632</v>
      </c>
    </row>
    <row r="12131" spans="1:2" x14ac:dyDescent="0.25">
      <c r="A12131" s="64" t="str">
        <f>HYPERLINK("http://www.twitter.com/1920swriter", "1920swriter")</f>
        <v>1920swriter</v>
      </c>
      <c r="B12131" s="65" t="s">
        <v>7633</v>
      </c>
    </row>
    <row r="12132" spans="1:2" x14ac:dyDescent="0.25">
      <c r="A12132" s="64" t="str">
        <f>HYPERLINK("http://www.twitter.com/Adela_Terrell", "Adela_Terrell")</f>
        <v>Adela_Terrell</v>
      </c>
      <c r="B12132" s="65"/>
    </row>
    <row r="12133" spans="1:2" x14ac:dyDescent="0.25">
      <c r="A12133" s="64" t="str">
        <f>HYPERLINK("http://www.twitter.com/vivibirdie", "vivibirdie")</f>
        <v>vivibirdie</v>
      </c>
      <c r="B12133" s="65" t="s">
        <v>4147</v>
      </c>
    </row>
    <row r="12134" spans="1:2" x14ac:dyDescent="0.25">
      <c r="A12134" s="64" t="str">
        <f>HYPERLINK("http://www.twitter.com/Ca2bam", "Ca2bam")</f>
        <v>Ca2bam</v>
      </c>
      <c r="B12134" s="65" t="s">
        <v>5029</v>
      </c>
    </row>
    <row r="12135" spans="1:2" x14ac:dyDescent="0.25">
      <c r="A12135" s="64" t="str">
        <f>HYPERLINK("http://www.twitter.com/CaitsStott", "CaitsStott")</f>
        <v>CaitsStott</v>
      </c>
      <c r="B12135" s="65"/>
    </row>
    <row r="12136" spans="1:2" x14ac:dyDescent="0.25">
      <c r="A12136" s="64" t="str">
        <f>HYPERLINK("http://www.twitter.com/ian_cowdale", "ian_cowdale")</f>
        <v>ian_cowdale</v>
      </c>
      <c r="B12136" s="65"/>
    </row>
    <row r="12137" spans="1:2" x14ac:dyDescent="0.25">
      <c r="A12137" s="64" t="str">
        <f>HYPERLINK("http://www.twitter.com/EileenC2010", "EileenC2010")</f>
        <v>EileenC2010</v>
      </c>
      <c r="B12137" s="65" t="s">
        <v>7634</v>
      </c>
    </row>
    <row r="12138" spans="1:2" x14ac:dyDescent="0.25">
      <c r="A12138" s="64" t="str">
        <f>HYPERLINK("http://www.twitter.com/Ronnie__Turner", "Ronnie__Turner")</f>
        <v>Ronnie__Turner</v>
      </c>
      <c r="B12138" s="65" t="s">
        <v>5045</v>
      </c>
    </row>
    <row r="12139" spans="1:2" x14ac:dyDescent="0.25">
      <c r="A12139" s="64" t="str">
        <f>HYPERLINK("http://www.twitter.com/MountainCaro", "MountainCaro")</f>
        <v>MountainCaro</v>
      </c>
      <c r="B12139" s="65" t="s">
        <v>24</v>
      </c>
    </row>
    <row r="12140" spans="1:2" x14ac:dyDescent="0.25">
      <c r="A12140" s="64" t="str">
        <f>HYPERLINK("http://www.twitter.com/hmbalfour", "hmbalfour")</f>
        <v>hmbalfour</v>
      </c>
      <c r="B12140" s="65" t="s">
        <v>5412</v>
      </c>
    </row>
    <row r="12141" spans="1:2" x14ac:dyDescent="0.25">
      <c r="A12141" s="64" t="str">
        <f>HYPERLINK("http://www.twitter.com/CaroleLeslie", "CaroleLeslie")</f>
        <v>CaroleLeslie</v>
      </c>
      <c r="B12141" s="65" t="s">
        <v>4092</v>
      </c>
    </row>
    <row r="12142" spans="1:2" x14ac:dyDescent="0.25">
      <c r="A12142" s="64" t="str">
        <f>HYPERLINK("http://www.twitter.com/cathrynjbrown", "cathrynjbrown")</f>
        <v>cathrynjbrown</v>
      </c>
      <c r="B12142" s="65" t="s">
        <v>7635</v>
      </c>
    </row>
    <row r="12143" spans="1:2" x14ac:dyDescent="0.25">
      <c r="A12143" s="64" t="str">
        <f>HYPERLINK("http://www.twitter.com/chomtallan", "chomtallan")</f>
        <v>chomtallan</v>
      </c>
      <c r="B12143" s="65" t="s">
        <v>110</v>
      </c>
    </row>
    <row r="12144" spans="1:2" x14ac:dyDescent="0.25">
      <c r="A12144" s="64" t="str">
        <f>HYPERLINK("http://www.twitter.com/PapayArctic", "PapayArctic")</f>
        <v>PapayArctic</v>
      </c>
      <c r="B12144" s="65" t="s">
        <v>7636</v>
      </c>
    </row>
    <row r="12145" spans="1:2" x14ac:dyDescent="0.25">
      <c r="A12145" s="64" t="str">
        <f>HYPERLINK("http://www.twitter.com/JadedSho", "JadedSho")</f>
        <v>JadedSho</v>
      </c>
      <c r="B12145" s="65" t="s">
        <v>517</v>
      </c>
    </row>
    <row r="12146" spans="1:2" x14ac:dyDescent="0.25">
      <c r="A12146" s="64" t="str">
        <f>HYPERLINK("http://www.twitter.com/bibportal", "bibportal")</f>
        <v>bibportal</v>
      </c>
      <c r="B12146" s="65" t="s">
        <v>5049</v>
      </c>
    </row>
    <row r="12147" spans="1:2" x14ac:dyDescent="0.25">
      <c r="A12147" s="64" t="str">
        <f>HYPERLINK("http://www.twitter.com/MaeztroML", "MaeztroML")</f>
        <v>MaeztroML</v>
      </c>
      <c r="B12147" s="65"/>
    </row>
    <row r="12148" spans="1:2" x14ac:dyDescent="0.25">
      <c r="A12148" s="64" t="str">
        <f>HYPERLINK("http://www.twitter.com/oi_lauren", "oi_lauren")</f>
        <v>oi_lauren</v>
      </c>
      <c r="B12148" s="65" t="s">
        <v>7348</v>
      </c>
    </row>
    <row r="12149" spans="1:2" x14ac:dyDescent="0.25">
      <c r="A12149" s="64" t="str">
        <f>HYPERLINK("http://www.twitter.com/Spungletwit", "Spungletwit")</f>
        <v>Spungletwit</v>
      </c>
      <c r="B12149" s="65" t="s">
        <v>296</v>
      </c>
    </row>
    <row r="12150" spans="1:2" x14ac:dyDescent="0.25">
      <c r="A12150" s="64" t="str">
        <f>HYPERLINK("http://www.twitter.com/sandinurpearl", "sandinurpearl")</f>
        <v>sandinurpearl</v>
      </c>
      <c r="B12150" s="65" t="s">
        <v>7637</v>
      </c>
    </row>
    <row r="12151" spans="1:2" x14ac:dyDescent="0.25">
      <c r="A12151" s="64" t="str">
        <f>HYPERLINK("http://www.twitter.com/aitchbee2000", "aitchbee2000")</f>
        <v>aitchbee2000</v>
      </c>
      <c r="B12151" s="65" t="s">
        <v>517</v>
      </c>
    </row>
    <row r="12152" spans="1:2" x14ac:dyDescent="0.25">
      <c r="A12152" s="64" t="str">
        <f>HYPERLINK("http://www.twitter.com/SuttonLC", "SuttonLC")</f>
        <v>SuttonLC</v>
      </c>
      <c r="B12152" s="65" t="s">
        <v>7638</v>
      </c>
    </row>
    <row r="12153" spans="1:2" x14ac:dyDescent="0.25">
      <c r="A12153" s="64" t="str">
        <f>HYPERLINK("http://www.twitter.com/pickeringsgin", "pickeringsgin")</f>
        <v>pickeringsgin</v>
      </c>
      <c r="B12153" s="65" t="s">
        <v>7639</v>
      </c>
    </row>
    <row r="12154" spans="1:2" x14ac:dyDescent="0.25">
      <c r="A12154" s="64" t="str">
        <f>HYPERLINK("http://www.twitter.com/rob_gow", "rob_gow")</f>
        <v>rob_gow</v>
      </c>
      <c r="B12154" s="65"/>
    </row>
    <row r="12155" spans="1:2" x14ac:dyDescent="0.25">
      <c r="A12155" s="64" t="str">
        <f>HYPERLINK("http://www.twitter.com/faitheyco", "faitheyco")</f>
        <v>faitheyco</v>
      </c>
      <c r="B12155" s="65" t="s">
        <v>7640</v>
      </c>
    </row>
    <row r="12156" spans="1:2" x14ac:dyDescent="0.25">
      <c r="A12156" s="64" t="str">
        <f>HYPERLINK("http://www.twitter.com/davejsalmond", "davejsalmond")</f>
        <v>davejsalmond</v>
      </c>
      <c r="B12156" s="65" t="s">
        <v>7641</v>
      </c>
    </row>
    <row r="12157" spans="1:2" x14ac:dyDescent="0.25">
      <c r="A12157" s="64" t="str">
        <f>HYPERLINK("http://www.twitter.com/ineffablethings", "ineffablethings")</f>
        <v>ineffablethings</v>
      </c>
      <c r="B12157" s="65"/>
    </row>
    <row r="12158" spans="1:2" x14ac:dyDescent="0.25">
      <c r="A12158" s="64" t="str">
        <f>HYPERLINK("http://www.twitter.com/lewisdavies81", "lewisdavies81")</f>
        <v>lewisdavies81</v>
      </c>
      <c r="B12158" s="65"/>
    </row>
    <row r="12159" spans="1:2" x14ac:dyDescent="0.25">
      <c r="A12159" s="64" t="str">
        <f>HYPERLINK("http://www.twitter.com/VctrLysn", "VctrLysn")</f>
        <v>VctrLysn</v>
      </c>
      <c r="B12159" s="65" t="s">
        <v>296</v>
      </c>
    </row>
    <row r="12160" spans="1:2" x14ac:dyDescent="0.25">
      <c r="A12160" s="64" t="str">
        <f>HYPERLINK("http://www.twitter.com/scotlandyourway", "scotlandyourway")</f>
        <v>scotlandyourway</v>
      </c>
      <c r="B12160" s="65" t="s">
        <v>2007</v>
      </c>
    </row>
    <row r="12161" spans="1:2" x14ac:dyDescent="0.25">
      <c r="A12161" s="64" t="str">
        <f>HYPERLINK("http://www.twitter.com/Daveybot", "Daveybot")</f>
        <v>Daveybot</v>
      </c>
      <c r="B12161" s="65" t="s">
        <v>67</v>
      </c>
    </row>
    <row r="12162" spans="1:2" x14ac:dyDescent="0.25">
      <c r="A12162" s="64" t="str">
        <f>HYPERLINK("http://www.twitter.com/OneEyedYoda", "OneEyedYoda")</f>
        <v>OneEyedYoda</v>
      </c>
      <c r="B12162" s="65" t="s">
        <v>3988</v>
      </c>
    </row>
    <row r="12163" spans="1:2" x14ac:dyDescent="0.25">
      <c r="A12163" s="64" t="str">
        <f>HYPERLINK("http://www.twitter.com/kimalisonuk", "kimalisonuk")</f>
        <v>kimalisonuk</v>
      </c>
      <c r="B12163" s="65" t="s">
        <v>4289</v>
      </c>
    </row>
    <row r="12164" spans="1:2" x14ac:dyDescent="0.25">
      <c r="A12164" s="64" t="str">
        <f>HYPERLINK("http://www.twitter.com/erikafb", "erikafb")</f>
        <v>erikafb</v>
      </c>
      <c r="B12164" s="65"/>
    </row>
    <row r="12165" spans="1:2" x14ac:dyDescent="0.25">
      <c r="A12165" s="64" t="str">
        <f>HYPERLINK("http://www.twitter.com/LisaWWilkins", "LisaWWilkins")</f>
        <v>LisaWWilkins</v>
      </c>
      <c r="B12165" s="65" t="s">
        <v>5034</v>
      </c>
    </row>
    <row r="12166" spans="1:2" x14ac:dyDescent="0.25">
      <c r="A12166" s="64" t="str">
        <f>HYPERLINK("http://www.twitter.com/letter_io", "letter_io")</f>
        <v>letter_io</v>
      </c>
      <c r="B12166" s="65" t="s">
        <v>4862</v>
      </c>
    </row>
    <row r="12167" spans="1:2" x14ac:dyDescent="0.25">
      <c r="A12167" s="64" t="str">
        <f>HYPERLINK("http://www.twitter.com/Buildingbod", "Buildingbod")</f>
        <v>Buildingbod</v>
      </c>
      <c r="B12167" s="65"/>
    </row>
    <row r="12168" spans="1:2" x14ac:dyDescent="0.25">
      <c r="A12168" s="64" t="str">
        <f>HYPERLINK("http://www.twitter.com/karenbrand", "karenbrand")</f>
        <v>karenbrand</v>
      </c>
      <c r="B12168" s="65"/>
    </row>
    <row r="12169" spans="1:2" x14ac:dyDescent="0.25">
      <c r="A12169" s="64" t="str">
        <f>HYPERLINK("http://www.twitter.com/jumbly", "jumbly")</f>
        <v>jumbly</v>
      </c>
      <c r="B12169" s="65" t="s">
        <v>7642</v>
      </c>
    </row>
    <row r="12170" spans="1:2" x14ac:dyDescent="0.25">
      <c r="A12170" s="64" t="str">
        <f>HYPERLINK("http://www.twitter.com/HeroineShiro", "HeroineShiro")</f>
        <v>HeroineShiro</v>
      </c>
      <c r="B12170" s="65" t="s">
        <v>6894</v>
      </c>
    </row>
    <row r="12171" spans="1:2" x14ac:dyDescent="0.25">
      <c r="A12171" s="64" t="str">
        <f>HYPERLINK("http://www.twitter.com/BradToothFairy", "BradToothFairy")</f>
        <v>BradToothFairy</v>
      </c>
      <c r="B12171" s="65"/>
    </row>
    <row r="12172" spans="1:2" x14ac:dyDescent="0.25">
      <c r="A12172" s="64" t="str">
        <f>HYPERLINK("http://www.twitter.com/tonythomas_tt", "tonythomas_tt")</f>
        <v>tonythomas_tt</v>
      </c>
      <c r="B12172" s="65" t="s">
        <v>477</v>
      </c>
    </row>
    <row r="12173" spans="1:2" x14ac:dyDescent="0.25">
      <c r="A12173" s="64" t="str">
        <f>HYPERLINK("http://www.twitter.com/OfficiallyTT", "OfficiallyTT")</f>
        <v>OfficiallyTT</v>
      </c>
      <c r="B12173" s="65"/>
    </row>
    <row r="12174" spans="1:2" x14ac:dyDescent="0.25">
      <c r="A12174" s="64" t="str">
        <f>HYPERLINK("http://www.twitter.com/halula", "halula")</f>
        <v>halula</v>
      </c>
      <c r="B12174" s="65" t="s">
        <v>7643</v>
      </c>
    </row>
    <row r="12175" spans="1:2" x14ac:dyDescent="0.25">
      <c r="A12175" s="64" t="str">
        <f>HYPERLINK("http://www.twitter.com/ilona_turnbull", "ilona_turnbull")</f>
        <v>ilona_turnbull</v>
      </c>
      <c r="B12175" s="65" t="s">
        <v>24</v>
      </c>
    </row>
    <row r="12176" spans="1:2" x14ac:dyDescent="0.25">
      <c r="A12176" s="64" t="str">
        <f>HYPERLINK("http://www.twitter.com/KateNewtonis", "KateNewtonis")</f>
        <v>KateNewtonis</v>
      </c>
      <c r="B12176" s="65"/>
    </row>
    <row r="12177" spans="1:2" x14ac:dyDescent="0.25">
      <c r="A12177" s="64" t="str">
        <f>HYPERLINK("http://www.twitter.com/Doddyph", "Doddyph")</f>
        <v>Doddyph</v>
      </c>
      <c r="B12177" s="65"/>
    </row>
    <row r="12178" spans="1:2" x14ac:dyDescent="0.25">
      <c r="A12178" s="64" t="str">
        <f>HYPERLINK("http://www.twitter.com/soccrmomtx", "soccrmomtx")</f>
        <v>soccrmomtx</v>
      </c>
      <c r="B12178" s="65"/>
    </row>
    <row r="12179" spans="1:2" x14ac:dyDescent="0.25">
      <c r="A12179" s="64" t="str">
        <f>HYPERLINK("http://www.twitter.com/HinesOtero", "HinesOtero")</f>
        <v>HinesOtero</v>
      </c>
      <c r="B12179" s="65"/>
    </row>
    <row r="12180" spans="1:2" x14ac:dyDescent="0.25">
      <c r="A12180" s="64" t="str">
        <f>HYPERLINK("http://www.twitter.com/deweydecimate", "deweydecimate")</f>
        <v>deweydecimate</v>
      </c>
      <c r="B12180" s="65" t="s">
        <v>5313</v>
      </c>
    </row>
    <row r="12181" spans="1:2" x14ac:dyDescent="0.25">
      <c r="A12181" s="64" t="str">
        <f>HYPERLINK("http://www.twitter.com/flamebuilder191", "flamebuilder191")</f>
        <v>flamebuilder191</v>
      </c>
      <c r="B12181" s="65"/>
    </row>
    <row r="12182" spans="1:2" x14ac:dyDescent="0.25">
      <c r="A12182" s="64" t="str">
        <f>HYPERLINK("http://www.twitter.com/TheJaguarian", "TheJaguarian")</f>
        <v>TheJaguarian</v>
      </c>
      <c r="B12182" s="65"/>
    </row>
    <row r="12183" spans="1:2" x14ac:dyDescent="0.25">
      <c r="A12183" s="64" t="str">
        <f>HYPERLINK("http://www.twitter.com/M4G5L", "M4G5L")</f>
        <v>M4G5L</v>
      </c>
      <c r="B12183" s="65"/>
    </row>
    <row r="12184" spans="1:2" x14ac:dyDescent="0.25">
      <c r="A12184" s="64" t="str">
        <f>HYPERLINK("http://www.twitter.com/bellarahhh", "bellarahhh")</f>
        <v>bellarahhh</v>
      </c>
      <c r="B12184" s="65" t="s">
        <v>3817</v>
      </c>
    </row>
    <row r="12185" spans="1:2" x14ac:dyDescent="0.25">
      <c r="A12185" s="64" t="str">
        <f>HYPERLINK("http://www.twitter.com/alisdavidson", "alisdavidson")</f>
        <v>alisdavidson</v>
      </c>
      <c r="B12185" s="65" t="s">
        <v>2270</v>
      </c>
    </row>
    <row r="12186" spans="1:2" x14ac:dyDescent="0.25">
      <c r="A12186" s="64" t="str">
        <f>HYPERLINK("http://www.twitter.com/NicholasCaxtons", "NicholasCaxtons")</f>
        <v>NicholasCaxtons</v>
      </c>
      <c r="B12186" s="65"/>
    </row>
    <row r="12187" spans="1:2" x14ac:dyDescent="0.25">
      <c r="A12187" s="64" t="str">
        <f>HYPERLINK("http://www.twitter.com/laelwalters", "laelwalters")</f>
        <v>laelwalters</v>
      </c>
      <c r="B12187" s="65"/>
    </row>
    <row r="12188" spans="1:2" x14ac:dyDescent="0.25">
      <c r="A12188" s="64" t="str">
        <f>HYPERLINK("http://www.twitter.com/manchestermart", "manchestermart")</f>
        <v>manchestermart</v>
      </c>
      <c r="B12188" s="65" t="s">
        <v>33</v>
      </c>
    </row>
    <row r="12189" spans="1:2" x14ac:dyDescent="0.25">
      <c r="A12189" s="64" t="str">
        <f>HYPERLINK("http://www.twitter.com/SuzSo", "SuzSo")</f>
        <v>SuzSo</v>
      </c>
      <c r="B12189" s="65" t="s">
        <v>7644</v>
      </c>
    </row>
    <row r="12190" spans="1:2" x14ac:dyDescent="0.25">
      <c r="A12190" s="64" t="str">
        <f>HYPERLINK("http://www.twitter.com/redbarott", "redbarott")</f>
        <v>redbarott</v>
      </c>
      <c r="B12190" s="65"/>
    </row>
    <row r="12191" spans="1:2" x14ac:dyDescent="0.25">
      <c r="A12191" s="64" t="str">
        <f>HYPERLINK("http://www.twitter.com/Jodaly15", "Jodaly15")</f>
        <v>Jodaly15</v>
      </c>
      <c r="B12191" s="65" t="s">
        <v>3797</v>
      </c>
    </row>
    <row r="12192" spans="1:2" x14ac:dyDescent="0.25">
      <c r="A12192" s="64" t="str">
        <f>HYPERLINK("http://www.twitter.com/DaniRaeGills", "DaniRaeGills")</f>
        <v>DaniRaeGills</v>
      </c>
      <c r="B12192" s="65"/>
    </row>
    <row r="12193" spans="1:2" x14ac:dyDescent="0.25">
      <c r="A12193" s="64" t="str">
        <f>HYPERLINK("http://www.twitter.com/ryleekeys", "ryleekeys")</f>
        <v>ryleekeys</v>
      </c>
      <c r="B12193" s="65" t="s">
        <v>3763</v>
      </c>
    </row>
    <row r="12194" spans="1:2" x14ac:dyDescent="0.25">
      <c r="A12194" s="64" t="str">
        <f>HYPERLINK("http://www.twitter.com/EchoTasha", "EchoTasha")</f>
        <v>EchoTasha</v>
      </c>
      <c r="B12194" s="65" t="s">
        <v>7645</v>
      </c>
    </row>
    <row r="12195" spans="1:2" x14ac:dyDescent="0.25">
      <c r="A12195" s="64" t="str">
        <f>HYPERLINK("http://www.twitter.com/McVeldy", "McVeldy")</f>
        <v>McVeldy</v>
      </c>
      <c r="B12195" s="65"/>
    </row>
    <row r="12196" spans="1:2" x14ac:dyDescent="0.25">
      <c r="A12196" s="64" t="str">
        <f>HYPERLINK("http://www.twitter.com/selasol", "selasol")</f>
        <v>selasol</v>
      </c>
      <c r="B12196" s="65" t="s">
        <v>7646</v>
      </c>
    </row>
    <row r="12197" spans="1:2" x14ac:dyDescent="0.25">
      <c r="A12197" s="64" t="str">
        <f>HYPERLINK("http://www.twitter.com/siggynic", "siggynic")</f>
        <v>siggynic</v>
      </c>
      <c r="B12197" s="65"/>
    </row>
    <row r="12198" spans="1:2" x14ac:dyDescent="0.25">
      <c r="A12198" s="64" t="str">
        <f>HYPERLINK("http://www.twitter.com/pedallard", "pedallard")</f>
        <v>pedallard</v>
      </c>
      <c r="B12198" s="65" t="s">
        <v>7647</v>
      </c>
    </row>
    <row r="12199" spans="1:2" x14ac:dyDescent="0.25">
      <c r="A12199" s="64" t="str">
        <f>HYPERLINK("http://www.twitter.com/michelletbaby", "michelletbaby")</f>
        <v>michelletbaby</v>
      </c>
      <c r="B12199" s="65" t="s">
        <v>3863</v>
      </c>
    </row>
    <row r="12200" spans="1:2" x14ac:dyDescent="0.25">
      <c r="A12200" s="64" t="str">
        <f>HYPERLINK("http://www.twitter.com/heatheremuller", "heatheremuller")</f>
        <v>heatheremuller</v>
      </c>
      <c r="B12200" s="65"/>
    </row>
    <row r="12201" spans="1:2" x14ac:dyDescent="0.25">
      <c r="A12201" s="64" t="str">
        <f>HYPERLINK("http://www.twitter.com/gopokes17", "gopokes17")</f>
        <v>gopokes17</v>
      </c>
      <c r="B12201" s="65"/>
    </row>
    <row r="12202" spans="1:2" x14ac:dyDescent="0.25">
      <c r="A12202" s="64" t="str">
        <f>HYPERLINK("http://www.twitter.com/annetteindc", "annetteindc")</f>
        <v>annetteindc</v>
      </c>
      <c r="B12202" s="65" t="s">
        <v>3785</v>
      </c>
    </row>
    <row r="12203" spans="1:2" x14ac:dyDescent="0.25">
      <c r="A12203" s="64" t="str">
        <f>HYPERLINK("http://www.twitter.com/CatherineHagman", "CatherineHagman")</f>
        <v>CatherineHagman</v>
      </c>
      <c r="B12203" s="65"/>
    </row>
    <row r="12204" spans="1:2" x14ac:dyDescent="0.25">
      <c r="A12204" s="64" t="str">
        <f>HYPERLINK("http://www.twitter.com/2xlou_", "2xlou_")</f>
        <v>2xlou_</v>
      </c>
      <c r="B12204" s="65" t="s">
        <v>7648</v>
      </c>
    </row>
    <row r="12205" spans="1:2" x14ac:dyDescent="0.25">
      <c r="A12205" s="64" t="str">
        <f>HYPERLINK("http://www.twitter.com/Jenna_TeKura", "Jenna_TeKura")</f>
        <v>Jenna_TeKura</v>
      </c>
      <c r="B12205" s="65"/>
    </row>
    <row r="12206" spans="1:2" x14ac:dyDescent="0.25">
      <c r="A12206" s="64" t="str">
        <f>HYPERLINK("http://www.twitter.com/Tajjygirl", "Tajjygirl")</f>
        <v>Tajjygirl</v>
      </c>
      <c r="B12206" s="65" t="s">
        <v>7649</v>
      </c>
    </row>
    <row r="12207" spans="1:2" x14ac:dyDescent="0.25">
      <c r="A12207" s="64" t="str">
        <f>HYPERLINK("http://www.twitter.com/bev_alaska", "bev_alaska")</f>
        <v>bev_alaska</v>
      </c>
      <c r="B12207" s="65" t="s">
        <v>7650</v>
      </c>
    </row>
    <row r="12208" spans="1:2" x14ac:dyDescent="0.25">
      <c r="A12208" s="64" t="str">
        <f>HYPERLINK("http://www.twitter.com/AlexVNolan", "AlexVNolan")</f>
        <v>AlexVNolan</v>
      </c>
      <c r="B12208" s="65" t="s">
        <v>3798</v>
      </c>
    </row>
    <row r="12209" spans="1:2" x14ac:dyDescent="0.25">
      <c r="A12209" s="64" t="str">
        <f>HYPERLINK("http://www.twitter.com/ryan_wonderwall", "ryan_wonderwall")</f>
        <v>ryan_wonderwall</v>
      </c>
      <c r="B12209" s="65" t="s">
        <v>7651</v>
      </c>
    </row>
    <row r="12210" spans="1:2" x14ac:dyDescent="0.25">
      <c r="A12210" s="64" t="str">
        <f>HYPERLINK("http://www.twitter.com/amritat", "amritat")</f>
        <v>amritat</v>
      </c>
      <c r="B12210" s="65" t="s">
        <v>4720</v>
      </c>
    </row>
    <row r="12211" spans="1:2" x14ac:dyDescent="0.25">
      <c r="A12211" s="64" t="str">
        <f>HYPERLINK("http://www.twitter.com/alc821", "alc821")</f>
        <v>alc821</v>
      </c>
      <c r="B12211" s="65"/>
    </row>
    <row r="12212" spans="1:2" x14ac:dyDescent="0.25">
      <c r="A12212" s="64" t="str">
        <f>HYPERLINK("http://www.twitter.com/targristiel", "targristiel")</f>
        <v>targristiel</v>
      </c>
      <c r="B12212" s="65"/>
    </row>
    <row r="12213" spans="1:2" x14ac:dyDescent="0.25">
      <c r="A12213" s="64" t="str">
        <f>HYPERLINK("http://www.twitter.com/DoggedTraveler", "DoggedTraveler")</f>
        <v>DoggedTraveler</v>
      </c>
      <c r="B12213" s="65" t="s">
        <v>7652</v>
      </c>
    </row>
    <row r="12214" spans="1:2" x14ac:dyDescent="0.25">
      <c r="A12214" s="64" t="str">
        <f>HYPERLINK("http://www.twitter.com/Anita_Ducey", "Anita_Ducey")</f>
        <v>Anita_Ducey</v>
      </c>
      <c r="B12214" s="65"/>
    </row>
    <row r="12215" spans="1:2" x14ac:dyDescent="0.25">
      <c r="A12215" s="64" t="str">
        <f>HYPERLINK("http://www.twitter.com/krissylam", "krissylam")</f>
        <v>krissylam</v>
      </c>
      <c r="B12215" s="65" t="s">
        <v>4867</v>
      </c>
    </row>
    <row r="12216" spans="1:2" x14ac:dyDescent="0.25">
      <c r="A12216" s="64" t="str">
        <f>HYPERLINK("http://www.twitter.com/JJoHLMom", "JJoHLMom")</f>
        <v>JJoHLMom</v>
      </c>
      <c r="B12216" s="65"/>
    </row>
    <row r="12217" spans="1:2" x14ac:dyDescent="0.25">
      <c r="A12217" s="64" t="str">
        <f>HYPERLINK("http://www.twitter.com/katharine_weber", "katharine_weber")</f>
        <v>katharine_weber</v>
      </c>
      <c r="B12217" s="65" t="s">
        <v>7653</v>
      </c>
    </row>
    <row r="12218" spans="1:2" x14ac:dyDescent="0.25">
      <c r="A12218" s="64" t="str">
        <f>HYPERLINK("http://www.twitter.com/ipreferkiwi", "ipreferkiwi")</f>
        <v>ipreferkiwi</v>
      </c>
      <c r="B12218" s="65"/>
    </row>
    <row r="12219" spans="1:2" x14ac:dyDescent="0.25">
      <c r="A12219" s="64" t="str">
        <f>HYPERLINK("http://www.twitter.com/TCJONES222", "TCJONES222")</f>
        <v>TCJONES222</v>
      </c>
      <c r="B12219" s="65"/>
    </row>
    <row r="12220" spans="1:2" x14ac:dyDescent="0.25">
      <c r="A12220" s="64" t="str">
        <f>HYPERLINK("http://www.twitter.com/Beth_Loden", "Beth_Loden")</f>
        <v>Beth_Loden</v>
      </c>
      <c r="B12220" s="65"/>
    </row>
    <row r="12221" spans="1:2" x14ac:dyDescent="0.25">
      <c r="A12221" s="64" t="str">
        <f>HYPERLINK("http://www.twitter.com/spamzine", "spamzine")</f>
        <v>spamzine</v>
      </c>
      <c r="B12221" s="65" t="s">
        <v>318</v>
      </c>
    </row>
    <row r="12222" spans="1:2" x14ac:dyDescent="0.25">
      <c r="A12222" s="64" t="str">
        <f>HYPERLINK("http://www.twitter.com/lozwrites", "lozwrites")</f>
        <v>lozwrites</v>
      </c>
      <c r="B12222" s="65" t="s">
        <v>4436</v>
      </c>
    </row>
    <row r="12223" spans="1:2" x14ac:dyDescent="0.25">
      <c r="A12223" s="64" t="str">
        <f>HYPERLINK("http://www.twitter.com/caughtbtthepage", "caughtbtthepage")</f>
        <v>caughtbtthepage</v>
      </c>
      <c r="B12223" s="65" t="s">
        <v>7654</v>
      </c>
    </row>
    <row r="12224" spans="1:2" x14ac:dyDescent="0.25">
      <c r="A12224" s="64" t="str">
        <f>HYPERLINK("http://www.twitter.com/TroyBurkholder", "TroyBurkholder")</f>
        <v>TroyBurkholder</v>
      </c>
      <c r="B12224" s="65" t="s">
        <v>3863</v>
      </c>
    </row>
    <row r="12225" spans="1:2" x14ac:dyDescent="0.25">
      <c r="A12225" s="64" t="str">
        <f>HYPERLINK("http://www.twitter.com/katiedid1991", "katiedid1991")</f>
        <v>katiedid1991</v>
      </c>
      <c r="B12225" s="65"/>
    </row>
    <row r="12226" spans="1:2" x14ac:dyDescent="0.25">
      <c r="A12226" s="64" t="str">
        <f>HYPERLINK("http://www.twitter.com/TxySuen", "TxySuen")</f>
        <v>TxySuen</v>
      </c>
      <c r="B12226" s="65"/>
    </row>
    <row r="12227" spans="1:2" x14ac:dyDescent="0.25">
      <c r="A12227" s="64" t="str">
        <f>HYPERLINK("http://www.twitter.com/SuetheLibrarian", "SuetheLibrarian")</f>
        <v>SuetheLibrarian</v>
      </c>
      <c r="B12227" s="65" t="s">
        <v>3980</v>
      </c>
    </row>
    <row r="12228" spans="1:2" x14ac:dyDescent="0.25">
      <c r="A12228" s="64" t="str">
        <f>HYPERLINK("http://www.twitter.com/not_dr_pepper", "not_dr_pepper")</f>
        <v>not_dr_pepper</v>
      </c>
      <c r="B12228" s="65"/>
    </row>
    <row r="12229" spans="1:2" x14ac:dyDescent="0.25">
      <c r="A12229" s="64" t="str">
        <f>HYPERLINK("http://www.twitter.com/invlibrary", "invlibrary")</f>
        <v>invlibrary</v>
      </c>
      <c r="B12229" s="65" t="s">
        <v>4436</v>
      </c>
    </row>
    <row r="12230" spans="1:2" x14ac:dyDescent="0.25">
      <c r="A12230" s="64" t="str">
        <f>HYPERLINK("http://www.twitter.com/Jofish2669", "Jofish2669")</f>
        <v>Jofish2669</v>
      </c>
      <c r="B12230" s="65"/>
    </row>
    <row r="12231" spans="1:2" x14ac:dyDescent="0.25">
      <c r="A12231" s="64" t="str">
        <f>HYPERLINK("http://www.twitter.com/TanyaErwin", "TanyaErwin")</f>
        <v>TanyaErwin</v>
      </c>
      <c r="B12231" s="65"/>
    </row>
    <row r="12232" spans="1:2" x14ac:dyDescent="0.25">
      <c r="A12232" s="64" t="str">
        <f>HYPERLINK("http://www.twitter.com/weheartthis", "weheartthis")</f>
        <v>weheartthis</v>
      </c>
      <c r="B12232" s="65" t="s">
        <v>7655</v>
      </c>
    </row>
    <row r="12233" spans="1:2" x14ac:dyDescent="0.25">
      <c r="A12233" s="64" t="str">
        <f>HYPERLINK("http://www.twitter.com/mlbrackmartin", "mlbrackmartin")</f>
        <v>mlbrackmartin</v>
      </c>
      <c r="B12233" s="65" t="s">
        <v>7656</v>
      </c>
    </row>
    <row r="12234" spans="1:2" x14ac:dyDescent="0.25">
      <c r="A12234" s="64" t="str">
        <f>HYPERLINK("http://www.twitter.com/doctordaigle", "doctordaigle")</f>
        <v>doctordaigle</v>
      </c>
      <c r="B12234" s="65" t="s">
        <v>7137</v>
      </c>
    </row>
    <row r="12235" spans="1:2" x14ac:dyDescent="0.25">
      <c r="A12235" s="64" t="str">
        <f>HYPERLINK("http://www.twitter.com/abbiehum1", "abbiehum1")</f>
        <v>abbiehum1</v>
      </c>
      <c r="B12235" s="65"/>
    </row>
    <row r="12236" spans="1:2" x14ac:dyDescent="0.25">
      <c r="A12236" s="64" t="str">
        <f>HYPERLINK("http://www.twitter.com/NadhrahMohdAli", "NadhrahMohdAli")</f>
        <v>NadhrahMohdAli</v>
      </c>
      <c r="B12236" s="65"/>
    </row>
    <row r="12237" spans="1:2" x14ac:dyDescent="0.25">
      <c r="A12237" s="64" t="str">
        <f>HYPERLINK("http://www.twitter.com/biblink", "biblink")</f>
        <v>biblink</v>
      </c>
      <c r="B12237" s="65"/>
    </row>
    <row r="12238" spans="1:2" x14ac:dyDescent="0.25">
      <c r="A12238" s="64" t="str">
        <f>HYPERLINK("http://www.twitter.com/CourtAyesha", "CourtAyesha")</f>
        <v>CourtAyesha</v>
      </c>
      <c r="B12238" s="65"/>
    </row>
    <row r="12239" spans="1:2" x14ac:dyDescent="0.25">
      <c r="A12239" s="64" t="str">
        <f>HYPERLINK("http://www.twitter.com/darrenbday", "darrenbday")</f>
        <v>darrenbday</v>
      </c>
      <c r="B12239" s="65" t="s">
        <v>7657</v>
      </c>
    </row>
    <row r="12240" spans="1:2" x14ac:dyDescent="0.25">
      <c r="A12240" s="64" t="str">
        <f>HYPERLINK("http://www.twitter.com/TNaseeRae", "TNaseeRae")</f>
        <v>TNaseeRae</v>
      </c>
      <c r="B12240" s="65" t="s">
        <v>3785</v>
      </c>
    </row>
    <row r="12241" spans="1:2" x14ac:dyDescent="0.25">
      <c r="A12241" s="64" t="str">
        <f>HYPERLINK("http://www.twitter.com/BooksellersNZ", "BooksellersNZ")</f>
        <v>BooksellersNZ</v>
      </c>
      <c r="B12241" s="65" t="s">
        <v>4247</v>
      </c>
    </row>
    <row r="12242" spans="1:2" x14ac:dyDescent="0.25">
      <c r="A12242" s="64" t="str">
        <f>HYPERLINK("http://www.twitter.com/rbooth5", "rbooth5")</f>
        <v>rbooth5</v>
      </c>
      <c r="B12242" s="65" t="s">
        <v>7658</v>
      </c>
    </row>
    <row r="12243" spans="1:2" x14ac:dyDescent="0.25">
      <c r="A12243" s="64" t="str">
        <f>HYPERLINK("http://www.twitter.com/lhealynvictoria", "lhealynvictoria")</f>
        <v>lhealynvictoria</v>
      </c>
      <c r="B12243" s="65"/>
    </row>
    <row r="12244" spans="1:2" x14ac:dyDescent="0.25">
      <c r="A12244" s="64" t="str">
        <f>HYPERLINK("http://www.twitter.com/Qwonfu", "Qwonfu")</f>
        <v>Qwonfu</v>
      </c>
      <c r="B12244" s="65"/>
    </row>
    <row r="12245" spans="1:2" x14ac:dyDescent="0.25">
      <c r="A12245" s="64" t="str">
        <f>HYPERLINK("http://www.twitter.com/afkane", "afkane")</f>
        <v>afkane</v>
      </c>
      <c r="B12245" s="65"/>
    </row>
    <row r="12246" spans="1:2" x14ac:dyDescent="0.25">
      <c r="A12246" s="64" t="str">
        <f>HYPERLINK("http://www.twitter.com/JoshuaKaneNYC", "JoshuaKaneNYC")</f>
        <v>JoshuaKaneNYC</v>
      </c>
      <c r="B12246" s="65" t="s">
        <v>7659</v>
      </c>
    </row>
    <row r="12247" spans="1:2" x14ac:dyDescent="0.25">
      <c r="A12247" s="64" t="str">
        <f>HYPERLINK("http://www.twitter.com/PeaceFly", "PeaceFly")</f>
        <v>PeaceFly</v>
      </c>
      <c r="B12247" s="65" t="s">
        <v>4095</v>
      </c>
    </row>
    <row r="12248" spans="1:2" x14ac:dyDescent="0.25">
      <c r="A12248" s="64" t="str">
        <f>HYPERLINK("http://www.twitter.com/kmacbris", "kmacbris")</f>
        <v>kmacbris</v>
      </c>
      <c r="B12248" s="65"/>
    </row>
    <row r="12249" spans="1:2" x14ac:dyDescent="0.25">
      <c r="A12249" s="64" t="str">
        <f>HYPERLINK("http://www.twitter.com/ShoalLibraries", "ShoalLibraries")</f>
        <v>ShoalLibraries</v>
      </c>
      <c r="B12249" s="65" t="s">
        <v>7660</v>
      </c>
    </row>
    <row r="12250" spans="1:2" x14ac:dyDescent="0.25">
      <c r="A12250" s="64" t="str">
        <f>HYPERLINK("http://www.twitter.com/jferguson999", "jferguson999")</f>
        <v>jferguson999</v>
      </c>
      <c r="B12250" s="65"/>
    </row>
    <row r="12251" spans="1:2" x14ac:dyDescent="0.25">
      <c r="A12251" s="64" t="str">
        <f>HYPERLINK("http://www.twitter.com/BNFairfax", "BNFairfax")</f>
        <v>BNFairfax</v>
      </c>
      <c r="B12251" s="65" t="s">
        <v>5191</v>
      </c>
    </row>
    <row r="12252" spans="1:2" x14ac:dyDescent="0.25">
      <c r="A12252" s="64" t="str">
        <f>HYPERLINK("http://www.twitter.com/ST81", "ST81")</f>
        <v>ST81</v>
      </c>
      <c r="B12252" s="65" t="s">
        <v>7661</v>
      </c>
    </row>
    <row r="12253" spans="1:2" x14ac:dyDescent="0.25">
      <c r="A12253" s="64" t="str">
        <f>HYPERLINK("http://www.twitter.com/Russells84", "Russells84")</f>
        <v>Russells84</v>
      </c>
      <c r="B12253" s="65"/>
    </row>
    <row r="12254" spans="1:2" x14ac:dyDescent="0.25">
      <c r="A12254" s="64" t="str">
        <f>HYPERLINK("http://www.twitter.com/bessienguyening", "bessienguyening")</f>
        <v>bessienguyening</v>
      </c>
      <c r="B12254" s="65"/>
    </row>
    <row r="12255" spans="1:2" x14ac:dyDescent="0.25">
      <c r="A12255" s="64" t="str">
        <f>HYPERLINK("http://www.twitter.com/BNElibraries", "BNElibraries")</f>
        <v>BNElibraries</v>
      </c>
      <c r="B12255" s="65"/>
    </row>
    <row r="12256" spans="1:2" x14ac:dyDescent="0.25">
      <c r="A12256" s="64" t="str">
        <f>HYPERLINK("http://www.twitter.com/AliCotterill1", "AliCotterill1")</f>
        <v>AliCotterill1</v>
      </c>
      <c r="B12256" s="65" t="s">
        <v>7662</v>
      </c>
    </row>
    <row r="12257" spans="1:2" x14ac:dyDescent="0.25">
      <c r="A12257" s="64" t="str">
        <f>HYPERLINK("http://www.twitter.com/VivianLyn12", "VivianLyn12")</f>
        <v>VivianLyn12</v>
      </c>
      <c r="B12257" s="65"/>
    </row>
    <row r="12258" spans="1:2" x14ac:dyDescent="0.25">
      <c r="A12258" s="64" t="str">
        <f>HYPERLINK("http://www.twitter.com/_The_Love_Boat_", "_The_Love_Boat_")</f>
        <v>_The_Love_Boat_</v>
      </c>
      <c r="B12258" s="65" t="s">
        <v>7663</v>
      </c>
    </row>
    <row r="12259" spans="1:2" x14ac:dyDescent="0.25">
      <c r="A12259" s="64" t="str">
        <f>HYPERLINK("http://www.twitter.com/theresavt1", "theresavt1")</f>
        <v>theresavt1</v>
      </c>
      <c r="B12259" s="65"/>
    </row>
    <row r="12260" spans="1:2" x14ac:dyDescent="0.25">
      <c r="A12260" s="64" t="str">
        <f>HYPERLINK("http://www.twitter.com/a_burbie", "a_burbie")</f>
        <v>a_burbie</v>
      </c>
      <c r="B12260" s="65" t="s">
        <v>70</v>
      </c>
    </row>
    <row r="12261" spans="1:2" x14ac:dyDescent="0.25">
      <c r="A12261" s="64" t="str">
        <f>HYPERLINK("http://www.twitter.com/sc_library", "sc_library")</f>
        <v>sc_library</v>
      </c>
      <c r="B12261" s="65" t="s">
        <v>7664</v>
      </c>
    </row>
    <row r="12262" spans="1:2" x14ac:dyDescent="0.25">
      <c r="A12262" s="64" t="str">
        <f>HYPERLINK("http://www.twitter.com/PurpleCirce", "PurpleCirce")</f>
        <v>PurpleCirce</v>
      </c>
      <c r="B12262" s="65"/>
    </row>
    <row r="12263" spans="1:2" x14ac:dyDescent="0.25">
      <c r="A12263" s="64" t="str">
        <f>HYPERLINK("http://www.twitter.com/catcoveney", "catcoveney")</f>
        <v>catcoveney</v>
      </c>
      <c r="B12263" s="65"/>
    </row>
    <row r="12264" spans="1:2" x14ac:dyDescent="0.25">
      <c r="A12264" s="64" t="str">
        <f>HYPERLINK("http://www.twitter.com/GallopingShadow", "GallopingShadow")</f>
        <v>GallopingShadow</v>
      </c>
      <c r="B12264" s="65" t="s">
        <v>4039</v>
      </c>
    </row>
    <row r="12265" spans="1:2" x14ac:dyDescent="0.25">
      <c r="A12265" s="64" t="str">
        <f>HYPERLINK("http://www.twitter.com/smooksiepoo", "smooksiepoo")</f>
        <v>smooksiepoo</v>
      </c>
      <c r="B12265" s="65"/>
    </row>
    <row r="12266" spans="1:2" x14ac:dyDescent="0.25">
      <c r="A12266" s="64" t="str">
        <f>HYPERLINK("http://www.twitter.com/CameronDraper", "CameronDraper")</f>
        <v>CameronDraper</v>
      </c>
      <c r="B12266" s="65" t="s">
        <v>4145</v>
      </c>
    </row>
    <row r="12267" spans="1:2" x14ac:dyDescent="0.25">
      <c r="A12267" s="64" t="str">
        <f>HYPERLINK("http://www.twitter.com/LivLibrary", "LivLibrary")</f>
        <v>LivLibrary</v>
      </c>
      <c r="B12267" s="65" t="s">
        <v>7665</v>
      </c>
    </row>
    <row r="12268" spans="1:2" x14ac:dyDescent="0.25">
      <c r="A12268" s="64" t="str">
        <f>HYPERLINK("http://www.twitter.com/Brannavan", "Brannavan")</f>
        <v>Brannavan</v>
      </c>
      <c r="B12268" s="65"/>
    </row>
    <row r="12269" spans="1:2" x14ac:dyDescent="0.25">
      <c r="A12269" s="64" t="str">
        <f>HYPERLINK("http://www.twitter.com/HulloAlice", "HulloAlice")</f>
        <v>HulloAlice</v>
      </c>
      <c r="B12269" s="65" t="s">
        <v>7666</v>
      </c>
    </row>
    <row r="12270" spans="1:2" x14ac:dyDescent="0.25">
      <c r="A12270" s="64" t="str">
        <f>HYPERLINK("http://www.twitter.com/wirmegan", "wirmegan")</f>
        <v>wirmegan</v>
      </c>
      <c r="B12270" s="65" t="s">
        <v>4092</v>
      </c>
    </row>
    <row r="12271" spans="1:2" x14ac:dyDescent="0.25">
      <c r="A12271" s="64" t="str">
        <f>HYPERLINK("http://www.twitter.com/EllyFoster75", "EllyFoster75")</f>
        <v>EllyFoster75</v>
      </c>
      <c r="B12271" s="65" t="s">
        <v>7667</v>
      </c>
    </row>
    <row r="12272" spans="1:2" x14ac:dyDescent="0.25">
      <c r="A12272" s="64" t="str">
        <f>HYPERLINK("http://www.twitter.com/Elliot__Page", "Elliot__Page")</f>
        <v>Elliot__Page</v>
      </c>
      <c r="B12272" s="65" t="s">
        <v>1377</v>
      </c>
    </row>
    <row r="12273" spans="1:2" x14ac:dyDescent="0.25">
      <c r="A12273" s="64" t="str">
        <f>HYPERLINK("http://www.twitter.com/thehappysalmon", "thehappysalmon")</f>
        <v>thehappysalmon</v>
      </c>
      <c r="B12273" s="65" t="s">
        <v>7668</v>
      </c>
    </row>
    <row r="12274" spans="1:2" x14ac:dyDescent="0.25">
      <c r="A12274" s="64" t="str">
        <f>HYPERLINK("http://www.twitter.com/ed_fortune", "ed_fortune")</f>
        <v>ed_fortune</v>
      </c>
      <c r="B12274" s="65" t="s">
        <v>2289</v>
      </c>
    </row>
    <row r="12275" spans="1:2" x14ac:dyDescent="0.25">
      <c r="A12275" s="64" t="str">
        <f>HYPERLINK("http://www.twitter.com/forthports", "forthports")</f>
        <v>forthports</v>
      </c>
      <c r="B12275" s="65"/>
    </row>
    <row r="12276" spans="1:2" x14ac:dyDescent="0.25">
      <c r="A12276" s="64" t="str">
        <f>HYPERLINK("http://www.twitter.com/RachelHuddart", "RachelHuddart")</f>
        <v>RachelHuddart</v>
      </c>
      <c r="B12276" s="65" t="s">
        <v>67</v>
      </c>
    </row>
    <row r="12277" spans="1:2" x14ac:dyDescent="0.25">
      <c r="A12277" s="64" t="str">
        <f>HYPERLINK("http://www.twitter.com/alirodger", "alirodger")</f>
        <v>alirodger</v>
      </c>
      <c r="B12277" s="65" t="s">
        <v>517</v>
      </c>
    </row>
    <row r="12278" spans="1:2" x14ac:dyDescent="0.25">
      <c r="A12278" s="64" t="str">
        <f>HYPERLINK("http://www.twitter.com/weegieghirl", "weegieghirl")</f>
        <v>weegieghirl</v>
      </c>
      <c r="B12278" s="65" t="s">
        <v>138</v>
      </c>
    </row>
    <row r="12279" spans="1:2" x14ac:dyDescent="0.25">
      <c r="A12279" s="64" t="str">
        <f>HYPERLINK("http://www.twitter.com/auroragomezr", "auroragomezr")</f>
        <v>auroragomezr</v>
      </c>
      <c r="B12279" s="65" t="s">
        <v>7669</v>
      </c>
    </row>
    <row r="12280" spans="1:2" x14ac:dyDescent="0.25">
      <c r="A12280" s="64" t="str">
        <f>HYPERLINK("http://www.twitter.com/Thomtastic", "Thomtastic")</f>
        <v>Thomtastic</v>
      </c>
      <c r="B12280" s="65" t="s">
        <v>487</v>
      </c>
    </row>
    <row r="12281" spans="1:2" x14ac:dyDescent="0.25">
      <c r="A12281" s="64" t="str">
        <f>HYPERLINK("http://www.twitter.com/WWPippin", "WWPippin")</f>
        <v>WWPippin</v>
      </c>
      <c r="B12281" s="65"/>
    </row>
    <row r="12282" spans="1:2" x14ac:dyDescent="0.25">
      <c r="A12282" s="64" t="str">
        <f>HYPERLINK("http://www.twitter.com/properminxx5", "properminxx5")</f>
        <v>properminxx5</v>
      </c>
      <c r="B12282" s="65" t="s">
        <v>7670</v>
      </c>
    </row>
    <row r="12283" spans="1:2" x14ac:dyDescent="0.25">
      <c r="A12283" s="64" t="str">
        <f>HYPERLINK("http://www.twitter.com/wp513", "wp513")</f>
        <v>wp513</v>
      </c>
      <c r="B12283" s="65" t="s">
        <v>7671</v>
      </c>
    </row>
    <row r="12284" spans="1:2" x14ac:dyDescent="0.25">
      <c r="A12284" s="64" t="str">
        <f>HYPERLINK("http://www.twitter.com/themegumiband", "themegumiband")</f>
        <v>themegumiband</v>
      </c>
      <c r="B12284" s="65"/>
    </row>
    <row r="12285" spans="1:2" x14ac:dyDescent="0.25">
      <c r="A12285" s="64" t="str">
        <f>HYPERLINK("http://www.twitter.com/Cd170", "Cd170")</f>
        <v>Cd170</v>
      </c>
      <c r="B12285" s="65"/>
    </row>
    <row r="12286" spans="1:2" x14ac:dyDescent="0.25">
      <c r="A12286" s="64" t="str">
        <f>HYPERLINK("http://www.twitter.com/CelesteMRhoads", "CelesteMRhoads")</f>
        <v>CelesteMRhoads</v>
      </c>
      <c r="B12286" s="65" t="s">
        <v>4015</v>
      </c>
    </row>
    <row r="12287" spans="1:2" x14ac:dyDescent="0.25">
      <c r="A12287" s="64" t="str">
        <f>HYPERLINK("http://www.twitter.com/NikkiPicken", "NikkiPicken")</f>
        <v>NikkiPicken</v>
      </c>
      <c r="B12287" s="65" t="s">
        <v>7672</v>
      </c>
    </row>
    <row r="12288" spans="1:2" x14ac:dyDescent="0.25">
      <c r="A12288" s="64" t="str">
        <f>HYPERLINK("http://www.twitter.com/perryclarke", "perryclarke")</f>
        <v>perryclarke</v>
      </c>
      <c r="B12288" s="65" t="s">
        <v>7673</v>
      </c>
    </row>
    <row r="12289" spans="1:2" x14ac:dyDescent="0.25">
      <c r="A12289" s="64" t="str">
        <f>HYPERLINK("http://www.twitter.com/LeslieGreentree", "LeslieGreentree")</f>
        <v>LeslieGreentree</v>
      </c>
      <c r="B12289" s="65" t="s">
        <v>7674</v>
      </c>
    </row>
    <row r="12290" spans="1:2" x14ac:dyDescent="0.25">
      <c r="A12290" s="64" t="str">
        <f>HYPERLINK("http://www.twitter.com/fitzlibrary", "fitzlibrary")</f>
        <v>fitzlibrary</v>
      </c>
      <c r="B12290" s="65" t="s">
        <v>7675</v>
      </c>
    </row>
    <row r="12291" spans="1:2" x14ac:dyDescent="0.25">
      <c r="A12291" s="64" t="str">
        <f>HYPERLINK("http://www.twitter.com/A1D4N97", "A1D4N97")</f>
        <v>A1D4N97</v>
      </c>
      <c r="B12291" s="65"/>
    </row>
    <row r="12292" spans="1:2" x14ac:dyDescent="0.25">
      <c r="A12292" s="64" t="str">
        <f>HYPERLINK("http://www.twitter.com/SandyLand85", "SandyLand85")</f>
        <v>SandyLand85</v>
      </c>
      <c r="B12292" s="65"/>
    </row>
    <row r="12293" spans="1:2" x14ac:dyDescent="0.25">
      <c r="A12293" s="64" t="str">
        <f>HYPERLINK("http://www.twitter.com/panda_in_yale", "panda_in_yale")</f>
        <v>panda_in_yale</v>
      </c>
      <c r="B12293" s="65" t="s">
        <v>4237</v>
      </c>
    </row>
    <row r="12294" spans="1:2" x14ac:dyDescent="0.25">
      <c r="A12294" s="64" t="str">
        <f>HYPERLINK("http://www.twitter.com/emmakate278", "emmakate278")</f>
        <v>emmakate278</v>
      </c>
      <c r="B12294" s="65"/>
    </row>
    <row r="12295" spans="1:2" x14ac:dyDescent="0.25">
      <c r="A12295" s="64" t="str">
        <f>HYPERLINK("http://www.twitter.com/zairarivera", "zairarivera")</f>
        <v>zairarivera</v>
      </c>
      <c r="B12295" s="65" t="s">
        <v>7676</v>
      </c>
    </row>
    <row r="12296" spans="1:2" x14ac:dyDescent="0.25">
      <c r="A12296" s="64" t="str">
        <f>HYPERLINK("http://www.twitter.com/cyberdoyle", "cyberdoyle")</f>
        <v>cyberdoyle</v>
      </c>
      <c r="B12296" s="65" t="s">
        <v>7677</v>
      </c>
    </row>
    <row r="12297" spans="1:2" x14ac:dyDescent="0.25">
      <c r="A12297" s="64" t="str">
        <f>HYPERLINK("http://www.twitter.com/finalthirdfirst", "finalthirdfirst")</f>
        <v>finalthirdfirst</v>
      </c>
      <c r="B12297" s="65" t="s">
        <v>7678</v>
      </c>
    </row>
    <row r="12298" spans="1:2" x14ac:dyDescent="0.25">
      <c r="A12298" s="64" t="str">
        <f>HYPERLINK("http://www.twitter.com/Mimi_Libertine", "Mimi_Libertine")</f>
        <v>Mimi_Libertine</v>
      </c>
      <c r="B12298" s="65"/>
    </row>
    <row r="12299" spans="1:2" x14ac:dyDescent="0.25">
      <c r="A12299" s="64" t="str">
        <f>HYPERLINK("http://www.twitter.com/spockofvulcan", "spockofvulcan")</f>
        <v>spockofvulcan</v>
      </c>
      <c r="B12299" s="65" t="s">
        <v>7522</v>
      </c>
    </row>
    <row r="12300" spans="1:2" x14ac:dyDescent="0.25">
      <c r="A12300" s="64" t="str">
        <f>HYPERLINK("http://www.twitter.com/debbooks", "debbooks")</f>
        <v>debbooks</v>
      </c>
      <c r="B12300" s="65"/>
    </row>
    <row r="12301" spans="1:2" x14ac:dyDescent="0.25">
      <c r="A12301" s="64" t="str">
        <f>HYPERLINK("http://www.twitter.com/keirhaug", "keirhaug")</f>
        <v>keirhaug</v>
      </c>
      <c r="B12301" s="65" t="s">
        <v>7679</v>
      </c>
    </row>
    <row r="12302" spans="1:2" x14ac:dyDescent="0.25">
      <c r="A12302" s="64" t="str">
        <f>HYPERLINK("http://www.twitter.com/julialou15e", "julialou15e")</f>
        <v>julialou15e</v>
      </c>
      <c r="B12302" s="65" t="s">
        <v>7680</v>
      </c>
    </row>
    <row r="12303" spans="1:2" x14ac:dyDescent="0.25">
      <c r="A12303" s="64" t="str">
        <f>HYPERLINK("http://www.twitter.com/KamoChaus", "KamoChaus")</f>
        <v>KamoChaus</v>
      </c>
      <c r="B12303" s="65"/>
    </row>
    <row r="12304" spans="1:2" x14ac:dyDescent="0.25">
      <c r="A12304" s="64" t="str">
        <f>HYPERLINK("http://www.twitter.com/erikrabbit", "erikrabbit")</f>
        <v>erikrabbit</v>
      </c>
      <c r="B12304" s="65"/>
    </row>
    <row r="12305" spans="1:2" x14ac:dyDescent="0.25">
      <c r="A12305" s="64" t="str">
        <f>HYPERLINK("http://www.twitter.com/joylynnnelson", "joylynnnelson")</f>
        <v>joylynnnelson</v>
      </c>
      <c r="B12305" s="65"/>
    </row>
    <row r="12306" spans="1:2" x14ac:dyDescent="0.25">
      <c r="A12306" s="64" t="str">
        <f>HYPERLINK("http://www.twitter.com/craigbrodie007", "craigbrodie007")</f>
        <v>craigbrodie007</v>
      </c>
      <c r="B12306" s="65" t="s">
        <v>24</v>
      </c>
    </row>
    <row r="12307" spans="1:2" x14ac:dyDescent="0.25">
      <c r="A12307" s="64" t="str">
        <f>HYPERLINK("http://www.twitter.com/margaretm", "margaretm")</f>
        <v>margaretm</v>
      </c>
      <c r="B12307" s="65" t="s">
        <v>7681</v>
      </c>
    </row>
    <row r="12308" spans="1:2" x14ac:dyDescent="0.25">
      <c r="A12308" s="64" t="str">
        <f>HYPERLINK("http://www.twitter.com/RuthiBen", "RuthiBen")</f>
        <v>RuthiBen</v>
      </c>
      <c r="B12308" s="65"/>
    </row>
    <row r="12309" spans="1:2" x14ac:dyDescent="0.25">
      <c r="A12309" s="64" t="str">
        <f>HYPERLINK("http://www.twitter.com/louisthepooey", "louisthepooey")</f>
        <v>louisthepooey</v>
      </c>
      <c r="B12309" s="65" t="s">
        <v>3921</v>
      </c>
    </row>
    <row r="12310" spans="1:2" x14ac:dyDescent="0.25">
      <c r="A12310" s="64" t="str">
        <f>HYPERLINK("http://www.twitter.com/EdBykerBooks", "EdBykerBooks")</f>
        <v>EdBykerBooks</v>
      </c>
      <c r="B12310" s="65"/>
    </row>
    <row r="12311" spans="1:2" x14ac:dyDescent="0.25">
      <c r="A12311" s="64" t="str">
        <f>HYPERLINK("http://www.twitter.com/Orxnge", "Orxnge")</f>
        <v>Orxnge</v>
      </c>
      <c r="B12311" s="65"/>
    </row>
    <row r="12312" spans="1:2" x14ac:dyDescent="0.25">
      <c r="A12312" s="64" t="str">
        <f>HYPERLINK("http://www.twitter.com/subedited", "subedited")</f>
        <v>subedited</v>
      </c>
      <c r="B12312" s="65" t="s">
        <v>7682</v>
      </c>
    </row>
    <row r="12313" spans="1:2" x14ac:dyDescent="0.25">
      <c r="A12313" s="64" t="str">
        <f>HYPERLINK("http://www.twitter.com/muffinpi", "muffinpi")</f>
        <v>muffinpi</v>
      </c>
      <c r="B12313" s="65" t="s">
        <v>7683</v>
      </c>
    </row>
    <row r="12314" spans="1:2" x14ac:dyDescent="0.25">
      <c r="A12314" s="64" t="str">
        <f>HYPERLINK("http://www.twitter.com/Luke9090Luke", "Luke9090Luke")</f>
        <v>Luke9090Luke</v>
      </c>
      <c r="B12314" s="65"/>
    </row>
    <row r="12315" spans="1:2" x14ac:dyDescent="0.25">
      <c r="A12315" s="64" t="str">
        <f>HYPERLINK("http://www.twitter.com/manchlibrary", "manchlibrary")</f>
        <v>manchlibrary</v>
      </c>
      <c r="B12315" s="65" t="s">
        <v>7684</v>
      </c>
    </row>
    <row r="12316" spans="1:2" x14ac:dyDescent="0.25">
      <c r="A12316" s="64" t="str">
        <f>HYPERLINK("http://www.twitter.com/falkirkgb", "falkirkgb")</f>
        <v>falkirkgb</v>
      </c>
      <c r="B12316" s="65"/>
    </row>
    <row r="12317" spans="1:2" x14ac:dyDescent="0.25">
      <c r="A12317" s="64" t="str">
        <f>HYPERLINK("http://www.twitter.com/TWNicholls", "TWNicholls")</f>
        <v>TWNicholls</v>
      </c>
      <c r="B12317" s="65"/>
    </row>
    <row r="12318" spans="1:2" x14ac:dyDescent="0.25">
      <c r="A12318" s="64" t="str">
        <f>HYPERLINK("http://www.twitter.com/katepsews", "katepsews")</f>
        <v>katepsews</v>
      </c>
      <c r="B12318" s="65" t="s">
        <v>4040</v>
      </c>
    </row>
    <row r="12319" spans="1:2" x14ac:dyDescent="0.25">
      <c r="A12319" s="64" t="str">
        <f>HYPERLINK("http://www.twitter.com/lauracpettet", "lauracpettet")</f>
        <v>lauracpettet</v>
      </c>
      <c r="B12319" s="65"/>
    </row>
    <row r="12320" spans="1:2" x14ac:dyDescent="0.25">
      <c r="A12320" s="64" t="str">
        <f>HYPERLINK("http://www.twitter.com/ajdonaghy", "ajdonaghy")</f>
        <v>ajdonaghy</v>
      </c>
      <c r="B12320" s="65" t="s">
        <v>361</v>
      </c>
    </row>
    <row r="12321" spans="1:2" x14ac:dyDescent="0.25">
      <c r="A12321" s="64" t="str">
        <f>HYPERLINK("http://www.twitter.com/KathEvans2", "KathEvans2")</f>
        <v>KathEvans2</v>
      </c>
      <c r="B12321" s="65" t="s">
        <v>7685</v>
      </c>
    </row>
    <row r="12322" spans="1:2" x14ac:dyDescent="0.25">
      <c r="A12322" s="64" t="str">
        <f>HYPERLINK("http://www.twitter.com/TillyAndMuffin", "TillyAndMuffin")</f>
        <v>TillyAndMuffin</v>
      </c>
      <c r="B12322" s="65" t="s">
        <v>296</v>
      </c>
    </row>
    <row r="12323" spans="1:2" x14ac:dyDescent="0.25">
      <c r="A12323" s="64" t="str">
        <f>HYPERLINK("http://www.twitter.com/AJ_Swan", "AJ_Swan")</f>
        <v>AJ_Swan</v>
      </c>
      <c r="B12323" s="65" t="s">
        <v>7686</v>
      </c>
    </row>
    <row r="12324" spans="1:2" x14ac:dyDescent="0.25">
      <c r="A12324" s="64" t="str">
        <f>HYPERLINK("http://www.twitter.com/SantiSupertramp", "SantiSupertramp")</f>
        <v>SantiSupertramp</v>
      </c>
      <c r="B12324" s="65" t="s">
        <v>1218</v>
      </c>
    </row>
    <row r="12325" spans="1:2" x14ac:dyDescent="0.25">
      <c r="A12325" s="64" t="str">
        <f>HYPERLINK("http://www.twitter.com/DikshaKataria89", "DikshaKataria89")</f>
        <v>DikshaKataria89</v>
      </c>
      <c r="B12325" s="65" t="s">
        <v>7687</v>
      </c>
    </row>
    <row r="12326" spans="1:2" x14ac:dyDescent="0.25">
      <c r="A12326" s="64" t="str">
        <f>HYPERLINK("http://www.twitter.com/sarahja75781268", "sarahja75781268")</f>
        <v>sarahja75781268</v>
      </c>
      <c r="B12326" s="65" t="s">
        <v>7688</v>
      </c>
    </row>
    <row r="12327" spans="1:2" x14ac:dyDescent="0.25">
      <c r="A12327" s="64" t="str">
        <f>HYPERLINK("http://www.twitter.com/Chethnaks", "Chethnaks")</f>
        <v>Chethnaks</v>
      </c>
      <c r="B12327" s="65" t="s">
        <v>7689</v>
      </c>
    </row>
    <row r="12328" spans="1:2" x14ac:dyDescent="0.25">
      <c r="A12328" s="64" t="str">
        <f>HYPERLINK("http://www.twitter.com/MattThompsonTMM", "MattThompsonTMM")</f>
        <v>MattThompsonTMM</v>
      </c>
      <c r="B12328" s="65" t="s">
        <v>7690</v>
      </c>
    </row>
    <row r="12329" spans="1:2" x14ac:dyDescent="0.25">
      <c r="A12329" s="64" t="str">
        <f>HYPERLINK("http://www.twitter.com/MaxRenewals", "MaxRenewals")</f>
        <v>MaxRenewals</v>
      </c>
      <c r="B12329" s="65"/>
    </row>
    <row r="12330" spans="1:2" x14ac:dyDescent="0.25">
      <c r="A12330" s="64" t="str">
        <f>HYPERLINK("http://www.twitter.com/kafurlong", "kafurlong")</f>
        <v>kafurlong</v>
      </c>
      <c r="B12330" s="65" t="s">
        <v>7691</v>
      </c>
    </row>
    <row r="12331" spans="1:2" x14ac:dyDescent="0.25">
      <c r="A12331" s="64" t="str">
        <f>HYPERLINK("http://www.twitter.com/JennifereAustin", "JennifereAustin")</f>
        <v>JennifereAustin</v>
      </c>
      <c r="B12331" s="65" t="s">
        <v>7692</v>
      </c>
    </row>
    <row r="12332" spans="1:2" x14ac:dyDescent="0.25">
      <c r="A12332" s="64" t="str">
        <f>HYPERLINK("http://www.twitter.com/annabellepenha", "annabellepenha")</f>
        <v>annabellepenha</v>
      </c>
      <c r="B12332" s="65" t="s">
        <v>7693</v>
      </c>
    </row>
    <row r="12333" spans="1:2" x14ac:dyDescent="0.25">
      <c r="A12333" s="64" t="str">
        <f>HYPERLINK("http://www.twitter.com/jo_hanley", "jo_hanley")</f>
        <v>jo_hanley</v>
      </c>
      <c r="B12333" s="65" t="s">
        <v>7694</v>
      </c>
    </row>
    <row r="12334" spans="1:2" x14ac:dyDescent="0.25">
      <c r="A12334" s="64" t="str">
        <f>HYPERLINK("http://www.twitter.com/moemacd", "moemacd")</f>
        <v>moemacd</v>
      </c>
      <c r="B12334" s="65"/>
    </row>
    <row r="12335" spans="1:2" x14ac:dyDescent="0.25">
      <c r="A12335" s="64" t="str">
        <f>HYPERLINK("http://www.twitter.com/windyfox", "windyfox")</f>
        <v>windyfox</v>
      </c>
      <c r="B12335" s="65" t="s">
        <v>3979</v>
      </c>
    </row>
    <row r="12336" spans="1:2" x14ac:dyDescent="0.25">
      <c r="A12336" s="64" t="str">
        <f>HYPERLINK("http://www.twitter.com/RBMcMacken", "RBMcMacken")</f>
        <v>RBMcMacken</v>
      </c>
      <c r="B12336" s="65" t="s">
        <v>4001</v>
      </c>
    </row>
    <row r="12337" spans="1:2" x14ac:dyDescent="0.25">
      <c r="A12337" s="64" t="str">
        <f>HYPERLINK("http://www.twitter.com/AnomalyXII", "AnomalyXII")</f>
        <v>AnomalyXII</v>
      </c>
      <c r="B12337" s="65"/>
    </row>
    <row r="12338" spans="1:2" x14ac:dyDescent="0.25">
      <c r="A12338" s="64" t="str">
        <f>HYPERLINK("http://www.twitter.com/robblatt", "robblatt")</f>
        <v>robblatt</v>
      </c>
      <c r="B12338" s="65" t="s">
        <v>6937</v>
      </c>
    </row>
    <row r="12339" spans="1:2" x14ac:dyDescent="0.25">
      <c r="A12339" s="64" t="str">
        <f>HYPERLINK("http://www.twitter.com/loiselizabeth17", "loiselizabeth17")</f>
        <v>loiselizabeth17</v>
      </c>
      <c r="B12339" s="65" t="s">
        <v>36</v>
      </c>
    </row>
    <row r="12340" spans="1:2" x14ac:dyDescent="0.25">
      <c r="A12340" s="64" t="str">
        <f>HYPERLINK("http://www.twitter.com/kirstcbell", "kirstcbell")</f>
        <v>kirstcbell</v>
      </c>
      <c r="B12340" s="65" t="s">
        <v>517</v>
      </c>
    </row>
    <row r="12341" spans="1:2" x14ac:dyDescent="0.25">
      <c r="A12341" s="64" t="str">
        <f>HYPERLINK("http://www.twitter.com/yvonnedrever", "yvonnedrever")</f>
        <v>yvonnedrever</v>
      </c>
      <c r="B12341" s="65"/>
    </row>
    <row r="12342" spans="1:2" x14ac:dyDescent="0.25">
      <c r="A12342" s="64" t="str">
        <f>HYPERLINK("http://www.twitter.com/5cornerscreativ", "5cornerscreativ")</f>
        <v>5cornerscreativ</v>
      </c>
      <c r="B12342" s="65" t="s">
        <v>7695</v>
      </c>
    </row>
    <row r="12343" spans="1:2" x14ac:dyDescent="0.25">
      <c r="A12343" s="64" t="str">
        <f>HYPERLINK("http://www.twitter.com/margaretyacoub", "margaretyacoub")</f>
        <v>margaretyacoub</v>
      </c>
      <c r="B12343" s="65" t="s">
        <v>4039</v>
      </c>
    </row>
    <row r="12344" spans="1:2" x14ac:dyDescent="0.25">
      <c r="A12344" s="64" t="str">
        <f>HYPERLINK("http://www.twitter.com/powhatanlibrary", "powhatanlibrary")</f>
        <v>powhatanlibrary</v>
      </c>
      <c r="B12344" s="65" t="s">
        <v>7696</v>
      </c>
    </row>
    <row r="12345" spans="1:2" x14ac:dyDescent="0.25">
      <c r="A12345" s="64" t="str">
        <f>HYPERLINK("http://www.twitter.com/sitwsm", "sitwsm")</f>
        <v>sitwsm</v>
      </c>
      <c r="B12345" s="65"/>
    </row>
    <row r="12346" spans="1:2" x14ac:dyDescent="0.25">
      <c r="A12346" s="64" t="str">
        <f>HYPERLINK("http://www.twitter.com/artgrrl77", "artgrrl77")</f>
        <v>artgrrl77</v>
      </c>
      <c r="B12346" s="65" t="s">
        <v>3853</v>
      </c>
    </row>
    <row r="12347" spans="1:2" x14ac:dyDescent="0.25">
      <c r="A12347" s="64" t="str">
        <f>HYPERLINK("http://www.twitter.com/hisume_", "hisume_")</f>
        <v>hisume_</v>
      </c>
      <c r="B12347" s="65"/>
    </row>
    <row r="12348" spans="1:2" x14ac:dyDescent="0.25">
      <c r="A12348" s="64" t="str">
        <f>HYPERLINK("http://www.twitter.com/anniechalker13", "anniechalker13")</f>
        <v>anniechalker13</v>
      </c>
      <c r="B12348" s="65" t="s">
        <v>4867</v>
      </c>
    </row>
    <row r="12349" spans="1:2" x14ac:dyDescent="0.25">
      <c r="A12349" s="64" t="str">
        <f>HYPERLINK("http://www.twitter.com/AAAWolff", "AAAWolff")</f>
        <v>AAAWolff</v>
      </c>
      <c r="B12349" s="65"/>
    </row>
    <row r="12350" spans="1:2" x14ac:dyDescent="0.25">
      <c r="A12350" s="64" t="str">
        <f>HYPERLINK("http://www.twitter.com/PennHolyGhosts", "PennHolyGhosts")</f>
        <v>PennHolyGhosts</v>
      </c>
      <c r="B12350" s="65"/>
    </row>
    <row r="12351" spans="1:2" x14ac:dyDescent="0.25">
      <c r="A12351" s="64" t="str">
        <f>HYPERLINK("http://www.twitter.com/infotweets", "infotweets")</f>
        <v>infotweets</v>
      </c>
      <c r="B12351" s="65" t="s">
        <v>5110</v>
      </c>
    </row>
    <row r="12352" spans="1:2" x14ac:dyDescent="0.25">
      <c r="A12352" s="64" t="str">
        <f>HYPERLINK("http://www.twitter.com/Owen_Gay", "Owen_Gay")</f>
        <v>Owen_Gay</v>
      </c>
      <c r="B12352" s="65"/>
    </row>
    <row r="12353" spans="1:2" x14ac:dyDescent="0.25">
      <c r="A12353" s="64" t="str">
        <f>HYPERLINK("http://www.twitter.com/adonisetc", "adonisetc")</f>
        <v>adonisetc</v>
      </c>
      <c r="B12353" s="65" t="s">
        <v>7697</v>
      </c>
    </row>
    <row r="12354" spans="1:2" x14ac:dyDescent="0.25">
      <c r="A12354" s="64" t="str">
        <f>HYPERLINK("http://www.twitter.com/RallyAndBroad", "RallyAndBroad")</f>
        <v>RallyAndBroad</v>
      </c>
      <c r="B12354" s="65" t="s">
        <v>517</v>
      </c>
    </row>
    <row r="12355" spans="1:2" x14ac:dyDescent="0.25">
      <c r="A12355" s="64" t="str">
        <f>HYPERLINK("http://www.twitter.com/limlouisa", "limlouisa")</f>
        <v>limlouisa</v>
      </c>
      <c r="B12355" s="65" t="s">
        <v>7698</v>
      </c>
    </row>
    <row r="12356" spans="1:2" x14ac:dyDescent="0.25">
      <c r="A12356" s="64" t="str">
        <f>HYPERLINK("http://www.twitter.com/Panickywitch", "Panickywitch")</f>
        <v>Panickywitch</v>
      </c>
      <c r="B12356" s="65" t="s">
        <v>7699</v>
      </c>
    </row>
    <row r="12357" spans="1:2" x14ac:dyDescent="0.25">
      <c r="A12357" s="64" t="str">
        <f>HYPERLINK("http://www.twitter.com/DCLBuzz", "DCLBuzz")</f>
        <v>DCLBuzz</v>
      </c>
      <c r="B12357" s="65" t="s">
        <v>7700</v>
      </c>
    </row>
    <row r="12358" spans="1:2" x14ac:dyDescent="0.25">
      <c r="A12358" s="64" t="str">
        <f>HYPERLINK("http://www.twitter.com/fcl_ordinarymum", "fcl_ordinarymum")</f>
        <v>fcl_ordinarymum</v>
      </c>
      <c r="B12358" s="65" t="s">
        <v>3428</v>
      </c>
    </row>
    <row r="12359" spans="1:2" x14ac:dyDescent="0.25">
      <c r="A12359" s="64" t="str">
        <f>HYPERLINK("http://www.twitter.com/euterpe66", "euterpe66")</f>
        <v>euterpe66</v>
      </c>
      <c r="B12359" s="65" t="s">
        <v>7373</v>
      </c>
    </row>
    <row r="12360" spans="1:2" x14ac:dyDescent="0.25">
      <c r="A12360" s="64" t="str">
        <f>HYPERLINK("http://www.twitter.com/satoms", "satoms")</f>
        <v>satoms</v>
      </c>
      <c r="B12360" s="65" t="s">
        <v>7701</v>
      </c>
    </row>
    <row r="12361" spans="1:2" x14ac:dyDescent="0.25">
      <c r="A12361" s="64" t="str">
        <f>HYPERLINK("http://www.twitter.com/JillBosa", "JillBosa")</f>
        <v>JillBosa</v>
      </c>
      <c r="B12361" s="65" t="s">
        <v>3936</v>
      </c>
    </row>
    <row r="12362" spans="1:2" x14ac:dyDescent="0.25">
      <c r="A12362" s="64" t="str">
        <f>HYPERLINK("http://www.twitter.com/MayzieLea", "MayzieLea")</f>
        <v>MayzieLea</v>
      </c>
      <c r="B12362" s="65"/>
    </row>
    <row r="12363" spans="1:2" x14ac:dyDescent="0.25">
      <c r="A12363" s="64" t="str">
        <f>HYPERLINK("http://www.twitter.com/theabbeyschool", "theabbeyschool")</f>
        <v>theabbeyschool</v>
      </c>
      <c r="B12363" s="65" t="s">
        <v>5989</v>
      </c>
    </row>
    <row r="12364" spans="1:2" x14ac:dyDescent="0.25">
      <c r="A12364" s="64" t="str">
        <f>HYPERLINK("http://www.twitter.com/BrandonReedMS", "BrandonReedMS")</f>
        <v>BrandonReedMS</v>
      </c>
      <c r="B12364" s="65" t="s">
        <v>4111</v>
      </c>
    </row>
    <row r="12365" spans="1:2" x14ac:dyDescent="0.25">
      <c r="A12365" s="64" t="str">
        <f>HYPERLINK("http://www.twitter.com/thanatos_kalos", "thanatos_kalos")</f>
        <v>thanatos_kalos</v>
      </c>
      <c r="B12365" s="65" t="s">
        <v>5190</v>
      </c>
    </row>
    <row r="12366" spans="1:2" x14ac:dyDescent="0.25">
      <c r="A12366" s="64" t="str">
        <f>HYPERLINK("http://www.twitter.com/MichelleLaComb", "MichelleLaComb")</f>
        <v>MichelleLaComb</v>
      </c>
      <c r="B12366" s="65" t="s">
        <v>4579</v>
      </c>
    </row>
    <row r="12367" spans="1:2" x14ac:dyDescent="0.25">
      <c r="A12367" s="64" t="str">
        <f>HYPERLINK("http://www.twitter.com/MyPineapple", "MyPineapple")</f>
        <v>MyPineapple</v>
      </c>
      <c r="B12367" s="65" t="s">
        <v>7702</v>
      </c>
    </row>
    <row r="12368" spans="1:2" x14ac:dyDescent="0.25">
      <c r="A12368" s="64" t="str">
        <f>HYPERLINK("http://www.twitter.com/EmmaCrowley5", "EmmaCrowley5")</f>
        <v>EmmaCrowley5</v>
      </c>
      <c r="B12368" s="65"/>
    </row>
    <row r="12369" spans="1:2" x14ac:dyDescent="0.25">
      <c r="A12369" s="64" t="str">
        <f>HYPERLINK("http://www.twitter.com/YanMagRyche", "YanMagRyche")</f>
        <v>YanMagRyche</v>
      </c>
      <c r="B12369" s="65" t="s">
        <v>7703</v>
      </c>
    </row>
    <row r="12370" spans="1:2" x14ac:dyDescent="0.25">
      <c r="A12370" s="64" t="str">
        <f>HYPERLINK("http://www.twitter.com/HeIsUncas", "HeIsUncas")</f>
        <v>HeIsUncas</v>
      </c>
      <c r="B12370" s="65" t="s">
        <v>7704</v>
      </c>
    </row>
    <row r="12371" spans="1:2" x14ac:dyDescent="0.25">
      <c r="A12371" s="64" t="str">
        <f>HYPERLINK("http://www.twitter.com/da12vid", "da12vid")</f>
        <v>da12vid</v>
      </c>
      <c r="B12371" s="65" t="s">
        <v>4940</v>
      </c>
    </row>
    <row r="12372" spans="1:2" x14ac:dyDescent="0.25">
      <c r="A12372" s="64" t="str">
        <f>HYPERLINK("http://www.twitter.com/JessicaRVliet", "JessicaRVliet")</f>
        <v>JessicaRVliet</v>
      </c>
      <c r="B12372" s="65" t="s">
        <v>3775</v>
      </c>
    </row>
    <row r="12373" spans="1:2" x14ac:dyDescent="0.25">
      <c r="A12373" s="64" t="str">
        <f>HYPERLINK("http://www.twitter.com/medCLAIREhurst", "medCLAIREhurst")</f>
        <v>medCLAIREhurst</v>
      </c>
      <c r="B12373" s="65" t="s">
        <v>5566</v>
      </c>
    </row>
    <row r="12374" spans="1:2" x14ac:dyDescent="0.25">
      <c r="A12374" s="64" t="str">
        <f>HYPERLINK("http://www.twitter.com/DewMoonDrop", "DewMoonDrop")</f>
        <v>DewMoonDrop</v>
      </c>
      <c r="B12374" s="65"/>
    </row>
    <row r="12375" spans="1:2" x14ac:dyDescent="0.25">
      <c r="A12375" s="64" t="str">
        <f>HYPERLINK("http://www.twitter.com/MOEgir198", "MOEgir198")</f>
        <v>MOEgir198</v>
      </c>
      <c r="B12375" s="65" t="s">
        <v>7705</v>
      </c>
    </row>
    <row r="12376" spans="1:2" x14ac:dyDescent="0.25">
      <c r="A12376" s="64" t="str">
        <f>HYPERLINK("http://www.twitter.com/SusTee", "SusTee")</f>
        <v>SusTee</v>
      </c>
      <c r="B12376" s="65"/>
    </row>
    <row r="12377" spans="1:2" x14ac:dyDescent="0.25">
      <c r="A12377" s="64" t="str">
        <f>HYPERLINK("http://www.twitter.com/bobmcgee88", "bobmcgee88")</f>
        <v>bobmcgee88</v>
      </c>
      <c r="B12377" s="65"/>
    </row>
    <row r="12378" spans="1:2" x14ac:dyDescent="0.25">
      <c r="A12378" s="64" t="str">
        <f>HYPERLINK("http://www.twitter.com/EGPublicLibrary", "EGPublicLibrary")</f>
        <v>EGPublicLibrary</v>
      </c>
      <c r="B12378" s="65" t="s">
        <v>7706</v>
      </c>
    </row>
    <row r="12379" spans="1:2" x14ac:dyDescent="0.25">
      <c r="A12379" s="64" t="str">
        <f>HYPERLINK("http://www.twitter.com/gugwinder", "gugwinder")</f>
        <v>gugwinder</v>
      </c>
      <c r="B12379" s="65"/>
    </row>
    <row r="12380" spans="1:2" x14ac:dyDescent="0.25">
      <c r="A12380" s="64" t="str">
        <f>HYPERLINK("http://www.twitter.com/jcssimmons", "jcssimmons")</f>
        <v>jcssimmons</v>
      </c>
      <c r="B12380" s="65" t="s">
        <v>4992</v>
      </c>
    </row>
    <row r="12381" spans="1:2" x14ac:dyDescent="0.25">
      <c r="A12381" s="64" t="str">
        <f>HYPERLINK("http://www.twitter.com/JohnnyOGray", "JohnnyOGray")</f>
        <v>JohnnyOGray</v>
      </c>
      <c r="B12381" s="65" t="s">
        <v>6182</v>
      </c>
    </row>
    <row r="12382" spans="1:2" x14ac:dyDescent="0.25">
      <c r="A12382" s="64" t="str">
        <f>HYPERLINK("http://www.twitter.com/navinkir", "navinkir")</f>
        <v>navinkir</v>
      </c>
      <c r="B12382" s="65"/>
    </row>
    <row r="12383" spans="1:2" x14ac:dyDescent="0.25">
      <c r="A12383" s="64" t="str">
        <f>HYPERLINK("http://www.twitter.com/hilarioushung", "hilarioushung")</f>
        <v>hilarioushung</v>
      </c>
      <c r="B12383" s="65" t="s">
        <v>4118</v>
      </c>
    </row>
    <row r="12384" spans="1:2" x14ac:dyDescent="0.25">
      <c r="A12384" s="64" t="str">
        <f>HYPERLINK("http://www.twitter.com/LoyalistLibrary", "LoyalistLibrary")</f>
        <v>LoyalistLibrary</v>
      </c>
      <c r="B12384" s="65" t="s">
        <v>7707</v>
      </c>
    </row>
    <row r="12385" spans="1:2" x14ac:dyDescent="0.25">
      <c r="A12385" s="64" t="str">
        <f>HYPERLINK("http://www.twitter.com/thmahieux", "thmahieux")</f>
        <v>thmahieux</v>
      </c>
      <c r="B12385" s="65" t="s">
        <v>7708</v>
      </c>
    </row>
    <row r="12386" spans="1:2" x14ac:dyDescent="0.25">
      <c r="A12386" s="64" t="str">
        <f>HYPERLINK("http://www.twitter.com/ccarawr", "ccarawr")</f>
        <v>ccarawr</v>
      </c>
      <c r="B12386" s="65"/>
    </row>
    <row r="12387" spans="1:2" x14ac:dyDescent="0.25">
      <c r="A12387" s="64" t="str">
        <f>HYPERLINK("http://www.twitter.com/AralAithnyc", "AralAithnyc")</f>
        <v>AralAithnyc</v>
      </c>
      <c r="B12387" s="65"/>
    </row>
    <row r="12388" spans="1:2" x14ac:dyDescent="0.25">
      <c r="A12388" s="64" t="str">
        <f>HYPERLINK("http://www.twitter.com/twigtaupefaux", "twigtaupefaux")</f>
        <v>twigtaupefaux</v>
      </c>
      <c r="B12388" s="65"/>
    </row>
    <row r="12389" spans="1:2" x14ac:dyDescent="0.25">
      <c r="A12389" s="64" t="str">
        <f>HYPERLINK("http://www.twitter.com/BullCityAthena", "BullCityAthena")</f>
        <v>BullCityAthena</v>
      </c>
      <c r="B12389" s="65" t="s">
        <v>7709</v>
      </c>
    </row>
    <row r="12390" spans="1:2" x14ac:dyDescent="0.25">
      <c r="A12390" s="64" t="str">
        <f>HYPERLINK("http://www.twitter.com/prittykittylolo", "prittykittylolo")</f>
        <v>prittykittylolo</v>
      </c>
      <c r="B12390" s="65"/>
    </row>
    <row r="12391" spans="1:2" x14ac:dyDescent="0.25">
      <c r="A12391" s="64" t="str">
        <f>HYPERLINK("http://www.twitter.com/TurakD", "TurakD")</f>
        <v>TurakD</v>
      </c>
      <c r="B12391" s="65"/>
    </row>
    <row r="12392" spans="1:2" x14ac:dyDescent="0.25">
      <c r="A12392" s="64" t="str">
        <f>HYPERLINK("http://www.twitter.com/TheVeganButcher", "TheVeganButcher")</f>
        <v>TheVeganButcher</v>
      </c>
      <c r="B12392" s="65" t="s">
        <v>6524</v>
      </c>
    </row>
    <row r="12393" spans="1:2" x14ac:dyDescent="0.25">
      <c r="A12393" s="64" t="str">
        <f>HYPERLINK("http://www.twitter.com/Kitty_B_Good", "Kitty_B_Good")</f>
        <v>Kitty_B_Good</v>
      </c>
      <c r="B12393" s="65" t="s">
        <v>7710</v>
      </c>
    </row>
    <row r="12394" spans="1:2" x14ac:dyDescent="0.25">
      <c r="A12394" s="64" t="str">
        <f>HYPERLINK("http://www.twitter.com/vividelmanzano", "vividelmanzano")</f>
        <v>vividelmanzano</v>
      </c>
      <c r="B12394" s="65" t="s">
        <v>7711</v>
      </c>
    </row>
    <row r="12395" spans="1:2" x14ac:dyDescent="0.25">
      <c r="A12395" s="64" t="str">
        <f>HYPERLINK("http://www.twitter.com/emaranti", "emaranti")</f>
        <v>emaranti</v>
      </c>
      <c r="B12395" s="65" t="s">
        <v>6933</v>
      </c>
    </row>
    <row r="12396" spans="1:2" x14ac:dyDescent="0.25">
      <c r="A12396" s="64" t="str">
        <f>HYPERLINK("http://www.twitter.com/Georgie_Barker", "Georgie_Barker")</f>
        <v>Georgie_Barker</v>
      </c>
      <c r="B12396" s="65" t="s">
        <v>7712</v>
      </c>
    </row>
    <row r="12397" spans="1:2" x14ac:dyDescent="0.25">
      <c r="A12397" s="64" t="str">
        <f>HYPERLINK("http://www.twitter.com/StillwaterLibMn", "StillwaterLibMn")</f>
        <v>StillwaterLibMn</v>
      </c>
      <c r="B12397" s="65" t="s">
        <v>7713</v>
      </c>
    </row>
    <row r="12398" spans="1:2" x14ac:dyDescent="0.25">
      <c r="A12398" s="64" t="str">
        <f>HYPERLINK("http://www.twitter.com/MsMMcDermott", "MsMMcDermott")</f>
        <v>MsMMcDermott</v>
      </c>
      <c r="B12398" s="65" t="s">
        <v>7714</v>
      </c>
    </row>
    <row r="12399" spans="1:2" x14ac:dyDescent="0.25">
      <c r="A12399" s="64" t="str">
        <f>HYPERLINK("http://www.twitter.com/bullrike", "bullrike")</f>
        <v>bullrike</v>
      </c>
      <c r="B12399" s="65" t="s">
        <v>1537</v>
      </c>
    </row>
    <row r="12400" spans="1:2" x14ac:dyDescent="0.25">
      <c r="A12400" s="64" t="str">
        <f>HYPERLINK("http://www.twitter.com/pamela_milne", "pamela_milne")</f>
        <v>pamela_milne</v>
      </c>
      <c r="B12400" s="65" t="s">
        <v>517</v>
      </c>
    </row>
    <row r="12401" spans="1:2" x14ac:dyDescent="0.25">
      <c r="A12401" s="64" t="str">
        <f>HYPERLINK("http://www.twitter.com/yureinix", "yureinix")</f>
        <v>yureinix</v>
      </c>
      <c r="B12401" s="65" t="s">
        <v>7022</v>
      </c>
    </row>
    <row r="12402" spans="1:2" x14ac:dyDescent="0.25">
      <c r="A12402" s="64" t="str">
        <f>HYPERLINK("http://www.twitter.com/eggyourwall", "eggyourwall")</f>
        <v>eggyourwall</v>
      </c>
      <c r="B12402" s="65"/>
    </row>
    <row r="12403" spans="1:2" x14ac:dyDescent="0.25">
      <c r="A12403" s="64" t="str">
        <f>HYPERLINK("http://www.twitter.com/ShadowGade", "ShadowGade")</f>
        <v>ShadowGade</v>
      </c>
      <c r="B12403" s="65" t="s">
        <v>5050</v>
      </c>
    </row>
    <row r="12404" spans="1:2" x14ac:dyDescent="0.25">
      <c r="A12404" s="64" t="str">
        <f>HYPERLINK("http://www.twitter.com/samiworkman", "samiworkman")</f>
        <v>samiworkman</v>
      </c>
      <c r="B12404" s="65" t="s">
        <v>7715</v>
      </c>
    </row>
    <row r="12405" spans="1:2" x14ac:dyDescent="0.25">
      <c r="A12405" s="64" t="str">
        <f>HYPERLINK("http://www.twitter.com/Listerinio", "Listerinio")</f>
        <v>Listerinio</v>
      </c>
      <c r="B12405" s="65" t="s">
        <v>1377</v>
      </c>
    </row>
    <row r="12406" spans="1:2" x14ac:dyDescent="0.25">
      <c r="A12406" s="64" t="str">
        <f>HYPERLINK("http://www.twitter.com/SallyJoSmith80", "SallyJoSmith80")</f>
        <v>SallyJoSmith80</v>
      </c>
      <c r="B12406" s="65"/>
    </row>
    <row r="12407" spans="1:2" x14ac:dyDescent="0.25">
      <c r="A12407" s="64" t="str">
        <f>HYPERLINK("http://www.twitter.com/RyanJGrant", "RyanJGrant")</f>
        <v>RyanJGrant</v>
      </c>
      <c r="B12407" s="65" t="s">
        <v>7716</v>
      </c>
    </row>
    <row r="12408" spans="1:2" x14ac:dyDescent="0.25">
      <c r="A12408" s="64" t="str">
        <f>HYPERLINK("http://www.twitter.com/AbelAdam", "AbelAdam")</f>
        <v>AbelAdam</v>
      </c>
      <c r="B12408" s="65" t="s">
        <v>7574</v>
      </c>
    </row>
    <row r="12409" spans="1:2" x14ac:dyDescent="0.25">
      <c r="A12409" s="64" t="str">
        <f>HYPERLINK("http://www.twitter.com/KarenErasmuson", "KarenErasmuson")</f>
        <v>KarenErasmuson</v>
      </c>
      <c r="B12409" s="65"/>
    </row>
    <row r="12410" spans="1:2" x14ac:dyDescent="0.25">
      <c r="A12410" s="64" t="str">
        <f>HYPERLINK("http://www.twitter.com/blemenchick", "blemenchick")</f>
        <v>blemenchick</v>
      </c>
      <c r="B12410" s="65"/>
    </row>
    <row r="12411" spans="1:2" x14ac:dyDescent="0.25">
      <c r="A12411" s="64" t="str">
        <f>HYPERLINK("http://www.twitter.com/MissKHam1", "MissKHam1")</f>
        <v>MissKHam1</v>
      </c>
      <c r="B12411" s="65" t="s">
        <v>477</v>
      </c>
    </row>
    <row r="12412" spans="1:2" x14ac:dyDescent="0.25">
      <c r="A12412" s="64" t="str">
        <f>HYPERLINK("http://www.twitter.com/elczapski", "elczapski")</f>
        <v>elczapski</v>
      </c>
      <c r="B12412" s="65" t="s">
        <v>3863</v>
      </c>
    </row>
    <row r="12413" spans="1:2" x14ac:dyDescent="0.25">
      <c r="A12413" s="64" t="str">
        <f>HYPERLINK("http://www.twitter.com/VarialTheFlayer", "VarialTheFlayer")</f>
        <v>VarialTheFlayer</v>
      </c>
      <c r="B12413" s="65" t="s">
        <v>7717</v>
      </c>
    </row>
    <row r="12414" spans="1:2" x14ac:dyDescent="0.25">
      <c r="A12414" s="64" t="str">
        <f>HYPERLINK("http://www.twitter.com/lee_louis", "lee_louis")</f>
        <v>lee_louis</v>
      </c>
      <c r="B12414" s="65"/>
    </row>
    <row r="12415" spans="1:2" x14ac:dyDescent="0.25">
      <c r="A12415" s="64" t="str">
        <f>HYPERLINK("http://www.twitter.com/DumeunierBenoit", "DumeunierBenoit")</f>
        <v>DumeunierBenoit</v>
      </c>
      <c r="B12415" s="65"/>
    </row>
    <row r="12416" spans="1:2" x14ac:dyDescent="0.25">
      <c r="A12416" s="64" t="str">
        <f>HYPERLINK("http://www.twitter.com/Cal_El_Rosie", "Cal_El_Rosie")</f>
        <v>Cal_El_Rosie</v>
      </c>
      <c r="B12416" s="65"/>
    </row>
    <row r="12417" spans="1:2" x14ac:dyDescent="0.25">
      <c r="A12417" s="64" t="str">
        <f>HYPERLINK("http://www.twitter.com/clouds_walking", "clouds_walking")</f>
        <v>clouds_walking</v>
      </c>
      <c r="B12417" s="65" t="s">
        <v>7718</v>
      </c>
    </row>
    <row r="12418" spans="1:2" x14ac:dyDescent="0.25">
      <c r="A12418" s="64" t="str">
        <f>HYPERLINK("http://www.twitter.com/lisatwingomez", "lisatwingomez")</f>
        <v>lisatwingomez</v>
      </c>
      <c r="B12418" s="65" t="s">
        <v>4604</v>
      </c>
    </row>
    <row r="12419" spans="1:2" x14ac:dyDescent="0.25">
      <c r="A12419" s="64" t="str">
        <f>HYPERLINK("http://www.twitter.com/mike_franey", "mike_franey")</f>
        <v>mike_franey</v>
      </c>
      <c r="B12419" s="65" t="s">
        <v>6972</v>
      </c>
    </row>
    <row r="12420" spans="1:2" x14ac:dyDescent="0.25">
      <c r="A12420" s="64" t="str">
        <f>HYPERLINK("http://www.twitter.com/surfguna", "surfguna")</f>
        <v>surfguna</v>
      </c>
      <c r="B12420" s="65" t="s">
        <v>4062</v>
      </c>
    </row>
    <row r="12421" spans="1:2" x14ac:dyDescent="0.25">
      <c r="A12421" s="64" t="str">
        <f>HYPERLINK("http://www.twitter.com/reference_pear", "reference_pear")</f>
        <v>reference_pear</v>
      </c>
      <c r="B12421" s="65"/>
    </row>
    <row r="12422" spans="1:2" x14ac:dyDescent="0.25">
      <c r="A12422" s="64" t="str">
        <f>HYPERLINK("http://www.twitter.com/jimcarlsoff", "jimcarlsoff")</f>
        <v>jimcarlsoff</v>
      </c>
      <c r="B12422" s="65"/>
    </row>
    <row r="12423" spans="1:2" x14ac:dyDescent="0.25">
      <c r="A12423" s="64" t="str">
        <f>HYPERLINK("http://www.twitter.com/Lucy_Cale", "Lucy_Cale")</f>
        <v>Lucy_Cale</v>
      </c>
      <c r="B12423" s="65" t="s">
        <v>926</v>
      </c>
    </row>
    <row r="12424" spans="1:2" x14ac:dyDescent="0.25">
      <c r="A12424" s="64" t="str">
        <f>HYPERLINK("http://www.twitter.com/Ailsa_Mck", "Ailsa_Mck")</f>
        <v>Ailsa_Mck</v>
      </c>
      <c r="B12424" s="65" t="s">
        <v>6093</v>
      </c>
    </row>
    <row r="12425" spans="1:2" x14ac:dyDescent="0.25">
      <c r="A12425" s="64" t="str">
        <f>HYPERLINK("http://www.twitter.com/lonedaisymedia", "lonedaisymedia")</f>
        <v>lonedaisymedia</v>
      </c>
      <c r="B12425" s="65" t="s">
        <v>7719</v>
      </c>
    </row>
    <row r="12426" spans="1:2" x14ac:dyDescent="0.25">
      <c r="A12426" s="64" t="str">
        <f>HYPERLINK("http://www.twitter.com/UnderAGraySky", "UnderAGraySky")</f>
        <v>UnderAGraySky</v>
      </c>
      <c r="B12426" s="65" t="s">
        <v>3872</v>
      </c>
    </row>
    <row r="12427" spans="1:2" x14ac:dyDescent="0.25">
      <c r="A12427" s="64" t="str">
        <f>HYPERLINK("http://www.twitter.com/DanPortnoy", "DanPortnoy")</f>
        <v>DanPortnoy</v>
      </c>
      <c r="B12427" s="65" t="s">
        <v>7720</v>
      </c>
    </row>
    <row r="12428" spans="1:2" x14ac:dyDescent="0.25">
      <c r="A12428" s="64" t="str">
        <f>HYPERLINK("http://www.twitter.com/silvercharmster", "silvercharmster")</f>
        <v>silvercharmster</v>
      </c>
      <c r="B12428" s="65" t="s">
        <v>5071</v>
      </c>
    </row>
    <row r="12429" spans="1:2" x14ac:dyDescent="0.25">
      <c r="A12429" s="64" t="str">
        <f>HYPERLINK("http://www.twitter.com/Neomety", "Neomety")</f>
        <v>Neomety</v>
      </c>
      <c r="B12429" s="65" t="s">
        <v>5231</v>
      </c>
    </row>
    <row r="12430" spans="1:2" x14ac:dyDescent="0.25">
      <c r="A12430" s="64" t="str">
        <f>HYPERLINK("http://www.twitter.com/tophile", "tophile")</f>
        <v>tophile</v>
      </c>
      <c r="B12430" s="65" t="s">
        <v>7721</v>
      </c>
    </row>
    <row r="12431" spans="1:2" x14ac:dyDescent="0.25">
      <c r="A12431" s="64" t="str">
        <f>HYPERLINK("http://www.twitter.com/sharonipwni", "sharonipwni")</f>
        <v>sharonipwni</v>
      </c>
      <c r="B12431" s="65" t="s">
        <v>5460</v>
      </c>
    </row>
    <row r="12432" spans="1:2" x14ac:dyDescent="0.25">
      <c r="A12432" s="64" t="str">
        <f>HYPERLINK("http://www.twitter.com/vikinglife3", "vikinglife3")</f>
        <v>vikinglife3</v>
      </c>
      <c r="B12432" s="65" t="s">
        <v>7722</v>
      </c>
    </row>
    <row r="12433" spans="1:2" x14ac:dyDescent="0.25">
      <c r="A12433" s="64" t="str">
        <f>HYPERLINK("http://www.twitter.com/earthami", "earthami")</f>
        <v>earthami</v>
      </c>
      <c r="B12433" s="65" t="s">
        <v>7723</v>
      </c>
    </row>
    <row r="12434" spans="1:2" x14ac:dyDescent="0.25">
      <c r="A12434" s="64" t="str">
        <f>HYPERLINK("http://www.twitter.com/m_ashworth90", "m_ashworth90")</f>
        <v>m_ashworth90</v>
      </c>
      <c r="B12434" s="65"/>
    </row>
    <row r="12435" spans="1:2" x14ac:dyDescent="0.25">
      <c r="A12435" s="64" t="str">
        <f>HYPERLINK("http://www.twitter.com/jnerickson13", "jnerickson13")</f>
        <v>jnerickson13</v>
      </c>
      <c r="B12435" s="65"/>
    </row>
    <row r="12436" spans="1:2" x14ac:dyDescent="0.25">
      <c r="A12436" s="64" t="str">
        <f>HYPERLINK("http://www.twitter.com/MinerMikeChance", "MinerMikeChance")</f>
        <v>MinerMikeChance</v>
      </c>
      <c r="B12436" s="65" t="s">
        <v>96</v>
      </c>
    </row>
    <row r="12437" spans="1:2" x14ac:dyDescent="0.25">
      <c r="A12437" s="64" t="str">
        <f>HYPERLINK("http://www.twitter.com/Denzalo", "Denzalo")</f>
        <v>Denzalo</v>
      </c>
      <c r="B12437" s="65" t="s">
        <v>7724</v>
      </c>
    </row>
    <row r="12438" spans="1:2" x14ac:dyDescent="0.25">
      <c r="A12438" s="64" t="str">
        <f>HYPERLINK("http://www.twitter.com/dianaduo", "dianaduo")</f>
        <v>dianaduo</v>
      </c>
      <c r="B12438" s="65" t="s">
        <v>3778</v>
      </c>
    </row>
    <row r="12439" spans="1:2" x14ac:dyDescent="0.25">
      <c r="A12439" s="64" t="str">
        <f>HYPERLINK("http://www.twitter.com/Rebekah_Scott", "Rebekah_Scott")</f>
        <v>Rebekah_Scott</v>
      </c>
      <c r="B12439" s="65"/>
    </row>
    <row r="12440" spans="1:2" x14ac:dyDescent="0.25">
      <c r="A12440" s="64" t="str">
        <f>HYPERLINK("http://www.twitter.com/DigIt2017", "DigIt2017")</f>
        <v>DigIt2017</v>
      </c>
      <c r="B12440" s="65" t="s">
        <v>7725</v>
      </c>
    </row>
    <row r="12441" spans="1:2" x14ac:dyDescent="0.25">
      <c r="A12441" s="64" t="str">
        <f>HYPERLINK("http://www.twitter.com/rachelbianca", "rachelbianca")</f>
        <v>rachelbianca</v>
      </c>
      <c r="B12441" s="65" t="s">
        <v>3785</v>
      </c>
    </row>
    <row r="12442" spans="1:2" x14ac:dyDescent="0.25">
      <c r="A12442" s="64" t="str">
        <f>HYPERLINK("http://www.twitter.com/bean3696", "bean3696")</f>
        <v>bean3696</v>
      </c>
      <c r="B12442" s="65" t="s">
        <v>7726</v>
      </c>
    </row>
    <row r="12443" spans="1:2" x14ac:dyDescent="0.25">
      <c r="A12443" s="64" t="str">
        <f>HYPERLINK("http://www.twitter.com/noelharen", "noelharen")</f>
        <v>noelharen</v>
      </c>
      <c r="B12443" s="65"/>
    </row>
    <row r="12444" spans="1:2" x14ac:dyDescent="0.25">
      <c r="A12444" s="64" t="str">
        <f>HYPERLINK("http://www.twitter.com/sambooklove", "sambooklove")</f>
        <v>sambooklove</v>
      </c>
      <c r="B12444" s="65" t="s">
        <v>7727</v>
      </c>
    </row>
    <row r="12445" spans="1:2" x14ac:dyDescent="0.25">
      <c r="A12445" s="64" t="str">
        <f>HYPERLINK("http://www.twitter.com/deborah0517", "deborah0517")</f>
        <v>deborah0517</v>
      </c>
      <c r="B12445" s="65" t="s">
        <v>3854</v>
      </c>
    </row>
    <row r="12446" spans="1:2" x14ac:dyDescent="0.25">
      <c r="A12446" s="64" t="str">
        <f>HYPERLINK("http://www.twitter.com/mikewritesabit", "mikewritesabit")</f>
        <v>mikewritesabit</v>
      </c>
      <c r="B12446" s="65" t="s">
        <v>36</v>
      </c>
    </row>
    <row r="12447" spans="1:2" x14ac:dyDescent="0.25">
      <c r="A12447" s="64" t="str">
        <f>HYPERLINK("http://www.twitter.com/gjcrayson", "gjcrayson")</f>
        <v>gjcrayson</v>
      </c>
      <c r="B12447" s="65" t="s">
        <v>7728</v>
      </c>
    </row>
    <row r="12448" spans="1:2" x14ac:dyDescent="0.25">
      <c r="A12448" s="64" t="str">
        <f>HYPERLINK("http://www.twitter.com/bradhanebury", "bradhanebury")</f>
        <v>bradhanebury</v>
      </c>
      <c r="B12448" s="65" t="s">
        <v>4230</v>
      </c>
    </row>
    <row r="12449" spans="1:2" x14ac:dyDescent="0.25">
      <c r="A12449" s="64" t="str">
        <f>HYPERLINK("http://www.twitter.com/flirtyarchivist", "flirtyarchivist")</f>
        <v>flirtyarchivist</v>
      </c>
      <c r="B12449" s="65" t="s">
        <v>110</v>
      </c>
    </row>
    <row r="12450" spans="1:2" x14ac:dyDescent="0.25">
      <c r="A12450" s="64" t="str">
        <f>HYPERLINK("http://www.twitter.com/romainlambic95", "romainlambic95")</f>
        <v>romainlambic95</v>
      </c>
      <c r="B12450" s="65" t="s">
        <v>7729</v>
      </c>
    </row>
    <row r="12451" spans="1:2" x14ac:dyDescent="0.25">
      <c r="A12451" s="64" t="str">
        <f>HYPERLINK("http://www.twitter.com/BNClarkNJ", "BNClarkNJ")</f>
        <v>BNClarkNJ</v>
      </c>
      <c r="B12451" s="65"/>
    </row>
    <row r="12452" spans="1:2" x14ac:dyDescent="0.25">
      <c r="A12452" s="64" t="str">
        <f>HYPERLINK("http://www.twitter.com/eilidh", "eilidh")</f>
        <v>eilidh</v>
      </c>
      <c r="B12452" s="65"/>
    </row>
    <row r="12453" spans="1:2" x14ac:dyDescent="0.25">
      <c r="A12453" s="64" t="str">
        <f>HYPERLINK("http://www.twitter.com/RushingCarl", "RushingCarl")</f>
        <v>RushingCarl</v>
      </c>
      <c r="B12453" s="65" t="s">
        <v>4948</v>
      </c>
    </row>
    <row r="12454" spans="1:2" x14ac:dyDescent="0.25">
      <c r="A12454" s="64" t="str">
        <f>HYPERLINK("http://www.twitter.com/elrodriel", "elrodriel")</f>
        <v>elrodriel</v>
      </c>
      <c r="B12454" s="65" t="s">
        <v>3940</v>
      </c>
    </row>
    <row r="12455" spans="1:2" x14ac:dyDescent="0.25">
      <c r="A12455" s="64" t="str">
        <f>HYPERLINK("http://www.twitter.com/josie4891", "josie4891")</f>
        <v>josie4891</v>
      </c>
      <c r="B12455" s="65"/>
    </row>
    <row r="12456" spans="1:2" x14ac:dyDescent="0.25">
      <c r="A12456" s="64" t="str">
        <f>HYPERLINK("http://www.twitter.com/JessSheff", "JessSheff")</f>
        <v>JessSheff</v>
      </c>
      <c r="B12456" s="65"/>
    </row>
    <row r="12457" spans="1:2" x14ac:dyDescent="0.25">
      <c r="A12457" s="64" t="str">
        <f>HYPERLINK("http://www.twitter.com/stunt_penguin", "stunt_penguin")</f>
        <v>stunt_penguin</v>
      </c>
      <c r="B12457" s="65" t="s">
        <v>3943</v>
      </c>
    </row>
    <row r="12458" spans="1:2" x14ac:dyDescent="0.25">
      <c r="A12458" s="64" t="str">
        <f>HYPERLINK("http://www.twitter.com/valeriejamieson", "valeriejamieson")</f>
        <v>valeriejamieson</v>
      </c>
      <c r="B12458" s="65" t="s">
        <v>36</v>
      </c>
    </row>
    <row r="12459" spans="1:2" x14ac:dyDescent="0.25">
      <c r="A12459" s="64" t="str">
        <f>HYPERLINK("http://www.twitter.com/BlondieNY", "BlondieNY")</f>
        <v>BlondieNY</v>
      </c>
      <c r="B12459" s="65" t="s">
        <v>6937</v>
      </c>
    </row>
    <row r="12460" spans="1:2" x14ac:dyDescent="0.25">
      <c r="A12460" s="64" t="str">
        <f>HYPERLINK("http://www.twitter.com/paulinemary1961", "paulinemary1961")</f>
        <v>paulinemary1961</v>
      </c>
      <c r="B12460" s="65"/>
    </row>
    <row r="12461" spans="1:2" x14ac:dyDescent="0.25">
      <c r="A12461" s="64" t="str">
        <f>HYPERLINK("http://www.twitter.com/camperup", "camperup")</f>
        <v>camperup</v>
      </c>
      <c r="B12461" s="65"/>
    </row>
    <row r="12462" spans="1:2" x14ac:dyDescent="0.25">
      <c r="A12462" s="64" t="str">
        <f>HYPERLINK("http://www.twitter.com/emmaritchie1", "emmaritchie1")</f>
        <v>emmaritchie1</v>
      </c>
      <c r="B12462" s="65"/>
    </row>
    <row r="12463" spans="1:2" x14ac:dyDescent="0.25">
      <c r="A12463" s="64" t="str">
        <f>HYPERLINK("http://www.twitter.com/biblrac", "biblrac")</f>
        <v>biblrac</v>
      </c>
      <c r="B12463" s="65" t="s">
        <v>7730</v>
      </c>
    </row>
    <row r="12464" spans="1:2" x14ac:dyDescent="0.25">
      <c r="A12464" s="64" t="str">
        <f>HYPERLINK("http://www.twitter.com/sqrl_boi", "sqrl_boi")</f>
        <v>sqrl_boi</v>
      </c>
      <c r="B12464" s="65"/>
    </row>
    <row r="12465" spans="1:2" x14ac:dyDescent="0.25">
      <c r="A12465" s="64" t="str">
        <f>HYPERLINK("http://www.twitter.com/mst3kmoxie", "mst3kmoxie")</f>
        <v>mst3kmoxie</v>
      </c>
      <c r="B12465" s="65" t="s">
        <v>7731</v>
      </c>
    </row>
    <row r="12466" spans="1:2" x14ac:dyDescent="0.25">
      <c r="A12466" s="64" t="str">
        <f>HYPERLINK("http://www.twitter.com/michaeljnott", "michaeljnott")</f>
        <v>michaeljnott</v>
      </c>
      <c r="B12466" s="65" t="s">
        <v>3842</v>
      </c>
    </row>
    <row r="12467" spans="1:2" x14ac:dyDescent="0.25">
      <c r="A12467" s="64" t="str">
        <f>HYPERLINK("http://www.twitter.com/jenhogg2173", "jenhogg2173")</f>
        <v>jenhogg2173</v>
      </c>
      <c r="B12467" s="65" t="s">
        <v>4092</v>
      </c>
    </row>
    <row r="12468" spans="1:2" x14ac:dyDescent="0.25">
      <c r="A12468" s="64" t="str">
        <f>HYPERLINK("http://www.twitter.com/CiaranMcGilp", "CiaranMcGilp")</f>
        <v>CiaranMcGilp</v>
      </c>
      <c r="B12468" s="65"/>
    </row>
    <row r="12469" spans="1:2" x14ac:dyDescent="0.25">
      <c r="A12469" s="64" t="str">
        <f>HYPERLINK("http://www.twitter.com/llliiizzzzyyy", "llliiizzzzyyy")</f>
        <v>llliiizzzzyyy</v>
      </c>
      <c r="B12469" s="65"/>
    </row>
    <row r="12470" spans="1:2" x14ac:dyDescent="0.25">
      <c r="A12470" s="64" t="str">
        <f>HYPERLINK("http://www.twitter.com/jeffiner10", "jeffiner10")</f>
        <v>jeffiner10</v>
      </c>
      <c r="B12470" s="65" t="s">
        <v>808</v>
      </c>
    </row>
    <row r="12471" spans="1:2" x14ac:dyDescent="0.25">
      <c r="A12471" s="64" t="str">
        <f>HYPERLINK("http://www.twitter.com/biebtobieb", "biebtobieb")</f>
        <v>biebtobieb</v>
      </c>
      <c r="B12471" s="65" t="s">
        <v>3913</v>
      </c>
    </row>
    <row r="12472" spans="1:2" x14ac:dyDescent="0.25">
      <c r="A12472" s="64" t="str">
        <f>HYPERLINK("http://www.twitter.com/AlexMayisOK", "AlexMayisOK")</f>
        <v>AlexMayisOK</v>
      </c>
      <c r="B12472" s="65" t="s">
        <v>3317</v>
      </c>
    </row>
    <row r="12473" spans="1:2" x14ac:dyDescent="0.25">
      <c r="A12473" s="64" t="str">
        <f>HYPERLINK("http://www.twitter.com/lgfyfe", "lgfyfe")</f>
        <v>lgfyfe</v>
      </c>
      <c r="B12473" s="65"/>
    </row>
    <row r="12474" spans="1:2" x14ac:dyDescent="0.25">
      <c r="A12474" s="64" t="str">
        <f>HYPERLINK("http://www.twitter.com/ivanvladimir", "ivanvladimir")</f>
        <v>ivanvladimir</v>
      </c>
      <c r="B12474" s="65" t="s">
        <v>7732</v>
      </c>
    </row>
    <row r="12475" spans="1:2" x14ac:dyDescent="0.25">
      <c r="A12475" s="64" t="str">
        <f>HYPERLINK("http://www.twitter.com/amandatoryy", "amandatoryy")</f>
        <v>amandatoryy</v>
      </c>
      <c r="B12475" s="65" t="s">
        <v>7733</v>
      </c>
    </row>
    <row r="12476" spans="1:2" x14ac:dyDescent="0.25">
      <c r="A12476" s="64" t="str">
        <f>HYPERLINK("http://www.twitter.com/marylou2ca", "marylou2ca")</f>
        <v>marylou2ca</v>
      </c>
      <c r="B12476" s="65" t="s">
        <v>7734</v>
      </c>
    </row>
    <row r="12477" spans="1:2" x14ac:dyDescent="0.25">
      <c r="A12477" s="64" t="str">
        <f>HYPERLINK("http://www.twitter.com/namelessartndes", "namelessartndes")</f>
        <v>namelessartndes</v>
      </c>
      <c r="B12477" s="65"/>
    </row>
    <row r="12478" spans="1:2" x14ac:dyDescent="0.25">
      <c r="A12478" s="64" t="str">
        <f>HYPERLINK("http://www.twitter.com/amaley", "amaley")</f>
        <v>amaley</v>
      </c>
      <c r="B12478" s="65"/>
    </row>
    <row r="12479" spans="1:2" x14ac:dyDescent="0.25">
      <c r="A12479" s="64" t="str">
        <f>HYPERLINK("http://www.twitter.com/spacedoutblogs", "spacedoutblogs")</f>
        <v>spacedoutblogs</v>
      </c>
      <c r="B12479" s="65" t="s">
        <v>4562</v>
      </c>
    </row>
    <row r="12480" spans="1:2" x14ac:dyDescent="0.25">
      <c r="A12480" s="64" t="str">
        <f>HYPERLINK("http://www.twitter.com/parents_sptc", "parents_sptc")</f>
        <v>parents_sptc</v>
      </c>
      <c r="B12480" s="65" t="s">
        <v>517</v>
      </c>
    </row>
    <row r="12481" spans="1:2" x14ac:dyDescent="0.25">
      <c r="A12481" s="64" t="str">
        <f>HYPERLINK("http://www.twitter.com/debrakellyUK", "debrakellyUK")</f>
        <v>debrakellyUK</v>
      </c>
      <c r="B12481" s="65"/>
    </row>
    <row r="12482" spans="1:2" x14ac:dyDescent="0.25">
      <c r="A12482" s="64" t="str">
        <f>HYPERLINK("http://www.twitter.com/iamnotkirsten", "iamnotkirsten")</f>
        <v>iamnotkirsten</v>
      </c>
      <c r="B12482" s="65" t="s">
        <v>138</v>
      </c>
    </row>
    <row r="12483" spans="1:2" x14ac:dyDescent="0.25">
      <c r="A12483" s="64" t="str">
        <f>HYPERLINK("http://www.twitter.com/cathievr", "cathievr")</f>
        <v>cathievr</v>
      </c>
      <c r="B12483" s="65" t="s">
        <v>7267</v>
      </c>
    </row>
    <row r="12484" spans="1:2" x14ac:dyDescent="0.25">
      <c r="A12484" s="64" t="str">
        <f>HYPERLINK("http://www.twitter.com/Toucherette", "Toucherette")</f>
        <v>Toucherette</v>
      </c>
      <c r="B12484" s="65" t="s">
        <v>7735</v>
      </c>
    </row>
    <row r="12485" spans="1:2" x14ac:dyDescent="0.25">
      <c r="A12485" s="64" t="str">
        <f>HYPERLINK("http://www.twitter.com/robertc", "robertc")</f>
        <v>robertc</v>
      </c>
      <c r="B12485" s="65" t="s">
        <v>36</v>
      </c>
    </row>
    <row r="12486" spans="1:2" x14ac:dyDescent="0.25">
      <c r="A12486" s="64" t="str">
        <f>HYPERLINK("http://www.twitter.com/moniaoko", "moniaoko")</f>
        <v>moniaoko</v>
      </c>
      <c r="B12486" s="65" t="s">
        <v>6639</v>
      </c>
    </row>
    <row r="12487" spans="1:2" x14ac:dyDescent="0.25">
      <c r="A12487" s="64" t="str">
        <f>HYPERLINK("http://www.twitter.com/bitingfairy", "bitingfairy")</f>
        <v>bitingfairy</v>
      </c>
      <c r="B12487" s="65" t="s">
        <v>7736</v>
      </c>
    </row>
    <row r="12488" spans="1:2" x14ac:dyDescent="0.25">
      <c r="A12488" s="64" t="str">
        <f>HYPERLINK("http://www.twitter.com/soniclyspeaking", "soniclyspeaking")</f>
        <v>soniclyspeaking</v>
      </c>
      <c r="B12488" s="65"/>
    </row>
    <row r="12489" spans="1:2" x14ac:dyDescent="0.25">
      <c r="A12489" s="64" t="str">
        <f>HYPERLINK("http://www.twitter.com/matildabatilda", "matildabatilda")</f>
        <v>matildabatilda</v>
      </c>
      <c r="B12489" s="65" t="s">
        <v>36</v>
      </c>
    </row>
    <row r="12490" spans="1:2" x14ac:dyDescent="0.25">
      <c r="A12490" s="64" t="str">
        <f>HYPERLINK("http://www.twitter.com/harrietrjbaker", "harrietrjbaker")</f>
        <v>harrietrjbaker</v>
      </c>
      <c r="B12490" s="65" t="s">
        <v>36</v>
      </c>
    </row>
    <row r="12491" spans="1:2" x14ac:dyDescent="0.25">
      <c r="A12491" s="64" t="str">
        <f>HYPERLINK("http://www.twitter.com/Breila1985", "Breila1985")</f>
        <v>Breila1985</v>
      </c>
      <c r="B12491" s="65" t="s">
        <v>102</v>
      </c>
    </row>
    <row r="12492" spans="1:2" x14ac:dyDescent="0.25">
      <c r="A12492" s="64" t="str">
        <f>HYPERLINK("http://www.twitter.com/LynnePickles2", "LynnePickles2")</f>
        <v>LynnePickles2</v>
      </c>
      <c r="B12492" s="65"/>
    </row>
    <row r="12493" spans="1:2" x14ac:dyDescent="0.25">
      <c r="A12493" s="64" t="str">
        <f>HYPERLINK("http://www.twitter.com/naoualnaoual", "naoualnaoual")</f>
        <v>naoualnaoual</v>
      </c>
      <c r="B12493" s="65" t="s">
        <v>4153</v>
      </c>
    </row>
    <row r="12494" spans="1:2" x14ac:dyDescent="0.25">
      <c r="A12494" s="64" t="str">
        <f>HYPERLINK("http://www.twitter.com/jonnylangs", "jonnylangs")</f>
        <v>jonnylangs</v>
      </c>
      <c r="B12494" s="65" t="s">
        <v>7737</v>
      </c>
    </row>
    <row r="12495" spans="1:2" x14ac:dyDescent="0.25">
      <c r="A12495" s="64" t="str">
        <f>HYPERLINK("http://www.twitter.com/takeabreath32", "takeabreath32")</f>
        <v>takeabreath32</v>
      </c>
      <c r="B12495" s="65" t="s">
        <v>7479</v>
      </c>
    </row>
    <row r="12496" spans="1:2" x14ac:dyDescent="0.25">
      <c r="A12496" s="64" t="str">
        <f>HYPERLINK("http://www.twitter.com/SilviaVanMilaan", "SilviaVanMilaan")</f>
        <v>SilviaVanMilaan</v>
      </c>
      <c r="B12496" s="65"/>
    </row>
    <row r="12497" spans="1:2" x14ac:dyDescent="0.25">
      <c r="A12497" s="64" t="str">
        <f>HYPERLINK("http://www.twitter.com/GaryMull86", "GaryMull86")</f>
        <v>GaryMull86</v>
      </c>
      <c r="B12497" s="65"/>
    </row>
    <row r="12498" spans="1:2" x14ac:dyDescent="0.25">
      <c r="A12498" s="64" t="str">
        <f>HYPERLINK("http://www.twitter.com/patabit", "patabit")</f>
        <v>patabit</v>
      </c>
      <c r="B12498" s="65" t="s">
        <v>7738</v>
      </c>
    </row>
    <row r="12499" spans="1:2" x14ac:dyDescent="0.25">
      <c r="A12499" s="64" t="str">
        <f>HYPERLINK("http://www.twitter.com/Sparklechops730", "Sparklechops730")</f>
        <v>Sparklechops730</v>
      </c>
      <c r="B12499" s="65"/>
    </row>
    <row r="12500" spans="1:2" x14ac:dyDescent="0.25">
      <c r="A12500" s="64" t="str">
        <f>HYPERLINK("http://www.twitter.com/Vengerball", "Vengerball")</f>
        <v>Vengerball</v>
      </c>
      <c r="B12500" s="65" t="s">
        <v>4692</v>
      </c>
    </row>
    <row r="12501" spans="1:2" x14ac:dyDescent="0.25">
      <c r="A12501" s="64" t="str">
        <f>HYPERLINK("http://www.twitter.com/MichaelUmhoefer", "MichaelUmhoefer")</f>
        <v>MichaelUmhoefer</v>
      </c>
      <c r="B12501" s="65"/>
    </row>
    <row r="12502" spans="1:2" x14ac:dyDescent="0.25">
      <c r="A12502" s="64" t="str">
        <f>HYPERLINK("http://www.twitter.com/smzcw", "smzcw")</f>
        <v>smzcw</v>
      </c>
      <c r="B12502" s="65" t="s">
        <v>2142</v>
      </c>
    </row>
    <row r="12503" spans="1:2" x14ac:dyDescent="0.25">
      <c r="A12503" s="64" t="str">
        <f>HYPERLINK("http://www.twitter.com/DrCorinneHyde", "DrCorinneHyde")</f>
        <v>DrCorinneHyde</v>
      </c>
      <c r="B12503" s="65" t="s">
        <v>7739</v>
      </c>
    </row>
    <row r="12504" spans="1:2" x14ac:dyDescent="0.25">
      <c r="A12504" s="64" t="str">
        <f>HYPERLINK("http://www.twitter.com/GuerillaGrrl", "GuerillaGrrl")</f>
        <v>GuerillaGrrl</v>
      </c>
      <c r="B12504" s="65" t="s">
        <v>36</v>
      </c>
    </row>
    <row r="12505" spans="1:2" x14ac:dyDescent="0.25">
      <c r="A12505" s="64" t="str">
        <f>HYPERLINK("http://www.twitter.com/PamKlem", "PamKlem")</f>
        <v>PamKlem</v>
      </c>
      <c r="B12505" s="65"/>
    </row>
    <row r="12506" spans="1:2" x14ac:dyDescent="0.25">
      <c r="A12506" s="64" t="str">
        <f>HYPERLINK("http://www.twitter.com/HeatherLesko", "HeatherLesko")</f>
        <v>HeatherLesko</v>
      </c>
      <c r="B12506" s="65" t="s">
        <v>4858</v>
      </c>
    </row>
    <row r="12507" spans="1:2" x14ac:dyDescent="0.25">
      <c r="A12507" s="64" t="str">
        <f>HYPERLINK("http://www.twitter.com/mrsjmberry", "mrsjmberry")</f>
        <v>mrsjmberry</v>
      </c>
      <c r="B12507" s="65" t="s">
        <v>4676</v>
      </c>
    </row>
    <row r="12508" spans="1:2" x14ac:dyDescent="0.25">
      <c r="A12508" s="64" t="str">
        <f>HYPERLINK("http://www.twitter.com/slashdotat", "slashdotat")</f>
        <v>slashdotat</v>
      </c>
      <c r="B12508" s="65" t="s">
        <v>487</v>
      </c>
    </row>
    <row r="12509" spans="1:2" x14ac:dyDescent="0.25">
      <c r="A12509" s="64" t="str">
        <f>HYPERLINK("http://www.twitter.com/shikate", "shikate")</f>
        <v>shikate</v>
      </c>
      <c r="B12509" s="65" t="s">
        <v>7740</v>
      </c>
    </row>
    <row r="12510" spans="1:2" x14ac:dyDescent="0.25">
      <c r="A12510" s="64" t="str">
        <f>HYPERLINK("http://www.twitter.com/whyK8why", "whyK8why")</f>
        <v>whyK8why</v>
      </c>
      <c r="B12510" s="65" t="s">
        <v>318</v>
      </c>
    </row>
    <row r="12511" spans="1:2" x14ac:dyDescent="0.25">
      <c r="A12511" s="64" t="str">
        <f>HYPERLINK("http://www.twitter.com/milbylibrary", "milbylibrary")</f>
        <v>milbylibrary</v>
      </c>
      <c r="B12511" s="65" t="s">
        <v>5555</v>
      </c>
    </row>
    <row r="12512" spans="1:2" x14ac:dyDescent="0.25">
      <c r="A12512" s="64" t="str">
        <f>HYPERLINK("http://www.twitter.com/luizagmacedo", "luizagmacedo")</f>
        <v>luizagmacedo</v>
      </c>
      <c r="B12512" s="65"/>
    </row>
    <row r="12513" spans="1:2" x14ac:dyDescent="0.25">
      <c r="A12513" s="64" t="str">
        <f>HYPERLINK("http://www.twitter.com/Lost_Luna", "Lost_Luna")</f>
        <v>Lost_Luna</v>
      </c>
      <c r="B12513" s="65" t="s">
        <v>517</v>
      </c>
    </row>
    <row r="12514" spans="1:2" x14ac:dyDescent="0.25">
      <c r="A12514" s="64" t="str">
        <f>HYPERLINK("http://www.twitter.com/er_graham", "er_graham")</f>
        <v>er_graham</v>
      </c>
      <c r="B12514" s="65" t="s">
        <v>3949</v>
      </c>
    </row>
    <row r="12515" spans="1:2" x14ac:dyDescent="0.25">
      <c r="A12515" s="64" t="str">
        <f>HYPERLINK("http://www.twitter.com/biskitbeetle", "biskitbeetle")</f>
        <v>biskitbeetle</v>
      </c>
      <c r="B12515" s="65" t="s">
        <v>7741</v>
      </c>
    </row>
    <row r="12516" spans="1:2" x14ac:dyDescent="0.25">
      <c r="A12516" s="64" t="str">
        <f>HYPERLINK("http://www.twitter.com/PelegrinoMilena", "PelegrinoMilena")</f>
        <v>PelegrinoMilena</v>
      </c>
      <c r="B12516" s="65"/>
    </row>
    <row r="12517" spans="1:2" x14ac:dyDescent="0.25">
      <c r="A12517" s="64" t="str">
        <f>HYPERLINK("http://www.twitter.com/sallyjclegg", "sallyjclegg")</f>
        <v>sallyjclegg</v>
      </c>
      <c r="B12517" s="65" t="s">
        <v>5212</v>
      </c>
    </row>
    <row r="12518" spans="1:2" x14ac:dyDescent="0.25">
      <c r="A12518" s="64" t="str">
        <f>HYPERLINK("http://www.twitter.com/physicister", "physicister")</f>
        <v>physicister</v>
      </c>
      <c r="B12518" s="65" t="s">
        <v>2007</v>
      </c>
    </row>
    <row r="12519" spans="1:2" x14ac:dyDescent="0.25">
      <c r="A12519" s="64" t="str">
        <f>HYPERLINK("http://www.twitter.com/PandaBurns", "PandaBurns")</f>
        <v>PandaBurns</v>
      </c>
      <c r="B12519" s="65"/>
    </row>
    <row r="12520" spans="1:2" x14ac:dyDescent="0.25">
      <c r="A12520" s="64" t="str">
        <f>HYPERLINK("http://www.twitter.com/andrejchudy", "andrejchudy")</f>
        <v>andrejchudy</v>
      </c>
      <c r="B12520" s="65" t="s">
        <v>36</v>
      </c>
    </row>
    <row r="12521" spans="1:2" x14ac:dyDescent="0.25">
      <c r="A12521" s="64" t="str">
        <f>HYPERLINK("http://www.twitter.com/mcdez", "mcdez")</f>
        <v>mcdez</v>
      </c>
      <c r="B12521" s="65" t="s">
        <v>36</v>
      </c>
    </row>
    <row r="12522" spans="1:2" x14ac:dyDescent="0.25">
      <c r="A12522" s="64" t="str">
        <f>HYPERLINK("http://www.twitter.com/marsgirl23", "marsgirl23")</f>
        <v>marsgirl23</v>
      </c>
      <c r="B12522" s="65" t="s">
        <v>7742</v>
      </c>
    </row>
    <row r="12523" spans="1:2" x14ac:dyDescent="0.25">
      <c r="A12523" s="64" t="str">
        <f>HYPERLINK("http://www.twitter.com/DinosaurBooksCo", "DinosaurBooksCo")</f>
        <v>DinosaurBooksCo</v>
      </c>
      <c r="B12523" s="65" t="s">
        <v>7743</v>
      </c>
    </row>
    <row r="12524" spans="1:2" x14ac:dyDescent="0.25">
      <c r="A12524" s="64" t="str">
        <f>HYPERLINK("http://www.twitter.com/Seitenhain", "Seitenhain")</f>
        <v>Seitenhain</v>
      </c>
      <c r="B12524" s="65"/>
    </row>
    <row r="12525" spans="1:2" x14ac:dyDescent="0.25">
      <c r="A12525" s="64" t="str">
        <f>HYPERLINK("http://www.twitter.com/DavidNicholas56", "DavidNicholas56")</f>
        <v>DavidNicholas56</v>
      </c>
      <c r="B12525" s="65"/>
    </row>
    <row r="12526" spans="1:2" x14ac:dyDescent="0.25">
      <c r="A12526" s="64" t="str">
        <f>HYPERLINK("http://www.twitter.com/Ns78Samoo", "Ns78Samoo")</f>
        <v>Ns78Samoo</v>
      </c>
      <c r="B12526" s="65"/>
    </row>
    <row r="12527" spans="1:2" x14ac:dyDescent="0.25">
      <c r="A12527" s="64" t="str">
        <f>HYPERLINK("http://www.twitter.com/fhennessy", "fhennessy")</f>
        <v>fhennessy</v>
      </c>
      <c r="B12527" s="65"/>
    </row>
    <row r="12528" spans="1:2" x14ac:dyDescent="0.25">
      <c r="A12528" s="64" t="str">
        <f>HYPERLINK("http://www.twitter.com/Rebekkah", "Rebekkah")</f>
        <v>Rebekkah</v>
      </c>
      <c r="B12528" s="65" t="s">
        <v>7744</v>
      </c>
    </row>
    <row r="12529" spans="1:2" x14ac:dyDescent="0.25">
      <c r="A12529" s="64" t="str">
        <f>HYPERLINK("http://www.twitter.com/Nathanael_V", "Nathanael_V")</f>
        <v>Nathanael_V</v>
      </c>
      <c r="B12529" s="65"/>
    </row>
    <row r="12530" spans="1:2" x14ac:dyDescent="0.25">
      <c r="A12530" s="64" t="str">
        <f>HYPERLINK("http://www.twitter.com/barryleaboston", "barryleaboston")</f>
        <v>barryleaboston</v>
      </c>
      <c r="B12530" s="65" t="s">
        <v>7745</v>
      </c>
    </row>
    <row r="12531" spans="1:2" x14ac:dyDescent="0.25">
      <c r="A12531" s="64" t="str">
        <f>HYPERLINK("http://www.twitter.com/PCollins_89", "PCollins_89")</f>
        <v>PCollins_89</v>
      </c>
      <c r="B12531" s="65" t="s">
        <v>36</v>
      </c>
    </row>
    <row r="12532" spans="1:2" x14ac:dyDescent="0.25">
      <c r="A12532" s="64" t="str">
        <f>HYPERLINK("http://www.twitter.com/yszi", "yszi")</f>
        <v>yszi</v>
      </c>
      <c r="B12532" s="65" t="s">
        <v>110</v>
      </c>
    </row>
    <row r="12533" spans="1:2" x14ac:dyDescent="0.25">
      <c r="A12533" s="64" t="str">
        <f>HYPERLINK("http://www.twitter.com/HaiHelloYo", "HaiHelloYo")</f>
        <v>HaiHelloYo</v>
      </c>
      <c r="B12533" s="65" t="s">
        <v>2007</v>
      </c>
    </row>
    <row r="12534" spans="1:2" x14ac:dyDescent="0.25">
      <c r="A12534" s="64" t="str">
        <f>HYPERLINK("http://www.twitter.com/HannahZakari", "HannahZakari")</f>
        <v>HannahZakari</v>
      </c>
      <c r="B12534" s="65" t="s">
        <v>24</v>
      </c>
    </row>
    <row r="12535" spans="1:2" x14ac:dyDescent="0.25">
      <c r="A12535" s="64" t="str">
        <f>HYPERLINK("http://www.twitter.com/Melvooxd", "Melvooxd")</f>
        <v>Melvooxd</v>
      </c>
      <c r="B12535" s="65" t="s">
        <v>318</v>
      </c>
    </row>
    <row r="12536" spans="1:2" x14ac:dyDescent="0.25">
      <c r="A12536" s="64" t="str">
        <f>HYPERLINK("http://www.twitter.com/kieran0610", "kieran0610")</f>
        <v>kieran0610</v>
      </c>
      <c r="B12536" s="65" t="s">
        <v>7746</v>
      </c>
    </row>
    <row r="12537" spans="1:2" x14ac:dyDescent="0.25">
      <c r="A12537" s="64" t="str">
        <f>HYPERLINK("http://www.twitter.com/jonnypiston", "jonnypiston")</f>
        <v>jonnypiston</v>
      </c>
      <c r="B12537" s="65" t="s">
        <v>4177</v>
      </c>
    </row>
    <row r="12538" spans="1:2" x14ac:dyDescent="0.25">
      <c r="A12538" s="64" t="str">
        <f>HYPERLINK("http://www.twitter.com/annabeep", "annabeep")</f>
        <v>annabeep</v>
      </c>
      <c r="B12538" s="65" t="s">
        <v>7747</v>
      </c>
    </row>
    <row r="12539" spans="1:2" x14ac:dyDescent="0.25">
      <c r="A12539" s="64" t="str">
        <f>HYPERLINK("http://www.twitter.com/bethgordon", "bethgordon")</f>
        <v>bethgordon</v>
      </c>
      <c r="B12539" s="65" t="s">
        <v>36</v>
      </c>
    </row>
    <row r="12540" spans="1:2" x14ac:dyDescent="0.25">
      <c r="A12540" s="64" t="str">
        <f>HYPERLINK("http://www.twitter.com/bobcass71", "bobcass71")</f>
        <v>bobcass71</v>
      </c>
      <c r="B12540" s="65" t="s">
        <v>7748</v>
      </c>
    </row>
    <row r="12541" spans="1:2" x14ac:dyDescent="0.25">
      <c r="A12541" s="64" t="str">
        <f>HYPERLINK("http://www.twitter.com/gez1967", "gez1967")</f>
        <v>gez1967</v>
      </c>
      <c r="B12541" s="65" t="s">
        <v>7749</v>
      </c>
    </row>
    <row r="12542" spans="1:2" x14ac:dyDescent="0.25">
      <c r="A12542" s="64" t="str">
        <f>HYPERLINK("http://www.twitter.com/jamila169", "jamila169")</f>
        <v>jamila169</v>
      </c>
      <c r="B12542" s="65" t="s">
        <v>7750</v>
      </c>
    </row>
    <row r="12543" spans="1:2" x14ac:dyDescent="0.25">
      <c r="A12543" s="64" t="str">
        <f>HYPERLINK("http://www.twitter.com/DinaRuns", "DinaRuns")</f>
        <v>DinaRuns</v>
      </c>
      <c r="B12543" s="65" t="s">
        <v>7751</v>
      </c>
    </row>
    <row r="12544" spans="1:2" x14ac:dyDescent="0.25">
      <c r="A12544" s="64" t="str">
        <f>HYPERLINK("http://www.twitter.com/kingofchivalry1", "kingofchivalry1")</f>
        <v>kingofchivalry1</v>
      </c>
      <c r="B12544" s="65" t="s">
        <v>7752</v>
      </c>
    </row>
    <row r="12545" spans="1:2" x14ac:dyDescent="0.25">
      <c r="A12545" s="64" t="str">
        <f>HYPERLINK("http://www.twitter.com/TinaRobertson2", "TinaRobertson2")</f>
        <v>TinaRobertson2</v>
      </c>
      <c r="B12545" s="65"/>
    </row>
    <row r="12546" spans="1:2" x14ac:dyDescent="0.25">
      <c r="A12546" s="64" t="str">
        <f>HYPERLINK("http://www.twitter.com/merlyndriver", "merlyndriver")</f>
        <v>merlyndriver</v>
      </c>
      <c r="B12546" s="65" t="s">
        <v>7753</v>
      </c>
    </row>
    <row r="12547" spans="1:2" x14ac:dyDescent="0.25">
      <c r="A12547" s="64" t="str">
        <f>HYPERLINK("http://www.twitter.com/amysueamysue", "amysueamysue")</f>
        <v>amysueamysue</v>
      </c>
      <c r="B12547" s="65" t="s">
        <v>7754</v>
      </c>
    </row>
    <row r="12548" spans="1:2" x14ac:dyDescent="0.25">
      <c r="A12548" s="64" t="str">
        <f>HYPERLINK("http://www.twitter.com/RoisinMWhite", "RoisinMWhite")</f>
        <v>RoisinMWhite</v>
      </c>
      <c r="B12548" s="65" t="s">
        <v>3760</v>
      </c>
    </row>
    <row r="12549" spans="1:2" x14ac:dyDescent="0.25">
      <c r="A12549" s="64" t="str">
        <f>HYPERLINK("http://www.twitter.com/ShineyF1", "ShineyF1")</f>
        <v>ShineyF1</v>
      </c>
      <c r="B12549" s="65" t="s">
        <v>7755</v>
      </c>
    </row>
    <row r="12550" spans="1:2" x14ac:dyDescent="0.25">
      <c r="A12550" s="64" t="str">
        <f>HYPERLINK("http://www.twitter.com/EvilCaz78", "EvilCaz78")</f>
        <v>EvilCaz78</v>
      </c>
      <c r="B12550" s="65" t="s">
        <v>6940</v>
      </c>
    </row>
    <row r="12551" spans="1:2" x14ac:dyDescent="0.25">
      <c r="A12551" s="64" t="str">
        <f>HYPERLINK("http://www.twitter.com/macelven", "macelven")</f>
        <v>macelven</v>
      </c>
      <c r="B12551" s="65" t="s">
        <v>7756</v>
      </c>
    </row>
    <row r="12552" spans="1:2" x14ac:dyDescent="0.25">
      <c r="A12552" s="64" t="str">
        <f>HYPERLINK("http://www.twitter.com/UoEHeritageColl", "UoEHeritageColl")</f>
        <v>UoEHeritageColl</v>
      </c>
      <c r="B12552" s="65" t="s">
        <v>630</v>
      </c>
    </row>
    <row r="12553" spans="1:2" x14ac:dyDescent="0.25">
      <c r="A12553" s="64" t="str">
        <f>HYPERLINK("http://www.twitter.com/rhymeswithjoey", "rhymeswithjoey")</f>
        <v>rhymeswithjoey</v>
      </c>
      <c r="B12553" s="65" t="s">
        <v>7757</v>
      </c>
    </row>
    <row r="12554" spans="1:2" x14ac:dyDescent="0.25">
      <c r="A12554" s="64" t="str">
        <f>HYPERLINK("http://www.twitter.com/EllieSin", "EllieSin")</f>
        <v>EllieSin</v>
      </c>
      <c r="B12554" s="65" t="s">
        <v>7758</v>
      </c>
    </row>
    <row r="12555" spans="1:2" x14ac:dyDescent="0.25">
      <c r="A12555" s="64" t="str">
        <f>HYPERLINK("http://www.twitter.com/gadha1998", "gadha1998")</f>
        <v>gadha1998</v>
      </c>
      <c r="B12555" s="65"/>
    </row>
    <row r="12556" spans="1:2" x14ac:dyDescent="0.25">
      <c r="A12556" s="64" t="str">
        <f>HYPERLINK("http://www.twitter.com/mandypet", "mandypet")</f>
        <v>mandypet</v>
      </c>
      <c r="B12556" s="65" t="s">
        <v>7759</v>
      </c>
    </row>
    <row r="12557" spans="1:2" x14ac:dyDescent="0.25">
      <c r="A12557" s="64" t="str">
        <f>HYPERLINK("http://www.twitter.com/yfjohans", "yfjohans")</f>
        <v>yfjohans</v>
      </c>
      <c r="B12557" s="65" t="s">
        <v>7327</v>
      </c>
    </row>
    <row r="12558" spans="1:2" x14ac:dyDescent="0.25">
      <c r="A12558" s="64" t="str">
        <f>HYPERLINK("http://www.twitter.com/InekaH", "InekaH")</f>
        <v>InekaH</v>
      </c>
      <c r="B12558" s="65" t="s">
        <v>36</v>
      </c>
    </row>
    <row r="12559" spans="1:2" x14ac:dyDescent="0.25">
      <c r="A12559" s="64" t="str">
        <f>HYPERLINK("http://www.twitter.com/egwiltshire", "egwiltshire")</f>
        <v>egwiltshire</v>
      </c>
      <c r="B12559" s="65" t="s">
        <v>2289</v>
      </c>
    </row>
    <row r="12560" spans="1:2" x14ac:dyDescent="0.25">
      <c r="A12560" s="64" t="str">
        <f>HYPERLINK("http://www.twitter.com/LehanneAndrade", "LehanneAndrade")</f>
        <v>LehanneAndrade</v>
      </c>
      <c r="B12560" s="65" t="s">
        <v>6894</v>
      </c>
    </row>
    <row r="12561" spans="1:2" x14ac:dyDescent="0.25">
      <c r="A12561" s="64" t="str">
        <f>HYPERLINK("http://www.twitter.com/wortwarenladen", "wortwarenladen")</f>
        <v>wortwarenladen</v>
      </c>
      <c r="B12561" s="65" t="s">
        <v>7760</v>
      </c>
    </row>
    <row r="12562" spans="1:2" x14ac:dyDescent="0.25">
      <c r="A12562" s="64" t="str">
        <f>HYPERLINK("http://www.twitter.com/agow", "agow")</f>
        <v>agow</v>
      </c>
      <c r="B12562" s="65"/>
    </row>
    <row r="12563" spans="1:2" x14ac:dyDescent="0.25">
      <c r="A12563" s="64" t="str">
        <f>HYPERLINK("http://www.twitter.com/heatheriqbal", "heatheriqbal")</f>
        <v>heatheriqbal</v>
      </c>
      <c r="B12563" s="65" t="s">
        <v>7761</v>
      </c>
    </row>
    <row r="12564" spans="1:2" x14ac:dyDescent="0.25">
      <c r="A12564" s="64" t="str">
        <f>HYPERLINK("http://www.twitter.com/ElleCarterNeal", "ElleCarterNeal")</f>
        <v>ElleCarterNeal</v>
      </c>
      <c r="B12564" s="65" t="s">
        <v>4147</v>
      </c>
    </row>
    <row r="12565" spans="1:2" x14ac:dyDescent="0.25">
      <c r="A12565" s="64" t="str">
        <f>HYPERLINK("http://www.twitter.com/AlexR_Milani", "AlexR_Milani")</f>
        <v>AlexR_Milani</v>
      </c>
      <c r="B12565" s="65" t="s">
        <v>7027</v>
      </c>
    </row>
    <row r="12566" spans="1:2" x14ac:dyDescent="0.25">
      <c r="A12566" s="64" t="str">
        <f>HYPERLINK("http://www.twitter.com/CailinCunniffe", "CailinCunniffe")</f>
        <v>CailinCunniffe</v>
      </c>
      <c r="B12566" s="65" t="s">
        <v>4062</v>
      </c>
    </row>
    <row r="12567" spans="1:2" x14ac:dyDescent="0.25">
      <c r="A12567" s="64" t="str">
        <f>HYPERLINK("http://www.twitter.com/evlroy", "evlroy")</f>
        <v>evlroy</v>
      </c>
      <c r="B12567" s="65"/>
    </row>
    <row r="12568" spans="1:2" x14ac:dyDescent="0.25">
      <c r="A12568" s="64" t="str">
        <f>HYPERLINK("http://www.twitter.com/meatyloafy", "meatyloafy")</f>
        <v>meatyloafy</v>
      </c>
      <c r="B12568" s="65" t="s">
        <v>36</v>
      </c>
    </row>
    <row r="12569" spans="1:2" x14ac:dyDescent="0.25">
      <c r="A12569" s="64" t="str">
        <f>HYPERLINK("http://www.twitter.com/EmBedfd", "EmBedfd")</f>
        <v>EmBedfd</v>
      </c>
      <c r="B12569" s="65"/>
    </row>
    <row r="12570" spans="1:2" x14ac:dyDescent="0.25">
      <c r="A12570" s="64" t="str">
        <f>HYPERLINK("http://www.twitter.com/ZaraSheerin", "ZaraSheerin")</f>
        <v>ZaraSheerin</v>
      </c>
      <c r="B12570" s="65" t="s">
        <v>6384</v>
      </c>
    </row>
    <row r="12571" spans="1:2" x14ac:dyDescent="0.25">
      <c r="A12571" s="64" t="str">
        <f>HYPERLINK("http://www.twitter.com/SingleSpeedMike", "SingleSpeedMike")</f>
        <v>SingleSpeedMike</v>
      </c>
      <c r="B12571" s="65" t="s">
        <v>505</v>
      </c>
    </row>
    <row r="12572" spans="1:2" x14ac:dyDescent="0.25">
      <c r="A12572" s="64" t="str">
        <f>HYPERLINK("http://www.twitter.com/shaundbell", "shaundbell")</f>
        <v>shaundbell</v>
      </c>
      <c r="B12572" s="65" t="s">
        <v>24</v>
      </c>
    </row>
    <row r="12573" spans="1:2" x14ac:dyDescent="0.25">
      <c r="A12573" s="64" t="str">
        <f>HYPERLINK("http://www.twitter.com/WildmanAnna", "WildmanAnna")</f>
        <v>WildmanAnna</v>
      </c>
      <c r="B12573" s="65" t="s">
        <v>1078</v>
      </c>
    </row>
    <row r="12574" spans="1:2" x14ac:dyDescent="0.25">
      <c r="A12574" s="64" t="str">
        <f>HYPERLINK("http://www.twitter.com/deanalc", "deanalc")</f>
        <v>deanalc</v>
      </c>
      <c r="B12574" s="65"/>
    </row>
    <row r="12575" spans="1:2" x14ac:dyDescent="0.25">
      <c r="A12575" s="64" t="str">
        <f>HYPERLINK("http://www.twitter.com/LP_CarnegieUK", "LP_CarnegieUK")</f>
        <v>LP_CarnegieUK</v>
      </c>
      <c r="B12575" s="65" t="s">
        <v>421</v>
      </c>
    </row>
    <row r="12576" spans="1:2" x14ac:dyDescent="0.25">
      <c r="A12576" s="64" t="str">
        <f>HYPERLINK("http://www.twitter.com/AlisonFroese", "AlisonFroese")</f>
        <v>AlisonFroese</v>
      </c>
      <c r="B12576" s="65" t="s">
        <v>3990</v>
      </c>
    </row>
    <row r="12577" spans="1:2" x14ac:dyDescent="0.25">
      <c r="A12577" s="64" t="str">
        <f>HYPERLINK("http://www.twitter.com/ArtsPartSA", "ArtsPartSA")</f>
        <v>ArtsPartSA</v>
      </c>
      <c r="B12577" s="65" t="s">
        <v>7762</v>
      </c>
    </row>
    <row r="12578" spans="1:2" x14ac:dyDescent="0.25">
      <c r="A12578" s="64" t="str">
        <f>HYPERLINK("http://www.twitter.com/corinafletcher", "corinafletcher")</f>
        <v>corinafletcher</v>
      </c>
      <c r="B12578" s="65" t="s">
        <v>1490</v>
      </c>
    </row>
    <row r="12579" spans="1:2" x14ac:dyDescent="0.25">
      <c r="A12579" s="64" t="str">
        <f>HYPERLINK("http://www.twitter.com/upperlodge", "upperlodge")</f>
        <v>upperlodge</v>
      </c>
      <c r="B12579" s="65" t="s">
        <v>7763</v>
      </c>
    </row>
    <row r="12580" spans="1:2" x14ac:dyDescent="0.25">
      <c r="A12580" s="64" t="str">
        <f>HYPERLINK("http://www.twitter.com/photographer77", "photographer77")</f>
        <v>photographer77</v>
      </c>
      <c r="B12580" s="65"/>
    </row>
    <row r="12581" spans="1:2" x14ac:dyDescent="0.25">
      <c r="A12581" s="64" t="str">
        <f>HYPERLINK("http://www.twitter.com/AlexMcVey1", "AlexMcVey1")</f>
        <v>AlexMcVey1</v>
      </c>
      <c r="B12581" s="65"/>
    </row>
    <row r="12582" spans="1:2" x14ac:dyDescent="0.25">
      <c r="A12582" s="64" t="str">
        <f>HYPERLINK("http://www.twitter.com/elStoopio", "elStoopio")</f>
        <v>elStoopio</v>
      </c>
      <c r="B12582" s="65"/>
    </row>
    <row r="12583" spans="1:2" x14ac:dyDescent="0.25">
      <c r="A12583" s="64" t="str">
        <f>HYPERLINK("http://www.twitter.com/SuzieVestri", "SuzieVestri")</f>
        <v>SuzieVestri</v>
      </c>
      <c r="B12583" s="65" t="s">
        <v>4969</v>
      </c>
    </row>
    <row r="12584" spans="1:2" x14ac:dyDescent="0.25">
      <c r="A12584" s="64" t="str">
        <f>HYPERLINK("http://www.twitter.com/CraftyClairy", "CraftyClairy")</f>
        <v>CraftyClairy</v>
      </c>
      <c r="B12584" s="65"/>
    </row>
    <row r="12585" spans="1:2" x14ac:dyDescent="0.25">
      <c r="A12585" s="64" t="str">
        <f>HYPERLINK("http://www.twitter.com/xevajx", "xevajx")</f>
        <v>xevajx</v>
      </c>
      <c r="B12585" s="65"/>
    </row>
    <row r="12586" spans="1:2" x14ac:dyDescent="0.25">
      <c r="A12586" s="64" t="str">
        <f>HYPERLINK("http://www.twitter.com/LeoHMac", "LeoHMac")</f>
        <v>LeoHMac</v>
      </c>
      <c r="B12586" s="65"/>
    </row>
    <row r="12587" spans="1:2" x14ac:dyDescent="0.25">
      <c r="A12587" s="64" t="str">
        <f>HYPERLINK("http://www.twitter.com/awhitesubmarine", "awhitesubmarine")</f>
        <v>awhitesubmarine</v>
      </c>
      <c r="B12587" s="65"/>
    </row>
    <row r="12588" spans="1:2" x14ac:dyDescent="0.25">
      <c r="A12588" s="64" t="str">
        <f>HYPERLINK("http://www.twitter.com/limansell", "limansell")</f>
        <v>limansell</v>
      </c>
      <c r="B12588" s="65" t="s">
        <v>7764</v>
      </c>
    </row>
    <row r="12589" spans="1:2" x14ac:dyDescent="0.25">
      <c r="A12589" s="64" t="str">
        <f>HYPERLINK("http://www.twitter.com/Mirowane", "Mirowane")</f>
        <v>Mirowane</v>
      </c>
      <c r="B12589" s="65"/>
    </row>
    <row r="12590" spans="1:2" x14ac:dyDescent="0.25">
      <c r="A12590" s="64" t="str">
        <f>HYPERLINK("http://www.twitter.com/pugnaciously", "pugnaciously")</f>
        <v>pugnaciously</v>
      </c>
      <c r="B12590" s="65" t="s">
        <v>5482</v>
      </c>
    </row>
    <row r="12591" spans="1:2" x14ac:dyDescent="0.25">
      <c r="A12591" s="64" t="str">
        <f>HYPERLINK("http://www.twitter.com/trioptimum", "trioptimum")</f>
        <v>trioptimum</v>
      </c>
      <c r="B12591" s="65" t="s">
        <v>7750</v>
      </c>
    </row>
    <row r="12592" spans="1:2" x14ac:dyDescent="0.25">
      <c r="A12592" s="64" t="str">
        <f>HYPERLINK("http://www.twitter.com/charliemhaddon", "charliemhaddon")</f>
        <v>charliemhaddon</v>
      </c>
      <c r="B12592" s="65" t="s">
        <v>6208</v>
      </c>
    </row>
    <row r="12593" spans="1:2" x14ac:dyDescent="0.25">
      <c r="A12593" s="64" t="str">
        <f>HYPERLINK("http://www.twitter.com/bieleckaag", "bieleckaag")</f>
        <v>bieleckaag</v>
      </c>
      <c r="B12593" s="65" t="s">
        <v>477</v>
      </c>
    </row>
    <row r="12594" spans="1:2" x14ac:dyDescent="0.25">
      <c r="A12594" s="64" t="str">
        <f>HYPERLINK("http://www.twitter.com/ScWhitehouse", "ScWhitehouse")</f>
        <v>ScWhitehouse</v>
      </c>
      <c r="B12594" s="65" t="s">
        <v>2185</v>
      </c>
    </row>
    <row r="12595" spans="1:2" x14ac:dyDescent="0.25">
      <c r="A12595" s="64" t="str">
        <f>HYPERLINK("http://www.twitter.com/Luciamundi", "Luciamundi")</f>
        <v>Luciamundi</v>
      </c>
      <c r="B12595" s="65" t="s">
        <v>7765</v>
      </c>
    </row>
    <row r="12596" spans="1:2" x14ac:dyDescent="0.25">
      <c r="A12596" s="64" t="str">
        <f>HYPERLINK("http://www.twitter.com/peteblog", "peteblog")</f>
        <v>peteblog</v>
      </c>
      <c r="B12596" s="65" t="s">
        <v>7766</v>
      </c>
    </row>
    <row r="12597" spans="1:2" x14ac:dyDescent="0.25">
      <c r="A12597" s="64" t="str">
        <f>HYPERLINK("http://www.twitter.com/benjohncock", "benjohncock")</f>
        <v>benjohncock</v>
      </c>
      <c r="B12597" s="65" t="s">
        <v>2792</v>
      </c>
    </row>
    <row r="12598" spans="1:2" x14ac:dyDescent="0.25">
      <c r="A12598" s="64" t="str">
        <f>HYPERLINK("http://www.twitter.com/fergusonAMC", "fergusonAMC")</f>
        <v>fergusonAMC</v>
      </c>
      <c r="B12598" s="65"/>
    </row>
    <row r="12599" spans="1:2" x14ac:dyDescent="0.25">
      <c r="A12599" s="64" t="str">
        <f>HYPERLINK("http://www.twitter.com/kayliemc39", "kayliemc39")</f>
        <v>kayliemc39</v>
      </c>
      <c r="B12599" s="65"/>
    </row>
    <row r="12600" spans="1:2" x14ac:dyDescent="0.25">
      <c r="A12600" s="64" t="str">
        <f>HYPERLINK("http://www.twitter.com/sleeuwerck", "sleeuwerck")</f>
        <v>sleeuwerck</v>
      </c>
      <c r="B12600" s="65" t="s">
        <v>3819</v>
      </c>
    </row>
    <row r="12601" spans="1:2" x14ac:dyDescent="0.25">
      <c r="A12601" s="64" t="str">
        <f>HYPERLINK("http://www.twitter.com/watty", "watty")</f>
        <v>watty</v>
      </c>
      <c r="B12601" s="65"/>
    </row>
    <row r="12602" spans="1:2" x14ac:dyDescent="0.25">
      <c r="A12602" s="64" t="str">
        <f>HYPERLINK("http://www.twitter.com/uservole", "uservole")</f>
        <v>uservole</v>
      </c>
      <c r="B12602" s="65"/>
    </row>
    <row r="12603" spans="1:2" x14ac:dyDescent="0.25">
      <c r="A12603" s="64" t="str">
        <f>HYPERLINK("http://www.twitter.com/TheZarahKhan", "TheZarahKhan")</f>
        <v>TheZarahKhan</v>
      </c>
      <c r="B12603" s="65" t="s">
        <v>7767</v>
      </c>
    </row>
    <row r="12604" spans="1:2" x14ac:dyDescent="0.25">
      <c r="A12604" s="64" t="str">
        <f>HYPERLINK("http://www.twitter.com/jenileamichaela", "jenileamichaela")</f>
        <v>jenileamichaela</v>
      </c>
      <c r="B12604" s="65" t="s">
        <v>7768</v>
      </c>
    </row>
    <row r="12605" spans="1:2" x14ac:dyDescent="0.25">
      <c r="A12605" s="64" t="str">
        <f>HYPERLINK("http://www.twitter.com/HennaWalsh", "HennaWalsh")</f>
        <v>HennaWalsh</v>
      </c>
      <c r="B12605" s="65" t="s">
        <v>508</v>
      </c>
    </row>
    <row r="12606" spans="1:2" x14ac:dyDescent="0.25">
      <c r="A12606" s="64" t="str">
        <f>HYPERLINK("http://www.twitter.com/StirVolunteer", "StirVolunteer")</f>
        <v>StirVolunteer</v>
      </c>
      <c r="B12606" s="65" t="s">
        <v>4092</v>
      </c>
    </row>
    <row r="12607" spans="1:2" x14ac:dyDescent="0.25">
      <c r="A12607" s="64" t="str">
        <f>HYPERLINK("http://www.twitter.com/KerriDuckworth", "KerriDuckworth")</f>
        <v>KerriDuckworth</v>
      </c>
      <c r="B12607" s="65" t="s">
        <v>3920</v>
      </c>
    </row>
    <row r="12608" spans="1:2" x14ac:dyDescent="0.25">
      <c r="A12608" s="64" t="str">
        <f>HYPERLINK("http://www.twitter.com/eskimonika", "eskimonika")</f>
        <v>eskimonika</v>
      </c>
      <c r="B12608" s="65" t="s">
        <v>7646</v>
      </c>
    </row>
    <row r="12609" spans="1:2" x14ac:dyDescent="0.25">
      <c r="A12609" s="64" t="str">
        <f>HYPERLINK("http://www.twitter.com/sinahar", "sinahar")</f>
        <v>sinahar</v>
      </c>
      <c r="B12609" s="65" t="s">
        <v>7769</v>
      </c>
    </row>
    <row r="12610" spans="1:2" x14ac:dyDescent="0.25">
      <c r="A12610" s="64" t="str">
        <f>HYPERLINK("http://www.twitter.com/mdasc2014", "mdasc2014")</f>
        <v>mdasc2014</v>
      </c>
      <c r="B12610" s="65"/>
    </row>
    <row r="12611" spans="1:2" x14ac:dyDescent="0.25">
      <c r="A12611" s="64" t="str">
        <f>HYPERLINK("http://www.twitter.com/yewbarrow", "yewbarrow")</f>
        <v>yewbarrow</v>
      </c>
      <c r="B12611" s="65"/>
    </row>
    <row r="12612" spans="1:2" x14ac:dyDescent="0.25">
      <c r="A12612" s="64" t="str">
        <f>HYPERLINK("http://www.twitter.com/ClassicalEar", "ClassicalEar")</f>
        <v>ClassicalEar</v>
      </c>
      <c r="B12612" s="65" t="s">
        <v>1511</v>
      </c>
    </row>
    <row r="12613" spans="1:2" x14ac:dyDescent="0.25">
      <c r="A12613" s="64" t="str">
        <f>HYPERLINK("http://www.twitter.com/CarolineLDaly", "CarolineLDaly")</f>
        <v>CarolineLDaly</v>
      </c>
      <c r="B12613" s="65" t="s">
        <v>36</v>
      </c>
    </row>
    <row r="12614" spans="1:2" x14ac:dyDescent="0.25">
      <c r="A12614" s="64" t="str">
        <f>HYPERLINK("http://www.twitter.com/samphiretang", "samphiretang")</f>
        <v>samphiretang</v>
      </c>
      <c r="B12614" s="65" t="s">
        <v>517</v>
      </c>
    </row>
    <row r="12615" spans="1:2" x14ac:dyDescent="0.25">
      <c r="A12615" s="64" t="str">
        <f>HYPERLINK("http://www.twitter.com/weesteffi", "weesteffi")</f>
        <v>weesteffi</v>
      </c>
      <c r="B12615" s="65"/>
    </row>
    <row r="12616" spans="1:2" x14ac:dyDescent="0.25">
      <c r="A12616" s="64" t="str">
        <f>HYPERLINK("http://www.twitter.com/DonIsAGamer", "DonIsAGamer")</f>
        <v>DonIsAGamer</v>
      </c>
      <c r="B12616" s="65"/>
    </row>
    <row r="12617" spans="1:2" x14ac:dyDescent="0.25">
      <c r="A12617" s="64" t="str">
        <f>HYPERLINK("http://www.twitter.com/a_cruickshank", "a_cruickshank")</f>
        <v>a_cruickshank</v>
      </c>
      <c r="B12617" s="65"/>
    </row>
    <row r="12618" spans="1:2" x14ac:dyDescent="0.25">
      <c r="A12618" s="64" t="str">
        <f>HYPERLINK("http://www.twitter.com/pelesbigtoe", "pelesbigtoe")</f>
        <v>pelesbigtoe</v>
      </c>
      <c r="B12618" s="65"/>
    </row>
    <row r="12619" spans="1:2" x14ac:dyDescent="0.25">
      <c r="A12619" s="64" t="str">
        <f>HYPERLINK("http://www.twitter.com/KatieCompton11", "KatieCompton11")</f>
        <v>KatieCompton11</v>
      </c>
      <c r="B12619" s="65"/>
    </row>
    <row r="12620" spans="1:2" x14ac:dyDescent="0.25">
      <c r="A12620" s="64" t="str">
        <f>HYPERLINK("http://www.twitter.com/amym_clarke", "amym_clarke")</f>
        <v>amym_clarke</v>
      </c>
      <c r="B12620" s="65" t="s">
        <v>4040</v>
      </c>
    </row>
    <row r="12621" spans="1:2" x14ac:dyDescent="0.25">
      <c r="A12621" s="64" t="str">
        <f>HYPERLINK("http://www.twitter.com/hannahlarkin", "hannahlarkin")</f>
        <v>hannahlarkin</v>
      </c>
      <c r="B12621" s="65" t="s">
        <v>296</v>
      </c>
    </row>
    <row r="12622" spans="1:2" x14ac:dyDescent="0.25">
      <c r="A12622" s="64" t="str">
        <f>HYPERLINK("http://www.twitter.com/cazzapye", "cazzapye")</f>
        <v>cazzapye</v>
      </c>
      <c r="B12622" s="65" t="s">
        <v>7770</v>
      </c>
    </row>
    <row r="12623" spans="1:2" x14ac:dyDescent="0.25">
      <c r="A12623" s="64" t="str">
        <f>HYPERLINK("http://www.twitter.com/TraceyGarbarino", "TraceyGarbarino")</f>
        <v>TraceyGarbarino</v>
      </c>
      <c r="B12623" s="65"/>
    </row>
    <row r="12624" spans="1:2" x14ac:dyDescent="0.25">
      <c r="A12624" s="64" t="str">
        <f>HYPERLINK("http://www.twitter.com/darren_park1", "darren_park1")</f>
        <v>darren_park1</v>
      </c>
      <c r="B12624" s="65"/>
    </row>
    <row r="12625" spans="1:2" x14ac:dyDescent="0.25">
      <c r="A12625" s="64" t="str">
        <f>HYPERLINK("http://www.twitter.com/VJ", "VJ")</f>
        <v>VJ</v>
      </c>
      <c r="B12625" s="65" t="s">
        <v>6933</v>
      </c>
    </row>
    <row r="12626" spans="1:2" x14ac:dyDescent="0.25">
      <c r="A12626" s="64" t="str">
        <f>HYPERLINK("http://www.twitter.com/kenziesepler", "kenziesepler")</f>
        <v>kenziesepler</v>
      </c>
      <c r="B12626" s="65" t="s">
        <v>477</v>
      </c>
    </row>
    <row r="12627" spans="1:2" x14ac:dyDescent="0.25">
      <c r="A12627" s="64" t="str">
        <f>HYPERLINK("http://www.twitter.com/heljada", "heljada")</f>
        <v>heljada</v>
      </c>
      <c r="B12627" s="65" t="s">
        <v>5339</v>
      </c>
    </row>
    <row r="12628" spans="1:2" x14ac:dyDescent="0.25">
      <c r="A12628" s="64" t="str">
        <f>HYPERLINK("http://www.twitter.com/dansmolkin", "dansmolkin")</f>
        <v>dansmolkin</v>
      </c>
      <c r="B12628" s="65" t="s">
        <v>7771</v>
      </c>
    </row>
    <row r="12629" spans="1:2" x14ac:dyDescent="0.25">
      <c r="A12629" s="64" t="str">
        <f>HYPERLINK("http://www.twitter.com/superpuppee", "superpuppee")</f>
        <v>superpuppee</v>
      </c>
      <c r="B12629" s="65"/>
    </row>
    <row r="12630" spans="1:2" x14ac:dyDescent="0.25">
      <c r="A12630" s="64" t="str">
        <f>HYPERLINK("http://www.twitter.com/finstowndi", "finstowndi")</f>
        <v>finstowndi</v>
      </c>
      <c r="B12630" s="65"/>
    </row>
    <row r="12631" spans="1:2" x14ac:dyDescent="0.25">
      <c r="A12631" s="64" t="str">
        <f>HYPERLINK("http://www.twitter.com/clarex_mc", "clarex_mc")</f>
        <v>clarex_mc</v>
      </c>
      <c r="B12631" s="65"/>
    </row>
    <row r="12632" spans="1:2" x14ac:dyDescent="0.25">
      <c r="A12632" s="64" t="str">
        <f>HYPERLINK("http://www.twitter.com/Neishly", "Neishly")</f>
        <v>Neishly</v>
      </c>
      <c r="B12632" s="65" t="s">
        <v>5667</v>
      </c>
    </row>
    <row r="12633" spans="1:2" x14ac:dyDescent="0.25">
      <c r="A12633" s="64" t="str">
        <f>HYPERLINK("http://www.twitter.com/sarah_059", "sarah_059")</f>
        <v>sarah_059</v>
      </c>
      <c r="B12633" s="65" t="s">
        <v>7772</v>
      </c>
    </row>
    <row r="12634" spans="1:2" x14ac:dyDescent="0.25">
      <c r="A12634" s="64" t="str">
        <f>HYPERLINK("http://www.twitter.com/timothypulleyn", "timothypulleyn")</f>
        <v>timothypulleyn</v>
      </c>
      <c r="B12634" s="65" t="s">
        <v>7773</v>
      </c>
    </row>
    <row r="12635" spans="1:2" x14ac:dyDescent="0.25">
      <c r="A12635" s="64" t="str">
        <f>HYPERLINK("http://www.twitter.com/kadiekanneh", "kadiekanneh")</f>
        <v>kadiekanneh</v>
      </c>
      <c r="B12635" s="65"/>
    </row>
    <row r="12636" spans="1:2" x14ac:dyDescent="0.25">
      <c r="A12636" s="64" t="str">
        <f>HYPERLINK("http://www.twitter.com/leannekmc", "leannekmc")</f>
        <v>leannekmc</v>
      </c>
      <c r="B12636" s="65" t="s">
        <v>487</v>
      </c>
    </row>
    <row r="12637" spans="1:2" x14ac:dyDescent="0.25">
      <c r="A12637" s="64" t="str">
        <f>HYPERLINK("http://www.twitter.com/pt_wilding", "pt_wilding")</f>
        <v>pt_wilding</v>
      </c>
      <c r="B12637" s="65" t="s">
        <v>5089</v>
      </c>
    </row>
    <row r="12638" spans="1:2" x14ac:dyDescent="0.25">
      <c r="A12638" s="64" t="str">
        <f>HYPERLINK("http://www.twitter.com/psychodiva", "psychodiva")</f>
        <v>psychodiva</v>
      </c>
      <c r="B12638" s="65" t="s">
        <v>296</v>
      </c>
    </row>
    <row r="12639" spans="1:2" x14ac:dyDescent="0.25">
      <c r="A12639" s="64" t="str">
        <f>HYPERLINK("http://www.twitter.com/BibliofileAK", "BibliofileAK")</f>
        <v>BibliofileAK</v>
      </c>
      <c r="B12639" s="65"/>
    </row>
    <row r="12640" spans="1:2" x14ac:dyDescent="0.25">
      <c r="A12640" s="64" t="str">
        <f>HYPERLINK("http://www.twitter.com/fsofie", "fsofie")</f>
        <v>fsofie</v>
      </c>
      <c r="B12640" s="65"/>
    </row>
    <row r="12641" spans="1:2" x14ac:dyDescent="0.25">
      <c r="A12641" s="64" t="str">
        <f>HYPERLINK("http://www.twitter.com/hazel_hogg", "hazel_hogg")</f>
        <v>hazel_hogg</v>
      </c>
      <c r="B12641" s="65"/>
    </row>
    <row r="12642" spans="1:2" x14ac:dyDescent="0.25">
      <c r="A12642" s="64" t="str">
        <f>HYPERLINK("http://www.twitter.com/AnotherChewie", "AnotherChewie")</f>
        <v>AnotherChewie</v>
      </c>
      <c r="B12642" s="65" t="s">
        <v>1377</v>
      </c>
    </row>
    <row r="12643" spans="1:2" x14ac:dyDescent="0.25">
      <c r="A12643" s="64" t="str">
        <f>HYPERLINK("http://www.twitter.com/webwanderungen", "webwanderungen")</f>
        <v>webwanderungen</v>
      </c>
      <c r="B12643" s="65" t="s">
        <v>7774</v>
      </c>
    </row>
    <row r="12644" spans="1:2" x14ac:dyDescent="0.25">
      <c r="A12644" s="64" t="str">
        <f>HYPERLINK("http://www.twitter.com/EllieLoredan", "EllieLoredan")</f>
        <v>EllieLoredan</v>
      </c>
      <c r="B12644" s="65" t="s">
        <v>7775</v>
      </c>
    </row>
    <row r="12645" spans="1:2" x14ac:dyDescent="0.25">
      <c r="A12645" s="64" t="str">
        <f>HYPERLINK("http://www.twitter.com/caroltweets", "caroltweets")</f>
        <v>caroltweets</v>
      </c>
      <c r="B12645" s="65" t="s">
        <v>2007</v>
      </c>
    </row>
    <row r="12646" spans="1:2" x14ac:dyDescent="0.25">
      <c r="A12646" s="64" t="str">
        <f>HYPERLINK("http://www.twitter.com/MonzaGT", "MonzaGT")</f>
        <v>MonzaGT</v>
      </c>
      <c r="B12646" s="65" t="s">
        <v>4436</v>
      </c>
    </row>
    <row r="12647" spans="1:2" x14ac:dyDescent="0.25">
      <c r="A12647" s="64" t="str">
        <f>HYPERLINK("http://www.twitter.com/RelindeVV", "RelindeVV")</f>
        <v>RelindeVV</v>
      </c>
      <c r="B12647" s="65" t="s">
        <v>6391</v>
      </c>
    </row>
    <row r="12648" spans="1:2" x14ac:dyDescent="0.25">
      <c r="A12648" s="64" t="str">
        <f>HYPERLINK("http://www.twitter.com/emmastyche", "emmastyche")</f>
        <v>emmastyche</v>
      </c>
      <c r="B12648" s="65" t="s">
        <v>688</v>
      </c>
    </row>
    <row r="12649" spans="1:2" x14ac:dyDescent="0.25">
      <c r="A12649" s="64" t="str">
        <f>HYPERLINK("http://www.twitter.com/AdamLethbridge", "AdamLethbridge")</f>
        <v>AdamLethbridge</v>
      </c>
      <c r="B12649" s="65" t="s">
        <v>7776</v>
      </c>
    </row>
    <row r="12650" spans="1:2" x14ac:dyDescent="0.25">
      <c r="A12650" s="64" t="str">
        <f>HYPERLINK("http://www.twitter.com/nellyblackers", "nellyblackers")</f>
        <v>nellyblackers</v>
      </c>
      <c r="B12650" s="65" t="s">
        <v>7777</v>
      </c>
    </row>
    <row r="12651" spans="1:2" x14ac:dyDescent="0.25">
      <c r="A12651" s="64" t="str">
        <f>HYPERLINK("http://www.twitter.com/StepFleming", "StepFleming")</f>
        <v>StepFleming</v>
      </c>
      <c r="B12651" s="65"/>
    </row>
    <row r="12652" spans="1:2" x14ac:dyDescent="0.25">
      <c r="A12652" s="64" t="str">
        <f>HYPERLINK("http://www.twitter.com/dagemmanuel", "dagemmanuel")</f>
        <v>dagemmanuel</v>
      </c>
      <c r="B12652" s="65"/>
    </row>
    <row r="12653" spans="1:2" x14ac:dyDescent="0.25">
      <c r="A12653" s="64" t="str">
        <f>HYPERLINK("http://www.twitter.com/factoidfan", "factoidfan")</f>
        <v>factoidfan</v>
      </c>
      <c r="B12653" s="65" t="s">
        <v>526</v>
      </c>
    </row>
    <row r="12654" spans="1:2" x14ac:dyDescent="0.25">
      <c r="A12654" s="64" t="str">
        <f>HYPERLINK("http://www.twitter.com/FrauFrank", "FrauFrank")</f>
        <v>FrauFrank</v>
      </c>
      <c r="B12654" s="65" t="s">
        <v>7778</v>
      </c>
    </row>
    <row r="12655" spans="1:2" x14ac:dyDescent="0.25">
      <c r="A12655" s="64" t="str">
        <f>HYPERLINK("http://www.twitter.com/DizzyDean58", "DizzyDean58")</f>
        <v>DizzyDean58</v>
      </c>
      <c r="B12655" s="65" t="s">
        <v>7779</v>
      </c>
    </row>
    <row r="12656" spans="1:2" x14ac:dyDescent="0.25">
      <c r="A12656" s="64" t="str">
        <f>HYPERLINK("http://www.twitter.com/theoneilappeal", "theoneilappeal")</f>
        <v>theoneilappeal</v>
      </c>
      <c r="B12656" s="65" t="s">
        <v>5110</v>
      </c>
    </row>
    <row r="12657" spans="1:2" x14ac:dyDescent="0.25">
      <c r="A12657" s="64" t="str">
        <f>HYPERLINK("http://www.twitter.com/rachfulloftwit", "rachfulloftwit")</f>
        <v>rachfulloftwit</v>
      </c>
      <c r="B12657" s="65" t="s">
        <v>4436</v>
      </c>
    </row>
    <row r="12658" spans="1:2" x14ac:dyDescent="0.25">
      <c r="A12658" s="64" t="str">
        <f>HYPERLINK("http://www.twitter.com/moonfields", "moonfields")</f>
        <v>moonfields</v>
      </c>
      <c r="B12658" s="65" t="s">
        <v>7780</v>
      </c>
    </row>
    <row r="12659" spans="1:2" x14ac:dyDescent="0.25">
      <c r="A12659" s="64" t="str">
        <f>HYPERLINK("http://www.twitter.com/MarianneMxwll", "MarianneMxwll")</f>
        <v>MarianneMxwll</v>
      </c>
      <c r="B12659" s="65" t="s">
        <v>318</v>
      </c>
    </row>
    <row r="12660" spans="1:2" x14ac:dyDescent="0.25">
      <c r="A12660" s="64" t="str">
        <f>HYPERLINK("http://www.twitter.com/eilidhmarks", "eilidhmarks")</f>
        <v>eilidhmarks</v>
      </c>
      <c r="B12660" s="65" t="s">
        <v>24</v>
      </c>
    </row>
    <row r="12661" spans="1:2" x14ac:dyDescent="0.25">
      <c r="A12661" s="64" t="str">
        <f>HYPERLINK("http://www.twitter.com/ecce_signum", "ecce_signum")</f>
        <v>ecce_signum</v>
      </c>
      <c r="B12661" s="65"/>
    </row>
    <row r="12662" spans="1:2" x14ac:dyDescent="0.25">
      <c r="A12662" s="64" t="str">
        <f>HYPERLINK("http://www.twitter.com/M1ppy_", "M1ppy_")</f>
        <v>M1ppy_</v>
      </c>
      <c r="B12662" s="65" t="s">
        <v>7781</v>
      </c>
    </row>
    <row r="12663" spans="1:2" x14ac:dyDescent="0.25">
      <c r="A12663" s="64" t="str">
        <f>HYPERLINK("http://www.twitter.com/C_H_78", "C_H_78")</f>
        <v>C_H_78</v>
      </c>
      <c r="B12663" s="65"/>
    </row>
    <row r="12664" spans="1:2" x14ac:dyDescent="0.25">
      <c r="A12664" s="64" t="str">
        <f>HYPERLINK("http://www.twitter.com/smsproson", "smsproson")</f>
        <v>smsproson</v>
      </c>
      <c r="B12664" s="65" t="s">
        <v>477</v>
      </c>
    </row>
    <row r="12665" spans="1:2" x14ac:dyDescent="0.25">
      <c r="A12665" s="64" t="str">
        <f>HYPERLINK("http://www.twitter.com/Didgeiow", "Didgeiow")</f>
        <v>Didgeiow</v>
      </c>
      <c r="B12665" s="65" t="s">
        <v>3662</v>
      </c>
    </row>
    <row r="12666" spans="1:2" x14ac:dyDescent="0.25">
      <c r="A12666" s="64" t="str">
        <f>HYPERLINK("http://www.twitter.com/laraloola", "laraloola")</f>
        <v>laraloola</v>
      </c>
      <c r="B12666" s="65" t="s">
        <v>2107</v>
      </c>
    </row>
    <row r="12667" spans="1:2" x14ac:dyDescent="0.25">
      <c r="A12667" s="64" t="str">
        <f>HYPERLINK("http://www.twitter.com/MAAzemaPecriaux", "MAAzemaPecriaux")</f>
        <v>MAAzemaPecriaux</v>
      </c>
      <c r="B12667" s="65"/>
    </row>
    <row r="12668" spans="1:2" x14ac:dyDescent="0.25">
      <c r="A12668" s="64" t="str">
        <f>HYPERLINK("http://www.twitter.com/alsiondays", "alsiondays")</f>
        <v>alsiondays</v>
      </c>
      <c r="B12668" s="65" t="s">
        <v>4062</v>
      </c>
    </row>
    <row r="12669" spans="1:2" x14ac:dyDescent="0.25">
      <c r="A12669" s="64" t="str">
        <f>HYPERLINK("http://www.twitter.com/kimmwatt", "kimmwatt")</f>
        <v>kimmwatt</v>
      </c>
      <c r="B12669" s="65" t="s">
        <v>7782</v>
      </c>
    </row>
    <row r="12670" spans="1:2" x14ac:dyDescent="0.25">
      <c r="A12670" s="64" t="str">
        <f>HYPERLINK("http://www.twitter.com/JamesLoginov", "JamesLoginov")</f>
        <v>JamesLoginov</v>
      </c>
      <c r="B12670" s="65" t="s">
        <v>5617</v>
      </c>
    </row>
    <row r="12671" spans="1:2" x14ac:dyDescent="0.25">
      <c r="A12671" s="64" t="str">
        <f>HYPERLINK("http://www.twitter.com/daisiescaroline", "daisiescaroline")</f>
        <v>daisiescaroline</v>
      </c>
      <c r="B12671" s="65"/>
    </row>
    <row r="12672" spans="1:2" x14ac:dyDescent="0.25">
      <c r="A12672" s="64" t="str">
        <f>HYPERLINK("http://www.twitter.com/audreyvinci", "audreyvinci")</f>
        <v>audreyvinci</v>
      </c>
      <c r="B12672" s="65" t="s">
        <v>4339</v>
      </c>
    </row>
    <row r="12673" spans="1:2" x14ac:dyDescent="0.25">
      <c r="A12673" s="64" t="str">
        <f>HYPERLINK("http://www.twitter.com/miss_silva", "miss_silva")</f>
        <v>miss_silva</v>
      </c>
      <c r="B12673" s="65" t="s">
        <v>7783</v>
      </c>
    </row>
    <row r="12674" spans="1:2" x14ac:dyDescent="0.25">
      <c r="A12674" s="64" t="str">
        <f>HYPERLINK("http://www.twitter.com/waljonny", "waljonny")</f>
        <v>waljonny</v>
      </c>
      <c r="B12674" s="65"/>
    </row>
    <row r="12675" spans="1:2" x14ac:dyDescent="0.25">
      <c r="A12675" s="64" t="str">
        <f>HYPERLINK("http://www.twitter.com/cwroche", "cwroche")</f>
        <v>cwroche</v>
      </c>
      <c r="B12675" s="65"/>
    </row>
    <row r="12676" spans="1:2" x14ac:dyDescent="0.25">
      <c r="A12676" s="64" t="str">
        <f>HYPERLINK("http://www.twitter.com/eleanorharesign", "eleanorharesign")</f>
        <v>eleanorharesign</v>
      </c>
      <c r="B12676" s="65" t="s">
        <v>3660</v>
      </c>
    </row>
    <row r="12677" spans="1:2" x14ac:dyDescent="0.25">
      <c r="A12677" s="64" t="str">
        <f>HYPERLINK("http://www.twitter.com/AlisonMGS", "AlisonMGS")</f>
        <v>AlisonMGS</v>
      </c>
      <c r="B12677" s="65" t="s">
        <v>487</v>
      </c>
    </row>
    <row r="12678" spans="1:2" x14ac:dyDescent="0.25">
      <c r="A12678" s="64" t="str">
        <f>HYPERLINK("http://www.twitter.com/melania4deutsch", "melania4deutsch")</f>
        <v>melania4deutsch</v>
      </c>
      <c r="B12678" s="65" t="s">
        <v>517</v>
      </c>
    </row>
    <row r="12679" spans="1:2" x14ac:dyDescent="0.25">
      <c r="A12679" s="64" t="str">
        <f>HYPERLINK("http://www.twitter.com/carrington25", "carrington25")</f>
        <v>carrington25</v>
      </c>
      <c r="B12679" s="65" t="s">
        <v>7784</v>
      </c>
    </row>
    <row r="12680" spans="1:2" x14ac:dyDescent="0.25">
      <c r="A12680" s="64" t="str">
        <f>HYPERLINK("http://www.twitter.com/lucyjuckes", "lucyjuckes")</f>
        <v>lucyjuckes</v>
      </c>
      <c r="B12680" s="65" t="s">
        <v>487</v>
      </c>
    </row>
    <row r="12681" spans="1:2" x14ac:dyDescent="0.25">
      <c r="A12681" s="64" t="str">
        <f>HYPERLINK("http://www.twitter.com/prigou_", "prigou_")</f>
        <v>prigou_</v>
      </c>
      <c r="B12681" s="65"/>
    </row>
    <row r="12682" spans="1:2" x14ac:dyDescent="0.25">
      <c r="A12682" s="64" t="str">
        <f>HYPERLINK("http://www.twitter.com/Sev_Perr1chou", "Sev_Perr1chou")</f>
        <v>Sev_Perr1chou</v>
      </c>
      <c r="B12682" s="65" t="s">
        <v>7785</v>
      </c>
    </row>
    <row r="12683" spans="1:2" x14ac:dyDescent="0.25">
      <c r="A12683" s="64" t="str">
        <f>HYPERLINK("http://www.twitter.com/SirWindross", "SirWindross")</f>
        <v>SirWindross</v>
      </c>
      <c r="B12683" s="65" t="s">
        <v>3894</v>
      </c>
    </row>
    <row r="12684" spans="1:2" x14ac:dyDescent="0.25">
      <c r="A12684" s="64" t="str">
        <f>HYPERLINK("http://www.twitter.com/kate_bread", "kate_bread")</f>
        <v>kate_bread</v>
      </c>
      <c r="B12684" s="65"/>
    </row>
    <row r="12685" spans="1:2" x14ac:dyDescent="0.25">
      <c r="A12685" s="64" t="str">
        <f>HYPERLINK("http://www.twitter.com/JosephineMcCur1", "JosephineMcCur1")</f>
        <v>JosephineMcCur1</v>
      </c>
      <c r="B12685" s="65"/>
    </row>
    <row r="12686" spans="1:2" x14ac:dyDescent="0.25">
      <c r="A12686" s="64" t="str">
        <f>HYPERLINK("http://www.twitter.com/GGGAmiePetite", "GGGAmiePetite")</f>
        <v>GGGAmiePetite</v>
      </c>
      <c r="B12686" s="65" t="s">
        <v>5156</v>
      </c>
    </row>
    <row r="12687" spans="1:2" x14ac:dyDescent="0.25">
      <c r="A12687" s="64" t="str">
        <f>HYPERLINK("http://www.twitter.com/lorikuhns", "lorikuhns")</f>
        <v>lorikuhns</v>
      </c>
      <c r="B12687" s="65" t="s">
        <v>7786</v>
      </c>
    </row>
    <row r="12688" spans="1:2" x14ac:dyDescent="0.25">
      <c r="A12688" s="64" t="str">
        <f>HYPERLINK("http://www.twitter.com/sgbillingham", "sgbillingham")</f>
        <v>sgbillingham</v>
      </c>
      <c r="B12688" s="65"/>
    </row>
    <row r="12689" spans="1:2" x14ac:dyDescent="0.25">
      <c r="A12689" s="64" t="str">
        <f>HYPERLINK("http://www.twitter.com/JaburJaws", "JaburJaws")</f>
        <v>JaburJaws</v>
      </c>
      <c r="B12689" s="65"/>
    </row>
    <row r="12690" spans="1:2" x14ac:dyDescent="0.25">
      <c r="A12690" s="64" t="str">
        <f>HYPERLINK("http://www.twitter.com/WKPopester", "WKPopester")</f>
        <v>WKPopester</v>
      </c>
      <c r="B12690" s="65"/>
    </row>
    <row r="12691" spans="1:2" x14ac:dyDescent="0.25">
      <c r="A12691" s="64" t="str">
        <f>HYPERLINK("http://www.twitter.com/ShaktiRamkumar", "ShaktiRamkumar")</f>
        <v>ShaktiRamkumar</v>
      </c>
      <c r="B12691" s="65" t="s">
        <v>5313</v>
      </c>
    </row>
    <row r="12692" spans="1:2" x14ac:dyDescent="0.25">
      <c r="A12692" s="64" t="str">
        <f>HYPERLINK("http://www.twitter.com/charaustin", "charaustin")</f>
        <v>charaustin</v>
      </c>
      <c r="B12692" s="65" t="s">
        <v>4161</v>
      </c>
    </row>
    <row r="12693" spans="1:2" x14ac:dyDescent="0.25">
      <c r="A12693" s="64" t="str">
        <f>HYPERLINK("http://www.twitter.com/vinylcut", "vinylcut")</f>
        <v>vinylcut</v>
      </c>
      <c r="B12693" s="65" t="s">
        <v>4981</v>
      </c>
    </row>
    <row r="12694" spans="1:2" x14ac:dyDescent="0.25">
      <c r="A12694" s="64" t="str">
        <f>HYPERLINK("http://www.twitter.com/bobbie_conti", "bobbie_conti")</f>
        <v>bobbie_conti</v>
      </c>
      <c r="B12694" s="65" t="s">
        <v>6917</v>
      </c>
    </row>
    <row r="12695" spans="1:2" x14ac:dyDescent="0.25">
      <c r="A12695" s="64" t="str">
        <f>HYPERLINK("http://www.twitter.com/vieveive", "vieveive")</f>
        <v>vieveive</v>
      </c>
      <c r="B12695" s="65" t="s">
        <v>4148</v>
      </c>
    </row>
    <row r="12696" spans="1:2" x14ac:dyDescent="0.25">
      <c r="A12696" s="64" t="str">
        <f>HYPERLINK("http://www.twitter.com/sofieleutheria", "sofieleutheria")</f>
        <v>sofieleutheria</v>
      </c>
      <c r="B12696" s="65"/>
    </row>
    <row r="12697" spans="1:2" x14ac:dyDescent="0.25">
      <c r="A12697" s="64" t="str">
        <f>HYPERLINK("http://www.twitter.com/BaronessvGosu", "BaronessvGosu")</f>
        <v>BaronessvGosu</v>
      </c>
      <c r="B12697" s="65" t="s">
        <v>4676</v>
      </c>
    </row>
    <row r="12698" spans="1:2" x14ac:dyDescent="0.25">
      <c r="A12698" s="64" t="str">
        <f>HYPERLINK("http://www.twitter.com/moonbeam1690", "moonbeam1690")</f>
        <v>moonbeam1690</v>
      </c>
      <c r="B12698" s="65" t="s">
        <v>7787</v>
      </c>
    </row>
    <row r="12699" spans="1:2" x14ac:dyDescent="0.25">
      <c r="A12699" s="64" t="str">
        <f>HYPERLINK("http://www.twitter.com/accio_librarian", "accio_librarian")</f>
        <v>accio_librarian</v>
      </c>
      <c r="B12699" s="65"/>
    </row>
    <row r="12700" spans="1:2" x14ac:dyDescent="0.25">
      <c r="A12700" s="64" t="str">
        <f>HYPERLINK("http://www.twitter.com/AnniePurl", "AnniePurl")</f>
        <v>AnniePurl</v>
      </c>
      <c r="B12700" s="65" t="s">
        <v>7788</v>
      </c>
    </row>
    <row r="12701" spans="1:2" x14ac:dyDescent="0.25">
      <c r="A12701" s="64" t="str">
        <f>HYPERLINK("http://www.twitter.com/mc49735", "mc49735")</f>
        <v>mc49735</v>
      </c>
      <c r="B12701" s="65" t="s">
        <v>3921</v>
      </c>
    </row>
    <row r="12702" spans="1:2" x14ac:dyDescent="0.25">
      <c r="A12702" s="64" t="str">
        <f>HYPERLINK("http://www.twitter.com/BookBerries23", "BookBerries23")</f>
        <v>BookBerries23</v>
      </c>
      <c r="B12702" s="65" t="s">
        <v>7789</v>
      </c>
    </row>
    <row r="12703" spans="1:2" x14ac:dyDescent="0.25">
      <c r="A12703" s="64" t="str">
        <f>HYPERLINK("http://www.twitter.com/Bookful42", "Bookful42")</f>
        <v>Bookful42</v>
      </c>
      <c r="B12703" s="65" t="s">
        <v>7790</v>
      </c>
    </row>
    <row r="12704" spans="1:2" x14ac:dyDescent="0.25">
      <c r="A12704" s="64" t="str">
        <f>HYPERLINK("http://www.twitter.com/bibliobat", "bibliobat")</f>
        <v>bibliobat</v>
      </c>
      <c r="B12704" s="65" t="s">
        <v>4193</v>
      </c>
    </row>
    <row r="12705" spans="1:2" x14ac:dyDescent="0.25">
      <c r="A12705" s="64" t="str">
        <f>HYPERLINK("http://www.twitter.com/paula_hettler", "paula_hettler")</f>
        <v>paula_hettler</v>
      </c>
      <c r="B12705" s="65"/>
    </row>
    <row r="12706" spans="1:2" x14ac:dyDescent="0.25">
      <c r="A12706" s="64" t="str">
        <f>HYPERLINK("http://www.twitter.com/ChristinBL", "ChristinBL")</f>
        <v>ChristinBL</v>
      </c>
      <c r="B12706" s="65"/>
    </row>
    <row r="12707" spans="1:2" x14ac:dyDescent="0.25">
      <c r="A12707" s="64" t="str">
        <f>HYPERLINK("http://www.twitter.com/bcjarnagin", "bcjarnagin")</f>
        <v>bcjarnagin</v>
      </c>
      <c r="B12707" s="65" t="s">
        <v>3985</v>
      </c>
    </row>
    <row r="12708" spans="1:2" x14ac:dyDescent="0.25">
      <c r="A12708" s="64" t="str">
        <f>HYPERLINK("http://www.twitter.com/koshkajay", "koshkajay")</f>
        <v>koshkajay</v>
      </c>
      <c r="B12708" s="65" t="s">
        <v>2107</v>
      </c>
    </row>
    <row r="12709" spans="1:2" x14ac:dyDescent="0.25">
      <c r="A12709" s="64" t="str">
        <f>HYPERLINK("http://www.twitter.com/TimHarr40816535", "TimHarr40816535")</f>
        <v>TimHarr40816535</v>
      </c>
      <c r="B12709" s="65" t="s">
        <v>7791</v>
      </c>
    </row>
    <row r="12710" spans="1:2" x14ac:dyDescent="0.25">
      <c r="A12710" s="64" t="str">
        <f>HYPERLINK("http://www.twitter.com/fgpeppler", "fgpeppler")</f>
        <v>fgpeppler</v>
      </c>
      <c r="B12710" s="65"/>
    </row>
    <row r="12711" spans="1:2" x14ac:dyDescent="0.25">
      <c r="A12711" s="64" t="str">
        <f>HYPERLINK("http://www.twitter.com/ylipohja", "ylipohja")</f>
        <v>ylipohja</v>
      </c>
      <c r="B12711" s="65"/>
    </row>
    <row r="12712" spans="1:2" x14ac:dyDescent="0.25">
      <c r="A12712" s="64" t="str">
        <f>HYPERLINK("http://www.twitter.com/harmstrong", "harmstrong")</f>
        <v>harmstrong</v>
      </c>
      <c r="B12712" s="65" t="s">
        <v>7792</v>
      </c>
    </row>
    <row r="12713" spans="1:2" x14ac:dyDescent="0.25">
      <c r="A12713" s="64" t="str">
        <f>HYPERLINK("http://www.twitter.com/RealDonMunro", "RealDonMunro")</f>
        <v>RealDonMunro</v>
      </c>
      <c r="B12713" s="65" t="s">
        <v>7793</v>
      </c>
    </row>
    <row r="12714" spans="1:2" x14ac:dyDescent="0.25">
      <c r="A12714" s="64" t="str">
        <f>HYPERLINK("http://www.twitter.com/LendiLBland", "LendiLBland")</f>
        <v>LendiLBland</v>
      </c>
      <c r="B12714" s="65" t="s">
        <v>7794</v>
      </c>
    </row>
    <row r="12715" spans="1:2" x14ac:dyDescent="0.25">
      <c r="A12715" s="64" t="str">
        <f>HYPERLINK("http://www.twitter.com/erickgondim", "erickgondim")</f>
        <v>erickgondim</v>
      </c>
      <c r="B12715" s="65" t="s">
        <v>4837</v>
      </c>
    </row>
    <row r="12716" spans="1:2" x14ac:dyDescent="0.25">
      <c r="A12716" s="64" t="str">
        <f>HYPERLINK("http://www.twitter.com/jamesastranack", "jamesastranack")</f>
        <v>jamesastranack</v>
      </c>
      <c r="B12716" s="65" t="s">
        <v>7795</v>
      </c>
    </row>
    <row r="12717" spans="1:2" x14ac:dyDescent="0.25">
      <c r="A12717" s="64" t="str">
        <f>HYPERLINK("http://www.twitter.com/KaitlinBogle", "KaitlinBogle")</f>
        <v>KaitlinBogle</v>
      </c>
      <c r="B12717" s="65" t="s">
        <v>7796</v>
      </c>
    </row>
    <row r="12718" spans="1:2" x14ac:dyDescent="0.25">
      <c r="A12718" s="64" t="str">
        <f>HYPERLINK("http://www.twitter.com/JadieGirl9710", "JadieGirl9710")</f>
        <v>JadieGirl9710</v>
      </c>
      <c r="B12718" s="65"/>
    </row>
    <row r="12719" spans="1:2" x14ac:dyDescent="0.25">
      <c r="A12719" s="64" t="str">
        <f>HYPERLINK("http://www.twitter.com/victoria_doh", "victoria_doh")</f>
        <v>victoria_doh</v>
      </c>
      <c r="B12719" s="65"/>
    </row>
    <row r="12720" spans="1:2" x14ac:dyDescent="0.25">
      <c r="A12720" s="64" t="str">
        <f>HYPERLINK("http://www.twitter.com/StephLikesYou", "StephLikesYou")</f>
        <v>StephLikesYou</v>
      </c>
      <c r="B12720" s="65" t="s">
        <v>7797</v>
      </c>
    </row>
    <row r="12721" spans="1:2" x14ac:dyDescent="0.25">
      <c r="A12721" s="64" t="str">
        <f>HYPERLINK("http://www.twitter.com/818SoRa181", "818SoRa181")</f>
        <v>818SoRa181</v>
      </c>
      <c r="B12721" s="65" t="s">
        <v>7798</v>
      </c>
    </row>
    <row r="12722" spans="1:2" x14ac:dyDescent="0.25">
      <c r="A12722" s="64" t="str">
        <f>HYPERLINK("http://www.twitter.com/liftyoureyelids", "liftyoureyelids")</f>
        <v>liftyoureyelids</v>
      </c>
      <c r="B12722" s="65" t="s">
        <v>7799</v>
      </c>
    </row>
    <row r="12723" spans="1:2" x14ac:dyDescent="0.25">
      <c r="A12723" s="64" t="str">
        <f>HYPERLINK("http://www.twitter.com/PaulMCombs", "PaulMCombs")</f>
        <v>PaulMCombs</v>
      </c>
      <c r="B12723" s="65" t="s">
        <v>3797</v>
      </c>
    </row>
    <row r="12724" spans="1:2" x14ac:dyDescent="0.25">
      <c r="A12724" s="64" t="str">
        <f>HYPERLINK("http://www.twitter.com/antipodean_life", "antipodean_life")</f>
        <v>antipodean_life</v>
      </c>
      <c r="B12724" s="65"/>
    </row>
    <row r="12725" spans="1:2" x14ac:dyDescent="0.25">
      <c r="A12725" s="64" t="str">
        <f>HYPERLINK("http://www.twitter.com/ellie_toni", "ellie_toni")</f>
        <v>ellie_toni</v>
      </c>
      <c r="B12725" s="65"/>
    </row>
    <row r="12726" spans="1:2" x14ac:dyDescent="0.25">
      <c r="A12726" s="64" t="str">
        <f>HYPERLINK("http://www.twitter.com/jmprgirl23", "jmprgirl23")</f>
        <v>jmprgirl23</v>
      </c>
      <c r="B12726" s="65"/>
    </row>
    <row r="12727" spans="1:2" x14ac:dyDescent="0.25">
      <c r="A12727" s="64" t="str">
        <f>HYPERLINK("http://www.twitter.com/StephLFowler", "StephLFowler")</f>
        <v>StephLFowler</v>
      </c>
      <c r="B12727" s="65" t="s">
        <v>7800</v>
      </c>
    </row>
    <row r="12728" spans="1:2" x14ac:dyDescent="0.25">
      <c r="A12728" s="64" t="str">
        <f>HYPERLINK("http://www.twitter.com/macbeth_56", "macbeth_56")</f>
        <v>macbeth_56</v>
      </c>
      <c r="B12728" s="65"/>
    </row>
    <row r="12729" spans="1:2" x14ac:dyDescent="0.25">
      <c r="A12729" s="64" t="str">
        <f>HYPERLINK("http://www.twitter.com/shedevilnails", "shedevilnails")</f>
        <v>shedevilnails</v>
      </c>
      <c r="B12729" s="65"/>
    </row>
    <row r="12730" spans="1:2" x14ac:dyDescent="0.25">
      <c r="A12730" s="64" t="str">
        <f>HYPERLINK("http://www.twitter.com/bigwindfarm", "bigwindfarm")</f>
        <v>bigwindfarm</v>
      </c>
      <c r="B12730" s="65"/>
    </row>
    <row r="12731" spans="1:2" x14ac:dyDescent="0.25">
      <c r="A12731" s="64" t="str">
        <f>HYPERLINK("http://www.twitter.com/TheRealStayAtHo", "TheRealStayAtHo")</f>
        <v>TheRealStayAtHo</v>
      </c>
      <c r="B12731" s="65"/>
    </row>
    <row r="12732" spans="1:2" x14ac:dyDescent="0.25">
      <c r="A12732" s="64" t="str">
        <f>HYPERLINK("http://www.twitter.com/wittyremarkhere", "wittyremarkhere")</f>
        <v>wittyremarkhere</v>
      </c>
      <c r="B12732" s="65" t="s">
        <v>4039</v>
      </c>
    </row>
    <row r="12733" spans="1:2" x14ac:dyDescent="0.25">
      <c r="A12733" s="64" t="str">
        <f>HYPERLINK("http://www.twitter.com/nicolescoble", "nicolescoble")</f>
        <v>nicolescoble</v>
      </c>
      <c r="B12733" s="65" t="s">
        <v>3779</v>
      </c>
    </row>
    <row r="12734" spans="1:2" x14ac:dyDescent="0.25">
      <c r="A12734" s="64" t="str">
        <f>HYPERLINK("http://www.twitter.com/heypeggy", "heypeggy")</f>
        <v>heypeggy</v>
      </c>
      <c r="B12734" s="65" t="s">
        <v>7801</v>
      </c>
    </row>
    <row r="12735" spans="1:2" x14ac:dyDescent="0.25">
      <c r="A12735" s="64" t="str">
        <f>HYPERLINK("http://www.twitter.com/douglasmack", "douglasmack")</f>
        <v>douglasmack</v>
      </c>
      <c r="B12735" s="65" t="s">
        <v>7802</v>
      </c>
    </row>
    <row r="12736" spans="1:2" x14ac:dyDescent="0.25">
      <c r="A12736" s="64" t="str">
        <f>HYPERLINK("http://www.twitter.com/IntrepidSuccess", "IntrepidSuccess")</f>
        <v>IntrepidSuccess</v>
      </c>
      <c r="B12736" s="65" t="s">
        <v>5003</v>
      </c>
    </row>
    <row r="12737" spans="1:2" x14ac:dyDescent="0.25">
      <c r="A12737" s="64" t="str">
        <f>HYPERLINK("http://www.twitter.com/spiderwow", "spiderwow")</f>
        <v>spiderwow</v>
      </c>
      <c r="B12737" s="65"/>
    </row>
    <row r="12738" spans="1:2" x14ac:dyDescent="0.25">
      <c r="A12738" s="64" t="str">
        <f>HYPERLINK("http://www.twitter.com/KatieHalberg", "KatieHalberg")</f>
        <v>KatieHalberg</v>
      </c>
      <c r="B12738" s="65" t="s">
        <v>7803</v>
      </c>
    </row>
    <row r="12739" spans="1:2" x14ac:dyDescent="0.25">
      <c r="A12739" s="64" t="str">
        <f>HYPERLINK("http://www.twitter.com/Anolotakimi", "Anolotakimi")</f>
        <v>Anolotakimi</v>
      </c>
      <c r="B12739" s="65" t="s">
        <v>7804</v>
      </c>
    </row>
    <row r="12740" spans="1:2" x14ac:dyDescent="0.25">
      <c r="A12740" s="64" t="str">
        <f>HYPERLINK("http://www.twitter.com/sufficiently_ok", "sufficiently_ok")</f>
        <v>sufficiently_ok</v>
      </c>
      <c r="B12740" s="65" t="s">
        <v>4370</v>
      </c>
    </row>
    <row r="12741" spans="1:2" x14ac:dyDescent="0.25">
      <c r="A12741" s="64" t="str">
        <f>HYPERLINK("http://www.twitter.com/bplmaps", "bplmaps")</f>
        <v>bplmaps</v>
      </c>
      <c r="B12741" s="65" t="s">
        <v>7805</v>
      </c>
    </row>
    <row r="12742" spans="1:2" x14ac:dyDescent="0.25">
      <c r="A12742" s="64" t="str">
        <f>HYPERLINK("http://www.twitter.com/julesh219", "julesh219")</f>
        <v>julesh219</v>
      </c>
      <c r="B12742" s="65"/>
    </row>
    <row r="12743" spans="1:2" x14ac:dyDescent="0.25">
      <c r="A12743" s="64" t="str">
        <f>HYPERLINK("http://www.twitter.com/mattcardone", "mattcardone")</f>
        <v>mattcardone</v>
      </c>
      <c r="B12743" s="65" t="s">
        <v>7574</v>
      </c>
    </row>
    <row r="12744" spans="1:2" x14ac:dyDescent="0.25">
      <c r="A12744" s="64" t="str">
        <f>HYPERLINK("http://www.twitter.com/smarundel", "smarundel")</f>
        <v>smarundel</v>
      </c>
      <c r="B12744" s="65"/>
    </row>
    <row r="12745" spans="1:2" x14ac:dyDescent="0.25">
      <c r="A12745" s="64" t="str">
        <f>HYPERLINK("http://www.twitter.com/sparklysvt", "sparklysvt")</f>
        <v>sparklysvt</v>
      </c>
      <c r="B12745" s="65" t="s">
        <v>7806</v>
      </c>
    </row>
    <row r="12746" spans="1:2" x14ac:dyDescent="0.25">
      <c r="A12746" s="64" t="str">
        <f>HYPERLINK("http://www.twitter.com/TiffanyDJohns", "TiffanyDJohns")</f>
        <v>TiffanyDJohns</v>
      </c>
      <c r="B12746" s="65" t="s">
        <v>7807</v>
      </c>
    </row>
    <row r="12747" spans="1:2" x14ac:dyDescent="0.25">
      <c r="A12747" s="64" t="str">
        <f>HYPERLINK("http://www.twitter.com/zhangye68", "zhangye68")</f>
        <v>zhangye68</v>
      </c>
      <c r="B12747" s="65"/>
    </row>
    <row r="12748" spans="1:2" x14ac:dyDescent="0.25">
      <c r="A12748" s="64" t="str">
        <f>HYPERLINK("http://www.twitter.com/HeatherEstey", "HeatherEstey")</f>
        <v>HeatherEstey</v>
      </c>
      <c r="B12748" s="65"/>
    </row>
    <row r="12749" spans="1:2" x14ac:dyDescent="0.25">
      <c r="A12749" s="64" t="str">
        <f>HYPERLINK("http://www.twitter.com/Dananners", "Dananners")</f>
        <v>Dananners</v>
      </c>
      <c r="B12749" s="65"/>
    </row>
    <row r="12750" spans="1:2" x14ac:dyDescent="0.25">
      <c r="A12750" s="64" t="str">
        <f>HYPERLINK("http://www.twitter.com/ELMShuman", "ELMShuman")</f>
        <v>ELMShuman</v>
      </c>
      <c r="B12750" s="65" t="s">
        <v>7808</v>
      </c>
    </row>
    <row r="12751" spans="1:2" x14ac:dyDescent="0.25">
      <c r="A12751" s="64" t="str">
        <f>HYPERLINK("http://www.twitter.com/roses_for_ann", "roses_for_ann")</f>
        <v>roses_for_ann</v>
      </c>
      <c r="B12751" s="65" t="s">
        <v>7809</v>
      </c>
    </row>
    <row r="12752" spans="1:2" x14ac:dyDescent="0.25">
      <c r="A12752" s="64" t="str">
        <f>HYPERLINK("http://www.twitter.com/SusanCxch", "SusanCxch")</f>
        <v>SusanCxch</v>
      </c>
      <c r="B12752" s="65" t="s">
        <v>7810</v>
      </c>
    </row>
    <row r="12753" spans="1:2" x14ac:dyDescent="0.25">
      <c r="A12753" s="64" t="str">
        <f>HYPERLINK("http://www.twitter.com/NyleRogers", "NyleRogers")</f>
        <v>NyleRogers</v>
      </c>
      <c r="B12753" s="65" t="s">
        <v>7811</v>
      </c>
    </row>
    <row r="12754" spans="1:2" x14ac:dyDescent="0.25">
      <c r="A12754" s="64" t="str">
        <f>HYPERLINK("http://www.twitter.com/carter_alan28", "carter_alan28")</f>
        <v>carter_alan28</v>
      </c>
      <c r="B12754" s="65" t="s">
        <v>7812</v>
      </c>
    </row>
    <row r="12755" spans="1:2" x14ac:dyDescent="0.25">
      <c r="A12755" s="64" t="str">
        <f>HYPERLINK("http://www.twitter.com/JenniferArrow", "JenniferArrow")</f>
        <v>JenniferArrow</v>
      </c>
      <c r="B12755" s="65" t="s">
        <v>3797</v>
      </c>
    </row>
    <row r="12756" spans="1:2" x14ac:dyDescent="0.25">
      <c r="A12756" s="64" t="str">
        <f>HYPERLINK("http://www.twitter.com/Babrielos", "Babrielos")</f>
        <v>Babrielos</v>
      </c>
      <c r="B12756" s="65" t="s">
        <v>7659</v>
      </c>
    </row>
    <row r="12757" spans="1:2" x14ac:dyDescent="0.25">
      <c r="A12757" s="64" t="str">
        <f>HYPERLINK("http://www.twitter.com/laurenelizabthe", "laurenelizabthe")</f>
        <v>laurenelizabthe</v>
      </c>
      <c r="B12757" s="65" t="s">
        <v>5327</v>
      </c>
    </row>
    <row r="12758" spans="1:2" x14ac:dyDescent="0.25">
      <c r="A12758" s="64" t="str">
        <f>HYPERLINK("http://www.twitter.com/yoshewatson", "yoshewatson")</f>
        <v>yoshewatson</v>
      </c>
      <c r="B12758" s="65"/>
    </row>
    <row r="12759" spans="1:2" x14ac:dyDescent="0.25">
      <c r="A12759" s="64" t="str">
        <f>HYPERLINK("http://www.twitter.com/sarahevans1981", "sarahevans1981")</f>
        <v>sarahevans1981</v>
      </c>
      <c r="B12759" s="65" t="s">
        <v>7813</v>
      </c>
    </row>
    <row r="12760" spans="1:2" x14ac:dyDescent="0.25">
      <c r="A12760" s="64" t="str">
        <f>HYPERLINK("http://www.twitter.com/KeimComley", "KeimComley")</f>
        <v>KeimComley</v>
      </c>
      <c r="B12760" s="65" t="s">
        <v>5686</v>
      </c>
    </row>
    <row r="12761" spans="1:2" x14ac:dyDescent="0.25">
      <c r="A12761" s="64" t="str">
        <f>HYPERLINK("http://www.twitter.com/mle_ash", "mle_ash")</f>
        <v>mle_ash</v>
      </c>
      <c r="B12761" s="65"/>
    </row>
    <row r="12762" spans="1:2" x14ac:dyDescent="0.25">
      <c r="A12762" s="64" t="str">
        <f>HYPERLINK("http://www.twitter.com/kateb5505", "kateb5505")</f>
        <v>kateb5505</v>
      </c>
      <c r="B12762" s="65"/>
    </row>
    <row r="12763" spans="1:2" x14ac:dyDescent="0.25">
      <c r="A12763" s="64" t="str">
        <f>HYPERLINK("http://www.twitter.com/LuckeyLass", "LuckeyLass")</f>
        <v>LuckeyLass</v>
      </c>
      <c r="B12763" s="65" t="s">
        <v>7814</v>
      </c>
    </row>
    <row r="12764" spans="1:2" x14ac:dyDescent="0.25">
      <c r="A12764" s="64" t="str">
        <f>HYPERLINK("http://www.twitter.com/LuciaDaVincia", "LuciaDaVincia")</f>
        <v>LuciaDaVincia</v>
      </c>
      <c r="B12764" s="65" t="s">
        <v>24</v>
      </c>
    </row>
    <row r="12765" spans="1:2" x14ac:dyDescent="0.25">
      <c r="A12765" s="64" t="str">
        <f>HYPERLINK("http://www.twitter.com/hansweise", "hansweise")</f>
        <v>hansweise</v>
      </c>
      <c r="B12765" s="65" t="s">
        <v>7609</v>
      </c>
    </row>
    <row r="12766" spans="1:2" x14ac:dyDescent="0.25">
      <c r="A12766" s="64" t="str">
        <f>HYPERLINK("http://www.twitter.com/gadgetgirl34", "gadgetgirl34")</f>
        <v>gadgetgirl34</v>
      </c>
      <c r="B12766" s="65" t="s">
        <v>5555</v>
      </c>
    </row>
    <row r="12767" spans="1:2" x14ac:dyDescent="0.25">
      <c r="A12767" s="64" t="str">
        <f>HYPERLINK("http://www.twitter.com/savvyoyeaaah", "savvyoyeaaah")</f>
        <v>savvyoyeaaah</v>
      </c>
      <c r="B12767" s="65"/>
    </row>
    <row r="12768" spans="1:2" x14ac:dyDescent="0.25">
      <c r="A12768" s="64" t="str">
        <f>HYPERLINK("http://www.twitter.com/alice772609906", "alice772609906")</f>
        <v>alice772609906</v>
      </c>
      <c r="B12768" s="65"/>
    </row>
    <row r="12769" spans="1:2" x14ac:dyDescent="0.25">
      <c r="A12769" s="64" t="str">
        <f>HYPERLINK("http://www.twitter.com/Draupadi19", "Draupadi19")</f>
        <v>Draupadi19</v>
      </c>
      <c r="B12769" s="65" t="s">
        <v>7815</v>
      </c>
    </row>
    <row r="12770" spans="1:2" x14ac:dyDescent="0.25">
      <c r="A12770" s="64" t="str">
        <f>HYPERLINK("http://www.twitter.com/Dilan_A7", "Dilan_A7")</f>
        <v>Dilan_A7</v>
      </c>
      <c r="B12770" s="65"/>
    </row>
    <row r="12771" spans="1:2" x14ac:dyDescent="0.25">
      <c r="A12771" s="64" t="str">
        <f>HYPERLINK("http://www.twitter.com/AmyAmmons_Jones", "AmyAmmons_Jones")</f>
        <v>AmyAmmons_Jones</v>
      </c>
      <c r="B12771" s="65"/>
    </row>
    <row r="12772" spans="1:2" x14ac:dyDescent="0.25">
      <c r="A12772" s="64" t="str">
        <f>HYPERLINK("http://www.twitter.com/DrewLorimer1", "DrewLorimer1")</f>
        <v>DrewLorimer1</v>
      </c>
      <c r="B12772" s="65" t="s">
        <v>138</v>
      </c>
    </row>
    <row r="12773" spans="1:2" x14ac:dyDescent="0.25">
      <c r="A12773" s="64" t="str">
        <f>HYPERLINK("http://www.twitter.com/jlwyllie", "jlwyllie")</f>
        <v>jlwyllie</v>
      </c>
      <c r="B12773" s="65"/>
    </row>
    <row r="12774" spans="1:2" x14ac:dyDescent="0.25">
      <c r="A12774" s="64" t="str">
        <f>HYPERLINK("http://www.twitter.com/manish_kaul", "manish_kaul")</f>
        <v>manish_kaul</v>
      </c>
      <c r="B12774" s="65" t="s">
        <v>7479</v>
      </c>
    </row>
    <row r="12775" spans="1:2" x14ac:dyDescent="0.25">
      <c r="A12775" s="64" t="str">
        <f>HYPERLINK("http://www.twitter.com/Craftygrrrl", "Craftygrrrl")</f>
        <v>Craftygrrrl</v>
      </c>
      <c r="B12775" s="65" t="s">
        <v>3948</v>
      </c>
    </row>
    <row r="12776" spans="1:2" x14ac:dyDescent="0.25">
      <c r="A12776" s="64" t="str">
        <f>HYPERLINK("http://www.twitter.com/Eileenius", "Eileenius")</f>
        <v>Eileenius</v>
      </c>
      <c r="B12776" s="65"/>
    </row>
    <row r="12777" spans="1:2" x14ac:dyDescent="0.25">
      <c r="A12777" s="64" t="str">
        <f>HYPERLINK("http://www.twitter.com/faerielibrarian", "faerielibrarian")</f>
        <v>faerielibrarian</v>
      </c>
      <c r="B12777" s="65" t="s">
        <v>5555</v>
      </c>
    </row>
    <row r="12778" spans="1:2" x14ac:dyDescent="0.25">
      <c r="A12778" s="64" t="str">
        <f>HYPERLINK("http://www.twitter.com/nloroff", "nloroff")</f>
        <v>nloroff</v>
      </c>
      <c r="B12778" s="65"/>
    </row>
    <row r="12779" spans="1:2" x14ac:dyDescent="0.25">
      <c r="A12779" s="64" t="str">
        <f>HYPERLINK("http://www.twitter.com/mrchriscrisp", "mrchriscrisp")</f>
        <v>mrchriscrisp</v>
      </c>
      <c r="B12779" s="65"/>
    </row>
    <row r="12780" spans="1:2" x14ac:dyDescent="0.25">
      <c r="A12780" s="64" t="str">
        <f>HYPERLINK("http://www.twitter.com/CSzirmai", "CSzirmai")</f>
        <v>CSzirmai</v>
      </c>
      <c r="B12780" s="65" t="s">
        <v>7816</v>
      </c>
    </row>
    <row r="12781" spans="1:2" x14ac:dyDescent="0.25">
      <c r="A12781" s="64" t="str">
        <f>HYPERLINK("http://www.twitter.com/rchlmars", "rchlmars")</f>
        <v>rchlmars</v>
      </c>
      <c r="B12781" s="65" t="s">
        <v>7817</v>
      </c>
    </row>
    <row r="12782" spans="1:2" x14ac:dyDescent="0.25">
      <c r="A12782" s="64" t="str">
        <f>HYPERLINK("http://www.twitter.com/BabblingStacey", "BabblingStacey")</f>
        <v>BabblingStacey</v>
      </c>
      <c r="B12782" s="65" t="s">
        <v>7818</v>
      </c>
    </row>
    <row r="12783" spans="1:2" x14ac:dyDescent="0.25">
      <c r="A12783" s="64" t="str">
        <f>HYPERLINK("http://www.twitter.com/Gin_and_teacups", "Gin_and_teacups")</f>
        <v>Gin_and_teacups</v>
      </c>
      <c r="B12783" s="65"/>
    </row>
    <row r="12784" spans="1:2" x14ac:dyDescent="0.25">
      <c r="A12784" s="64" t="str">
        <f>HYPERLINK("http://www.twitter.com/susanips", "susanips")</f>
        <v>susanips</v>
      </c>
      <c r="B12784" s="65" t="s">
        <v>5591</v>
      </c>
    </row>
    <row r="12785" spans="1:2" x14ac:dyDescent="0.25">
      <c r="A12785" s="64" t="str">
        <f>HYPERLINK("http://www.twitter.com/tumuult", "tumuult")</f>
        <v>tumuult</v>
      </c>
      <c r="B12785" s="65" t="s">
        <v>7819</v>
      </c>
    </row>
    <row r="12786" spans="1:2" x14ac:dyDescent="0.25">
      <c r="A12786" s="64" t="str">
        <f>HYPERLINK("http://www.twitter.com/cara_librarian", "cara_librarian")</f>
        <v>cara_librarian</v>
      </c>
      <c r="B12786" s="65" t="s">
        <v>7820</v>
      </c>
    </row>
    <row r="12787" spans="1:2" x14ac:dyDescent="0.25">
      <c r="A12787" s="64" t="str">
        <f>HYPERLINK("http://www.twitter.com/fnabgr", "fnabgr")</f>
        <v>fnabgr</v>
      </c>
      <c r="B12787" s="65" t="s">
        <v>7821</v>
      </c>
    </row>
    <row r="12788" spans="1:2" x14ac:dyDescent="0.25">
      <c r="A12788" s="64" t="str">
        <f>HYPERLINK("http://www.twitter.com/SuseJohnston", "SuseJohnston")</f>
        <v>SuseJohnston</v>
      </c>
      <c r="B12788" s="65" t="s">
        <v>487</v>
      </c>
    </row>
    <row r="12789" spans="1:2" x14ac:dyDescent="0.25">
      <c r="A12789" s="64" t="str">
        <f>HYPERLINK("http://www.twitter.com/ItsonlyTimmeeeh", "ItsonlyTimmeeeh")</f>
        <v>ItsonlyTimmeeeh</v>
      </c>
      <c r="B12789" s="65"/>
    </row>
    <row r="12790" spans="1:2" x14ac:dyDescent="0.25">
      <c r="A12790" s="64" t="str">
        <f>HYPERLINK("http://www.twitter.com/chickenfatty", "chickenfatty")</f>
        <v>chickenfatty</v>
      </c>
      <c r="B12790" s="65"/>
    </row>
    <row r="12791" spans="1:2" x14ac:dyDescent="0.25">
      <c r="A12791" s="64" t="str">
        <f>HYPERLINK("http://www.twitter.com/TheVimes", "TheVimes")</f>
        <v>TheVimes</v>
      </c>
      <c r="B12791" s="65"/>
    </row>
    <row r="12792" spans="1:2" x14ac:dyDescent="0.25">
      <c r="A12792" s="64" t="str">
        <f>HYPERLINK("http://www.twitter.com/tom_braun", "tom_braun")</f>
        <v>tom_braun</v>
      </c>
      <c r="B12792" s="65" t="s">
        <v>4010</v>
      </c>
    </row>
    <row r="12793" spans="1:2" x14ac:dyDescent="0.25">
      <c r="A12793" s="64" t="str">
        <f>HYPERLINK("http://www.twitter.com/tragedyman", "tragedyman")</f>
        <v>tragedyman</v>
      </c>
      <c r="B12793" s="65" t="s">
        <v>7822</v>
      </c>
    </row>
    <row r="12794" spans="1:2" x14ac:dyDescent="0.25">
      <c r="A12794" s="64" t="str">
        <f>HYPERLINK("http://www.twitter.com/ShetlandKat", "ShetlandKat")</f>
        <v>ShetlandKat</v>
      </c>
      <c r="B12794" s="65" t="s">
        <v>115</v>
      </c>
    </row>
    <row r="12795" spans="1:2" x14ac:dyDescent="0.25">
      <c r="A12795" s="64" t="str">
        <f>HYPERLINK("http://www.twitter.com/uncletel5705", "uncletel5705")</f>
        <v>uncletel5705</v>
      </c>
      <c r="B12795" s="65" t="s">
        <v>138</v>
      </c>
    </row>
    <row r="12796" spans="1:2" x14ac:dyDescent="0.25">
      <c r="A12796" s="64" t="str">
        <f>HYPERLINK("http://www.twitter.com/stephafae", "stephafae")</f>
        <v>stephafae</v>
      </c>
      <c r="B12796" s="65"/>
    </row>
    <row r="12797" spans="1:2" x14ac:dyDescent="0.25">
      <c r="A12797" s="64" t="str">
        <f>HYPERLINK("http://www.twitter.com/LimarieC", "LimarieC")</f>
        <v>LimarieC</v>
      </c>
      <c r="B12797" s="65" t="s">
        <v>7823</v>
      </c>
    </row>
    <row r="12798" spans="1:2" x14ac:dyDescent="0.25">
      <c r="A12798" s="64" t="str">
        <f>HYPERLINK("http://www.twitter.com/Walpublib", "Walpublib")</f>
        <v>Walpublib</v>
      </c>
      <c r="B12798" s="65" t="s">
        <v>7824</v>
      </c>
    </row>
    <row r="12799" spans="1:2" x14ac:dyDescent="0.25">
      <c r="A12799" s="64" t="str">
        <f>HYPERLINK("http://www.twitter.com/jjmeredith", "jjmeredith")</f>
        <v>jjmeredith</v>
      </c>
      <c r="B12799" s="65" t="s">
        <v>4369</v>
      </c>
    </row>
    <row r="12800" spans="1:2" x14ac:dyDescent="0.25">
      <c r="A12800" s="64" t="str">
        <f>HYPERLINK("http://www.twitter.com/maft_aline", "maft_aline")</f>
        <v>maft_aline</v>
      </c>
      <c r="B12800" s="65" t="s">
        <v>318</v>
      </c>
    </row>
    <row r="12801" spans="1:2" x14ac:dyDescent="0.25">
      <c r="A12801" s="64" t="str">
        <f>HYPERLINK("http://www.twitter.com/ConorjKeogh", "ConorjKeogh")</f>
        <v>ConorjKeogh</v>
      </c>
      <c r="B12801" s="65" t="s">
        <v>4254</v>
      </c>
    </row>
    <row r="12802" spans="1:2" x14ac:dyDescent="0.25">
      <c r="A12802" s="64" t="str">
        <f>HYPERLINK("http://www.twitter.com/reavleymorag", "reavleymorag")</f>
        <v>reavleymorag</v>
      </c>
      <c r="B12802" s="65" t="s">
        <v>7825</v>
      </c>
    </row>
    <row r="12803" spans="1:2" x14ac:dyDescent="0.25">
      <c r="A12803" s="64" t="str">
        <f>HYPERLINK("http://www.twitter.com/knitgrrl", "knitgrrl")</f>
        <v>knitgrrl</v>
      </c>
      <c r="B12803" s="65" t="s">
        <v>4676</v>
      </c>
    </row>
    <row r="12804" spans="1:2" x14ac:dyDescent="0.25">
      <c r="A12804" s="64" t="str">
        <f>HYPERLINK("http://www.twitter.com/linnypinny81", "linnypinny81")</f>
        <v>linnypinny81</v>
      </c>
      <c r="B12804" s="65"/>
    </row>
    <row r="12805" spans="1:2" x14ac:dyDescent="0.25">
      <c r="A12805" s="64" t="str">
        <f>HYPERLINK("http://www.twitter.com/blondehomeslice", "blondehomeslice")</f>
        <v>blondehomeslice</v>
      </c>
      <c r="B12805" s="65"/>
    </row>
    <row r="12806" spans="1:2" x14ac:dyDescent="0.25">
      <c r="A12806" s="64" t="str">
        <f>HYPERLINK("http://www.twitter.com/lka79", "lka79")</f>
        <v>lka79</v>
      </c>
      <c r="B12806" s="65" t="s">
        <v>7826</v>
      </c>
    </row>
    <row r="12807" spans="1:2" x14ac:dyDescent="0.25">
      <c r="A12807" s="64" t="str">
        <f>HYPERLINK("http://www.twitter.com/pollyfw", "pollyfw")</f>
        <v>pollyfw</v>
      </c>
      <c r="B12807" s="65" t="s">
        <v>7827</v>
      </c>
    </row>
    <row r="12808" spans="1:2" x14ac:dyDescent="0.25">
      <c r="A12808" s="64" t="str">
        <f>HYPERLINK("http://www.twitter.com/TinaMories", "TinaMories")</f>
        <v>TinaMories</v>
      </c>
      <c r="B12808" s="65" t="s">
        <v>36</v>
      </c>
    </row>
    <row r="12809" spans="1:2" x14ac:dyDescent="0.25">
      <c r="A12809" s="64" t="str">
        <f>HYPERLINK("http://www.twitter.com/Rowsaphine", "Rowsaphine")</f>
        <v>Rowsaphine</v>
      </c>
      <c r="B12809" s="65"/>
    </row>
    <row r="12810" spans="1:2" x14ac:dyDescent="0.25">
      <c r="A12810" s="64" t="str">
        <f>HYPERLINK("http://www.twitter.com/phyllox", "phyllox")</f>
        <v>phyllox</v>
      </c>
      <c r="B12810" s="65" t="s">
        <v>7828</v>
      </c>
    </row>
    <row r="12811" spans="1:2" x14ac:dyDescent="0.25">
      <c r="A12811" s="64" t="str">
        <f>HYPERLINK("http://www.twitter.com/EcklesLibrary", "EcklesLibrary")</f>
        <v>EcklesLibrary</v>
      </c>
      <c r="B12811" s="65" t="s">
        <v>7829</v>
      </c>
    </row>
    <row r="12812" spans="1:2" x14ac:dyDescent="0.25">
      <c r="A12812" s="64" t="str">
        <f>HYPERLINK("http://www.twitter.com/Hivemeitner", "Hivemeitner")</f>
        <v>Hivemeitner</v>
      </c>
      <c r="B12812" s="65" t="s">
        <v>36</v>
      </c>
    </row>
    <row r="12813" spans="1:2" x14ac:dyDescent="0.25">
      <c r="A12813" s="64" t="str">
        <f>HYPERLINK("http://www.twitter.com/chickey33", "chickey33")</f>
        <v>chickey33</v>
      </c>
      <c r="B12813" s="65"/>
    </row>
    <row r="12814" spans="1:2" x14ac:dyDescent="0.25">
      <c r="A12814" s="64" t="str">
        <f>HYPERLINK("http://www.twitter.com/profuturo", "profuturo")</f>
        <v>profuturo</v>
      </c>
      <c r="B12814" s="65" t="s">
        <v>3788</v>
      </c>
    </row>
    <row r="12815" spans="1:2" x14ac:dyDescent="0.25">
      <c r="A12815" s="64" t="str">
        <f>HYPERLINK("http://www.twitter.com/Alkhansah", "Alkhansah")</f>
        <v>Alkhansah</v>
      </c>
      <c r="B12815" s="65" t="s">
        <v>7830</v>
      </c>
    </row>
    <row r="12816" spans="1:2" x14ac:dyDescent="0.25">
      <c r="A12816" s="64" t="str">
        <f>HYPERLINK("http://www.twitter.com/ceshanley", "ceshanley")</f>
        <v>ceshanley</v>
      </c>
      <c r="B12816" s="65" t="s">
        <v>7831</v>
      </c>
    </row>
    <row r="12817" spans="1:2" x14ac:dyDescent="0.25">
      <c r="A12817" s="64" t="str">
        <f>HYPERLINK("http://www.twitter.com/irishcocoagirl", "irishcocoagirl")</f>
        <v>irishcocoagirl</v>
      </c>
      <c r="B12817" s="65" t="s">
        <v>7832</v>
      </c>
    </row>
    <row r="12818" spans="1:2" x14ac:dyDescent="0.25">
      <c r="A12818" s="64" t="str">
        <f>HYPERLINK("http://www.twitter.com/spanna18281", "spanna18281")</f>
        <v>spanna18281</v>
      </c>
      <c r="B12818" s="65" t="s">
        <v>7833</v>
      </c>
    </row>
    <row r="12819" spans="1:2" x14ac:dyDescent="0.25">
      <c r="A12819" s="64" t="str">
        <f>HYPERLINK("http://www.twitter.com/Shazpless", "Shazpless")</f>
        <v>Shazpless</v>
      </c>
      <c r="B12819" s="65" t="s">
        <v>1873</v>
      </c>
    </row>
    <row r="12820" spans="1:2" x14ac:dyDescent="0.25">
      <c r="A12820" s="64" t="str">
        <f>HYPERLINK("http://www.twitter.com/Rhian_Medi", "Rhian_Medi")</f>
        <v>Rhian_Medi</v>
      </c>
      <c r="B12820" s="65" t="s">
        <v>36</v>
      </c>
    </row>
    <row r="12821" spans="1:2" x14ac:dyDescent="0.25">
      <c r="A12821" s="64" t="str">
        <f>HYPERLINK("http://www.twitter.com/skambalu", "skambalu")</f>
        <v>skambalu</v>
      </c>
      <c r="B12821" s="65" t="s">
        <v>36</v>
      </c>
    </row>
    <row r="12822" spans="1:2" x14ac:dyDescent="0.25">
      <c r="A12822" s="64" t="str">
        <f>HYPERLINK("http://www.twitter.com/josiebryan", "josiebryan")</f>
        <v>josiebryan</v>
      </c>
      <c r="B12822" s="65"/>
    </row>
    <row r="12823" spans="1:2" x14ac:dyDescent="0.25">
      <c r="A12823" s="64" t="str">
        <f>HYPERLINK("http://www.twitter.com/WeeJohnIrvine", "WeeJohnIrvine")</f>
        <v>WeeJohnIrvine</v>
      </c>
      <c r="B12823" s="65"/>
    </row>
    <row r="12824" spans="1:2" x14ac:dyDescent="0.25">
      <c r="A12824" s="64" t="str">
        <f>HYPERLINK("http://www.twitter.com/melissa40767586", "melissa40767586")</f>
        <v>melissa40767586</v>
      </c>
      <c r="B12824" s="65" t="s">
        <v>3785</v>
      </c>
    </row>
    <row r="12825" spans="1:2" x14ac:dyDescent="0.25">
      <c r="A12825" s="64" t="str">
        <f>HYPERLINK("http://www.twitter.com/skatesteed", "skatesteed")</f>
        <v>skatesteed</v>
      </c>
      <c r="B12825" s="65"/>
    </row>
    <row r="12826" spans="1:2" x14ac:dyDescent="0.25">
      <c r="A12826" s="64" t="str">
        <f>HYPERLINK("http://www.twitter.com/Doctor_Morrow", "Doctor_Morrow")</f>
        <v>Doctor_Morrow</v>
      </c>
      <c r="B12826" s="65" t="s">
        <v>4887</v>
      </c>
    </row>
    <row r="12827" spans="1:2" x14ac:dyDescent="0.25">
      <c r="A12827" s="64" t="str">
        <f>HYPERLINK("http://www.twitter.com/eltankos", "eltankos")</f>
        <v>eltankos</v>
      </c>
      <c r="B12827" s="65" t="s">
        <v>517</v>
      </c>
    </row>
    <row r="12828" spans="1:2" x14ac:dyDescent="0.25">
      <c r="A12828" s="64" t="str">
        <f>HYPERLINK("http://www.twitter.com/alisonallan75", "alisonallan75")</f>
        <v>alisonallan75</v>
      </c>
      <c r="B12828" s="65" t="s">
        <v>7834</v>
      </c>
    </row>
    <row r="12829" spans="1:2" x14ac:dyDescent="0.25">
      <c r="A12829" s="64" t="str">
        <f>HYPERLINK("http://www.twitter.com/bitteroranges", "bitteroranges")</f>
        <v>bitteroranges</v>
      </c>
      <c r="B12829" s="65" t="s">
        <v>36</v>
      </c>
    </row>
    <row r="12830" spans="1:2" x14ac:dyDescent="0.25">
      <c r="A12830" s="64" t="str">
        <f>HYPERLINK("http://www.twitter.com/GemmaCulleton7", "GemmaCulleton7")</f>
        <v>GemmaCulleton7</v>
      </c>
      <c r="B12830" s="65" t="s">
        <v>4291</v>
      </c>
    </row>
    <row r="12831" spans="1:2" x14ac:dyDescent="0.25">
      <c r="A12831" s="64" t="str">
        <f>HYPERLINK("http://www.twitter.com/SoomasonSusan", "SoomasonSusan")</f>
        <v>SoomasonSusan</v>
      </c>
      <c r="B12831" s="65"/>
    </row>
    <row r="12832" spans="1:2" x14ac:dyDescent="0.25">
      <c r="A12832" s="64" t="str">
        <f>HYPERLINK("http://www.twitter.com/stephensposato", "stephensposato")</f>
        <v>stephensposato</v>
      </c>
      <c r="B12832" s="65" t="s">
        <v>4329</v>
      </c>
    </row>
    <row r="12833" spans="1:2" x14ac:dyDescent="0.25">
      <c r="A12833" s="64" t="str">
        <f>HYPERLINK("http://www.twitter.com/Jac_inabox", "Jac_inabox")</f>
        <v>Jac_inabox</v>
      </c>
      <c r="B12833" s="65" t="s">
        <v>7835</v>
      </c>
    </row>
    <row r="12834" spans="1:2" x14ac:dyDescent="0.25">
      <c r="A12834" s="64" t="str">
        <f>HYPERLINK("http://www.twitter.com/seangreene68", "seangreene68")</f>
        <v>seangreene68</v>
      </c>
      <c r="B12834" s="65"/>
    </row>
    <row r="12835" spans="1:2" x14ac:dyDescent="0.25">
      <c r="A12835" s="64" t="str">
        <f>HYPERLINK("http://www.twitter.com/TheJackawock", "TheJackawock")</f>
        <v>TheJackawock</v>
      </c>
      <c r="B12835" s="65"/>
    </row>
    <row r="12836" spans="1:2" x14ac:dyDescent="0.25">
      <c r="A12836" s="64" t="str">
        <f>HYPERLINK("http://www.twitter.com/Nicolanoodle", "Nicolanoodle")</f>
        <v>Nicolanoodle</v>
      </c>
      <c r="B12836" s="65" t="s">
        <v>7836</v>
      </c>
    </row>
    <row r="12837" spans="1:2" x14ac:dyDescent="0.25">
      <c r="A12837" s="64" t="str">
        <f>HYPERLINK("http://www.twitter.com/MarijeOving", "MarijeOving")</f>
        <v>MarijeOving</v>
      </c>
      <c r="B12837" s="65"/>
    </row>
    <row r="12838" spans="1:2" x14ac:dyDescent="0.25">
      <c r="A12838" s="64" t="str">
        <f>HYPERLINK("http://www.twitter.com/mjbng", "mjbng")</f>
        <v>mjbng</v>
      </c>
      <c r="B12838" s="65" t="s">
        <v>7837</v>
      </c>
    </row>
    <row r="12839" spans="1:2" x14ac:dyDescent="0.25">
      <c r="A12839" s="64" t="str">
        <f>HYPERLINK("http://www.twitter.com/Obsolesence", "Obsolesence")</f>
        <v>Obsolesence</v>
      </c>
      <c r="B12839" s="65"/>
    </row>
    <row r="12840" spans="1:2" x14ac:dyDescent="0.25">
      <c r="A12840" s="64" t="str">
        <f>HYPERLINK("http://www.twitter.com/ruth_slaney", "ruth_slaney")</f>
        <v>ruth_slaney</v>
      </c>
      <c r="B12840" s="65"/>
    </row>
    <row r="12841" spans="1:2" x14ac:dyDescent="0.25">
      <c r="A12841" s="64" t="str">
        <f>HYPERLINK("http://www.twitter.com/TbonePlummer", "TbonePlummer")</f>
        <v>TbonePlummer</v>
      </c>
      <c r="B12841" s="65" t="s">
        <v>7838</v>
      </c>
    </row>
    <row r="12842" spans="1:2" x14ac:dyDescent="0.25">
      <c r="A12842" s="64" t="str">
        <f>HYPERLINK("http://www.twitter.com/justinedyson", "justinedyson")</f>
        <v>justinedyson</v>
      </c>
      <c r="B12842" s="65" t="s">
        <v>1490</v>
      </c>
    </row>
    <row r="12843" spans="1:2" x14ac:dyDescent="0.25">
      <c r="A12843" s="64" t="str">
        <f>HYPERLINK("http://www.twitter.com/TomGreenough", "TomGreenough")</f>
        <v>TomGreenough</v>
      </c>
      <c r="B12843" s="65" t="s">
        <v>7839</v>
      </c>
    </row>
    <row r="12844" spans="1:2" x14ac:dyDescent="0.25">
      <c r="A12844" s="64" t="str">
        <f>HYPERLINK("http://www.twitter.com/catrionaO576", "catrionaO576")</f>
        <v>catrionaO576</v>
      </c>
      <c r="B12844" s="65" t="s">
        <v>3951</v>
      </c>
    </row>
    <row r="12845" spans="1:2" x14ac:dyDescent="0.25">
      <c r="A12845" s="64" t="str">
        <f>HYPERLINK("http://www.twitter.com/amyomaly", "amyomaly")</f>
        <v>amyomaly</v>
      </c>
      <c r="B12845" s="65" t="s">
        <v>36</v>
      </c>
    </row>
    <row r="12846" spans="1:2" x14ac:dyDescent="0.25">
      <c r="A12846" s="64" t="str">
        <f>HYPERLINK("http://www.twitter.com/feismom92", "feismom92")</f>
        <v>feismom92</v>
      </c>
      <c r="B12846" s="65"/>
    </row>
    <row r="12847" spans="1:2" x14ac:dyDescent="0.25">
      <c r="A12847" s="64" t="str">
        <f>HYPERLINK("http://www.twitter.com/_1auren_", "_1auren_")</f>
        <v>_1auren_</v>
      </c>
      <c r="B12847" s="65" t="s">
        <v>6107</v>
      </c>
    </row>
    <row r="12848" spans="1:2" x14ac:dyDescent="0.25">
      <c r="A12848" s="64" t="str">
        <f>HYPERLINK("http://www.twitter.com/DortheHjorth", "DortheHjorth")</f>
        <v>DortheHjorth</v>
      </c>
      <c r="B12848" s="65" t="s">
        <v>7840</v>
      </c>
    </row>
    <row r="12849" spans="1:2" x14ac:dyDescent="0.25">
      <c r="A12849" s="64" t="str">
        <f>HYPERLINK("http://www.twitter.com/STEVENCOOPER6", "STEVENCOOPER6")</f>
        <v>STEVENCOOPER6</v>
      </c>
      <c r="B12849" s="65"/>
    </row>
    <row r="12850" spans="1:2" x14ac:dyDescent="0.25">
      <c r="A12850" s="64" t="str">
        <f>HYPERLINK("http://www.twitter.com/MasonCrossBooks", "MasonCrossBooks")</f>
        <v>MasonCrossBooks</v>
      </c>
      <c r="B12850" s="65" t="s">
        <v>7841</v>
      </c>
    </row>
    <row r="12851" spans="1:2" x14ac:dyDescent="0.25">
      <c r="A12851" s="64" t="str">
        <f>HYPERLINK("http://www.twitter.com/MrLaytonJ", "MrLaytonJ")</f>
        <v>MrLaytonJ</v>
      </c>
      <c r="B12851" s="65" t="s">
        <v>477</v>
      </c>
    </row>
    <row r="12852" spans="1:2" x14ac:dyDescent="0.25">
      <c r="A12852" s="64" t="str">
        <f>HYPERLINK("http://www.twitter.com/katekhchan", "katekhchan")</f>
        <v>katekhchan</v>
      </c>
      <c r="B12852" s="65" t="s">
        <v>7842</v>
      </c>
    </row>
    <row r="12853" spans="1:2" x14ac:dyDescent="0.25">
      <c r="A12853" s="64" t="str">
        <f>HYPERLINK("http://www.twitter.com/kelp_girl", "kelp_girl")</f>
        <v>kelp_girl</v>
      </c>
      <c r="B12853" s="65"/>
    </row>
    <row r="12854" spans="1:2" x14ac:dyDescent="0.25">
      <c r="A12854" s="64" t="str">
        <f>HYPERLINK("http://www.twitter.com/freya_wood", "freya_wood")</f>
        <v>freya_wood</v>
      </c>
      <c r="B12854" s="65" t="s">
        <v>7843</v>
      </c>
    </row>
    <row r="12855" spans="1:2" x14ac:dyDescent="0.25">
      <c r="A12855" s="64" t="str">
        <f>HYPERLINK("http://www.twitter.com/kirstyagreen", "kirstyagreen")</f>
        <v>kirstyagreen</v>
      </c>
      <c r="B12855" s="65"/>
    </row>
    <row r="12856" spans="1:2" x14ac:dyDescent="0.25">
      <c r="A12856" s="64" t="str">
        <f>HYPERLINK("http://www.twitter.com/AtomicNun", "AtomicNun")</f>
        <v>AtomicNun</v>
      </c>
      <c r="B12856" s="65" t="s">
        <v>7844</v>
      </c>
    </row>
    <row r="12857" spans="1:2" x14ac:dyDescent="0.25">
      <c r="A12857" s="64" t="str">
        <f>HYPERLINK("http://www.twitter.com/Supersuperkaren", "Supersuperkaren")</f>
        <v>Supersuperkaren</v>
      </c>
      <c r="B12857" s="65" t="s">
        <v>138</v>
      </c>
    </row>
    <row r="12858" spans="1:2" x14ac:dyDescent="0.25">
      <c r="A12858" s="64" t="str">
        <f>HYPERLINK("http://www.twitter.com/helenannbower", "helenannbower")</f>
        <v>helenannbower</v>
      </c>
      <c r="B12858" s="65"/>
    </row>
    <row r="12859" spans="1:2" x14ac:dyDescent="0.25">
      <c r="A12859" s="64" t="str">
        <f>HYPERLINK("http://www.twitter.com/Speedcrafter", "Speedcrafter")</f>
        <v>Speedcrafter</v>
      </c>
      <c r="B12859" s="65" t="s">
        <v>6720</v>
      </c>
    </row>
    <row r="12860" spans="1:2" x14ac:dyDescent="0.25">
      <c r="A12860" s="64" t="str">
        <f>HYPERLINK("http://www.twitter.com/JLibrarian", "JLibrarian")</f>
        <v>JLibrarian</v>
      </c>
      <c r="B12860" s="65" t="s">
        <v>7845</v>
      </c>
    </row>
    <row r="12861" spans="1:2" x14ac:dyDescent="0.25">
      <c r="A12861" s="64" t="str">
        <f>HYPERLINK("http://www.twitter.com/K_Pinny_Lala", "K_Pinny_Lala")</f>
        <v>K_Pinny_Lala</v>
      </c>
      <c r="B12861" s="65"/>
    </row>
    <row r="12862" spans="1:2" x14ac:dyDescent="0.25">
      <c r="A12862" s="64" t="str">
        <f>HYPERLINK("http://www.twitter.com/YCurielMontoya", "YCurielMontoya")</f>
        <v>YCurielMontoya</v>
      </c>
      <c r="B12862" s="65" t="s">
        <v>7846</v>
      </c>
    </row>
    <row r="12863" spans="1:2" x14ac:dyDescent="0.25">
      <c r="A12863" s="64" t="str">
        <f>HYPERLINK("http://www.twitter.com/Ewannic", "Ewannic")</f>
        <v>Ewannic</v>
      </c>
      <c r="B12863" s="65" t="s">
        <v>296</v>
      </c>
    </row>
    <row r="12864" spans="1:2" x14ac:dyDescent="0.25">
      <c r="A12864" s="64" t="str">
        <f>HYPERLINK("http://www.twitter.com/EveLamond", "EveLamond")</f>
        <v>EveLamond</v>
      </c>
      <c r="B12864" s="65" t="s">
        <v>1482</v>
      </c>
    </row>
    <row r="12865" spans="1:2" x14ac:dyDescent="0.25">
      <c r="A12865" s="64" t="str">
        <f>HYPERLINK("http://www.twitter.com/eimearhurley", "eimearhurley")</f>
        <v>eimearhurley</v>
      </c>
      <c r="B12865" s="65" t="s">
        <v>7847</v>
      </c>
    </row>
    <row r="12866" spans="1:2" x14ac:dyDescent="0.25">
      <c r="A12866" s="64" t="str">
        <f>HYPERLINK("http://www.twitter.com/Blood_Mommy", "Blood_Mommy")</f>
        <v>Blood_Mommy</v>
      </c>
      <c r="B12866" s="65" t="s">
        <v>3796</v>
      </c>
    </row>
    <row r="12867" spans="1:2" x14ac:dyDescent="0.25">
      <c r="A12867" s="64" t="str">
        <f>HYPERLINK("http://www.twitter.com/_RobynLong_", "_RobynLong_")</f>
        <v>_RobynLong_</v>
      </c>
      <c r="B12867" s="65" t="s">
        <v>2102</v>
      </c>
    </row>
    <row r="12868" spans="1:2" x14ac:dyDescent="0.25">
      <c r="A12868" s="64" t="str">
        <f>HYPERLINK("http://www.twitter.com/cloudpurple", "cloudpurple")</f>
        <v>cloudpurple</v>
      </c>
      <c r="B12868" s="65"/>
    </row>
    <row r="12869" spans="1:2" x14ac:dyDescent="0.25">
      <c r="A12869" s="64" t="str">
        <f>HYPERLINK("http://www.twitter.com/mbscotia", "mbscotia")</f>
        <v>mbscotia</v>
      </c>
      <c r="B12869" s="65"/>
    </row>
    <row r="12870" spans="1:2" x14ac:dyDescent="0.25">
      <c r="A12870" s="64" t="str">
        <f>HYPERLINK("http://www.twitter.com/HannahSaysAgent", "HannahSaysAgent")</f>
        <v>HannahSaysAgent</v>
      </c>
      <c r="B12870" s="65" t="s">
        <v>138</v>
      </c>
    </row>
    <row r="12871" spans="1:2" x14ac:dyDescent="0.25">
      <c r="A12871" s="64" t="str">
        <f>HYPERLINK("http://www.twitter.com/louise_m_leslie", "louise_m_leslie")</f>
        <v>louise_m_leslie</v>
      </c>
      <c r="B12871" s="65"/>
    </row>
    <row r="12872" spans="1:2" x14ac:dyDescent="0.25">
      <c r="A12872" s="64" t="str">
        <f>HYPERLINK("http://www.twitter.com/mimmmblack", "mimmmblack")</f>
        <v>mimmmblack</v>
      </c>
      <c r="B12872" s="65" t="s">
        <v>487</v>
      </c>
    </row>
    <row r="12873" spans="1:2" x14ac:dyDescent="0.25">
      <c r="A12873" s="64" t="str">
        <f>HYPERLINK("http://www.twitter.com/RachelLCMartin", "RachelLCMartin")</f>
        <v>RachelLCMartin</v>
      </c>
      <c r="B12873" s="65"/>
    </row>
    <row r="12874" spans="1:2" x14ac:dyDescent="0.25">
      <c r="A12874" s="64" t="str">
        <f>HYPERLINK("http://www.twitter.com/Ztephanie", "Ztephanie")</f>
        <v>Ztephanie</v>
      </c>
      <c r="B12874" s="65" t="s">
        <v>7848</v>
      </c>
    </row>
    <row r="12875" spans="1:2" x14ac:dyDescent="0.25">
      <c r="A12875" s="64" t="str">
        <f>HYPERLINK("http://www.twitter.com/duluthlib", "duluthlib")</f>
        <v>duluthlib</v>
      </c>
      <c r="B12875" s="65" t="s">
        <v>6878</v>
      </c>
    </row>
    <row r="12876" spans="1:2" x14ac:dyDescent="0.25">
      <c r="A12876" s="64" t="str">
        <f>HYPERLINK("http://www.twitter.com/MightyCelt72", "MightyCelt72")</f>
        <v>MightyCelt72</v>
      </c>
      <c r="B12876" s="65" t="s">
        <v>7849</v>
      </c>
    </row>
    <row r="12877" spans="1:2" x14ac:dyDescent="0.25">
      <c r="A12877" s="64" t="str">
        <f>HYPERLINK("http://www.twitter.com/GraemeN82", "GraemeN82")</f>
        <v>GraemeN82</v>
      </c>
      <c r="B12877" s="65" t="s">
        <v>7850</v>
      </c>
    </row>
    <row r="12878" spans="1:2" x14ac:dyDescent="0.25">
      <c r="A12878" s="64" t="str">
        <f>HYPERLINK("http://www.twitter.com/fingu81", "fingu81")</f>
        <v>fingu81</v>
      </c>
      <c r="B12878" s="65"/>
    </row>
    <row r="12879" spans="1:2" x14ac:dyDescent="0.25">
      <c r="A12879" s="64" t="str">
        <f>HYPERLINK("http://www.twitter.com/becciblues", "becciblues")</f>
        <v>becciblues</v>
      </c>
      <c r="B12879" s="65" t="s">
        <v>257</v>
      </c>
    </row>
    <row r="12880" spans="1:2" x14ac:dyDescent="0.25">
      <c r="A12880" s="64" t="str">
        <f>HYPERLINK("http://www.twitter.com/Moose_Muir", "Moose_Muir")</f>
        <v>Moose_Muir</v>
      </c>
      <c r="B12880" s="65"/>
    </row>
    <row r="12881" spans="1:2" x14ac:dyDescent="0.25">
      <c r="A12881" s="64" t="str">
        <f>HYPERLINK("http://www.twitter.com/anna_faticoso", "anna_faticoso")</f>
        <v>anna_faticoso</v>
      </c>
      <c r="B12881" s="65"/>
    </row>
    <row r="12882" spans="1:2" x14ac:dyDescent="0.25">
      <c r="A12882" s="64" t="str">
        <f>HYPERLINK("http://www.twitter.com/Bolly89", "Bolly89")</f>
        <v>Bolly89</v>
      </c>
      <c r="B12882" s="65" t="s">
        <v>4122</v>
      </c>
    </row>
    <row r="12883" spans="1:2" x14ac:dyDescent="0.25">
      <c r="A12883" s="64" t="str">
        <f>HYPERLINK("http://www.twitter.com/DrBellyButton", "DrBellyButton")</f>
        <v>DrBellyButton</v>
      </c>
      <c r="B12883" s="65" t="s">
        <v>7851</v>
      </c>
    </row>
    <row r="12884" spans="1:2" x14ac:dyDescent="0.25">
      <c r="A12884" s="64" t="str">
        <f>HYPERLINK("http://www.twitter.com/JohnVezina", "JohnVezina")</f>
        <v>JohnVezina</v>
      </c>
      <c r="B12884" s="65" t="s">
        <v>5156</v>
      </c>
    </row>
    <row r="12885" spans="1:2" x14ac:dyDescent="0.25">
      <c r="A12885" s="64" t="str">
        <f>HYPERLINK("http://www.twitter.com/derderkenny", "derderkenny")</f>
        <v>derderkenny</v>
      </c>
      <c r="B12885" s="65"/>
    </row>
    <row r="12886" spans="1:2" x14ac:dyDescent="0.25">
      <c r="A12886" s="64" t="str">
        <f>HYPERLINK("http://www.twitter.com/pachemoochka", "pachemoochka")</f>
        <v>pachemoochka</v>
      </c>
      <c r="B12886" s="65"/>
    </row>
    <row r="12887" spans="1:2" x14ac:dyDescent="0.25">
      <c r="A12887" s="64" t="str">
        <f>HYPERLINK("http://www.twitter.com/salxerribrooks", "salxerribrooks")</f>
        <v>salxerribrooks</v>
      </c>
      <c r="B12887" s="65" t="s">
        <v>2030</v>
      </c>
    </row>
    <row r="12888" spans="1:2" x14ac:dyDescent="0.25">
      <c r="A12888" s="64" t="str">
        <f>HYPERLINK("http://www.twitter.com/Chrissie72", "Chrissie72")</f>
        <v>Chrissie72</v>
      </c>
      <c r="B12888" s="65" t="s">
        <v>4862</v>
      </c>
    </row>
    <row r="12889" spans="1:2" x14ac:dyDescent="0.25">
      <c r="A12889" s="64" t="str">
        <f>HYPERLINK("http://www.twitter.com/jamesgfarrell", "jamesgfarrell")</f>
        <v>jamesgfarrell</v>
      </c>
      <c r="B12889" s="65"/>
    </row>
    <row r="12890" spans="1:2" x14ac:dyDescent="0.25">
      <c r="A12890" s="64" t="str">
        <f>HYPERLINK("http://www.twitter.com/Priscillaamie", "Priscillaamie")</f>
        <v>Priscillaamie</v>
      </c>
      <c r="B12890" s="65" t="s">
        <v>7852</v>
      </c>
    </row>
    <row r="12891" spans="1:2" x14ac:dyDescent="0.25">
      <c r="A12891" s="64" t="str">
        <f>HYPERLINK("http://www.twitter.com/martinocon", "martinocon")</f>
        <v>martinocon</v>
      </c>
      <c r="B12891" s="65" t="s">
        <v>318</v>
      </c>
    </row>
    <row r="12892" spans="1:2" x14ac:dyDescent="0.25">
      <c r="A12892" s="64" t="str">
        <f>HYPERLINK("http://www.twitter.com/amspangenberg", "amspangenberg")</f>
        <v>amspangenberg</v>
      </c>
      <c r="B12892" s="65" t="s">
        <v>7853</v>
      </c>
    </row>
    <row r="12893" spans="1:2" x14ac:dyDescent="0.25">
      <c r="A12893" s="64" t="str">
        <f>HYPERLINK("http://www.twitter.com/ionasaurus", "ionasaurus")</f>
        <v>ionasaurus</v>
      </c>
      <c r="B12893" s="65" t="s">
        <v>808</v>
      </c>
    </row>
    <row r="12894" spans="1:2" x14ac:dyDescent="0.25">
      <c r="A12894" s="64" t="str">
        <f>HYPERLINK("http://www.twitter.com/cher_fraser", "cher_fraser")</f>
        <v>cher_fraser</v>
      </c>
      <c r="B12894" s="65" t="s">
        <v>7854</v>
      </c>
    </row>
    <row r="12895" spans="1:2" x14ac:dyDescent="0.25">
      <c r="A12895" s="64" t="str">
        <f>HYPERLINK("http://www.twitter.com/netwurker", "netwurker")</f>
        <v>netwurker</v>
      </c>
      <c r="B12895" s="65" t="s">
        <v>7855</v>
      </c>
    </row>
    <row r="12896" spans="1:2" x14ac:dyDescent="0.25">
      <c r="A12896" s="64" t="str">
        <f>HYPERLINK("http://www.twitter.com/ericwinger", "ericwinger")</f>
        <v>ericwinger</v>
      </c>
      <c r="B12896" s="65" t="s">
        <v>3872</v>
      </c>
    </row>
    <row r="12897" spans="1:2" x14ac:dyDescent="0.25">
      <c r="A12897" s="64" t="str">
        <f>HYPERLINK("http://www.twitter.com/EastEnders_Spy", "EastEnders_Spy")</f>
        <v>EastEnders_Spy</v>
      </c>
      <c r="B12897" s="65" t="s">
        <v>7856</v>
      </c>
    </row>
    <row r="12898" spans="1:2" x14ac:dyDescent="0.25">
      <c r="A12898" s="64" t="str">
        <f>HYPERLINK("http://www.twitter.com/ShelllllBelllll", "ShelllllBelllll")</f>
        <v>ShelllllBelllll</v>
      </c>
      <c r="B12898" s="65" t="s">
        <v>3921</v>
      </c>
    </row>
    <row r="12899" spans="1:2" x14ac:dyDescent="0.25">
      <c r="A12899" s="64" t="str">
        <f>HYPERLINK("http://www.twitter.com/bizegar", "bizegar")</f>
        <v>bizegar</v>
      </c>
      <c r="B12899" s="65"/>
    </row>
    <row r="12900" spans="1:2" x14ac:dyDescent="0.25">
      <c r="A12900" s="64" t="str">
        <f>HYPERLINK("http://www.twitter.com/JackieSaylor", "JackieSaylor")</f>
        <v>JackieSaylor</v>
      </c>
      <c r="B12900" s="65" t="s">
        <v>7857</v>
      </c>
    </row>
    <row r="12901" spans="1:2" x14ac:dyDescent="0.25">
      <c r="A12901" s="64" t="str">
        <f>HYPERLINK("http://www.twitter.com/jswalters", "jswalters")</f>
        <v>jswalters</v>
      </c>
      <c r="B12901" s="65"/>
    </row>
    <row r="12902" spans="1:2" x14ac:dyDescent="0.25">
      <c r="A12902" s="64" t="str">
        <f>HYPERLINK("http://www.twitter.com/Frogs_on_fire", "Frogs_on_fire")</f>
        <v>Frogs_on_fire</v>
      </c>
      <c r="B12902" s="65" t="s">
        <v>4254</v>
      </c>
    </row>
    <row r="12903" spans="1:2" x14ac:dyDescent="0.25">
      <c r="A12903" s="64" t="str">
        <f>HYPERLINK("http://www.twitter.com/Redflag09", "Redflag09")</f>
        <v>Redflag09</v>
      </c>
      <c r="B12903" s="65" t="s">
        <v>36</v>
      </c>
    </row>
    <row r="12904" spans="1:2" x14ac:dyDescent="0.25">
      <c r="A12904" s="64" t="str">
        <f>HYPERLINK("http://www.twitter.com/VictoriaHarvey_", "VictoriaHarvey_")</f>
        <v>VictoriaHarvey_</v>
      </c>
      <c r="B12904" s="65" t="s">
        <v>318</v>
      </c>
    </row>
    <row r="12905" spans="1:2" x14ac:dyDescent="0.25">
      <c r="A12905" s="64" t="str">
        <f>HYPERLINK("http://www.twitter.com/forgivingells", "forgivingells")</f>
        <v>forgivingells</v>
      </c>
      <c r="B12905" s="65" t="s">
        <v>517</v>
      </c>
    </row>
    <row r="12906" spans="1:2" x14ac:dyDescent="0.25">
      <c r="A12906" s="64" t="str">
        <f>HYPERLINK("http://www.twitter.com/booqpr", "booqpr")</f>
        <v>booqpr</v>
      </c>
      <c r="B12906" s="65" t="s">
        <v>7858</v>
      </c>
    </row>
    <row r="12907" spans="1:2" x14ac:dyDescent="0.25">
      <c r="A12907" s="64" t="str">
        <f>HYPERLINK("http://www.twitter.com/den__07", "den__07")</f>
        <v>den__07</v>
      </c>
      <c r="B12907" s="65"/>
    </row>
    <row r="12908" spans="1:2" x14ac:dyDescent="0.25">
      <c r="A12908" s="64" t="str">
        <f>HYPERLINK("http://www.twitter.com/catherinelally", "catherinelally")</f>
        <v>catherinelally</v>
      </c>
      <c r="B12908" s="65"/>
    </row>
    <row r="12909" spans="1:2" x14ac:dyDescent="0.25">
      <c r="A12909" s="64" t="str">
        <f>HYPERLINK("http://www.twitter.com/Sapphira_", "Sapphira_")</f>
        <v>Sapphira_</v>
      </c>
      <c r="B12909" s="65" t="s">
        <v>36</v>
      </c>
    </row>
    <row r="12910" spans="1:2" x14ac:dyDescent="0.25">
      <c r="A12910" s="64" t="str">
        <f>HYPERLINK("http://www.twitter.com/RosieInman", "RosieInman")</f>
        <v>RosieInman</v>
      </c>
      <c r="B12910" s="65" t="s">
        <v>2102</v>
      </c>
    </row>
    <row r="12911" spans="1:2" x14ac:dyDescent="0.25">
      <c r="A12911" s="64" t="str">
        <f>HYPERLINK("http://www.twitter.com/Elizabeth_Erber", "Elizabeth_Erber")</f>
        <v>Elizabeth_Erber</v>
      </c>
      <c r="B12911" s="65" t="s">
        <v>7859</v>
      </c>
    </row>
    <row r="12912" spans="1:2" x14ac:dyDescent="0.25">
      <c r="A12912" s="64" t="str">
        <f>HYPERLINK("http://www.twitter.com/ShazzaB", "ShazzaB")</f>
        <v>ShazzaB</v>
      </c>
      <c r="B12912" s="65" t="s">
        <v>1189</v>
      </c>
    </row>
    <row r="12913" spans="1:2" x14ac:dyDescent="0.25">
      <c r="A12913" s="64" t="str">
        <f>HYPERLINK("http://www.twitter.com/longtallkat", "longtallkat")</f>
        <v>longtallkat</v>
      </c>
      <c r="B12913" s="65"/>
    </row>
    <row r="12914" spans="1:2" x14ac:dyDescent="0.25">
      <c r="A12914" s="64" t="str">
        <f>HYPERLINK("http://www.twitter.com/sarahlethbridge", "sarahlethbridge")</f>
        <v>sarahlethbridge</v>
      </c>
      <c r="B12914" s="65"/>
    </row>
    <row r="12915" spans="1:2" x14ac:dyDescent="0.25">
      <c r="A12915" s="64" t="str">
        <f>HYPERLINK("http://www.twitter.com/paultrollope", "paultrollope")</f>
        <v>paultrollope</v>
      </c>
      <c r="B12915" s="65" t="s">
        <v>7860</v>
      </c>
    </row>
    <row r="12916" spans="1:2" x14ac:dyDescent="0.25">
      <c r="A12916" s="64" t="str">
        <f>HYPERLINK("http://www.twitter.com/tul78", "tul78")</f>
        <v>tul78</v>
      </c>
      <c r="B12916" s="65"/>
    </row>
    <row r="12917" spans="1:2" x14ac:dyDescent="0.25">
      <c r="A12917" s="64" t="str">
        <f>HYPERLINK("http://www.twitter.com/CardinalDrin", "CardinalDrin")</f>
        <v>CardinalDrin</v>
      </c>
      <c r="B12917" s="65"/>
    </row>
    <row r="12918" spans="1:2" x14ac:dyDescent="0.25">
      <c r="A12918" s="64" t="str">
        <f>HYPERLINK("http://www.twitter.com/Clara1Cullen", "Clara1Cullen")</f>
        <v>Clara1Cullen</v>
      </c>
      <c r="B12918" s="65"/>
    </row>
    <row r="12919" spans="1:2" x14ac:dyDescent="0.25">
      <c r="A12919" s="64" t="str">
        <f>HYPERLINK("http://www.twitter.com/thefiniteme", "thefiniteme")</f>
        <v>thefiniteme</v>
      </c>
      <c r="B12919" s="65"/>
    </row>
    <row r="12920" spans="1:2" x14ac:dyDescent="0.25">
      <c r="A12920" s="64" t="str">
        <f>HYPERLINK("http://www.twitter.com/clairewalker_87", "clairewalker_87")</f>
        <v>clairewalker_87</v>
      </c>
      <c r="B12920" s="65" t="s">
        <v>7861</v>
      </c>
    </row>
    <row r="12921" spans="1:2" x14ac:dyDescent="0.25">
      <c r="A12921" s="64" t="str">
        <f>HYPERLINK("http://www.twitter.com/betsvc", "betsvc")</f>
        <v>betsvc</v>
      </c>
      <c r="B12921" s="65" t="s">
        <v>4291</v>
      </c>
    </row>
    <row r="12922" spans="1:2" x14ac:dyDescent="0.25">
      <c r="A12922" s="64" t="str">
        <f>HYPERLINK("http://www.twitter.com/amyelizgray", "amyelizgray")</f>
        <v>amyelizgray</v>
      </c>
      <c r="B12922" s="65" t="s">
        <v>5291</v>
      </c>
    </row>
    <row r="12923" spans="1:2" x14ac:dyDescent="0.25">
      <c r="A12923" s="64" t="str">
        <f>HYPERLINK("http://www.twitter.com/SabrinaEire", "SabrinaEire")</f>
        <v>SabrinaEire</v>
      </c>
      <c r="B12923" s="65"/>
    </row>
    <row r="12924" spans="1:2" x14ac:dyDescent="0.25">
      <c r="A12924" s="64" t="str">
        <f>HYPERLINK("http://www.twitter.com/NKFLibrary", "NKFLibrary")</f>
        <v>NKFLibrary</v>
      </c>
      <c r="B12924" s="65" t="s">
        <v>7862</v>
      </c>
    </row>
    <row r="12925" spans="1:2" x14ac:dyDescent="0.25">
      <c r="A12925" s="64" t="str">
        <f>HYPERLINK("http://www.twitter.com/RichspenSho", "RichspenSho")</f>
        <v>RichspenSho</v>
      </c>
      <c r="B12925" s="65" t="s">
        <v>36</v>
      </c>
    </row>
    <row r="12926" spans="1:2" x14ac:dyDescent="0.25">
      <c r="A12926" s="64" t="str">
        <f>HYPERLINK("http://www.twitter.com/ShannonAnneCott", "ShannonAnneCott")</f>
        <v>ShannonAnneCott</v>
      </c>
      <c r="B12926" s="65" t="s">
        <v>477</v>
      </c>
    </row>
    <row r="12927" spans="1:2" x14ac:dyDescent="0.25">
      <c r="A12927" s="64" t="str">
        <f>HYPERLINK("http://www.twitter.com/Unsolaced", "Unsolaced")</f>
        <v>Unsolaced</v>
      </c>
      <c r="B12927" s="65" t="s">
        <v>7863</v>
      </c>
    </row>
    <row r="12928" spans="1:2" x14ac:dyDescent="0.25">
      <c r="A12928" s="64" t="str">
        <f>HYPERLINK("http://www.twitter.com/RandyRummery", "RandyRummery")</f>
        <v>RandyRummery</v>
      </c>
      <c r="B12928" s="65" t="s">
        <v>7864</v>
      </c>
    </row>
    <row r="12929" spans="1:2" x14ac:dyDescent="0.25">
      <c r="A12929" s="64" t="str">
        <f>HYPERLINK("http://www.twitter.com/b_netherton", "b_netherton")</f>
        <v>b_netherton</v>
      </c>
      <c r="B12929" s="65"/>
    </row>
    <row r="12930" spans="1:2" x14ac:dyDescent="0.25">
      <c r="A12930" s="64" t="str">
        <f>HYPERLINK("http://www.twitter.com/JulieIsher", "JulieIsher")</f>
        <v>JulieIsher</v>
      </c>
      <c r="B12930" s="65" t="s">
        <v>4324</v>
      </c>
    </row>
    <row r="12931" spans="1:2" x14ac:dyDescent="0.25">
      <c r="A12931" s="64" t="str">
        <f>HYPERLINK("http://www.twitter.com/DavidMclaughlan", "DavidMclaughlan")</f>
        <v>DavidMclaughlan</v>
      </c>
      <c r="B12931" s="65" t="s">
        <v>7865</v>
      </c>
    </row>
    <row r="12932" spans="1:2" x14ac:dyDescent="0.25">
      <c r="A12932" s="64" t="str">
        <f>HYPERLINK("http://www.twitter.com/sheonadh", "sheonadh")</f>
        <v>sheonadh</v>
      </c>
      <c r="B12932" s="65"/>
    </row>
    <row r="12933" spans="1:2" x14ac:dyDescent="0.25">
      <c r="A12933" s="64" t="str">
        <f>HYPERLINK("http://www.twitter.com/NorthernLeaguer", "NorthernLeaguer")</f>
        <v>NorthernLeaguer</v>
      </c>
      <c r="B12933" s="65" t="s">
        <v>7866</v>
      </c>
    </row>
    <row r="12934" spans="1:2" x14ac:dyDescent="0.25">
      <c r="A12934" s="64" t="str">
        <f>HYPERLINK("http://www.twitter.com/saroostevens", "saroostevens")</f>
        <v>saroostevens</v>
      </c>
      <c r="B12934" s="65" t="s">
        <v>3688</v>
      </c>
    </row>
    <row r="12935" spans="1:2" x14ac:dyDescent="0.25">
      <c r="A12935" s="64" t="str">
        <f>HYPERLINK("http://www.twitter.com/emilydavis999", "emilydavis999")</f>
        <v>emilydavis999</v>
      </c>
      <c r="B12935" s="65"/>
    </row>
    <row r="12936" spans="1:2" x14ac:dyDescent="0.25">
      <c r="A12936" s="64" t="str">
        <f>HYPERLINK("http://www.twitter.com/dkmm78", "dkmm78")</f>
        <v>dkmm78</v>
      </c>
      <c r="B12936" s="65"/>
    </row>
    <row r="12937" spans="1:2" x14ac:dyDescent="0.25">
      <c r="A12937" s="64" t="str">
        <f>HYPERLINK("http://www.twitter.com/FriendsofMerril", "FriendsofMerril")</f>
        <v>FriendsofMerril</v>
      </c>
      <c r="B12937" s="65" t="s">
        <v>7867</v>
      </c>
    </row>
    <row r="12938" spans="1:2" x14ac:dyDescent="0.25">
      <c r="A12938" s="64" t="str">
        <f>HYPERLINK("http://www.twitter.com/_SuperHugh", "_SuperHugh")</f>
        <v>_SuperHugh</v>
      </c>
      <c r="B12938" s="65" t="s">
        <v>477</v>
      </c>
    </row>
    <row r="12939" spans="1:2" x14ac:dyDescent="0.25">
      <c r="A12939" s="64" t="str">
        <f>HYPERLINK("http://www.twitter.com/Fiona_petrie", "Fiona_petrie")</f>
        <v>Fiona_petrie</v>
      </c>
      <c r="B12939" s="65"/>
    </row>
    <row r="12940" spans="1:2" x14ac:dyDescent="0.25">
      <c r="A12940" s="64" t="str">
        <f>HYPERLINK("http://www.twitter.com/clairey2002", "clairey2002")</f>
        <v>clairey2002</v>
      </c>
      <c r="B12940" s="65" t="s">
        <v>6249</v>
      </c>
    </row>
    <row r="12941" spans="1:2" x14ac:dyDescent="0.25">
      <c r="A12941" s="64" t="str">
        <f>HYPERLINK("http://www.twitter.com/Sailsandcrayons", "Sailsandcrayons")</f>
        <v>Sailsandcrayons</v>
      </c>
      <c r="B12941" s="65"/>
    </row>
    <row r="12942" spans="1:2" x14ac:dyDescent="0.25">
      <c r="A12942" s="64" t="str">
        <f>HYPERLINK("http://www.twitter.com/driverminnie", "driverminnie")</f>
        <v>driverminnie</v>
      </c>
      <c r="B12942" s="65" t="s">
        <v>3775</v>
      </c>
    </row>
    <row r="12943" spans="1:2" x14ac:dyDescent="0.25">
      <c r="A12943" s="64" t="str">
        <f>HYPERLINK("http://www.twitter.com/CharlieLibraria", "CharlieLibraria")</f>
        <v>CharlieLibraria</v>
      </c>
      <c r="B12943" s="65" t="s">
        <v>7868</v>
      </c>
    </row>
    <row r="12944" spans="1:2" x14ac:dyDescent="0.25">
      <c r="A12944" s="64" t="str">
        <f>HYPERLINK("http://www.twitter.com/NANCYCHRISTY", "NANCYCHRISTY")</f>
        <v>NANCYCHRISTY</v>
      </c>
      <c r="B12944" s="65" t="s">
        <v>7869</v>
      </c>
    </row>
    <row r="12945" spans="1:2" x14ac:dyDescent="0.25">
      <c r="A12945" s="64" t="str">
        <f>HYPERLINK("http://www.twitter.com/hogan_siobhan", "hogan_siobhan")</f>
        <v>hogan_siobhan</v>
      </c>
      <c r="B12945" s="65"/>
    </row>
    <row r="12946" spans="1:2" x14ac:dyDescent="0.25">
      <c r="A12946" s="64" t="str">
        <f>HYPERLINK("http://www.twitter.com/MichelleBrisc", "MichelleBrisc")</f>
        <v>MichelleBrisc</v>
      </c>
      <c r="B12946" s="65" t="s">
        <v>7870</v>
      </c>
    </row>
    <row r="12947" spans="1:2" x14ac:dyDescent="0.25">
      <c r="A12947" s="64" t="str">
        <f>HYPERLINK("http://www.twitter.com/Mesabi77", "Mesabi77")</f>
        <v>Mesabi77</v>
      </c>
      <c r="B12947" s="65"/>
    </row>
    <row r="12948" spans="1:2" x14ac:dyDescent="0.25">
      <c r="A12948" s="64" t="str">
        <f>HYPERLINK("http://www.twitter.com/psychodwarf", "psychodwarf")</f>
        <v>psychodwarf</v>
      </c>
      <c r="B12948" s="65" t="s">
        <v>6322</v>
      </c>
    </row>
    <row r="12949" spans="1:2" x14ac:dyDescent="0.25">
      <c r="A12949" s="64" t="str">
        <f>HYPERLINK("http://www.twitter.com/Reading_Addicts", "Reading_Addicts")</f>
        <v>Reading_Addicts</v>
      </c>
      <c r="B12949" s="65" t="s">
        <v>7871</v>
      </c>
    </row>
    <row r="12950" spans="1:2" x14ac:dyDescent="0.25">
      <c r="A12950" s="64" t="str">
        <f>HYPERLINK("http://www.twitter.com/gaz5282", "gaz5282")</f>
        <v>gaz5282</v>
      </c>
      <c r="B12950" s="65"/>
    </row>
    <row r="12951" spans="1:2" x14ac:dyDescent="0.25">
      <c r="A12951" s="64" t="str">
        <f>HYPERLINK("http://www.twitter.com/YudiAlive", "YudiAlive")</f>
        <v>YudiAlive</v>
      </c>
      <c r="B12951" s="65" t="s">
        <v>7872</v>
      </c>
    </row>
    <row r="12952" spans="1:2" x14ac:dyDescent="0.25">
      <c r="A12952" s="64" t="str">
        <f>HYPERLINK("http://www.twitter.com/cath_small", "cath_small")</f>
        <v>cath_small</v>
      </c>
      <c r="B12952" s="65" t="s">
        <v>7873</v>
      </c>
    </row>
    <row r="12953" spans="1:2" x14ac:dyDescent="0.25">
      <c r="A12953" s="64" t="str">
        <f>HYPERLINK("http://www.twitter.com/SnowboundChimp", "SnowboundChimp")</f>
        <v>SnowboundChimp</v>
      </c>
      <c r="B12953" s="65"/>
    </row>
    <row r="12954" spans="1:2" x14ac:dyDescent="0.25">
      <c r="A12954" s="64" t="str">
        <f>HYPERLINK("http://www.twitter.com/peeblesmusic", "peeblesmusic")</f>
        <v>peeblesmusic</v>
      </c>
      <c r="B12954" s="65" t="s">
        <v>7874</v>
      </c>
    </row>
    <row r="12955" spans="1:2" x14ac:dyDescent="0.25">
      <c r="A12955" s="64" t="str">
        <f>HYPERLINK("http://www.twitter.com/Anna_sPlace", "Anna_sPlace")</f>
        <v>Anna_sPlace</v>
      </c>
      <c r="B12955" s="65" t="s">
        <v>102</v>
      </c>
    </row>
    <row r="12956" spans="1:2" x14ac:dyDescent="0.25">
      <c r="A12956" s="64" t="str">
        <f>HYPERLINK("http://www.twitter.com/GalwayGirlV", "GalwayGirlV")</f>
        <v>GalwayGirlV</v>
      </c>
      <c r="B12956" s="65"/>
    </row>
    <row r="12957" spans="1:2" x14ac:dyDescent="0.25">
      <c r="A12957" s="64" t="str">
        <f>HYPERLINK("http://www.twitter.com/Sarah_Fishley", "Sarah_Fishley")</f>
        <v>Sarah_Fishley</v>
      </c>
      <c r="B12957" s="65"/>
    </row>
    <row r="12958" spans="1:2" x14ac:dyDescent="0.25">
      <c r="A12958" s="64" t="str">
        <f>HYPERLINK("http://www.twitter.com/EllaRhodesPsy", "EllaRhodesPsy")</f>
        <v>EllaRhodesPsy</v>
      </c>
      <c r="B12958" s="65" t="s">
        <v>926</v>
      </c>
    </row>
    <row r="12959" spans="1:2" x14ac:dyDescent="0.25">
      <c r="A12959" s="64" t="str">
        <f>HYPERLINK("http://www.twitter.com/SLT_SarahD", "SLT_SarahD")</f>
        <v>SLT_SarahD</v>
      </c>
      <c r="B12959" s="65" t="s">
        <v>7875</v>
      </c>
    </row>
    <row r="12960" spans="1:2" x14ac:dyDescent="0.25">
      <c r="A12960" s="64" t="str">
        <f>HYPERLINK("http://www.twitter.com/CorBlastMe", "CorBlastMe")</f>
        <v>CorBlastMe</v>
      </c>
      <c r="B12960" s="65"/>
    </row>
    <row r="12961" spans="1:2" x14ac:dyDescent="0.25">
      <c r="A12961" s="64" t="str">
        <f>HYPERLINK("http://www.twitter.com/mwallslawson", "mwallslawson")</f>
        <v>mwallslawson</v>
      </c>
      <c r="B12961" s="65"/>
    </row>
    <row r="12962" spans="1:2" x14ac:dyDescent="0.25">
      <c r="A12962" s="64" t="str">
        <f>HYPERLINK("http://www.twitter.com/Joinwonderland", "Joinwonderland")</f>
        <v>Joinwonderland</v>
      </c>
      <c r="B12962" s="65" t="s">
        <v>7876</v>
      </c>
    </row>
    <row r="12963" spans="1:2" x14ac:dyDescent="0.25">
      <c r="A12963" s="64" t="str">
        <f>HYPERLINK("http://www.twitter.com/BryonyJoan", "BryonyJoan")</f>
        <v>BryonyJoan</v>
      </c>
      <c r="B12963" s="65" t="s">
        <v>36</v>
      </c>
    </row>
    <row r="12964" spans="1:2" x14ac:dyDescent="0.25">
      <c r="A12964" s="64" t="str">
        <f>HYPERLINK("http://www.twitter.com/esslemont", "esslemont")</f>
        <v>esslemont</v>
      </c>
      <c r="B12964" s="65" t="s">
        <v>7877</v>
      </c>
    </row>
    <row r="12965" spans="1:2" x14ac:dyDescent="0.25">
      <c r="A12965" s="64" t="str">
        <f>HYPERLINK("http://www.twitter.com/policyhoe", "policyhoe")</f>
        <v>policyhoe</v>
      </c>
      <c r="B12965" s="65" t="s">
        <v>7878</v>
      </c>
    </row>
    <row r="12966" spans="1:2" x14ac:dyDescent="0.25">
      <c r="A12966" s="64" t="str">
        <f>HYPERLINK("http://www.twitter.com/_katewatkins", "_katewatkins")</f>
        <v>_katewatkins</v>
      </c>
      <c r="B12966" s="65" t="s">
        <v>77</v>
      </c>
    </row>
    <row r="12967" spans="1:2" x14ac:dyDescent="0.25">
      <c r="A12967" s="64" t="str">
        <f>HYPERLINK("http://www.twitter.com/mhairi_paterson", "mhairi_paterson")</f>
        <v>mhairi_paterson</v>
      </c>
      <c r="B12967" s="65" t="s">
        <v>2232</v>
      </c>
    </row>
    <row r="12968" spans="1:2" x14ac:dyDescent="0.25">
      <c r="A12968" s="64" t="str">
        <f>HYPERLINK("http://www.twitter.com/evilBillySue", "evilBillySue")</f>
        <v>evilBillySue</v>
      </c>
      <c r="B12968" s="65"/>
    </row>
    <row r="12969" spans="1:2" x14ac:dyDescent="0.25">
      <c r="A12969" s="64" t="str">
        <f>HYPERLINK("http://www.twitter.com/fiction_mist", "fiction_mist")</f>
        <v>fiction_mist</v>
      </c>
      <c r="B12969" s="65" t="s">
        <v>7879</v>
      </c>
    </row>
    <row r="12970" spans="1:2" x14ac:dyDescent="0.25">
      <c r="A12970" s="64" t="str">
        <f>HYPERLINK("http://www.twitter.com/dvbullamore", "dvbullamore")</f>
        <v>dvbullamore</v>
      </c>
      <c r="B12970" s="65" t="s">
        <v>7880</v>
      </c>
    </row>
    <row r="12971" spans="1:2" x14ac:dyDescent="0.25">
      <c r="A12971" s="64" t="str">
        <f>HYPERLINK("http://www.twitter.com/Hevalaaar", "Hevalaaar")</f>
        <v>Hevalaaar</v>
      </c>
      <c r="B12971" s="65"/>
    </row>
    <row r="12972" spans="1:2" x14ac:dyDescent="0.25">
      <c r="A12972" s="64" t="str">
        <f>HYPERLINK("http://www.twitter.com/WanderWoman86", "WanderWoman86")</f>
        <v>WanderWoman86</v>
      </c>
      <c r="B12972" s="65"/>
    </row>
    <row r="12973" spans="1:2" x14ac:dyDescent="0.25">
      <c r="A12973" s="64" t="str">
        <f>HYPERLINK("http://www.twitter.com/Fanellaa", "Fanellaa")</f>
        <v>Fanellaa</v>
      </c>
      <c r="B12973" s="65" t="s">
        <v>7881</v>
      </c>
    </row>
    <row r="12974" spans="1:2" x14ac:dyDescent="0.25">
      <c r="A12974" s="64" t="str">
        <f>HYPERLINK("http://www.twitter.com/isabella324", "isabella324")</f>
        <v>isabella324</v>
      </c>
      <c r="B12974" s="65" t="s">
        <v>4095</v>
      </c>
    </row>
    <row r="12975" spans="1:2" x14ac:dyDescent="0.25">
      <c r="A12975" s="64" t="str">
        <f>HYPERLINK("http://www.twitter.com/Surround2ound", "Surround2ound")</f>
        <v>Surround2ound</v>
      </c>
      <c r="B12975" s="65" t="s">
        <v>4716</v>
      </c>
    </row>
    <row r="12976" spans="1:2" x14ac:dyDescent="0.25">
      <c r="A12976" s="64" t="str">
        <f>HYPERLINK("http://www.twitter.com/EWTinaJordan", "EWTinaJordan")</f>
        <v>EWTinaJordan</v>
      </c>
      <c r="B12976" s="65"/>
    </row>
    <row r="12977" spans="1:2" x14ac:dyDescent="0.25">
      <c r="A12977" s="64" t="str">
        <f>HYPERLINK("http://www.twitter.com/GuardiolaAmelie", "GuardiolaAmelie")</f>
        <v>GuardiolaAmelie</v>
      </c>
      <c r="B12977" s="65"/>
    </row>
    <row r="12978" spans="1:2" x14ac:dyDescent="0.25">
      <c r="A12978" s="64" t="str">
        <f>HYPERLINK("http://www.twitter.com/charlotteagier", "charlotteagier")</f>
        <v>charlotteagier</v>
      </c>
      <c r="B12978" s="65" t="s">
        <v>4015</v>
      </c>
    </row>
    <row r="12979" spans="1:2" x14ac:dyDescent="0.25">
      <c r="A12979" s="64" t="str">
        <f>HYPERLINK("http://www.twitter.com/winston368", "winston368")</f>
        <v>winston368</v>
      </c>
      <c r="B12979" s="65" t="s">
        <v>7882</v>
      </c>
    </row>
    <row r="12980" spans="1:2" x14ac:dyDescent="0.25">
      <c r="A12980" s="64" t="str">
        <f>HYPERLINK("http://www.twitter.com/bethanderson60", "bethanderson60")</f>
        <v>bethanderson60</v>
      </c>
      <c r="B12980" s="65" t="s">
        <v>138</v>
      </c>
    </row>
    <row r="12981" spans="1:2" x14ac:dyDescent="0.25">
      <c r="A12981" s="64" t="str">
        <f>HYPERLINK("http://www.twitter.com/Libarbarian", "Libarbarian")</f>
        <v>Libarbarian</v>
      </c>
      <c r="B12981" s="65" t="s">
        <v>7201</v>
      </c>
    </row>
    <row r="12982" spans="1:2" x14ac:dyDescent="0.25">
      <c r="A12982" s="64" t="str">
        <f>HYPERLINK("http://www.twitter.com/NewMiltonLib", "NewMiltonLib")</f>
        <v>NewMiltonLib</v>
      </c>
      <c r="B12982" s="65" t="s">
        <v>2709</v>
      </c>
    </row>
    <row r="12983" spans="1:2" x14ac:dyDescent="0.25">
      <c r="A12983" s="64" t="str">
        <f>HYPERLINK("http://www.twitter.com/BrianBruzzo1", "BrianBruzzo1")</f>
        <v>BrianBruzzo1</v>
      </c>
      <c r="B12983" s="65"/>
    </row>
    <row r="12984" spans="1:2" x14ac:dyDescent="0.25">
      <c r="A12984" s="64" t="str">
        <f>HYPERLINK("http://www.twitter.com/ThompTara", "ThompTara")</f>
        <v>ThompTara</v>
      </c>
      <c r="B12984" s="65" t="s">
        <v>7883</v>
      </c>
    </row>
    <row r="12985" spans="1:2" x14ac:dyDescent="0.25">
      <c r="A12985" s="64" t="str">
        <f>HYPERLINK("http://www.twitter.com/ChrissieW1989", "ChrissieW1989")</f>
        <v>ChrissieW1989</v>
      </c>
      <c r="B12985" s="65"/>
    </row>
    <row r="12986" spans="1:2" x14ac:dyDescent="0.25">
      <c r="A12986" s="64" t="str">
        <f>HYPERLINK("http://www.twitter.com/LemuriaBooks", "LemuriaBooks")</f>
        <v>LemuriaBooks</v>
      </c>
      <c r="B12986" s="65" t="s">
        <v>7884</v>
      </c>
    </row>
    <row r="12987" spans="1:2" x14ac:dyDescent="0.25">
      <c r="A12987" s="64" t="str">
        <f>HYPERLINK("http://www.twitter.com/annelive", "annelive")</f>
        <v>annelive</v>
      </c>
      <c r="B12987" s="65"/>
    </row>
    <row r="12988" spans="1:2" x14ac:dyDescent="0.25">
      <c r="A12988" s="64" t="str">
        <f>HYPERLINK("http://www.twitter.com/faceOgrace", "faceOgrace")</f>
        <v>faceOgrace</v>
      </c>
      <c r="B12988" s="65"/>
    </row>
    <row r="12989" spans="1:2" x14ac:dyDescent="0.25">
      <c r="A12989" s="64" t="str">
        <f>HYPERLINK("http://www.twitter.com/adopterama", "adopterama")</f>
        <v>adopterama</v>
      </c>
      <c r="B12989" s="65"/>
    </row>
    <row r="12990" spans="1:2" x14ac:dyDescent="0.25">
      <c r="A12990" s="64" t="str">
        <f>HYPERLINK("http://www.twitter.com/SerenaHaywood", "SerenaHaywood")</f>
        <v>SerenaHaywood</v>
      </c>
      <c r="B12990" s="65" t="s">
        <v>36</v>
      </c>
    </row>
    <row r="12991" spans="1:2" x14ac:dyDescent="0.25">
      <c r="A12991" s="64" t="str">
        <f>HYPERLINK("http://www.twitter.com/mycslibrary", "mycslibrary")</f>
        <v>mycslibrary</v>
      </c>
      <c r="B12991" s="65" t="s">
        <v>7885</v>
      </c>
    </row>
    <row r="12992" spans="1:2" x14ac:dyDescent="0.25">
      <c r="A12992" s="64" t="str">
        <f>HYPERLINK("http://www.twitter.com/crbrlw", "crbrlw")</f>
        <v>crbrlw</v>
      </c>
      <c r="B12992" s="65"/>
    </row>
    <row r="12993" spans="1:2" x14ac:dyDescent="0.25">
      <c r="A12993" s="64" t="str">
        <f>HYPERLINK("http://www.twitter.com/pcadigan", "pcadigan")</f>
        <v>pcadigan</v>
      </c>
      <c r="B12993" s="65"/>
    </row>
    <row r="12994" spans="1:2" x14ac:dyDescent="0.25">
      <c r="A12994" s="64" t="str">
        <f>HYPERLINK("http://www.twitter.com/lauragormley", "lauragormley")</f>
        <v>lauragormley</v>
      </c>
      <c r="B12994" s="65" t="s">
        <v>361</v>
      </c>
    </row>
    <row r="12995" spans="1:2" x14ac:dyDescent="0.25">
      <c r="A12995" s="64" t="str">
        <f>HYPERLINK("http://www.twitter.com/TheGiftShed", "TheGiftShed")</f>
        <v>TheGiftShed</v>
      </c>
      <c r="B12995" s="65" t="s">
        <v>110</v>
      </c>
    </row>
    <row r="12996" spans="1:2" x14ac:dyDescent="0.25">
      <c r="A12996" s="64" t="str">
        <f>HYPERLINK("http://www.twitter.com/gillcrichton", "gillcrichton")</f>
        <v>gillcrichton</v>
      </c>
      <c r="B12996" s="65" t="s">
        <v>355</v>
      </c>
    </row>
    <row r="12997" spans="1:2" x14ac:dyDescent="0.25">
      <c r="A12997" s="64" t="str">
        <f>HYPERLINK("http://www.twitter.com/MissHelsBelles", "MissHelsBelles")</f>
        <v>MissHelsBelles</v>
      </c>
      <c r="B12997" s="65" t="s">
        <v>4289</v>
      </c>
    </row>
    <row r="12998" spans="1:2" x14ac:dyDescent="0.25">
      <c r="A12998" s="64" t="str">
        <f>HYPERLINK("http://www.twitter.com/steepler", "steepler")</f>
        <v>steepler</v>
      </c>
      <c r="B12998" s="65" t="s">
        <v>7886</v>
      </c>
    </row>
    <row r="12999" spans="1:2" x14ac:dyDescent="0.25">
      <c r="A12999" s="64" t="str">
        <f>HYPERLINK("http://www.twitter.com/BuffyTheSlayr", "BuffyTheSlayr")</f>
        <v>BuffyTheSlayr</v>
      </c>
      <c r="B12999" s="65" t="s">
        <v>7207</v>
      </c>
    </row>
    <row r="13000" spans="1:2" x14ac:dyDescent="0.25">
      <c r="A13000" s="64" t="str">
        <f>HYPERLINK("http://www.twitter.com/Helen_Salley", "Helen_Salley")</f>
        <v>Helen_Salley</v>
      </c>
      <c r="B13000" s="65" t="s">
        <v>4802</v>
      </c>
    </row>
    <row r="13001" spans="1:2" x14ac:dyDescent="0.25">
      <c r="A13001" s="64" t="str">
        <f>HYPERLINK("http://www.twitter.com/MelenaMoore", "MelenaMoore")</f>
        <v>MelenaMoore</v>
      </c>
      <c r="B13001" s="65"/>
    </row>
    <row r="13002" spans="1:2" x14ac:dyDescent="0.25">
      <c r="A13002" s="64" t="str">
        <f>HYPERLINK("http://www.twitter.com/Paul__79", "Paul__79")</f>
        <v>Paul__79</v>
      </c>
      <c r="B13002" s="65"/>
    </row>
    <row r="13003" spans="1:2" x14ac:dyDescent="0.25">
      <c r="A13003" s="64" t="str">
        <f>HYPERLINK("http://www.twitter.com/tritticaknits", "tritticaknits")</f>
        <v>tritticaknits</v>
      </c>
      <c r="B13003" s="65"/>
    </row>
    <row r="13004" spans="1:2" x14ac:dyDescent="0.25">
      <c r="A13004" s="64" t="str">
        <f>HYPERLINK("http://www.twitter.com/itsguywindy", "itsguywindy")</f>
        <v>itsguywindy</v>
      </c>
      <c r="B13004" s="65"/>
    </row>
    <row r="13005" spans="1:2" x14ac:dyDescent="0.25">
      <c r="A13005" s="64" t="str">
        <f>HYPERLINK("http://www.twitter.com/danhenson1", "danhenson1")</f>
        <v>danhenson1</v>
      </c>
      <c r="B13005" s="65"/>
    </row>
    <row r="13006" spans="1:2" x14ac:dyDescent="0.25">
      <c r="A13006" s="64" t="str">
        <f>HYPERLINK("http://www.twitter.com/K_Kerridge", "K_Kerridge")</f>
        <v>K_Kerridge</v>
      </c>
      <c r="B13006" s="65" t="s">
        <v>7887</v>
      </c>
    </row>
    <row r="13007" spans="1:2" x14ac:dyDescent="0.25">
      <c r="A13007" s="64" t="str">
        <f>HYPERLINK("http://www.twitter.com/bookotecarian", "bookotecarian")</f>
        <v>bookotecarian</v>
      </c>
      <c r="B13007" s="65"/>
    </row>
    <row r="13008" spans="1:2" x14ac:dyDescent="0.25">
      <c r="A13008" s="64" t="str">
        <f>HYPERLINK("http://www.twitter.com/cmomNYC", "cmomNYC")</f>
        <v>cmomNYC</v>
      </c>
      <c r="B13008" s="65" t="s">
        <v>7888</v>
      </c>
    </row>
    <row r="13009" spans="1:2" x14ac:dyDescent="0.25">
      <c r="A13009" s="64" t="str">
        <f>HYPERLINK("http://www.twitter.com/katieglyph", "katieglyph")</f>
        <v>katieglyph</v>
      </c>
      <c r="B13009" s="65" t="s">
        <v>7889</v>
      </c>
    </row>
    <row r="13010" spans="1:2" x14ac:dyDescent="0.25">
      <c r="A13010" s="64" t="str">
        <f>HYPERLINK("http://www.twitter.com/CarenBerlanga", "CarenBerlanga")</f>
        <v>CarenBerlanga</v>
      </c>
      <c r="B13010" s="65" t="s">
        <v>7890</v>
      </c>
    </row>
    <row r="13011" spans="1:2" x14ac:dyDescent="0.25">
      <c r="A13011" s="64" t="str">
        <f>HYPERLINK("http://www.twitter.com/Cindie_Reiter", "Cindie_Reiter")</f>
        <v>Cindie_Reiter</v>
      </c>
      <c r="B13011" s="65" t="s">
        <v>7891</v>
      </c>
    </row>
    <row r="13012" spans="1:2" x14ac:dyDescent="0.25">
      <c r="A13012" s="64" t="str">
        <f>HYPERLINK("http://www.twitter.com/jonny9954", "jonny9954")</f>
        <v>jonny9954</v>
      </c>
      <c r="B13012" s="65" t="s">
        <v>7892</v>
      </c>
    </row>
    <row r="13013" spans="1:2" x14ac:dyDescent="0.25">
      <c r="A13013" s="64" t="str">
        <f>HYPERLINK("http://www.twitter.com/EFSweetman", "EFSweetman")</f>
        <v>EFSweetman</v>
      </c>
      <c r="B13013" s="65" t="s">
        <v>7893</v>
      </c>
    </row>
    <row r="13014" spans="1:2" x14ac:dyDescent="0.25">
      <c r="A13014" s="64" t="str">
        <f>HYPERLINK("http://www.twitter.com/glip76", "glip76")</f>
        <v>glip76</v>
      </c>
      <c r="B13014" s="65" t="s">
        <v>7864</v>
      </c>
    </row>
    <row r="13015" spans="1:2" x14ac:dyDescent="0.25">
      <c r="A13015" s="64" t="str">
        <f>HYPERLINK("http://www.twitter.com/debgrif", "debgrif")</f>
        <v>debgrif</v>
      </c>
      <c r="B13015" s="65"/>
    </row>
    <row r="13016" spans="1:2" x14ac:dyDescent="0.25">
      <c r="A13016" s="64" t="str">
        <f>HYPERLINK("http://www.twitter.com/penelopedw", "penelopedw")</f>
        <v>penelopedw</v>
      </c>
      <c r="B13016" s="65" t="s">
        <v>7338</v>
      </c>
    </row>
    <row r="13017" spans="1:2" x14ac:dyDescent="0.25">
      <c r="A13017" s="64" t="str">
        <f>HYPERLINK("http://www.twitter.com/janetlewi5", "janetlewi5")</f>
        <v>janetlewi5</v>
      </c>
      <c r="B13017" s="65" t="s">
        <v>118</v>
      </c>
    </row>
    <row r="13018" spans="1:2" x14ac:dyDescent="0.25">
      <c r="A13018" s="64" t="str">
        <f>HYPERLINK("http://www.twitter.com/MissKPrior", "MissKPrior")</f>
        <v>MissKPrior</v>
      </c>
      <c r="B13018" s="65" t="s">
        <v>1765</v>
      </c>
    </row>
    <row r="13019" spans="1:2" x14ac:dyDescent="0.25">
      <c r="A13019" s="64" t="str">
        <f>HYPERLINK("http://www.twitter.com/Ky4144", "Ky4144")</f>
        <v>Ky4144</v>
      </c>
      <c r="B13019" s="65" t="s">
        <v>70</v>
      </c>
    </row>
    <row r="13020" spans="1:2" x14ac:dyDescent="0.25">
      <c r="A13020" s="64" t="str">
        <f>HYPERLINK("http://www.twitter.com/toerzy", "toerzy")</f>
        <v>toerzy</v>
      </c>
      <c r="B13020" s="65" t="s">
        <v>7894</v>
      </c>
    </row>
    <row r="13021" spans="1:2" x14ac:dyDescent="0.25">
      <c r="A13021" s="64" t="str">
        <f>HYPERLINK("http://www.twitter.com/baytownlibrary", "baytownlibrary")</f>
        <v>baytownlibrary</v>
      </c>
      <c r="B13021" s="65" t="s">
        <v>7895</v>
      </c>
    </row>
    <row r="13022" spans="1:2" x14ac:dyDescent="0.25">
      <c r="A13022" s="64" t="str">
        <f>HYPERLINK("http://www.twitter.com/jacqfisher", "jacqfisher")</f>
        <v>jacqfisher</v>
      </c>
      <c r="B13022" s="65"/>
    </row>
    <row r="13023" spans="1:2" x14ac:dyDescent="0.25">
      <c r="A13023" s="64" t="str">
        <f>HYPERLINK("http://www.twitter.com/nlanefrance", "nlanefrance")</f>
        <v>nlanefrance</v>
      </c>
      <c r="B13023" s="65" t="s">
        <v>7708</v>
      </c>
    </row>
    <row r="13024" spans="1:2" x14ac:dyDescent="0.25">
      <c r="A13024" s="64" t="str">
        <f>HYPERLINK("http://www.twitter.com/AlwynFJH", "AlwynFJH")</f>
        <v>AlwynFJH</v>
      </c>
      <c r="B13024" s="65" t="s">
        <v>36</v>
      </c>
    </row>
    <row r="13025" spans="1:2" x14ac:dyDescent="0.25">
      <c r="A13025" s="64" t="str">
        <f>HYPERLINK("http://www.twitter.com/leckiec", "leckiec")</f>
        <v>leckiec</v>
      </c>
      <c r="B13025" s="65"/>
    </row>
    <row r="13026" spans="1:2" x14ac:dyDescent="0.25">
      <c r="A13026" s="64" t="str">
        <f>HYPERLINK("http://www.twitter.com/iubabaorum", "iubabaorum")</f>
        <v>iubabaorum</v>
      </c>
      <c r="B13026" s="65" t="s">
        <v>7896</v>
      </c>
    </row>
    <row r="13027" spans="1:2" x14ac:dyDescent="0.25">
      <c r="A13027" s="64" t="str">
        <f>HYPERLINK("http://www.twitter.com/bohemianshell", "bohemianshell")</f>
        <v>bohemianshell</v>
      </c>
      <c r="B13027" s="65"/>
    </row>
    <row r="13028" spans="1:2" x14ac:dyDescent="0.25">
      <c r="A13028" s="64" t="str">
        <f>HYPERLINK("http://www.twitter.com/hooker1uk", "hooker1uk")</f>
        <v>hooker1uk</v>
      </c>
      <c r="B13028" s="65" t="s">
        <v>7897</v>
      </c>
    </row>
    <row r="13029" spans="1:2" x14ac:dyDescent="0.25">
      <c r="A13029" s="64" t="str">
        <f>HYPERLINK("http://www.twitter.com/GeorginaLCooper", "GeorginaLCooper")</f>
        <v>GeorginaLCooper</v>
      </c>
      <c r="B13029" s="65"/>
    </row>
    <row r="13030" spans="1:2" x14ac:dyDescent="0.25">
      <c r="A13030" s="64" t="str">
        <f>HYPERLINK("http://www.twitter.com/millie24601", "millie24601")</f>
        <v>millie24601</v>
      </c>
      <c r="B13030" s="65"/>
    </row>
    <row r="13031" spans="1:2" x14ac:dyDescent="0.25">
      <c r="A13031" s="64" t="str">
        <f>HYPERLINK("http://www.twitter.com/louisejbailey", "louisejbailey")</f>
        <v>louisejbailey</v>
      </c>
      <c r="B13031" s="65" t="s">
        <v>7898</v>
      </c>
    </row>
    <row r="13032" spans="1:2" x14ac:dyDescent="0.25">
      <c r="A13032" s="64" t="str">
        <f>HYPERLINK("http://www.twitter.com/alysonlayn", "alysonlayn")</f>
        <v>alysonlayn</v>
      </c>
      <c r="B13032" s="65"/>
    </row>
    <row r="13033" spans="1:2" x14ac:dyDescent="0.25">
      <c r="A13033" s="64" t="str">
        <f>HYPERLINK("http://www.twitter.com/emmalbeanie", "emmalbeanie")</f>
        <v>emmalbeanie</v>
      </c>
      <c r="B13033" s="65" t="s">
        <v>3524</v>
      </c>
    </row>
    <row r="13034" spans="1:2" x14ac:dyDescent="0.25">
      <c r="A13034" s="64" t="str">
        <f>HYPERLINK("http://www.twitter.com/d_dmgt", "d_dmgt")</f>
        <v>d_dmgt</v>
      </c>
      <c r="B13034" s="65" t="s">
        <v>4015</v>
      </c>
    </row>
    <row r="13035" spans="1:2" x14ac:dyDescent="0.25">
      <c r="A13035" s="64" t="str">
        <f>HYPERLINK("http://www.twitter.com/moondust3890", "moondust3890")</f>
        <v>moondust3890</v>
      </c>
      <c r="B13035" s="65" t="s">
        <v>3400</v>
      </c>
    </row>
    <row r="13036" spans="1:2" x14ac:dyDescent="0.25">
      <c r="A13036" s="64" t="str">
        <f>HYPERLINK("http://www.twitter.com/s_unter", "s_unter")</f>
        <v>s_unter</v>
      </c>
      <c r="B13036" s="65" t="s">
        <v>7899</v>
      </c>
    </row>
    <row r="13037" spans="1:2" x14ac:dyDescent="0.25">
      <c r="A13037" s="64" t="str">
        <f>HYPERLINK("http://www.twitter.com/gracerowley", "gracerowley")</f>
        <v>gracerowley</v>
      </c>
      <c r="B13037" s="65" t="s">
        <v>36</v>
      </c>
    </row>
    <row r="13038" spans="1:2" x14ac:dyDescent="0.25">
      <c r="A13038" s="64" t="str">
        <f>HYPERLINK("http://www.twitter.com/NisbetKatherine", "NisbetKatherine")</f>
        <v>NisbetKatherine</v>
      </c>
      <c r="B13038" s="65"/>
    </row>
    <row r="13039" spans="1:2" x14ac:dyDescent="0.25">
      <c r="A13039" s="64" t="str">
        <f>HYPERLINK("http://www.twitter.com/jsirius007", "jsirius007")</f>
        <v>jsirius007</v>
      </c>
      <c r="B13039" s="65" t="s">
        <v>1377</v>
      </c>
    </row>
    <row r="13040" spans="1:2" x14ac:dyDescent="0.25">
      <c r="A13040" s="64" t="str">
        <f>HYPERLINK("http://www.twitter.com/Bekah_K", "Bekah_K")</f>
        <v>Bekah_K</v>
      </c>
      <c r="B13040" s="65"/>
    </row>
    <row r="13041" spans="1:2" x14ac:dyDescent="0.25">
      <c r="A13041" s="64" t="str">
        <f>HYPERLINK("http://www.twitter.com/NonDomTom", "NonDomTom")</f>
        <v>NonDomTom</v>
      </c>
      <c r="B13041" s="65" t="s">
        <v>1537</v>
      </c>
    </row>
    <row r="13042" spans="1:2" x14ac:dyDescent="0.25">
      <c r="A13042" s="64" t="str">
        <f>HYPERLINK("http://www.twitter.com/SandyDewar", "SandyDewar")</f>
        <v>SandyDewar</v>
      </c>
      <c r="B13042" s="65"/>
    </row>
    <row r="13043" spans="1:2" x14ac:dyDescent="0.25">
      <c r="A13043" s="64" t="str">
        <f>HYPERLINK("http://www.twitter.com/ammienoot", "ammienoot")</f>
        <v>ammienoot</v>
      </c>
      <c r="B13043" s="65" t="s">
        <v>24</v>
      </c>
    </row>
    <row r="13044" spans="1:2" x14ac:dyDescent="0.25">
      <c r="A13044" s="64" t="str">
        <f>HYPERLINK("http://www.twitter.com/Naborczyk", "Naborczyk")</f>
        <v>Naborczyk</v>
      </c>
      <c r="B13044" s="65" t="s">
        <v>5156</v>
      </c>
    </row>
    <row r="13045" spans="1:2" x14ac:dyDescent="0.25">
      <c r="A13045" s="64" t="str">
        <f>HYPERLINK("http://www.twitter.com/youcancallmecaz", "youcancallmecaz")</f>
        <v>youcancallmecaz</v>
      </c>
      <c r="B13045" s="65"/>
    </row>
    <row r="13046" spans="1:2" x14ac:dyDescent="0.25">
      <c r="A13046" s="64" t="str">
        <f>HYPERLINK("http://www.twitter.com/ALAIRO", "ALAIRO")</f>
        <v>ALAIRO</v>
      </c>
      <c r="B13046" s="65" t="s">
        <v>7900</v>
      </c>
    </row>
    <row r="13047" spans="1:2" x14ac:dyDescent="0.25">
      <c r="A13047" s="64" t="str">
        <f>HYPERLINK("http://www.twitter.com/Teri101", "Teri101")</f>
        <v>Teri101</v>
      </c>
      <c r="B13047" s="65" t="s">
        <v>4508</v>
      </c>
    </row>
    <row r="13048" spans="1:2" x14ac:dyDescent="0.25">
      <c r="A13048" s="64" t="str">
        <f>HYPERLINK("http://www.twitter.com/BookishBren", "BookishBren")</f>
        <v>BookishBren</v>
      </c>
      <c r="B13048" s="65"/>
    </row>
    <row r="13049" spans="1:2" x14ac:dyDescent="0.25">
      <c r="A13049" s="64" t="str">
        <f>HYPERLINK("http://www.twitter.com/bibih74", "bibih74")</f>
        <v>bibih74</v>
      </c>
      <c r="B13049" s="65"/>
    </row>
    <row r="13050" spans="1:2" x14ac:dyDescent="0.25">
      <c r="A13050" s="64" t="str">
        <f>HYPERLINK("http://www.twitter.com/JesseMeriah", "JesseMeriah")</f>
        <v>JesseMeriah</v>
      </c>
      <c r="B13050" s="65"/>
    </row>
    <row r="13051" spans="1:2" x14ac:dyDescent="0.25">
      <c r="A13051" s="64" t="str">
        <f>HYPERLINK("http://www.twitter.com/kirsty_christie", "kirsty_christie")</f>
        <v>kirsty_christie</v>
      </c>
      <c r="B13051" s="65"/>
    </row>
    <row r="13052" spans="1:2" x14ac:dyDescent="0.25">
      <c r="A13052" s="64" t="str">
        <f>HYPERLINK("http://www.twitter.com/Hughlie", "Hughlie")</f>
        <v>Hughlie</v>
      </c>
      <c r="B13052" s="65"/>
    </row>
    <row r="13053" spans="1:2" x14ac:dyDescent="0.25">
      <c r="A13053" s="64" t="str">
        <f>HYPERLINK("http://www.twitter.com/BarbPerks", "BarbPerks")</f>
        <v>BarbPerks</v>
      </c>
      <c r="B13053" s="65"/>
    </row>
    <row r="13054" spans="1:2" x14ac:dyDescent="0.25">
      <c r="A13054" s="64" t="str">
        <f>HYPERLINK("http://www.twitter.com/SimonPeterCade", "SimonPeterCade")</f>
        <v>SimonPeterCade</v>
      </c>
      <c r="B13054" s="65" t="s">
        <v>7901</v>
      </c>
    </row>
    <row r="13055" spans="1:2" x14ac:dyDescent="0.25">
      <c r="A13055" s="64" t="str">
        <f>HYPERLINK("http://www.twitter.com/BlueRainbowCat", "BlueRainbowCat")</f>
        <v>BlueRainbowCat</v>
      </c>
      <c r="B13055" s="65"/>
    </row>
    <row r="13056" spans="1:2" x14ac:dyDescent="0.25">
      <c r="A13056" s="64" t="str">
        <f>HYPERLINK("http://www.twitter.com/BryonyCoombs", "BryonyCoombs")</f>
        <v>BryonyCoombs</v>
      </c>
      <c r="B13056" s="65" t="s">
        <v>487</v>
      </c>
    </row>
    <row r="13057" spans="1:2" x14ac:dyDescent="0.25">
      <c r="A13057" s="64" t="str">
        <f>HYPERLINK("http://www.twitter.com/madenoiselle", "madenoiselle")</f>
        <v>madenoiselle</v>
      </c>
      <c r="B13057" s="65" t="s">
        <v>7902</v>
      </c>
    </row>
    <row r="13058" spans="1:2" x14ac:dyDescent="0.25">
      <c r="A13058" s="64" t="str">
        <f>HYPERLINK("http://www.twitter.com/katharine2712", "katharine2712")</f>
        <v>katharine2712</v>
      </c>
      <c r="B13058" s="65" t="s">
        <v>93</v>
      </c>
    </row>
    <row r="13059" spans="1:2" x14ac:dyDescent="0.25">
      <c r="A13059" s="64" t="str">
        <f>HYPERLINK("http://www.twitter.com/karynmccluskey", "karynmccluskey")</f>
        <v>karynmccluskey</v>
      </c>
      <c r="B13059" s="65" t="s">
        <v>517</v>
      </c>
    </row>
    <row r="13060" spans="1:2" x14ac:dyDescent="0.25">
      <c r="A13060" s="64" t="str">
        <f>HYPERLINK("http://www.twitter.com/Stormbuster007", "Stormbuster007")</f>
        <v>Stormbuster007</v>
      </c>
      <c r="B13060" s="65" t="s">
        <v>3760</v>
      </c>
    </row>
    <row r="13061" spans="1:2" x14ac:dyDescent="0.25">
      <c r="A13061" s="64" t="str">
        <f>HYPERLINK("http://www.twitter.com/RobertHalstead3", "RobertHalstead3")</f>
        <v>RobertHalstead3</v>
      </c>
      <c r="B13061" s="65" t="s">
        <v>7903</v>
      </c>
    </row>
    <row r="13062" spans="1:2" x14ac:dyDescent="0.25">
      <c r="A13062" s="64" t="str">
        <f>HYPERLINK("http://www.twitter.com/Pip_Brace", "Pip_Brace")</f>
        <v>Pip_Brace</v>
      </c>
      <c r="B13062" s="65"/>
    </row>
    <row r="13063" spans="1:2" x14ac:dyDescent="0.25">
      <c r="A13063" s="64" t="str">
        <f>HYPERLINK("http://www.twitter.com/aislingr", "aislingr")</f>
        <v>aislingr</v>
      </c>
      <c r="B13063" s="65" t="s">
        <v>3921</v>
      </c>
    </row>
    <row r="13064" spans="1:2" x14ac:dyDescent="0.25">
      <c r="A13064" s="64" t="str">
        <f>HYPERLINK("http://www.twitter.com/Smitchus", "Smitchus")</f>
        <v>Smitchus</v>
      </c>
      <c r="B13064" s="65" t="s">
        <v>1765</v>
      </c>
    </row>
    <row r="13065" spans="1:2" x14ac:dyDescent="0.25">
      <c r="A13065" s="64" t="str">
        <f>HYPERLINK("http://www.twitter.com/londonalyson", "londonalyson")</f>
        <v>londonalyson</v>
      </c>
      <c r="B13065" s="65" t="s">
        <v>7904</v>
      </c>
    </row>
    <row r="13066" spans="1:2" x14ac:dyDescent="0.25">
      <c r="A13066" s="64" t="str">
        <f>HYPERLINK("http://www.twitter.com/snedface", "snedface")</f>
        <v>snedface</v>
      </c>
      <c r="B13066" s="65" t="s">
        <v>514</v>
      </c>
    </row>
    <row r="13067" spans="1:2" x14ac:dyDescent="0.25">
      <c r="A13067" s="64" t="str">
        <f>HYPERLINK("http://www.twitter.com/DawnSkull127", "DawnSkull127")</f>
        <v>DawnSkull127</v>
      </c>
      <c r="B13067" s="65" t="s">
        <v>4339</v>
      </c>
    </row>
    <row r="13068" spans="1:2" x14ac:dyDescent="0.25">
      <c r="A13068" s="64" t="str">
        <f>HYPERLINK("http://www.twitter.com/MrsPussycat", "MrsPussycat")</f>
        <v>MrsPussycat</v>
      </c>
      <c r="B13068" s="65" t="s">
        <v>7905</v>
      </c>
    </row>
    <row r="13069" spans="1:2" x14ac:dyDescent="0.25">
      <c r="A13069" s="64" t="str">
        <f>HYPERLINK("http://www.twitter.com/lizinwales", "lizinwales")</f>
        <v>lizinwales</v>
      </c>
      <c r="B13069" s="65"/>
    </row>
    <row r="13070" spans="1:2" x14ac:dyDescent="0.25">
      <c r="A13070" s="64" t="str">
        <f>HYPERLINK("http://www.twitter.com/milligannick", "milligannick")</f>
        <v>milligannick</v>
      </c>
      <c r="B13070" s="65" t="s">
        <v>7906</v>
      </c>
    </row>
    <row r="13071" spans="1:2" x14ac:dyDescent="0.25">
      <c r="A13071" s="64" t="str">
        <f>HYPERLINK("http://www.twitter.com/BrianG_44", "BrianG_44")</f>
        <v>BrianG_44</v>
      </c>
      <c r="B13071" s="65" t="s">
        <v>7907</v>
      </c>
    </row>
    <row r="13072" spans="1:2" x14ac:dyDescent="0.25">
      <c r="A13072" s="64" t="str">
        <f>HYPERLINK("http://www.twitter.com/sazzytatty", "sazzytatty")</f>
        <v>sazzytatty</v>
      </c>
      <c r="B13072" s="65" t="s">
        <v>487</v>
      </c>
    </row>
    <row r="13073" spans="1:2" x14ac:dyDescent="0.25">
      <c r="A13073" s="64" t="str">
        <f>HYPERLINK("http://www.twitter.com/Charlottebgray", "Charlottebgray")</f>
        <v>Charlottebgray</v>
      </c>
      <c r="B13073" s="65"/>
    </row>
    <row r="13074" spans="1:2" x14ac:dyDescent="0.25">
      <c r="A13074" s="64" t="str">
        <f>HYPERLINK("http://www.twitter.com/brucebunny2", "brucebunny2")</f>
        <v>brucebunny2</v>
      </c>
      <c r="B13074" s="65"/>
    </row>
    <row r="13075" spans="1:2" x14ac:dyDescent="0.25">
      <c r="A13075" s="64" t="str">
        <f>HYPERLINK("http://www.twitter.com/llittle62", "llittle62")</f>
        <v>llittle62</v>
      </c>
      <c r="B13075" s="65"/>
    </row>
    <row r="13076" spans="1:2" x14ac:dyDescent="0.25">
      <c r="A13076" s="64" t="str">
        <f>HYPERLINK("http://www.twitter.com/jodiestanden", "jodiestanden")</f>
        <v>jodiestanden</v>
      </c>
      <c r="B13076" s="65" t="s">
        <v>517</v>
      </c>
    </row>
    <row r="13077" spans="1:2" x14ac:dyDescent="0.25">
      <c r="A13077" s="64" t="str">
        <f>HYPERLINK("http://www.twitter.com/TheCarlQuinn", "TheCarlQuinn")</f>
        <v>TheCarlQuinn</v>
      </c>
      <c r="B13077" s="65" t="s">
        <v>2864</v>
      </c>
    </row>
    <row r="13078" spans="1:2" x14ac:dyDescent="0.25">
      <c r="A13078" s="64" t="str">
        <f>HYPERLINK("http://www.twitter.com/RayRob1nson", "RayRob1nson")</f>
        <v>RayRob1nson</v>
      </c>
      <c r="B13078" s="65"/>
    </row>
    <row r="13079" spans="1:2" x14ac:dyDescent="0.25">
      <c r="A13079" s="64" t="str">
        <f>HYPERLINK("http://www.twitter.com/trinanewsome", "trinanewsome")</f>
        <v>trinanewsome</v>
      </c>
      <c r="B13079" s="65"/>
    </row>
    <row r="13080" spans="1:2" x14ac:dyDescent="0.25">
      <c r="A13080" s="64" t="str">
        <f>HYPERLINK("http://www.twitter.com/Kaybarbss", "Kaybarbss")</f>
        <v>Kaybarbss</v>
      </c>
      <c r="B13080" s="65" t="s">
        <v>2007</v>
      </c>
    </row>
    <row r="13081" spans="1:2" x14ac:dyDescent="0.25">
      <c r="A13081" s="64" t="str">
        <f>HYPERLINK("http://www.twitter.com/donaldtheuugeek", "donaldtheuugeek")</f>
        <v>donaldtheuugeek</v>
      </c>
      <c r="B13081" s="65" t="s">
        <v>4679</v>
      </c>
    </row>
    <row r="13082" spans="1:2" x14ac:dyDescent="0.25">
      <c r="A13082" s="64" t="str">
        <f>HYPERLINK("http://www.twitter.com/alandmoir", "alandmoir")</f>
        <v>alandmoir</v>
      </c>
      <c r="B13082" s="65" t="s">
        <v>4447</v>
      </c>
    </row>
    <row r="13083" spans="1:2" x14ac:dyDescent="0.25">
      <c r="A13083" s="64" t="str">
        <f>HYPERLINK("http://www.twitter.com/Ghs86", "Ghs86")</f>
        <v>Ghs86</v>
      </c>
      <c r="B13083" s="65" t="s">
        <v>7908</v>
      </c>
    </row>
    <row r="13084" spans="1:2" x14ac:dyDescent="0.25">
      <c r="A13084" s="64" t="str">
        <f>HYPERLINK("http://www.twitter.com/HallMb", "HallMb")</f>
        <v>HallMb</v>
      </c>
      <c r="B13084" s="65"/>
    </row>
    <row r="13085" spans="1:2" x14ac:dyDescent="0.25">
      <c r="A13085" s="64" t="str">
        <f>HYPERLINK("http://www.twitter.com/peeriegemgem", "peeriegemgem")</f>
        <v>peeriegemgem</v>
      </c>
      <c r="B13085" s="65" t="s">
        <v>7909</v>
      </c>
    </row>
    <row r="13086" spans="1:2" x14ac:dyDescent="0.25">
      <c r="A13086" s="64" t="str">
        <f>HYPERLINK("http://www.twitter.com/RavynBryce", "RavynBryce")</f>
        <v>RavynBryce</v>
      </c>
      <c r="B13086" s="65" t="s">
        <v>5071</v>
      </c>
    </row>
    <row r="13087" spans="1:2" x14ac:dyDescent="0.25">
      <c r="A13087" s="64" t="str">
        <f>HYPERLINK("http://www.twitter.com/CherrySiddall", "CherrySiddall")</f>
        <v>CherrySiddall</v>
      </c>
      <c r="B13087" s="65"/>
    </row>
    <row r="13088" spans="1:2" x14ac:dyDescent="0.25">
      <c r="A13088" s="64" t="str">
        <f>HYPERLINK("http://www.twitter.com/booksoflaw", "booksoflaw")</f>
        <v>booksoflaw</v>
      </c>
      <c r="B13088" s="65" t="s">
        <v>5364</v>
      </c>
    </row>
    <row r="13089" spans="1:2" x14ac:dyDescent="0.25">
      <c r="A13089" s="64" t="str">
        <f>HYPERLINK("http://www.twitter.com/estrellapequena", "estrellapequena")</f>
        <v>estrellapequena</v>
      </c>
      <c r="B13089" s="65" t="s">
        <v>7910</v>
      </c>
    </row>
    <row r="13090" spans="1:2" x14ac:dyDescent="0.25">
      <c r="A13090" s="64" t="str">
        <f>HYPERLINK("http://www.twitter.com/deborahagold", "deborahagold")</f>
        <v>deborahagold</v>
      </c>
      <c r="B13090" s="65" t="s">
        <v>36</v>
      </c>
    </row>
    <row r="13091" spans="1:2" x14ac:dyDescent="0.25">
      <c r="A13091" s="64" t="str">
        <f>HYPERLINK("http://www.twitter.com/RebDho", "RebDho")</f>
        <v>RebDho</v>
      </c>
      <c r="B13091" s="65"/>
    </row>
    <row r="13092" spans="1:2" x14ac:dyDescent="0.25">
      <c r="A13092" s="64" t="str">
        <f>HYPERLINK("http://www.twitter.com/OxBookHerneHill", "OxBookHerneHill")</f>
        <v>OxBookHerneHill</v>
      </c>
      <c r="B13092" s="65" t="s">
        <v>7911</v>
      </c>
    </row>
    <row r="13093" spans="1:2" x14ac:dyDescent="0.25">
      <c r="A13093" s="64" t="str">
        <f>HYPERLINK("http://www.twitter.com/beccagaukroger", "beccagaukroger")</f>
        <v>beccagaukroger</v>
      </c>
      <c r="B13093" s="65" t="s">
        <v>24</v>
      </c>
    </row>
    <row r="13094" spans="1:2" x14ac:dyDescent="0.25">
      <c r="A13094" s="64" t="str">
        <f>HYPERLINK("http://www.twitter.com/LaDaBel", "LaDaBel")</f>
        <v>LaDaBel</v>
      </c>
      <c r="B13094" s="65"/>
    </row>
    <row r="13095" spans="1:2" x14ac:dyDescent="0.25">
      <c r="A13095" s="64" t="str">
        <f>HYPERLINK("http://www.twitter.com/Miss_Close", "Miss_Close")</f>
        <v>Miss_Close</v>
      </c>
      <c r="B13095" s="65" t="s">
        <v>7912</v>
      </c>
    </row>
    <row r="13096" spans="1:2" x14ac:dyDescent="0.25">
      <c r="A13096" s="64" t="str">
        <f>HYPERLINK("http://www.twitter.com/BBqamoose", "BBqamoose")</f>
        <v>BBqamoose</v>
      </c>
      <c r="B13096" s="65"/>
    </row>
    <row r="13097" spans="1:2" x14ac:dyDescent="0.25">
      <c r="A13097" s="64" t="str">
        <f>HYPERLINK("http://www.twitter.com/TLALucas", "TLALucas")</f>
        <v>TLALucas</v>
      </c>
      <c r="B13097" s="65"/>
    </row>
    <row r="13098" spans="1:2" x14ac:dyDescent="0.25">
      <c r="A13098" s="64" t="str">
        <f>HYPERLINK("http://www.twitter.com/lindammuir", "lindammuir")</f>
        <v>lindammuir</v>
      </c>
      <c r="B13098" s="65" t="s">
        <v>318</v>
      </c>
    </row>
    <row r="13099" spans="1:2" x14ac:dyDescent="0.25">
      <c r="A13099" s="64" t="str">
        <f>HYPERLINK("http://www.twitter.com/Les_Dubh", "Les_Dubh")</f>
        <v>Les_Dubh</v>
      </c>
      <c r="B13099" s="65" t="s">
        <v>36</v>
      </c>
    </row>
    <row r="13100" spans="1:2" x14ac:dyDescent="0.25">
      <c r="A13100" s="64" t="str">
        <f>HYPERLINK("http://www.twitter.com/IanMacartney2", "IanMacartney2")</f>
        <v>IanMacartney2</v>
      </c>
      <c r="B13100" s="65" t="s">
        <v>4019</v>
      </c>
    </row>
    <row r="13101" spans="1:2" x14ac:dyDescent="0.25">
      <c r="A13101" s="64" t="str">
        <f>HYPERLINK("http://www.twitter.com/KatyHills", "KatyHills")</f>
        <v>KatyHills</v>
      </c>
      <c r="B13101" s="65" t="s">
        <v>110</v>
      </c>
    </row>
    <row r="13102" spans="1:2" x14ac:dyDescent="0.25">
      <c r="A13102" s="64" t="str">
        <f>HYPERLINK("http://www.twitter.com/Jliketorun", "Jliketorun")</f>
        <v>Jliketorun</v>
      </c>
      <c r="B13102" s="65"/>
    </row>
    <row r="13103" spans="1:2" x14ac:dyDescent="0.25">
      <c r="A13103" s="64" t="str">
        <f>HYPERLINK("http://www.twitter.com/alibammm_", "alibammm_")</f>
        <v>alibammm_</v>
      </c>
      <c r="B13103" s="65" t="s">
        <v>569</v>
      </c>
    </row>
    <row r="13104" spans="1:2" x14ac:dyDescent="0.25">
      <c r="A13104" s="64" t="str">
        <f>HYPERLINK("http://www.twitter.com/MsAmyOB", "MsAmyOB")</f>
        <v>MsAmyOB</v>
      </c>
      <c r="B13104" s="65"/>
    </row>
    <row r="13105" spans="1:2" x14ac:dyDescent="0.25">
      <c r="A13105" s="64" t="str">
        <f>HYPERLINK("http://www.twitter.com/HaywardMarkD", "HaywardMarkD")</f>
        <v>HaywardMarkD</v>
      </c>
      <c r="B13105" s="65"/>
    </row>
    <row r="13106" spans="1:2" x14ac:dyDescent="0.25">
      <c r="A13106" s="64" t="str">
        <f>HYPERLINK("http://www.twitter.com/mattebern", "mattebern")</f>
        <v>mattebern</v>
      </c>
      <c r="B13106" s="65"/>
    </row>
    <row r="13107" spans="1:2" x14ac:dyDescent="0.25">
      <c r="A13107" s="64" t="str">
        <f>HYPERLINK("http://www.twitter.com/abra_p", "abra_p")</f>
        <v>abra_p</v>
      </c>
      <c r="B13107" s="65"/>
    </row>
    <row r="13108" spans="1:2" x14ac:dyDescent="0.25">
      <c r="A13108" s="64" t="str">
        <f>HYPERLINK("http://www.twitter.com/euphalizum", "euphalizum")</f>
        <v>euphalizum</v>
      </c>
      <c r="B13108" s="65"/>
    </row>
    <row r="13109" spans="1:2" x14ac:dyDescent="0.25">
      <c r="A13109" s="64" t="str">
        <f>HYPERLINK("http://www.twitter.com/Christyd1264", "Christyd1264")</f>
        <v>Christyd1264</v>
      </c>
      <c r="B13109" s="65" t="s">
        <v>7913</v>
      </c>
    </row>
    <row r="13110" spans="1:2" x14ac:dyDescent="0.25">
      <c r="A13110" s="64" t="str">
        <f>HYPERLINK("http://www.twitter.com/WatkinsHelen", "WatkinsHelen")</f>
        <v>WatkinsHelen</v>
      </c>
      <c r="B13110" s="65"/>
    </row>
    <row r="13111" spans="1:2" x14ac:dyDescent="0.25">
      <c r="A13111" s="64" t="str">
        <f>HYPERLINK("http://www.twitter.com/kbeth74", "kbeth74")</f>
        <v>kbeth74</v>
      </c>
      <c r="B13111" s="65"/>
    </row>
    <row r="13112" spans="1:2" x14ac:dyDescent="0.25">
      <c r="A13112" s="64" t="str">
        <f>HYPERLINK("http://www.twitter.com/chrisannenic", "chrisannenic")</f>
        <v>chrisannenic</v>
      </c>
      <c r="B13112" s="65"/>
    </row>
    <row r="13113" spans="1:2" x14ac:dyDescent="0.25">
      <c r="A13113" s="64" t="str">
        <f>HYPERLINK("http://www.twitter.com/Peerie_Iona", "Peerie_Iona")</f>
        <v>Peerie_Iona</v>
      </c>
      <c r="B13113" s="65"/>
    </row>
    <row r="13114" spans="1:2" x14ac:dyDescent="0.25">
      <c r="A13114" s="64" t="str">
        <f>HYPERLINK("http://www.twitter.com/OtotheBeirne", "OtotheBeirne")</f>
        <v>OtotheBeirne</v>
      </c>
      <c r="B13114" s="65" t="s">
        <v>7914</v>
      </c>
    </row>
    <row r="13115" spans="1:2" x14ac:dyDescent="0.25">
      <c r="A13115" s="64" t="str">
        <f>HYPERLINK("http://www.twitter.com/Durnicus", "Durnicus")</f>
        <v>Durnicus</v>
      </c>
      <c r="B13115" s="65" t="s">
        <v>5009</v>
      </c>
    </row>
    <row r="13116" spans="1:2" x14ac:dyDescent="0.25">
      <c r="A13116" s="64" t="str">
        <f>HYPERLINK("http://www.twitter.com/dull_k", "dull_k")</f>
        <v>dull_k</v>
      </c>
      <c r="B13116" s="65"/>
    </row>
    <row r="13117" spans="1:2" x14ac:dyDescent="0.25">
      <c r="A13117" s="64" t="str">
        <f>HYPERLINK("http://www.twitter.com/kerrenharris74", "kerrenharris74")</f>
        <v>kerrenharris74</v>
      </c>
      <c r="B13117" s="65"/>
    </row>
    <row r="13118" spans="1:2" x14ac:dyDescent="0.25">
      <c r="A13118" s="64" t="str">
        <f>HYPERLINK("http://www.twitter.com/TAHunchak", "TAHunchak")</f>
        <v>TAHunchak</v>
      </c>
      <c r="B13118" s="65"/>
    </row>
    <row r="13119" spans="1:2" x14ac:dyDescent="0.25">
      <c r="A13119" s="64" t="str">
        <f>HYPERLINK("http://www.twitter.com/PastorBreezy", "PastorBreezy")</f>
        <v>PastorBreezy</v>
      </c>
      <c r="B13119" s="65" t="s">
        <v>7915</v>
      </c>
    </row>
    <row r="13120" spans="1:2" x14ac:dyDescent="0.25">
      <c r="A13120" s="64" t="str">
        <f>HYPERLINK("http://www.twitter.com/cinossaur", "cinossaur")</f>
        <v>cinossaur</v>
      </c>
      <c r="B13120" s="65"/>
    </row>
    <row r="13121" spans="1:2" x14ac:dyDescent="0.25">
      <c r="A13121" s="64" t="str">
        <f>HYPERLINK("http://www.twitter.com/Hinton_House", "Hinton_House")</f>
        <v>Hinton_House</v>
      </c>
      <c r="B13121" s="65" t="s">
        <v>7916</v>
      </c>
    </row>
    <row r="13122" spans="1:2" x14ac:dyDescent="0.25">
      <c r="A13122" s="64" t="str">
        <f>HYPERLINK("http://www.twitter.com/drew_bain", "drew_bain")</f>
        <v>drew_bain</v>
      </c>
      <c r="B13122" s="65" t="s">
        <v>2303</v>
      </c>
    </row>
    <row r="13123" spans="1:2" x14ac:dyDescent="0.25">
      <c r="A13123" s="64" t="str">
        <f>HYPERLINK("http://www.twitter.com/carolinewilding", "carolinewilding")</f>
        <v>carolinewilding</v>
      </c>
      <c r="B13123" s="65" t="s">
        <v>7917</v>
      </c>
    </row>
    <row r="13124" spans="1:2" x14ac:dyDescent="0.25">
      <c r="A13124" s="64" t="str">
        <f>HYPERLINK("http://www.twitter.com/buuvbayou", "buuvbayou")</f>
        <v>buuvbayou</v>
      </c>
      <c r="B13124" s="65" t="s">
        <v>7918</v>
      </c>
    </row>
    <row r="13125" spans="1:2" x14ac:dyDescent="0.25">
      <c r="A13125" s="64" t="str">
        <f>HYPERLINK("http://www.twitter.com/001lmp", "001lmp")</f>
        <v>001lmp</v>
      </c>
      <c r="B13125" s="65"/>
    </row>
    <row r="13126" spans="1:2" x14ac:dyDescent="0.25">
      <c r="A13126" s="64" t="str">
        <f>HYPERLINK("http://www.twitter.com/BrittSawyerr", "BrittSawyerr")</f>
        <v>BrittSawyerr</v>
      </c>
      <c r="B13126" s="65" t="s">
        <v>7919</v>
      </c>
    </row>
    <row r="13127" spans="1:2" x14ac:dyDescent="0.25">
      <c r="A13127" s="64" t="str">
        <f>HYPERLINK("http://www.twitter.com/donaawayne", "donaawayne")</f>
        <v>donaawayne</v>
      </c>
      <c r="B13127" s="65" t="s">
        <v>5325</v>
      </c>
    </row>
    <row r="13128" spans="1:2" x14ac:dyDescent="0.25">
      <c r="A13128" s="64" t="str">
        <f>HYPERLINK("http://www.twitter.com/MrsBFabulous", "MrsBFabulous")</f>
        <v>MrsBFabulous</v>
      </c>
      <c r="B13128" s="65" t="s">
        <v>7920</v>
      </c>
    </row>
    <row r="13129" spans="1:2" x14ac:dyDescent="0.25">
      <c r="A13129" s="64" t="str">
        <f>HYPERLINK("http://www.twitter.com/patchofbluesky", "patchofbluesky")</f>
        <v>patchofbluesky</v>
      </c>
      <c r="B13129" s="65" t="s">
        <v>5203</v>
      </c>
    </row>
    <row r="13130" spans="1:2" x14ac:dyDescent="0.25">
      <c r="A13130" s="64" t="str">
        <f>HYPERLINK("http://www.twitter.com/rowkath", "rowkath")</f>
        <v>rowkath</v>
      </c>
      <c r="B13130" s="65" t="s">
        <v>4246</v>
      </c>
    </row>
    <row r="13131" spans="1:2" x14ac:dyDescent="0.25">
      <c r="A13131" s="64" t="str">
        <f>HYPERLINK("http://www.twitter.com/OlyKim", "OlyKim")</f>
        <v>OlyKim</v>
      </c>
      <c r="B13131" s="65" t="s">
        <v>4508</v>
      </c>
    </row>
    <row r="13132" spans="1:2" x14ac:dyDescent="0.25">
      <c r="A13132" s="64" t="str">
        <f>HYPERLINK("http://www.twitter.com/PenelopePMiller", "PenelopePMiller")</f>
        <v>PenelopePMiller</v>
      </c>
      <c r="B13132" s="65" t="s">
        <v>4867</v>
      </c>
    </row>
    <row r="13133" spans="1:2" x14ac:dyDescent="0.25">
      <c r="A13133" s="64" t="str">
        <f>HYPERLINK("http://www.twitter.com/ionamm", "ionamm")</f>
        <v>ionamm</v>
      </c>
      <c r="B13133" s="65" t="s">
        <v>138</v>
      </c>
    </row>
    <row r="13134" spans="1:2" x14ac:dyDescent="0.25">
      <c r="A13134" s="64" t="str">
        <f>HYPERLINK("http://www.twitter.com/tonyplant", "tonyplant")</f>
        <v>tonyplant</v>
      </c>
      <c r="B13134" s="65" t="s">
        <v>36</v>
      </c>
    </row>
    <row r="13135" spans="1:2" x14ac:dyDescent="0.25">
      <c r="A13135" s="64" t="str">
        <f>HYPERLINK("http://www.twitter.com/Arliiiii", "Arliiiii")</f>
        <v>Arliiiii</v>
      </c>
      <c r="B13135" s="65" t="s">
        <v>7921</v>
      </c>
    </row>
    <row r="13136" spans="1:2" x14ac:dyDescent="0.25">
      <c r="A13136" s="64" t="str">
        <f>HYPERLINK("http://www.twitter.com/kerrington", "kerrington")</f>
        <v>kerrington</v>
      </c>
      <c r="B13136" s="65" t="s">
        <v>2864</v>
      </c>
    </row>
    <row r="13137" spans="1:2" x14ac:dyDescent="0.25">
      <c r="A13137" s="64" t="str">
        <f>HYPERLINK("http://www.twitter.com/daveespley", "daveespley")</f>
        <v>daveespley</v>
      </c>
      <c r="B13137" s="65" t="s">
        <v>1135</v>
      </c>
    </row>
    <row r="13138" spans="1:2" x14ac:dyDescent="0.25">
      <c r="A13138" s="64" t="str">
        <f>HYPERLINK("http://www.twitter.com/NJSpice", "NJSpice")</f>
        <v>NJSpice</v>
      </c>
      <c r="B13138" s="65" t="s">
        <v>7922</v>
      </c>
    </row>
    <row r="13139" spans="1:2" x14ac:dyDescent="0.25">
      <c r="A13139" s="64" t="str">
        <f>HYPERLINK("http://www.twitter.com/FOBCOfficial", "FOBCOfficial")</f>
        <v>FOBCOfficial</v>
      </c>
      <c r="B13139" s="65" t="s">
        <v>7923</v>
      </c>
    </row>
    <row r="13140" spans="1:2" x14ac:dyDescent="0.25">
      <c r="A13140" s="64" t="str">
        <f>HYPERLINK("http://www.twitter.com/sharoncanavar", "sharoncanavar")</f>
        <v>sharoncanavar</v>
      </c>
      <c r="B13140" s="65" t="s">
        <v>7924</v>
      </c>
    </row>
    <row r="13141" spans="1:2" x14ac:dyDescent="0.25">
      <c r="A13141" s="64" t="str">
        <f>HYPERLINK("http://www.twitter.com/CharlotteDuvet", "CharlotteDuvet")</f>
        <v>CharlotteDuvet</v>
      </c>
      <c r="B13141" s="65"/>
    </row>
    <row r="13142" spans="1:2" x14ac:dyDescent="0.25">
      <c r="A13142" s="64" t="str">
        <f>HYPERLINK("http://www.twitter.com/TimonySouler", "TimonySouler")</f>
        <v>TimonySouler</v>
      </c>
      <c r="B13142" s="65" t="s">
        <v>7925</v>
      </c>
    </row>
    <row r="13143" spans="1:2" x14ac:dyDescent="0.25">
      <c r="A13143" s="64" t="str">
        <f>HYPERLINK("http://www.twitter.com/craigkeiller", "craigkeiller")</f>
        <v>craigkeiller</v>
      </c>
      <c r="B13143" s="65" t="s">
        <v>24</v>
      </c>
    </row>
    <row r="13144" spans="1:2" x14ac:dyDescent="0.25">
      <c r="A13144" s="64" t="str">
        <f>HYPERLINK("http://www.twitter.com/BNCorteMadera", "BNCorteMadera")</f>
        <v>BNCorteMadera</v>
      </c>
      <c r="B13144" s="65" t="s">
        <v>7926</v>
      </c>
    </row>
    <row r="13145" spans="1:2" x14ac:dyDescent="0.25">
      <c r="A13145" s="64" t="str">
        <f>HYPERLINK("http://www.twitter.com/Hehirchris", "Hehirchris")</f>
        <v>Hehirchris</v>
      </c>
      <c r="B13145" s="65"/>
    </row>
    <row r="13146" spans="1:2" x14ac:dyDescent="0.25">
      <c r="A13146" s="64" t="str">
        <f>HYPERLINK("http://www.twitter.com/NonnyLand", "NonnyLand")</f>
        <v>NonnyLand</v>
      </c>
      <c r="B13146" s="65" t="s">
        <v>7927</v>
      </c>
    </row>
    <row r="13147" spans="1:2" x14ac:dyDescent="0.25">
      <c r="A13147" s="64" t="str">
        <f>HYPERLINK("http://www.twitter.com/Jolabokaflod", "Jolabokaflod")</f>
        <v>Jolabokaflod</v>
      </c>
      <c r="B13147" s="65" t="s">
        <v>7928</v>
      </c>
    </row>
    <row r="13148" spans="1:2" x14ac:dyDescent="0.25">
      <c r="A13148" s="64" t="str">
        <f>HYPERLINK("http://www.twitter.com/the1gip", "the1gip")</f>
        <v>the1gip</v>
      </c>
      <c r="B13148" s="65" t="s">
        <v>2227</v>
      </c>
    </row>
    <row r="13149" spans="1:2" x14ac:dyDescent="0.25">
      <c r="A13149" s="64" t="str">
        <f>HYPERLINK("http://www.twitter.com/RachelGraves_UK", "RachelGraves_UK")</f>
        <v>RachelGraves_UK</v>
      </c>
      <c r="B13149" s="65" t="s">
        <v>36</v>
      </c>
    </row>
    <row r="13150" spans="1:2" x14ac:dyDescent="0.25">
      <c r="A13150" s="64" t="str">
        <f>HYPERLINK("http://www.twitter.com/pinlu", "pinlu")</f>
        <v>pinlu</v>
      </c>
      <c r="B13150" s="65" t="s">
        <v>7929</v>
      </c>
    </row>
    <row r="13151" spans="1:2" x14ac:dyDescent="0.25">
      <c r="A13151" s="64" t="str">
        <f>HYPERLINK("http://www.twitter.com/ElGingero", "ElGingero")</f>
        <v>ElGingero</v>
      </c>
      <c r="B13151" s="65" t="s">
        <v>808</v>
      </c>
    </row>
    <row r="13152" spans="1:2" x14ac:dyDescent="0.25">
      <c r="A13152" s="64" t="str">
        <f>HYPERLINK("http://www.twitter.com/ali_pardoe", "ali_pardoe")</f>
        <v>ali_pardoe</v>
      </c>
      <c r="B13152" s="65" t="s">
        <v>7930</v>
      </c>
    </row>
    <row r="13153" spans="1:2" x14ac:dyDescent="0.25">
      <c r="A13153" s="64" t="str">
        <f>HYPERLINK("http://www.twitter.com/AndyDomek", "AndyDomek")</f>
        <v>AndyDomek</v>
      </c>
      <c r="B13153" s="65" t="s">
        <v>7931</v>
      </c>
    </row>
    <row r="13154" spans="1:2" x14ac:dyDescent="0.25">
      <c r="A13154" s="64" t="str">
        <f>HYPERLINK("http://www.twitter.com/SybeliaPop", "SybeliaPop")</f>
        <v>SybeliaPop</v>
      </c>
      <c r="B13154" s="65" t="s">
        <v>7932</v>
      </c>
    </row>
    <row r="13155" spans="1:2" x14ac:dyDescent="0.25">
      <c r="A13155" s="64" t="str">
        <f>HYPERLINK("http://www.twitter.com/MsGinmonster", "MsGinmonster")</f>
        <v>MsGinmonster</v>
      </c>
      <c r="B13155" s="65" t="s">
        <v>33</v>
      </c>
    </row>
    <row r="13156" spans="1:2" x14ac:dyDescent="0.25">
      <c r="A13156" s="64" t="str">
        <f>HYPERLINK("http://www.twitter.com/redpolitik123", "redpolitik123")</f>
        <v>redpolitik123</v>
      </c>
      <c r="B13156" s="65"/>
    </row>
    <row r="13157" spans="1:2" x14ac:dyDescent="0.25">
      <c r="A13157" s="64" t="str">
        <f>HYPERLINK("http://www.twitter.com/sarah1998kate", "sarah1998kate")</f>
        <v>sarah1998kate</v>
      </c>
      <c r="B13157" s="65"/>
    </row>
    <row r="13158" spans="1:2" x14ac:dyDescent="0.25">
      <c r="A13158" s="64" t="str">
        <f>HYPERLINK("http://www.twitter.com/RemiMathis", "RemiMathis")</f>
        <v>RemiMathis</v>
      </c>
      <c r="B13158" s="65" t="s">
        <v>7708</v>
      </c>
    </row>
    <row r="13159" spans="1:2" x14ac:dyDescent="0.25">
      <c r="A13159" s="64" t="str">
        <f>HYPERLINK("http://www.twitter.com/seusssl", "seusssl")</f>
        <v>seusssl</v>
      </c>
      <c r="B13159" s="65" t="s">
        <v>7933</v>
      </c>
    </row>
    <row r="13160" spans="1:2" x14ac:dyDescent="0.25">
      <c r="A13160" s="64" t="str">
        <f>HYPERLINK("http://www.twitter.com/MrBlobbythehut", "MrBlobbythehut")</f>
        <v>MrBlobbythehut</v>
      </c>
      <c r="B13160" s="65"/>
    </row>
    <row r="13161" spans="1:2" x14ac:dyDescent="0.25">
      <c r="A13161" s="64" t="str">
        <f>HYPERLINK("http://www.twitter.com/ThreeMongeese", "ThreeMongeese")</f>
        <v>ThreeMongeese</v>
      </c>
      <c r="B13161" s="65" t="s">
        <v>4236</v>
      </c>
    </row>
    <row r="13162" spans="1:2" x14ac:dyDescent="0.25">
      <c r="A13162" s="64" t="str">
        <f>HYPERLINK("http://www.twitter.com/marajade2", "marajade2")</f>
        <v>marajade2</v>
      </c>
      <c r="B13162" s="65"/>
    </row>
    <row r="13163" spans="1:2" x14ac:dyDescent="0.25">
      <c r="A13163" s="64" t="str">
        <f>HYPERLINK("http://www.twitter.com/alan_m_t", "alan_m_t")</f>
        <v>alan_m_t</v>
      </c>
      <c r="B13163" s="65"/>
    </row>
    <row r="13164" spans="1:2" x14ac:dyDescent="0.25">
      <c r="A13164" s="64" t="str">
        <f>HYPERLINK("http://www.twitter.com/jess_birtwistle", "jess_birtwistle")</f>
        <v>jess_birtwistle</v>
      </c>
      <c r="B13164" s="65" t="s">
        <v>2030</v>
      </c>
    </row>
    <row r="13165" spans="1:2" x14ac:dyDescent="0.25">
      <c r="A13165" s="64" t="str">
        <f>HYPERLINK("http://www.twitter.com/Photolotte", "Photolotte")</f>
        <v>Photolotte</v>
      </c>
      <c r="B13165" s="65" t="s">
        <v>7934</v>
      </c>
    </row>
    <row r="13166" spans="1:2" x14ac:dyDescent="0.25">
      <c r="A13166" s="64" t="str">
        <f>HYPERLINK("http://www.twitter.com/Macallla", "Macallla")</f>
        <v>Macallla</v>
      </c>
      <c r="B13166" s="65" t="s">
        <v>70</v>
      </c>
    </row>
    <row r="13167" spans="1:2" x14ac:dyDescent="0.25">
      <c r="A13167" s="64" t="str">
        <f>HYPERLINK("http://www.twitter.com/fishorcutbait", "fishorcutbait")</f>
        <v>fishorcutbait</v>
      </c>
      <c r="B13167" s="65" t="s">
        <v>7574</v>
      </c>
    </row>
    <row r="13168" spans="1:2" x14ac:dyDescent="0.25">
      <c r="A13168" s="64" t="str">
        <f>HYPERLINK("http://www.twitter.com/stephenspong", "stephenspong")</f>
        <v>stephenspong</v>
      </c>
      <c r="B13168" s="65" t="s">
        <v>3778</v>
      </c>
    </row>
    <row r="13169" spans="1:2" x14ac:dyDescent="0.25">
      <c r="A13169" s="64" t="str">
        <f>HYPERLINK("http://www.twitter.com/daveloweee", "daveloweee")</f>
        <v>daveloweee</v>
      </c>
      <c r="B13169" s="65" t="s">
        <v>7935</v>
      </c>
    </row>
    <row r="13170" spans="1:2" x14ac:dyDescent="0.25">
      <c r="A13170" s="64" t="str">
        <f>HYPERLINK("http://www.twitter.com/Julzor", "Julzor")</f>
        <v>Julzor</v>
      </c>
      <c r="B13170" s="65" t="s">
        <v>24</v>
      </c>
    </row>
    <row r="13171" spans="1:2" x14ac:dyDescent="0.25">
      <c r="A13171" s="64" t="str">
        <f>HYPERLINK("http://www.twitter.com/randy_madden", "randy_madden")</f>
        <v>randy_madden</v>
      </c>
      <c r="B13171" s="65"/>
    </row>
    <row r="13172" spans="1:2" x14ac:dyDescent="0.25">
      <c r="A13172" s="64" t="str">
        <f>HYPERLINK("http://www.twitter.com/Shibbs713", "Shibbs713")</f>
        <v>Shibbs713</v>
      </c>
      <c r="B13172" s="65" t="s">
        <v>7936</v>
      </c>
    </row>
    <row r="13173" spans="1:2" x14ac:dyDescent="0.25">
      <c r="A13173" s="64" t="str">
        <f>HYPERLINK("http://www.twitter.com/MeSaare", "MeSaare")</f>
        <v>MeSaare</v>
      </c>
      <c r="B13173" s="65" t="s">
        <v>7937</v>
      </c>
    </row>
    <row r="13174" spans="1:2" x14ac:dyDescent="0.25">
      <c r="A13174" s="64" t="str">
        <f>HYPERLINK("http://www.twitter.com/crowcastles", "crowcastles")</f>
        <v>crowcastles</v>
      </c>
      <c r="B13174" s="65" t="s">
        <v>5770</v>
      </c>
    </row>
    <row r="13175" spans="1:2" x14ac:dyDescent="0.25">
      <c r="A13175" s="64" t="str">
        <f>HYPERLINK("http://www.twitter.com/MrsReeley", "MrsReeley")</f>
        <v>MrsReeley</v>
      </c>
      <c r="B13175" s="65"/>
    </row>
    <row r="13176" spans="1:2" x14ac:dyDescent="0.25">
      <c r="A13176" s="64" t="str">
        <f>HYPERLINK("http://www.twitter.com/FreeLibrary", "FreeLibrary")</f>
        <v>FreeLibrary</v>
      </c>
      <c r="B13176" s="65" t="s">
        <v>4865</v>
      </c>
    </row>
    <row r="13177" spans="1:2" x14ac:dyDescent="0.25">
      <c r="A13177" s="64" t="str">
        <f>HYPERLINK("http://www.twitter.com/anfieldcarol", "anfieldcarol")</f>
        <v>anfieldcarol</v>
      </c>
      <c r="B13177" s="65" t="s">
        <v>7938</v>
      </c>
    </row>
    <row r="13178" spans="1:2" x14ac:dyDescent="0.25">
      <c r="A13178" s="64" t="str">
        <f>HYPERLINK("http://www.twitter.com/hayes910", "hayes910")</f>
        <v>hayes910</v>
      </c>
      <c r="B13178" s="65" t="s">
        <v>7939</v>
      </c>
    </row>
    <row r="13179" spans="1:2" x14ac:dyDescent="0.25">
      <c r="A13179" s="64" t="str">
        <f>HYPERLINK("http://www.twitter.com/stipabarbata", "stipabarbata")</f>
        <v>stipabarbata</v>
      </c>
      <c r="B13179" s="65" t="s">
        <v>36</v>
      </c>
    </row>
    <row r="13180" spans="1:2" x14ac:dyDescent="0.25">
      <c r="A13180" s="64" t="str">
        <f>HYPERLINK("http://www.twitter.com/AndyMacRecruits", "AndyMacRecruits")</f>
        <v>AndyMacRecruits</v>
      </c>
      <c r="B13180" s="65" t="s">
        <v>6495</v>
      </c>
    </row>
    <row r="13181" spans="1:2" x14ac:dyDescent="0.25">
      <c r="A13181" s="64" t="str">
        <f>HYPERLINK("http://www.twitter.com/EmmaPre30613454", "EmmaPre30613454")</f>
        <v>EmmaPre30613454</v>
      </c>
      <c r="B13181" s="65" t="s">
        <v>487</v>
      </c>
    </row>
    <row r="13182" spans="1:2" x14ac:dyDescent="0.25">
      <c r="A13182" s="64" t="str">
        <f>HYPERLINK("http://www.twitter.com/uthinkimblonde", "uthinkimblonde")</f>
        <v>uthinkimblonde</v>
      </c>
      <c r="B13182" s="65" t="s">
        <v>36</v>
      </c>
    </row>
    <row r="13183" spans="1:2" x14ac:dyDescent="0.25">
      <c r="A13183" s="64" t="str">
        <f>HYPERLINK("http://www.twitter.com/RuthWork", "RuthWork")</f>
        <v>RuthWork</v>
      </c>
      <c r="B13183" s="65"/>
    </row>
    <row r="13184" spans="1:2" x14ac:dyDescent="0.25">
      <c r="A13184" s="64" t="str">
        <f>HYPERLINK("http://www.twitter.com/LeanneFischler", "LeanneFischler")</f>
        <v>LeanneFischler</v>
      </c>
      <c r="B13184" s="65" t="s">
        <v>318</v>
      </c>
    </row>
    <row r="13185" spans="1:2" x14ac:dyDescent="0.25">
      <c r="A13185" s="64" t="str">
        <f>HYPERLINK("http://www.twitter.com/missleeleekelso", "missleeleekelso")</f>
        <v>missleeleekelso</v>
      </c>
      <c r="B13185" s="65"/>
    </row>
    <row r="13186" spans="1:2" x14ac:dyDescent="0.25">
      <c r="A13186" s="64" t="str">
        <f>HYPERLINK("http://www.twitter.com/nikrawlinson", "nikrawlinson")</f>
        <v>nikrawlinson</v>
      </c>
      <c r="B13186" s="65" t="s">
        <v>1949</v>
      </c>
    </row>
    <row r="13187" spans="1:2" x14ac:dyDescent="0.25">
      <c r="A13187" s="64" t="str">
        <f>HYPERLINK("http://www.twitter.com/CafeFloraVeg", "CafeFloraVeg")</f>
        <v>CafeFloraVeg</v>
      </c>
      <c r="B13187" s="65" t="s">
        <v>5156</v>
      </c>
    </row>
    <row r="13188" spans="1:2" x14ac:dyDescent="0.25">
      <c r="A13188" s="64" t="str">
        <f>HYPERLINK("http://www.twitter.com/MoonchildNiero", "MoonchildNiero")</f>
        <v>MoonchildNiero</v>
      </c>
      <c r="B13188" s="65" t="s">
        <v>7940</v>
      </c>
    </row>
    <row r="13189" spans="1:2" x14ac:dyDescent="0.25">
      <c r="A13189" s="64" t="str">
        <f>HYPERLINK("http://www.twitter.com/sophiewawro", "sophiewawro")</f>
        <v>sophiewawro</v>
      </c>
      <c r="B13189" s="65" t="s">
        <v>36</v>
      </c>
    </row>
    <row r="13190" spans="1:2" x14ac:dyDescent="0.25">
      <c r="A13190" s="64" t="str">
        <f>HYPERLINK("http://www.twitter.com/shawa1996", "shawa1996")</f>
        <v>shawa1996</v>
      </c>
      <c r="B13190" s="65" t="s">
        <v>138</v>
      </c>
    </row>
    <row r="13191" spans="1:2" x14ac:dyDescent="0.25">
      <c r="A13191" s="64" t="str">
        <f>HYPERLINK("http://www.twitter.com/Leehamwalsh", "Leehamwalsh")</f>
        <v>Leehamwalsh</v>
      </c>
      <c r="B13191" s="65"/>
    </row>
    <row r="13192" spans="1:2" x14ac:dyDescent="0.25">
      <c r="A13192" s="64" t="str">
        <f>HYPERLINK("http://www.twitter.com/coreofthepoodle", "coreofthepoodle")</f>
        <v>coreofthepoodle</v>
      </c>
      <c r="B13192" s="65" t="s">
        <v>7941</v>
      </c>
    </row>
    <row r="13193" spans="1:2" x14ac:dyDescent="0.25">
      <c r="A13193" s="64" t="str">
        <f>HYPERLINK("http://www.twitter.com/jamesgswilson", "jamesgswilson")</f>
        <v>jamesgswilson</v>
      </c>
      <c r="B13193" s="65" t="s">
        <v>36</v>
      </c>
    </row>
    <row r="13194" spans="1:2" x14ac:dyDescent="0.25">
      <c r="A13194" s="64" t="str">
        <f>HYPERLINK("http://www.twitter.com/samyuen_", "samyuen_")</f>
        <v>samyuen_</v>
      </c>
      <c r="B13194" s="65" t="s">
        <v>7942</v>
      </c>
    </row>
    <row r="13195" spans="1:2" x14ac:dyDescent="0.25">
      <c r="A13195" s="64" t="str">
        <f>HYPERLINK("http://www.twitter.com/carolinejoans", "carolinejoans")</f>
        <v>carolinejoans</v>
      </c>
      <c r="B13195" s="65" t="s">
        <v>3771</v>
      </c>
    </row>
    <row r="13196" spans="1:2" x14ac:dyDescent="0.25">
      <c r="A13196" s="64" t="str">
        <f>HYPERLINK("http://www.twitter.com/frchambers", "frchambers")</f>
        <v>frchambers</v>
      </c>
      <c r="B13196" s="65"/>
    </row>
    <row r="13197" spans="1:2" x14ac:dyDescent="0.25">
      <c r="A13197" s="64" t="str">
        <f>HYPERLINK("http://www.twitter.com/cdccharlton", "cdccharlton")</f>
        <v>cdccharlton</v>
      </c>
      <c r="B13197" s="65"/>
    </row>
    <row r="13198" spans="1:2" x14ac:dyDescent="0.25">
      <c r="A13198" s="64" t="str">
        <f>HYPERLINK("http://www.twitter.com/becbec1988", "becbec1988")</f>
        <v>becbec1988</v>
      </c>
      <c r="B13198" s="65" t="s">
        <v>180</v>
      </c>
    </row>
    <row r="13199" spans="1:2" x14ac:dyDescent="0.25">
      <c r="A13199" s="64" t="str">
        <f>HYPERLINK("http://www.twitter.com/EerieOg", "EerieOg")</f>
        <v>EerieOg</v>
      </c>
      <c r="B13199" s="65"/>
    </row>
    <row r="13200" spans="1:2" x14ac:dyDescent="0.25">
      <c r="A13200" s="64" t="str">
        <f>HYPERLINK("http://www.twitter.com/drklcameron", "drklcameron")</f>
        <v>drklcameron</v>
      </c>
      <c r="B13200" s="65"/>
    </row>
    <row r="13201" spans="1:2" x14ac:dyDescent="0.25">
      <c r="A13201" s="64" t="str">
        <f>HYPERLINK("http://www.twitter.com/RichardDocwra", "RichardDocwra")</f>
        <v>RichardDocwra</v>
      </c>
      <c r="B13201" s="65" t="s">
        <v>6501</v>
      </c>
    </row>
    <row r="13202" spans="1:2" x14ac:dyDescent="0.25">
      <c r="A13202" s="64" t="str">
        <f>HYPERLINK("http://www.twitter.com/AlenMathewson", "AlenMathewson")</f>
        <v>AlenMathewson</v>
      </c>
      <c r="B13202" s="65"/>
    </row>
    <row r="13203" spans="1:2" x14ac:dyDescent="0.25">
      <c r="A13203" s="64" t="str">
        <f>HYPERLINK("http://www.twitter.com/welshcake_", "welshcake_")</f>
        <v>welshcake_</v>
      </c>
      <c r="B13203" s="65"/>
    </row>
    <row r="13204" spans="1:2" x14ac:dyDescent="0.25">
      <c r="A13204" s="64" t="str">
        <f>HYPERLINK("http://www.twitter.com/BeyondTransitio", "BeyondTransitio")</f>
        <v>BeyondTransitio</v>
      </c>
      <c r="B13204" s="65" t="s">
        <v>7943</v>
      </c>
    </row>
    <row r="13205" spans="1:2" x14ac:dyDescent="0.25">
      <c r="A13205" s="64" t="str">
        <f>HYPERLINK("http://www.twitter.com/samstebbings18", "samstebbings18")</f>
        <v>samstebbings18</v>
      </c>
      <c r="B13205" s="65"/>
    </row>
    <row r="13206" spans="1:2" x14ac:dyDescent="0.25">
      <c r="A13206" s="64" t="str">
        <f>HYPERLINK("http://www.twitter.com/citygeographics", "citygeographics")</f>
        <v>citygeographics</v>
      </c>
      <c r="B13206" s="65"/>
    </row>
    <row r="13207" spans="1:2" x14ac:dyDescent="0.25">
      <c r="A13207" s="64" t="str">
        <f>HYPERLINK("http://www.twitter.com/jaye_daniels", "jaye_daniels")</f>
        <v>jaye_daniels</v>
      </c>
      <c r="B13207" s="65" t="s">
        <v>477</v>
      </c>
    </row>
    <row r="13208" spans="1:2" x14ac:dyDescent="0.25">
      <c r="A13208" s="64" t="str">
        <f>HYPERLINK("http://www.twitter.com/katierjackson", "katierjackson")</f>
        <v>katierjackson</v>
      </c>
      <c r="B13208" s="65"/>
    </row>
    <row r="13209" spans="1:2" x14ac:dyDescent="0.25">
      <c r="A13209" s="64" t="str">
        <f>HYPERLINK("http://www.twitter.com/MaelysN", "MaelysN")</f>
        <v>MaelysN</v>
      </c>
      <c r="B13209" s="65" t="s">
        <v>7944</v>
      </c>
    </row>
    <row r="13210" spans="1:2" x14ac:dyDescent="0.25">
      <c r="A13210" s="64" t="str">
        <f>HYPERLINK("http://www.twitter.com/AILEENFARRAR", "AILEENFARRAR")</f>
        <v>AILEENFARRAR</v>
      </c>
      <c r="B13210" s="65" t="s">
        <v>7945</v>
      </c>
    </row>
    <row r="13211" spans="1:2" x14ac:dyDescent="0.25">
      <c r="A13211" s="64" t="str">
        <f>HYPERLINK("http://www.twitter.com/MarzipanHL", "MarzipanHL")</f>
        <v>MarzipanHL</v>
      </c>
      <c r="B13211" s="65" t="s">
        <v>7946</v>
      </c>
    </row>
    <row r="13212" spans="1:2" x14ac:dyDescent="0.25">
      <c r="A13212" s="64" t="str">
        <f>HYPERLINK("http://www.twitter.com/KateElmer", "KateElmer")</f>
        <v>KateElmer</v>
      </c>
      <c r="B13212" s="65" t="s">
        <v>4501</v>
      </c>
    </row>
    <row r="13213" spans="1:2" x14ac:dyDescent="0.25">
      <c r="A13213" s="64" t="str">
        <f>HYPERLINK("http://www.twitter.com/AeolianSkeleton", "AeolianSkeleton")</f>
        <v>AeolianSkeleton</v>
      </c>
      <c r="B13213" s="65" t="s">
        <v>4317</v>
      </c>
    </row>
    <row r="13214" spans="1:2" x14ac:dyDescent="0.25">
      <c r="A13214" s="64" t="str">
        <f>HYPERLINK("http://www.twitter.com/AdairCoLibrary", "AdairCoLibrary")</f>
        <v>AdairCoLibrary</v>
      </c>
      <c r="B13214" s="65" t="s">
        <v>7947</v>
      </c>
    </row>
    <row r="13215" spans="1:2" x14ac:dyDescent="0.25">
      <c r="A13215" s="64" t="str">
        <f>HYPERLINK("http://www.twitter.com/AraSchofield", "AraSchofield")</f>
        <v>AraSchofield</v>
      </c>
      <c r="B13215" s="65" t="s">
        <v>7948</v>
      </c>
    </row>
    <row r="13216" spans="1:2" x14ac:dyDescent="0.25">
      <c r="A13216" s="64" t="str">
        <f>HYPERLINK("http://www.twitter.com/lottiepaintsu", "lottiepaintsu")</f>
        <v>lottiepaintsu</v>
      </c>
      <c r="B13216" s="65" t="s">
        <v>3816</v>
      </c>
    </row>
    <row r="13217" spans="1:2" x14ac:dyDescent="0.25">
      <c r="A13217" s="64" t="str">
        <f>HYPERLINK("http://www.twitter.com/lizzieyarlett97", "lizzieyarlett97")</f>
        <v>lizzieyarlett97</v>
      </c>
      <c r="B13217" s="65" t="s">
        <v>7949</v>
      </c>
    </row>
    <row r="13218" spans="1:2" x14ac:dyDescent="0.25">
      <c r="A13218" s="64" t="str">
        <f>HYPERLINK("http://www.twitter.com/loyaltemelie", "loyaltemelie")</f>
        <v>loyaltemelie</v>
      </c>
      <c r="B13218" s="65" t="s">
        <v>7950</v>
      </c>
    </row>
    <row r="13219" spans="1:2" x14ac:dyDescent="0.25">
      <c r="A13219" s="64" t="str">
        <f>HYPERLINK("http://www.twitter.com/ninalina72", "ninalina72")</f>
        <v>ninalina72</v>
      </c>
      <c r="B13219" s="65"/>
    </row>
    <row r="13220" spans="1:2" x14ac:dyDescent="0.25">
      <c r="A13220" s="64" t="str">
        <f>HYPERLINK("http://www.twitter.com/JacJevans", "JacJevans")</f>
        <v>JacJevans</v>
      </c>
      <c r="B13220" s="65"/>
    </row>
    <row r="13221" spans="1:2" x14ac:dyDescent="0.25">
      <c r="A13221" s="64" t="str">
        <f>HYPERLINK("http://www.twitter.com/attreeR", "attreeR")</f>
        <v>attreeR</v>
      </c>
      <c r="B13221" s="65"/>
    </row>
    <row r="13222" spans="1:2" x14ac:dyDescent="0.25">
      <c r="A13222" s="64" t="str">
        <f>HYPERLINK("http://www.twitter.com/matchlight1", "matchlight1")</f>
        <v>matchlight1</v>
      </c>
      <c r="B13222" s="65" t="s">
        <v>138</v>
      </c>
    </row>
    <row r="13223" spans="1:2" x14ac:dyDescent="0.25">
      <c r="A13223" s="64" t="str">
        <f>HYPERLINK("http://www.twitter.com/teacherwithbike", "teacherwithbike")</f>
        <v>teacherwithbike</v>
      </c>
      <c r="B13223" s="65" t="s">
        <v>7951</v>
      </c>
    </row>
    <row r="13224" spans="1:2" x14ac:dyDescent="0.25">
      <c r="A13224" s="64" t="str">
        <f>HYPERLINK("http://www.twitter.com/LiberalDespot", "LiberalDespot")</f>
        <v>LiberalDespot</v>
      </c>
      <c r="B13224" s="65" t="s">
        <v>7952</v>
      </c>
    </row>
    <row r="13225" spans="1:2" x14ac:dyDescent="0.25">
      <c r="A13225" s="64" t="str">
        <f>HYPERLINK("http://www.twitter.com/Gayle76", "Gayle76")</f>
        <v>Gayle76</v>
      </c>
      <c r="B13225" s="65" t="s">
        <v>7953</v>
      </c>
    </row>
    <row r="13226" spans="1:2" x14ac:dyDescent="0.25">
      <c r="A13226" s="64" t="str">
        <f>HYPERLINK("http://www.twitter.com/NeilFortune1", "NeilFortune1")</f>
        <v>NeilFortune1</v>
      </c>
      <c r="B13226" s="65"/>
    </row>
    <row r="13227" spans="1:2" x14ac:dyDescent="0.25">
      <c r="A13227" s="64" t="str">
        <f>HYPERLINK("http://www.twitter.com/Ca_Metzger", "Ca_Metzger")</f>
        <v>Ca_Metzger</v>
      </c>
      <c r="B13227" s="65" t="s">
        <v>5686</v>
      </c>
    </row>
    <row r="13228" spans="1:2" x14ac:dyDescent="0.25">
      <c r="A13228" s="64" t="str">
        <f>HYPERLINK("http://www.twitter.com/Hannah__Mason", "Hannah__Mason")</f>
        <v>Hannah__Mason</v>
      </c>
      <c r="B13228" s="65" t="s">
        <v>7954</v>
      </c>
    </row>
    <row r="13229" spans="1:2" x14ac:dyDescent="0.25">
      <c r="A13229" s="64" t="str">
        <f>HYPERLINK("http://www.twitter.com/helenmorleyart", "helenmorleyart")</f>
        <v>helenmorleyart</v>
      </c>
      <c r="B13229" s="65" t="s">
        <v>296</v>
      </c>
    </row>
    <row r="13230" spans="1:2" x14ac:dyDescent="0.25">
      <c r="A13230" s="64" t="str">
        <f>HYPERLINK("http://www.twitter.com/sandracorbett", "sandracorbett")</f>
        <v>sandracorbett</v>
      </c>
      <c r="B13230" s="65" t="s">
        <v>7955</v>
      </c>
    </row>
    <row r="13231" spans="1:2" x14ac:dyDescent="0.25">
      <c r="A13231" s="64" t="str">
        <f>HYPERLINK("http://www.twitter.com/paganrose", "paganrose")</f>
        <v>paganrose</v>
      </c>
      <c r="B13231" s="65"/>
    </row>
    <row r="13232" spans="1:2" x14ac:dyDescent="0.25">
      <c r="A13232" s="64" t="str">
        <f>HYPERLINK("http://www.twitter.com/littlebrown", "littlebrown")</f>
        <v>littlebrown</v>
      </c>
      <c r="B13232" s="65" t="s">
        <v>4867</v>
      </c>
    </row>
    <row r="13233" spans="1:2" x14ac:dyDescent="0.25">
      <c r="A13233" s="64" t="str">
        <f>HYPERLINK("http://www.twitter.com/laurakuba", "laurakuba")</f>
        <v>laurakuba</v>
      </c>
      <c r="B13233" s="65"/>
    </row>
    <row r="13234" spans="1:2" x14ac:dyDescent="0.25">
      <c r="A13234" s="64" t="str">
        <f>HYPERLINK("http://www.twitter.com/Britanniacomms", "Britanniacomms")</f>
        <v>Britanniacomms</v>
      </c>
      <c r="B13234" s="65" t="s">
        <v>7956</v>
      </c>
    </row>
    <row r="13235" spans="1:2" x14ac:dyDescent="0.25">
      <c r="A13235" s="64" t="str">
        <f>HYPERLINK("http://www.twitter.com/BobbieCurran", "BobbieCurran")</f>
        <v>BobbieCurran</v>
      </c>
      <c r="B13235" s="65"/>
    </row>
    <row r="13236" spans="1:2" x14ac:dyDescent="0.25">
      <c r="A13236" s="64" t="str">
        <f>HYPERLINK("http://www.twitter.com/julesdtr", "julesdtr")</f>
        <v>julesdtr</v>
      </c>
      <c r="B13236" s="65"/>
    </row>
    <row r="13237" spans="1:2" x14ac:dyDescent="0.25">
      <c r="A13237" s="64" t="str">
        <f>HYPERLINK("http://www.twitter.com/fashionlimbo", "fashionlimbo")</f>
        <v>fashionlimbo</v>
      </c>
      <c r="B13237" s="65" t="s">
        <v>7957</v>
      </c>
    </row>
    <row r="13238" spans="1:2" x14ac:dyDescent="0.25">
      <c r="A13238" s="64" t="str">
        <f>HYPERLINK("http://www.twitter.com/StellaMorello", "StellaMorello")</f>
        <v>StellaMorello</v>
      </c>
      <c r="B13238" s="65" t="s">
        <v>7958</v>
      </c>
    </row>
    <row r="13239" spans="1:2" x14ac:dyDescent="0.25">
      <c r="A13239" s="64" t="str">
        <f>HYPERLINK("http://www.twitter.com/the_boy_nelson", "the_boy_nelson")</f>
        <v>the_boy_nelson</v>
      </c>
      <c r="B13239" s="65"/>
    </row>
    <row r="13240" spans="1:2" x14ac:dyDescent="0.25">
      <c r="A13240" s="64" t="str">
        <f>HYPERLINK("http://www.twitter.com/alandalziel", "alandalziel")</f>
        <v>alandalziel</v>
      </c>
      <c r="B13240" s="65"/>
    </row>
    <row r="13241" spans="1:2" x14ac:dyDescent="0.25">
      <c r="A13241" s="64" t="str">
        <f>HYPERLINK("http://www.twitter.com/Robertaamy11", "Robertaamy11")</f>
        <v>Robertaamy11</v>
      </c>
      <c r="B13241" s="65" t="s">
        <v>7959</v>
      </c>
    </row>
    <row r="13242" spans="1:2" x14ac:dyDescent="0.25">
      <c r="A13242" s="64" t="str">
        <f>HYPERLINK("http://www.twitter.com/MaryEve", "MaryEve")</f>
        <v>MaryEve</v>
      </c>
      <c r="B13242" s="65"/>
    </row>
    <row r="13243" spans="1:2" x14ac:dyDescent="0.25">
      <c r="A13243" s="64" t="str">
        <f>HYPERLINK("http://www.twitter.com/becks_milne", "becks_milne")</f>
        <v>becks_milne</v>
      </c>
      <c r="B13243" s="65"/>
    </row>
    <row r="13244" spans="1:2" x14ac:dyDescent="0.25">
      <c r="A13244" s="64" t="str">
        <f>HYPERLINK("http://www.twitter.com/torralorra", "torralorra")</f>
        <v>torralorra</v>
      </c>
      <c r="B13244" s="65"/>
    </row>
    <row r="13245" spans="1:2" x14ac:dyDescent="0.25">
      <c r="A13245" s="64" t="str">
        <f>HYPERLINK("http://www.twitter.com/hazelchops", "hazelchops")</f>
        <v>hazelchops</v>
      </c>
      <c r="B13245" s="65" t="s">
        <v>6933</v>
      </c>
    </row>
    <row r="13246" spans="1:2" x14ac:dyDescent="0.25">
      <c r="A13246" s="64" t="str">
        <f>HYPERLINK("http://www.twitter.com/Sallysanfran", "Sallysanfran")</f>
        <v>Sallysanfran</v>
      </c>
      <c r="B13246" s="65" t="s">
        <v>7960</v>
      </c>
    </row>
    <row r="13247" spans="1:2" x14ac:dyDescent="0.25">
      <c r="A13247" s="64" t="str">
        <f>HYPERLINK("http://www.twitter.com/caffeineblues", "caffeineblues")</f>
        <v>caffeineblues</v>
      </c>
      <c r="B13247" s="65" t="s">
        <v>36</v>
      </c>
    </row>
    <row r="13248" spans="1:2" x14ac:dyDescent="0.25">
      <c r="A13248" s="64" t="str">
        <f>HYPERLINK("http://www.twitter.com/DarrenPitcher", "DarrenPitcher")</f>
        <v>DarrenPitcher</v>
      </c>
      <c r="B13248" s="65"/>
    </row>
    <row r="13249" spans="1:2" x14ac:dyDescent="0.25">
      <c r="A13249" s="64" t="str">
        <f>HYPERLINK("http://www.twitter.com/Lola_Ruby", "Lola_Ruby")</f>
        <v>Lola_Ruby</v>
      </c>
      <c r="B13249" s="65"/>
    </row>
    <row r="13250" spans="1:2" x14ac:dyDescent="0.25">
      <c r="A13250" s="64" t="str">
        <f>HYPERLINK("http://www.twitter.com/amandatorysnark", "amandatorysnark")</f>
        <v>amandatorysnark</v>
      </c>
      <c r="B13250" s="65" t="s">
        <v>5269</v>
      </c>
    </row>
    <row r="13251" spans="1:2" x14ac:dyDescent="0.25">
      <c r="A13251" s="64" t="str">
        <f>HYPERLINK("http://www.twitter.com/ljmitchell1", "ljmitchell1")</f>
        <v>ljmitchell1</v>
      </c>
      <c r="B13251" s="65" t="s">
        <v>6107</v>
      </c>
    </row>
    <row r="13252" spans="1:2" x14ac:dyDescent="0.25">
      <c r="A13252" s="64" t="str">
        <f>HYPERLINK("http://www.twitter.com/treenybash", "treenybash")</f>
        <v>treenybash</v>
      </c>
      <c r="B13252" s="65"/>
    </row>
    <row r="13253" spans="1:2" x14ac:dyDescent="0.25">
      <c r="A13253" s="64" t="str">
        <f>HYPERLINK("http://www.twitter.com/james91ocr", "james91ocr")</f>
        <v>james91ocr</v>
      </c>
      <c r="B13253" s="65" t="s">
        <v>318</v>
      </c>
    </row>
    <row r="13254" spans="1:2" x14ac:dyDescent="0.25">
      <c r="A13254" s="64" t="str">
        <f>HYPERLINK("http://www.twitter.com/dkornfeld", "dkornfeld")</f>
        <v>dkornfeld</v>
      </c>
      <c r="B13254" s="65"/>
    </row>
    <row r="13255" spans="1:2" x14ac:dyDescent="0.25">
      <c r="A13255" s="64" t="str">
        <f>HYPERLINK("http://www.twitter.com/EddieCatflap", "EddieCatflap")</f>
        <v>EddieCatflap</v>
      </c>
      <c r="B13255" s="65"/>
    </row>
    <row r="13256" spans="1:2" x14ac:dyDescent="0.25">
      <c r="A13256" s="64" t="str">
        <f>HYPERLINK("http://www.twitter.com/SueHepworth1", "SueHepworth1")</f>
        <v>SueHepworth1</v>
      </c>
      <c r="B13256" s="65"/>
    </row>
    <row r="13257" spans="1:2" x14ac:dyDescent="0.25">
      <c r="A13257" s="64" t="str">
        <f>HYPERLINK("http://www.twitter.com/tartan_ali", "tartan_ali")</f>
        <v>tartan_ali</v>
      </c>
      <c r="B13257" s="65" t="s">
        <v>4744</v>
      </c>
    </row>
    <row r="13258" spans="1:2" x14ac:dyDescent="0.25">
      <c r="A13258" s="64" t="str">
        <f>HYPERLINK("http://www.twitter.com/shetlandtimes", "shetlandtimes")</f>
        <v>shetlandtimes</v>
      </c>
      <c r="B13258" s="65" t="s">
        <v>6500</v>
      </c>
    </row>
    <row r="13259" spans="1:2" x14ac:dyDescent="0.25">
      <c r="A13259" s="64" t="str">
        <f>HYPERLINK("http://www.twitter.com/JacquesDorleans", "JacquesDorleans")</f>
        <v>JacquesDorleans</v>
      </c>
      <c r="B13259" s="65" t="s">
        <v>257</v>
      </c>
    </row>
    <row r="13260" spans="1:2" x14ac:dyDescent="0.25">
      <c r="A13260" s="64" t="str">
        <f>HYPERLINK("http://www.twitter.com/clapiqkier23", "clapiqkier23")</f>
        <v>clapiqkier23</v>
      </c>
      <c r="B13260" s="65" t="s">
        <v>7961</v>
      </c>
    </row>
    <row r="13261" spans="1:2" x14ac:dyDescent="0.25">
      <c r="A13261" s="64" t="str">
        <f>HYPERLINK("http://www.twitter.com/niapolly", "niapolly")</f>
        <v>niapolly</v>
      </c>
      <c r="B13261" s="65" t="s">
        <v>7962</v>
      </c>
    </row>
    <row r="13262" spans="1:2" x14ac:dyDescent="0.25">
      <c r="A13262" s="64" t="str">
        <f>HYPERLINK("http://www.twitter.com/audeade1", "audeade1")</f>
        <v>audeade1</v>
      </c>
      <c r="B13262" s="65"/>
    </row>
    <row r="13263" spans="1:2" x14ac:dyDescent="0.25">
      <c r="A13263" s="64" t="str">
        <f>HYPERLINK("http://www.twitter.com/ozswed", "ozswed")</f>
        <v>ozswed</v>
      </c>
      <c r="B13263" s="65"/>
    </row>
    <row r="13264" spans="1:2" x14ac:dyDescent="0.25">
      <c r="A13264" s="64" t="str">
        <f>HYPERLINK("http://www.twitter.com/SirSajOMighty", "SirSajOMighty")</f>
        <v>SirSajOMighty</v>
      </c>
      <c r="B13264" s="65" t="s">
        <v>7963</v>
      </c>
    </row>
    <row r="13265" spans="1:2" x14ac:dyDescent="0.25">
      <c r="A13265" s="64" t="str">
        <f>HYPERLINK("http://www.twitter.com/thatqueermeme", "thatqueermeme")</f>
        <v>thatqueermeme</v>
      </c>
      <c r="B13265" s="65" t="s">
        <v>7964</v>
      </c>
    </row>
    <row r="13266" spans="1:2" x14ac:dyDescent="0.25">
      <c r="A13266" s="64" t="str">
        <f>HYPERLINK("http://www.twitter.com/stuartatpeasy", "stuartatpeasy")</f>
        <v>stuartatpeasy</v>
      </c>
      <c r="B13266" s="65" t="s">
        <v>7965</v>
      </c>
    </row>
    <row r="13267" spans="1:2" x14ac:dyDescent="0.25">
      <c r="A13267" s="64" t="str">
        <f>HYPERLINK("http://www.twitter.com/kathyawall", "kathyawall")</f>
        <v>kathyawall</v>
      </c>
      <c r="B13267" s="65" t="s">
        <v>7966</v>
      </c>
    </row>
    <row r="13268" spans="1:2" x14ac:dyDescent="0.25">
      <c r="A13268" s="64" t="str">
        <f>HYPERLINK("http://www.twitter.com/Cairobill", "Cairobill")</f>
        <v>Cairobill</v>
      </c>
      <c r="B13268" s="65" t="s">
        <v>477</v>
      </c>
    </row>
    <row r="13269" spans="1:2" x14ac:dyDescent="0.25">
      <c r="A13269" s="64" t="str">
        <f>HYPERLINK("http://www.twitter.com/margauxvanuyt", "margauxvanuyt")</f>
        <v>margauxvanuyt</v>
      </c>
      <c r="B13269" s="65"/>
    </row>
    <row r="13270" spans="1:2" x14ac:dyDescent="0.25">
      <c r="A13270" s="64" t="str">
        <f>HYPERLINK("http://www.twitter.com/bethwatkins2603", "bethwatkins2603")</f>
        <v>bethwatkins2603</v>
      </c>
      <c r="B13270" s="65"/>
    </row>
    <row r="13271" spans="1:2" x14ac:dyDescent="0.25">
      <c r="A13271" s="64" t="str">
        <f>HYPERLINK("http://www.twitter.com/cynn74", "cynn74")</f>
        <v>cynn74</v>
      </c>
      <c r="B13271" s="65"/>
    </row>
    <row r="13272" spans="1:2" x14ac:dyDescent="0.25">
      <c r="A13272" s="64" t="str">
        <f>HYPERLINK("http://www.twitter.com/Jaii_Morales", "Jaii_Morales")</f>
        <v>Jaii_Morales</v>
      </c>
      <c r="B13272" s="65" t="s">
        <v>7967</v>
      </c>
    </row>
    <row r="13273" spans="1:2" x14ac:dyDescent="0.25">
      <c r="A13273" s="64" t="str">
        <f>HYPERLINK("http://www.twitter.com/david130653", "david130653")</f>
        <v>david130653</v>
      </c>
      <c r="B13273" s="65" t="s">
        <v>296</v>
      </c>
    </row>
    <row r="13274" spans="1:2" x14ac:dyDescent="0.25">
      <c r="A13274" s="64" t="str">
        <f>HYPERLINK("http://www.twitter.com/DanPopescu91", "DanPopescu91")</f>
        <v>DanPopescu91</v>
      </c>
      <c r="B13274" s="65"/>
    </row>
    <row r="13275" spans="1:2" x14ac:dyDescent="0.25">
      <c r="A13275" s="64" t="str">
        <f>HYPERLINK("http://www.twitter.com/georgebrown_7", "georgebrown_7")</f>
        <v>georgebrown_7</v>
      </c>
      <c r="B13275" s="65"/>
    </row>
    <row r="13276" spans="1:2" x14ac:dyDescent="0.25">
      <c r="A13276" s="64" t="str">
        <f>HYPERLINK("http://www.twitter.com/shetjulie", "shetjulie")</f>
        <v>shetjulie</v>
      </c>
      <c r="B13276" s="65"/>
    </row>
    <row r="13277" spans="1:2" x14ac:dyDescent="0.25">
      <c r="A13277" s="64" t="str">
        <f>HYPERLINK("http://www.twitter.com/adytoshi", "adytoshi")</f>
        <v>adytoshi</v>
      </c>
      <c r="B13277" s="65"/>
    </row>
    <row r="13278" spans="1:2" x14ac:dyDescent="0.25">
      <c r="A13278" s="64" t="str">
        <f>HYPERLINK("http://www.twitter.com/alibongoesp15", "alibongoesp15")</f>
        <v>alibongoesp15</v>
      </c>
      <c r="B13278" s="65" t="s">
        <v>1098</v>
      </c>
    </row>
    <row r="13279" spans="1:2" x14ac:dyDescent="0.25">
      <c r="A13279" s="64" t="str">
        <f>HYPERLINK("http://www.twitter.com/copywrittencouk", "copywrittencouk")</f>
        <v>copywrittencouk</v>
      </c>
      <c r="B13279" s="65" t="s">
        <v>7968</v>
      </c>
    </row>
    <row r="13280" spans="1:2" x14ac:dyDescent="0.25">
      <c r="A13280" s="64" t="str">
        <f>HYPERLINK("http://www.twitter.com/brc_scott", "brc_scott")</f>
        <v>brc_scott</v>
      </c>
      <c r="B13280" s="65"/>
    </row>
    <row r="13281" spans="1:2" x14ac:dyDescent="0.25">
      <c r="A13281" s="64" t="str">
        <f>HYPERLINK("http://www.twitter.com/vedraii", "vedraii")</f>
        <v>vedraii</v>
      </c>
      <c r="B13281" s="65"/>
    </row>
    <row r="13282" spans="1:2" x14ac:dyDescent="0.25">
      <c r="A13282" s="64" t="str">
        <f>HYPERLINK("http://www.twitter.com/pedro200", "pedro200")</f>
        <v>pedro200</v>
      </c>
      <c r="B13282" s="65" t="s">
        <v>7969</v>
      </c>
    </row>
    <row r="13283" spans="1:2" x14ac:dyDescent="0.25">
      <c r="A13283" s="64" t="str">
        <f>HYPERLINK("http://www.twitter.com/KimmmyPee", "KimmmyPee")</f>
        <v>KimmmyPee</v>
      </c>
      <c r="B13283" s="65" t="s">
        <v>4227</v>
      </c>
    </row>
    <row r="13284" spans="1:2" x14ac:dyDescent="0.25">
      <c r="A13284" s="64" t="str">
        <f>HYPERLINK("http://www.twitter.com/helenstwin", "helenstwin")</f>
        <v>helenstwin</v>
      </c>
      <c r="B13284" s="65" t="s">
        <v>7970</v>
      </c>
    </row>
    <row r="13285" spans="1:2" x14ac:dyDescent="0.25">
      <c r="A13285" s="64" t="str">
        <f>HYPERLINK("http://www.twitter.com/neilcochrane", "neilcochrane")</f>
        <v>neilcochrane</v>
      </c>
      <c r="B13285" s="65" t="s">
        <v>74</v>
      </c>
    </row>
    <row r="13286" spans="1:2" x14ac:dyDescent="0.25">
      <c r="A13286" s="64" t="str">
        <f>HYPERLINK("http://www.twitter.com/juliamlaidlaw", "juliamlaidlaw")</f>
        <v>juliamlaidlaw</v>
      </c>
      <c r="B13286" s="65" t="s">
        <v>7971</v>
      </c>
    </row>
    <row r="13287" spans="1:2" x14ac:dyDescent="0.25">
      <c r="A13287" s="64" t="str">
        <f>HYPERLINK("http://www.twitter.com/good_eve", "good_eve")</f>
        <v>good_eve</v>
      </c>
      <c r="B13287" s="65" t="s">
        <v>477</v>
      </c>
    </row>
    <row r="13288" spans="1:2" x14ac:dyDescent="0.25">
      <c r="A13288" s="64" t="str">
        <f>HYPERLINK("http://www.twitter.com/Winstrid", "Winstrid")</f>
        <v>Winstrid</v>
      </c>
      <c r="B13288" s="65"/>
    </row>
    <row r="13289" spans="1:2" x14ac:dyDescent="0.25">
      <c r="A13289" s="64" t="str">
        <f>HYPERLINK("http://www.twitter.com/AnnaRumpel", "AnnaRumpel")</f>
        <v>AnnaRumpel</v>
      </c>
      <c r="B13289" s="65" t="s">
        <v>7972</v>
      </c>
    </row>
    <row r="13290" spans="1:2" x14ac:dyDescent="0.25">
      <c r="A13290" s="64" t="str">
        <f>HYPERLINK("http://www.twitter.com/darrenadam", "darrenadam")</f>
        <v>darrenadam</v>
      </c>
      <c r="B13290" s="65" t="s">
        <v>7973</v>
      </c>
    </row>
    <row r="13291" spans="1:2" x14ac:dyDescent="0.25">
      <c r="A13291" s="64" t="str">
        <f>HYPERLINK("http://www.twitter.com/Pipe_D", "Pipe_D")</f>
        <v>Pipe_D</v>
      </c>
      <c r="B13291" s="65" t="s">
        <v>7974</v>
      </c>
    </row>
    <row r="13292" spans="1:2" x14ac:dyDescent="0.25">
      <c r="A13292" s="64" t="str">
        <f>HYPERLINK("http://www.twitter.com/_beckyesplin_", "_beckyesplin_")</f>
        <v>_beckyesplin_</v>
      </c>
      <c r="B13292" s="65" t="s">
        <v>7975</v>
      </c>
    </row>
    <row r="13293" spans="1:2" x14ac:dyDescent="0.25">
      <c r="A13293" s="64" t="str">
        <f>HYPERLINK("http://www.twitter.com/WeaverbirdBeads", "WeaverbirdBeads")</f>
        <v>WeaverbirdBeads</v>
      </c>
      <c r="B13293" s="65"/>
    </row>
    <row r="13294" spans="1:2" x14ac:dyDescent="0.25">
      <c r="A13294" s="64" t="str">
        <f>HYPERLINK("http://www.twitter.com/mulhollandbooks", "mulhollandbooks")</f>
        <v>mulhollandbooks</v>
      </c>
      <c r="B13294" s="65" t="s">
        <v>4867</v>
      </c>
    </row>
    <row r="13295" spans="1:2" x14ac:dyDescent="0.25">
      <c r="A13295" s="64" t="str">
        <f>HYPERLINK("http://www.twitter.com/m_seaward", "m_seaward")</f>
        <v>m_seaward</v>
      </c>
      <c r="B13295" s="65"/>
    </row>
    <row r="13296" spans="1:2" x14ac:dyDescent="0.25">
      <c r="A13296" s="64" t="str">
        <f>HYPERLINK("http://www.twitter.com/HarveyLyra", "HarveyLyra")</f>
        <v>HarveyLyra</v>
      </c>
      <c r="B13296" s="65"/>
    </row>
    <row r="13297" spans="1:2" x14ac:dyDescent="0.25">
      <c r="A13297" s="64" t="str">
        <f>HYPERLINK("http://www.twitter.com/fimci", "fimci")</f>
        <v>fimci</v>
      </c>
      <c r="B13297" s="65"/>
    </row>
    <row r="13298" spans="1:2" x14ac:dyDescent="0.25">
      <c r="A13298" s="64" t="str">
        <f>HYPERLINK("http://www.twitter.com/behindthespines", "behindthespines")</f>
        <v>behindthespines</v>
      </c>
      <c r="B13298" s="65" t="s">
        <v>296</v>
      </c>
    </row>
    <row r="13299" spans="1:2" x14ac:dyDescent="0.25">
      <c r="A13299" s="64" t="str">
        <f>HYPERLINK("http://www.twitter.com/ALforsh3", "ALforsh3")</f>
        <v>ALforsh3</v>
      </c>
      <c r="B13299" s="65"/>
    </row>
    <row r="13300" spans="1:2" x14ac:dyDescent="0.25">
      <c r="A13300" s="64" t="str">
        <f>HYPERLINK("http://www.twitter.com/susietfinlay", "susietfinlay")</f>
        <v>susietfinlay</v>
      </c>
      <c r="B13300" s="65"/>
    </row>
    <row r="13301" spans="1:2" x14ac:dyDescent="0.25">
      <c r="A13301" s="64" t="str">
        <f>HYPERLINK("http://www.twitter.com/lesleypitman", "lesleypitman")</f>
        <v>lesleypitman</v>
      </c>
      <c r="B13301" s="65" t="s">
        <v>36</v>
      </c>
    </row>
    <row r="13302" spans="1:2" x14ac:dyDescent="0.25">
      <c r="A13302" s="64" t="str">
        <f>HYPERLINK("http://www.twitter.com/OhMikiBee", "OhMikiBee")</f>
        <v>OhMikiBee</v>
      </c>
      <c r="B13302" s="65"/>
    </row>
    <row r="13303" spans="1:2" x14ac:dyDescent="0.25">
      <c r="A13303" s="64" t="str">
        <f>HYPERLINK("http://www.twitter.com/LlamaBtweets", "LlamaBtweets")</f>
        <v>LlamaBtweets</v>
      </c>
      <c r="B13303" s="65"/>
    </row>
    <row r="13304" spans="1:2" x14ac:dyDescent="0.25">
      <c r="A13304" s="64" t="str">
        <f>HYPERLINK("http://www.twitter.com/jimitroup", "jimitroup")</f>
        <v>jimitroup</v>
      </c>
      <c r="B13304" s="65"/>
    </row>
    <row r="13305" spans="1:2" x14ac:dyDescent="0.25">
      <c r="A13305" s="64" t="str">
        <f>HYPERLINK("http://www.twitter.com/MFEOC", "MFEOC")</f>
        <v>MFEOC</v>
      </c>
      <c r="B13305" s="65" t="s">
        <v>36</v>
      </c>
    </row>
    <row r="13306" spans="1:2" x14ac:dyDescent="0.25">
      <c r="A13306" s="64" t="str">
        <f>HYPERLINK("http://www.twitter.com/klucyburns", "klucyburns")</f>
        <v>klucyburns</v>
      </c>
      <c r="B13306" s="65" t="s">
        <v>36</v>
      </c>
    </row>
    <row r="13307" spans="1:2" x14ac:dyDescent="0.25">
      <c r="A13307" s="64" t="str">
        <f>HYPERLINK("http://www.twitter.com/stephenlovely", "stephenlovely")</f>
        <v>stephenlovely</v>
      </c>
      <c r="B13307" s="65" t="s">
        <v>7976</v>
      </c>
    </row>
    <row r="13308" spans="1:2" x14ac:dyDescent="0.25">
      <c r="A13308" s="64" t="str">
        <f>HYPERLINK("http://www.twitter.com/Portia_Panda", "Portia_Panda")</f>
        <v>Portia_Panda</v>
      </c>
      <c r="B13308" s="65"/>
    </row>
    <row r="13309" spans="1:2" x14ac:dyDescent="0.25">
      <c r="A13309" s="64" t="str">
        <f>HYPERLINK("http://www.twitter.com/BigMickTait", "BigMickTait")</f>
        <v>BigMickTait</v>
      </c>
      <c r="B13309" s="65" t="s">
        <v>115</v>
      </c>
    </row>
    <row r="13310" spans="1:2" x14ac:dyDescent="0.25">
      <c r="A13310" s="64" t="str">
        <f>HYPERLINK("http://www.twitter.com/CHSPhysics1874", "CHSPhysics1874")</f>
        <v>CHSPhysics1874</v>
      </c>
      <c r="B13310" s="65"/>
    </row>
    <row r="13311" spans="1:2" x14ac:dyDescent="0.25">
      <c r="A13311" s="64" t="str">
        <f>HYPERLINK("http://www.twitter.com/BellaKay", "BellaKay")</f>
        <v>BellaKay</v>
      </c>
      <c r="B13311" s="65" t="s">
        <v>7977</v>
      </c>
    </row>
    <row r="13312" spans="1:2" x14ac:dyDescent="0.25">
      <c r="A13312" s="64" t="str">
        <f>HYPERLINK("http://www.twitter.com/judith_bonner", "judith_bonner")</f>
        <v>judith_bonner</v>
      </c>
      <c r="B13312" s="65"/>
    </row>
    <row r="13313" spans="1:2" x14ac:dyDescent="0.25">
      <c r="A13313" s="64" t="str">
        <f>HYPERLINK("http://www.twitter.com/Voronushka262", "Voronushka262")</f>
        <v>Voronushka262</v>
      </c>
      <c r="B13313" s="65" t="s">
        <v>7978</v>
      </c>
    </row>
    <row r="13314" spans="1:2" x14ac:dyDescent="0.25">
      <c r="A13314" s="64" t="str">
        <f>HYPERLINK("http://www.twitter.com/CJ_holloway", "CJ_holloway")</f>
        <v>CJ_holloway</v>
      </c>
      <c r="B13314" s="65" t="s">
        <v>2213</v>
      </c>
    </row>
    <row r="13315" spans="1:2" x14ac:dyDescent="0.25">
      <c r="A13315" s="64" t="str">
        <f>HYPERLINK("http://www.twitter.com/unclepeeve", "unclepeeve")</f>
        <v>unclepeeve</v>
      </c>
      <c r="B13315" s="65"/>
    </row>
    <row r="13316" spans="1:2" x14ac:dyDescent="0.25">
      <c r="A13316" s="64" t="str">
        <f>HYPERLINK("http://www.twitter.com/meganaley", "meganaley")</f>
        <v>meganaley</v>
      </c>
      <c r="B13316" s="65"/>
    </row>
    <row r="13317" spans="1:2" x14ac:dyDescent="0.25">
      <c r="A13317" s="64" t="str">
        <f>HYPERLINK("http://www.twitter.com/colinmccrack", "colinmccrack")</f>
        <v>colinmccrack</v>
      </c>
      <c r="B13317" s="65" t="s">
        <v>7979</v>
      </c>
    </row>
    <row r="13318" spans="1:2" x14ac:dyDescent="0.25">
      <c r="A13318" s="64" t="str">
        <f>HYPERLINK("http://www.twitter.com/EdirinOputu", "EdirinOputu")</f>
        <v>EdirinOputu</v>
      </c>
      <c r="B13318" s="65"/>
    </row>
    <row r="13319" spans="1:2" x14ac:dyDescent="0.25">
      <c r="A13319" s="64" t="str">
        <f>HYPERLINK("http://www.twitter.com/throdd", "throdd")</f>
        <v>throdd</v>
      </c>
      <c r="B13319" s="65" t="s">
        <v>1295</v>
      </c>
    </row>
    <row r="13320" spans="1:2" x14ac:dyDescent="0.25">
      <c r="A13320" s="64" t="str">
        <f>HYPERLINK("http://www.twitter.com/sethsl", "sethsl")</f>
        <v>sethsl</v>
      </c>
      <c r="B13320" s="65" t="s">
        <v>7980</v>
      </c>
    </row>
    <row r="13321" spans="1:2" x14ac:dyDescent="0.25">
      <c r="A13321" s="64" t="str">
        <f>HYPERLINK("http://www.twitter.com/WisemanLibrary", "WisemanLibrary")</f>
        <v>WisemanLibrary</v>
      </c>
      <c r="B13321" s="65" t="s">
        <v>2216</v>
      </c>
    </row>
    <row r="13322" spans="1:2" x14ac:dyDescent="0.25">
      <c r="A13322" s="64" t="str">
        <f>HYPERLINK("http://www.twitter.com/RachelHField", "RachelHField")</f>
        <v>RachelHField</v>
      </c>
      <c r="B13322" s="65" t="s">
        <v>36</v>
      </c>
    </row>
    <row r="13323" spans="1:2" x14ac:dyDescent="0.25">
      <c r="A13323" s="64" t="str">
        <f>HYPERLINK("http://www.twitter.com/8DaysAWeekPrint", "8DaysAWeekPrint")</f>
        <v>8DaysAWeekPrint</v>
      </c>
      <c r="B13323" s="65" t="s">
        <v>5864</v>
      </c>
    </row>
    <row r="13324" spans="1:2" x14ac:dyDescent="0.25">
      <c r="A13324" s="64" t="str">
        <f>HYPERLINK("http://www.twitter.com/Weir17Steph", "Weir17Steph")</f>
        <v>Weir17Steph</v>
      </c>
      <c r="B13324" s="65" t="s">
        <v>4223</v>
      </c>
    </row>
    <row r="13325" spans="1:2" x14ac:dyDescent="0.25">
      <c r="A13325" s="64" t="str">
        <f>HYPERLINK("http://www.twitter.com/KerryAlexandra", "KerryAlexandra")</f>
        <v>KerryAlexandra</v>
      </c>
      <c r="B13325" s="65" t="s">
        <v>7981</v>
      </c>
    </row>
    <row r="13326" spans="1:2" x14ac:dyDescent="0.25">
      <c r="A13326" s="64" t="str">
        <f>HYPERLINK("http://www.twitter.com/savvycutie1228", "savvycutie1228")</f>
        <v>savvycutie1228</v>
      </c>
      <c r="B13326" s="65" t="s">
        <v>7982</v>
      </c>
    </row>
    <row r="13327" spans="1:2" x14ac:dyDescent="0.25">
      <c r="A13327" s="64" t="str">
        <f>HYPERLINK("http://www.twitter.com/LouisJClayton", "LouisJClayton")</f>
        <v>LouisJClayton</v>
      </c>
      <c r="B13327" s="65"/>
    </row>
    <row r="13328" spans="1:2" x14ac:dyDescent="0.25">
      <c r="A13328" s="64" t="str">
        <f>HYPERLINK("http://www.twitter.com/willOwensRB", "willOwensRB")</f>
        <v>willOwensRB</v>
      </c>
      <c r="B13328" s="65"/>
    </row>
    <row r="13329" spans="1:2" x14ac:dyDescent="0.25">
      <c r="A13329" s="64" t="str">
        <f>HYPERLINK("http://www.twitter.com/ignatiusorlly", "ignatiusorlly")</f>
        <v>ignatiusorlly</v>
      </c>
      <c r="B13329" s="65" t="s">
        <v>487</v>
      </c>
    </row>
    <row r="13330" spans="1:2" x14ac:dyDescent="0.25">
      <c r="A13330" s="64" t="str">
        <f>HYPERLINK("http://www.twitter.com/Bobbyjohnson44", "Bobbyjohnson44")</f>
        <v>Bobbyjohnson44</v>
      </c>
      <c r="B13330" s="65" t="s">
        <v>569</v>
      </c>
    </row>
    <row r="13331" spans="1:2" x14ac:dyDescent="0.25">
      <c r="A13331" s="64" t="str">
        <f>HYPERLINK("http://www.twitter.com/Keiemm2", "Keiemm2")</f>
        <v>Keiemm2</v>
      </c>
      <c r="B13331" s="65"/>
    </row>
    <row r="13332" spans="1:2" x14ac:dyDescent="0.25">
      <c r="A13332" s="64" t="str">
        <f>HYPERLINK("http://www.twitter.com/Mega_Ashra", "Mega_Ashra")</f>
        <v>Mega_Ashra</v>
      </c>
      <c r="B13332" s="65" t="s">
        <v>4184</v>
      </c>
    </row>
    <row r="13333" spans="1:2" x14ac:dyDescent="0.25">
      <c r="A13333" s="64" t="str">
        <f>HYPERLINK("http://www.twitter.com/lizziealice81", "lizziealice81")</f>
        <v>lizziealice81</v>
      </c>
      <c r="B13333" s="65"/>
    </row>
    <row r="13334" spans="1:2" x14ac:dyDescent="0.25">
      <c r="A13334" s="64" t="str">
        <f>HYPERLINK("http://www.twitter.com/amyrrebecca", "amyrrebecca")</f>
        <v>amyrrebecca</v>
      </c>
      <c r="B13334" s="65"/>
    </row>
    <row r="13335" spans="1:2" x14ac:dyDescent="0.25">
      <c r="A13335" s="64" t="str">
        <f>HYPERLINK("http://www.twitter.com/ro_nyers", "ro_nyers")</f>
        <v>ro_nyers</v>
      </c>
      <c r="B13335" s="65"/>
    </row>
    <row r="13336" spans="1:2" x14ac:dyDescent="0.25">
      <c r="A13336" s="64" t="str">
        <f>HYPERLINK("http://www.twitter.com/redlife1991", "redlife1991")</f>
        <v>redlife1991</v>
      </c>
      <c r="B13336" s="65"/>
    </row>
    <row r="13337" spans="1:2" x14ac:dyDescent="0.25">
      <c r="A13337" s="64" t="str">
        <f>HYPERLINK("http://www.twitter.com/sarafergi", "sarafergi")</f>
        <v>sarafergi</v>
      </c>
      <c r="B13337" s="65"/>
    </row>
    <row r="13338" spans="1:2" x14ac:dyDescent="0.25">
      <c r="A13338" s="64" t="str">
        <f>HYPERLINK("http://www.twitter.com/fizzandnonsense", "fizzandnonsense")</f>
        <v>fizzandnonsense</v>
      </c>
      <c r="B13338" s="65" t="s">
        <v>7983</v>
      </c>
    </row>
    <row r="13339" spans="1:2" x14ac:dyDescent="0.25">
      <c r="A13339" s="64" t="str">
        <f>HYPERLINK("http://www.twitter.com/Evy_Wall", "Evy_Wall")</f>
        <v>Evy_Wall</v>
      </c>
      <c r="B13339" s="65" t="s">
        <v>7984</v>
      </c>
    </row>
    <row r="13340" spans="1:2" x14ac:dyDescent="0.25">
      <c r="A13340" s="64" t="str">
        <f>HYPERLINK("http://www.twitter.com/Sammyboy616", "Sammyboy616")</f>
        <v>Sammyboy616</v>
      </c>
      <c r="B13340" s="65" t="s">
        <v>7985</v>
      </c>
    </row>
    <row r="13341" spans="1:2" x14ac:dyDescent="0.25">
      <c r="A13341" s="64" t="str">
        <f>HYPERLINK("http://www.twitter.com/richie_atkinson", "richie_atkinson")</f>
        <v>richie_atkinson</v>
      </c>
      <c r="B13341" s="65"/>
    </row>
    <row r="13342" spans="1:2" x14ac:dyDescent="0.25">
      <c r="A13342" s="64" t="str">
        <f>HYPERLINK("http://www.twitter.com/Dave5705", "Dave5705")</f>
        <v>Dave5705</v>
      </c>
      <c r="B13342" s="65" t="s">
        <v>7986</v>
      </c>
    </row>
    <row r="13343" spans="1:2" x14ac:dyDescent="0.25">
      <c r="A13343" s="64" t="str">
        <f>HYPERLINK("http://www.twitter.com/verityll", "verityll")</f>
        <v>verityll</v>
      </c>
      <c r="B13343" s="65"/>
    </row>
    <row r="13344" spans="1:2" x14ac:dyDescent="0.25">
      <c r="A13344" s="64" t="str">
        <f>HYPERLINK("http://www.twitter.com/Milfish_", "Milfish_")</f>
        <v>Milfish_</v>
      </c>
      <c r="B13344" s="65" t="s">
        <v>318</v>
      </c>
    </row>
    <row r="13345" spans="1:2" x14ac:dyDescent="0.25">
      <c r="A13345" s="64" t="str">
        <f>HYPERLINK("http://www.twitter.com/ladyindi", "ladyindi")</f>
        <v>ladyindi</v>
      </c>
      <c r="B13345" s="65" t="s">
        <v>7987</v>
      </c>
    </row>
    <row r="13346" spans="1:2" x14ac:dyDescent="0.25">
      <c r="A13346" s="64" t="str">
        <f>HYPERLINK("http://www.twitter.com/Grace_Blackwood", "Grace_Blackwood")</f>
        <v>Grace_Blackwood</v>
      </c>
      <c r="B13346" s="65"/>
    </row>
    <row r="13347" spans="1:2" x14ac:dyDescent="0.25">
      <c r="A13347" s="64" t="str">
        <f>HYPERLINK("http://www.twitter.com/t_spl", "t_spl")</f>
        <v>t_spl</v>
      </c>
      <c r="B13347" s="65" t="s">
        <v>7988</v>
      </c>
    </row>
    <row r="13348" spans="1:2" x14ac:dyDescent="0.25">
      <c r="A13348" s="64" t="str">
        <f>HYPERLINK("http://www.twitter.com/NoelieMaher", "NoelieMaher")</f>
        <v>NoelieMaher</v>
      </c>
      <c r="B13348" s="65" t="s">
        <v>4111</v>
      </c>
    </row>
    <row r="13349" spans="1:2" x14ac:dyDescent="0.25">
      <c r="A13349" s="64" t="str">
        <f>HYPERLINK("http://www.twitter.com/Kittygirl5411", "Kittygirl5411")</f>
        <v>Kittygirl5411</v>
      </c>
      <c r="B13349" s="65"/>
    </row>
    <row r="13350" spans="1:2" x14ac:dyDescent="0.25">
      <c r="A13350" s="64" t="str">
        <f>HYPERLINK("http://www.twitter.com/StarvedLunatic", "StarvedLunatic")</f>
        <v>StarvedLunatic</v>
      </c>
      <c r="B13350" s="65" t="s">
        <v>2492</v>
      </c>
    </row>
    <row r="13351" spans="1:2" x14ac:dyDescent="0.25">
      <c r="A13351" s="64" t="str">
        <f>HYPERLINK("http://www.twitter.com/mesacountylib", "mesacountylib")</f>
        <v>mesacountylib</v>
      </c>
      <c r="B13351" s="65" t="s">
        <v>7989</v>
      </c>
    </row>
    <row r="13352" spans="1:2" x14ac:dyDescent="0.25">
      <c r="A13352" s="64" t="str">
        <f>HYPERLINK("http://www.twitter.com/lisab7us", "lisab7us")</f>
        <v>lisab7us</v>
      </c>
      <c r="B13352" s="65" t="s">
        <v>67</v>
      </c>
    </row>
    <row r="13353" spans="1:2" x14ac:dyDescent="0.25">
      <c r="A13353" s="64" t="str">
        <f>HYPERLINK("http://www.twitter.com/rachylvp", "rachylvp")</f>
        <v>rachylvp</v>
      </c>
      <c r="B13353" s="65" t="s">
        <v>102</v>
      </c>
    </row>
    <row r="13354" spans="1:2" x14ac:dyDescent="0.25">
      <c r="A13354" s="64" t="str">
        <f>HYPERLINK("http://www.twitter.com/libraryne", "libraryne")</f>
        <v>libraryne</v>
      </c>
      <c r="B13354" s="65"/>
    </row>
    <row r="13355" spans="1:2" x14ac:dyDescent="0.25">
      <c r="A13355" s="64" t="str">
        <f>HYPERLINK("http://www.twitter.com/NFantauzza", "NFantauzza")</f>
        <v>NFantauzza</v>
      </c>
      <c r="B13355" s="65"/>
    </row>
    <row r="13356" spans="1:2" x14ac:dyDescent="0.25">
      <c r="A13356" s="64" t="str">
        <f>HYPERLINK("http://www.twitter.com/g_s_architect", "g_s_architect")</f>
        <v>g_s_architect</v>
      </c>
      <c r="B13356" s="65" t="s">
        <v>36</v>
      </c>
    </row>
    <row r="13357" spans="1:2" x14ac:dyDescent="0.25">
      <c r="A13357" s="64" t="str">
        <f>HYPERLINK("http://www.twitter.com/tattie_becca", "tattie_becca")</f>
        <v>tattie_becca</v>
      </c>
      <c r="B13357" s="65"/>
    </row>
    <row r="13358" spans="1:2" x14ac:dyDescent="0.25">
      <c r="A13358" s="64" t="str">
        <f>HYPERLINK("http://www.twitter.com/betsyjones1", "betsyjones1")</f>
        <v>betsyjones1</v>
      </c>
      <c r="B13358" s="65" t="s">
        <v>296</v>
      </c>
    </row>
    <row r="13359" spans="1:2" x14ac:dyDescent="0.25">
      <c r="A13359" s="64" t="str">
        <f>HYPERLINK("http://www.twitter.com/owlerk1", "owlerk1")</f>
        <v>owlerk1</v>
      </c>
      <c r="B13359" s="65"/>
    </row>
    <row r="13360" spans="1:2" x14ac:dyDescent="0.25">
      <c r="A13360" s="64" t="str">
        <f>HYPERLINK("http://www.twitter.com/iamaweasel", "iamaweasel")</f>
        <v>iamaweasel</v>
      </c>
      <c r="B13360" s="65" t="s">
        <v>7990</v>
      </c>
    </row>
    <row r="13361" spans="1:2" x14ac:dyDescent="0.25">
      <c r="A13361" s="64" t="str">
        <f>HYPERLINK("http://www.twitter.com/jennifernicolx", "jennifernicolx")</f>
        <v>jennifernicolx</v>
      </c>
      <c r="B13361" s="65"/>
    </row>
    <row r="13362" spans="1:2" x14ac:dyDescent="0.25">
      <c r="A13362" s="64" t="str">
        <f>HYPERLINK("http://www.twitter.com/BSAShakespeare", "BSAShakespeare")</f>
        <v>BSAShakespeare</v>
      </c>
      <c r="B13362" s="65"/>
    </row>
    <row r="13363" spans="1:2" x14ac:dyDescent="0.25">
      <c r="A13363" s="64" t="str">
        <f>HYPERLINK("http://www.twitter.com/Reid89Reid", "Reid89Reid")</f>
        <v>Reid89Reid</v>
      </c>
      <c r="B13363" s="65"/>
    </row>
    <row r="13364" spans="1:2" x14ac:dyDescent="0.25">
      <c r="A13364" s="64" t="str">
        <f>HYPERLINK("http://www.twitter.com/SusieSJR", "SusieSJR")</f>
        <v>SusieSJR</v>
      </c>
      <c r="B13364" s="65"/>
    </row>
    <row r="13365" spans="1:2" x14ac:dyDescent="0.25">
      <c r="A13365" s="64" t="str">
        <f>HYPERLINK("http://www.twitter.com/devilscustard", "devilscustard")</f>
        <v>devilscustard</v>
      </c>
      <c r="B13365" s="65" t="s">
        <v>1908</v>
      </c>
    </row>
    <row r="13366" spans="1:2" x14ac:dyDescent="0.25">
      <c r="A13366" s="64" t="str">
        <f>HYPERLINK("http://www.twitter.com/Iamlugh", "Iamlugh")</f>
        <v>Iamlugh</v>
      </c>
      <c r="B13366" s="65"/>
    </row>
    <row r="13367" spans="1:2" x14ac:dyDescent="0.25">
      <c r="A13367" s="64" t="str">
        <f>HYPERLINK("http://www.twitter.com/AnnaSnjolaug", "AnnaSnjolaug")</f>
        <v>AnnaSnjolaug</v>
      </c>
      <c r="B13367" s="65"/>
    </row>
    <row r="13368" spans="1:2" x14ac:dyDescent="0.25">
      <c r="A13368" s="64" t="str">
        <f>HYPERLINK("http://www.twitter.com/ElijahRound", "ElijahRound")</f>
        <v>ElijahRound</v>
      </c>
      <c r="B13368" s="65" t="s">
        <v>7991</v>
      </c>
    </row>
    <row r="13369" spans="1:2" x14ac:dyDescent="0.25">
      <c r="A13369" s="64" t="str">
        <f>HYPERLINK("http://www.twitter.com/jenny_bhatt", "jenny_bhatt")</f>
        <v>jenny_bhatt</v>
      </c>
      <c r="B13369" s="65" t="s">
        <v>5340</v>
      </c>
    </row>
    <row r="13370" spans="1:2" x14ac:dyDescent="0.25">
      <c r="A13370" s="64" t="str">
        <f>HYPERLINK("http://www.twitter.com/SaintCirce", "SaintCirce")</f>
        <v>SaintCirce</v>
      </c>
      <c r="B13370" s="65" t="s">
        <v>7992</v>
      </c>
    </row>
    <row r="13371" spans="1:2" x14ac:dyDescent="0.25">
      <c r="A13371" s="64" t="str">
        <f>HYPERLINK("http://www.twitter.com/aanahanif", "aanahanif")</f>
        <v>aanahanif</v>
      </c>
      <c r="B13371" s="65"/>
    </row>
    <row r="13372" spans="1:2" x14ac:dyDescent="0.25">
      <c r="A13372" s="64" t="str">
        <f>HYPERLINK("http://www.twitter.com/amandakate55", "amandakate55")</f>
        <v>amandakate55</v>
      </c>
      <c r="B13372" s="65"/>
    </row>
    <row r="13373" spans="1:2" x14ac:dyDescent="0.25">
      <c r="A13373" s="64" t="str">
        <f>HYPERLINK("http://www.twitter.com/callumjodwyer", "callumjodwyer")</f>
        <v>callumjodwyer</v>
      </c>
      <c r="B13373" s="65" t="s">
        <v>517</v>
      </c>
    </row>
    <row r="13374" spans="1:2" x14ac:dyDescent="0.25">
      <c r="A13374" s="64" t="str">
        <f>HYPERLINK("http://www.twitter.com/primefish42", "primefish42")</f>
        <v>primefish42</v>
      </c>
      <c r="B13374" s="65" t="s">
        <v>7993</v>
      </c>
    </row>
    <row r="13375" spans="1:2" x14ac:dyDescent="0.25">
      <c r="A13375" s="64" t="str">
        <f>HYPERLINK("http://www.twitter.com/magnabooks", "magnabooks")</f>
        <v>magnabooks</v>
      </c>
      <c r="B13375" s="65" t="s">
        <v>7994</v>
      </c>
    </row>
    <row r="13376" spans="1:2" x14ac:dyDescent="0.25">
      <c r="A13376" s="64" t="str">
        <f>HYPERLINK("http://www.twitter.com/JonSlack", "JonSlack")</f>
        <v>JonSlack</v>
      </c>
      <c r="B13376" s="65" t="s">
        <v>36</v>
      </c>
    </row>
    <row r="13377" spans="1:2" x14ac:dyDescent="0.25">
      <c r="A13377" s="64" t="str">
        <f>HYPERLINK("http://www.twitter.com/thisislaurent", "thisislaurent")</f>
        <v>thisislaurent</v>
      </c>
      <c r="B13377" s="65" t="s">
        <v>7995</v>
      </c>
    </row>
    <row r="13378" spans="1:2" x14ac:dyDescent="0.25">
      <c r="A13378" s="64" t="str">
        <f>HYPERLINK("http://www.twitter.com/south_katie", "south_katie")</f>
        <v>south_katie</v>
      </c>
      <c r="B13378" s="65"/>
    </row>
    <row r="13379" spans="1:2" x14ac:dyDescent="0.25">
      <c r="A13379" s="64" t="str">
        <f>HYPERLINK("http://www.twitter.com/StowuplandHSLib", "StowuplandHSLib")</f>
        <v>StowuplandHSLib</v>
      </c>
      <c r="B13379" s="65" t="s">
        <v>7996</v>
      </c>
    </row>
    <row r="13380" spans="1:2" x14ac:dyDescent="0.25">
      <c r="A13380" s="64" t="str">
        <f>HYPERLINK("http://www.twitter.com/IsobelStark", "IsobelStark")</f>
        <v>IsobelStark</v>
      </c>
      <c r="B13380" s="65" t="s">
        <v>877</v>
      </c>
    </row>
    <row r="13381" spans="1:2" x14ac:dyDescent="0.25">
      <c r="A13381" s="64" t="str">
        <f>HYPERLINK("http://www.twitter.com/RellyAB", "RellyAB")</f>
        <v>RellyAB</v>
      </c>
      <c r="B13381" s="65" t="s">
        <v>5166</v>
      </c>
    </row>
    <row r="13382" spans="1:2" x14ac:dyDescent="0.25">
      <c r="A13382" s="64" t="str">
        <f>HYPERLINK("http://www.twitter.com/BenJScho", "BenJScho")</f>
        <v>BenJScho</v>
      </c>
      <c r="B13382" s="65"/>
    </row>
    <row r="13383" spans="1:2" x14ac:dyDescent="0.25">
      <c r="A13383" s="64" t="str">
        <f>HYPERLINK("http://www.twitter.com/elainewickson", "elainewickson")</f>
        <v>elainewickson</v>
      </c>
      <c r="B13383" s="65" t="s">
        <v>505</v>
      </c>
    </row>
    <row r="13384" spans="1:2" x14ac:dyDescent="0.25">
      <c r="A13384" s="64" t="str">
        <f>HYPERLINK("http://www.twitter.com/jlinz_m", "jlinz_m")</f>
        <v>jlinz_m</v>
      </c>
      <c r="B13384" s="65"/>
    </row>
    <row r="13385" spans="1:2" x14ac:dyDescent="0.25">
      <c r="A13385" s="64" t="str">
        <f>HYPERLINK("http://www.twitter.com/JennyErinRowe", "JennyErinRowe")</f>
        <v>JennyErinRowe</v>
      </c>
      <c r="B13385" s="65" t="s">
        <v>7997</v>
      </c>
    </row>
    <row r="13386" spans="1:2" x14ac:dyDescent="0.25">
      <c r="A13386" s="64" t="str">
        <f>HYPERLINK("http://www.twitter.com/lizzietweeter", "lizzietweeter")</f>
        <v>lizzietweeter</v>
      </c>
      <c r="B13386" s="65" t="s">
        <v>36</v>
      </c>
    </row>
    <row r="13387" spans="1:2" x14ac:dyDescent="0.25">
      <c r="A13387" s="64" t="str">
        <f>HYPERLINK("http://www.twitter.com/librarysarie", "librarysarie")</f>
        <v>librarysarie</v>
      </c>
      <c r="B13387" s="65" t="s">
        <v>4110</v>
      </c>
    </row>
    <row r="13388" spans="1:2" x14ac:dyDescent="0.25">
      <c r="A13388" s="64" t="str">
        <f>HYPERLINK("http://www.twitter.com/GaryCharlesP", "GaryCharlesP")</f>
        <v>GaryCharlesP</v>
      </c>
      <c r="B13388" s="65" t="s">
        <v>44</v>
      </c>
    </row>
    <row r="13389" spans="1:2" x14ac:dyDescent="0.25">
      <c r="A13389" s="64" t="str">
        <f>HYPERLINK("http://www.twitter.com/foulups", "foulups")</f>
        <v>foulups</v>
      </c>
      <c r="B13389" s="65"/>
    </row>
    <row r="13390" spans="1:2" x14ac:dyDescent="0.25">
      <c r="A13390" s="64" t="str">
        <f>HYPERLINK("http://www.twitter.com/kristikitch", "kristikitch")</f>
        <v>kristikitch</v>
      </c>
      <c r="B13390" s="65" t="s">
        <v>7998</v>
      </c>
    </row>
    <row r="13391" spans="1:2" x14ac:dyDescent="0.25">
      <c r="A13391" s="64" t="str">
        <f>HYPERLINK("http://www.twitter.com/LulaFlann", "LulaFlann")</f>
        <v>LulaFlann</v>
      </c>
      <c r="B13391" s="65" t="s">
        <v>7809</v>
      </c>
    </row>
    <row r="13392" spans="1:2" x14ac:dyDescent="0.25">
      <c r="A13392" s="64" t="str">
        <f>HYPERLINK("http://www.twitter.com/MelissaCano", "MelissaCano")</f>
        <v>MelissaCano</v>
      </c>
      <c r="B13392" s="65"/>
    </row>
    <row r="13393" spans="1:2" x14ac:dyDescent="0.25">
      <c r="A13393" s="64" t="str">
        <f>HYPERLINK("http://www.twitter.com/lenabees6", "lenabees6")</f>
        <v>lenabees6</v>
      </c>
      <c r="B13393" s="65" t="s">
        <v>514</v>
      </c>
    </row>
    <row r="13394" spans="1:2" x14ac:dyDescent="0.25">
      <c r="A13394" s="64" t="str">
        <f>HYPERLINK("http://www.twitter.com/littlenell75", "littlenell75")</f>
        <v>littlenell75</v>
      </c>
      <c r="B13394" s="65" t="s">
        <v>7999</v>
      </c>
    </row>
    <row r="13395" spans="1:2" x14ac:dyDescent="0.25">
      <c r="A13395" s="64" t="str">
        <f>HYPERLINK("http://www.twitter.com/SusanPearson50", "SusanPearson50")</f>
        <v>SusanPearson50</v>
      </c>
      <c r="B13395" s="65"/>
    </row>
    <row r="13396" spans="1:2" x14ac:dyDescent="0.25">
      <c r="A13396" s="64" t="str">
        <f>HYPERLINK("http://www.twitter.com/scott_pactor", "scott_pactor")</f>
        <v>scott_pactor</v>
      </c>
      <c r="B13396" s="65"/>
    </row>
    <row r="13397" spans="1:2" x14ac:dyDescent="0.25">
      <c r="A13397" s="64" t="str">
        <f>HYPERLINK("http://www.twitter.com/JoMarjoribanks", "JoMarjoribanks")</f>
        <v>JoMarjoribanks</v>
      </c>
      <c r="B13397" s="65"/>
    </row>
    <row r="13398" spans="1:2" x14ac:dyDescent="0.25">
      <c r="A13398" s="64" t="str">
        <f>HYPERLINK("http://www.twitter.com/sophieaharring1", "sophieaharring1")</f>
        <v>sophieaharring1</v>
      </c>
      <c r="B13398" s="65" t="s">
        <v>2792</v>
      </c>
    </row>
    <row r="13399" spans="1:2" x14ac:dyDescent="0.25">
      <c r="A13399" s="64" t="str">
        <f>HYPERLINK("http://www.twitter.com/bambino187", "bambino187")</f>
        <v>bambino187</v>
      </c>
      <c r="B13399" s="65" t="s">
        <v>514</v>
      </c>
    </row>
    <row r="13400" spans="1:2" x14ac:dyDescent="0.25">
      <c r="A13400" s="64" t="str">
        <f>HYPERLINK("http://www.twitter.com/appetitestoke", "appetitestoke")</f>
        <v>appetitestoke</v>
      </c>
      <c r="B13400" s="65" t="s">
        <v>6260</v>
      </c>
    </row>
    <row r="13401" spans="1:2" x14ac:dyDescent="0.25">
      <c r="A13401" s="64" t="str">
        <f>HYPERLINK("http://www.twitter.com/klavier", "klavier")</f>
        <v>klavier</v>
      </c>
      <c r="B13401" s="65" t="s">
        <v>110</v>
      </c>
    </row>
    <row r="13402" spans="1:2" x14ac:dyDescent="0.25">
      <c r="A13402" s="64" t="str">
        <f>HYPERLINK("http://www.twitter.com/Rose01", "Rose01")</f>
        <v>Rose01</v>
      </c>
      <c r="B13402" s="65" t="s">
        <v>36</v>
      </c>
    </row>
    <row r="13403" spans="1:2" x14ac:dyDescent="0.25">
      <c r="A13403" s="64" t="str">
        <f>HYPERLINK("http://www.twitter.com/mrspaulaharris", "mrspaulaharris")</f>
        <v>mrspaulaharris</v>
      </c>
      <c r="B13403" s="65"/>
    </row>
    <row r="13404" spans="1:2" x14ac:dyDescent="0.25">
      <c r="A13404" s="64" t="str">
        <f>HYPERLINK("http://www.twitter.com/BonzaiLorentzon", "BonzaiLorentzon")</f>
        <v>BonzaiLorentzon</v>
      </c>
      <c r="B13404" s="65"/>
    </row>
    <row r="13405" spans="1:2" x14ac:dyDescent="0.25">
      <c r="A13405" s="64" t="str">
        <f>HYPERLINK("http://www.twitter.com/DarrenCarverB", "DarrenCarverB")</f>
        <v>DarrenCarverB</v>
      </c>
      <c r="B13405" s="65"/>
    </row>
    <row r="13406" spans="1:2" x14ac:dyDescent="0.25">
      <c r="A13406" s="64" t="str">
        <f>HYPERLINK("http://www.twitter.com/RedStarParcels", "RedStarParcels")</f>
        <v>RedStarParcels</v>
      </c>
      <c r="B13406" s="65" t="s">
        <v>318</v>
      </c>
    </row>
    <row r="13407" spans="1:2" x14ac:dyDescent="0.25">
      <c r="A13407" s="64" t="str">
        <f>HYPERLINK("http://www.twitter.com/Sgwarnog9394", "Sgwarnog9394")</f>
        <v>Sgwarnog9394</v>
      </c>
      <c r="B13407" s="65" t="s">
        <v>4963</v>
      </c>
    </row>
    <row r="13408" spans="1:2" x14ac:dyDescent="0.25">
      <c r="A13408" s="64" t="str">
        <f>HYPERLINK("http://www.twitter.com/lemonadesprings", "lemonadesprings")</f>
        <v>lemonadesprings</v>
      </c>
      <c r="B13408" s="65"/>
    </row>
    <row r="13409" spans="1:2" x14ac:dyDescent="0.25">
      <c r="A13409" s="64" t="str">
        <f>HYPERLINK("http://www.twitter.com/DenizBevan", "DenizBevan")</f>
        <v>DenizBevan</v>
      </c>
      <c r="B13409" s="65"/>
    </row>
    <row r="13410" spans="1:2" x14ac:dyDescent="0.25">
      <c r="A13410" s="64" t="str">
        <f>HYPERLINK("http://www.twitter.com/strontiumtom", "strontiumtom")</f>
        <v>strontiumtom</v>
      </c>
      <c r="B13410" s="65" t="s">
        <v>2805</v>
      </c>
    </row>
    <row r="13411" spans="1:2" x14ac:dyDescent="0.25">
      <c r="A13411" s="64" t="str">
        <f>HYPERLINK("http://www.twitter.com/liamium", "liamium")</f>
        <v>liamium</v>
      </c>
      <c r="B13411" s="65" t="s">
        <v>8000</v>
      </c>
    </row>
    <row r="13412" spans="1:2" x14ac:dyDescent="0.25">
      <c r="A13412" s="64" t="str">
        <f>HYPERLINK("http://www.twitter.com/karen060805", "karen060805")</f>
        <v>karen060805</v>
      </c>
      <c r="B13412" s="65"/>
    </row>
    <row r="13413" spans="1:2" x14ac:dyDescent="0.25">
      <c r="A13413" s="64" t="str">
        <f>HYPERLINK("http://www.twitter.com/DonnaClark7", "DonnaClark7")</f>
        <v>DonnaClark7</v>
      </c>
      <c r="B13413" s="65" t="s">
        <v>4632</v>
      </c>
    </row>
    <row r="13414" spans="1:2" x14ac:dyDescent="0.25">
      <c r="A13414" s="64" t="str">
        <f>HYPERLINK("http://www.twitter.com/USATMoore", "USATMoore")</f>
        <v>USATMoore</v>
      </c>
      <c r="B13414" s="65" t="s">
        <v>8001</v>
      </c>
    </row>
    <row r="13415" spans="1:2" x14ac:dyDescent="0.25">
      <c r="A13415" s="64" t="str">
        <f>HYPERLINK("http://www.twitter.com/elizabethjkay", "elizabethjkay")</f>
        <v>elizabethjkay</v>
      </c>
      <c r="B13415" s="65"/>
    </row>
    <row r="13416" spans="1:2" x14ac:dyDescent="0.25">
      <c r="A13416" s="64" t="str">
        <f>HYPERLINK("http://www.twitter.com/alylamond", "alylamond")</f>
        <v>alylamond</v>
      </c>
      <c r="B13416" s="65"/>
    </row>
    <row r="13417" spans="1:2" x14ac:dyDescent="0.25">
      <c r="A13417" s="64" t="str">
        <f>HYPERLINK("http://www.twitter.com/sharkcaz", "sharkcaz")</f>
        <v>sharkcaz</v>
      </c>
      <c r="B13417" s="65" t="s">
        <v>517</v>
      </c>
    </row>
    <row r="13418" spans="1:2" x14ac:dyDescent="0.25">
      <c r="A13418" s="64" t="str">
        <f>HYPERLINK("http://www.twitter.com/nurdgrrl", "nurdgrrl")</f>
        <v>nurdgrrl</v>
      </c>
      <c r="B13418" s="65" t="s">
        <v>4587</v>
      </c>
    </row>
    <row r="13419" spans="1:2" x14ac:dyDescent="0.25">
      <c r="A13419" s="64" t="str">
        <f>HYPERLINK("http://www.twitter.com/agutshall2", "agutshall2")</f>
        <v>agutshall2</v>
      </c>
      <c r="B13419" s="65"/>
    </row>
    <row r="13420" spans="1:2" x14ac:dyDescent="0.25">
      <c r="A13420" s="64" t="str">
        <f>HYPERLINK("http://www.twitter.com/fredelliot", "fredelliot")</f>
        <v>fredelliot</v>
      </c>
      <c r="B13420" s="65" t="s">
        <v>8002</v>
      </c>
    </row>
    <row r="13421" spans="1:2" x14ac:dyDescent="0.25">
      <c r="A13421" s="64" t="str">
        <f>HYPERLINK("http://www.twitter.com/wealthwords", "wealthwords")</f>
        <v>wealthwords</v>
      </c>
      <c r="B13421" s="65"/>
    </row>
    <row r="13422" spans="1:2" x14ac:dyDescent="0.25">
      <c r="A13422" s="64" t="str">
        <f>HYPERLINK("http://www.twitter.com/Pennymidge", "Pennymidge")</f>
        <v>Pennymidge</v>
      </c>
      <c r="B13422" s="65"/>
    </row>
    <row r="13423" spans="1:2" x14ac:dyDescent="0.25">
      <c r="A13423" s="64" t="str">
        <f>HYPERLINK("http://www.twitter.com/HarburyLibrary", "HarburyLibrary")</f>
        <v>HarburyLibrary</v>
      </c>
      <c r="B13423" s="65" t="s">
        <v>2253</v>
      </c>
    </row>
    <row r="13424" spans="1:2" x14ac:dyDescent="0.25">
      <c r="A13424" s="64" t="str">
        <f>HYPERLINK("http://www.twitter.com/Jennyisginger", "Jennyisginger")</f>
        <v>Jennyisginger</v>
      </c>
      <c r="B13424" s="65" t="s">
        <v>8003</v>
      </c>
    </row>
    <row r="13425" spans="1:2" x14ac:dyDescent="0.25">
      <c r="A13425" s="64" t="str">
        <f>HYPERLINK("http://www.twitter.com/Bestmanswife", "Bestmanswife")</f>
        <v>Bestmanswife</v>
      </c>
      <c r="B13425" s="65"/>
    </row>
    <row r="13426" spans="1:2" x14ac:dyDescent="0.25">
      <c r="A13426" s="64" t="str">
        <f>HYPERLINK("http://www.twitter.com/c_crampton", "c_crampton")</f>
        <v>c_crampton</v>
      </c>
      <c r="B13426" s="65"/>
    </row>
    <row r="13427" spans="1:2" x14ac:dyDescent="0.25">
      <c r="A13427" s="64" t="str">
        <f>HYPERLINK("http://www.twitter.com/neeqskhan", "neeqskhan")</f>
        <v>neeqskhan</v>
      </c>
      <c r="B13427" s="65"/>
    </row>
    <row r="13428" spans="1:2" x14ac:dyDescent="0.25">
      <c r="A13428" s="64" t="str">
        <f>HYPERLINK("http://www.twitter.com/LibrariannB", "LibrariannB")</f>
        <v>LibrariannB</v>
      </c>
      <c r="B13428" s="65" t="s">
        <v>110</v>
      </c>
    </row>
    <row r="13429" spans="1:2" x14ac:dyDescent="0.25">
      <c r="A13429" s="64" t="str">
        <f>HYPERLINK("http://www.twitter.com/GemmaMcCullough", "GemmaMcCullough")</f>
        <v>GemmaMcCullough</v>
      </c>
      <c r="B13429" s="65" t="s">
        <v>8004</v>
      </c>
    </row>
    <row r="13430" spans="1:2" x14ac:dyDescent="0.25">
      <c r="A13430" s="64" t="str">
        <f>HYPERLINK("http://www.twitter.com/Spauldingca", "Spauldingca")</f>
        <v>Spauldingca</v>
      </c>
      <c r="B13430" s="65"/>
    </row>
    <row r="13431" spans="1:2" x14ac:dyDescent="0.25">
      <c r="A13431" s="64" t="str">
        <f>HYPERLINK("http://www.twitter.com/popvoid", "popvoid")</f>
        <v>popvoid</v>
      </c>
      <c r="B13431" s="65" t="s">
        <v>7373</v>
      </c>
    </row>
    <row r="13432" spans="1:2" x14ac:dyDescent="0.25">
      <c r="A13432" s="64" t="str">
        <f>HYPERLINK("http://www.twitter.com/franklinwatts", "franklinwatts")</f>
        <v>franklinwatts</v>
      </c>
      <c r="B13432" s="65" t="s">
        <v>110</v>
      </c>
    </row>
    <row r="13433" spans="1:2" x14ac:dyDescent="0.25">
      <c r="A13433" s="64" t="str">
        <f>HYPERLINK("http://www.twitter.com/CaitLomas", "CaitLomas")</f>
        <v>CaitLomas</v>
      </c>
      <c r="B13433" s="65" t="s">
        <v>33</v>
      </c>
    </row>
    <row r="13434" spans="1:2" x14ac:dyDescent="0.25">
      <c r="A13434" s="64" t="str">
        <f>HYPERLINK("http://www.twitter.com/michellerow", "michellerow")</f>
        <v>michellerow</v>
      </c>
      <c r="B13434" s="65" t="s">
        <v>7059</v>
      </c>
    </row>
    <row r="13435" spans="1:2" x14ac:dyDescent="0.25">
      <c r="A13435" s="64" t="str">
        <f>HYPERLINK("http://www.twitter.com/stuartingham45", "stuartingham45")</f>
        <v>stuartingham45</v>
      </c>
      <c r="B13435" s="65" t="s">
        <v>3040</v>
      </c>
    </row>
    <row r="13436" spans="1:2" x14ac:dyDescent="0.25">
      <c r="A13436" s="64" t="str">
        <f>HYPERLINK("http://www.twitter.com/jtjbooth", "jtjbooth")</f>
        <v>jtjbooth</v>
      </c>
      <c r="B13436" s="65" t="s">
        <v>122</v>
      </c>
    </row>
    <row r="13437" spans="1:2" x14ac:dyDescent="0.25">
      <c r="A13437" s="64" t="str">
        <f>HYPERLINK("http://www.twitter.com/tomskelton_", "tomskelton_")</f>
        <v>tomskelton_</v>
      </c>
      <c r="B13437" s="65" t="s">
        <v>808</v>
      </c>
    </row>
    <row r="13438" spans="1:2" x14ac:dyDescent="0.25">
      <c r="A13438" s="64" t="str">
        <f>HYPERLINK("http://www.twitter.com/KristinMay13", "KristinMay13")</f>
        <v>KristinMay13</v>
      </c>
      <c r="B13438" s="65" t="s">
        <v>5678</v>
      </c>
    </row>
    <row r="13439" spans="1:2" x14ac:dyDescent="0.25">
      <c r="A13439" s="64" t="str">
        <f>HYPERLINK("http://www.twitter.com/H_Burls", "H_Burls")</f>
        <v>H_Burls</v>
      </c>
      <c r="B13439" s="65" t="s">
        <v>36</v>
      </c>
    </row>
    <row r="13440" spans="1:2" x14ac:dyDescent="0.25">
      <c r="A13440" s="64" t="str">
        <f>HYPERLINK("http://www.twitter.com/BeautifulBlues1", "BeautifulBlues1")</f>
        <v>BeautifulBlues1</v>
      </c>
      <c r="B13440" s="65" t="s">
        <v>8005</v>
      </c>
    </row>
    <row r="13441" spans="1:2" x14ac:dyDescent="0.25">
      <c r="A13441" s="64" t="str">
        <f>HYPERLINK("http://www.twitter.com/EliseMacAdam", "EliseMacAdam")</f>
        <v>EliseMacAdam</v>
      </c>
      <c r="B13441" s="65"/>
    </row>
    <row r="13442" spans="1:2" x14ac:dyDescent="0.25">
      <c r="A13442" s="64" t="str">
        <f>HYPERLINK("http://www.twitter.com/malastewart", "malastewart")</f>
        <v>malastewart</v>
      </c>
      <c r="B13442" s="65" t="s">
        <v>138</v>
      </c>
    </row>
    <row r="13443" spans="1:2" x14ac:dyDescent="0.25">
      <c r="A13443" s="64" t="str">
        <f>HYPERLINK("http://www.twitter.com/jo_tiddy", "jo_tiddy")</f>
        <v>jo_tiddy</v>
      </c>
      <c r="B13443" s="65"/>
    </row>
    <row r="13444" spans="1:2" x14ac:dyDescent="0.25">
      <c r="A13444" s="64" t="str">
        <f>HYPERLINK("http://www.twitter.com/ErikaDelbecque", "ErikaDelbecque")</f>
        <v>ErikaDelbecque</v>
      </c>
      <c r="B13444" s="65" t="s">
        <v>505</v>
      </c>
    </row>
    <row r="13445" spans="1:2" x14ac:dyDescent="0.25">
      <c r="A13445" s="64" t="str">
        <f>HYPERLINK("http://www.twitter.com/BriKen77", "BriKen77")</f>
        <v>BriKen77</v>
      </c>
      <c r="B13445" s="65" t="s">
        <v>3532</v>
      </c>
    </row>
    <row r="13446" spans="1:2" x14ac:dyDescent="0.25">
      <c r="A13446" s="64" t="str">
        <f>HYPERLINK("http://www.twitter.com/jimslimhart", "jimslimhart")</f>
        <v>jimslimhart</v>
      </c>
      <c r="B13446" s="65" t="s">
        <v>8006</v>
      </c>
    </row>
    <row r="13447" spans="1:2" x14ac:dyDescent="0.25">
      <c r="A13447" s="64" t="str">
        <f>HYPERLINK("http://www.twitter.com/OhLizNo", "OhLizNo")</f>
        <v>OhLizNo</v>
      </c>
      <c r="B13447" s="65" t="s">
        <v>7721</v>
      </c>
    </row>
    <row r="13448" spans="1:2" x14ac:dyDescent="0.25">
      <c r="A13448" s="64" t="str">
        <f>HYPERLINK("http://www.twitter.com/Kirsty3", "Kirsty3")</f>
        <v>Kirsty3</v>
      </c>
      <c r="B13448" s="65"/>
    </row>
    <row r="13449" spans="1:2" x14ac:dyDescent="0.25">
      <c r="A13449" s="64" t="str">
        <f>HYPERLINK("http://www.twitter.com/IndyMichael_G", "IndyMichael_G")</f>
        <v>IndyMichael_G</v>
      </c>
      <c r="B13449" s="65" t="s">
        <v>8007</v>
      </c>
    </row>
    <row r="13450" spans="1:2" x14ac:dyDescent="0.25">
      <c r="A13450" s="64" t="str">
        <f>HYPERLINK("http://www.twitter.com/il_cagnaccio", "il_cagnaccio")</f>
        <v>il_cagnaccio</v>
      </c>
      <c r="B13450" s="65" t="s">
        <v>8008</v>
      </c>
    </row>
    <row r="13451" spans="1:2" x14ac:dyDescent="0.25">
      <c r="A13451" s="64" t="str">
        <f>HYPERLINK("http://www.twitter.com/fiachail", "fiachail")</f>
        <v>fiachail</v>
      </c>
      <c r="B13451" s="65"/>
    </row>
    <row r="13452" spans="1:2" x14ac:dyDescent="0.25">
      <c r="A13452" s="64" t="str">
        <f>HYPERLINK("http://www.twitter.com/swilliams_notts", "swilliams_notts")</f>
        <v>swilliams_notts</v>
      </c>
      <c r="B13452" s="65" t="s">
        <v>2592</v>
      </c>
    </row>
    <row r="13453" spans="1:2" x14ac:dyDescent="0.25">
      <c r="A13453" s="64" t="str">
        <f>HYPERLINK("http://www.twitter.com/mhoogkamer", "mhoogkamer")</f>
        <v>mhoogkamer</v>
      </c>
      <c r="B13453" s="65" t="s">
        <v>8009</v>
      </c>
    </row>
    <row r="13454" spans="1:2" x14ac:dyDescent="0.25">
      <c r="A13454" s="64" t="str">
        <f>HYPERLINK("http://www.twitter.com/arriabelli", "arriabelli")</f>
        <v>arriabelli</v>
      </c>
      <c r="B13454" s="65" t="s">
        <v>4015</v>
      </c>
    </row>
    <row r="13455" spans="1:2" x14ac:dyDescent="0.25">
      <c r="A13455" s="64" t="str">
        <f>HYPERLINK("http://www.twitter.com/alicemayw_", "alicemayw_")</f>
        <v>alicemayw_</v>
      </c>
      <c r="B13455" s="65" t="s">
        <v>8010</v>
      </c>
    </row>
    <row r="13456" spans="1:2" x14ac:dyDescent="0.25">
      <c r="A13456" s="64" t="str">
        <f>HYPERLINK("http://www.twitter.com/c_dewhirst", "c_dewhirst")</f>
        <v>c_dewhirst</v>
      </c>
      <c r="B13456" s="65" t="s">
        <v>135</v>
      </c>
    </row>
    <row r="13457" spans="1:2" x14ac:dyDescent="0.25">
      <c r="A13457" s="64" t="str">
        <f>HYPERLINK("http://www.twitter.com/WendyStelzmann", "WendyStelzmann")</f>
        <v>WendyStelzmann</v>
      </c>
      <c r="B13457" s="65" t="s">
        <v>4098</v>
      </c>
    </row>
    <row r="13458" spans="1:2" x14ac:dyDescent="0.25">
      <c r="A13458" s="64" t="str">
        <f>HYPERLINK("http://www.twitter.com/grahamaigrant", "grahamaigrant")</f>
        <v>grahamaigrant</v>
      </c>
      <c r="B13458" s="65" t="s">
        <v>8011</v>
      </c>
    </row>
    <row r="13459" spans="1:2" x14ac:dyDescent="0.25">
      <c r="A13459" s="64" t="str">
        <f>HYPERLINK("http://www.twitter.com/buffocat", "buffocat")</f>
        <v>buffocat</v>
      </c>
      <c r="B13459" s="65"/>
    </row>
    <row r="13460" spans="1:2" x14ac:dyDescent="0.25">
      <c r="A13460" s="64" t="str">
        <f>HYPERLINK("http://www.twitter.com/CatFarrer", "CatFarrer")</f>
        <v>CatFarrer</v>
      </c>
      <c r="B13460" s="65" t="s">
        <v>8012</v>
      </c>
    </row>
    <row r="13461" spans="1:2" x14ac:dyDescent="0.25">
      <c r="A13461" s="64" t="str">
        <f>HYPERLINK("http://www.twitter.com/redjenjen", "redjenjen")</f>
        <v>redjenjen</v>
      </c>
      <c r="B13461" s="65" t="s">
        <v>8013</v>
      </c>
    </row>
    <row r="13462" spans="1:2" x14ac:dyDescent="0.25">
      <c r="A13462" s="64" t="str">
        <f>HYPERLINK("http://www.twitter.com/JensGunther", "JensGunther")</f>
        <v>JensGunther</v>
      </c>
      <c r="B13462" s="65"/>
    </row>
    <row r="13463" spans="1:2" x14ac:dyDescent="0.25">
      <c r="A13463" s="64" t="str">
        <f>HYPERLINK("http://www.twitter.com/Tucker5law", "Tucker5law")</f>
        <v>Tucker5law</v>
      </c>
      <c r="B13463" s="65" t="s">
        <v>318</v>
      </c>
    </row>
    <row r="13464" spans="1:2" x14ac:dyDescent="0.25">
      <c r="A13464" s="64" t="str">
        <f>HYPERLINK("http://www.twitter.com/katalinabridget", "katalinabridget")</f>
        <v>katalinabridget</v>
      </c>
      <c r="B13464" s="65" t="s">
        <v>8014</v>
      </c>
    </row>
    <row r="13465" spans="1:2" x14ac:dyDescent="0.25">
      <c r="A13465" s="64" t="str">
        <f>HYPERLINK("http://www.twitter.com/silversongtree", "silversongtree")</f>
        <v>silversongtree</v>
      </c>
      <c r="B13465" s="65" t="s">
        <v>1765</v>
      </c>
    </row>
    <row r="13466" spans="1:2" x14ac:dyDescent="0.25">
      <c r="A13466" s="64" t="str">
        <f>HYPERLINK("http://www.twitter.com/itsmurfy", "itsmurfy")</f>
        <v>itsmurfy</v>
      </c>
      <c r="B13466" s="65"/>
    </row>
    <row r="13467" spans="1:2" x14ac:dyDescent="0.25">
      <c r="A13467" s="64" t="str">
        <f>HYPERLINK("http://www.twitter.com/TheGiantToad", "TheGiantToad")</f>
        <v>TheGiantToad</v>
      </c>
      <c r="B13467" s="65" t="s">
        <v>8015</v>
      </c>
    </row>
    <row r="13468" spans="1:2" x14ac:dyDescent="0.25">
      <c r="A13468" s="64" t="str">
        <f>HYPERLINK("http://www.twitter.com/EveT_PhoneHome", "EveT_PhoneHome")</f>
        <v>EveT_PhoneHome</v>
      </c>
      <c r="B13468" s="65"/>
    </row>
    <row r="13469" spans="1:2" x14ac:dyDescent="0.25">
      <c r="A13469" s="64" t="str">
        <f>HYPERLINK("http://www.twitter.com/AlbanBooks", "AlbanBooks")</f>
        <v>AlbanBooks</v>
      </c>
      <c r="B13469" s="65" t="s">
        <v>8016</v>
      </c>
    </row>
    <row r="13470" spans="1:2" x14ac:dyDescent="0.25">
      <c r="A13470" s="64" t="str">
        <f>HYPERLINK("http://www.twitter.com/FoxSpiritBooks", "FoxSpiritBooks")</f>
        <v>FoxSpiritBooks</v>
      </c>
      <c r="B13470" s="65" t="s">
        <v>8017</v>
      </c>
    </row>
    <row r="13471" spans="1:2" x14ac:dyDescent="0.25">
      <c r="A13471" s="64" t="str">
        <f>HYPERLINK("http://www.twitter.com/BirkbeckLibrary", "BirkbeckLibrary")</f>
        <v>BirkbeckLibrary</v>
      </c>
      <c r="B13471" s="65" t="s">
        <v>276</v>
      </c>
    </row>
    <row r="13472" spans="1:2" x14ac:dyDescent="0.25">
      <c r="A13472" s="64" t="str">
        <f>HYPERLINK("http://www.twitter.com/__hannahblack", "__hannahblack")</f>
        <v>__hannahblack</v>
      </c>
      <c r="B13472" s="65" t="s">
        <v>8018</v>
      </c>
    </row>
    <row r="13473" spans="1:2" x14ac:dyDescent="0.25">
      <c r="A13473" s="64" t="str">
        <f>HYPERLINK("http://www.twitter.com/frankenedward", "frankenedward")</f>
        <v>frankenedward</v>
      </c>
      <c r="B13473" s="65" t="s">
        <v>808</v>
      </c>
    </row>
    <row r="13474" spans="1:2" x14ac:dyDescent="0.25">
      <c r="A13474" s="64" t="str">
        <f>HYPERLINK("http://www.twitter.com/kmarch67", "kmarch67")</f>
        <v>kmarch67</v>
      </c>
      <c r="B13474" s="65" t="s">
        <v>5254</v>
      </c>
    </row>
    <row r="13475" spans="1:2" x14ac:dyDescent="0.25">
      <c r="A13475" s="64" t="str">
        <f>HYPERLINK("http://www.twitter.com/bigchriselmer", "bigchriselmer")</f>
        <v>bigchriselmer</v>
      </c>
      <c r="B13475" s="65" t="s">
        <v>8019</v>
      </c>
    </row>
    <row r="13476" spans="1:2" x14ac:dyDescent="0.25">
      <c r="A13476" s="64" t="str">
        <f>HYPERLINK("http://www.twitter.com/hannahgeditor", "hannahgeditor")</f>
        <v>hannahgeditor</v>
      </c>
      <c r="B13476" s="65" t="s">
        <v>7006</v>
      </c>
    </row>
    <row r="13477" spans="1:2" x14ac:dyDescent="0.25">
      <c r="A13477" s="64" t="str">
        <f>HYPERLINK("http://www.twitter.com/HanDearie", "HanDearie")</f>
        <v>HanDearie</v>
      </c>
      <c r="B13477" s="65"/>
    </row>
    <row r="13478" spans="1:2" x14ac:dyDescent="0.25">
      <c r="A13478" s="64" t="str">
        <f>HYPERLINK("http://www.twitter.com/TheJoMurphy", "TheJoMurphy")</f>
        <v>TheJoMurphy</v>
      </c>
      <c r="B13478" s="65" t="s">
        <v>4289</v>
      </c>
    </row>
    <row r="13479" spans="1:2" x14ac:dyDescent="0.25">
      <c r="A13479" s="64" t="str">
        <f>HYPERLINK("http://www.twitter.com/TheGullsNest", "TheGullsNest")</f>
        <v>TheGullsNest</v>
      </c>
      <c r="B13479" s="65"/>
    </row>
    <row r="13480" spans="1:2" x14ac:dyDescent="0.25">
      <c r="A13480" s="64" t="str">
        <f>HYPERLINK("http://www.twitter.com/CK1065", "CK1065")</f>
        <v>CK1065</v>
      </c>
      <c r="B13480" s="65" t="s">
        <v>8020</v>
      </c>
    </row>
    <row r="13481" spans="1:2" x14ac:dyDescent="0.25">
      <c r="A13481" s="64" t="str">
        <f>HYPERLINK("http://www.twitter.com/lovemybooksUK", "lovemybooksUK")</f>
        <v>lovemybooksUK</v>
      </c>
      <c r="B13481" s="65"/>
    </row>
    <row r="13482" spans="1:2" x14ac:dyDescent="0.25">
      <c r="A13482" s="64" t="str">
        <f>HYPERLINK("http://www.twitter.com/OskarAAvery", "OskarAAvery")</f>
        <v>OskarAAvery</v>
      </c>
      <c r="B13482" s="65"/>
    </row>
    <row r="13483" spans="1:2" x14ac:dyDescent="0.25">
      <c r="A13483" s="64" t="str">
        <f>HYPERLINK("http://www.twitter.com/naomehh", "naomehh")</f>
        <v>naomehh</v>
      </c>
      <c r="B13483" s="65"/>
    </row>
    <row r="13484" spans="1:2" x14ac:dyDescent="0.25">
      <c r="A13484" s="64" t="str">
        <f>HYPERLINK("http://www.twitter.com/MetroRodOxford", "MetroRodOxford")</f>
        <v>MetroRodOxford</v>
      </c>
      <c r="B13484" s="65" t="s">
        <v>8021</v>
      </c>
    </row>
    <row r="13485" spans="1:2" x14ac:dyDescent="0.25">
      <c r="A13485" s="64" t="str">
        <f>HYPERLINK("http://www.twitter.com/russ_clegg", "russ_clegg")</f>
        <v>russ_clegg</v>
      </c>
      <c r="B13485" s="65"/>
    </row>
    <row r="13486" spans="1:2" x14ac:dyDescent="0.25">
      <c r="A13486" s="64" t="str">
        <f>HYPERLINK("http://www.twitter.com/annabel_faith", "annabel_faith")</f>
        <v>annabel_faith</v>
      </c>
      <c r="B13486" s="65" t="s">
        <v>8022</v>
      </c>
    </row>
    <row r="13487" spans="1:2" x14ac:dyDescent="0.25">
      <c r="A13487" s="64" t="str">
        <f>HYPERLINK("http://www.twitter.com/macieklew", "macieklew")</f>
        <v>macieklew</v>
      </c>
      <c r="B13487" s="65" t="s">
        <v>232</v>
      </c>
    </row>
    <row r="13488" spans="1:2" x14ac:dyDescent="0.25">
      <c r="A13488" s="64" t="str">
        <f>HYPERLINK("http://www.twitter.com/CoyneMichaelj", "CoyneMichaelj")</f>
        <v>CoyneMichaelj</v>
      </c>
      <c r="B13488" s="65"/>
    </row>
    <row r="13489" spans="1:2" x14ac:dyDescent="0.25">
      <c r="A13489" s="64" t="str">
        <f>HYPERLINK("http://www.twitter.com/NatalieAdcock", "NatalieAdcock")</f>
        <v>NatalieAdcock</v>
      </c>
      <c r="B13489" s="65" t="s">
        <v>926</v>
      </c>
    </row>
    <row r="13490" spans="1:2" x14ac:dyDescent="0.25">
      <c r="A13490" s="64" t="str">
        <f>HYPERLINK("http://www.twitter.com/fatimaldh", "fatimaldh")</f>
        <v>fatimaldh</v>
      </c>
      <c r="B13490" s="65"/>
    </row>
    <row r="13491" spans="1:2" x14ac:dyDescent="0.25">
      <c r="A13491" s="64" t="str">
        <f>HYPERLINK("http://www.twitter.com/STVhalla", "STVhalla")</f>
        <v>STVhalla</v>
      </c>
      <c r="B13491" s="65" t="s">
        <v>318</v>
      </c>
    </row>
    <row r="13492" spans="1:2" x14ac:dyDescent="0.25">
      <c r="A13492" s="64" t="str">
        <f>HYPERLINK("http://www.twitter.com/floramalein", "floramalein")</f>
        <v>floramalein</v>
      </c>
      <c r="B13492" s="65" t="s">
        <v>36</v>
      </c>
    </row>
    <row r="13493" spans="1:2" x14ac:dyDescent="0.25">
      <c r="A13493" s="64" t="str">
        <f>HYPERLINK("http://www.twitter.com/pageman", "pageman")</f>
        <v>pageman</v>
      </c>
      <c r="B13493" s="65" t="s">
        <v>8023</v>
      </c>
    </row>
    <row r="13494" spans="1:2" x14ac:dyDescent="0.25">
      <c r="A13494" s="64" t="str">
        <f>HYPERLINK("http://www.twitter.com/helenalv15", "helenalv15")</f>
        <v>helenalv15</v>
      </c>
      <c r="B13494" s="65" t="s">
        <v>8024</v>
      </c>
    </row>
    <row r="13495" spans="1:2" x14ac:dyDescent="0.25">
      <c r="A13495" s="64" t="str">
        <f>HYPERLINK("http://www.twitter.com/QuestechAuto", "QuestechAuto")</f>
        <v>QuestechAuto</v>
      </c>
      <c r="B13495" s="65" t="s">
        <v>3512</v>
      </c>
    </row>
    <row r="13496" spans="1:2" x14ac:dyDescent="0.25">
      <c r="A13496" s="64" t="str">
        <f>HYPERLINK("http://www.twitter.com/VitaleMarianne", "VitaleMarianne")</f>
        <v>VitaleMarianne</v>
      </c>
      <c r="B13496" s="65" t="s">
        <v>6853</v>
      </c>
    </row>
    <row r="13497" spans="1:2" x14ac:dyDescent="0.25">
      <c r="A13497" s="64" t="str">
        <f>HYPERLINK("http://www.twitter.com/xtreemneo", "xtreemneo")</f>
        <v>xtreemneo</v>
      </c>
      <c r="B13497" s="65" t="s">
        <v>36</v>
      </c>
    </row>
    <row r="13498" spans="1:2" x14ac:dyDescent="0.25">
      <c r="A13498" s="64" t="str">
        <f>HYPERLINK("http://www.twitter.com/SamuelRobsonFA", "SamuelRobsonFA")</f>
        <v>SamuelRobsonFA</v>
      </c>
      <c r="B13498" s="65" t="s">
        <v>8025</v>
      </c>
    </row>
    <row r="13499" spans="1:2" x14ac:dyDescent="0.25">
      <c r="A13499" s="64" t="str">
        <f>HYPERLINK("http://www.twitter.com/librarian_roy", "librarian_roy")</f>
        <v>librarian_roy</v>
      </c>
      <c r="B13499" s="65" t="s">
        <v>4286</v>
      </c>
    </row>
    <row r="13500" spans="1:2" x14ac:dyDescent="0.25">
      <c r="A13500" s="64" t="str">
        <f>HYPERLINK("http://www.twitter.com/BIPCManchester", "BIPCManchester")</f>
        <v>BIPCManchester</v>
      </c>
      <c r="B13500" s="65" t="s">
        <v>2289</v>
      </c>
    </row>
    <row r="13501" spans="1:2" x14ac:dyDescent="0.25">
      <c r="A13501" s="64" t="str">
        <f>HYPERLINK("http://www.twitter.com/FionaxM", "FionaxM")</f>
        <v>FionaxM</v>
      </c>
      <c r="B13501" s="65" t="s">
        <v>138</v>
      </c>
    </row>
    <row r="13502" spans="1:2" x14ac:dyDescent="0.25">
      <c r="A13502" s="64" t="str">
        <f>HYPERLINK("http://www.twitter.com/bethlynette", "bethlynette")</f>
        <v>bethlynette</v>
      </c>
      <c r="B13502" s="65" t="s">
        <v>477</v>
      </c>
    </row>
    <row r="13503" spans="1:2" x14ac:dyDescent="0.25">
      <c r="A13503" s="64" t="str">
        <f>HYPERLINK("http://www.twitter.com/othrpplsnapkins", "othrpplsnapkins")</f>
        <v>othrpplsnapkins</v>
      </c>
      <c r="B13503" s="65"/>
    </row>
    <row r="13504" spans="1:2" x14ac:dyDescent="0.25">
      <c r="A13504" s="64" t="str">
        <f>HYPERLINK("http://www.twitter.com/thetimethief", "thetimethief")</f>
        <v>thetimethief</v>
      </c>
      <c r="B13504" s="65" t="s">
        <v>5953</v>
      </c>
    </row>
    <row r="13505" spans="1:2" x14ac:dyDescent="0.25">
      <c r="A13505" s="64" t="str">
        <f>HYPERLINK("http://www.twitter.com/holly_ennis", "holly_ennis")</f>
        <v>holly_ennis</v>
      </c>
      <c r="B13505" s="65" t="s">
        <v>487</v>
      </c>
    </row>
    <row r="13506" spans="1:2" x14ac:dyDescent="0.25">
      <c r="A13506" s="64" t="str">
        <f>HYPERLINK("http://www.twitter.com/JeffPaffett", "JeffPaffett")</f>
        <v>JeffPaffett</v>
      </c>
      <c r="B13506" s="65" t="s">
        <v>8026</v>
      </c>
    </row>
    <row r="13507" spans="1:2" x14ac:dyDescent="0.25">
      <c r="A13507" s="64" t="str">
        <f>HYPERLINK("http://www.twitter.com/FilmSceneExtra", "FilmSceneExtra")</f>
        <v>FilmSceneExtra</v>
      </c>
      <c r="B13507" s="65" t="s">
        <v>508</v>
      </c>
    </row>
    <row r="13508" spans="1:2" x14ac:dyDescent="0.25">
      <c r="A13508" s="64" t="str">
        <f>HYPERLINK("http://www.twitter.com/Black_Blight", "Black_Blight")</f>
        <v>Black_Blight</v>
      </c>
      <c r="B13508" s="65" t="s">
        <v>36</v>
      </c>
    </row>
    <row r="13509" spans="1:2" x14ac:dyDescent="0.25">
      <c r="A13509" s="64" t="str">
        <f>HYPERLINK("http://www.twitter.com/_KittyKat29", "_KittyKat29")</f>
        <v>_KittyKat29</v>
      </c>
      <c r="B13509" s="65" t="s">
        <v>8027</v>
      </c>
    </row>
    <row r="13510" spans="1:2" x14ac:dyDescent="0.25">
      <c r="A13510" s="64" t="str">
        <f>HYPERLINK("http://www.twitter.com/marycooksey", "marycooksey")</f>
        <v>marycooksey</v>
      </c>
      <c r="B13510" s="65" t="s">
        <v>8028</v>
      </c>
    </row>
    <row r="13511" spans="1:2" x14ac:dyDescent="0.25">
      <c r="A13511" s="64" t="str">
        <f>HYPERLINK("http://www.twitter.com/aliburrns", "aliburrns")</f>
        <v>aliburrns</v>
      </c>
      <c r="B13511" s="65" t="s">
        <v>8029</v>
      </c>
    </row>
    <row r="13512" spans="1:2" x14ac:dyDescent="0.25">
      <c r="A13512" s="64" t="str">
        <f>HYPERLINK("http://www.twitter.com/crookedwindow", "crookedwindow")</f>
        <v>crookedwindow</v>
      </c>
      <c r="B13512" s="65" t="s">
        <v>8030</v>
      </c>
    </row>
    <row r="13513" spans="1:2" x14ac:dyDescent="0.25">
      <c r="A13513" s="64" t="str">
        <f>HYPERLINK("http://www.twitter.com/MissEims", "MissEims")</f>
        <v>MissEims</v>
      </c>
      <c r="B13513" s="65" t="s">
        <v>3810</v>
      </c>
    </row>
    <row r="13514" spans="1:2" x14ac:dyDescent="0.25">
      <c r="A13514" s="64" t="str">
        <f>HYPERLINK("http://www.twitter.com/robinofhayes", "robinofhayes")</f>
        <v>robinofhayes</v>
      </c>
      <c r="B13514" s="65" t="s">
        <v>8031</v>
      </c>
    </row>
    <row r="13515" spans="1:2" x14ac:dyDescent="0.25">
      <c r="A13515" s="64" t="str">
        <f>HYPERLINK("http://www.twitter.com/flo_ward", "flo_ward")</f>
        <v>flo_ward</v>
      </c>
      <c r="B13515" s="65" t="s">
        <v>1295</v>
      </c>
    </row>
    <row r="13516" spans="1:2" x14ac:dyDescent="0.25">
      <c r="A13516" s="64" t="str">
        <f>HYPERLINK("http://www.twitter.com/drudeboy", "drudeboy")</f>
        <v>drudeboy</v>
      </c>
      <c r="B13516" s="65" t="s">
        <v>4501</v>
      </c>
    </row>
    <row r="13517" spans="1:2" x14ac:dyDescent="0.25">
      <c r="A13517" s="64" t="str">
        <f>HYPERLINK("http://www.twitter.com/lauraliztoits", "lauraliztoits")</f>
        <v>lauraliztoits</v>
      </c>
      <c r="B13517" s="65" t="s">
        <v>4551</v>
      </c>
    </row>
    <row r="13518" spans="1:2" x14ac:dyDescent="0.25">
      <c r="A13518" s="64" t="str">
        <f>HYPERLINK("http://www.twitter.com/xxjosephd", "xxjosephd")</f>
        <v>xxjosephd</v>
      </c>
      <c r="B13518" s="65" t="s">
        <v>36</v>
      </c>
    </row>
    <row r="13519" spans="1:2" x14ac:dyDescent="0.25">
      <c r="A13519" s="64" t="str">
        <f>HYPERLINK("http://www.twitter.com/Gwhyte1012", "Gwhyte1012")</f>
        <v>Gwhyte1012</v>
      </c>
      <c r="B13519" s="65"/>
    </row>
    <row r="13520" spans="1:2" x14ac:dyDescent="0.25">
      <c r="A13520" s="64" t="str">
        <f>HYPERLINK("http://www.twitter.com/eatinbrixton", "eatinbrixton")</f>
        <v>eatinbrixton</v>
      </c>
      <c r="B13520" s="65" t="s">
        <v>327</v>
      </c>
    </row>
    <row r="13521" spans="1:2" x14ac:dyDescent="0.25">
      <c r="A13521" s="64" t="str">
        <f>HYPERLINK("http://www.twitter.com/qobster", "qobster")</f>
        <v>qobster</v>
      </c>
      <c r="B13521" s="65" t="s">
        <v>517</v>
      </c>
    </row>
    <row r="13522" spans="1:2" x14ac:dyDescent="0.25">
      <c r="A13522" s="64" t="str">
        <f>HYPERLINK("http://www.twitter.com/AkmMuhlberg", "AkmMuhlberg")</f>
        <v>AkmMuhlberg</v>
      </c>
      <c r="B13522" s="65" t="s">
        <v>2918</v>
      </c>
    </row>
    <row r="13523" spans="1:2" x14ac:dyDescent="0.25">
      <c r="A13523" s="64" t="str">
        <f>HYPERLINK("http://www.twitter.com/lairdspoon", "lairdspoon")</f>
        <v>lairdspoon</v>
      </c>
      <c r="B13523" s="65"/>
    </row>
    <row r="13524" spans="1:2" x14ac:dyDescent="0.25">
      <c r="A13524" s="64" t="str">
        <f>HYPERLINK("http://www.twitter.com/K_Saat", "K_Saat")</f>
        <v>K_Saat</v>
      </c>
      <c r="B13524" s="65"/>
    </row>
    <row r="13525" spans="1:2" x14ac:dyDescent="0.25">
      <c r="A13525" s="64" t="str">
        <f>HYPERLINK("http://www.twitter.com/KateAuerMills", "KateAuerMills")</f>
        <v>KateAuerMills</v>
      </c>
      <c r="B13525" s="65" t="s">
        <v>8032</v>
      </c>
    </row>
    <row r="13526" spans="1:2" x14ac:dyDescent="0.25">
      <c r="A13526" s="64" t="str">
        <f>HYPERLINK("http://www.twitter.com/StefiLamp", "StefiLamp")</f>
        <v>StefiLamp</v>
      </c>
      <c r="B13526" s="65"/>
    </row>
    <row r="13527" spans="1:2" x14ac:dyDescent="0.25">
      <c r="A13527" s="64" t="str">
        <f>HYPERLINK("http://www.twitter.com/longlostpenpal", "longlostpenpal")</f>
        <v>longlostpenpal</v>
      </c>
      <c r="B13527" s="65" t="s">
        <v>8033</v>
      </c>
    </row>
    <row r="13528" spans="1:2" x14ac:dyDescent="0.25">
      <c r="A13528" s="64" t="str">
        <f>HYPERLINK("http://www.twitter.com/AkGatoor", "AkGatoor")</f>
        <v>AkGatoor</v>
      </c>
      <c r="B13528" s="65" t="s">
        <v>8034</v>
      </c>
    </row>
    <row r="13529" spans="1:2" x14ac:dyDescent="0.25">
      <c r="A13529" s="64" t="str">
        <f>HYPERLINK("http://www.twitter.com/kristen_anne_", "kristen_anne_")</f>
        <v>kristen_anne_</v>
      </c>
      <c r="B13529" s="65"/>
    </row>
    <row r="13530" spans="1:2" x14ac:dyDescent="0.25">
      <c r="A13530" s="64" t="str">
        <f>HYPERLINK("http://www.twitter.com/filmvsbook", "filmvsbook")</f>
        <v>filmvsbook</v>
      </c>
      <c r="B13530" s="65" t="s">
        <v>36</v>
      </c>
    </row>
    <row r="13531" spans="1:2" x14ac:dyDescent="0.25">
      <c r="A13531" s="64" t="str">
        <f>HYPERLINK("http://www.twitter.com/maevescally", "maevescally")</f>
        <v>maevescally</v>
      </c>
      <c r="B13531" s="65" t="s">
        <v>1295</v>
      </c>
    </row>
    <row r="13532" spans="1:2" x14ac:dyDescent="0.25">
      <c r="A13532" s="64" t="str">
        <f>HYPERLINK("http://www.twitter.com/elliedragonetti", "elliedragonetti")</f>
        <v>elliedragonetti</v>
      </c>
      <c r="B13532" s="65" t="s">
        <v>477</v>
      </c>
    </row>
    <row r="13533" spans="1:2" x14ac:dyDescent="0.25">
      <c r="A13533" s="64" t="str">
        <f>HYPERLINK("http://www.twitter.com/clevercatriona", "clevercatriona")</f>
        <v>clevercatriona</v>
      </c>
      <c r="B13533" s="65" t="s">
        <v>24</v>
      </c>
    </row>
    <row r="13534" spans="1:2" x14ac:dyDescent="0.25">
      <c r="A13534" s="64" t="str">
        <f>HYPERLINK("http://www.twitter.com/LHNiko", "LHNiko")</f>
        <v>LHNiko</v>
      </c>
      <c r="B13534" s="65" t="s">
        <v>24</v>
      </c>
    </row>
    <row r="13535" spans="1:2" x14ac:dyDescent="0.25">
      <c r="A13535" s="64" t="str">
        <f>HYPERLINK("http://www.twitter.com/KatM_34", "KatM_34")</f>
        <v>KatM_34</v>
      </c>
      <c r="B13535" s="65"/>
    </row>
    <row r="13536" spans="1:2" x14ac:dyDescent="0.25">
      <c r="A13536" s="64" t="str">
        <f>HYPERLINK("http://www.twitter.com/dsgovan", "dsgovan")</f>
        <v>dsgovan</v>
      </c>
      <c r="B13536" s="65"/>
    </row>
    <row r="13537" spans="1:2" x14ac:dyDescent="0.25">
      <c r="A13537" s="64" t="str">
        <f>HYPERLINK("http://www.twitter.com/tanharrison", "tanharrison")</f>
        <v>tanharrison</v>
      </c>
      <c r="B13537" s="65" t="s">
        <v>3978</v>
      </c>
    </row>
    <row r="13538" spans="1:2" x14ac:dyDescent="0.25">
      <c r="A13538" s="64" t="str">
        <f>HYPERLINK("http://www.twitter.com/natleegra", "natleegra")</f>
        <v>natleegra</v>
      </c>
      <c r="B13538" s="65" t="s">
        <v>8035</v>
      </c>
    </row>
    <row r="13539" spans="1:2" x14ac:dyDescent="0.25">
      <c r="A13539" s="64" t="str">
        <f>HYPERLINK("http://www.twitter.com/jodie_rose14", "jodie_rose14")</f>
        <v>jodie_rose14</v>
      </c>
      <c r="B13539" s="65" t="s">
        <v>926</v>
      </c>
    </row>
    <row r="13540" spans="1:2" x14ac:dyDescent="0.25">
      <c r="A13540" s="64" t="str">
        <f>HYPERLINK("http://www.twitter.com/jessisjelly", "jessisjelly")</f>
        <v>jessisjelly</v>
      </c>
      <c r="B13540" s="65" t="s">
        <v>1490</v>
      </c>
    </row>
    <row r="13541" spans="1:2" x14ac:dyDescent="0.25">
      <c r="A13541" s="64" t="str">
        <f>HYPERLINK("http://www.twitter.com/Jumentous_Shit", "Jumentous_Shit")</f>
        <v>Jumentous_Shit</v>
      </c>
      <c r="B13541" s="65"/>
    </row>
    <row r="13542" spans="1:2" x14ac:dyDescent="0.25">
      <c r="A13542" s="64" t="str">
        <f>HYPERLINK("http://www.twitter.com/tomwall12", "tomwall12")</f>
        <v>tomwall12</v>
      </c>
      <c r="B13542" s="65"/>
    </row>
    <row r="13543" spans="1:2" x14ac:dyDescent="0.25">
      <c r="A13543" s="64" t="str">
        <f>HYPERLINK("http://www.twitter.com/GL3NKELLY", "GL3NKELLY")</f>
        <v>GL3NKELLY</v>
      </c>
      <c r="B13543" s="65" t="s">
        <v>8036</v>
      </c>
    </row>
    <row r="13544" spans="1:2" x14ac:dyDescent="0.25">
      <c r="A13544" s="64" t="str">
        <f>HYPERLINK("http://www.twitter.com/scozzese", "scozzese")</f>
        <v>scozzese</v>
      </c>
      <c r="B13544" s="65" t="s">
        <v>4834</v>
      </c>
    </row>
    <row r="13545" spans="1:2" x14ac:dyDescent="0.25">
      <c r="A13545" s="64" t="str">
        <f>HYPERLINK("http://www.twitter.com/AndreLombard2", "AndreLombard2")</f>
        <v>AndreLombard2</v>
      </c>
      <c r="B13545" s="65" t="s">
        <v>36</v>
      </c>
    </row>
    <row r="13546" spans="1:2" x14ac:dyDescent="0.25">
      <c r="A13546" s="64" t="str">
        <f>HYPERLINK("http://www.twitter.com/StephanHeinlein", "StephanHeinlein")</f>
        <v>StephanHeinlein</v>
      </c>
      <c r="B13546" s="65" t="s">
        <v>8037</v>
      </c>
    </row>
    <row r="13547" spans="1:2" x14ac:dyDescent="0.25">
      <c r="A13547" s="64" t="str">
        <f>HYPERLINK("http://www.twitter.com/princessbeccaa", "princessbeccaa")</f>
        <v>princessbeccaa</v>
      </c>
      <c r="B13547" s="65" t="s">
        <v>8038</v>
      </c>
    </row>
    <row r="13548" spans="1:2" x14ac:dyDescent="0.25">
      <c r="A13548" s="64" t="str">
        <f>HYPERLINK("http://www.twitter.com/nayfurn", "nayfurn")</f>
        <v>nayfurn</v>
      </c>
      <c r="B13548" s="65" t="s">
        <v>4721</v>
      </c>
    </row>
    <row r="13549" spans="1:2" x14ac:dyDescent="0.25">
      <c r="A13549" s="64" t="str">
        <f>HYPERLINK("http://www.twitter.com/Road_Mapper", "Road_Mapper")</f>
        <v>Road_Mapper</v>
      </c>
      <c r="B13549" s="65" t="s">
        <v>8039</v>
      </c>
    </row>
    <row r="13550" spans="1:2" x14ac:dyDescent="0.25">
      <c r="A13550" s="64" t="str">
        <f>HYPERLINK("http://www.twitter.com/acaroneshe", "acaroneshe")</f>
        <v>acaroneshe</v>
      </c>
      <c r="B13550" s="65" t="s">
        <v>8040</v>
      </c>
    </row>
    <row r="13551" spans="1:2" x14ac:dyDescent="0.25">
      <c r="A13551" s="64" t="str">
        <f>HYPERLINK("http://www.twitter.com/Allegraverdi", "Allegraverdi")</f>
        <v>Allegraverdi</v>
      </c>
      <c r="B13551" s="65"/>
    </row>
    <row r="13552" spans="1:2" x14ac:dyDescent="0.25">
      <c r="A13552" s="64" t="str">
        <f>HYPERLINK("http://www.twitter.com/Shwebo", "Shwebo")</f>
        <v>Shwebo</v>
      </c>
      <c r="B13552" s="65" t="s">
        <v>4447</v>
      </c>
    </row>
    <row r="13553" spans="1:2" x14ac:dyDescent="0.25">
      <c r="A13553" s="64" t="str">
        <f>HYPERLINK("http://www.twitter.com/Amy_Naylorr", "Amy_Naylorr")</f>
        <v>Amy_Naylorr</v>
      </c>
      <c r="B13553" s="65" t="s">
        <v>6238</v>
      </c>
    </row>
    <row r="13554" spans="1:2" x14ac:dyDescent="0.25">
      <c r="A13554" s="64" t="str">
        <f>HYPERLINK("http://www.twitter.com/suchgravitas", "suchgravitas")</f>
        <v>suchgravitas</v>
      </c>
      <c r="B13554" s="65"/>
    </row>
    <row r="13555" spans="1:2" x14ac:dyDescent="0.25">
      <c r="A13555" s="64" t="str">
        <f>HYPERLINK("http://www.twitter.com/goosie1966", "goosie1966")</f>
        <v>goosie1966</v>
      </c>
      <c r="B13555" s="65" t="s">
        <v>4500</v>
      </c>
    </row>
    <row r="13556" spans="1:2" x14ac:dyDescent="0.25">
      <c r="A13556" s="64" t="str">
        <f>HYPERLINK("http://www.twitter.com/amyfalconer29", "amyfalconer29")</f>
        <v>amyfalconer29</v>
      </c>
      <c r="B13556" s="65" t="s">
        <v>24</v>
      </c>
    </row>
    <row r="13557" spans="1:2" x14ac:dyDescent="0.25">
      <c r="A13557" s="64" t="str">
        <f>HYPERLINK("http://www.twitter.com/natuhoque", "natuhoque")</f>
        <v>natuhoque</v>
      </c>
      <c r="B13557" s="65"/>
    </row>
    <row r="13558" spans="1:2" x14ac:dyDescent="0.25">
      <c r="A13558" s="64" t="str">
        <f>HYPERLINK("http://www.twitter.com/Miss_Conduct_", "Miss_Conduct_")</f>
        <v>Miss_Conduct_</v>
      </c>
      <c r="B13558" s="65" t="s">
        <v>8041</v>
      </c>
    </row>
    <row r="13559" spans="1:2" x14ac:dyDescent="0.25">
      <c r="A13559" s="64" t="str">
        <f>HYPERLINK("http://www.twitter.com/rachmuircroft", "rachmuircroft")</f>
        <v>rachmuircroft</v>
      </c>
      <c r="B13559" s="65" t="s">
        <v>3875</v>
      </c>
    </row>
    <row r="13560" spans="1:2" x14ac:dyDescent="0.25">
      <c r="A13560" s="64" t="str">
        <f>HYPERLINK("http://www.twitter.com/lovlykristy", "lovlykristy")</f>
        <v>lovlykristy</v>
      </c>
      <c r="B13560" s="65" t="s">
        <v>8042</v>
      </c>
    </row>
    <row r="13561" spans="1:2" x14ac:dyDescent="0.25">
      <c r="A13561" s="64" t="str">
        <f>HYPERLINK("http://www.twitter.com/TianaSoltana", "TianaSoltana")</f>
        <v>TianaSoltana</v>
      </c>
      <c r="B13561" s="65" t="s">
        <v>3978</v>
      </c>
    </row>
    <row r="13562" spans="1:2" x14ac:dyDescent="0.25">
      <c r="A13562" s="64" t="str">
        <f>HYPERLINK("http://www.twitter.com/silversparkler", "silversparkler")</f>
        <v>silversparkler</v>
      </c>
      <c r="B13562" s="65" t="s">
        <v>6166</v>
      </c>
    </row>
    <row r="13563" spans="1:2" x14ac:dyDescent="0.25">
      <c r="A13563" s="64" t="str">
        <f>HYPERLINK("http://www.twitter.com/strawberry_debs", "strawberry_debs")</f>
        <v>strawberry_debs</v>
      </c>
      <c r="B13563" s="65" t="s">
        <v>517</v>
      </c>
    </row>
    <row r="13564" spans="1:2" x14ac:dyDescent="0.25">
      <c r="A13564" s="64" t="str">
        <f>HYPERLINK("http://www.twitter.com/mkerr85", "mkerr85")</f>
        <v>mkerr85</v>
      </c>
      <c r="B13564" s="65" t="s">
        <v>487</v>
      </c>
    </row>
    <row r="13565" spans="1:2" x14ac:dyDescent="0.25">
      <c r="A13565" s="64" t="str">
        <f>HYPERLINK("http://www.twitter.com/jowright84", "jowright84")</f>
        <v>jowright84</v>
      </c>
      <c r="B13565" s="65" t="s">
        <v>8043</v>
      </c>
    </row>
    <row r="13566" spans="1:2" x14ac:dyDescent="0.25">
      <c r="A13566" s="64" t="str">
        <f>HYPERLINK("http://www.twitter.com/EmilyKerrWrites", "EmilyKerrWrites")</f>
        <v>EmilyKerrWrites</v>
      </c>
      <c r="B13566" s="65"/>
    </row>
    <row r="13567" spans="1:2" x14ac:dyDescent="0.25">
      <c r="A13567" s="64" t="str">
        <f>HYPERLINK("http://www.twitter.com/starcrunch61", "starcrunch61")</f>
        <v>starcrunch61</v>
      </c>
      <c r="B13567" s="65"/>
    </row>
    <row r="13568" spans="1:2" x14ac:dyDescent="0.25">
      <c r="A13568" s="64" t="str">
        <f>HYPERLINK("http://www.twitter.com/DassChana", "DassChana")</f>
        <v>DassChana</v>
      </c>
      <c r="B13568" s="65" t="s">
        <v>36</v>
      </c>
    </row>
    <row r="13569" spans="1:2" x14ac:dyDescent="0.25">
      <c r="A13569" s="64" t="str">
        <f>HYPERLINK("http://www.twitter.com/iEeftoch", "iEeftoch")</f>
        <v>iEeftoch</v>
      </c>
      <c r="B13569" s="65" t="s">
        <v>8044</v>
      </c>
    </row>
    <row r="13570" spans="1:2" x14ac:dyDescent="0.25">
      <c r="A13570" s="64" t="str">
        <f>HYPERLINK("http://www.twitter.com/kaffmattock", "kaffmattock")</f>
        <v>kaffmattock</v>
      </c>
      <c r="B13570" s="65"/>
    </row>
    <row r="13571" spans="1:2" x14ac:dyDescent="0.25">
      <c r="A13571" s="64" t="str">
        <f>HYPERLINK("http://www.twitter.com/ElizabethJoyc19", "ElizabethJoyc19")</f>
        <v>ElizabethJoyc19</v>
      </c>
      <c r="B13571" s="65" t="s">
        <v>4145</v>
      </c>
    </row>
    <row r="13572" spans="1:2" x14ac:dyDescent="0.25">
      <c r="A13572" s="64" t="str">
        <f>HYPERLINK("http://www.twitter.com/dmac398", "dmac398")</f>
        <v>dmac398</v>
      </c>
      <c r="B13572" s="65"/>
    </row>
    <row r="13573" spans="1:2" x14ac:dyDescent="0.25">
      <c r="A13573" s="64" t="str">
        <f>HYPERLINK("http://www.twitter.com/JadeLeeMilner", "JadeLeeMilner")</f>
        <v>JadeLeeMilner</v>
      </c>
      <c r="B13573" s="65" t="s">
        <v>8045</v>
      </c>
    </row>
    <row r="13574" spans="1:2" x14ac:dyDescent="0.25">
      <c r="A13574" s="64" t="str">
        <f>HYPERLINK("http://www.twitter.com/RachAAAel_Ryan", "RachAAAel_Ryan")</f>
        <v>RachAAAel_Ryan</v>
      </c>
      <c r="B13574" s="65" t="s">
        <v>7261</v>
      </c>
    </row>
    <row r="13575" spans="1:2" x14ac:dyDescent="0.25">
      <c r="A13575" s="64" t="str">
        <f>HYPERLINK("http://www.twitter.com/megewils", "megewils")</f>
        <v>megewils</v>
      </c>
      <c r="B13575" s="65" t="s">
        <v>8046</v>
      </c>
    </row>
    <row r="13576" spans="1:2" x14ac:dyDescent="0.25">
      <c r="A13576" s="64" t="str">
        <f>HYPERLINK("http://www.twitter.com/fortesque99", "fortesque99")</f>
        <v>fortesque99</v>
      </c>
      <c r="B13576" s="65"/>
    </row>
    <row r="13577" spans="1:2" x14ac:dyDescent="0.25">
      <c r="A13577" s="64" t="str">
        <f>HYPERLINK("http://www.twitter.com/NatalieDeeClark", "NatalieDeeClark")</f>
        <v>NatalieDeeClark</v>
      </c>
      <c r="B13577" s="65" t="s">
        <v>318</v>
      </c>
    </row>
    <row r="13578" spans="1:2" x14ac:dyDescent="0.25">
      <c r="A13578" s="64" t="str">
        <f>HYPERLINK("http://www.twitter.com/fairytalebeth", "fairytalebeth")</f>
        <v>fairytalebeth</v>
      </c>
      <c r="B13578" s="65"/>
    </row>
    <row r="13579" spans="1:2" x14ac:dyDescent="0.25">
      <c r="A13579" s="64" t="str">
        <f>HYPERLINK("http://www.twitter.com/clodagh221", "clodagh221")</f>
        <v>clodagh221</v>
      </c>
      <c r="B13579" s="65" t="s">
        <v>8047</v>
      </c>
    </row>
    <row r="13580" spans="1:2" x14ac:dyDescent="0.25">
      <c r="A13580" s="64" t="str">
        <f>HYPERLINK("http://www.twitter.com/jaivomi", "jaivomi")</f>
        <v>jaivomi</v>
      </c>
      <c r="B13580" s="65" t="s">
        <v>2864</v>
      </c>
    </row>
    <row r="13581" spans="1:2" x14ac:dyDescent="0.25">
      <c r="A13581" s="64" t="str">
        <f>HYPERLINK("http://www.twitter.com/kane_steven", "kane_steven")</f>
        <v>kane_steven</v>
      </c>
      <c r="B13581" s="65"/>
    </row>
    <row r="13582" spans="1:2" x14ac:dyDescent="0.25">
      <c r="A13582" s="64" t="str">
        <f>HYPERLINK("http://www.twitter.com/jessicaannweeks", "jessicaannweeks")</f>
        <v>jessicaannweeks</v>
      </c>
      <c r="B13582" s="65" t="s">
        <v>36</v>
      </c>
    </row>
    <row r="13583" spans="1:2" x14ac:dyDescent="0.25">
      <c r="A13583" s="64" t="str">
        <f>HYPERLINK("http://www.twitter.com/heatherh219", "heatherh219")</f>
        <v>heatherh219</v>
      </c>
      <c r="B13583" s="65" t="s">
        <v>8048</v>
      </c>
    </row>
    <row r="13584" spans="1:2" x14ac:dyDescent="0.25">
      <c r="A13584" s="64" t="str">
        <f>HYPERLINK("http://www.twitter.com/sophetch_", "sophetch_")</f>
        <v>sophetch_</v>
      </c>
      <c r="B13584" s="65" t="s">
        <v>1189</v>
      </c>
    </row>
    <row r="13585" spans="1:2" x14ac:dyDescent="0.25">
      <c r="A13585" s="64" t="str">
        <f>HYPERLINK("http://www.twitter.com/fiomc", "fiomc")</f>
        <v>fiomc</v>
      </c>
      <c r="B13585" s="65"/>
    </row>
    <row r="13586" spans="1:2" x14ac:dyDescent="0.25">
      <c r="A13586" s="64" t="str">
        <f>HYPERLINK("http://www.twitter.com/Autopulated", "Autopulated")</f>
        <v>Autopulated</v>
      </c>
      <c r="B13586" s="65" t="s">
        <v>8049</v>
      </c>
    </row>
    <row r="13587" spans="1:2" x14ac:dyDescent="0.25">
      <c r="A13587" s="64" t="str">
        <f>HYPERLINK("http://www.twitter.com/k_harrry", "k_harrry")</f>
        <v>k_harrry</v>
      </c>
      <c r="B13587" s="65"/>
    </row>
    <row r="13588" spans="1:2" x14ac:dyDescent="0.25">
      <c r="A13588" s="64" t="str">
        <f>HYPERLINK("http://www.twitter.com/bridgend6", "bridgend6")</f>
        <v>bridgend6</v>
      </c>
      <c r="B13588" s="65" t="s">
        <v>248</v>
      </c>
    </row>
    <row r="13589" spans="1:2" x14ac:dyDescent="0.25">
      <c r="A13589" s="64" t="str">
        <f>HYPERLINK("http://www.twitter.com/jennyvancouver", "jennyvancouver")</f>
        <v>jennyvancouver</v>
      </c>
      <c r="B13589" s="65" t="s">
        <v>4230</v>
      </c>
    </row>
    <row r="13590" spans="1:2" x14ac:dyDescent="0.25">
      <c r="A13590" s="64" t="str">
        <f>HYPERLINK("http://www.twitter.com/EducateUK", "EducateUK")</f>
        <v>EducateUK</v>
      </c>
      <c r="B13590" s="65" t="s">
        <v>138</v>
      </c>
    </row>
    <row r="13591" spans="1:2" x14ac:dyDescent="0.25">
      <c r="A13591" s="64" t="str">
        <f>HYPERLINK("http://www.twitter.com/SeonaidRogers", "SeonaidRogers")</f>
        <v>SeonaidRogers</v>
      </c>
      <c r="B13591" s="65" t="s">
        <v>477</v>
      </c>
    </row>
    <row r="13592" spans="1:2" x14ac:dyDescent="0.25">
      <c r="A13592" s="64" t="str">
        <f>HYPERLINK("http://www.twitter.com/tdewih", "tdewih")</f>
        <v>tdewih</v>
      </c>
      <c r="B13592" s="65" t="s">
        <v>251</v>
      </c>
    </row>
    <row r="13593" spans="1:2" x14ac:dyDescent="0.25">
      <c r="A13593" s="64" t="str">
        <f>HYPERLINK("http://www.twitter.com/AlphabetBabies", "AlphabetBabies")</f>
        <v>AlphabetBabies</v>
      </c>
      <c r="B13593" s="65" t="s">
        <v>8050</v>
      </c>
    </row>
    <row r="13594" spans="1:2" x14ac:dyDescent="0.25">
      <c r="A13594" s="64" t="str">
        <f>HYPERLINK("http://www.twitter.com/demipip", "demipip")</f>
        <v>demipip</v>
      </c>
      <c r="B13594" s="65" t="s">
        <v>4019</v>
      </c>
    </row>
    <row r="13595" spans="1:2" x14ac:dyDescent="0.25">
      <c r="A13595" s="64" t="str">
        <f>HYPERLINK("http://www.twitter.com/sanfransisk0", "sanfransisk0")</f>
        <v>sanfransisk0</v>
      </c>
      <c r="B13595" s="65" t="s">
        <v>36</v>
      </c>
    </row>
    <row r="13596" spans="1:2" x14ac:dyDescent="0.25">
      <c r="A13596" s="64" t="str">
        <f>HYPERLINK("http://www.twitter.com/JC_Robins", "JC_Robins")</f>
        <v>JC_Robins</v>
      </c>
      <c r="B13596" s="65" t="s">
        <v>5948</v>
      </c>
    </row>
    <row r="13597" spans="1:2" x14ac:dyDescent="0.25">
      <c r="A13597" s="64" t="str">
        <f>HYPERLINK("http://www.twitter.com/caseycrabtree3", "caseycrabtree3")</f>
        <v>caseycrabtree3</v>
      </c>
      <c r="B13597" s="65"/>
    </row>
    <row r="13598" spans="1:2" x14ac:dyDescent="0.25">
      <c r="A13598" s="64" t="str">
        <f>HYPERLINK("http://www.twitter.com/rossauchenree", "rossauchenree")</f>
        <v>rossauchenree</v>
      </c>
      <c r="B13598" s="65" t="s">
        <v>8051</v>
      </c>
    </row>
    <row r="13599" spans="1:2" x14ac:dyDescent="0.25">
      <c r="A13599" s="64" t="str">
        <f>HYPERLINK("http://www.twitter.com/andy_ross01", "andy_ross01")</f>
        <v>andy_ross01</v>
      </c>
      <c r="B13599" s="65"/>
    </row>
    <row r="13600" spans="1:2" x14ac:dyDescent="0.25">
      <c r="A13600" s="64" t="str">
        <f>HYPERLINK("http://www.twitter.com/Fee_yona", "Fee_yona")</f>
        <v>Fee_yona</v>
      </c>
      <c r="B13600" s="65" t="s">
        <v>5027</v>
      </c>
    </row>
    <row r="13601" spans="1:2" x14ac:dyDescent="0.25">
      <c r="A13601" s="64" t="str">
        <f>HYPERLINK("http://www.twitter.com/CapnMarko", "CapnMarko")</f>
        <v>CapnMarko</v>
      </c>
      <c r="B13601" s="65"/>
    </row>
    <row r="13602" spans="1:2" x14ac:dyDescent="0.25">
      <c r="A13602" s="64" t="str">
        <f>HYPERLINK("http://www.twitter.com/writer_lockley", "writer_lockley")</f>
        <v>writer_lockley</v>
      </c>
      <c r="B13602" s="65" t="s">
        <v>8052</v>
      </c>
    </row>
    <row r="13603" spans="1:2" x14ac:dyDescent="0.25">
      <c r="A13603" s="64" t="str">
        <f>HYPERLINK("http://www.twitter.com/JoceWilliams", "JoceWilliams")</f>
        <v>JoceWilliams</v>
      </c>
      <c r="B13603" s="65"/>
    </row>
    <row r="13604" spans="1:2" x14ac:dyDescent="0.25">
      <c r="A13604" s="64" t="str">
        <f>HYPERLINK("http://www.twitter.com/S_Nisbet10", "S_Nisbet10")</f>
        <v>S_Nisbet10</v>
      </c>
      <c r="B13604" s="65" t="s">
        <v>24</v>
      </c>
    </row>
    <row r="13605" spans="1:2" x14ac:dyDescent="0.25">
      <c r="A13605" s="64" t="str">
        <f>HYPERLINK("http://www.twitter.com/Michelloui", "Michelloui")</f>
        <v>Michelloui</v>
      </c>
      <c r="B13605" s="65" t="s">
        <v>1490</v>
      </c>
    </row>
    <row r="13606" spans="1:2" x14ac:dyDescent="0.25">
      <c r="A13606" s="64" t="str">
        <f>HYPERLINK("http://www.twitter.com/elsinvt", "elsinvt")</f>
        <v>elsinvt</v>
      </c>
      <c r="B13606" s="65"/>
    </row>
    <row r="13607" spans="1:2" x14ac:dyDescent="0.25">
      <c r="A13607" s="64" t="str">
        <f>HYPERLINK("http://www.twitter.com/rexparker", "rexparker")</f>
        <v>rexparker</v>
      </c>
      <c r="B13607" s="65" t="s">
        <v>7244</v>
      </c>
    </row>
    <row r="13608" spans="1:2" x14ac:dyDescent="0.25">
      <c r="A13608" s="64" t="str">
        <f>HYPERLINK("http://www.twitter.com/DearJess11", "DearJess11")</f>
        <v>DearJess11</v>
      </c>
      <c r="B13608" s="65" t="s">
        <v>3948</v>
      </c>
    </row>
    <row r="13609" spans="1:2" x14ac:dyDescent="0.25">
      <c r="A13609" s="64" t="str">
        <f>HYPERLINK("http://www.twitter.com/CeriAGriffiths", "CeriAGriffiths")</f>
        <v>CeriAGriffiths</v>
      </c>
      <c r="B13609" s="65" t="s">
        <v>8053</v>
      </c>
    </row>
    <row r="13610" spans="1:2" x14ac:dyDescent="0.25">
      <c r="A13610" s="64" t="str">
        <f>HYPERLINK("http://www.twitter.com/ttlaulainen", "ttlaulainen")</f>
        <v>ttlaulainen</v>
      </c>
      <c r="B13610" s="65" t="s">
        <v>477</v>
      </c>
    </row>
    <row r="13611" spans="1:2" x14ac:dyDescent="0.25">
      <c r="A13611" s="64" t="str">
        <f>HYPERLINK("http://www.twitter.com/SSGCProShop", "SSGCProShop")</f>
        <v>SSGCProShop</v>
      </c>
      <c r="B13611" s="65" t="s">
        <v>7292</v>
      </c>
    </row>
    <row r="13612" spans="1:2" x14ac:dyDescent="0.25">
      <c r="A13612" s="64" t="str">
        <f>HYPERLINK("http://www.twitter.com/misscynic", "misscynic")</f>
        <v>misscynic</v>
      </c>
      <c r="B13612" s="65"/>
    </row>
    <row r="13613" spans="1:2" x14ac:dyDescent="0.25">
      <c r="A13613" s="64" t="str">
        <f>HYPERLINK("http://www.twitter.com/KateMallinder", "KateMallinder")</f>
        <v>KateMallinder</v>
      </c>
      <c r="B13613" s="65" t="s">
        <v>8054</v>
      </c>
    </row>
    <row r="13614" spans="1:2" x14ac:dyDescent="0.25">
      <c r="A13614" s="64" t="str">
        <f>HYPERLINK("http://www.twitter.com/ollyloosemore", "ollyloosemore")</f>
        <v>ollyloosemore</v>
      </c>
      <c r="B13614" s="65" t="s">
        <v>8055</v>
      </c>
    </row>
    <row r="13615" spans="1:2" x14ac:dyDescent="0.25">
      <c r="A13615" s="64" t="str">
        <f>HYPERLINK("http://www.twitter.com/Jessica11802207", "Jessica11802207")</f>
        <v>Jessica11802207</v>
      </c>
      <c r="B13615" s="65"/>
    </row>
    <row r="13616" spans="1:2" x14ac:dyDescent="0.25">
      <c r="A13616" s="64" t="str">
        <f>HYPERLINK("http://www.twitter.com/VictoriaSavage", "VictoriaSavage")</f>
        <v>VictoriaSavage</v>
      </c>
      <c r="B13616" s="65"/>
    </row>
    <row r="13617" spans="1:2" x14ac:dyDescent="0.25">
      <c r="A13617" s="64" t="str">
        <f>HYPERLINK("http://www.twitter.com/suzedwards", "suzedwards")</f>
        <v>suzedwards</v>
      </c>
      <c r="B13617" s="65"/>
    </row>
    <row r="13618" spans="1:2" x14ac:dyDescent="0.25">
      <c r="A13618" s="64" t="str">
        <f>HYPERLINK("http://www.twitter.com/alijean1", "alijean1")</f>
        <v>alijean1</v>
      </c>
      <c r="B13618" s="65" t="s">
        <v>517</v>
      </c>
    </row>
    <row r="13619" spans="1:2" x14ac:dyDescent="0.25">
      <c r="A13619" s="64" t="str">
        <f>HYPERLINK("http://www.twitter.com/samuelhorsley", "samuelhorsley")</f>
        <v>samuelhorsley</v>
      </c>
      <c r="B13619" s="65" t="s">
        <v>12</v>
      </c>
    </row>
    <row r="13620" spans="1:2" x14ac:dyDescent="0.25">
      <c r="A13620" s="64" t="str">
        <f>HYPERLINK("http://www.twitter.com/NBD69", "NBD69")</f>
        <v>NBD69</v>
      </c>
      <c r="B13620" s="65" t="s">
        <v>8056</v>
      </c>
    </row>
    <row r="13621" spans="1:2" x14ac:dyDescent="0.25">
      <c r="A13621" s="64" t="str">
        <f>HYPERLINK("http://www.twitter.com/quaveriw", "quaveriw")</f>
        <v>quaveriw</v>
      </c>
      <c r="B13621" s="65"/>
    </row>
    <row r="13622" spans="1:2" x14ac:dyDescent="0.25">
      <c r="A13622" s="64" t="str">
        <f>HYPERLINK("http://www.twitter.com/cory_golden", "cory_golden")</f>
        <v>cory_golden</v>
      </c>
      <c r="B13622" s="65" t="s">
        <v>8057</v>
      </c>
    </row>
    <row r="13623" spans="1:2" x14ac:dyDescent="0.25">
      <c r="A13623" s="64" t="str">
        <f>HYPERLINK("http://www.twitter.com/rosiek56", "rosiek56")</f>
        <v>rosiek56</v>
      </c>
      <c r="B13623" s="65" t="s">
        <v>296</v>
      </c>
    </row>
    <row r="13624" spans="1:2" x14ac:dyDescent="0.25">
      <c r="A13624" s="64" t="str">
        <f>HYPERLINK("http://www.twitter.com/CH0L0K", "CH0L0K")</f>
        <v>CH0L0K</v>
      </c>
      <c r="B13624" s="65" t="s">
        <v>3662</v>
      </c>
    </row>
    <row r="13625" spans="1:2" x14ac:dyDescent="0.25">
      <c r="A13625" s="64" t="str">
        <f>HYPERLINK("http://www.twitter.com/2Jenf", "2Jenf")</f>
        <v>2Jenf</v>
      </c>
      <c r="B13625" s="65" t="s">
        <v>102</v>
      </c>
    </row>
    <row r="13626" spans="1:2" x14ac:dyDescent="0.25">
      <c r="A13626" s="64" t="str">
        <f>HYPERLINK("http://www.twitter.com/Scarpuss", "Scarpuss")</f>
        <v>Scarpuss</v>
      </c>
      <c r="B13626" s="65" t="s">
        <v>8058</v>
      </c>
    </row>
    <row r="13627" spans="1:2" x14ac:dyDescent="0.25">
      <c r="A13627" s="64" t="str">
        <f>HYPERLINK("http://www.twitter.com/warwickprint", "warwickprint")</f>
        <v>warwickprint</v>
      </c>
      <c r="B13627" s="65" t="s">
        <v>8059</v>
      </c>
    </row>
    <row r="13628" spans="1:2" x14ac:dyDescent="0.25">
      <c r="A13628" s="64" t="str">
        <f>HYPERLINK("http://www.twitter.com/BenPearceDJ", "BenPearceDJ")</f>
        <v>BenPearceDJ</v>
      </c>
      <c r="B13628" s="65" t="s">
        <v>477</v>
      </c>
    </row>
    <row r="13629" spans="1:2" x14ac:dyDescent="0.25">
      <c r="A13629" s="64" t="str">
        <f>HYPERLINK("http://www.twitter.com/TristanBeer", "TristanBeer")</f>
        <v>TristanBeer</v>
      </c>
      <c r="B13629" s="65"/>
    </row>
    <row r="13630" spans="1:2" x14ac:dyDescent="0.25">
      <c r="A13630" s="64" t="str">
        <f>HYPERLINK("http://www.twitter.com/nolly_oliver", "nolly_oliver")</f>
        <v>nolly_oliver</v>
      </c>
      <c r="B13630" s="65"/>
    </row>
    <row r="13631" spans="1:2" x14ac:dyDescent="0.25">
      <c r="A13631" s="64" t="str">
        <f>HYPERLINK("http://www.twitter.com/bexlegood", "bexlegood")</f>
        <v>bexlegood</v>
      </c>
      <c r="B13631" s="65" t="s">
        <v>7458</v>
      </c>
    </row>
    <row r="13632" spans="1:2" x14ac:dyDescent="0.25">
      <c r="A13632" s="64" t="str">
        <f>HYPERLINK("http://www.twitter.com/caitsrushby", "caitsrushby")</f>
        <v>caitsrushby</v>
      </c>
      <c r="B13632" s="65" t="s">
        <v>1537</v>
      </c>
    </row>
    <row r="13633" spans="1:2" x14ac:dyDescent="0.25">
      <c r="A13633" s="64" t="str">
        <f>HYPERLINK("http://www.twitter.com/suhanna_s", "suhanna_s")</f>
        <v>suhanna_s</v>
      </c>
      <c r="B13633" s="65" t="s">
        <v>5923</v>
      </c>
    </row>
    <row r="13634" spans="1:2" x14ac:dyDescent="0.25">
      <c r="A13634" s="64" t="str">
        <f>HYPERLINK("http://www.twitter.com/laurabee83", "laurabee83")</f>
        <v>laurabee83</v>
      </c>
      <c r="B13634" s="65" t="s">
        <v>36</v>
      </c>
    </row>
    <row r="13635" spans="1:2" x14ac:dyDescent="0.25">
      <c r="A13635" s="64" t="str">
        <f>HYPERLINK("http://www.twitter.com/BadExampleMan", "BadExampleMan")</f>
        <v>BadExampleMan</v>
      </c>
      <c r="B13635" s="65" t="s">
        <v>8060</v>
      </c>
    </row>
    <row r="13636" spans="1:2" x14ac:dyDescent="0.25">
      <c r="A13636" s="64" t="str">
        <f>HYPERLINK("http://www.twitter.com/BusterBooks", "BusterBooks")</f>
        <v>BusterBooks</v>
      </c>
      <c r="B13636" s="65" t="s">
        <v>8061</v>
      </c>
    </row>
    <row r="13637" spans="1:2" x14ac:dyDescent="0.25">
      <c r="A13637" s="64" t="str">
        <f>HYPERLINK("http://www.twitter.com/francestobler", "francestobler")</f>
        <v>francestobler</v>
      </c>
      <c r="B13637" s="65" t="s">
        <v>8062</v>
      </c>
    </row>
    <row r="13638" spans="1:2" x14ac:dyDescent="0.25">
      <c r="A13638" s="64" t="str">
        <f>HYPERLINK("http://www.twitter.com/raziaiqbal", "raziaiqbal")</f>
        <v>raziaiqbal</v>
      </c>
      <c r="B13638" s="65" t="s">
        <v>5627</v>
      </c>
    </row>
    <row r="13639" spans="1:2" x14ac:dyDescent="0.25">
      <c r="A13639" s="64" t="str">
        <f>HYPERLINK("http://www.twitter.com/purplesmurff", "purplesmurff")</f>
        <v>purplesmurff</v>
      </c>
      <c r="B13639" s="65" t="s">
        <v>8063</v>
      </c>
    </row>
    <row r="13640" spans="1:2" x14ac:dyDescent="0.25">
      <c r="A13640" s="64" t="str">
        <f>HYPERLINK("http://www.twitter.com/EdwinandHubble", "EdwinandHubble")</f>
        <v>EdwinandHubble</v>
      </c>
      <c r="B13640" s="65" t="s">
        <v>517</v>
      </c>
    </row>
    <row r="13641" spans="1:2" x14ac:dyDescent="0.25">
      <c r="A13641" s="64" t="str">
        <f>HYPERLINK("http://www.twitter.com/fin1991Official", "fin1991Official")</f>
        <v>fin1991Official</v>
      </c>
      <c r="B13641" s="65" t="s">
        <v>8064</v>
      </c>
    </row>
    <row r="13642" spans="1:2" x14ac:dyDescent="0.25">
      <c r="A13642" s="64" t="str">
        <f>HYPERLINK("http://www.twitter.com/PJV1610", "PJV1610")</f>
        <v>PJV1610</v>
      </c>
      <c r="B13642" s="65"/>
    </row>
    <row r="13643" spans="1:2" x14ac:dyDescent="0.25">
      <c r="A13643" s="64" t="str">
        <f>HYPERLINK("http://www.twitter.com/another_erin", "another_erin")</f>
        <v>another_erin</v>
      </c>
      <c r="B13643" s="65"/>
    </row>
    <row r="13644" spans="1:2" x14ac:dyDescent="0.25">
      <c r="A13644" s="64" t="str">
        <f>HYPERLINK("http://www.twitter.com/BirthlinkThrift", "BirthlinkThrift")</f>
        <v>BirthlinkThrift</v>
      </c>
      <c r="B13644" s="65" t="s">
        <v>8065</v>
      </c>
    </row>
    <row r="13645" spans="1:2" x14ac:dyDescent="0.25">
      <c r="A13645" s="64" t="str">
        <f>HYPERLINK("http://www.twitter.com/mswalsh", "mswalsh")</f>
        <v>mswalsh</v>
      </c>
      <c r="B13645" s="65" t="s">
        <v>4254</v>
      </c>
    </row>
    <row r="13646" spans="1:2" x14ac:dyDescent="0.25">
      <c r="A13646" s="64" t="str">
        <f>HYPERLINK("http://www.twitter.com/TimperleySunset", "TimperleySunset")</f>
        <v>TimperleySunset</v>
      </c>
      <c r="B13646" s="65"/>
    </row>
    <row r="13647" spans="1:2" x14ac:dyDescent="0.25">
      <c r="A13647" s="64" t="str">
        <f>HYPERLINK("http://www.twitter.com/ChesterfieldAC", "ChesterfieldAC")</f>
        <v>ChesterfieldAC</v>
      </c>
      <c r="B13647" s="65" t="s">
        <v>8066</v>
      </c>
    </row>
    <row r="13648" spans="1:2" x14ac:dyDescent="0.25">
      <c r="A13648" s="64" t="str">
        <f>HYPERLINK("http://www.twitter.com/LARK05", "LARK05")</f>
        <v>LARK05</v>
      </c>
      <c r="B13648" s="65" t="s">
        <v>8067</v>
      </c>
    </row>
    <row r="13649" spans="1:2" x14ac:dyDescent="0.25">
      <c r="A13649" s="64" t="str">
        <f>HYPERLINK("http://www.twitter.com/DrMoiraShemilt", "DrMoiraShemilt")</f>
        <v>DrMoiraShemilt</v>
      </c>
      <c r="B13649" s="65" t="s">
        <v>8068</v>
      </c>
    </row>
    <row r="13650" spans="1:2" x14ac:dyDescent="0.25">
      <c r="A13650" s="64" t="str">
        <f>HYPERLINK("http://www.twitter.com/MsPassmore", "MsPassmore")</f>
        <v>MsPassmore</v>
      </c>
      <c r="B13650" s="65" t="s">
        <v>36</v>
      </c>
    </row>
    <row r="13651" spans="1:2" x14ac:dyDescent="0.25">
      <c r="A13651" s="64" t="str">
        <f>HYPERLINK("http://www.twitter.com/IMP_aberdeen", "IMP_aberdeen")</f>
        <v>IMP_aberdeen</v>
      </c>
      <c r="B13651" s="65" t="s">
        <v>569</v>
      </c>
    </row>
    <row r="13652" spans="1:2" x14ac:dyDescent="0.25">
      <c r="A13652" s="64" t="str">
        <f>HYPERLINK("http://www.twitter.com/ScotRussiaForum", "ScotRussiaForum")</f>
        <v>ScotRussiaForum</v>
      </c>
      <c r="B13652" s="65" t="s">
        <v>601</v>
      </c>
    </row>
    <row r="13653" spans="1:2" x14ac:dyDescent="0.25">
      <c r="A13653" s="64" t="str">
        <f>HYPERLINK("http://www.twitter.com/Jleesutton", "Jleesutton")</f>
        <v>Jleesutton</v>
      </c>
      <c r="B13653" s="65"/>
    </row>
    <row r="13654" spans="1:2" x14ac:dyDescent="0.25">
      <c r="A13654" s="64" t="str">
        <f>HYPERLINK("http://www.twitter.com/noirem", "noirem")</f>
        <v>noirem</v>
      </c>
      <c r="B13654" s="65" t="s">
        <v>8069</v>
      </c>
    </row>
    <row r="13655" spans="1:2" x14ac:dyDescent="0.25">
      <c r="A13655" s="64" t="str">
        <f>HYPERLINK("http://www.twitter.com/simonbrownsb", "simonbrownsb")</f>
        <v>simonbrownsb</v>
      </c>
      <c r="B13655" s="65" t="s">
        <v>67</v>
      </c>
    </row>
    <row r="13656" spans="1:2" x14ac:dyDescent="0.25">
      <c r="A13656" s="64" t="str">
        <f>HYPERLINK("http://www.twitter.com/mackayg75", "mackayg75")</f>
        <v>mackayg75</v>
      </c>
      <c r="B13656" s="65" t="s">
        <v>115</v>
      </c>
    </row>
    <row r="13657" spans="1:2" x14ac:dyDescent="0.25">
      <c r="A13657" s="64" t="str">
        <f>HYPERLINK("http://www.twitter.com/gummitch_uk", "gummitch_uk")</f>
        <v>gummitch_uk</v>
      </c>
      <c r="B13657" s="65"/>
    </row>
    <row r="13658" spans="1:2" x14ac:dyDescent="0.25">
      <c r="A13658" s="64" t="str">
        <f>HYPERLINK("http://www.twitter.com/wheezebag", "wheezebag")</f>
        <v>wheezebag</v>
      </c>
      <c r="B13658" s="65"/>
    </row>
    <row r="13659" spans="1:2" x14ac:dyDescent="0.25">
      <c r="A13659" s="64" t="str">
        <f>HYPERLINK("http://www.twitter.com/davielyons01", "davielyons01")</f>
        <v>davielyons01</v>
      </c>
      <c r="B13659" s="65" t="s">
        <v>8070</v>
      </c>
    </row>
    <row r="13660" spans="1:2" x14ac:dyDescent="0.25">
      <c r="A13660" s="64" t="str">
        <f>HYPERLINK("http://www.twitter.com/MhairiMcCabe", "MhairiMcCabe")</f>
        <v>MhairiMcCabe</v>
      </c>
      <c r="B13660" s="65"/>
    </row>
    <row r="13661" spans="1:2" x14ac:dyDescent="0.25">
      <c r="A13661" s="64" t="str">
        <f>HYPERLINK("http://www.twitter.com/Heather_Leask", "Heather_Leask")</f>
        <v>Heather_Leask</v>
      </c>
      <c r="B13661" s="65"/>
    </row>
    <row r="13662" spans="1:2" x14ac:dyDescent="0.25">
      <c r="A13662" s="64" t="str">
        <f>HYPERLINK("http://www.twitter.com/macdonke", "macdonke")</f>
        <v>macdonke</v>
      </c>
      <c r="B13662" s="65" t="s">
        <v>517</v>
      </c>
    </row>
    <row r="13663" spans="1:2" x14ac:dyDescent="0.25">
      <c r="A13663" s="64" t="str">
        <f>HYPERLINK("http://www.twitter.com/Candlelands", "Candlelands")</f>
        <v>Candlelands</v>
      </c>
      <c r="B13663" s="65" t="s">
        <v>138</v>
      </c>
    </row>
    <row r="13664" spans="1:2" x14ac:dyDescent="0.25">
      <c r="A13664" s="64" t="str">
        <f>HYPERLINK("http://www.twitter.com/Sewerhorse1", "Sewerhorse1")</f>
        <v>Sewerhorse1</v>
      </c>
      <c r="B13664" s="65"/>
    </row>
    <row r="13665" spans="1:2" x14ac:dyDescent="0.25">
      <c r="A13665" s="64" t="str">
        <f>HYPERLINK("http://www.twitter.com/stemacl", "stemacl")</f>
        <v>stemacl</v>
      </c>
      <c r="B13665" s="65"/>
    </row>
    <row r="13666" spans="1:2" x14ac:dyDescent="0.25">
      <c r="A13666" s="64" t="str">
        <f>HYPERLINK("http://www.twitter.com/jenlowis", "jenlowis")</f>
        <v>jenlowis</v>
      </c>
      <c r="B13666" s="65" t="s">
        <v>526</v>
      </c>
    </row>
    <row r="13667" spans="1:2" x14ac:dyDescent="0.25">
      <c r="A13667" s="64" t="str">
        <f>HYPERLINK("http://www.twitter.com/kenningtonkitty", "kenningtonkitty")</f>
        <v>kenningtonkitty</v>
      </c>
      <c r="B13667" s="65" t="s">
        <v>36</v>
      </c>
    </row>
    <row r="13668" spans="1:2" x14ac:dyDescent="0.25">
      <c r="A13668" s="64" t="str">
        <f>HYPERLINK("http://www.twitter.com/PaulRusten", "PaulRusten")</f>
        <v>PaulRusten</v>
      </c>
      <c r="B13668" s="65" t="s">
        <v>7170</v>
      </c>
    </row>
    <row r="13669" spans="1:2" x14ac:dyDescent="0.25">
      <c r="A13669" s="64" t="str">
        <f>HYPERLINK("http://www.twitter.com/purplelillith", "purplelillith")</f>
        <v>purplelillith</v>
      </c>
      <c r="B13669" s="65" t="s">
        <v>8071</v>
      </c>
    </row>
    <row r="13670" spans="1:2" x14ac:dyDescent="0.25">
      <c r="A13670" s="64" t="str">
        <f>HYPERLINK("http://www.twitter.com/OonaSledge", "OonaSledge")</f>
        <v>OonaSledge</v>
      </c>
      <c r="B13670" s="65"/>
    </row>
    <row r="13671" spans="1:2" x14ac:dyDescent="0.25">
      <c r="A13671" s="64" t="str">
        <f>HYPERLINK("http://www.twitter.com/miamaciver_", "miamaciver_")</f>
        <v>miamaciver_</v>
      </c>
      <c r="B13671" s="65" t="s">
        <v>5161</v>
      </c>
    </row>
    <row r="13672" spans="1:2" x14ac:dyDescent="0.25">
      <c r="A13672" s="64" t="str">
        <f>HYPERLINK("http://www.twitter.com/ElsbethIren", "ElsbethIren")</f>
        <v>ElsbethIren</v>
      </c>
      <c r="B13672" s="65" t="s">
        <v>7327</v>
      </c>
    </row>
    <row r="13673" spans="1:2" x14ac:dyDescent="0.25">
      <c r="A13673" s="64" t="str">
        <f>HYPERLINK("http://www.twitter.com/elaineandbiting", "elaineandbiting")</f>
        <v>elaineandbiting</v>
      </c>
      <c r="B13673" s="65" t="s">
        <v>8072</v>
      </c>
    </row>
    <row r="13674" spans="1:2" x14ac:dyDescent="0.25">
      <c r="A13674" s="64" t="str">
        <f>HYPERLINK("http://www.twitter.com/aggstie", "aggstie")</f>
        <v>aggstie</v>
      </c>
      <c r="B13674" s="65" t="s">
        <v>8073</v>
      </c>
    </row>
    <row r="13675" spans="1:2" x14ac:dyDescent="0.25">
      <c r="A13675" s="64" t="str">
        <f>HYPERLINK("http://www.twitter.com/SCCI_Sara", "SCCI_Sara")</f>
        <v>SCCI_Sara</v>
      </c>
      <c r="B13675" s="65"/>
    </row>
    <row r="13676" spans="1:2" x14ac:dyDescent="0.25">
      <c r="A13676" s="64" t="str">
        <f>HYPERLINK("http://www.twitter.com/Carolcicley", "Carolcicley")</f>
        <v>Carolcicley</v>
      </c>
      <c r="B13676" s="65" t="s">
        <v>3040</v>
      </c>
    </row>
    <row r="13677" spans="1:2" x14ac:dyDescent="0.25">
      <c r="A13677" s="64" t="str">
        <f>HYPERLINK("http://www.twitter.com/neenileze", "neenileze")</f>
        <v>neenileze</v>
      </c>
      <c r="B13677" s="65"/>
    </row>
    <row r="13678" spans="1:2" x14ac:dyDescent="0.25">
      <c r="A13678" s="64" t="str">
        <f>HYPERLINK("http://www.twitter.com/SimonDeDeo", "SimonDeDeo")</f>
        <v>SimonDeDeo</v>
      </c>
      <c r="B13678" s="65" t="s">
        <v>4001</v>
      </c>
    </row>
    <row r="13679" spans="1:2" x14ac:dyDescent="0.25">
      <c r="A13679" s="64" t="str">
        <f>HYPERLINK("http://www.twitter.com/NrdsWhoLuvStuff", "NrdsWhoLuvStuff")</f>
        <v>NrdsWhoLuvStuff</v>
      </c>
      <c r="B13679" s="65" t="s">
        <v>8074</v>
      </c>
    </row>
    <row r="13680" spans="1:2" x14ac:dyDescent="0.25">
      <c r="A13680" s="64" t="str">
        <f>HYPERLINK("http://www.twitter.com/Stephieface", "Stephieface")</f>
        <v>Stephieface</v>
      </c>
      <c r="B13680" s="65"/>
    </row>
    <row r="13681" spans="1:2" x14ac:dyDescent="0.25">
      <c r="A13681" s="64" t="str">
        <f>HYPERLINK("http://www.twitter.com/loungerover", "loungerover")</f>
        <v>loungerover</v>
      </c>
      <c r="B13681" s="65"/>
    </row>
    <row r="13682" spans="1:2" x14ac:dyDescent="0.25">
      <c r="A13682" s="64" t="str">
        <f>HYPERLINK("http://www.twitter.com/Sage5357", "Sage5357")</f>
        <v>Sage5357</v>
      </c>
      <c r="B13682" s="65" t="s">
        <v>7571</v>
      </c>
    </row>
    <row r="13683" spans="1:2" x14ac:dyDescent="0.25">
      <c r="A13683" s="64" t="str">
        <f>HYPERLINK("http://www.twitter.com/bow_tiefighter", "bow_tiefighter")</f>
        <v>bow_tiefighter</v>
      </c>
      <c r="B13683" s="65" t="s">
        <v>8075</v>
      </c>
    </row>
    <row r="13684" spans="1:2" x14ac:dyDescent="0.25">
      <c r="A13684" s="64" t="str">
        <f>HYPERLINK("http://www.twitter.com/SarahMi33702895", "SarahMi33702895")</f>
        <v>SarahMi33702895</v>
      </c>
      <c r="B13684" s="65"/>
    </row>
    <row r="13685" spans="1:2" x14ac:dyDescent="0.25">
      <c r="A13685" s="64" t="str">
        <f>HYPERLINK("http://www.twitter.com/ajayding", "ajayding")</f>
        <v>ajayding</v>
      </c>
      <c r="B13685" s="65"/>
    </row>
    <row r="13686" spans="1:2" x14ac:dyDescent="0.25">
      <c r="A13686" s="64" t="str">
        <f>HYPERLINK("http://www.twitter.com/MontgolfiereW", "MontgolfiereW")</f>
        <v>MontgolfiereW</v>
      </c>
      <c r="B13686" s="65"/>
    </row>
    <row r="13687" spans="1:2" x14ac:dyDescent="0.25">
      <c r="A13687" s="64" t="str">
        <f>HYPERLINK("http://www.twitter.com/SamKennedy13", "SamKennedy13")</f>
        <v>SamKennedy13</v>
      </c>
      <c r="B13687" s="65"/>
    </row>
    <row r="13688" spans="1:2" x14ac:dyDescent="0.25">
      <c r="A13688" s="64" t="str">
        <f>HYPERLINK("http://www.twitter.com/Cyclingblanche", "Cyclingblanche")</f>
        <v>Cyclingblanche</v>
      </c>
      <c r="B13688" s="65" t="s">
        <v>36</v>
      </c>
    </row>
    <row r="13689" spans="1:2" x14ac:dyDescent="0.25">
      <c r="A13689" s="64" t="str">
        <f>HYPERLINK("http://www.twitter.com/FrenzelBelinda", "FrenzelBelinda")</f>
        <v>FrenzelBelinda</v>
      </c>
      <c r="B13689" s="65" t="s">
        <v>6681</v>
      </c>
    </row>
    <row r="13690" spans="1:2" x14ac:dyDescent="0.25">
      <c r="A13690" s="64" t="str">
        <f>HYPERLINK("http://www.twitter.com/HeleneJoon", "HeleneJoon")</f>
        <v>HeleneJoon</v>
      </c>
      <c r="B13690" s="65" t="s">
        <v>2270</v>
      </c>
    </row>
    <row r="13691" spans="1:2" x14ac:dyDescent="0.25">
      <c r="A13691" s="64" t="str">
        <f>HYPERLINK("http://www.twitter.com/Mary_Higgs", "Mary_Higgs")</f>
        <v>Mary_Higgs</v>
      </c>
      <c r="B13691" s="65" t="s">
        <v>4122</v>
      </c>
    </row>
    <row r="13692" spans="1:2" x14ac:dyDescent="0.25">
      <c r="A13692" s="64" t="str">
        <f>HYPERLINK("http://www.twitter.com/SeonagMac", "SeonagMac")</f>
        <v>SeonagMac</v>
      </c>
      <c r="B13692" s="65"/>
    </row>
    <row r="13693" spans="1:2" x14ac:dyDescent="0.25">
      <c r="A13693" s="64" t="str">
        <f>HYPERLINK("http://www.twitter.com/assemblagiste", "assemblagiste")</f>
        <v>assemblagiste</v>
      </c>
      <c r="B13693" s="65" t="s">
        <v>7050</v>
      </c>
    </row>
    <row r="13694" spans="1:2" x14ac:dyDescent="0.25">
      <c r="A13694" s="64" t="str">
        <f>HYPERLINK("http://www.twitter.com/nixylarou", "nixylarou")</f>
        <v>nixylarou</v>
      </c>
      <c r="B13694" s="65" t="s">
        <v>24</v>
      </c>
    </row>
    <row r="13695" spans="1:2" x14ac:dyDescent="0.25">
      <c r="A13695" s="64" t="str">
        <f>HYPERLINK("http://www.twitter.com/susyp47", "susyp47")</f>
        <v>susyp47</v>
      </c>
      <c r="B13695" s="65"/>
    </row>
    <row r="13696" spans="1:2" x14ac:dyDescent="0.25">
      <c r="A13696" s="64" t="str">
        <f>HYPERLINK("http://www.twitter.com/hellonwheeels", "hellonwheeels")</f>
        <v>hellonwheeels</v>
      </c>
      <c r="B13696" s="65"/>
    </row>
    <row r="13697" spans="1:2" x14ac:dyDescent="0.25">
      <c r="A13697" s="64" t="str">
        <f>HYPERLINK("http://www.twitter.com/daibhin", "daibhin")</f>
        <v>daibhin</v>
      </c>
      <c r="B13697" s="65"/>
    </row>
    <row r="13698" spans="1:2" x14ac:dyDescent="0.25">
      <c r="A13698" s="64" t="str">
        <f>HYPERLINK("http://www.twitter.com/Michael_Brera", "Michael_Brera")</f>
        <v>Michael_Brera</v>
      </c>
      <c r="B13698" s="65" t="s">
        <v>8076</v>
      </c>
    </row>
    <row r="13699" spans="1:2" x14ac:dyDescent="0.25">
      <c r="A13699" s="64" t="str">
        <f>HYPERLINK("http://www.twitter.com/tweetingkt", "tweetingkt")</f>
        <v>tweetingkt</v>
      </c>
      <c r="B13699" s="65" t="s">
        <v>487</v>
      </c>
    </row>
    <row r="13700" spans="1:2" x14ac:dyDescent="0.25">
      <c r="A13700" s="64" t="str">
        <f>HYPERLINK("http://www.twitter.com/LuGateau", "LuGateau")</f>
        <v>LuGateau</v>
      </c>
      <c r="B13700" s="65" t="s">
        <v>8077</v>
      </c>
    </row>
    <row r="13701" spans="1:2" x14ac:dyDescent="0.25">
      <c r="A13701" s="64" t="str">
        <f>HYPERLINK("http://www.twitter.com/michaelevs", "michaelevs")</f>
        <v>michaelevs</v>
      </c>
      <c r="B13701" s="65" t="s">
        <v>6873</v>
      </c>
    </row>
    <row r="13702" spans="1:2" x14ac:dyDescent="0.25">
      <c r="A13702" s="64" t="str">
        <f>HYPERLINK("http://www.twitter.com/dallasLIBteens", "dallasLIBteens")</f>
        <v>dallasLIBteens</v>
      </c>
      <c r="B13702" s="65" t="s">
        <v>4702</v>
      </c>
    </row>
    <row r="13703" spans="1:2" x14ac:dyDescent="0.25">
      <c r="A13703" s="64" t="str">
        <f>HYPERLINK("http://www.twitter.com/RosslynBlundell", "RosslynBlundell")</f>
        <v>RosslynBlundell</v>
      </c>
      <c r="B13703" s="65" t="s">
        <v>6492</v>
      </c>
    </row>
    <row r="13704" spans="1:2" x14ac:dyDescent="0.25">
      <c r="A13704" s="64" t="str">
        <f>HYPERLINK("http://www.twitter.com/Cathy_May", "Cathy_May")</f>
        <v>Cathy_May</v>
      </c>
      <c r="B13704" s="65" t="s">
        <v>1790</v>
      </c>
    </row>
    <row r="13705" spans="1:2" x14ac:dyDescent="0.25">
      <c r="A13705" s="64" t="str">
        <f>HYPERLINK("http://www.twitter.com/Grandnes", "Grandnes")</f>
        <v>Grandnes</v>
      </c>
      <c r="B13705" s="65" t="s">
        <v>5702</v>
      </c>
    </row>
    <row r="13706" spans="1:2" x14ac:dyDescent="0.25">
      <c r="A13706" s="64" t="str">
        <f>HYPERLINK("http://www.twitter.com/PrudenceCrow", "PrudenceCrow")</f>
        <v>PrudenceCrow</v>
      </c>
      <c r="B13706" s="65" t="s">
        <v>110</v>
      </c>
    </row>
    <row r="13707" spans="1:2" x14ac:dyDescent="0.25">
      <c r="A13707" s="64" t="str">
        <f>HYPERLINK("http://www.twitter.com/alex__mcpherson", "alex__mcpherson")</f>
        <v>alex__mcpherson</v>
      </c>
      <c r="B13707" s="65" t="s">
        <v>2041</v>
      </c>
    </row>
    <row r="13708" spans="1:2" x14ac:dyDescent="0.25">
      <c r="A13708" s="64" t="str">
        <f>HYPERLINK("http://www.twitter.com/duckiemonster", "duckiemonster")</f>
        <v>duckiemonster</v>
      </c>
      <c r="B13708" s="65" t="s">
        <v>1008</v>
      </c>
    </row>
    <row r="13709" spans="1:2" x14ac:dyDescent="0.25">
      <c r="A13709" s="64" t="str">
        <f>HYPERLINK("http://www.twitter.com/DCoonehhh", "DCoonehhh")</f>
        <v>DCoonehhh</v>
      </c>
      <c r="B13709" s="65" t="s">
        <v>8078</v>
      </c>
    </row>
    <row r="13710" spans="1:2" x14ac:dyDescent="0.25">
      <c r="A13710" s="64" t="str">
        <f>HYPERLINK("http://www.twitter.com/scarletjac", "scarletjac")</f>
        <v>scarletjac</v>
      </c>
      <c r="B13710" s="65" t="s">
        <v>8079</v>
      </c>
    </row>
    <row r="13711" spans="1:2" x14ac:dyDescent="0.25">
      <c r="A13711" s="64" t="str">
        <f>HYPERLINK("http://www.twitter.com/alisonborealis", "alisonborealis")</f>
        <v>alisonborealis</v>
      </c>
      <c r="B13711" s="65" t="s">
        <v>8080</v>
      </c>
    </row>
    <row r="13712" spans="1:2" x14ac:dyDescent="0.25">
      <c r="A13712" s="64" t="str">
        <f>HYPERLINK("http://www.twitter.com/fitaloon", "fitaloon")</f>
        <v>fitaloon</v>
      </c>
      <c r="B13712" s="65" t="s">
        <v>8081</v>
      </c>
    </row>
    <row r="13713" spans="1:2" x14ac:dyDescent="0.25">
      <c r="A13713" s="64" t="str">
        <f>HYPERLINK("http://www.twitter.com/uschebit", "uschebit")</f>
        <v>uschebit</v>
      </c>
      <c r="B13713" s="65" t="s">
        <v>8082</v>
      </c>
    </row>
    <row r="13714" spans="1:2" x14ac:dyDescent="0.25">
      <c r="A13714" s="64" t="str">
        <f>HYPERLINK("http://www.twitter.com/morgue75", "morgue75")</f>
        <v>morgue75</v>
      </c>
      <c r="B13714" s="65" t="s">
        <v>4132</v>
      </c>
    </row>
    <row r="13715" spans="1:2" x14ac:dyDescent="0.25">
      <c r="A13715" s="64" t="str">
        <f>HYPERLINK("http://www.twitter.com/RobertAlanWood", "RobertAlanWood")</f>
        <v>RobertAlanWood</v>
      </c>
      <c r="B13715" s="65" t="s">
        <v>186</v>
      </c>
    </row>
    <row r="13716" spans="1:2" x14ac:dyDescent="0.25">
      <c r="A13716" s="64" t="str">
        <f>HYPERLINK("http://www.twitter.com/TheCityofNames", "TheCityofNames")</f>
        <v>TheCityofNames</v>
      </c>
      <c r="B13716" s="65"/>
    </row>
    <row r="13717" spans="1:2" x14ac:dyDescent="0.25">
      <c r="A13717" s="64" t="str">
        <f>HYPERLINK("http://www.twitter.com/bill_sich", "bill_sich")</f>
        <v>bill_sich</v>
      </c>
      <c r="B13717" s="65" t="s">
        <v>8083</v>
      </c>
    </row>
    <row r="13718" spans="1:2" x14ac:dyDescent="0.25">
      <c r="A13718" s="64" t="str">
        <f>HYPERLINK("http://www.twitter.com/_joker_mike", "_joker_mike")</f>
        <v>_joker_mike</v>
      </c>
      <c r="B13718" s="65" t="s">
        <v>8084</v>
      </c>
    </row>
    <row r="13719" spans="1:2" x14ac:dyDescent="0.25">
      <c r="A13719" s="64" t="str">
        <f>HYPERLINK("http://www.twitter.com/WorcsBkAwards", "WorcsBkAwards")</f>
        <v>WorcsBkAwards</v>
      </c>
      <c r="B13719" s="65"/>
    </row>
    <row r="13720" spans="1:2" x14ac:dyDescent="0.25">
      <c r="A13720" s="64" t="str">
        <f>HYPERLINK("http://www.twitter.com/RachelHawkins14", "RachelHawkins14")</f>
        <v>RachelHawkins14</v>
      </c>
      <c r="B13720" s="65" t="s">
        <v>1295</v>
      </c>
    </row>
    <row r="13721" spans="1:2" x14ac:dyDescent="0.25">
      <c r="A13721" s="64" t="str">
        <f>HYPERLINK("http://www.twitter.com/DetSgtTaylor", "DetSgtTaylor")</f>
        <v>DetSgtTaylor</v>
      </c>
      <c r="B13721" s="65" t="s">
        <v>8085</v>
      </c>
    </row>
    <row r="13722" spans="1:2" x14ac:dyDescent="0.25">
      <c r="A13722" s="64" t="str">
        <f>HYPERLINK("http://www.twitter.com/cavetroll1966", "cavetroll1966")</f>
        <v>cavetroll1966</v>
      </c>
      <c r="B13722" s="65"/>
    </row>
    <row r="13723" spans="1:2" x14ac:dyDescent="0.25">
      <c r="A13723" s="64" t="str">
        <f>HYPERLINK("http://www.twitter.com/MalfoyWeasly", "MalfoyWeasly")</f>
        <v>MalfoyWeasly</v>
      </c>
      <c r="B13723" s="65" t="s">
        <v>8086</v>
      </c>
    </row>
    <row r="13724" spans="1:2" x14ac:dyDescent="0.25">
      <c r="A13724" s="64" t="str">
        <f>HYPERLINK("http://www.twitter.com/derekstillie", "derekstillie")</f>
        <v>derekstillie</v>
      </c>
      <c r="B13724" s="65"/>
    </row>
    <row r="13725" spans="1:2" x14ac:dyDescent="0.25">
      <c r="A13725" s="64" t="str">
        <f>HYPERLINK("http://www.twitter.com/elliegauldx", "elliegauldx")</f>
        <v>elliegauldx</v>
      </c>
      <c r="B13725" s="65" t="s">
        <v>8087</v>
      </c>
    </row>
    <row r="13726" spans="1:2" x14ac:dyDescent="0.25">
      <c r="A13726" s="64" t="str">
        <f>HYPERLINK("http://www.twitter.com/TPAS0001", "TPAS0001")</f>
        <v>TPAS0001</v>
      </c>
      <c r="B13726" s="65" t="s">
        <v>4820</v>
      </c>
    </row>
    <row r="13727" spans="1:2" x14ac:dyDescent="0.25">
      <c r="A13727" s="64" t="str">
        <f>HYPERLINK("http://www.twitter.com/annonastring", "annonastring")</f>
        <v>annonastring</v>
      </c>
      <c r="B13727" s="65"/>
    </row>
    <row r="13728" spans="1:2" x14ac:dyDescent="0.25">
      <c r="A13728" s="64" t="str">
        <f>HYPERLINK("http://www.twitter.com/Buttonee", "Buttonee")</f>
        <v>Buttonee</v>
      </c>
      <c r="B13728" s="65"/>
    </row>
    <row r="13729" spans="1:2" x14ac:dyDescent="0.25">
      <c r="A13729" s="64" t="str">
        <f>HYPERLINK("http://www.twitter.com/ipa1869", "ipa1869")</f>
        <v>ipa1869</v>
      </c>
      <c r="B13729" s="65"/>
    </row>
    <row r="13730" spans="1:2" x14ac:dyDescent="0.25">
      <c r="A13730" s="64" t="str">
        <f>HYPERLINK("http://www.twitter.com/DanielCattanach", "DanielCattanach")</f>
        <v>DanielCattanach</v>
      </c>
      <c r="B13730" s="65" t="s">
        <v>8088</v>
      </c>
    </row>
    <row r="13731" spans="1:2" x14ac:dyDescent="0.25">
      <c r="A13731" s="64" t="str">
        <f>HYPERLINK("http://www.twitter.com/uptongirl", "uptongirl")</f>
        <v>uptongirl</v>
      </c>
      <c r="B13731" s="65" t="s">
        <v>6073</v>
      </c>
    </row>
    <row r="13732" spans="1:2" x14ac:dyDescent="0.25">
      <c r="A13732" s="64" t="str">
        <f>HYPERLINK("http://www.twitter.com/eilidhrm", "eilidhrm")</f>
        <v>eilidhrm</v>
      </c>
      <c r="B13732" s="65" t="s">
        <v>487</v>
      </c>
    </row>
    <row r="13733" spans="1:2" x14ac:dyDescent="0.25">
      <c r="A13733" s="64" t="str">
        <f>HYPERLINK("http://www.twitter.com/Barbara_Schnell", "Barbara_Schnell")</f>
        <v>Barbara_Schnell</v>
      </c>
      <c r="B13733" s="65" t="s">
        <v>7775</v>
      </c>
    </row>
    <row r="13734" spans="1:2" x14ac:dyDescent="0.25">
      <c r="A13734" s="64" t="str">
        <f>HYPERLINK("http://www.twitter.com/the_real_glider", "the_real_glider")</f>
        <v>the_real_glider</v>
      </c>
      <c r="B13734" s="65" t="s">
        <v>8089</v>
      </c>
    </row>
    <row r="13735" spans="1:2" x14ac:dyDescent="0.25">
      <c r="A13735" s="64" t="str">
        <f>HYPERLINK("http://www.twitter.com/taranakicowboy", "taranakicowboy")</f>
        <v>taranakicowboy</v>
      </c>
      <c r="B13735" s="65" t="s">
        <v>8090</v>
      </c>
    </row>
    <row r="13736" spans="1:2" x14ac:dyDescent="0.25">
      <c r="A13736" s="64" t="str">
        <f>HYPERLINK("http://www.twitter.com/sassahbrito", "sassahbrito")</f>
        <v>sassahbrito</v>
      </c>
      <c r="B13736" s="65" t="s">
        <v>8091</v>
      </c>
    </row>
    <row r="13737" spans="1:2" x14ac:dyDescent="0.25">
      <c r="A13737" s="64" t="str">
        <f>HYPERLINK("http://www.twitter.com/TaraGenova", "TaraGenova")</f>
        <v>TaraGenova</v>
      </c>
      <c r="B13737" s="65" t="s">
        <v>4370</v>
      </c>
    </row>
    <row r="13738" spans="1:2" x14ac:dyDescent="0.25">
      <c r="A13738" s="64" t="str">
        <f>HYPERLINK("http://www.twitter.com/ACManson17", "ACManson17")</f>
        <v>ACManson17</v>
      </c>
      <c r="B13738" s="65"/>
    </row>
    <row r="13739" spans="1:2" x14ac:dyDescent="0.25">
      <c r="A13739" s="64" t="str">
        <f>HYPERLINK("http://www.twitter.com/superears", "superears")</f>
        <v>superears</v>
      </c>
      <c r="B13739" s="65" t="s">
        <v>8092</v>
      </c>
    </row>
    <row r="13740" spans="1:2" x14ac:dyDescent="0.25">
      <c r="A13740" s="64" t="str">
        <f>HYPERLINK("http://www.twitter.com/rae102011", "rae102011")</f>
        <v>rae102011</v>
      </c>
      <c r="B13740" s="65" t="s">
        <v>296</v>
      </c>
    </row>
    <row r="13741" spans="1:2" x14ac:dyDescent="0.25">
      <c r="A13741" s="64" t="str">
        <f>HYPERLINK("http://www.twitter.com/lawandrights", "lawandrights")</f>
        <v>lawandrights</v>
      </c>
      <c r="B13741" s="65" t="s">
        <v>477</v>
      </c>
    </row>
    <row r="13742" spans="1:2" x14ac:dyDescent="0.25">
      <c r="A13742" s="64" t="str">
        <f>HYPERLINK("http://www.twitter.com/ErbusaigCottage", "ErbusaigCottage")</f>
        <v>ErbusaigCottage</v>
      </c>
      <c r="B13742" s="65"/>
    </row>
    <row r="13743" spans="1:2" x14ac:dyDescent="0.25">
      <c r="A13743" s="64" t="str">
        <f>HYPERLINK("http://www.twitter.com/OL_Central", "OL_Central")</f>
        <v>OL_Central</v>
      </c>
      <c r="B13743" s="65" t="s">
        <v>5336</v>
      </c>
    </row>
    <row r="13744" spans="1:2" x14ac:dyDescent="0.25">
      <c r="A13744" s="64" t="str">
        <f>HYPERLINK("http://www.twitter.com/bravissima30", "bravissima30")</f>
        <v>bravissima30</v>
      </c>
      <c r="B13744" s="65" t="s">
        <v>8093</v>
      </c>
    </row>
    <row r="13745" spans="1:2" x14ac:dyDescent="0.25">
      <c r="A13745" s="64" t="str">
        <f>HYPERLINK("http://www.twitter.com/weeannieg", "weeannieg")</f>
        <v>weeannieg</v>
      </c>
      <c r="B13745" s="65"/>
    </row>
    <row r="13746" spans="1:2" x14ac:dyDescent="0.25">
      <c r="A13746" s="64" t="str">
        <f>HYPERLINK("http://www.twitter.com/duncanmmacleod", "duncanmmacleod")</f>
        <v>duncanmmacleod</v>
      </c>
      <c r="B13746" s="65" t="s">
        <v>8094</v>
      </c>
    </row>
    <row r="13747" spans="1:2" x14ac:dyDescent="0.25">
      <c r="A13747" s="64" t="str">
        <f>HYPERLINK("http://www.twitter.com/Andymack", "Andymack")</f>
        <v>Andymack</v>
      </c>
      <c r="B13747" s="65"/>
    </row>
    <row r="13748" spans="1:2" x14ac:dyDescent="0.25">
      <c r="A13748" s="64" t="str">
        <f>HYPERLINK("http://www.twitter.com/MBrooksshield21", "MBrooksshield21")</f>
        <v>MBrooksshield21</v>
      </c>
      <c r="B13748" s="65"/>
    </row>
    <row r="13749" spans="1:2" x14ac:dyDescent="0.25">
      <c r="A13749" s="64" t="str">
        <f>HYPERLINK("http://www.twitter.com/niznoz", "niznoz")</f>
        <v>niznoz</v>
      </c>
      <c r="B13749" s="65"/>
    </row>
    <row r="13750" spans="1:2" x14ac:dyDescent="0.25">
      <c r="A13750" s="64" t="str">
        <f>HYPERLINK("http://www.twitter.com/SpiceGirl1872", "SpiceGirl1872")</f>
        <v>SpiceGirl1872</v>
      </c>
      <c r="B13750" s="65" t="s">
        <v>138</v>
      </c>
    </row>
    <row r="13751" spans="1:2" x14ac:dyDescent="0.25">
      <c r="A13751" s="64" t="str">
        <f>HYPERLINK("http://www.twitter.com/Calvinotis", "Calvinotis")</f>
        <v>Calvinotis</v>
      </c>
      <c r="B13751" s="65"/>
    </row>
    <row r="13752" spans="1:2" x14ac:dyDescent="0.25">
      <c r="A13752" s="64" t="str">
        <f>HYPERLINK("http://www.twitter.com/knittingheathen", "knittingheathen")</f>
        <v>knittingheathen</v>
      </c>
      <c r="B13752" s="65" t="s">
        <v>296</v>
      </c>
    </row>
    <row r="13753" spans="1:2" x14ac:dyDescent="0.25">
      <c r="A13753" s="64" t="str">
        <f>HYPERLINK("http://www.twitter.com/aljomurr88", "aljomurr88")</f>
        <v>aljomurr88</v>
      </c>
      <c r="B13753" s="65" t="s">
        <v>8095</v>
      </c>
    </row>
    <row r="13754" spans="1:2" x14ac:dyDescent="0.25">
      <c r="A13754" s="64" t="str">
        <f>HYPERLINK("http://www.twitter.com/micki_downey", "micki_downey")</f>
        <v>micki_downey</v>
      </c>
      <c r="B13754" s="65"/>
    </row>
    <row r="13755" spans="1:2" x14ac:dyDescent="0.25">
      <c r="A13755" s="64" t="str">
        <f>HYPERLINK("http://www.twitter.com/arvlumley", "arvlumley")</f>
        <v>arvlumley</v>
      </c>
      <c r="B13755" s="65" t="s">
        <v>4039</v>
      </c>
    </row>
    <row r="13756" spans="1:2" x14ac:dyDescent="0.25">
      <c r="A13756" s="64" t="str">
        <f>HYPERLINK("http://www.twitter.com/SusanHoven", "SusanHoven")</f>
        <v>SusanHoven</v>
      </c>
      <c r="B13756" s="65" t="s">
        <v>3979</v>
      </c>
    </row>
    <row r="13757" spans="1:2" x14ac:dyDescent="0.25">
      <c r="A13757" s="64" t="str">
        <f>HYPERLINK("http://www.twitter.com/Dr_nixsta", "Dr_nixsta")</f>
        <v>Dr_nixsta</v>
      </c>
      <c r="B13757" s="65" t="s">
        <v>5522</v>
      </c>
    </row>
    <row r="13758" spans="1:2" x14ac:dyDescent="0.25">
      <c r="A13758" s="64" t="str">
        <f>HYPERLINK("http://www.twitter.com/robhoon", "robhoon")</f>
        <v>robhoon</v>
      </c>
      <c r="B13758" s="65"/>
    </row>
    <row r="13759" spans="1:2" x14ac:dyDescent="0.25">
      <c r="A13759" s="64" t="str">
        <f>HYPERLINK("http://www.twitter.com/NoShoSto", "NoShoSto")</f>
        <v>NoShoSto</v>
      </c>
      <c r="B13759" s="65" t="s">
        <v>93</v>
      </c>
    </row>
    <row r="13760" spans="1:2" x14ac:dyDescent="0.25">
      <c r="A13760" s="64" t="str">
        <f>HYPERLINK("http://www.twitter.com/GM_Ancestry", "GM_Ancestry")</f>
        <v>GM_Ancestry</v>
      </c>
      <c r="B13760" s="65" t="s">
        <v>3995</v>
      </c>
    </row>
    <row r="13761" spans="1:2" x14ac:dyDescent="0.25">
      <c r="A13761" s="64" t="str">
        <f>HYPERLINK("http://www.twitter.com/PugandLadyM", "PugandLadyM")</f>
        <v>PugandLadyM</v>
      </c>
      <c r="B13761" s="65" t="s">
        <v>2679</v>
      </c>
    </row>
    <row r="13762" spans="1:2" x14ac:dyDescent="0.25">
      <c r="A13762" s="64" t="str">
        <f>HYPERLINK("http://www.twitter.com/LearningByKids", "LearningByKids")</f>
        <v>LearningByKids</v>
      </c>
      <c r="B13762" s="65" t="s">
        <v>3797</v>
      </c>
    </row>
    <row r="13763" spans="1:2" x14ac:dyDescent="0.25">
      <c r="A13763" s="64" t="str">
        <f>HYPERLINK("http://www.twitter.com/SQUAWKBrewingCo", "SQUAWKBrewingCo")</f>
        <v>SQUAWKBrewingCo</v>
      </c>
      <c r="B13763" s="65" t="s">
        <v>33</v>
      </c>
    </row>
    <row r="13764" spans="1:2" x14ac:dyDescent="0.25">
      <c r="A13764" s="64" t="str">
        <f>HYPERLINK("http://www.twitter.com/mhazzles", "mhazzles")</f>
        <v>mhazzles</v>
      </c>
      <c r="B13764" s="65" t="s">
        <v>24</v>
      </c>
    </row>
    <row r="13765" spans="1:2" x14ac:dyDescent="0.25">
      <c r="A13765" s="64" t="str">
        <f>HYPERLINK("http://www.twitter.com/robincampbell48", "robincampbell48")</f>
        <v>robincampbell48</v>
      </c>
      <c r="B13765" s="65" t="s">
        <v>8096</v>
      </c>
    </row>
    <row r="13766" spans="1:2" x14ac:dyDescent="0.25">
      <c r="A13766" s="64" t="str">
        <f>HYPERLINK("http://www.twitter.com/mwoodpen", "mwoodpen")</f>
        <v>mwoodpen</v>
      </c>
      <c r="B13766" s="65"/>
    </row>
    <row r="13767" spans="1:2" x14ac:dyDescent="0.25">
      <c r="A13767" s="64" t="str">
        <f>HYPERLINK("http://www.twitter.com/ShonaCook5", "ShonaCook5")</f>
        <v>ShonaCook5</v>
      </c>
      <c r="B13767" s="65"/>
    </row>
    <row r="13768" spans="1:2" x14ac:dyDescent="0.25">
      <c r="A13768" s="64" t="str">
        <f>HYPERLINK("http://www.twitter.com/my_lovely_phil", "my_lovely_phil")</f>
        <v>my_lovely_phil</v>
      </c>
      <c r="B13768" s="65" t="s">
        <v>8097</v>
      </c>
    </row>
    <row r="13769" spans="1:2" x14ac:dyDescent="0.25">
      <c r="A13769" s="64" t="str">
        <f>HYPERLINK("http://www.twitter.com/niall_robb", "niall_robb")</f>
        <v>niall_robb</v>
      </c>
      <c r="B13769" s="65"/>
    </row>
    <row r="13770" spans="1:2" x14ac:dyDescent="0.25">
      <c r="A13770" s="64" t="str">
        <f>HYPERLINK("http://www.twitter.com/aprilx03", "aprilx03")</f>
        <v>aprilx03</v>
      </c>
      <c r="B13770" s="65"/>
    </row>
    <row r="13771" spans="1:2" x14ac:dyDescent="0.25">
      <c r="A13771" s="64" t="str">
        <f>HYPERLINK("http://www.twitter.com/space19701", "space19701")</f>
        <v>space19701</v>
      </c>
      <c r="B13771" s="65"/>
    </row>
    <row r="13772" spans="1:2" x14ac:dyDescent="0.25">
      <c r="A13772" s="64" t="str">
        <f>HYPERLINK("http://www.twitter.com/ToituTeWhenua", "ToituTeWhenua")</f>
        <v>ToituTeWhenua</v>
      </c>
      <c r="B13772" s="65"/>
    </row>
    <row r="13773" spans="1:2" x14ac:dyDescent="0.25">
      <c r="A13773" s="64" t="str">
        <f>HYPERLINK("http://www.twitter.com/cheadlemike", "cheadlemike")</f>
        <v>cheadlemike</v>
      </c>
      <c r="B13773" s="65" t="s">
        <v>6599</v>
      </c>
    </row>
    <row r="13774" spans="1:2" x14ac:dyDescent="0.25">
      <c r="A13774" s="64" t="str">
        <f>HYPERLINK("http://www.twitter.com/SJILibrary", "SJILibrary")</f>
        <v>SJILibrary</v>
      </c>
      <c r="B13774" s="65" t="s">
        <v>8098</v>
      </c>
    </row>
    <row r="13775" spans="1:2" x14ac:dyDescent="0.25">
      <c r="A13775" s="64" t="str">
        <f>HYPERLINK("http://www.twitter.com/MarzRichard", "MarzRichard")</f>
        <v>MarzRichard</v>
      </c>
      <c r="B13775" s="65" t="s">
        <v>7754</v>
      </c>
    </row>
    <row r="13776" spans="1:2" x14ac:dyDescent="0.25">
      <c r="A13776" s="64" t="str">
        <f>HYPERLINK("http://www.twitter.com/Ambergy", "Ambergy")</f>
        <v>Ambergy</v>
      </c>
      <c r="B13776" s="65"/>
    </row>
    <row r="13777" spans="1:2" x14ac:dyDescent="0.25">
      <c r="A13777" s="64" t="str">
        <f>HYPERLINK("http://www.twitter.com/Velocentric", "Velocentric")</f>
        <v>Velocentric</v>
      </c>
      <c r="B13777" s="65" t="s">
        <v>8099</v>
      </c>
    </row>
    <row r="13778" spans="1:2" x14ac:dyDescent="0.25">
      <c r="A13778" s="64" t="str">
        <f>HYPERLINK("http://www.twitter.com/RebeccaMGoodwin", "RebeccaMGoodwin")</f>
        <v>RebeccaMGoodwin</v>
      </c>
      <c r="B13778" s="65"/>
    </row>
    <row r="13779" spans="1:2" x14ac:dyDescent="0.25">
      <c r="A13779" s="64" t="str">
        <f>HYPERLINK("http://www.twitter.com/zvandewiele", "zvandewiele")</f>
        <v>zvandewiele</v>
      </c>
      <c r="B13779" s="65" t="s">
        <v>102</v>
      </c>
    </row>
    <row r="13780" spans="1:2" x14ac:dyDescent="0.25">
      <c r="A13780" s="64" t="str">
        <f>HYPERLINK("http://www.twitter.com/lphilpots", "lphilpots")</f>
        <v>lphilpots</v>
      </c>
      <c r="B13780" s="65" t="s">
        <v>8100</v>
      </c>
    </row>
    <row r="13781" spans="1:2" x14ac:dyDescent="0.25">
      <c r="A13781" s="64" t="str">
        <f>HYPERLINK("http://www.twitter.com/AERafael1", "AERafael1")</f>
        <v>AERafael1</v>
      </c>
      <c r="B13781" s="65"/>
    </row>
    <row r="13782" spans="1:2" x14ac:dyDescent="0.25">
      <c r="A13782" s="64" t="str">
        <f>HYPERLINK("http://www.twitter.com/ejlangman", "ejlangman")</f>
        <v>ejlangman</v>
      </c>
      <c r="B13782" s="65" t="s">
        <v>138</v>
      </c>
    </row>
    <row r="13783" spans="1:2" x14ac:dyDescent="0.25">
      <c r="A13783" s="64" t="str">
        <f>HYPERLINK("http://www.twitter.com/TonyJHopkinson", "TonyJHopkinson")</f>
        <v>TonyJHopkinson</v>
      </c>
      <c r="B13783" s="65" t="s">
        <v>1377</v>
      </c>
    </row>
    <row r="13784" spans="1:2" x14ac:dyDescent="0.25">
      <c r="A13784" s="64" t="str">
        <f>HYPERLINK("http://www.twitter.com/ifdestroyed", "ifdestroyed")</f>
        <v>ifdestroyed</v>
      </c>
      <c r="B13784" s="65"/>
    </row>
    <row r="13785" spans="1:2" x14ac:dyDescent="0.25">
      <c r="A13785" s="64" t="str">
        <f>HYPERLINK("http://www.twitter.com/hazeluzzell", "hazeluzzell")</f>
        <v>hazeluzzell</v>
      </c>
      <c r="B13785" s="65" t="s">
        <v>1490</v>
      </c>
    </row>
    <row r="13786" spans="1:2" x14ac:dyDescent="0.25">
      <c r="A13786" s="64" t="str">
        <f>HYPERLINK("http://www.twitter.com/shelsta78", "shelsta78")</f>
        <v>shelsta78</v>
      </c>
      <c r="B13786" s="65" t="s">
        <v>8101</v>
      </c>
    </row>
    <row r="13787" spans="1:2" x14ac:dyDescent="0.25">
      <c r="A13787" s="64" t="str">
        <f>HYPERLINK("http://www.twitter.com/A_Smallbean", "A_Smallbean")</f>
        <v>A_Smallbean</v>
      </c>
      <c r="B13787" s="65"/>
    </row>
    <row r="13788" spans="1:2" x14ac:dyDescent="0.25">
      <c r="A13788" s="64" t="str">
        <f>HYPERLINK("http://www.twitter.com/TelegraphPics", "TelegraphPics")</f>
        <v>TelegraphPics</v>
      </c>
      <c r="B13788" s="65" t="s">
        <v>36</v>
      </c>
    </row>
    <row r="13789" spans="1:2" x14ac:dyDescent="0.25">
      <c r="A13789" s="64" t="str">
        <f>HYPERLINK("http://www.twitter.com/FlorianGEHowe", "FlorianGEHowe")</f>
        <v>FlorianGEHowe</v>
      </c>
      <c r="B13789" s="65" t="s">
        <v>514</v>
      </c>
    </row>
    <row r="13790" spans="1:2" x14ac:dyDescent="0.25">
      <c r="A13790" s="64" t="str">
        <f>HYPERLINK("http://www.twitter.com/strongaorist", "strongaorist")</f>
        <v>strongaorist</v>
      </c>
      <c r="B13790" s="65" t="s">
        <v>2007</v>
      </c>
    </row>
    <row r="13791" spans="1:2" x14ac:dyDescent="0.25">
      <c r="A13791" s="64" t="str">
        <f>HYPERLINK("http://www.twitter.com/suburbansparrow", "suburbansparrow")</f>
        <v>suburbansparrow</v>
      </c>
      <c r="B13791" s="65" t="s">
        <v>296</v>
      </c>
    </row>
    <row r="13792" spans="1:2" x14ac:dyDescent="0.25">
      <c r="A13792" s="64" t="str">
        <f>HYPERLINK("http://www.twitter.com/RGGumm", "RGGumm")</f>
        <v>RGGumm</v>
      </c>
      <c r="B13792" s="65" t="s">
        <v>8102</v>
      </c>
    </row>
    <row r="13793" spans="1:2" x14ac:dyDescent="0.25">
      <c r="A13793" s="64" t="str">
        <f>HYPERLINK("http://www.twitter.com/drlangtry_girl", "drlangtry_girl")</f>
        <v>drlangtry_girl</v>
      </c>
      <c r="B13793" s="65" t="s">
        <v>8103</v>
      </c>
    </row>
    <row r="13794" spans="1:2" x14ac:dyDescent="0.25">
      <c r="A13794" s="64" t="str">
        <f>HYPERLINK("http://www.twitter.com/HamburgSong", "HamburgSong")</f>
        <v>HamburgSong</v>
      </c>
      <c r="B13794" s="65"/>
    </row>
    <row r="13795" spans="1:2" x14ac:dyDescent="0.25">
      <c r="A13795" s="64" t="str">
        <f>HYPERLINK("http://www.twitter.com/MACE4ev3r", "MACE4ev3r")</f>
        <v>MACE4ev3r</v>
      </c>
      <c r="B13795" s="65"/>
    </row>
    <row r="13796" spans="1:2" x14ac:dyDescent="0.25">
      <c r="A13796" s="64" t="str">
        <f>HYPERLINK("http://www.twitter.com/kitmacdonald", "kitmacdonald")</f>
        <v>kitmacdonald</v>
      </c>
      <c r="B13796" s="65" t="s">
        <v>36</v>
      </c>
    </row>
    <row r="13797" spans="1:2" x14ac:dyDescent="0.25">
      <c r="A13797" s="64" t="str">
        <f>HYPERLINK("http://www.twitter.com/BBCNorthEast", "BBCNorthEast")</f>
        <v>BBCNorthEast</v>
      </c>
      <c r="B13797" s="65" t="s">
        <v>808</v>
      </c>
    </row>
    <row r="13798" spans="1:2" x14ac:dyDescent="0.25">
      <c r="A13798" s="64" t="str">
        <f>HYPERLINK("http://www.twitter.com/MiakoSamuio", "MiakoSamuio")</f>
        <v>MiakoSamuio</v>
      </c>
      <c r="B13798" s="65" t="s">
        <v>8104</v>
      </c>
    </row>
    <row r="13799" spans="1:2" x14ac:dyDescent="0.25">
      <c r="A13799" s="64" t="str">
        <f>HYPERLINK("http://www.twitter.com/chickenprincess", "chickenprincess")</f>
        <v>chickenprincess</v>
      </c>
      <c r="B13799" s="65" t="s">
        <v>8105</v>
      </c>
    </row>
    <row r="13800" spans="1:2" x14ac:dyDescent="0.25">
      <c r="A13800" s="64" t="str">
        <f>HYPERLINK("http://www.twitter.com/aimingelsewhere", "aimingelsewhere")</f>
        <v>aimingelsewhere</v>
      </c>
      <c r="B13800" s="65" t="s">
        <v>4040</v>
      </c>
    </row>
    <row r="13801" spans="1:2" x14ac:dyDescent="0.25">
      <c r="A13801" s="64" t="str">
        <f>HYPERLINK("http://www.twitter.com/pjdon67", "pjdon67")</f>
        <v>pjdon67</v>
      </c>
      <c r="B13801" s="65"/>
    </row>
    <row r="13802" spans="1:2" x14ac:dyDescent="0.25">
      <c r="A13802" s="64" t="str">
        <f>HYPERLINK("http://www.twitter.com/MackayJudith", "MackayJudith")</f>
        <v>MackayJudith</v>
      </c>
      <c r="B13802" s="65"/>
    </row>
    <row r="13803" spans="1:2" x14ac:dyDescent="0.25">
      <c r="A13803" s="64" t="str">
        <f>HYPERLINK("http://www.twitter.com/ShakyS_Elias", "ShakyS_Elias")</f>
        <v>ShakyS_Elias</v>
      </c>
      <c r="B13803" s="65"/>
    </row>
    <row r="13804" spans="1:2" x14ac:dyDescent="0.25">
      <c r="A13804" s="64" t="str">
        <f>HYPERLINK("http://www.twitter.com/FrancesRadford", "FrancesRadford")</f>
        <v>FrancesRadford</v>
      </c>
      <c r="B13804" s="65" t="s">
        <v>36</v>
      </c>
    </row>
    <row r="13805" spans="1:2" x14ac:dyDescent="0.25">
      <c r="A13805" s="64" t="str">
        <f>HYPERLINK("http://www.twitter.com/lara2of4", "lara2of4")</f>
        <v>lara2of4</v>
      </c>
      <c r="B13805" s="65"/>
    </row>
    <row r="13806" spans="1:2" x14ac:dyDescent="0.25">
      <c r="A13806" s="64" t="str">
        <f>HYPERLINK("http://www.twitter.com/jenna_leask", "jenna_leask")</f>
        <v>jenna_leask</v>
      </c>
      <c r="B13806" s="65" t="s">
        <v>8106</v>
      </c>
    </row>
    <row r="13807" spans="1:2" x14ac:dyDescent="0.25">
      <c r="A13807" s="64" t="str">
        <f>HYPERLINK("http://www.twitter.com/BookEating_Girl", "BookEating_Girl")</f>
        <v>BookEating_Girl</v>
      </c>
      <c r="B13807" s="65" t="s">
        <v>36</v>
      </c>
    </row>
    <row r="13808" spans="1:2" x14ac:dyDescent="0.25">
      <c r="A13808" s="64" t="str">
        <f>HYPERLINK("http://www.twitter.com/aimeelou1983", "aimeelou1983")</f>
        <v>aimeelou1983</v>
      </c>
      <c r="B13808" s="65" t="s">
        <v>8107</v>
      </c>
    </row>
    <row r="13809" spans="1:2" x14ac:dyDescent="0.25">
      <c r="A13809" s="64" t="str">
        <f>HYPERLINK("http://www.twitter.com/ramblingscribe", "ramblingscribe")</f>
        <v>ramblingscribe</v>
      </c>
      <c r="B13809" s="65" t="s">
        <v>36</v>
      </c>
    </row>
    <row r="13810" spans="1:2" x14ac:dyDescent="0.25">
      <c r="A13810" s="64" t="str">
        <f>HYPERLINK("http://www.twitter.com/StageOneLtd", "StageOneLtd")</f>
        <v>StageOneLtd</v>
      </c>
      <c r="B13810" s="65" t="s">
        <v>8108</v>
      </c>
    </row>
    <row r="13811" spans="1:2" x14ac:dyDescent="0.25">
      <c r="A13811" s="64" t="str">
        <f>HYPERLINK("http://www.twitter.com/Radio_Malley", "Radio_Malley")</f>
        <v>Radio_Malley</v>
      </c>
      <c r="B13811" s="65" t="s">
        <v>70</v>
      </c>
    </row>
    <row r="13812" spans="1:2" x14ac:dyDescent="0.25">
      <c r="A13812" s="64" t="str">
        <f>HYPERLINK("http://www.twitter.com/catspjs007", "catspjs007")</f>
        <v>catspjs007</v>
      </c>
      <c r="B13812" s="65" t="s">
        <v>36</v>
      </c>
    </row>
    <row r="13813" spans="1:2" x14ac:dyDescent="0.25">
      <c r="A13813" s="64" t="str">
        <f>HYPERLINK("http://www.twitter.com/glitternova", "glitternova")</f>
        <v>glitternova</v>
      </c>
      <c r="B13813" s="65" t="s">
        <v>8109</v>
      </c>
    </row>
    <row r="13814" spans="1:2" x14ac:dyDescent="0.25">
      <c r="A13814" s="64" t="str">
        <f>HYPERLINK("http://www.twitter.com/taliacon", "taliacon")</f>
        <v>taliacon</v>
      </c>
      <c r="B13814" s="65" t="s">
        <v>8110</v>
      </c>
    </row>
    <row r="13815" spans="1:2" x14ac:dyDescent="0.25">
      <c r="A13815" s="64" t="str">
        <f>HYPERLINK("http://www.twitter.com/akzquinn", "akzquinn")</f>
        <v>akzquinn</v>
      </c>
      <c r="B13815" s="65" t="s">
        <v>8111</v>
      </c>
    </row>
    <row r="13816" spans="1:2" x14ac:dyDescent="0.25">
      <c r="A13816" s="64" t="str">
        <f>HYPERLINK("http://www.twitter.com/Tonisenior", "Tonisenior")</f>
        <v>Tonisenior</v>
      </c>
      <c r="B13816" s="65" t="s">
        <v>36</v>
      </c>
    </row>
    <row r="13817" spans="1:2" x14ac:dyDescent="0.25">
      <c r="A13817" s="64" t="str">
        <f>HYPERLINK("http://www.twitter.com/maweemcd", "maweemcd")</f>
        <v>maweemcd</v>
      </c>
      <c r="B13817" s="65" t="s">
        <v>517</v>
      </c>
    </row>
    <row r="13818" spans="1:2" x14ac:dyDescent="0.25">
      <c r="A13818" s="64" t="str">
        <f>HYPERLINK("http://www.twitter.com/lynne_pryde", "lynne_pryde")</f>
        <v>lynne_pryde</v>
      </c>
      <c r="B13818" s="65"/>
    </row>
    <row r="13819" spans="1:2" x14ac:dyDescent="0.25">
      <c r="A13819" s="64" t="str">
        <f>HYPERLINK("http://www.twitter.com/HopeJonthi", "HopeJonthi")</f>
        <v>HopeJonthi</v>
      </c>
      <c r="B13819" s="65"/>
    </row>
    <row r="13820" spans="1:2" x14ac:dyDescent="0.25">
      <c r="A13820" s="64" t="str">
        <f>HYPERLINK("http://www.twitter.com/nehpets81", "nehpets81")</f>
        <v>nehpets81</v>
      </c>
      <c r="B13820" s="65" t="s">
        <v>5428</v>
      </c>
    </row>
    <row r="13821" spans="1:2" x14ac:dyDescent="0.25">
      <c r="A13821" s="64" t="str">
        <f>HYPERLINK("http://www.twitter.com/LauFernandes18", "LauFernandes18")</f>
        <v>LauFernandes18</v>
      </c>
      <c r="B13821" s="65"/>
    </row>
    <row r="13822" spans="1:2" x14ac:dyDescent="0.25">
      <c r="A13822" s="64" t="str">
        <f>HYPERLINK("http://www.twitter.com/Drumderfit", "Drumderfit")</f>
        <v>Drumderfit</v>
      </c>
      <c r="B13822" s="65" t="s">
        <v>5336</v>
      </c>
    </row>
    <row r="13823" spans="1:2" x14ac:dyDescent="0.25">
      <c r="A13823" s="64" t="str">
        <f>HYPERLINK("http://www.twitter.com/jamesmcknight", "jamesmcknight")</f>
        <v>jamesmcknight</v>
      </c>
      <c r="B13823" s="65" t="s">
        <v>36</v>
      </c>
    </row>
    <row r="13824" spans="1:2" x14ac:dyDescent="0.25">
      <c r="A13824" s="64" t="str">
        <f>HYPERLINK("http://www.twitter.com/LizNulty2", "LizNulty2")</f>
        <v>LizNulty2</v>
      </c>
      <c r="B13824" s="65"/>
    </row>
    <row r="13825" spans="1:2" x14ac:dyDescent="0.25">
      <c r="A13825" s="64" t="str">
        <f>HYPERLINK("http://www.twitter.com/apesacrappin", "apesacrappin")</f>
        <v>apesacrappin</v>
      </c>
      <c r="B13825" s="65"/>
    </row>
    <row r="13826" spans="1:2" x14ac:dyDescent="0.25">
      <c r="A13826" s="64" t="str">
        <f>HYPERLINK("http://www.twitter.com/ayrshirelasssc", "ayrshirelasssc")</f>
        <v>ayrshirelasssc</v>
      </c>
      <c r="B13826" s="65" t="s">
        <v>2232</v>
      </c>
    </row>
    <row r="13827" spans="1:2" x14ac:dyDescent="0.25">
      <c r="A13827" s="64" t="str">
        <f>HYPERLINK("http://www.twitter.com/AngelaWriter90", "AngelaWriter90")</f>
        <v>AngelaWriter90</v>
      </c>
      <c r="B13827" s="65" t="s">
        <v>4834</v>
      </c>
    </row>
    <row r="13828" spans="1:2" x14ac:dyDescent="0.25">
      <c r="A13828" s="64" t="str">
        <f>HYPERLINK("http://www.twitter.com/HPkylin", "HPkylin")</f>
        <v>HPkylin</v>
      </c>
      <c r="B13828" s="65"/>
    </row>
    <row r="13829" spans="1:2" x14ac:dyDescent="0.25">
      <c r="A13829" s="64" t="str">
        <f>HYPERLINK("http://www.twitter.com/freya_north", "freya_north")</f>
        <v>freya_north</v>
      </c>
      <c r="B13829" s="65"/>
    </row>
    <row r="13830" spans="1:2" x14ac:dyDescent="0.25">
      <c r="A13830" s="64" t="str">
        <f>HYPERLINK("http://www.twitter.com/blindsided37", "blindsided37")</f>
        <v>blindsided37</v>
      </c>
      <c r="B13830" s="65"/>
    </row>
    <row r="13831" spans="1:2" x14ac:dyDescent="0.25">
      <c r="A13831" s="64" t="str">
        <f>HYPERLINK("http://www.twitter.com/harrysmum02", "harrysmum02")</f>
        <v>harrysmum02</v>
      </c>
      <c r="B13831" s="65" t="s">
        <v>5002</v>
      </c>
    </row>
    <row r="13832" spans="1:2" x14ac:dyDescent="0.25">
      <c r="A13832" s="64" t="str">
        <f>HYPERLINK("http://www.twitter.com/Mrsplum", "Mrsplum")</f>
        <v>Mrsplum</v>
      </c>
      <c r="B13832" s="65" t="s">
        <v>20</v>
      </c>
    </row>
    <row r="13833" spans="1:2" x14ac:dyDescent="0.25">
      <c r="A13833" s="64" t="str">
        <f>HYPERLINK("http://www.twitter.com/dvesha", "dvesha")</f>
        <v>dvesha</v>
      </c>
      <c r="B13833" s="65"/>
    </row>
    <row r="13834" spans="1:2" x14ac:dyDescent="0.25">
      <c r="A13834" s="64" t="str">
        <f>HYPERLINK("http://www.twitter.com/Cosworthlady", "Cosworthlady")</f>
        <v>Cosworthlady</v>
      </c>
      <c r="B13834" s="65" t="s">
        <v>8112</v>
      </c>
    </row>
    <row r="13835" spans="1:2" x14ac:dyDescent="0.25">
      <c r="A13835" s="64" t="str">
        <f>HYPERLINK("http://www.twitter.com/YwsSpa3FUuc43om", "YwsSpa3FUuc43om")</f>
        <v>YwsSpa3FUuc43om</v>
      </c>
      <c r="B13835" s="65"/>
    </row>
    <row r="13836" spans="1:2" x14ac:dyDescent="0.25">
      <c r="A13836" s="64" t="str">
        <f>HYPERLINK("http://www.twitter.com/mwilu_kenneth", "mwilu_kenneth")</f>
        <v>mwilu_kenneth</v>
      </c>
      <c r="B13836" s="65"/>
    </row>
    <row r="13837" spans="1:2" x14ac:dyDescent="0.25">
      <c r="A13837" s="64" t="str">
        <f>HYPERLINK("http://www.twitter.com/pommy_popsock", "pommy_popsock")</f>
        <v>pommy_popsock</v>
      </c>
      <c r="B13837" s="65" t="s">
        <v>4168</v>
      </c>
    </row>
    <row r="13838" spans="1:2" x14ac:dyDescent="0.25">
      <c r="A13838" s="64" t="str">
        <f>HYPERLINK("http://www.twitter.com/asgabaser", "asgabaser")</f>
        <v>asgabaser</v>
      </c>
      <c r="B13838" s="65"/>
    </row>
    <row r="13839" spans="1:2" x14ac:dyDescent="0.25">
      <c r="A13839" s="64" t="str">
        <f>HYPERLINK("http://www.twitter.com/SiinEnriquez", "SiinEnriquez")</f>
        <v>SiinEnriquez</v>
      </c>
      <c r="B13839" s="65" t="s">
        <v>8113</v>
      </c>
    </row>
    <row r="13840" spans="1:2" x14ac:dyDescent="0.25">
      <c r="A13840" s="64" t="str">
        <f>HYPERLINK("http://www.twitter.com/sarahkg15", "sarahkg15")</f>
        <v>sarahkg15</v>
      </c>
      <c r="B13840" s="65" t="s">
        <v>138</v>
      </c>
    </row>
    <row r="13841" spans="1:2" x14ac:dyDescent="0.25">
      <c r="A13841" s="64" t="str">
        <f>HYPERLINK("http://www.twitter.com/jacquilofthouse", "jacquilofthouse")</f>
        <v>jacquilofthouse</v>
      </c>
      <c r="B13841" s="65" t="s">
        <v>8114</v>
      </c>
    </row>
    <row r="13842" spans="1:2" x14ac:dyDescent="0.25">
      <c r="A13842" s="64" t="str">
        <f>HYPERLINK("http://www.twitter.com/afsha_iqbal", "afsha_iqbal")</f>
        <v>afsha_iqbal</v>
      </c>
      <c r="B13842" s="65" t="s">
        <v>36</v>
      </c>
    </row>
    <row r="13843" spans="1:2" x14ac:dyDescent="0.25">
      <c r="A13843" s="64" t="str">
        <f>HYPERLINK("http://www.twitter.com/katjawlockjaw", "katjawlockjaw")</f>
        <v>katjawlockjaw</v>
      </c>
      <c r="B13843" s="65"/>
    </row>
    <row r="13844" spans="1:2" x14ac:dyDescent="0.25">
      <c r="A13844" s="64" t="str">
        <f>HYPERLINK("http://www.twitter.com/msamuels8", "msamuels8")</f>
        <v>msamuels8</v>
      </c>
      <c r="B13844" s="65" t="s">
        <v>6826</v>
      </c>
    </row>
    <row r="13845" spans="1:2" x14ac:dyDescent="0.25">
      <c r="A13845" s="64" t="str">
        <f>HYPERLINK("http://www.twitter.com/Yahiil", "Yahiil")</f>
        <v>Yahiil</v>
      </c>
      <c r="B13845" s="65" t="s">
        <v>8115</v>
      </c>
    </row>
    <row r="13846" spans="1:2" x14ac:dyDescent="0.25">
      <c r="A13846" s="64" t="str">
        <f>HYPERLINK("http://www.twitter.com/idea15webdesign", "idea15webdesign")</f>
        <v>idea15webdesign</v>
      </c>
      <c r="B13846" s="65" t="s">
        <v>8116</v>
      </c>
    </row>
    <row r="13847" spans="1:2" x14ac:dyDescent="0.25">
      <c r="A13847" s="64" t="str">
        <f>HYPERLINK("http://www.twitter.com/LYNDOMINO", "LYNDOMINO")</f>
        <v>LYNDOMINO</v>
      </c>
      <c r="B13847" s="65"/>
    </row>
    <row r="13848" spans="1:2" x14ac:dyDescent="0.25">
      <c r="A13848" s="64" t="str">
        <f>HYPERLINK("http://www.twitter.com/Doralap", "Doralap")</f>
        <v>Doralap</v>
      </c>
      <c r="B13848" s="65"/>
    </row>
    <row r="13849" spans="1:2" x14ac:dyDescent="0.25">
      <c r="A13849" s="64" t="str">
        <f>HYPERLINK("http://www.twitter.com/SallyannMoffat", "SallyannMoffat")</f>
        <v>SallyannMoffat</v>
      </c>
      <c r="B13849" s="65" t="s">
        <v>3974</v>
      </c>
    </row>
    <row r="13850" spans="1:2" x14ac:dyDescent="0.25">
      <c r="A13850" s="64" t="str">
        <f>HYPERLINK("http://www.twitter.com/MaryCarland", "MaryCarland")</f>
        <v>MaryCarland</v>
      </c>
      <c r="B13850" s="65" t="s">
        <v>8117</v>
      </c>
    </row>
    <row r="13851" spans="1:2" x14ac:dyDescent="0.25">
      <c r="A13851" s="64" t="str">
        <f>HYPERLINK("http://www.twitter.com/lucymc27", "lucymc27")</f>
        <v>lucymc27</v>
      </c>
      <c r="B13851" s="65" t="s">
        <v>3559</v>
      </c>
    </row>
    <row r="13852" spans="1:2" x14ac:dyDescent="0.25">
      <c r="A13852" s="64" t="str">
        <f>HYPERLINK("http://www.twitter.com/brifimag", "brifimag")</f>
        <v>brifimag</v>
      </c>
      <c r="B13852" s="65"/>
    </row>
    <row r="13853" spans="1:2" x14ac:dyDescent="0.25">
      <c r="A13853" s="64" t="str">
        <f>HYPERLINK("http://www.twitter.com/scotpaulabear", "scotpaulabear")</f>
        <v>scotpaulabear</v>
      </c>
      <c r="B13853" s="65" t="s">
        <v>8118</v>
      </c>
    </row>
    <row r="13854" spans="1:2" x14ac:dyDescent="0.25">
      <c r="A13854" s="64" t="str">
        <f>HYPERLINK("http://www.twitter.com/louwaby", "louwaby")</f>
        <v>louwaby</v>
      </c>
      <c r="B13854" s="65"/>
    </row>
    <row r="13855" spans="1:2" x14ac:dyDescent="0.25">
      <c r="A13855" s="64" t="str">
        <f>HYPERLINK("http://www.twitter.com/purplesheila", "purplesheila")</f>
        <v>purplesheila</v>
      </c>
      <c r="B13855" s="65" t="s">
        <v>2492</v>
      </c>
    </row>
    <row r="13856" spans="1:2" x14ac:dyDescent="0.25">
      <c r="A13856" s="64" t="str">
        <f>HYPERLINK("http://www.twitter.com/PlumLib", "PlumLib")</f>
        <v>PlumLib</v>
      </c>
      <c r="B13856" s="65" t="s">
        <v>8119</v>
      </c>
    </row>
    <row r="13857" spans="1:2" x14ac:dyDescent="0.25">
      <c r="A13857" s="64" t="str">
        <f>HYPERLINK("http://www.twitter.com/SaraLVickers", "SaraLVickers")</f>
        <v>SaraLVickers</v>
      </c>
      <c r="B13857" s="65" t="s">
        <v>36</v>
      </c>
    </row>
    <row r="13858" spans="1:2" x14ac:dyDescent="0.25">
      <c r="A13858" s="64" t="str">
        <f>HYPERLINK("http://www.twitter.com/LoloGunn", "LoloGunn")</f>
        <v>LoloGunn</v>
      </c>
      <c r="B13858" s="65" t="s">
        <v>7852</v>
      </c>
    </row>
    <row r="13859" spans="1:2" x14ac:dyDescent="0.25">
      <c r="A13859" s="64" t="str">
        <f>HYPERLINK("http://www.twitter.com/Libtech76", "Libtech76")</f>
        <v>Libtech76</v>
      </c>
      <c r="B13859" s="65"/>
    </row>
    <row r="13860" spans="1:2" x14ac:dyDescent="0.25">
      <c r="A13860" s="64" t="str">
        <f>HYPERLINK("http://www.twitter.com/WaterstonesMags", "WaterstonesMags")</f>
        <v>WaterstonesMags</v>
      </c>
      <c r="B13860" s="65" t="s">
        <v>8120</v>
      </c>
    </row>
    <row r="13861" spans="1:2" x14ac:dyDescent="0.25">
      <c r="A13861" s="64" t="str">
        <f>HYPERLINK("http://www.twitter.com/mrolston16", "mrolston16")</f>
        <v>mrolston16</v>
      </c>
      <c r="B13861" s="65"/>
    </row>
    <row r="13862" spans="1:2" x14ac:dyDescent="0.25">
      <c r="A13862" s="64" t="str">
        <f>HYPERLINK("http://www.twitter.com/marcelhold", "marcelhold")</f>
        <v>marcelhold</v>
      </c>
      <c r="B13862" s="65" t="s">
        <v>2</v>
      </c>
    </row>
    <row r="13863" spans="1:2" x14ac:dyDescent="0.25">
      <c r="A13863" s="64" t="str">
        <f>HYPERLINK("http://www.twitter.com/MattPott", "MattPott")</f>
        <v>MattPott</v>
      </c>
      <c r="B13863" s="65" t="s">
        <v>8121</v>
      </c>
    </row>
    <row r="13864" spans="1:2" x14ac:dyDescent="0.25">
      <c r="A13864" s="64" t="str">
        <f>HYPERLINK("http://www.twitter.com/hornedog11", "hornedog11")</f>
        <v>hornedog11</v>
      </c>
      <c r="B13864" s="65"/>
    </row>
    <row r="13865" spans="1:2" x14ac:dyDescent="0.25">
      <c r="A13865" s="64" t="str">
        <f>HYPERLINK("http://www.twitter.com/ElizaZHendron", "ElizaZHendron")</f>
        <v>ElizaZHendron</v>
      </c>
      <c r="B13865" s="65" t="s">
        <v>2595</v>
      </c>
    </row>
    <row r="13866" spans="1:2" x14ac:dyDescent="0.25">
      <c r="A13866" s="64" t="str">
        <f>HYPERLINK("http://www.twitter.com/Evielady", "Evielady")</f>
        <v>Evielady</v>
      </c>
      <c r="B13866" s="65" t="s">
        <v>2107</v>
      </c>
    </row>
    <row r="13867" spans="1:2" x14ac:dyDescent="0.25">
      <c r="A13867" s="64" t="str">
        <f>HYPERLINK("http://www.twitter.com/l_dbrown", "l_dbrown")</f>
        <v>l_dbrown</v>
      </c>
      <c r="B13867" s="65" t="s">
        <v>4157</v>
      </c>
    </row>
    <row r="13868" spans="1:2" x14ac:dyDescent="0.25">
      <c r="A13868" s="64" t="str">
        <f>HYPERLINK("http://www.twitter.com/BIPCSheffield", "BIPCSheffield")</f>
        <v>BIPCSheffield</v>
      </c>
      <c r="B13868" s="65" t="s">
        <v>8122</v>
      </c>
    </row>
    <row r="13869" spans="1:2" x14ac:dyDescent="0.25">
      <c r="A13869" s="64" t="str">
        <f>HYPERLINK("http://www.twitter.com/pagingmeredith", "pagingmeredith")</f>
        <v>pagingmeredith</v>
      </c>
      <c r="B13869" s="65" t="s">
        <v>4255</v>
      </c>
    </row>
    <row r="13870" spans="1:2" x14ac:dyDescent="0.25">
      <c r="A13870" s="64" t="str">
        <f>HYPERLINK("http://www.twitter.com/blackrockshot12", "blackrockshot12")</f>
        <v>blackrockshot12</v>
      </c>
      <c r="B13870" s="65"/>
    </row>
    <row r="13871" spans="1:2" x14ac:dyDescent="0.25">
      <c r="A13871" s="64" t="str">
        <f>HYPERLINK("http://www.twitter.com/BHS_literacy", "BHS_literacy")</f>
        <v>BHS_literacy</v>
      </c>
      <c r="B13871" s="65" t="s">
        <v>2864</v>
      </c>
    </row>
    <row r="13872" spans="1:2" x14ac:dyDescent="0.25">
      <c r="A13872" s="64" t="str">
        <f>HYPERLINK("http://www.twitter.com/itsjameswhite", "itsjameswhite")</f>
        <v>itsjameswhite</v>
      </c>
      <c r="B13872" s="65" t="s">
        <v>8123</v>
      </c>
    </row>
    <row r="13873" spans="1:2" x14ac:dyDescent="0.25">
      <c r="A13873" s="64" t="str">
        <f>HYPERLINK("http://www.twitter.com/KateMcLelland", "KateMcLelland")</f>
        <v>KateMcLelland</v>
      </c>
      <c r="B13873" s="65" t="s">
        <v>24</v>
      </c>
    </row>
    <row r="13874" spans="1:2" x14ac:dyDescent="0.25">
      <c r="A13874" s="64" t="str">
        <f>HYPERLINK("http://www.twitter.com/violentbloom", "violentbloom")</f>
        <v>violentbloom</v>
      </c>
      <c r="B13874" s="65" t="s">
        <v>8124</v>
      </c>
    </row>
    <row r="13875" spans="1:2" x14ac:dyDescent="0.25">
      <c r="A13875" s="64" t="str">
        <f>HYPERLINK("http://www.twitter.com/KirstieIMoar", "KirstieIMoar")</f>
        <v>KirstieIMoar</v>
      </c>
      <c r="B13875" s="65" t="s">
        <v>6633</v>
      </c>
    </row>
    <row r="13876" spans="1:2" x14ac:dyDescent="0.25">
      <c r="A13876" s="64" t="str">
        <f>HYPERLINK("http://www.twitter.com/KarinStGraham", "KarinStGraham")</f>
        <v>KarinStGraham</v>
      </c>
      <c r="B13876" s="65"/>
    </row>
    <row r="13877" spans="1:2" x14ac:dyDescent="0.25">
      <c r="A13877" s="64" t="str">
        <f>HYPERLINK("http://www.twitter.com/mugwuffin87", "mugwuffin87")</f>
        <v>mugwuffin87</v>
      </c>
      <c r="B13877" s="65"/>
    </row>
    <row r="13878" spans="1:2" x14ac:dyDescent="0.25">
      <c r="A13878" s="64" t="str">
        <f>HYPERLINK("http://www.twitter.com/adumfoley", "adumfoley")</f>
        <v>adumfoley</v>
      </c>
      <c r="B13878" s="65" t="s">
        <v>8125</v>
      </c>
    </row>
    <row r="13879" spans="1:2" x14ac:dyDescent="0.25">
      <c r="A13879" s="64" t="str">
        <f>HYPERLINK("http://www.twitter.com/JosieCaplehorne", "JosieCaplehorne")</f>
        <v>JosieCaplehorne</v>
      </c>
      <c r="B13879" s="65"/>
    </row>
    <row r="13880" spans="1:2" x14ac:dyDescent="0.25">
      <c r="A13880" s="64" t="str">
        <f>HYPERLINK("http://www.twitter.com/EmmaStokesss", "EmmaStokesss")</f>
        <v>EmmaStokesss</v>
      </c>
      <c r="B13880" s="65" t="s">
        <v>477</v>
      </c>
    </row>
    <row r="13881" spans="1:2" x14ac:dyDescent="0.25">
      <c r="A13881" s="64" t="str">
        <f>HYPERLINK("http://www.twitter.com/isleewe", "isleewe")</f>
        <v>isleewe</v>
      </c>
      <c r="B13881" s="65"/>
    </row>
    <row r="13882" spans="1:2" x14ac:dyDescent="0.25">
      <c r="A13882" s="64" t="str">
        <f>HYPERLINK("http://www.twitter.com/Oh__Lordy", "Oh__Lordy")</f>
        <v>Oh__Lordy</v>
      </c>
      <c r="B13882" s="65"/>
    </row>
    <row r="13883" spans="1:2" x14ac:dyDescent="0.25">
      <c r="A13883" s="64" t="str">
        <f>HYPERLINK("http://www.twitter.com/Chsynnn8", "Chsynnn8")</f>
        <v>Chsynnn8</v>
      </c>
      <c r="B13883" s="65"/>
    </row>
    <row r="13884" spans="1:2" x14ac:dyDescent="0.25">
      <c r="A13884" s="64" t="str">
        <f>HYPERLINK("http://www.twitter.com/sarah_stanger", "sarah_stanger")</f>
        <v>sarah_stanger</v>
      </c>
      <c r="B13884" s="65" t="s">
        <v>8126</v>
      </c>
    </row>
    <row r="13885" spans="1:2" x14ac:dyDescent="0.25">
      <c r="A13885" s="64" t="str">
        <f>HYPERLINK("http://www.twitter.com/ABjornsdotter", "ABjornsdotter")</f>
        <v>ABjornsdotter</v>
      </c>
      <c r="B13885" s="65" t="s">
        <v>36</v>
      </c>
    </row>
    <row r="13886" spans="1:2" x14ac:dyDescent="0.25">
      <c r="A13886" s="64" t="str">
        <f>HYPERLINK("http://www.twitter.com/PennyLopey", "PennyLopey")</f>
        <v>PennyLopey</v>
      </c>
      <c r="B13886" s="65" t="s">
        <v>8127</v>
      </c>
    </row>
    <row r="13887" spans="1:2" x14ac:dyDescent="0.25">
      <c r="A13887" s="64" t="str">
        <f>HYPERLINK("http://www.twitter.com/WaterstonesPicc", "WaterstonesPicc")</f>
        <v>WaterstonesPicc</v>
      </c>
      <c r="B13887" s="65" t="s">
        <v>8128</v>
      </c>
    </row>
    <row r="13888" spans="1:2" x14ac:dyDescent="0.25">
      <c r="A13888" s="64" t="str">
        <f>HYPERLINK("http://www.twitter.com/Dellche", "Dellche")</f>
        <v>Dellche</v>
      </c>
      <c r="B13888" s="65"/>
    </row>
    <row r="13889" spans="1:2" x14ac:dyDescent="0.25">
      <c r="A13889" s="64" t="str">
        <f>HYPERLINK("http://www.twitter.com/emmalavalier", "emmalavalier")</f>
        <v>emmalavalier</v>
      </c>
      <c r="B13889" s="65"/>
    </row>
    <row r="13890" spans="1:2" x14ac:dyDescent="0.25">
      <c r="A13890" s="64" t="str">
        <f>HYPERLINK("http://www.twitter.com/evetts_sally", "evetts_sally")</f>
        <v>evetts_sally</v>
      </c>
      <c r="B13890" s="65"/>
    </row>
    <row r="13891" spans="1:2" x14ac:dyDescent="0.25">
      <c r="A13891" s="64" t="str">
        <f>HYPERLINK("http://www.twitter.com/cleo2000jz", "cleo2000jz")</f>
        <v>cleo2000jz</v>
      </c>
      <c r="B13891" s="65"/>
    </row>
    <row r="13892" spans="1:2" x14ac:dyDescent="0.25">
      <c r="A13892" s="64" t="str">
        <f>HYPERLINK("http://www.twitter.com/netholland", "netholland")</f>
        <v>netholland</v>
      </c>
      <c r="B13892" s="65" t="s">
        <v>8129</v>
      </c>
    </row>
    <row r="13893" spans="1:2" x14ac:dyDescent="0.25">
      <c r="A13893" s="64" t="str">
        <f>HYPERLINK("http://www.twitter.com/lgwf", "lgwf")</f>
        <v>lgwf</v>
      </c>
      <c r="B13893" s="65" t="s">
        <v>1739</v>
      </c>
    </row>
    <row r="13894" spans="1:2" x14ac:dyDescent="0.25">
      <c r="A13894" s="64" t="str">
        <f>HYPERLINK("http://www.twitter.com/CaitlinBriske", "CaitlinBriske")</f>
        <v>CaitlinBriske</v>
      </c>
      <c r="B13894" s="65"/>
    </row>
    <row r="13895" spans="1:2" x14ac:dyDescent="0.25">
      <c r="A13895" s="64" t="str">
        <f>HYPERLINK("http://www.twitter.com/nora_thinks", "nora_thinks")</f>
        <v>nora_thinks</v>
      </c>
      <c r="B13895" s="65"/>
    </row>
    <row r="13896" spans="1:2" x14ac:dyDescent="0.25">
      <c r="A13896" s="64" t="str">
        <f>HYPERLINK("http://www.twitter.com/MailMyMob", "MailMyMob")</f>
        <v>MailMyMob</v>
      </c>
      <c r="B13896" s="65" t="s">
        <v>8130</v>
      </c>
    </row>
    <row r="13897" spans="1:2" x14ac:dyDescent="0.25">
      <c r="A13897" s="64" t="str">
        <f>HYPERLINK("http://www.twitter.com/staceyodriscoll", "staceyodriscoll")</f>
        <v>staceyodriscoll</v>
      </c>
      <c r="B13897" s="65" t="s">
        <v>5517</v>
      </c>
    </row>
    <row r="13898" spans="1:2" x14ac:dyDescent="0.25">
      <c r="A13898" s="64" t="str">
        <f>HYPERLINK("http://www.twitter.com/JodiecustodioG", "JodiecustodioG")</f>
        <v>JodiecustodioG</v>
      </c>
      <c r="B13898" s="65" t="s">
        <v>8131</v>
      </c>
    </row>
    <row r="13899" spans="1:2" x14ac:dyDescent="0.25">
      <c r="A13899" s="64" t="str">
        <f>HYPERLINK("http://www.twitter.com/myfruitykitchen", "myfruitykitchen")</f>
        <v>myfruitykitchen</v>
      </c>
      <c r="B13899" s="65" t="s">
        <v>36</v>
      </c>
    </row>
    <row r="13900" spans="1:2" x14ac:dyDescent="0.25">
      <c r="A13900" s="64" t="str">
        <f>HYPERLINK("http://www.twitter.com/clairestevo31", "clairestevo31")</f>
        <v>clairestevo31</v>
      </c>
      <c r="B13900" s="65" t="s">
        <v>2595</v>
      </c>
    </row>
    <row r="13901" spans="1:2" x14ac:dyDescent="0.25">
      <c r="A13901" s="64" t="str">
        <f>HYPERLINK("http://www.twitter.com/shonacraven", "shonacraven")</f>
        <v>shonacraven</v>
      </c>
      <c r="B13901" s="65" t="s">
        <v>138</v>
      </c>
    </row>
    <row r="13902" spans="1:2" x14ac:dyDescent="0.25">
      <c r="A13902" s="64" t="str">
        <f>HYPERLINK("http://www.twitter.com/SaqiBooks", "SaqiBooks")</f>
        <v>SaqiBooks</v>
      </c>
      <c r="B13902" s="65" t="s">
        <v>8132</v>
      </c>
    </row>
    <row r="13903" spans="1:2" x14ac:dyDescent="0.25">
      <c r="A13903" s="64" t="str">
        <f>HYPERLINK("http://www.twitter.com/LaraDraskovic55", "LaraDraskovic55")</f>
        <v>LaraDraskovic55</v>
      </c>
      <c r="B13903" s="65" t="s">
        <v>4339</v>
      </c>
    </row>
    <row r="13904" spans="1:2" x14ac:dyDescent="0.25">
      <c r="A13904" s="64" t="str">
        <f>HYPERLINK("http://www.twitter.com/kylynkizer", "kylynkizer")</f>
        <v>kylynkizer</v>
      </c>
      <c r="B13904" s="65" t="s">
        <v>4148</v>
      </c>
    </row>
    <row r="13905" spans="1:2" x14ac:dyDescent="0.25">
      <c r="A13905" s="64" t="str">
        <f>HYPERLINK("http://www.twitter.com/deetzzz", "deetzzz")</f>
        <v>deetzzz</v>
      </c>
      <c r="B13905" s="65" t="s">
        <v>8133</v>
      </c>
    </row>
    <row r="13906" spans="1:2" x14ac:dyDescent="0.25">
      <c r="A13906" s="64" t="str">
        <f>HYPERLINK("http://www.twitter.com/Line_Trepanier", "Line_Trepanier")</f>
        <v>Line_Trepanier</v>
      </c>
      <c r="B13906" s="65" t="s">
        <v>3948</v>
      </c>
    </row>
    <row r="13907" spans="1:2" x14ac:dyDescent="0.25">
      <c r="A13907" s="64" t="str">
        <f>HYPERLINK("http://www.twitter.com/bluebeetlesam", "bluebeetlesam")</f>
        <v>bluebeetlesam</v>
      </c>
      <c r="B13907" s="65" t="s">
        <v>8134</v>
      </c>
    </row>
    <row r="13908" spans="1:2" x14ac:dyDescent="0.25">
      <c r="A13908" s="64" t="str">
        <f>HYPERLINK("http://www.twitter.com/StPetersRudd", "StPetersRudd")</f>
        <v>StPetersRudd</v>
      </c>
      <c r="B13908" s="65" t="s">
        <v>8135</v>
      </c>
    </row>
    <row r="13909" spans="1:2" x14ac:dyDescent="0.25">
      <c r="A13909" s="64" t="str">
        <f>HYPERLINK("http://www.twitter.com/marksalmaso", "marksalmaso")</f>
        <v>marksalmaso</v>
      </c>
      <c r="B13909" s="65" t="s">
        <v>4213</v>
      </c>
    </row>
    <row r="13910" spans="1:2" x14ac:dyDescent="0.25">
      <c r="A13910" s="64" t="str">
        <f>HYPERLINK("http://www.twitter.com/Cru3Santana", "Cru3Santana")</f>
        <v>Cru3Santana</v>
      </c>
      <c r="B13910" s="65" t="s">
        <v>4229</v>
      </c>
    </row>
    <row r="13911" spans="1:2" x14ac:dyDescent="0.25">
      <c r="A13911" s="64" t="str">
        <f>HYPERLINK("http://www.twitter.com/aavary_d", "aavary_d")</f>
        <v>aavary_d</v>
      </c>
      <c r="B13911" s="65"/>
    </row>
    <row r="13912" spans="1:2" x14ac:dyDescent="0.25">
      <c r="A13912" s="64" t="str">
        <f>HYPERLINK("http://www.twitter.com/Kosmopolitanize", "Kosmopolitanize")</f>
        <v>Kosmopolitanize</v>
      </c>
      <c r="B13912" s="65" t="s">
        <v>8136</v>
      </c>
    </row>
    <row r="13913" spans="1:2" x14ac:dyDescent="0.25">
      <c r="A13913" s="64" t="str">
        <f>HYPERLINK("http://www.twitter.com/tobiouh", "tobiouh")</f>
        <v>tobiouh</v>
      </c>
      <c r="B13913" s="65" t="s">
        <v>4167</v>
      </c>
    </row>
    <row r="13914" spans="1:2" x14ac:dyDescent="0.25">
      <c r="A13914" s="64" t="str">
        <f>HYPERLINK("http://www.twitter.com/piv125", "piv125")</f>
        <v>piv125</v>
      </c>
      <c r="B13914" s="65"/>
    </row>
    <row r="13915" spans="1:2" x14ac:dyDescent="0.25">
      <c r="A13915" s="64" t="str">
        <f>HYPERLINK("http://www.twitter.com/natzeex", "natzeex")</f>
        <v>natzeex</v>
      </c>
      <c r="B13915" s="65" t="s">
        <v>138</v>
      </c>
    </row>
    <row r="13916" spans="1:2" x14ac:dyDescent="0.25">
      <c r="A13916" s="64" t="str">
        <f>HYPERLINK("http://www.twitter.com/acoops", "acoops")</f>
        <v>acoops</v>
      </c>
      <c r="B13916" s="65" t="s">
        <v>36</v>
      </c>
    </row>
    <row r="13917" spans="1:2" x14ac:dyDescent="0.25">
      <c r="A13917" s="64" t="str">
        <f>HYPERLINK("http://www.twitter.com/Seasidesparks", "Seasidesparks")</f>
        <v>Seasidesparks</v>
      </c>
      <c r="B13917" s="65"/>
    </row>
    <row r="13918" spans="1:2" x14ac:dyDescent="0.25">
      <c r="A13918" s="64" t="str">
        <f>HYPERLINK("http://www.twitter.com/raydiane1", "raydiane1")</f>
        <v>raydiane1</v>
      </c>
      <c r="B13918" s="65" t="s">
        <v>514</v>
      </c>
    </row>
    <row r="13919" spans="1:2" x14ac:dyDescent="0.25">
      <c r="A13919" s="64" t="str">
        <f>HYPERLINK("http://www.twitter.com/TobinMt", "TobinMt")</f>
        <v>TobinMt</v>
      </c>
      <c r="B13919" s="65"/>
    </row>
    <row r="13920" spans="1:2" x14ac:dyDescent="0.25">
      <c r="A13920" s="64" t="str">
        <f>HYPERLINK("http://www.twitter.com/ms_a_l_moore", "ms_a_l_moore")</f>
        <v>ms_a_l_moore</v>
      </c>
      <c r="B13920" s="65" t="s">
        <v>8137</v>
      </c>
    </row>
    <row r="13921" spans="1:2" x14ac:dyDescent="0.25">
      <c r="A13921" s="64" t="str">
        <f>HYPERLINK("http://www.twitter.com/lookingwide", "lookingwide")</f>
        <v>lookingwide</v>
      </c>
      <c r="B13921" s="65" t="s">
        <v>8138</v>
      </c>
    </row>
    <row r="13922" spans="1:2" x14ac:dyDescent="0.25">
      <c r="A13922" s="64" t="str">
        <f>HYPERLINK("http://www.twitter.com/sarah_gx21", "sarah_gx21")</f>
        <v>sarah_gx21</v>
      </c>
      <c r="B13922" s="65"/>
    </row>
    <row r="13923" spans="1:2" x14ac:dyDescent="0.25">
      <c r="A13923" s="64" t="str">
        <f>HYPERLINK("http://www.twitter.com/Lorraine2708201", "Lorraine2708201")</f>
        <v>Lorraine2708201</v>
      </c>
      <c r="B13923" s="65" t="s">
        <v>477</v>
      </c>
    </row>
    <row r="13924" spans="1:2" x14ac:dyDescent="0.25">
      <c r="A13924" s="64" t="str">
        <f>HYPERLINK("http://www.twitter.com/SineadHerself", "SineadHerself")</f>
        <v>SineadHerself</v>
      </c>
      <c r="B13924" s="65" t="s">
        <v>5598</v>
      </c>
    </row>
    <row r="13925" spans="1:2" x14ac:dyDescent="0.25">
      <c r="A13925" s="64" t="str">
        <f>HYPERLINK("http://www.twitter.com/SoAbra", "SoAbra")</f>
        <v>SoAbra</v>
      </c>
      <c r="B13925" s="65"/>
    </row>
    <row r="13926" spans="1:2" x14ac:dyDescent="0.25">
      <c r="A13926" s="64" t="str">
        <f>HYPERLINK("http://www.twitter.com/soleralbert", "soleralbert")</f>
        <v>soleralbert</v>
      </c>
      <c r="B13926" s="65"/>
    </row>
    <row r="13927" spans="1:2" x14ac:dyDescent="0.25">
      <c r="A13927" s="64" t="str">
        <f>HYPERLINK("http://www.twitter.com/flash01gn", "flash01gn")</f>
        <v>flash01gn</v>
      </c>
      <c r="B13927" s="65" t="s">
        <v>138</v>
      </c>
    </row>
    <row r="13928" spans="1:2" x14ac:dyDescent="0.25">
      <c r="A13928" s="64" t="str">
        <f>HYPERLINK("http://www.twitter.com/nmoccasin", "nmoccasin")</f>
        <v>nmoccasin</v>
      </c>
      <c r="B13928" s="65" t="s">
        <v>8139</v>
      </c>
    </row>
    <row r="13929" spans="1:2" x14ac:dyDescent="0.25">
      <c r="A13929" s="64" t="str">
        <f>HYPERLINK("http://www.twitter.com/Eugeniesediting", "Eugeniesediting")</f>
        <v>Eugeniesediting</v>
      </c>
      <c r="B13929" s="65" t="s">
        <v>5389</v>
      </c>
    </row>
    <row r="13930" spans="1:2" x14ac:dyDescent="0.25">
      <c r="A13930" s="64" t="str">
        <f>HYPERLINK("http://www.twitter.com/sewell_helen", "sewell_helen")</f>
        <v>sewell_helen</v>
      </c>
      <c r="B13930" s="65"/>
    </row>
    <row r="13931" spans="1:2" x14ac:dyDescent="0.25">
      <c r="A13931" s="64" t="str">
        <f>HYPERLINK("http://www.twitter.com/HPCurtis", "HPCurtis")</f>
        <v>HPCurtis</v>
      </c>
      <c r="B13931" s="65"/>
    </row>
    <row r="13932" spans="1:2" x14ac:dyDescent="0.25">
      <c r="A13932" s="64" t="str">
        <f>HYPERLINK("http://www.twitter.com/DignonSarah", "DignonSarah")</f>
        <v>DignonSarah</v>
      </c>
      <c r="B13932" s="65"/>
    </row>
    <row r="13933" spans="1:2" x14ac:dyDescent="0.25">
      <c r="A13933" s="64" t="str">
        <f>HYPERLINK("http://www.twitter.com/shoshideguevara", "shoshideguevara")</f>
        <v>shoshideguevara</v>
      </c>
      <c r="B13933" s="65" t="s">
        <v>8140</v>
      </c>
    </row>
    <row r="13934" spans="1:2" x14ac:dyDescent="0.25">
      <c r="A13934" s="64" t="str">
        <f>HYPERLINK("http://www.twitter.com/KateStringer2", "KateStringer2")</f>
        <v>KateStringer2</v>
      </c>
      <c r="B13934" s="65" t="s">
        <v>4145</v>
      </c>
    </row>
    <row r="13935" spans="1:2" x14ac:dyDescent="0.25">
      <c r="A13935" s="64" t="str">
        <f>HYPERLINK("http://www.twitter.com/ElineAtSea", "ElineAtSea")</f>
        <v>ElineAtSea</v>
      </c>
      <c r="B13935" s="65" t="s">
        <v>4049</v>
      </c>
    </row>
    <row r="13936" spans="1:2" x14ac:dyDescent="0.25">
      <c r="A13936" s="64" t="str">
        <f>HYPERLINK("http://www.twitter.com/caro22", "caro22")</f>
        <v>caro22</v>
      </c>
      <c r="B13936" s="65"/>
    </row>
    <row r="13937" spans="1:2" x14ac:dyDescent="0.25">
      <c r="A13937" s="64" t="str">
        <f>HYPERLINK("http://www.twitter.com/carolynemslie", "carolynemslie")</f>
        <v>carolynemslie</v>
      </c>
      <c r="B13937" s="65"/>
    </row>
    <row r="13938" spans="1:2" x14ac:dyDescent="0.25">
      <c r="A13938" s="64" t="str">
        <f>HYPERLINK("http://www.twitter.com/elenahermione", "elenahermione")</f>
        <v>elenahermione</v>
      </c>
      <c r="B13938" s="65" t="s">
        <v>4339</v>
      </c>
    </row>
    <row r="13939" spans="1:2" x14ac:dyDescent="0.25">
      <c r="A13939" s="64" t="str">
        <f>HYPERLINK("http://www.twitter.com/JazzTravelsUK", "JazzTravelsUK")</f>
        <v>JazzTravelsUK</v>
      </c>
      <c r="B13939" s="65" t="s">
        <v>8141</v>
      </c>
    </row>
    <row r="13940" spans="1:2" x14ac:dyDescent="0.25">
      <c r="A13940" s="64" t="str">
        <f>HYPERLINK("http://www.twitter.com/herrine1", "herrine1")</f>
        <v>herrine1</v>
      </c>
      <c r="B13940" s="65" t="s">
        <v>296</v>
      </c>
    </row>
    <row r="13941" spans="1:2" x14ac:dyDescent="0.25">
      <c r="A13941" s="64" t="str">
        <f>HYPERLINK("http://www.twitter.com/AmandaWatt2", "AmandaWatt2")</f>
        <v>AmandaWatt2</v>
      </c>
      <c r="B13941" s="65"/>
    </row>
    <row r="13942" spans="1:2" x14ac:dyDescent="0.25">
      <c r="A13942" s="64" t="str">
        <f>HYPERLINK("http://www.twitter.com/MissEmZee", "MissEmZee")</f>
        <v>MissEmZee</v>
      </c>
      <c r="B13942" s="65" t="s">
        <v>8142</v>
      </c>
    </row>
    <row r="13943" spans="1:2" x14ac:dyDescent="0.25">
      <c r="A13943" s="64" t="str">
        <f>HYPERLINK("http://www.twitter.com/spigner_emily", "spigner_emily")</f>
        <v>spigner_emily</v>
      </c>
      <c r="B13943" s="65" t="s">
        <v>8143</v>
      </c>
    </row>
    <row r="13944" spans="1:2" x14ac:dyDescent="0.25">
      <c r="A13944" s="64" t="str">
        <f>HYPERLINK("http://www.twitter.com/EleanorTess", "EleanorTess")</f>
        <v>EleanorTess</v>
      </c>
      <c r="B13944" s="65" t="s">
        <v>8144</v>
      </c>
    </row>
    <row r="13945" spans="1:2" x14ac:dyDescent="0.25">
      <c r="A13945" s="64" t="str">
        <f>HYPERLINK("http://www.twitter.com/JamesIMarsh", "JamesIMarsh")</f>
        <v>JamesIMarsh</v>
      </c>
      <c r="B13945" s="65" t="s">
        <v>4780</v>
      </c>
    </row>
    <row r="13946" spans="1:2" x14ac:dyDescent="0.25">
      <c r="A13946" s="64" t="str">
        <f>HYPERLINK("http://www.twitter.com/Bullhassocks", "Bullhassocks")</f>
        <v>Bullhassocks</v>
      </c>
      <c r="B13946" s="65" t="s">
        <v>8145</v>
      </c>
    </row>
    <row r="13947" spans="1:2" x14ac:dyDescent="0.25">
      <c r="A13947" s="64" t="str">
        <f>HYPERLINK("http://www.twitter.com/leiselily", "leiselily")</f>
        <v>leiselily</v>
      </c>
      <c r="B13947" s="65" t="s">
        <v>8146</v>
      </c>
    </row>
    <row r="13948" spans="1:2" x14ac:dyDescent="0.25">
      <c r="A13948" s="64" t="str">
        <f>HYPERLINK("http://www.twitter.com/Rainy_Dreamer_", "Rainy_Dreamer_")</f>
        <v>Rainy_Dreamer_</v>
      </c>
      <c r="B13948" s="65" t="s">
        <v>6208</v>
      </c>
    </row>
    <row r="13949" spans="1:2" x14ac:dyDescent="0.25">
      <c r="A13949" s="64" t="str">
        <f>HYPERLINK("http://www.twitter.com/frankleberry25", "frankleberry25")</f>
        <v>frankleberry25</v>
      </c>
      <c r="B13949" s="65"/>
    </row>
    <row r="13950" spans="1:2" x14ac:dyDescent="0.25">
      <c r="A13950" s="64" t="str">
        <f>HYPERLINK("http://www.twitter.com/Flossiemamma", "Flossiemamma")</f>
        <v>Flossiemamma</v>
      </c>
      <c r="B13950" s="65"/>
    </row>
    <row r="13951" spans="1:2" x14ac:dyDescent="0.25">
      <c r="A13951" s="64" t="str">
        <f>HYPERLINK("http://www.twitter.com/charlieinabook", "charlieinabook")</f>
        <v>charlieinabook</v>
      </c>
      <c r="B13951" s="65" t="s">
        <v>36</v>
      </c>
    </row>
    <row r="13952" spans="1:2" x14ac:dyDescent="0.25">
      <c r="A13952" s="64" t="str">
        <f>HYPERLINK("http://www.twitter.com/misskate", "misskate")</f>
        <v>misskate</v>
      </c>
      <c r="B13952" s="65" t="s">
        <v>7583</v>
      </c>
    </row>
    <row r="13953" spans="1:2" x14ac:dyDescent="0.25">
      <c r="A13953" s="64" t="str">
        <f>HYPERLINK("http://www.twitter.com/clairefrew56", "clairefrew56")</f>
        <v>clairefrew56</v>
      </c>
      <c r="B13953" s="65"/>
    </row>
    <row r="13954" spans="1:2" x14ac:dyDescent="0.25">
      <c r="A13954" s="64" t="str">
        <f>HYPERLINK("http://www.twitter.com/CatrionaRoseann", "CatrionaRoseann")</f>
        <v>CatrionaRoseann</v>
      </c>
      <c r="B13954" s="65" t="s">
        <v>8147</v>
      </c>
    </row>
    <row r="13955" spans="1:2" x14ac:dyDescent="0.25">
      <c r="A13955" s="64" t="str">
        <f>HYPERLINK("http://www.twitter.com/WillieYeomans", "WillieYeomans")</f>
        <v>WillieYeomans</v>
      </c>
      <c r="B13955" s="65"/>
    </row>
    <row r="13956" spans="1:2" x14ac:dyDescent="0.25">
      <c r="A13956" s="64" t="str">
        <f>HYPERLINK("http://www.twitter.com/apombriant", "apombriant")</f>
        <v>apombriant</v>
      </c>
      <c r="B13956" s="65"/>
    </row>
    <row r="13957" spans="1:2" x14ac:dyDescent="0.25">
      <c r="A13957" s="64" t="str">
        <f>HYPERLINK("http://www.twitter.com/TMarshART", "TMarshART")</f>
        <v>TMarshART</v>
      </c>
      <c r="B13957" s="65"/>
    </row>
    <row r="13958" spans="1:2" x14ac:dyDescent="0.25">
      <c r="A13958" s="64" t="str">
        <f>HYPERLINK("http://www.twitter.com/KateParnell", "KateParnell")</f>
        <v>KateParnell</v>
      </c>
      <c r="B13958" s="65" t="s">
        <v>4508</v>
      </c>
    </row>
    <row r="13959" spans="1:2" x14ac:dyDescent="0.25">
      <c r="A13959" s="64" t="str">
        <f>HYPERLINK("http://www.twitter.com/bookishspoonie", "bookishspoonie")</f>
        <v>bookishspoonie</v>
      </c>
      <c r="B13959" s="65" t="s">
        <v>296</v>
      </c>
    </row>
    <row r="13960" spans="1:2" x14ac:dyDescent="0.25">
      <c r="A13960" s="64" t="str">
        <f>HYPERLINK("http://www.twitter.com/ajkrull18", "ajkrull18")</f>
        <v>ajkrull18</v>
      </c>
      <c r="B13960" s="65" t="s">
        <v>1377</v>
      </c>
    </row>
    <row r="13961" spans="1:2" x14ac:dyDescent="0.25">
      <c r="A13961" s="64" t="str">
        <f>HYPERLINK("http://www.twitter.com/Fortrosian", "Fortrosian")</f>
        <v>Fortrosian</v>
      </c>
      <c r="B13961" s="65" t="s">
        <v>8148</v>
      </c>
    </row>
    <row r="13962" spans="1:2" x14ac:dyDescent="0.25">
      <c r="A13962" s="64" t="str">
        <f>HYPERLINK("http://www.twitter.com/SuzanneMIrvine", "SuzanneMIrvine")</f>
        <v>SuzanneMIrvine</v>
      </c>
      <c r="B13962" s="65" t="s">
        <v>808</v>
      </c>
    </row>
    <row r="13963" spans="1:2" x14ac:dyDescent="0.25">
      <c r="A13963" s="64" t="str">
        <f>HYPERLINK("http://www.twitter.com/msmiriamm", "msmiriamm")</f>
        <v>msmiriamm</v>
      </c>
      <c r="B13963" s="65" t="s">
        <v>6555</v>
      </c>
    </row>
    <row r="13964" spans="1:2" x14ac:dyDescent="0.25">
      <c r="A13964" s="64" t="str">
        <f>HYPERLINK("http://www.twitter.com/elfkelly81", "elfkelly81")</f>
        <v>elfkelly81</v>
      </c>
      <c r="B13964" s="65"/>
    </row>
    <row r="13965" spans="1:2" x14ac:dyDescent="0.25">
      <c r="A13965" s="64" t="str">
        <f>HYPERLINK("http://www.twitter.com/gerhildsalcher", "gerhildsalcher")</f>
        <v>gerhildsalcher</v>
      </c>
      <c r="B13965" s="65" t="s">
        <v>8149</v>
      </c>
    </row>
    <row r="13966" spans="1:2" x14ac:dyDescent="0.25">
      <c r="A13966" s="64" t="str">
        <f>HYPERLINK("http://www.twitter.com/AhmedHameed1998", "AhmedHameed1998")</f>
        <v>AhmedHameed1998</v>
      </c>
      <c r="B13966" s="65" t="s">
        <v>8150</v>
      </c>
    </row>
    <row r="13967" spans="1:2" x14ac:dyDescent="0.25">
      <c r="A13967" s="64" t="str">
        <f>HYPERLINK("http://www.twitter.com/WakeOfPhoenix", "WakeOfPhoenix")</f>
        <v>WakeOfPhoenix</v>
      </c>
      <c r="B13967" s="65" t="s">
        <v>8151</v>
      </c>
    </row>
    <row r="13968" spans="1:2" x14ac:dyDescent="0.25">
      <c r="A13968" s="64" t="str">
        <f>HYPERLINK("http://www.twitter.com/HazelBakerNews", "HazelBakerNews")</f>
        <v>HazelBakerNews</v>
      </c>
      <c r="B13968" s="65" t="s">
        <v>477</v>
      </c>
    </row>
    <row r="13969" spans="1:2" x14ac:dyDescent="0.25">
      <c r="A13969" s="64" t="str">
        <f>HYPERLINK("http://www.twitter.com/kcraikerwriter", "kcraikerwriter")</f>
        <v>kcraikerwriter</v>
      </c>
      <c r="B13969" s="65"/>
    </row>
    <row r="13970" spans="1:2" x14ac:dyDescent="0.25">
      <c r="A13970" s="64" t="str">
        <f>HYPERLINK("http://www.twitter.com/TimAllenProps", "TimAllenProps")</f>
        <v>TimAllenProps</v>
      </c>
      <c r="B13970" s="65" t="s">
        <v>8152</v>
      </c>
    </row>
    <row r="13971" spans="1:2" x14ac:dyDescent="0.25">
      <c r="A13971" s="64" t="str">
        <f>HYPERLINK("http://www.twitter.com/AllieJohns", "AllieJohns")</f>
        <v>AllieJohns</v>
      </c>
      <c r="B13971" s="65" t="s">
        <v>321</v>
      </c>
    </row>
    <row r="13972" spans="1:2" x14ac:dyDescent="0.25">
      <c r="A13972" s="64" t="str">
        <f>HYPERLINK("http://www.twitter.com/heather_buchan", "heather_buchan")</f>
        <v>heather_buchan</v>
      </c>
      <c r="B13972" s="65" t="s">
        <v>20</v>
      </c>
    </row>
    <row r="13973" spans="1:2" x14ac:dyDescent="0.25">
      <c r="A13973" s="64" t="str">
        <f>HYPERLINK("http://www.twitter.com/islarushbrookx", "islarushbrookx")</f>
        <v>islarushbrookx</v>
      </c>
      <c r="B13973" s="65"/>
    </row>
    <row r="13974" spans="1:2" x14ac:dyDescent="0.25">
      <c r="A13974" s="64" t="str">
        <f>HYPERLINK("http://www.twitter.com/greta_pt", "greta_pt")</f>
        <v>greta_pt</v>
      </c>
      <c r="B13974" s="65" t="s">
        <v>93</v>
      </c>
    </row>
    <row r="13975" spans="1:2" x14ac:dyDescent="0.25">
      <c r="A13975" s="64" t="str">
        <f>HYPERLINK("http://www.twitter.com/RealMrsWiffle", "RealMrsWiffle")</f>
        <v>RealMrsWiffle</v>
      </c>
      <c r="B13975" s="65"/>
    </row>
    <row r="13976" spans="1:2" x14ac:dyDescent="0.25">
      <c r="A13976" s="64" t="str">
        <f>HYPERLINK("http://www.twitter.com/Mr_Eugene_krabs", "Mr_Eugene_krabs")</f>
        <v>Mr_Eugene_krabs</v>
      </c>
      <c r="B13976" s="65" t="s">
        <v>8011</v>
      </c>
    </row>
    <row r="13977" spans="1:2" x14ac:dyDescent="0.25">
      <c r="A13977" s="64" t="str">
        <f>HYPERLINK("http://www.twitter.com/jessicarosenose", "jessicarosenose")</f>
        <v>jessicarosenose</v>
      </c>
      <c r="B13977" s="65"/>
    </row>
    <row r="13978" spans="1:2" x14ac:dyDescent="0.25">
      <c r="A13978" s="64" t="str">
        <f>HYPERLINK("http://www.twitter.com/trewloy", "trewloy")</f>
        <v>trewloy</v>
      </c>
      <c r="B13978" s="65" t="s">
        <v>8153</v>
      </c>
    </row>
    <row r="13979" spans="1:2" x14ac:dyDescent="0.25">
      <c r="A13979" s="64" t="str">
        <f>HYPERLINK("http://www.twitter.com/Joanneskelcher", "Joanneskelcher")</f>
        <v>Joanneskelcher</v>
      </c>
      <c r="B13979" s="65"/>
    </row>
    <row r="13980" spans="1:2" x14ac:dyDescent="0.25">
      <c r="A13980" s="64" t="str">
        <f>HYPERLINK("http://www.twitter.com/Iainlightsstuff", "Iainlightsstuff")</f>
        <v>Iainlightsstuff</v>
      </c>
      <c r="B13980" s="65" t="s">
        <v>8154</v>
      </c>
    </row>
    <row r="13981" spans="1:2" x14ac:dyDescent="0.25">
      <c r="A13981" s="64" t="str">
        <f>HYPERLINK("http://www.twitter.com/Orrellbakehouse", "Orrellbakehouse")</f>
        <v>Orrellbakehouse</v>
      </c>
      <c r="B13981" s="65"/>
    </row>
    <row r="13982" spans="1:2" x14ac:dyDescent="0.25">
      <c r="A13982" s="64" t="str">
        <f>HYPERLINK("http://www.twitter.com/JackHarcus360", "JackHarcus360")</f>
        <v>JackHarcus360</v>
      </c>
      <c r="B13982" s="65" t="s">
        <v>8155</v>
      </c>
    </row>
    <row r="13983" spans="1:2" x14ac:dyDescent="0.25">
      <c r="A13983" s="64" t="str">
        <f>HYPERLINK("http://www.twitter.com/rich_may", "rich_may")</f>
        <v>rich_may</v>
      </c>
      <c r="B13983" s="65"/>
    </row>
    <row r="13984" spans="1:2" x14ac:dyDescent="0.25">
      <c r="A13984" s="64" t="str">
        <f>HYPERLINK("http://www.twitter.com/akdunbar", "akdunbar")</f>
        <v>akdunbar</v>
      </c>
      <c r="B13984" s="65" t="s">
        <v>8156</v>
      </c>
    </row>
    <row r="13985" spans="1:2" x14ac:dyDescent="0.25">
      <c r="A13985" s="64" t="str">
        <f>HYPERLINK("http://www.twitter.com/Amina_Lone", "Amina_Lone")</f>
        <v>Amina_Lone</v>
      </c>
      <c r="B13985" s="65" t="s">
        <v>8157</v>
      </c>
    </row>
    <row r="13986" spans="1:2" x14ac:dyDescent="0.25">
      <c r="A13986" s="64" t="str">
        <f>HYPERLINK("http://www.twitter.com/Minnimand", "Minnimand")</f>
        <v>Minnimand</v>
      </c>
      <c r="B13986" s="65" t="s">
        <v>8158</v>
      </c>
    </row>
    <row r="13987" spans="1:2" x14ac:dyDescent="0.25">
      <c r="A13987" s="64" t="str">
        <f>HYPERLINK("http://www.twitter.com/pre_historic", "pre_historic")</f>
        <v>pre_historic</v>
      </c>
      <c r="B13987" s="65" t="s">
        <v>4040</v>
      </c>
    </row>
    <row r="13988" spans="1:2" x14ac:dyDescent="0.25">
      <c r="A13988" s="64" t="str">
        <f>HYPERLINK("http://www.twitter.com/FacingThings", "FacingThings")</f>
        <v>FacingThings</v>
      </c>
      <c r="B13988" s="65" t="s">
        <v>141</v>
      </c>
    </row>
    <row r="13989" spans="1:2" x14ac:dyDescent="0.25">
      <c r="A13989" s="64" t="str">
        <f>HYPERLINK("http://www.twitter.com/eileencoult1", "eileencoult1")</f>
        <v>eileencoult1</v>
      </c>
      <c r="B13989" s="65"/>
    </row>
    <row r="13990" spans="1:2" x14ac:dyDescent="0.25">
      <c r="A13990" s="64" t="str">
        <f>HYPERLINK("http://www.twitter.com/Espemoo", "Espemoo")</f>
        <v>Espemoo</v>
      </c>
      <c r="B13990" s="65" t="s">
        <v>2007</v>
      </c>
    </row>
    <row r="13991" spans="1:2" x14ac:dyDescent="0.25">
      <c r="A13991" s="64" t="str">
        <f>HYPERLINK("http://www.twitter.com/Moiravelli", "Moiravelli")</f>
        <v>Moiravelli</v>
      </c>
      <c r="B13991" s="65" t="s">
        <v>3273</v>
      </c>
    </row>
    <row r="13992" spans="1:2" x14ac:dyDescent="0.25">
      <c r="A13992" s="64" t="str">
        <f>HYPERLINK("http://www.twitter.com/gailmcconnell", "gailmcconnell")</f>
        <v>gailmcconnell</v>
      </c>
      <c r="B13992" s="65" t="s">
        <v>8159</v>
      </c>
    </row>
    <row r="13993" spans="1:2" x14ac:dyDescent="0.25">
      <c r="A13993" s="64" t="str">
        <f>HYPERLINK("http://www.twitter.com/bunzl10", "bunzl10")</f>
        <v>bunzl10</v>
      </c>
      <c r="B13993" s="65"/>
    </row>
    <row r="13994" spans="1:2" x14ac:dyDescent="0.25">
      <c r="A13994" s="64" t="str">
        <f>HYPERLINK("http://www.twitter.com/ofboysandravens", "ofboysandravens")</f>
        <v>ofboysandravens</v>
      </c>
      <c r="B13994" s="65"/>
    </row>
    <row r="13995" spans="1:2" x14ac:dyDescent="0.25">
      <c r="A13995" s="64" t="str">
        <f>HYPERLINK("http://www.twitter.com/kayleeflett", "kayleeflett")</f>
        <v>kayleeflett</v>
      </c>
      <c r="B13995" s="65" t="s">
        <v>8160</v>
      </c>
    </row>
    <row r="13996" spans="1:2" x14ac:dyDescent="0.25">
      <c r="A13996" s="64" t="str">
        <f>HYPERLINK("http://www.twitter.com/lauramac690", "lauramac690")</f>
        <v>lauramac690</v>
      </c>
      <c r="B13996" s="65" t="s">
        <v>20</v>
      </c>
    </row>
    <row r="13997" spans="1:2" x14ac:dyDescent="0.25">
      <c r="A13997" s="64" t="str">
        <f>HYPERLINK("http://www.twitter.com/BooksatBackwell", "BooksatBackwell")</f>
        <v>BooksatBackwell</v>
      </c>
      <c r="B13997" s="65"/>
    </row>
    <row r="13998" spans="1:2" x14ac:dyDescent="0.25">
      <c r="A13998" s="64" t="str">
        <f>HYPERLINK("http://www.twitter.com/kmbmit", "kmbmit")</f>
        <v>kmbmit</v>
      </c>
      <c r="B13998" s="65"/>
    </row>
    <row r="13999" spans="1:2" x14ac:dyDescent="0.25">
      <c r="A13999" s="64" t="str">
        <f>HYPERLINK("http://www.twitter.com/LeahGarriock", "LeahGarriock")</f>
        <v>LeahGarriock</v>
      </c>
      <c r="B13999" s="65"/>
    </row>
    <row r="14000" spans="1:2" x14ac:dyDescent="0.25">
      <c r="A14000" s="64" t="str">
        <f>HYPERLINK("http://www.twitter.com/OilyMuggie", "OilyMuggie")</f>
        <v>OilyMuggie</v>
      </c>
      <c r="B14000" s="65" t="s">
        <v>8161</v>
      </c>
    </row>
    <row r="14001" spans="1:2" x14ac:dyDescent="0.25">
      <c r="A14001" s="64" t="str">
        <f>HYPERLINK("http://www.twitter.com/D_Revatron", "D_Revatron")</f>
        <v>D_Revatron</v>
      </c>
      <c r="B14001" s="65" t="s">
        <v>3762</v>
      </c>
    </row>
    <row r="14002" spans="1:2" x14ac:dyDescent="0.25">
      <c r="A14002" s="64" t="str">
        <f>HYPERLINK("http://www.twitter.com/Pinkgemgems", "Pinkgemgems")</f>
        <v>Pinkgemgems</v>
      </c>
      <c r="B14002" s="65" t="s">
        <v>8162</v>
      </c>
    </row>
    <row r="14003" spans="1:2" x14ac:dyDescent="0.25">
      <c r="A14003" s="64" t="str">
        <f>HYPERLINK("http://www.twitter.com/tullythedhog", "tullythedhog")</f>
        <v>tullythedhog</v>
      </c>
      <c r="B14003" s="65" t="s">
        <v>8163</v>
      </c>
    </row>
    <row r="14004" spans="1:2" x14ac:dyDescent="0.25">
      <c r="A14004" s="64" t="str">
        <f>HYPERLINK("http://www.twitter.com/Fleurfox", "Fleurfox")</f>
        <v>Fleurfox</v>
      </c>
      <c r="B14004" s="65" t="s">
        <v>5006</v>
      </c>
    </row>
    <row r="14005" spans="1:2" x14ac:dyDescent="0.25">
      <c r="A14005" s="64" t="str">
        <f>HYPERLINK("http://www.twitter.com/HelloSutherland", "HelloSutherland")</f>
        <v>HelloSutherland</v>
      </c>
      <c r="B14005" s="65"/>
    </row>
    <row r="14006" spans="1:2" x14ac:dyDescent="0.25">
      <c r="A14006" s="64" t="str">
        <f>HYPERLINK("http://www.twitter.com/Jesterdog", "Jesterdog")</f>
        <v>Jesterdog</v>
      </c>
      <c r="B14006" s="65"/>
    </row>
    <row r="14007" spans="1:2" x14ac:dyDescent="0.25">
      <c r="A14007" s="64" t="str">
        <f>HYPERLINK("http://www.twitter.com/RugglesFiona", "RugglesFiona")</f>
        <v>RugglesFiona</v>
      </c>
      <c r="B14007" s="65"/>
    </row>
    <row r="14008" spans="1:2" x14ac:dyDescent="0.25">
      <c r="A14008" s="64" t="str">
        <f>HYPERLINK("http://www.twitter.com/NickyStonehill", "NickyStonehill")</f>
        <v>NickyStonehill</v>
      </c>
      <c r="B14008" s="65"/>
    </row>
    <row r="14009" spans="1:2" x14ac:dyDescent="0.25">
      <c r="A14009" s="64" t="str">
        <f>HYPERLINK("http://www.twitter.com/CharleyP7", "CharleyP7")</f>
        <v>CharleyP7</v>
      </c>
      <c r="B14009" s="65" t="s">
        <v>8164</v>
      </c>
    </row>
    <row r="14010" spans="1:2" x14ac:dyDescent="0.25">
      <c r="A14010" s="64" t="str">
        <f>HYPERLINK("http://www.twitter.com/KerrySandison", "KerrySandison")</f>
        <v>KerrySandison</v>
      </c>
      <c r="B14010" s="65"/>
    </row>
    <row r="14011" spans="1:2" x14ac:dyDescent="0.25">
      <c r="A14011" s="64" t="str">
        <f>HYPERLINK("http://www.twitter.com/december_arts", "december_arts")</f>
        <v>december_arts</v>
      </c>
      <c r="B14011" s="65" t="s">
        <v>318</v>
      </c>
    </row>
    <row r="14012" spans="1:2" x14ac:dyDescent="0.25">
      <c r="A14012" s="64" t="str">
        <f>HYPERLINK("http://www.twitter.com/Roma_Gray3", "Roma_Gray3")</f>
        <v>Roma_Gray3</v>
      </c>
      <c r="B14012" s="65" t="s">
        <v>517</v>
      </c>
    </row>
    <row r="14013" spans="1:2" x14ac:dyDescent="0.25">
      <c r="A14013" s="64" t="str">
        <f>HYPERLINK("http://www.twitter.com/hirplinyowe", "hirplinyowe")</f>
        <v>hirplinyowe</v>
      </c>
      <c r="B14013" s="65"/>
    </row>
    <row r="14014" spans="1:2" x14ac:dyDescent="0.25">
      <c r="A14014" s="64" t="str">
        <f>HYPERLINK("http://www.twitter.com/crazy_bitch88", "crazy_bitch88")</f>
        <v>crazy_bitch88</v>
      </c>
      <c r="B14014" s="65" t="s">
        <v>517</v>
      </c>
    </row>
    <row r="14015" spans="1:2" x14ac:dyDescent="0.25">
      <c r="A14015" s="64" t="str">
        <f>HYPERLINK("http://www.twitter.com/gemmajovi1984", "gemmajovi1984")</f>
        <v>gemmajovi1984</v>
      </c>
      <c r="B14015" s="65" t="s">
        <v>3665</v>
      </c>
    </row>
    <row r="14016" spans="1:2" x14ac:dyDescent="0.25">
      <c r="A14016" s="64" t="str">
        <f>HYPERLINK("http://www.twitter.com/lesleygilmour3", "lesleygilmour3")</f>
        <v>lesleygilmour3</v>
      </c>
      <c r="B14016" s="65"/>
    </row>
    <row r="14017" spans="1:2" x14ac:dyDescent="0.25">
      <c r="A14017" s="64" t="str">
        <f>HYPERLINK("http://www.twitter.com/MrsCupcake79", "MrsCupcake79")</f>
        <v>MrsCupcake79</v>
      </c>
      <c r="B14017" s="65" t="s">
        <v>517</v>
      </c>
    </row>
    <row r="14018" spans="1:2" x14ac:dyDescent="0.25">
      <c r="A14018" s="64" t="str">
        <f>HYPERLINK("http://www.twitter.com/hardlyperennial", "hardlyperennial")</f>
        <v>hardlyperennial</v>
      </c>
      <c r="B14018" s="65" t="s">
        <v>296</v>
      </c>
    </row>
    <row r="14019" spans="1:2" x14ac:dyDescent="0.25">
      <c r="A14019" s="64" t="str">
        <f>HYPERLINK("http://www.twitter.com/BakedBean6", "BakedBean6")</f>
        <v>BakedBean6</v>
      </c>
      <c r="B14019" s="65"/>
    </row>
    <row r="14020" spans="1:2" x14ac:dyDescent="0.25">
      <c r="A14020" s="64" t="str">
        <f>HYPERLINK("http://www.twitter.com/lorriemin", "lorriemin")</f>
        <v>lorriemin</v>
      </c>
      <c r="B14020" s="65" t="s">
        <v>4050</v>
      </c>
    </row>
    <row r="14021" spans="1:2" x14ac:dyDescent="0.25">
      <c r="A14021" s="64" t="str">
        <f>HYPERLINK("http://www.twitter.com/Rob606Davis", "Rob606Davis")</f>
        <v>Rob606Davis</v>
      </c>
      <c r="B14021" s="65" t="s">
        <v>36</v>
      </c>
    </row>
    <row r="14022" spans="1:2" x14ac:dyDescent="0.25">
      <c r="A14022" s="64" t="str">
        <f>HYPERLINK("http://www.twitter.com/theJeremyVine", "theJeremyVine")</f>
        <v>theJeremyVine</v>
      </c>
      <c r="B14022" s="65" t="s">
        <v>477</v>
      </c>
    </row>
    <row r="14023" spans="1:2" x14ac:dyDescent="0.25">
      <c r="A14023" s="64" t="str">
        <f>HYPERLINK("http://www.twitter.com/kmartin639", "kmartin639")</f>
        <v>kmartin639</v>
      </c>
      <c r="B14023" s="65"/>
    </row>
    <row r="14024" spans="1:2" x14ac:dyDescent="0.25">
      <c r="A14024" s="64" t="str">
        <f>HYPERLINK("http://www.twitter.com/grantmcgaheran", "grantmcgaheran")</f>
        <v>grantmcgaheran</v>
      </c>
      <c r="B14024" s="65" t="s">
        <v>8165</v>
      </c>
    </row>
    <row r="14025" spans="1:2" x14ac:dyDescent="0.25">
      <c r="A14025" s="64" t="str">
        <f>HYPERLINK("http://www.twitter.com/Taz975", "Taz975")</f>
        <v>Taz975</v>
      </c>
      <c r="B14025" s="65" t="s">
        <v>8166</v>
      </c>
    </row>
    <row r="14026" spans="1:2" x14ac:dyDescent="0.25">
      <c r="A14026" s="64" t="str">
        <f>HYPERLINK("http://www.twitter.com/dhailia", "dhailia")</f>
        <v>dhailia</v>
      </c>
      <c r="B14026" s="65" t="s">
        <v>24</v>
      </c>
    </row>
    <row r="14027" spans="1:2" x14ac:dyDescent="0.25">
      <c r="A14027" s="64" t="str">
        <f>HYPERLINK("http://www.twitter.com/paul_K_fair_oak", "paul_K_fair_oak")</f>
        <v>paul_K_fair_oak</v>
      </c>
      <c r="B14027" s="65" t="s">
        <v>1765</v>
      </c>
    </row>
    <row r="14028" spans="1:2" x14ac:dyDescent="0.25">
      <c r="A14028" s="64" t="str">
        <f>HYPERLINK("http://www.twitter.com/DunnettCentral", "DunnettCentral")</f>
        <v>DunnettCentral</v>
      </c>
      <c r="B14028" s="65" t="s">
        <v>24</v>
      </c>
    </row>
    <row r="14029" spans="1:2" x14ac:dyDescent="0.25">
      <c r="A14029" s="64" t="str">
        <f>HYPERLINK("http://www.twitter.com/Dalesalenga4", "Dalesalenga4")</f>
        <v>Dalesalenga4</v>
      </c>
      <c r="B14029" s="65" t="s">
        <v>8167</v>
      </c>
    </row>
    <row r="14030" spans="1:2" x14ac:dyDescent="0.25">
      <c r="A14030" s="64" t="str">
        <f>HYPERLINK("http://www.twitter.com/suzanaral1", "suzanaral1")</f>
        <v>suzanaral1</v>
      </c>
      <c r="B14030" s="65"/>
    </row>
    <row r="14031" spans="1:2" x14ac:dyDescent="0.25">
      <c r="A14031" s="64" t="str">
        <f>HYPERLINK("http://www.twitter.com/Cadisbikes", "Cadisbikes")</f>
        <v>Cadisbikes</v>
      </c>
      <c r="B14031" s="65" t="s">
        <v>8168</v>
      </c>
    </row>
    <row r="14032" spans="1:2" x14ac:dyDescent="0.25">
      <c r="A14032" s="64" t="str">
        <f>HYPERLINK("http://www.twitter.com/AnnaOrr", "AnnaOrr")</f>
        <v>AnnaOrr</v>
      </c>
      <c r="B14032" s="65" t="s">
        <v>517</v>
      </c>
    </row>
    <row r="14033" spans="1:2" x14ac:dyDescent="0.25">
      <c r="A14033" s="64" t="str">
        <f>HYPERLINK("http://www.twitter.com/sipi7", "sipi7")</f>
        <v>sipi7</v>
      </c>
      <c r="B14033" s="65"/>
    </row>
    <row r="14034" spans="1:2" x14ac:dyDescent="0.25">
      <c r="A14034" s="64" t="str">
        <f>HYPERLINK("http://www.twitter.com/cherlie1", "cherlie1")</f>
        <v>cherlie1</v>
      </c>
      <c r="B14034" s="65" t="s">
        <v>8020</v>
      </c>
    </row>
    <row r="14035" spans="1:2" x14ac:dyDescent="0.25">
      <c r="A14035" s="64" t="str">
        <f>HYPERLINK("http://www.twitter.com/brightgee", "brightgee")</f>
        <v>brightgee</v>
      </c>
      <c r="B14035" s="65" t="s">
        <v>8169</v>
      </c>
    </row>
    <row r="14036" spans="1:2" x14ac:dyDescent="0.25">
      <c r="A14036" s="64" t="str">
        <f>HYPERLINK("http://www.twitter.com/WitchyWaller", "WitchyWaller")</f>
        <v>WitchyWaller</v>
      </c>
      <c r="B14036" s="65"/>
    </row>
    <row r="14037" spans="1:2" x14ac:dyDescent="0.25">
      <c r="A14037" s="64" t="str">
        <f>HYPERLINK("http://www.twitter.com/sue98312180", "sue98312180")</f>
        <v>sue98312180</v>
      </c>
      <c r="B14037" s="65"/>
    </row>
    <row r="14038" spans="1:2" x14ac:dyDescent="0.25">
      <c r="A14038" s="64" t="str">
        <f>HYPERLINK("http://www.twitter.com/dodrummond", "dodrummond")</f>
        <v>dodrummond</v>
      </c>
      <c r="B14038" s="65" t="s">
        <v>3854</v>
      </c>
    </row>
    <row r="14039" spans="1:2" x14ac:dyDescent="0.25">
      <c r="A14039" s="64" t="str">
        <f>HYPERLINK("http://www.twitter.com/oovChirrupvoo", "oovChirrupvoo")</f>
        <v>oovChirrupvoo</v>
      </c>
      <c r="B14039" s="65" t="s">
        <v>6334</v>
      </c>
    </row>
    <row r="14040" spans="1:2" x14ac:dyDescent="0.25">
      <c r="A14040" s="64" t="str">
        <f>HYPERLINK("http://www.twitter.com/DavidPattie", "DavidPattie")</f>
        <v>DavidPattie</v>
      </c>
      <c r="B14040" s="65"/>
    </row>
    <row r="14041" spans="1:2" x14ac:dyDescent="0.25">
      <c r="A14041" s="64" t="str">
        <f>HYPERLINK("http://www.twitter.com/snapperinbath", "snapperinbath")</f>
        <v>snapperinbath</v>
      </c>
      <c r="B14041" s="65"/>
    </row>
    <row r="14042" spans="1:2" x14ac:dyDescent="0.25">
      <c r="A14042" s="64" t="str">
        <f>HYPERLINK("http://www.twitter.com/ScotWildNature", "ScotWildNature")</f>
        <v>ScotWildNature</v>
      </c>
      <c r="B14042" s="65" t="s">
        <v>517</v>
      </c>
    </row>
    <row r="14043" spans="1:2" x14ac:dyDescent="0.25">
      <c r="A14043" s="64" t="str">
        <f>HYPERLINK("http://www.twitter.com/LibraryAllie", "LibraryAllie")</f>
        <v>LibraryAllie</v>
      </c>
      <c r="B14043" s="65" t="s">
        <v>8170</v>
      </c>
    </row>
    <row r="14044" spans="1:2" x14ac:dyDescent="0.25">
      <c r="A14044" s="64" t="str">
        <f>HYPERLINK("http://www.twitter.com/karenmcgalliard", "karenmcgalliard")</f>
        <v>karenmcgalliard</v>
      </c>
      <c r="B14044" s="65"/>
    </row>
    <row r="14045" spans="1:2" x14ac:dyDescent="0.25">
      <c r="A14045" s="64" t="str">
        <f>HYPERLINK("http://www.twitter.com/dewar_meister", "dewar_meister")</f>
        <v>dewar_meister</v>
      </c>
      <c r="B14045" s="65" t="s">
        <v>487</v>
      </c>
    </row>
    <row r="14046" spans="1:2" x14ac:dyDescent="0.25">
      <c r="A14046" s="64" t="str">
        <f>HYPERLINK("http://www.twitter.com/StubbsyAndy", "StubbsyAndy")</f>
        <v>StubbsyAndy</v>
      </c>
      <c r="B14046" s="65"/>
    </row>
    <row r="14047" spans="1:2" x14ac:dyDescent="0.25">
      <c r="A14047" s="64" t="str">
        <f>HYPERLINK("http://www.twitter.com/AMairiSmith", "AMairiSmith")</f>
        <v>AMairiSmith</v>
      </c>
      <c r="B14047" s="65" t="s">
        <v>5255</v>
      </c>
    </row>
    <row r="14048" spans="1:2" x14ac:dyDescent="0.25">
      <c r="A14048" s="64" t="str">
        <f>HYPERLINK("http://www.twitter.com/revpeterbarham", "revpeterbarham")</f>
        <v>revpeterbarham</v>
      </c>
      <c r="B14048" s="65"/>
    </row>
    <row r="14049" spans="1:2" x14ac:dyDescent="0.25">
      <c r="A14049" s="64" t="str">
        <f>HYPERLINK("http://www.twitter.com/VR6Adam", "VR6Adam")</f>
        <v>VR6Adam</v>
      </c>
      <c r="B14049" s="65" t="s">
        <v>8171</v>
      </c>
    </row>
    <row r="14050" spans="1:2" x14ac:dyDescent="0.25">
      <c r="A14050" s="64" t="str">
        <f>HYPERLINK("http://www.twitter.com/no1westlife", "no1westlife")</f>
        <v>no1westlife</v>
      </c>
      <c r="B14050" s="65" t="s">
        <v>7892</v>
      </c>
    </row>
    <row r="14051" spans="1:2" x14ac:dyDescent="0.25">
      <c r="A14051" s="64" t="str">
        <f>HYPERLINK("http://www.twitter.com/lkoltutsky", "lkoltutsky")</f>
        <v>lkoltutsky</v>
      </c>
      <c r="B14051" s="65" t="s">
        <v>7686</v>
      </c>
    </row>
    <row r="14052" spans="1:2" x14ac:dyDescent="0.25">
      <c r="A14052" s="64" t="str">
        <f>HYPERLINK("http://www.twitter.com/L_Brassington", "L_Brassington")</f>
        <v>L_Brassington</v>
      </c>
      <c r="B14052" s="65" t="s">
        <v>508</v>
      </c>
    </row>
    <row r="14053" spans="1:2" x14ac:dyDescent="0.25">
      <c r="A14053" s="64" t="str">
        <f>HYPERLINK("http://www.twitter.com/mouflonbaa", "mouflonbaa")</f>
        <v>mouflonbaa</v>
      </c>
      <c r="B14053" s="65"/>
    </row>
    <row r="14054" spans="1:2" x14ac:dyDescent="0.25">
      <c r="A14054" s="64" t="str">
        <f>HYPERLINK("http://www.twitter.com/AlexaDWilson", "AlexaDWilson")</f>
        <v>AlexaDWilson</v>
      </c>
      <c r="B14054" s="65" t="s">
        <v>8172</v>
      </c>
    </row>
    <row r="14055" spans="1:2" x14ac:dyDescent="0.25">
      <c r="A14055" s="64" t="str">
        <f>HYPERLINK("http://www.twitter.com/Baldred", "Baldred")</f>
        <v>Baldred</v>
      </c>
      <c r="B14055" s="65" t="s">
        <v>318</v>
      </c>
    </row>
    <row r="14056" spans="1:2" x14ac:dyDescent="0.25">
      <c r="A14056" s="64" t="str">
        <f>HYPERLINK("http://www.twitter.com/ThomsonLord", "ThomsonLord")</f>
        <v>ThomsonLord</v>
      </c>
      <c r="B14056" s="65" t="s">
        <v>4111</v>
      </c>
    </row>
    <row r="14057" spans="1:2" x14ac:dyDescent="0.25">
      <c r="A14057" s="64" t="str">
        <f>HYPERLINK("http://www.twitter.com/jokesarepuny", "jokesarepuny")</f>
        <v>jokesarepuny</v>
      </c>
      <c r="B14057" s="65"/>
    </row>
    <row r="14058" spans="1:2" x14ac:dyDescent="0.25">
      <c r="A14058" s="64" t="str">
        <f>HYPERLINK("http://www.twitter.com/AliceinDreamsH", "AliceinDreamsH")</f>
        <v>AliceinDreamsH</v>
      </c>
      <c r="B14058" s="65" t="s">
        <v>8173</v>
      </c>
    </row>
    <row r="14059" spans="1:2" x14ac:dyDescent="0.25">
      <c r="A14059" s="64" t="str">
        <f>HYPERLINK("http://www.twitter.com/walksquitefast", "walksquitefast")</f>
        <v>walksquitefast</v>
      </c>
      <c r="B14059" s="65" t="s">
        <v>517</v>
      </c>
    </row>
    <row r="14060" spans="1:2" x14ac:dyDescent="0.25">
      <c r="A14060" s="64" t="str">
        <f>HYPERLINK("http://www.twitter.com/kelseyharvey_99", "kelseyharvey_99")</f>
        <v>kelseyharvey_99</v>
      </c>
      <c r="B14060" s="65"/>
    </row>
    <row r="14061" spans="1:2" x14ac:dyDescent="0.25">
      <c r="A14061" s="64" t="str">
        <f>HYPERLINK("http://www.twitter.com/EdSciFest", "EdSciFest")</f>
        <v>EdSciFest</v>
      </c>
      <c r="B14061" s="65" t="s">
        <v>4484</v>
      </c>
    </row>
    <row r="14062" spans="1:2" x14ac:dyDescent="0.25">
      <c r="A14062" s="64" t="str">
        <f>HYPERLINK("http://www.twitter.com/Alex_T_Smith", "Alex_T_Smith")</f>
        <v>Alex_T_Smith</v>
      </c>
      <c r="B14062" s="65" t="s">
        <v>296</v>
      </c>
    </row>
    <row r="14063" spans="1:2" x14ac:dyDescent="0.25">
      <c r="A14063" s="64" t="str">
        <f>HYPERLINK("http://www.twitter.com/Fisher8K", "Fisher8K")</f>
        <v>Fisher8K</v>
      </c>
      <c r="B14063" s="65" t="s">
        <v>318</v>
      </c>
    </row>
    <row r="14064" spans="1:2" x14ac:dyDescent="0.25">
      <c r="A14064" s="64" t="str">
        <f>HYPERLINK("http://www.twitter.com/StPaulsLondon", "StPaulsLondon")</f>
        <v>StPaulsLondon</v>
      </c>
      <c r="B14064" s="65" t="s">
        <v>477</v>
      </c>
    </row>
    <row r="14065" spans="1:2" x14ac:dyDescent="0.25">
      <c r="A14065" s="64" t="str">
        <f>HYPERLINK("http://www.twitter.com/ScotHeritageSMG", "ScotHeritageSMG")</f>
        <v>ScotHeritageSMG</v>
      </c>
      <c r="B14065" s="65" t="s">
        <v>487</v>
      </c>
    </row>
    <row r="14066" spans="1:2" x14ac:dyDescent="0.25">
      <c r="A14066" s="64" t="str">
        <f>HYPERLINK("http://www.twitter.com/rosie_bouquet", "rosie_bouquet")</f>
        <v>rosie_bouquet</v>
      </c>
      <c r="B14066" s="65"/>
    </row>
    <row r="14067" spans="1:2" x14ac:dyDescent="0.25">
      <c r="A14067" s="64" t="str">
        <f>HYPERLINK("http://www.twitter.com/jb058975", "jb058975")</f>
        <v>jb058975</v>
      </c>
      <c r="B14067" s="65"/>
    </row>
    <row r="14068" spans="1:2" x14ac:dyDescent="0.25">
      <c r="A14068" s="64" t="str">
        <f>HYPERLINK("http://www.twitter.com/MinceMeatPies", "MinceMeatPies")</f>
        <v>MinceMeatPies</v>
      </c>
      <c r="B14068" s="65" t="s">
        <v>517</v>
      </c>
    </row>
    <row r="14069" spans="1:2" x14ac:dyDescent="0.25">
      <c r="A14069" s="64" t="str">
        <f>HYPERLINK("http://www.twitter.com/amandjacoe", "amandjacoe")</f>
        <v>amandjacoe</v>
      </c>
      <c r="B14069" s="65"/>
    </row>
    <row r="14070" spans="1:2" x14ac:dyDescent="0.25">
      <c r="A14070" s="64" t="str">
        <f>HYPERLINK("http://www.twitter.com/kngswd", "kngswd")</f>
        <v>kngswd</v>
      </c>
      <c r="B14070" s="65"/>
    </row>
    <row r="14071" spans="1:2" x14ac:dyDescent="0.25">
      <c r="A14071" s="64" t="str">
        <f>HYPERLINK("http://www.twitter.com/R_McQ_", "R_McQ_")</f>
        <v>R_McQ_</v>
      </c>
      <c r="B14071" s="65" t="s">
        <v>517</v>
      </c>
    </row>
    <row r="14072" spans="1:2" x14ac:dyDescent="0.25">
      <c r="A14072" s="64" t="str">
        <f>HYPERLINK("http://www.twitter.com/anniekray", "anniekray")</f>
        <v>anniekray</v>
      </c>
      <c r="B14072" s="65" t="s">
        <v>5212</v>
      </c>
    </row>
    <row r="14073" spans="1:2" x14ac:dyDescent="0.25">
      <c r="A14073" s="64" t="str">
        <f>HYPERLINK("http://www.twitter.com/fifibooklover", "fifibooklover")</f>
        <v>fifibooklover</v>
      </c>
      <c r="B14073" s="65"/>
    </row>
    <row r="14074" spans="1:2" x14ac:dyDescent="0.25">
      <c r="A14074" s="64" t="str">
        <f>HYPERLINK("http://www.twitter.com/MsFennyBentley", "MsFennyBentley")</f>
        <v>MsFennyBentley</v>
      </c>
      <c r="B14074" s="65" t="s">
        <v>1189</v>
      </c>
    </row>
    <row r="14075" spans="1:2" x14ac:dyDescent="0.25">
      <c r="A14075" s="64" t="str">
        <f>HYPERLINK("http://www.twitter.com/singbeans", "singbeans")</f>
        <v>singbeans</v>
      </c>
      <c r="B14075" s="65"/>
    </row>
    <row r="14076" spans="1:2" x14ac:dyDescent="0.25">
      <c r="A14076" s="64" t="str">
        <f>HYPERLINK("http://www.twitter.com/margatesunsets", "margatesunsets")</f>
        <v>margatesunsets</v>
      </c>
      <c r="B14076" s="65" t="s">
        <v>8174</v>
      </c>
    </row>
    <row r="14077" spans="1:2" x14ac:dyDescent="0.25">
      <c r="A14077" s="64" t="str">
        <f>HYPERLINK("http://www.twitter.com/Gertlet", "Gertlet")</f>
        <v>Gertlet</v>
      </c>
      <c r="B14077" s="65"/>
    </row>
    <row r="14078" spans="1:2" x14ac:dyDescent="0.25">
      <c r="A14078" s="64" t="str">
        <f>HYPERLINK("http://www.twitter.com/StobnaBroige", "StobnaBroige")</f>
        <v>StobnaBroige</v>
      </c>
      <c r="B14078" s="65" t="s">
        <v>4019</v>
      </c>
    </row>
    <row r="14079" spans="1:2" x14ac:dyDescent="0.25">
      <c r="A14079" s="64" t="str">
        <f>HYPERLINK("http://www.twitter.com/impact_arts", "impact_arts")</f>
        <v>impact_arts</v>
      </c>
      <c r="B14079" s="65" t="s">
        <v>517</v>
      </c>
    </row>
    <row r="14080" spans="1:2" x14ac:dyDescent="0.25">
      <c r="A14080" s="64" t="str">
        <f>HYPERLINK("http://www.twitter.com/AmandaJGale", "AmandaJGale")</f>
        <v>AmandaJGale</v>
      </c>
      <c r="B14080" s="65"/>
    </row>
    <row r="14081" spans="1:2" x14ac:dyDescent="0.25">
      <c r="A14081" s="64" t="str">
        <f>HYPERLINK("http://www.twitter.com/mulvalibrary", "mulvalibrary")</f>
        <v>mulvalibrary</v>
      </c>
      <c r="B14081" s="65" t="s">
        <v>8175</v>
      </c>
    </row>
    <row r="14082" spans="1:2" x14ac:dyDescent="0.25">
      <c r="A14082" s="64" t="str">
        <f>HYPERLINK("http://www.twitter.com/JohnSmithGCU", "JohnSmithGCU")</f>
        <v>JohnSmithGCU</v>
      </c>
      <c r="B14082" s="65" t="s">
        <v>7290</v>
      </c>
    </row>
    <row r="14083" spans="1:2" x14ac:dyDescent="0.25">
      <c r="A14083" s="64" t="str">
        <f>HYPERLINK("http://www.twitter.com/NickBooksUSA", "NickBooksUSA")</f>
        <v>NickBooksUSA</v>
      </c>
      <c r="B14083" s="65" t="s">
        <v>3893</v>
      </c>
    </row>
    <row r="14084" spans="1:2" x14ac:dyDescent="0.25">
      <c r="A14084" s="64" t="str">
        <f>HYPERLINK("http://www.twitter.com/tennisdenys", "tennisdenys")</f>
        <v>tennisdenys</v>
      </c>
      <c r="B14084" s="65"/>
    </row>
    <row r="14085" spans="1:2" x14ac:dyDescent="0.25">
      <c r="A14085" s="64" t="str">
        <f>HYPERLINK("http://www.twitter.com/legendlover", "legendlover")</f>
        <v>legendlover</v>
      </c>
      <c r="B14085" s="65" t="s">
        <v>517</v>
      </c>
    </row>
    <row r="14086" spans="1:2" x14ac:dyDescent="0.25">
      <c r="A14086" s="64" t="str">
        <f>HYPERLINK("http://www.twitter.com/artukdotorg", "artukdotorg")</f>
        <v>artukdotorg</v>
      </c>
      <c r="B14086" s="65" t="s">
        <v>70</v>
      </c>
    </row>
    <row r="14087" spans="1:2" x14ac:dyDescent="0.25">
      <c r="A14087" s="64" t="str">
        <f>HYPERLINK("http://www.twitter.com/TinybimCS", "TinybimCS")</f>
        <v>TinybimCS</v>
      </c>
      <c r="B14087" s="65" t="s">
        <v>3762</v>
      </c>
    </row>
    <row r="14088" spans="1:2" x14ac:dyDescent="0.25">
      <c r="A14088" s="64" t="str">
        <f>HYPERLINK("http://www.twitter.com/GillianBaxter4", "GillianBaxter4")</f>
        <v>GillianBaxter4</v>
      </c>
      <c r="B14088" s="65" t="s">
        <v>24</v>
      </c>
    </row>
    <row r="14089" spans="1:2" x14ac:dyDescent="0.25">
      <c r="A14089" s="64" t="str">
        <f>HYPERLINK("http://www.twitter.com/farrochie", "farrochie")</f>
        <v>farrochie</v>
      </c>
      <c r="B14089" s="65" t="s">
        <v>8176</v>
      </c>
    </row>
    <row r="14090" spans="1:2" x14ac:dyDescent="0.25">
      <c r="A14090" s="64" t="str">
        <f>HYPERLINK("http://www.twitter.com/Gandoque2", "Gandoque2")</f>
        <v>Gandoque2</v>
      </c>
      <c r="B14090" s="65" t="s">
        <v>4213</v>
      </c>
    </row>
    <row r="14091" spans="1:2" x14ac:dyDescent="0.25">
      <c r="A14091" s="64" t="str">
        <f>HYPERLINK("http://www.twitter.com/livelanguage", "livelanguage")</f>
        <v>livelanguage</v>
      </c>
      <c r="B14091" s="65" t="s">
        <v>138</v>
      </c>
    </row>
    <row r="14092" spans="1:2" x14ac:dyDescent="0.25">
      <c r="A14092" s="64" t="str">
        <f>HYPERLINK("http://www.twitter.com/gubath", "gubath")</f>
        <v>gubath</v>
      </c>
      <c r="B14092" s="65"/>
    </row>
    <row r="14093" spans="1:2" x14ac:dyDescent="0.25">
      <c r="A14093" s="64" t="str">
        <f>HYPERLINK("http://www.twitter.com/J_Brotherston", "J_Brotherston")</f>
        <v>J_Brotherston</v>
      </c>
      <c r="B14093" s="65" t="s">
        <v>8177</v>
      </c>
    </row>
    <row r="14094" spans="1:2" x14ac:dyDescent="0.25">
      <c r="A14094" s="64" t="str">
        <f>HYPERLINK("http://www.twitter.com/AlexSalmond", "AlexSalmond")</f>
        <v>AlexSalmond</v>
      </c>
      <c r="B14094" s="65" t="s">
        <v>6548</v>
      </c>
    </row>
    <row r="14095" spans="1:2" x14ac:dyDescent="0.25">
      <c r="A14095" s="64" t="str">
        <f>HYPERLINK("http://www.twitter.com/awgossip", "awgossip")</f>
        <v>awgossip</v>
      </c>
      <c r="B14095" s="65" t="s">
        <v>569</v>
      </c>
    </row>
    <row r="14096" spans="1:2" x14ac:dyDescent="0.25">
      <c r="A14096" s="64" t="str">
        <f>HYPERLINK("http://www.twitter.com/cownifer", "cownifer")</f>
        <v>cownifer</v>
      </c>
      <c r="B14096" s="65" t="s">
        <v>477</v>
      </c>
    </row>
    <row r="14097" spans="1:2" x14ac:dyDescent="0.25">
      <c r="A14097" s="64" t="str">
        <f>HYPERLINK("http://www.twitter.com/BowenThevalerie", "BowenThevalerie")</f>
        <v>BowenThevalerie</v>
      </c>
      <c r="B14097" s="65"/>
    </row>
    <row r="14098" spans="1:2" x14ac:dyDescent="0.25">
      <c r="A14098" s="64" t="str">
        <f>HYPERLINK("http://www.twitter.com/devilmaeclare", "devilmaeclare")</f>
        <v>devilmaeclare</v>
      </c>
      <c r="B14098" s="65"/>
    </row>
    <row r="14099" spans="1:2" x14ac:dyDescent="0.25">
      <c r="A14099" s="64" t="str">
        <f>HYPERLINK("http://www.twitter.com/ESPAmeetup", "ESPAmeetup")</f>
        <v>ESPAmeetup</v>
      </c>
      <c r="B14099" s="65"/>
    </row>
    <row r="14100" spans="1:2" x14ac:dyDescent="0.25">
      <c r="A14100" s="64" t="str">
        <f>HYPERLINK("http://www.twitter.com/NicoleHodson_", "NicoleHodson_")</f>
        <v>NicoleHodson_</v>
      </c>
      <c r="B14100" s="65" t="s">
        <v>569</v>
      </c>
    </row>
    <row r="14101" spans="1:2" x14ac:dyDescent="0.25">
      <c r="A14101" s="64" t="str">
        <f>HYPERLINK("http://www.twitter.com/emmaRmcnally", "emmaRmcnally")</f>
        <v>emmaRmcnally</v>
      </c>
      <c r="B14101" s="65" t="s">
        <v>7527</v>
      </c>
    </row>
    <row r="14102" spans="1:2" x14ac:dyDescent="0.25">
      <c r="A14102" s="64" t="str">
        <f>HYPERLINK("http://www.twitter.com/s_redway", "s_redway")</f>
        <v>s_redway</v>
      </c>
      <c r="B14102" s="65" t="s">
        <v>6219</v>
      </c>
    </row>
    <row r="14103" spans="1:2" x14ac:dyDescent="0.25">
      <c r="A14103" s="64" t="str">
        <f>HYPERLINK("http://www.twitter.com/louisejwarmo", "louisejwarmo")</f>
        <v>louisejwarmo</v>
      </c>
      <c r="B14103" s="65" t="s">
        <v>8178</v>
      </c>
    </row>
    <row r="14104" spans="1:2" x14ac:dyDescent="0.25">
      <c r="A14104" s="64" t="str">
        <f>HYPERLINK("http://www.twitter.com/brockie_2", "brockie_2")</f>
        <v>brockie_2</v>
      </c>
      <c r="B14104" s="65"/>
    </row>
    <row r="14105" spans="1:2" x14ac:dyDescent="0.25">
      <c r="A14105" s="64" t="str">
        <f>HYPERLINK("http://www.twitter.com/ginnyhyland", "ginnyhyland")</f>
        <v>ginnyhyland</v>
      </c>
      <c r="B14105" s="65" t="s">
        <v>36</v>
      </c>
    </row>
    <row r="14106" spans="1:2" x14ac:dyDescent="0.25">
      <c r="A14106" s="64" t="str">
        <f>HYPERLINK("http://www.twitter.com/Confused_Haggis", "Confused_Haggis")</f>
        <v>Confused_Haggis</v>
      </c>
      <c r="B14106" s="65" t="s">
        <v>8179</v>
      </c>
    </row>
    <row r="14107" spans="1:2" x14ac:dyDescent="0.25">
      <c r="A14107" s="64" t="str">
        <f>HYPERLINK("http://www.twitter.com/LibrarianGenie", "LibrarianGenie")</f>
        <v>LibrarianGenie</v>
      </c>
      <c r="B14107" s="65"/>
    </row>
    <row r="14108" spans="1:2" x14ac:dyDescent="0.25">
      <c r="A14108" s="64" t="str">
        <f>HYPERLINK("http://www.twitter.com/AUT_SC", "AUT_SC")</f>
        <v>AUT_SC</v>
      </c>
      <c r="B14108" s="65" t="s">
        <v>4436</v>
      </c>
    </row>
    <row r="14109" spans="1:2" x14ac:dyDescent="0.25">
      <c r="A14109" s="64" t="str">
        <f>HYPERLINK("http://www.twitter.com/theluqmanarian", "theluqmanarian")</f>
        <v>theluqmanarian</v>
      </c>
      <c r="B14109" s="65" t="s">
        <v>8180</v>
      </c>
    </row>
    <row r="14110" spans="1:2" x14ac:dyDescent="0.25">
      <c r="A14110" s="64" t="str">
        <f>HYPERLINK("http://www.twitter.com/Not_Evie", "Not_Evie")</f>
        <v>Not_Evie</v>
      </c>
      <c r="B14110" s="65" t="s">
        <v>487</v>
      </c>
    </row>
    <row r="14111" spans="1:2" x14ac:dyDescent="0.25">
      <c r="A14111" s="64" t="str">
        <f>HYPERLINK("http://www.twitter.com/Buckers2016", "Buckers2016")</f>
        <v>Buckers2016</v>
      </c>
      <c r="B14111" s="65"/>
    </row>
    <row r="14112" spans="1:2" x14ac:dyDescent="0.25">
      <c r="A14112" s="64" t="str">
        <f>HYPERLINK("http://www.twitter.com/x40hen", "x40hen")</f>
        <v>x40hen</v>
      </c>
      <c r="B14112" s="65"/>
    </row>
    <row r="14113" spans="1:2" x14ac:dyDescent="0.25">
      <c r="A14113" s="64" t="str">
        <f>HYPERLINK("http://www.twitter.com/sheonamac", "sheonamac")</f>
        <v>sheonamac</v>
      </c>
      <c r="B14113" s="65"/>
    </row>
    <row r="14114" spans="1:2" x14ac:dyDescent="0.25">
      <c r="A14114" s="64" t="str">
        <f>HYPERLINK("http://www.twitter.com/emma_peace2203", "emma_peace2203")</f>
        <v>emma_peace2203</v>
      </c>
      <c r="B14114" s="65"/>
    </row>
    <row r="14115" spans="1:2" x14ac:dyDescent="0.25">
      <c r="A14115" s="64" t="str">
        <f>HYPERLINK("http://www.twitter.com/IslandLib", "IslandLib")</f>
        <v>IslandLib</v>
      </c>
      <c r="B14115" s="65"/>
    </row>
    <row r="14116" spans="1:2" x14ac:dyDescent="0.25">
      <c r="A14116" s="64" t="str">
        <f>HYPERLINK("http://www.twitter.com/anntamario", "anntamario")</f>
        <v>anntamario</v>
      </c>
      <c r="B14116" s="65"/>
    </row>
    <row r="14117" spans="1:2" x14ac:dyDescent="0.25">
      <c r="A14117" s="64" t="str">
        <f>HYPERLINK("http://www.twitter.com/lenaomi", "lenaomi")</f>
        <v>lenaomi</v>
      </c>
      <c r="B14117" s="65" t="s">
        <v>477</v>
      </c>
    </row>
    <row r="14118" spans="1:2" x14ac:dyDescent="0.25">
      <c r="A14118" s="64" t="str">
        <f>HYPERLINK("http://www.twitter.com/BernatRuiz", "BernatRuiz")</f>
        <v>BernatRuiz</v>
      </c>
      <c r="B14118" s="65" t="s">
        <v>8181</v>
      </c>
    </row>
    <row r="14119" spans="1:2" x14ac:dyDescent="0.25">
      <c r="A14119" s="64" t="str">
        <f>HYPERLINK("http://www.twitter.com/perrys_rick", "perrys_rick")</f>
        <v>perrys_rick</v>
      </c>
      <c r="B14119" s="65" t="s">
        <v>8182</v>
      </c>
    </row>
    <row r="14120" spans="1:2" x14ac:dyDescent="0.25">
      <c r="A14120" s="64" t="str">
        <f>HYPERLINK("http://www.twitter.com/SusanArchive", "SusanArchive")</f>
        <v>SusanArchive</v>
      </c>
      <c r="B14120" s="65"/>
    </row>
    <row r="14121" spans="1:2" x14ac:dyDescent="0.25">
      <c r="A14121" s="64" t="str">
        <f>HYPERLINK("http://www.twitter.com/MackieAcademy", "MackieAcademy")</f>
        <v>MackieAcademy</v>
      </c>
      <c r="B14121" s="65" t="s">
        <v>4544</v>
      </c>
    </row>
    <row r="14122" spans="1:2" x14ac:dyDescent="0.25">
      <c r="A14122" s="64" t="str">
        <f>HYPERLINK("http://www.twitter.com/LynnThomson11", "LynnThomson11")</f>
        <v>LynnThomson11</v>
      </c>
      <c r="B14122" s="65" t="s">
        <v>8183</v>
      </c>
    </row>
    <row r="14123" spans="1:2" x14ac:dyDescent="0.25">
      <c r="A14123" s="64" t="str">
        <f>HYPERLINK("http://www.twitter.com/RoseSuchak", "RoseSuchak")</f>
        <v>RoseSuchak</v>
      </c>
      <c r="B14123" s="65" t="s">
        <v>8184</v>
      </c>
    </row>
    <row r="14124" spans="1:2" x14ac:dyDescent="0.25">
      <c r="A14124" s="64" t="str">
        <f>HYPERLINK("http://www.twitter.com/CrowdTModels", "CrowdTModels")</f>
        <v>CrowdTModels</v>
      </c>
      <c r="B14124" s="65" t="s">
        <v>4149</v>
      </c>
    </row>
    <row r="14125" spans="1:2" x14ac:dyDescent="0.25">
      <c r="A14125" s="64" t="str">
        <f>HYPERLINK("http://www.twitter.com/JAS52", "JAS52")</f>
        <v>JAS52</v>
      </c>
      <c r="B14125" s="65"/>
    </row>
    <row r="14126" spans="1:2" x14ac:dyDescent="0.25">
      <c r="A14126" s="64" t="str">
        <f>HYPERLINK("http://www.twitter.com/AllegiantChair", "AllegiantChair")</f>
        <v>AllegiantChair</v>
      </c>
      <c r="B14126" s="65" t="s">
        <v>8185</v>
      </c>
    </row>
    <row r="14127" spans="1:2" x14ac:dyDescent="0.25">
      <c r="A14127" s="64" t="str">
        <f>HYPERLINK("http://www.twitter.com/Constan09503043", "Constan09503043")</f>
        <v>Constan09503043</v>
      </c>
      <c r="B14127" s="65"/>
    </row>
    <row r="14128" spans="1:2" x14ac:dyDescent="0.25">
      <c r="A14128" s="64" t="str">
        <f>HYPERLINK("http://www.twitter.com/tomajbuchanan", "tomajbuchanan")</f>
        <v>tomajbuchanan</v>
      </c>
      <c r="B14128" s="65" t="s">
        <v>1046</v>
      </c>
    </row>
    <row r="14129" spans="1:2" x14ac:dyDescent="0.25">
      <c r="A14129" s="64" t="str">
        <f>HYPERLINK("http://www.twitter.com/AllamaMashraqi", "AllamaMashraqi")</f>
        <v>AllamaMashraqi</v>
      </c>
      <c r="B14129" s="65"/>
    </row>
    <row r="14130" spans="1:2" x14ac:dyDescent="0.25">
      <c r="A14130" s="64" t="str">
        <f>HYPERLINK("http://www.twitter.com/willowpublicity", "willowpublicity")</f>
        <v>willowpublicity</v>
      </c>
      <c r="B14130" s="65" t="s">
        <v>477</v>
      </c>
    </row>
    <row r="14131" spans="1:2" x14ac:dyDescent="0.25">
      <c r="A14131" s="64" t="str">
        <f>HYPERLINK("http://www.twitter.com/AlineFavero4", "AlineFavero4")</f>
        <v>AlineFavero4</v>
      </c>
      <c r="B14131" s="65"/>
    </row>
    <row r="14132" spans="1:2" x14ac:dyDescent="0.25">
      <c r="A14132" s="64" t="str">
        <f>HYPERLINK("http://www.twitter.com/foebooks", "foebooks")</f>
        <v>foebooks</v>
      </c>
      <c r="B14132" s="65" t="s">
        <v>2805</v>
      </c>
    </row>
    <row r="14133" spans="1:2" x14ac:dyDescent="0.25">
      <c r="A14133" s="64" t="str">
        <f>HYPERLINK("http://www.twitter.com/DrHaidiBeard", "DrHaidiBeard")</f>
        <v>DrHaidiBeard</v>
      </c>
      <c r="B14133" s="65"/>
    </row>
    <row r="14134" spans="1:2" x14ac:dyDescent="0.25">
      <c r="A14134" s="64" t="str">
        <f>HYPERLINK("http://www.twitter.com/YATodayPodcast", "YATodayPodcast")</f>
        <v>YATodayPodcast</v>
      </c>
      <c r="B14134" s="65" t="s">
        <v>5156</v>
      </c>
    </row>
    <row r="14135" spans="1:2" x14ac:dyDescent="0.25">
      <c r="A14135" s="64" t="str">
        <f>HYPERLINK("http://www.twitter.com/Sally_PR", "Sally_PR")</f>
        <v>Sally_PR</v>
      </c>
      <c r="B14135" s="65" t="s">
        <v>36</v>
      </c>
    </row>
    <row r="14136" spans="1:2" x14ac:dyDescent="0.25">
      <c r="A14136" s="64" t="str">
        <f>HYPERLINK("http://www.twitter.com/JanetWalker21", "JanetWalker21")</f>
        <v>JanetWalker21</v>
      </c>
      <c r="B14136" s="65"/>
    </row>
    <row r="14137" spans="1:2" x14ac:dyDescent="0.25">
      <c r="A14137" s="64" t="str">
        <f>HYPERLINK("http://www.twitter.com/SamiG76", "SamiG76")</f>
        <v>SamiG76</v>
      </c>
      <c r="B14137" s="65" t="s">
        <v>36</v>
      </c>
    </row>
    <row r="14138" spans="1:2" x14ac:dyDescent="0.25">
      <c r="A14138" s="64" t="str">
        <f>HYPERLINK("http://www.twitter.com/OrtakJewellery", "OrtakJewellery")</f>
        <v>OrtakJewellery</v>
      </c>
      <c r="B14138" s="65" t="s">
        <v>20</v>
      </c>
    </row>
    <row r="14139" spans="1:2" x14ac:dyDescent="0.25">
      <c r="A14139" s="64" t="str">
        <f>HYPERLINK("http://www.twitter.com/ellekaypea", "ellekaypea")</f>
        <v>ellekaypea</v>
      </c>
      <c r="B14139" s="65" t="s">
        <v>70</v>
      </c>
    </row>
    <row r="14140" spans="1:2" x14ac:dyDescent="0.25">
      <c r="A14140" s="64" t="str">
        <f>HYPERLINK("http://www.twitter.com/Orkneydeb", "Orkneydeb")</f>
        <v>Orkneydeb</v>
      </c>
      <c r="B14140" s="65"/>
    </row>
    <row r="14141" spans="1:2" x14ac:dyDescent="0.25">
      <c r="A14141" s="64" t="str">
        <f>HYPERLINK("http://www.twitter.com/LondonBookFair", "LondonBookFair")</f>
        <v>LondonBookFair</v>
      </c>
      <c r="B14141" s="65" t="s">
        <v>8186</v>
      </c>
    </row>
    <row r="14142" spans="1:2" x14ac:dyDescent="0.25">
      <c r="A14142" s="64" t="str">
        <f>HYPERLINK("http://www.twitter.com/lucyrosemacd", "lucyrosemacd")</f>
        <v>lucyrosemacd</v>
      </c>
      <c r="B14142" s="65" t="s">
        <v>2805</v>
      </c>
    </row>
    <row r="14143" spans="1:2" x14ac:dyDescent="0.25">
      <c r="A14143" s="64" t="str">
        <f>HYPERLINK("http://www.twitter.com/FrithaL", "FrithaL")</f>
        <v>FrithaL</v>
      </c>
      <c r="B14143" s="65" t="s">
        <v>7006</v>
      </c>
    </row>
    <row r="14144" spans="1:2" x14ac:dyDescent="0.25">
      <c r="A14144" s="64" t="str">
        <f>HYPERLINK("http://www.twitter.com/nelsonlibraries", "nelsonlibraries")</f>
        <v>nelsonlibraries</v>
      </c>
      <c r="B14144" s="65" t="s">
        <v>7381</v>
      </c>
    </row>
    <row r="14145" spans="1:2" x14ac:dyDescent="0.25">
      <c r="A14145" s="64" t="str">
        <f>HYPERLINK("http://www.twitter.com/WeeJen", "WeeJen")</f>
        <v>WeeJen</v>
      </c>
      <c r="B14145" s="65"/>
    </row>
    <row r="14146" spans="1:2" x14ac:dyDescent="0.25">
      <c r="A14146" s="64" t="str">
        <f>HYPERLINK("http://www.twitter.com/weaveparkhead", "weaveparkhead")</f>
        <v>weaveparkhead</v>
      </c>
      <c r="B14146" s="65" t="s">
        <v>138</v>
      </c>
    </row>
    <row r="14147" spans="1:2" x14ac:dyDescent="0.25">
      <c r="A14147" s="64" t="str">
        <f>HYPERLINK("http://www.twitter.com/EuansGuide", "EuansGuide")</f>
        <v>EuansGuide</v>
      </c>
      <c r="B14147" s="65" t="s">
        <v>8187</v>
      </c>
    </row>
    <row r="14148" spans="1:2" x14ac:dyDescent="0.25">
      <c r="A14148" s="64" t="str">
        <f>HYPERLINK("http://www.twitter.com/grahamtombs", "grahamtombs")</f>
        <v>grahamtombs</v>
      </c>
      <c r="B14148" s="65" t="s">
        <v>477</v>
      </c>
    </row>
    <row r="14149" spans="1:2" x14ac:dyDescent="0.25">
      <c r="A14149" s="64" t="str">
        <f>HYPERLINK("http://www.twitter.com/marktrak", "marktrak")</f>
        <v>marktrak</v>
      </c>
      <c r="B14149" s="65"/>
    </row>
    <row r="14150" spans="1:2" x14ac:dyDescent="0.25">
      <c r="A14150" s="64" t="str">
        <f>HYPERLINK("http://www.twitter.com/soozthebooks", "soozthebooks")</f>
        <v>soozthebooks</v>
      </c>
      <c r="B14150" s="65"/>
    </row>
    <row r="14151" spans="1:2" x14ac:dyDescent="0.25">
      <c r="A14151" s="64" t="str">
        <f>HYPERLINK("http://www.twitter.com/PaulCumminsMBE", "PaulCumminsMBE")</f>
        <v>PaulCumminsMBE</v>
      </c>
      <c r="B14151" s="65" t="s">
        <v>1885</v>
      </c>
    </row>
    <row r="14152" spans="1:2" x14ac:dyDescent="0.25">
      <c r="A14152" s="64" t="str">
        <f>HYPERLINK("http://www.twitter.com/Morwenna73", "Morwenna73")</f>
        <v>Morwenna73</v>
      </c>
      <c r="B14152" s="65" t="s">
        <v>203</v>
      </c>
    </row>
    <row r="14153" spans="1:2" x14ac:dyDescent="0.25">
      <c r="A14153" s="64" t="str">
        <f>HYPERLINK("http://www.twitter.com/bodhranii_keh", "bodhranii_keh")</f>
        <v>bodhranii_keh</v>
      </c>
      <c r="B14153" s="65" t="s">
        <v>8188</v>
      </c>
    </row>
    <row r="14154" spans="1:2" x14ac:dyDescent="0.25">
      <c r="A14154" s="64" t="str">
        <f>HYPERLINK("http://www.twitter.com/neltelford", "neltelford")</f>
        <v>neltelford</v>
      </c>
      <c r="B14154" s="65"/>
    </row>
    <row r="14155" spans="1:2" x14ac:dyDescent="0.25">
      <c r="A14155" s="64" t="str">
        <f>HYPERLINK("http://www.twitter.com/lflf234", "lflf234")</f>
        <v>lflf234</v>
      </c>
      <c r="B14155" s="65"/>
    </row>
    <row r="14156" spans="1:2" x14ac:dyDescent="0.25">
      <c r="A14156" s="64" t="str">
        <f>HYPERLINK("http://www.twitter.com/Nomad_From_VT", "Nomad_From_VT")</f>
        <v>Nomad_From_VT</v>
      </c>
      <c r="B14156" s="65" t="s">
        <v>4478</v>
      </c>
    </row>
    <row r="14157" spans="1:2" x14ac:dyDescent="0.25">
      <c r="A14157" s="64" t="str">
        <f>HYPERLINK("http://www.twitter.com/RobotPangolin", "RobotPangolin")</f>
        <v>RobotPangolin</v>
      </c>
      <c r="B14157" s="65" t="s">
        <v>8189</v>
      </c>
    </row>
    <row r="14158" spans="1:2" x14ac:dyDescent="0.25">
      <c r="A14158" s="64" t="str">
        <f>HYPERLINK("http://www.twitter.com/ScotlandSla", "ScotlandSla")</f>
        <v>ScotlandSla</v>
      </c>
      <c r="B14158" s="65" t="s">
        <v>517</v>
      </c>
    </row>
    <row r="14159" spans="1:2" x14ac:dyDescent="0.25">
      <c r="A14159" s="64" t="str">
        <f>HYPERLINK("http://www.twitter.com/NHSOrkney", "NHSOrkney")</f>
        <v>NHSOrkney</v>
      </c>
      <c r="B14159" s="65"/>
    </row>
    <row r="14160" spans="1:2" x14ac:dyDescent="0.25">
      <c r="A14160" s="64" t="str">
        <f>HYPERLINK("http://www.twitter.com/Maryannebeatti5", "Maryannebeatti5")</f>
        <v>Maryannebeatti5</v>
      </c>
      <c r="B14160" s="65"/>
    </row>
    <row r="14161" spans="1:2" x14ac:dyDescent="0.25">
      <c r="A14161" s="64" t="str">
        <f>HYPERLINK("http://www.twitter.com/scattyscribbler", "scattyscribbler")</f>
        <v>scattyscribbler</v>
      </c>
      <c r="B14161" s="65" t="s">
        <v>4447</v>
      </c>
    </row>
    <row r="14162" spans="1:2" x14ac:dyDescent="0.25">
      <c r="A14162" s="64" t="str">
        <f>HYPERLINK("http://www.twitter.com/BjornButterBox", "BjornButterBox")</f>
        <v>BjornButterBox</v>
      </c>
      <c r="B14162" s="65" t="s">
        <v>8190</v>
      </c>
    </row>
    <row r="14163" spans="1:2" x14ac:dyDescent="0.25">
      <c r="A14163" s="64" t="str">
        <f>HYPERLINK("http://www.twitter.com/anthonyamorrice", "anthonyamorrice")</f>
        <v>anthonyamorrice</v>
      </c>
      <c r="B14163" s="65" t="s">
        <v>4530</v>
      </c>
    </row>
    <row r="14164" spans="1:2" x14ac:dyDescent="0.25">
      <c r="A14164" s="64" t="str">
        <f>HYPERLINK("http://www.twitter.com/ConservoterJH", "ConservoterJH")</f>
        <v>ConservoterJH</v>
      </c>
      <c r="B14164" s="65" t="s">
        <v>8191</v>
      </c>
    </row>
    <row r="14165" spans="1:2" x14ac:dyDescent="0.25">
      <c r="A14165" s="64" t="str">
        <f>HYPERLINK("http://www.twitter.com/iaMHifer", "iaMHifer")</f>
        <v>iaMHifer</v>
      </c>
      <c r="B14165" s="65" t="s">
        <v>6639</v>
      </c>
    </row>
    <row r="14166" spans="1:2" x14ac:dyDescent="0.25">
      <c r="A14166" s="64" t="str">
        <f>HYPERLINK("http://www.twitter.com/ViluDisick", "ViluDisick")</f>
        <v>ViluDisick</v>
      </c>
      <c r="B14166" s="65" t="s">
        <v>4837</v>
      </c>
    </row>
    <row r="14167" spans="1:2" x14ac:dyDescent="0.25">
      <c r="A14167" s="64" t="str">
        <f>HYPERLINK("http://www.twitter.com/emmaslyon", "emmaslyon")</f>
        <v>emmaslyon</v>
      </c>
      <c r="B14167" s="65"/>
    </row>
    <row r="14168" spans="1:2" x14ac:dyDescent="0.25">
      <c r="A14168" s="64" t="str">
        <f>HYPERLINK("http://www.twitter.com/figbarton", "figbarton")</f>
        <v>figbarton</v>
      </c>
      <c r="B14168" s="65" t="s">
        <v>5325</v>
      </c>
    </row>
    <row r="14169" spans="1:2" x14ac:dyDescent="0.25">
      <c r="A14169" s="64" t="str">
        <f>HYPERLINK("http://www.twitter.com/Woolenthusiast1", "Woolenthusiast1")</f>
        <v>Woolenthusiast1</v>
      </c>
      <c r="B14169" s="65"/>
    </row>
    <row r="14170" spans="1:2" x14ac:dyDescent="0.25">
      <c r="A14170" s="64" t="str">
        <f>HYPERLINK("http://www.twitter.com/PJBaileyWork", "PJBaileyWork")</f>
        <v>PJBaileyWork</v>
      </c>
      <c r="B14170" s="65"/>
    </row>
    <row r="14171" spans="1:2" x14ac:dyDescent="0.25">
      <c r="A14171" s="64" t="str">
        <f>HYPERLINK("http://www.twitter.com/philipyorkshire", "philipyorkshire")</f>
        <v>philipyorkshire</v>
      </c>
      <c r="B14171" s="65" t="s">
        <v>24</v>
      </c>
    </row>
    <row r="14172" spans="1:2" x14ac:dyDescent="0.25">
      <c r="A14172" s="64" t="str">
        <f>HYPERLINK("http://www.twitter.com/BredaCarey", "BredaCarey")</f>
        <v>BredaCarey</v>
      </c>
      <c r="B14172" s="65" t="s">
        <v>8192</v>
      </c>
    </row>
    <row r="14173" spans="1:2" x14ac:dyDescent="0.25">
      <c r="A14173" s="64" t="str">
        <f>HYPERLINK("http://www.twitter.com/Orkwoodturner", "Orkwoodturner")</f>
        <v>Orkwoodturner</v>
      </c>
      <c r="B14173" s="65" t="s">
        <v>8193</v>
      </c>
    </row>
    <row r="14174" spans="1:2" x14ac:dyDescent="0.25">
      <c r="A14174" s="64" t="str">
        <f>HYPERLINK("http://www.twitter.com/SamEEENZ", "SamEEENZ")</f>
        <v>SamEEENZ</v>
      </c>
      <c r="B14174" s="65" t="s">
        <v>8194</v>
      </c>
    </row>
    <row r="14175" spans="1:2" x14ac:dyDescent="0.25">
      <c r="A14175" s="64" t="str">
        <f>HYPERLINK("http://www.twitter.com/nataliee_1", "nataliee_1")</f>
        <v>nataliee_1</v>
      </c>
      <c r="B14175" s="65" t="s">
        <v>3988</v>
      </c>
    </row>
    <row r="14176" spans="1:2" x14ac:dyDescent="0.25">
      <c r="A14176" s="64" t="str">
        <f>HYPERLINK("http://www.twitter.com/buildings_mc", "buildings_mc")</f>
        <v>buildings_mc</v>
      </c>
      <c r="B14176" s="65"/>
    </row>
    <row r="14177" spans="1:2" x14ac:dyDescent="0.25">
      <c r="A14177" s="64" t="str">
        <f>HYPERLINK("http://www.twitter.com/OleyLibrary", "OleyLibrary")</f>
        <v>OleyLibrary</v>
      </c>
      <c r="B14177" s="65" t="s">
        <v>8195</v>
      </c>
    </row>
    <row r="14178" spans="1:2" x14ac:dyDescent="0.25">
      <c r="A14178" s="64" t="str">
        <f>HYPERLINK("http://www.twitter.com/lastconflict", "lastconflict")</f>
        <v>lastconflict</v>
      </c>
      <c r="B14178" s="65"/>
    </row>
    <row r="14179" spans="1:2" x14ac:dyDescent="0.25">
      <c r="A14179" s="64" t="str">
        <f>HYPERLINK("http://www.twitter.com/carolduncan", "carolduncan")</f>
        <v>carolduncan</v>
      </c>
      <c r="B14179" s="65" t="s">
        <v>8196</v>
      </c>
    </row>
    <row r="14180" spans="1:2" x14ac:dyDescent="0.25">
      <c r="A14180" s="64" t="str">
        <f>HYPERLINK("http://www.twitter.com/ClaerB", "ClaerB")</f>
        <v>ClaerB</v>
      </c>
      <c r="B14180" s="65" t="s">
        <v>8197</v>
      </c>
    </row>
    <row r="14181" spans="1:2" x14ac:dyDescent="0.25">
      <c r="A14181" s="64" t="str">
        <f>HYPERLINK("http://www.twitter.com/LerasexyyZGYJRR", "LerasexyyZGYJRR")</f>
        <v>LerasexyyZGYJRR</v>
      </c>
      <c r="B14181" s="65"/>
    </row>
    <row r="14182" spans="1:2" x14ac:dyDescent="0.25">
      <c r="A14182" s="64" t="str">
        <f>HYPERLINK("http://www.twitter.com/dwclark79", "dwclark79")</f>
        <v>dwclark79</v>
      </c>
      <c r="B14182" s="65" t="s">
        <v>3643</v>
      </c>
    </row>
    <row r="14183" spans="1:2" x14ac:dyDescent="0.25">
      <c r="A14183" s="64" t="str">
        <f>HYPERLINK("http://www.twitter.com/EastRenCouncil", "EastRenCouncil")</f>
        <v>EastRenCouncil</v>
      </c>
      <c r="B14183" s="65" t="s">
        <v>8198</v>
      </c>
    </row>
    <row r="14184" spans="1:2" x14ac:dyDescent="0.25">
      <c r="A14184" s="64" t="str">
        <f>HYPERLINK("http://www.twitter.com/DonLickley", "DonLickley")</f>
        <v>DonLickley</v>
      </c>
      <c r="B14184" s="65" t="s">
        <v>8199</v>
      </c>
    </row>
    <row r="14185" spans="1:2" x14ac:dyDescent="0.25">
      <c r="A14185" s="64" t="str">
        <f>HYPERLINK("http://www.twitter.com/Unhas_Library", "Unhas_Library")</f>
        <v>Unhas_Library</v>
      </c>
      <c r="B14185" s="65" t="s">
        <v>8200</v>
      </c>
    </row>
    <row r="14186" spans="1:2" x14ac:dyDescent="0.25">
      <c r="A14186" s="64" t="str">
        <f>HYPERLINK("http://www.twitter.com/_Lorna_Jane_", "_Lorna_Jane_")</f>
        <v>_Lorna_Jane_</v>
      </c>
      <c r="B14186" s="65" t="s">
        <v>4233</v>
      </c>
    </row>
    <row r="14187" spans="1:2" x14ac:dyDescent="0.25">
      <c r="A14187" s="64" t="str">
        <f>HYPERLINK("http://www.twitter.com/OrkRapeCrisis", "OrkRapeCrisis")</f>
        <v>OrkRapeCrisis</v>
      </c>
      <c r="B14187" s="65" t="s">
        <v>3762</v>
      </c>
    </row>
    <row r="14188" spans="1:2" x14ac:dyDescent="0.25">
      <c r="A14188" s="64" t="str">
        <f>HYPERLINK("http://www.twitter.com/likelaughs1", "likelaughs1")</f>
        <v>likelaughs1</v>
      </c>
      <c r="B14188" s="65"/>
    </row>
    <row r="14189" spans="1:2" x14ac:dyDescent="0.25">
      <c r="A14189" s="64" t="str">
        <f>HYPERLINK("http://www.twitter.com/chrisstanley1", "chrisstanley1")</f>
        <v>chrisstanley1</v>
      </c>
      <c r="B14189" s="65" t="s">
        <v>1592</v>
      </c>
    </row>
    <row r="14190" spans="1:2" x14ac:dyDescent="0.25">
      <c r="A14190" s="64" t="str">
        <f>HYPERLINK("http://www.twitter.com/shareourshop", "shareourshop")</f>
        <v>shareourshop</v>
      </c>
      <c r="B14190" s="65" t="s">
        <v>4176</v>
      </c>
    </row>
    <row r="14191" spans="1:2" x14ac:dyDescent="0.25">
      <c r="A14191" s="64" t="str">
        <f>HYPERLINK("http://www.twitter.com/bellerbyrach", "bellerbyrach")</f>
        <v>bellerbyrach</v>
      </c>
      <c r="B14191" s="65" t="s">
        <v>5048</v>
      </c>
    </row>
    <row r="14192" spans="1:2" x14ac:dyDescent="0.25">
      <c r="A14192" s="64" t="str">
        <f>HYPERLINK("http://www.twitter.com/HistoryScotland", "HistoryScotland")</f>
        <v>HistoryScotland</v>
      </c>
      <c r="B14192" s="65" t="s">
        <v>517</v>
      </c>
    </row>
    <row r="14193" spans="1:2" x14ac:dyDescent="0.25">
      <c r="A14193" s="64" t="str">
        <f>HYPERLINK("http://www.twitter.com/DaimlerOrr", "DaimlerOrr")</f>
        <v>DaimlerOrr</v>
      </c>
      <c r="B14193" s="65"/>
    </row>
    <row r="14194" spans="1:2" x14ac:dyDescent="0.25">
      <c r="A14194" s="64" t="str">
        <f>HYPERLINK("http://www.twitter.com/CITLibrary", "CITLibrary")</f>
        <v>CITLibrary</v>
      </c>
      <c r="B14194" s="65" t="s">
        <v>8201</v>
      </c>
    </row>
    <row r="14195" spans="1:2" x14ac:dyDescent="0.25">
      <c r="A14195" s="64" t="str">
        <f>HYPERLINK("http://www.twitter.com/LisaOKelly", "LisaOKelly")</f>
        <v>LisaOKelly</v>
      </c>
      <c r="B14195" s="65" t="s">
        <v>36</v>
      </c>
    </row>
    <row r="14196" spans="1:2" x14ac:dyDescent="0.25">
      <c r="A14196" s="64" t="str">
        <f>HYPERLINK("http://www.twitter.com/AnyaCastleton", "AnyaCastleton")</f>
        <v>AnyaCastleton</v>
      </c>
      <c r="B14196" s="65"/>
    </row>
    <row r="14197" spans="1:2" x14ac:dyDescent="0.25">
      <c r="A14197" s="64" t="str">
        <f>HYPERLINK("http://www.twitter.com/SpanielSam", "SpanielSam")</f>
        <v>SpanielSam</v>
      </c>
      <c r="B14197" s="65" t="s">
        <v>8202</v>
      </c>
    </row>
    <row r="14198" spans="1:2" x14ac:dyDescent="0.25">
      <c r="A14198" s="64" t="str">
        <f>HYPERLINK("http://www.twitter.com/alexpoprecords", "alexpoprecords")</f>
        <v>alexpoprecords</v>
      </c>
      <c r="B14198" s="65" t="s">
        <v>8203</v>
      </c>
    </row>
    <row r="14199" spans="1:2" x14ac:dyDescent="0.25">
      <c r="A14199" s="64" t="str">
        <f>HYPERLINK("http://www.twitter.com/RealDaveEdwards", "RealDaveEdwards")</f>
        <v>RealDaveEdwards</v>
      </c>
      <c r="B14199" s="65"/>
    </row>
    <row r="14200" spans="1:2" x14ac:dyDescent="0.25">
      <c r="A14200" s="64" t="str">
        <f>HYPERLINK("http://www.twitter.com/Jay_Orpheus", "Jay_Orpheus")</f>
        <v>Jay_Orpheus</v>
      </c>
      <c r="B14200" s="65" t="s">
        <v>8204</v>
      </c>
    </row>
    <row r="14201" spans="1:2" x14ac:dyDescent="0.25">
      <c r="A14201" s="64" t="str">
        <f>HYPERLINK("http://www.twitter.com/IMcMillan", "IMcMillan")</f>
        <v>IMcMillan</v>
      </c>
      <c r="B14201" s="65" t="s">
        <v>8205</v>
      </c>
    </row>
    <row r="14202" spans="1:2" x14ac:dyDescent="0.25">
      <c r="A14202" s="64" t="str">
        <f>HYPERLINK("http://www.twitter.com/GIPLbooks", "GIPLbooks")</f>
        <v>GIPLbooks</v>
      </c>
      <c r="B14202" s="65" t="s">
        <v>4981</v>
      </c>
    </row>
    <row r="14203" spans="1:2" x14ac:dyDescent="0.25">
      <c r="A14203" s="64" t="str">
        <f>HYPERLINK("http://www.twitter.com/GillsMarie", "GillsMarie")</f>
        <v>GillsMarie</v>
      </c>
      <c r="B14203" s="65"/>
    </row>
    <row r="14204" spans="1:2" x14ac:dyDescent="0.25">
      <c r="A14204" s="64" t="str">
        <f>HYPERLINK("http://www.twitter.com/liz_fenwick", "liz_fenwick")</f>
        <v>liz_fenwick</v>
      </c>
      <c r="B14204" s="65" t="s">
        <v>36</v>
      </c>
    </row>
    <row r="14205" spans="1:2" x14ac:dyDescent="0.25">
      <c r="A14205" s="64" t="str">
        <f>HYPERLINK("http://www.twitter.com/Southgloslibs", "Southgloslibs")</f>
        <v>Southgloslibs</v>
      </c>
      <c r="B14205" s="65" t="s">
        <v>1350</v>
      </c>
    </row>
    <row r="14206" spans="1:2" x14ac:dyDescent="0.25">
      <c r="A14206" s="64" t="str">
        <f>HYPERLINK("http://www.twitter.com/HistoandHistory", "HistoandHistory")</f>
        <v>HistoandHistory</v>
      </c>
      <c r="B14206" s="65"/>
    </row>
    <row r="14207" spans="1:2" x14ac:dyDescent="0.25">
      <c r="A14207" s="64" t="str">
        <f>HYPERLINK("http://www.twitter.com/OnlyOneLily", "OnlyOneLily")</f>
        <v>OnlyOneLily</v>
      </c>
      <c r="B14207" s="65" t="s">
        <v>517</v>
      </c>
    </row>
    <row r="14208" spans="1:2" x14ac:dyDescent="0.25">
      <c r="A14208" s="64" t="str">
        <f>HYPERLINK("http://www.twitter.com/CapelLibrary", "CapelLibrary")</f>
        <v>CapelLibrary</v>
      </c>
      <c r="B14208" s="65" t="s">
        <v>3365</v>
      </c>
    </row>
    <row r="14209" spans="1:2" x14ac:dyDescent="0.25">
      <c r="A14209" s="64" t="str">
        <f>HYPERLINK("http://www.twitter.com/lesfieldhigg", "lesfieldhigg")</f>
        <v>lesfieldhigg</v>
      </c>
      <c r="B14209" s="65" t="s">
        <v>8206</v>
      </c>
    </row>
    <row r="14210" spans="1:2" x14ac:dyDescent="0.25">
      <c r="A14210" s="64" t="str">
        <f>HYPERLINK("http://www.twitter.com/DalveyNews", "DalveyNews")</f>
        <v>DalveyNews</v>
      </c>
      <c r="B14210" s="65" t="s">
        <v>8207</v>
      </c>
    </row>
    <row r="14211" spans="1:2" x14ac:dyDescent="0.25">
      <c r="A14211" s="64" t="str">
        <f>HYPERLINK("http://www.twitter.com/hpmcwill", "hpmcwill")</f>
        <v>hpmcwill</v>
      </c>
      <c r="B14211" s="65" t="s">
        <v>158</v>
      </c>
    </row>
    <row r="14212" spans="1:2" x14ac:dyDescent="0.25">
      <c r="A14212" s="64" t="str">
        <f>HYPERLINK("http://www.twitter.com/TheLadyLudovica", "TheLadyLudovica")</f>
        <v>TheLadyLudovica</v>
      </c>
      <c r="B14212" s="65" t="s">
        <v>8208</v>
      </c>
    </row>
    <row r="14213" spans="1:2" x14ac:dyDescent="0.25">
      <c r="A14213" s="64" t="str">
        <f>HYPERLINK("http://www.twitter.com/HundtJr", "HundtJr")</f>
        <v>HundtJr</v>
      </c>
      <c r="B14213" s="65"/>
    </row>
    <row r="14214" spans="1:2" x14ac:dyDescent="0.25">
      <c r="A14214" s="64" t="str">
        <f>HYPERLINK("http://www.twitter.com/shimu038", "shimu038")</f>
        <v>shimu038</v>
      </c>
      <c r="B14214" s="65"/>
    </row>
    <row r="14215" spans="1:2" x14ac:dyDescent="0.25">
      <c r="A14215" s="64" t="str">
        <f>HYPERLINK("http://www.twitter.com/Volunteers3d", "Volunteers3d")</f>
        <v>Volunteers3d</v>
      </c>
      <c r="B14215" s="65"/>
    </row>
    <row r="14216" spans="1:2" x14ac:dyDescent="0.25">
      <c r="A14216" s="64" t="str">
        <f>HYPERLINK("http://www.twitter.com/holachicassss", "holachicassss")</f>
        <v>holachicassss</v>
      </c>
      <c r="B14216" s="65"/>
    </row>
    <row r="14217" spans="1:2" x14ac:dyDescent="0.25">
      <c r="A14217" s="64" t="str">
        <f>HYPERLINK("http://www.twitter.com/Walisisch", "Walisisch")</f>
        <v>Walisisch</v>
      </c>
      <c r="B14217" s="65"/>
    </row>
    <row r="14218" spans="1:2" x14ac:dyDescent="0.25">
      <c r="A14218" s="64" t="str">
        <f>HYPERLINK("http://www.twitter.com/DhariwalMansi", "DhariwalMansi")</f>
        <v>DhariwalMansi</v>
      </c>
      <c r="B14218" s="65" t="s">
        <v>8209</v>
      </c>
    </row>
    <row r="14219" spans="1:2" x14ac:dyDescent="0.25">
      <c r="A14219" s="64" t="str">
        <f>HYPERLINK("http://www.twitter.com/UK_Destinations", "UK_Destinations")</f>
        <v>UK_Destinations</v>
      </c>
      <c r="B14219" s="65" t="s">
        <v>296</v>
      </c>
    </row>
    <row r="14220" spans="1:2" x14ac:dyDescent="0.25">
      <c r="A14220" s="64" t="str">
        <f>HYPERLINK("http://www.twitter.com/kirstyrharrison", "kirstyrharrison")</f>
        <v>kirstyrharrison</v>
      </c>
      <c r="B14220" s="65"/>
    </row>
    <row r="14221" spans="1:2" x14ac:dyDescent="0.25">
      <c r="A14221" s="64" t="str">
        <f>HYPERLINK("http://www.twitter.com/saraidave", "saraidave")</f>
        <v>saraidave</v>
      </c>
      <c r="B14221" s="65" t="s">
        <v>2679</v>
      </c>
    </row>
    <row r="14222" spans="1:2" x14ac:dyDescent="0.25">
      <c r="A14222" s="64" t="str">
        <f>HYPERLINK("http://www.twitter.com/Thriftyndfrugal", "Thriftyndfrugal")</f>
        <v>Thriftyndfrugal</v>
      </c>
      <c r="B14222" s="65" t="s">
        <v>8210</v>
      </c>
    </row>
    <row r="14223" spans="1:2" x14ac:dyDescent="0.25">
      <c r="A14223" s="64" t="str">
        <f>HYPERLINK("http://www.twitter.com/mypetbob69", "mypetbob69")</f>
        <v>mypetbob69</v>
      </c>
      <c r="B14223" s="65" t="s">
        <v>2007</v>
      </c>
    </row>
    <row r="14224" spans="1:2" x14ac:dyDescent="0.25">
      <c r="A14224" s="64" t="str">
        <f>HYPERLINK("http://www.twitter.com/LindaMacDermott", "LindaMacDermott")</f>
        <v>LindaMacDermott</v>
      </c>
      <c r="B14224" s="65" t="s">
        <v>3678</v>
      </c>
    </row>
    <row r="14225" spans="1:2" x14ac:dyDescent="0.25">
      <c r="A14225" s="64" t="str">
        <f>HYPERLINK("http://www.twitter.com/bryanlinklater", "bryanlinklater")</f>
        <v>bryanlinklater</v>
      </c>
      <c r="B14225" s="65" t="s">
        <v>2007</v>
      </c>
    </row>
    <row r="14226" spans="1:2" x14ac:dyDescent="0.25">
      <c r="A14226" s="64" t="str">
        <f>HYPERLINK("http://www.twitter.com/TomlinsonsBooks", "TomlinsonsBooks")</f>
        <v>TomlinsonsBooks</v>
      </c>
      <c r="B14226" s="65" t="s">
        <v>70</v>
      </c>
    </row>
    <row r="14227" spans="1:2" x14ac:dyDescent="0.25">
      <c r="A14227" s="64" t="str">
        <f>HYPERLINK("http://www.twitter.com/sweetanna941", "sweetanna941")</f>
        <v>sweetanna941</v>
      </c>
      <c r="B14227" s="65" t="s">
        <v>8211</v>
      </c>
    </row>
    <row r="14228" spans="1:2" x14ac:dyDescent="0.25">
      <c r="A14228" s="64" t="str">
        <f>HYPERLINK("http://www.twitter.com/kfsmith27", "kfsmith27")</f>
        <v>kfsmith27</v>
      </c>
      <c r="B14228" s="65"/>
    </row>
    <row r="14229" spans="1:2" x14ac:dyDescent="0.25">
      <c r="A14229" s="64" t="str">
        <f>HYPERLINK("http://www.twitter.com/pattisupertibet", "pattisupertibet")</f>
        <v>pattisupertibet</v>
      </c>
      <c r="B14229" s="65" t="s">
        <v>8212</v>
      </c>
    </row>
    <row r="14230" spans="1:2" x14ac:dyDescent="0.25">
      <c r="A14230" s="64" t="str">
        <f>HYPERLINK("http://www.twitter.com/25feb78", "25feb78")</f>
        <v>25feb78</v>
      </c>
      <c r="B14230" s="65"/>
    </row>
    <row r="14231" spans="1:2" x14ac:dyDescent="0.25">
      <c r="A14231" s="64" t="str">
        <f>HYPERLINK("http://www.twitter.com/orkneyscouts", "orkneyscouts")</f>
        <v>orkneyscouts</v>
      </c>
      <c r="B14231" s="65" t="s">
        <v>2007</v>
      </c>
    </row>
    <row r="14232" spans="1:2" x14ac:dyDescent="0.25">
      <c r="A14232" s="64" t="str">
        <f>HYPERLINK("http://www.twitter.com/ResearchBuzz", "ResearchBuzz")</f>
        <v>ResearchBuzz</v>
      </c>
      <c r="B14232" s="65"/>
    </row>
    <row r="14233" spans="1:2" x14ac:dyDescent="0.25">
      <c r="A14233" s="64" t="str">
        <f>HYPERLINK("http://www.twitter.com/SylviaKoelling", "SylviaKoelling")</f>
        <v>SylviaKoelling</v>
      </c>
      <c r="B14233" s="65" t="s">
        <v>2289</v>
      </c>
    </row>
    <row r="14234" spans="1:2" x14ac:dyDescent="0.25">
      <c r="A14234" s="64" t="str">
        <f>HYPERLINK("http://www.twitter.com/shanjohnmiller", "shanjohnmiller")</f>
        <v>shanjohnmiller</v>
      </c>
      <c r="B14234" s="65" t="s">
        <v>4222</v>
      </c>
    </row>
    <row r="14235" spans="1:2" x14ac:dyDescent="0.25">
      <c r="A14235" s="64" t="str">
        <f>HYPERLINK("http://www.twitter.com/_likethebird", "_likethebird")</f>
        <v>_likethebird</v>
      </c>
      <c r="B14235" s="65" t="s">
        <v>8213</v>
      </c>
    </row>
    <row r="14236" spans="1:2" x14ac:dyDescent="0.25">
      <c r="A14236" s="64" t="str">
        <f>HYPERLINK("http://www.twitter.com/EBeanMaynooth", "EBeanMaynooth")</f>
        <v>EBeanMaynooth</v>
      </c>
      <c r="B14236" s="65" t="s">
        <v>8214</v>
      </c>
    </row>
    <row r="14237" spans="1:2" x14ac:dyDescent="0.25">
      <c r="A14237" s="64" t="str">
        <f>HYPERLINK("http://www.twitter.com/dremilycreamer", "dremilycreamer")</f>
        <v>dremilycreamer</v>
      </c>
      <c r="B14237" s="65" t="s">
        <v>487</v>
      </c>
    </row>
    <row r="14238" spans="1:2" x14ac:dyDescent="0.25">
      <c r="A14238" s="64" t="str">
        <f>HYPERLINK("http://www.twitter.com/reneetingdotcom", "reneetingdotcom")</f>
        <v>reneetingdotcom</v>
      </c>
      <c r="B14238" s="65" t="s">
        <v>4380</v>
      </c>
    </row>
    <row r="14239" spans="1:2" x14ac:dyDescent="0.25">
      <c r="A14239" s="64" t="str">
        <f>HYPERLINK("http://www.twitter.com/almondburylibr1", "almondburylibr1")</f>
        <v>almondburylibr1</v>
      </c>
      <c r="B14239" s="65" t="s">
        <v>1828</v>
      </c>
    </row>
    <row r="14240" spans="1:2" x14ac:dyDescent="0.25">
      <c r="A14240" s="64" t="str">
        <f>HYPERLINK("http://www.twitter.com/LMcdoodles", "LMcdoodles")</f>
        <v>LMcdoodles</v>
      </c>
      <c r="B14240" s="65" t="s">
        <v>2007</v>
      </c>
    </row>
    <row r="14241" spans="1:2" x14ac:dyDescent="0.25">
      <c r="A14241" s="64" t="str">
        <f>HYPERLINK("http://www.twitter.com/qasymmachus1", "qasymmachus1")</f>
        <v>qasymmachus1</v>
      </c>
      <c r="B14241" s="65" t="s">
        <v>8215</v>
      </c>
    </row>
    <row r="14242" spans="1:2" x14ac:dyDescent="0.25">
      <c r="A14242" s="64" t="str">
        <f>HYPERLINK("http://www.twitter.com/LaurianW", "LaurianW")</f>
        <v>LaurianW</v>
      </c>
      <c r="B14242" s="65" t="s">
        <v>2107</v>
      </c>
    </row>
    <row r="14243" spans="1:2" x14ac:dyDescent="0.25">
      <c r="A14243" s="64" t="str">
        <f>HYPERLINK("http://www.twitter.com/FADA_Library", "FADA_Library")</f>
        <v>FADA_Library</v>
      </c>
      <c r="B14243" s="65" t="s">
        <v>666</v>
      </c>
    </row>
    <row r="14244" spans="1:2" x14ac:dyDescent="0.25">
      <c r="A14244" s="64" t="str">
        <f>HYPERLINK("http://www.twitter.com/ScotGovScots", "ScotGovScots")</f>
        <v>ScotGovScots</v>
      </c>
      <c r="B14244" s="65" t="s">
        <v>487</v>
      </c>
    </row>
    <row r="14245" spans="1:2" x14ac:dyDescent="0.25">
      <c r="A14245" s="64" t="str">
        <f>HYPERLINK("http://www.twitter.com/LOLgadgets1", "LOLgadgets1")</f>
        <v>LOLgadgets1</v>
      </c>
      <c r="B14245" s="65"/>
    </row>
    <row r="14246" spans="1:2" x14ac:dyDescent="0.25">
      <c r="A14246" s="64" t="str">
        <f>HYPERLINK("http://www.twitter.com/SamWilsonWhite", "SamWilsonWhite")</f>
        <v>SamWilsonWhite</v>
      </c>
      <c r="B14246" s="65" t="s">
        <v>8216</v>
      </c>
    </row>
    <row r="14247" spans="1:2" x14ac:dyDescent="0.25">
      <c r="A14247" s="64" t="str">
        <f>HYPERLINK("http://www.twitter.com/alicehoward", "alicehoward")</f>
        <v>alicehoward</v>
      </c>
      <c r="B14247" s="65" t="s">
        <v>8217</v>
      </c>
    </row>
    <row r="14248" spans="1:2" x14ac:dyDescent="0.25">
      <c r="A14248" s="64" t="str">
        <f>HYPERLINK("http://www.twitter.com/UskHub", "UskHub")</f>
        <v>UskHub</v>
      </c>
      <c r="B14248" s="65" t="s">
        <v>929</v>
      </c>
    </row>
    <row r="14249" spans="1:2" x14ac:dyDescent="0.25">
      <c r="A14249" s="64" t="str">
        <f>HYPERLINK("http://www.twitter.com/AdairHeitmann", "AdairHeitmann")</f>
        <v>AdairHeitmann</v>
      </c>
      <c r="B14249" s="65" t="s">
        <v>8218</v>
      </c>
    </row>
    <row r="14250" spans="1:2" x14ac:dyDescent="0.25">
      <c r="A14250" s="64" t="str">
        <f>HYPERLINK("http://www.twitter.com/PequotLibrary", "PequotLibrary")</f>
        <v>PequotLibrary</v>
      </c>
      <c r="B14250" s="65" t="s">
        <v>8219</v>
      </c>
    </row>
    <row r="14251" spans="1:2" x14ac:dyDescent="0.25">
      <c r="A14251" s="64" t="str">
        <f>HYPERLINK("http://www.twitter.com/JnJFitzwater", "JnJFitzwater")</f>
        <v>JnJFitzwater</v>
      </c>
      <c r="B14251" s="65" t="s">
        <v>8220</v>
      </c>
    </row>
    <row r="14252" spans="1:2" x14ac:dyDescent="0.25">
      <c r="A14252" s="64" t="str">
        <f>HYPERLINK("http://www.twitter.com/LittleEilidh", "LittleEilidh")</f>
        <v>LittleEilidh</v>
      </c>
      <c r="B14252" s="65" t="s">
        <v>6107</v>
      </c>
    </row>
    <row r="14253" spans="1:2" x14ac:dyDescent="0.25">
      <c r="A14253" s="64" t="str">
        <f>HYPERLINK("http://www.twitter.com/Siralec", "Siralec")</f>
        <v>Siralec</v>
      </c>
      <c r="B14253" s="65"/>
    </row>
    <row r="14254" spans="1:2" x14ac:dyDescent="0.25">
      <c r="A14254" s="64" t="str">
        <f>HYPERLINK("http://www.twitter.com/janelivingstone", "janelivingstone")</f>
        <v>janelivingstone</v>
      </c>
      <c r="B14254" s="65" t="s">
        <v>517</v>
      </c>
    </row>
    <row r="14255" spans="1:2" x14ac:dyDescent="0.25">
      <c r="A14255" s="64" t="str">
        <f>HYPERLINK("http://www.twitter.com/DelNewlands", "DelNewlands")</f>
        <v>DelNewlands</v>
      </c>
      <c r="B14255" s="65" t="s">
        <v>8221</v>
      </c>
    </row>
    <row r="14256" spans="1:2" x14ac:dyDescent="0.25">
      <c r="A14256" s="64" t="str">
        <f>HYPERLINK("http://www.twitter.com/meadowflower2", "meadowflower2")</f>
        <v>meadowflower2</v>
      </c>
      <c r="B14256" s="65"/>
    </row>
    <row r="14257" spans="1:2" x14ac:dyDescent="0.25">
      <c r="A14257" s="64" t="str">
        <f>HYPERLINK("http://www.twitter.com/laily_amer", "laily_amer")</f>
        <v>laily_amer</v>
      </c>
      <c r="B14257" s="65"/>
    </row>
    <row r="14258" spans="1:2" x14ac:dyDescent="0.25">
      <c r="A14258" s="64" t="str">
        <f>HYPERLINK("http://www.twitter.com/HairoftheHound_", "HairoftheHound_")</f>
        <v>HairoftheHound_</v>
      </c>
      <c r="B14258" s="65" t="s">
        <v>8222</v>
      </c>
    </row>
    <row r="14259" spans="1:2" x14ac:dyDescent="0.25">
      <c r="A14259" s="64" t="str">
        <f>HYPERLINK("http://www.twitter.com/AmFearUaine", "AmFearUaine")</f>
        <v>AmFearUaine</v>
      </c>
      <c r="B14259" s="65" t="s">
        <v>4044</v>
      </c>
    </row>
    <row r="14260" spans="1:2" x14ac:dyDescent="0.25">
      <c r="A14260" s="64" t="str">
        <f>HYPERLINK("http://www.twitter.com/bruce_mainland", "bruce_mainland")</f>
        <v>bruce_mainland</v>
      </c>
      <c r="B14260" s="65"/>
    </row>
    <row r="14261" spans="1:2" x14ac:dyDescent="0.25">
      <c r="A14261" s="64" t="str">
        <f>HYPERLINK("http://www.twitter.com/Guy_fletcher_", "Guy_fletcher_")</f>
        <v>Guy_fletcher_</v>
      </c>
      <c r="B14261" s="65" t="s">
        <v>24</v>
      </c>
    </row>
    <row r="14262" spans="1:2" x14ac:dyDescent="0.25">
      <c r="A14262" s="64" t="str">
        <f>HYPERLINK("http://www.twitter.com/acey_sue", "acey_sue")</f>
        <v>acey_sue</v>
      </c>
      <c r="B14262" s="65"/>
    </row>
    <row r="14263" spans="1:2" x14ac:dyDescent="0.25">
      <c r="A14263" s="64" t="str">
        <f>HYPERLINK("http://www.twitter.com/Eva_Burke1", "Eva_Burke1")</f>
        <v>Eva_Burke1</v>
      </c>
      <c r="B14263" s="65" t="s">
        <v>4062</v>
      </c>
    </row>
    <row r="14264" spans="1:2" x14ac:dyDescent="0.25">
      <c r="A14264" s="64" t="str">
        <f>HYPERLINK("http://www.twitter.com/molliekatie", "molliekatie")</f>
        <v>molliekatie</v>
      </c>
      <c r="B14264" s="65" t="s">
        <v>5372</v>
      </c>
    </row>
    <row r="14265" spans="1:2" x14ac:dyDescent="0.25">
      <c r="A14265" s="64" t="str">
        <f>HYPERLINK("http://www.twitter.com/hi_de_ho_nayber", "hi_de_ho_nayber")</f>
        <v>hi_de_ho_nayber</v>
      </c>
      <c r="B14265" s="65" t="s">
        <v>2007</v>
      </c>
    </row>
    <row r="14266" spans="1:2" x14ac:dyDescent="0.25">
      <c r="A14266" s="64" t="str">
        <f>HYPERLINK("http://www.twitter.com/GGoodlad", "GGoodlad")</f>
        <v>GGoodlad</v>
      </c>
      <c r="B14266" s="65" t="s">
        <v>8223</v>
      </c>
    </row>
    <row r="14267" spans="1:2" x14ac:dyDescent="0.25">
      <c r="A14267" s="64" t="str">
        <f>HYPERLINK("http://www.twitter.com/pmgautney", "pmgautney")</f>
        <v>pmgautney</v>
      </c>
      <c r="B14267" s="65" t="s">
        <v>8224</v>
      </c>
    </row>
    <row r="14268" spans="1:2" x14ac:dyDescent="0.25">
      <c r="A14268" s="64" t="str">
        <f>HYPERLINK("http://www.twitter.com/KatieSteelman", "KatieSteelman")</f>
        <v>KatieSteelman</v>
      </c>
      <c r="B14268" s="65" t="s">
        <v>4632</v>
      </c>
    </row>
    <row r="14269" spans="1:2" x14ac:dyDescent="0.25">
      <c r="A14269" s="64" t="str">
        <f>HYPERLINK("http://www.twitter.com/JimLoftus4", "JimLoftus4")</f>
        <v>JimLoftus4</v>
      </c>
      <c r="B14269" s="65" t="s">
        <v>4273</v>
      </c>
    </row>
    <row r="14270" spans="1:2" x14ac:dyDescent="0.25">
      <c r="A14270" s="64" t="str">
        <f>HYPERLINK("http://www.twitter.com/CruithneNEO", "CruithneNEO")</f>
        <v>CruithneNEO</v>
      </c>
      <c r="B14270" s="65" t="s">
        <v>8225</v>
      </c>
    </row>
    <row r="14271" spans="1:2" x14ac:dyDescent="0.25">
      <c r="A14271" s="64" t="str">
        <f>HYPERLINK("http://www.twitter.com/dhwales", "dhwales")</f>
        <v>dhwales</v>
      </c>
      <c r="B14271" s="65" t="s">
        <v>1218</v>
      </c>
    </row>
    <row r="14272" spans="1:2" x14ac:dyDescent="0.25">
      <c r="A14272" s="64" t="str">
        <f>HYPERLINK("http://www.twitter.com/CeTrottier", "CeTrottier")</f>
        <v>CeTrottier</v>
      </c>
      <c r="B14272" s="65" t="s">
        <v>4415</v>
      </c>
    </row>
    <row r="14273" spans="1:2" x14ac:dyDescent="0.25">
      <c r="A14273" s="64" t="str">
        <f>HYPERLINK("http://www.twitter.com/AnnRainey4", "AnnRainey4")</f>
        <v>AnnRainey4</v>
      </c>
      <c r="B14273" s="65"/>
    </row>
    <row r="14274" spans="1:2" x14ac:dyDescent="0.25">
      <c r="A14274" s="64" t="str">
        <f>HYPERLINK("http://www.twitter.com/_lucehowell", "_lucehowell")</f>
        <v>_lucehowell</v>
      </c>
      <c r="B14274" s="65" t="s">
        <v>8226</v>
      </c>
    </row>
    <row r="14275" spans="1:2" x14ac:dyDescent="0.25">
      <c r="A14275" s="64" t="str">
        <f>HYPERLINK("http://www.twitter.com/davidlmcelroy", "davidlmcelroy")</f>
        <v>davidlmcelroy</v>
      </c>
      <c r="B14275" s="65" t="s">
        <v>36</v>
      </c>
    </row>
    <row r="14276" spans="1:2" x14ac:dyDescent="0.25">
      <c r="A14276" s="64" t="str">
        <f>HYPERLINK("http://www.twitter.com/Rafi79851593", "Rafi79851593")</f>
        <v>Rafi79851593</v>
      </c>
      <c r="B14276" s="65"/>
    </row>
    <row r="14277" spans="1:2" x14ac:dyDescent="0.25">
      <c r="A14277" s="64" t="str">
        <f>HYPERLINK("http://www.twitter.com/letshaveacuppy", "letshaveacuppy")</f>
        <v>letshaveacuppy</v>
      </c>
      <c r="B14277" s="65"/>
    </row>
    <row r="14278" spans="1:2" x14ac:dyDescent="0.25">
      <c r="A14278" s="64" t="str">
        <f>HYPERLINK("http://www.twitter.com/RomseyLibrary", "RomseyLibrary")</f>
        <v>RomseyLibrary</v>
      </c>
      <c r="B14278" s="65" t="s">
        <v>2256</v>
      </c>
    </row>
    <row r="14279" spans="1:2" x14ac:dyDescent="0.25">
      <c r="A14279" s="64" t="str">
        <f>HYPERLINK("http://www.twitter.com/JMcollaboration", "JMcollaboration")</f>
        <v>JMcollaboration</v>
      </c>
      <c r="B14279" s="65"/>
    </row>
    <row r="14280" spans="1:2" x14ac:dyDescent="0.25">
      <c r="A14280" s="64" t="str">
        <f>HYPERLINK("http://www.twitter.com/rafresson", "rafresson")</f>
        <v>rafresson</v>
      </c>
      <c r="B14280" s="65"/>
    </row>
    <row r="14281" spans="1:2" x14ac:dyDescent="0.25">
      <c r="A14281" s="64" t="str">
        <f>HYPERLINK("http://www.twitter.com/IvanaCurcic", "IvanaCurcic")</f>
        <v>IvanaCurcic</v>
      </c>
      <c r="B14281" s="65" t="s">
        <v>36</v>
      </c>
    </row>
    <row r="14282" spans="1:2" x14ac:dyDescent="0.25">
      <c r="A14282" s="64" t="str">
        <f>HYPERLINK("http://www.twitter.com/mdltownpublib", "mdltownpublib")</f>
        <v>mdltownpublib</v>
      </c>
      <c r="B14282" s="65" t="s">
        <v>8227</v>
      </c>
    </row>
    <row r="14283" spans="1:2" x14ac:dyDescent="0.25">
      <c r="A14283" s="64" t="str">
        <f>HYPERLINK("http://www.twitter.com/angelah14355688", "angelah14355688")</f>
        <v>angelah14355688</v>
      </c>
      <c r="B14283" s="65" t="s">
        <v>2007</v>
      </c>
    </row>
    <row r="14284" spans="1:2" x14ac:dyDescent="0.25">
      <c r="A14284" s="64" t="str">
        <f>HYPERLINK("http://www.twitter.com/VickyCrichton", "VickyCrichton")</f>
        <v>VickyCrichton</v>
      </c>
      <c r="B14284" s="65"/>
    </row>
    <row r="14285" spans="1:2" x14ac:dyDescent="0.25">
      <c r="A14285" s="64" t="str">
        <f>HYPERLINK("http://www.twitter.com/WestlakePorter", "WestlakePorter")</f>
        <v>WestlakePorter</v>
      </c>
      <c r="B14285" s="65" t="s">
        <v>8228</v>
      </c>
    </row>
    <row r="14286" spans="1:2" x14ac:dyDescent="0.25">
      <c r="A14286" s="64" t="str">
        <f>HYPERLINK("http://www.twitter.com/WriterForster", "WriterForster")</f>
        <v>WriterForster</v>
      </c>
      <c r="B14286" s="65" t="s">
        <v>8229</v>
      </c>
    </row>
    <row r="14287" spans="1:2" x14ac:dyDescent="0.25">
      <c r="A14287" s="64" t="str">
        <f>HYPERLINK("http://www.twitter.com/trinketlike", "trinketlike")</f>
        <v>trinketlike</v>
      </c>
      <c r="B14287" s="65"/>
    </row>
    <row r="14288" spans="1:2" x14ac:dyDescent="0.25">
      <c r="A14288" s="64" t="str">
        <f>HYPERLINK("http://www.twitter.com/innere_simone", "innere_simone")</f>
        <v>innere_simone</v>
      </c>
      <c r="B14288" s="65" t="s">
        <v>8230</v>
      </c>
    </row>
    <row r="14289" spans="1:2" x14ac:dyDescent="0.25">
      <c r="A14289" s="64" t="str">
        <f>HYPERLINK("http://www.twitter.com/rexparkhead", "rexparkhead")</f>
        <v>rexparkhead</v>
      </c>
      <c r="B14289" s="65"/>
    </row>
    <row r="14290" spans="1:2" x14ac:dyDescent="0.25">
      <c r="A14290" s="64" t="str">
        <f>HYPERLINK("http://www.twitter.com/brisogg", "brisogg")</f>
        <v>brisogg</v>
      </c>
      <c r="B14290" s="65" t="s">
        <v>8231</v>
      </c>
    </row>
    <row r="14291" spans="1:2" x14ac:dyDescent="0.25">
      <c r="A14291" s="64" t="str">
        <f>HYPERLINK("http://www.twitter.com/kazzer865", "kazzer865")</f>
        <v>kazzer865</v>
      </c>
      <c r="B14291" s="65" t="s">
        <v>102</v>
      </c>
    </row>
    <row r="14292" spans="1:2" x14ac:dyDescent="0.25">
      <c r="A14292" s="64" t="str">
        <f>HYPERLINK("http://www.twitter.com/stephan69253138", "stephan69253138")</f>
        <v>stephan69253138</v>
      </c>
      <c r="B14292" s="65"/>
    </row>
    <row r="14293" spans="1:2" x14ac:dyDescent="0.25">
      <c r="A14293" s="64" t="str">
        <f>HYPERLINK("http://www.twitter.com/albagowrie", "albagowrie")</f>
        <v>albagowrie</v>
      </c>
      <c r="B14293" s="65"/>
    </row>
    <row r="14294" spans="1:2" x14ac:dyDescent="0.25">
      <c r="A14294" s="64" t="str">
        <f>HYPERLINK("http://www.twitter.com/AngryDolly", "AngryDolly")</f>
        <v>AngryDolly</v>
      </c>
      <c r="B14294" s="65" t="s">
        <v>8232</v>
      </c>
    </row>
    <row r="14295" spans="1:2" x14ac:dyDescent="0.25">
      <c r="A14295" s="64" t="str">
        <f>HYPERLINK("http://www.twitter.com/SKBwrites", "SKBwrites")</f>
        <v>SKBwrites</v>
      </c>
      <c r="B14295" s="65" t="s">
        <v>487</v>
      </c>
    </row>
    <row r="14296" spans="1:2" x14ac:dyDescent="0.25">
      <c r="A14296" s="64" t="str">
        <f>HYPERLINK("http://www.twitter.com/nur_anji", "nur_anji")</f>
        <v>nur_anji</v>
      </c>
      <c r="B14296" s="65"/>
    </row>
    <row r="14297" spans="1:2" x14ac:dyDescent="0.25">
      <c r="A14297" s="64" t="str">
        <f>HYPERLINK("http://www.twitter.com/Nikk_Knocks", "Nikk_Knocks")</f>
        <v>Nikk_Knocks</v>
      </c>
      <c r="B14297" s="65"/>
    </row>
    <row r="14298" spans="1:2" x14ac:dyDescent="0.25">
      <c r="A14298" s="64" t="str">
        <f>HYPERLINK("http://www.twitter.com/AzSady", "AzSady")</f>
        <v>AzSady</v>
      </c>
      <c r="B14298" s="65"/>
    </row>
    <row r="14299" spans="1:2" x14ac:dyDescent="0.25">
      <c r="A14299" s="64" t="str">
        <f>HYPERLINK("http://www.twitter.com/joansie12", "joansie12")</f>
        <v>joansie12</v>
      </c>
      <c r="B14299" s="65"/>
    </row>
    <row r="14300" spans="1:2" x14ac:dyDescent="0.25">
      <c r="A14300" s="64" t="str">
        <f>HYPERLINK("http://www.twitter.com/Itisannnniiiee", "Itisannnniiiee")</f>
        <v>Itisannnniiiee</v>
      </c>
      <c r="B14300" s="65" t="s">
        <v>8233</v>
      </c>
    </row>
    <row r="14301" spans="1:2" x14ac:dyDescent="0.25">
      <c r="A14301" s="64" t="str">
        <f>HYPERLINK("http://www.twitter.com/chrissie_john", "chrissie_john")</f>
        <v>chrissie_john</v>
      </c>
      <c r="B14301" s="65"/>
    </row>
    <row r="14302" spans="1:2" x14ac:dyDescent="0.25">
      <c r="A14302" s="64" t="str">
        <f>HYPERLINK("http://www.twitter.com/LERuleAuthor", "LERuleAuthor")</f>
        <v>LERuleAuthor</v>
      </c>
      <c r="B14302" s="65" t="s">
        <v>8234</v>
      </c>
    </row>
    <row r="14303" spans="1:2" x14ac:dyDescent="0.25">
      <c r="A14303" s="64" t="str">
        <f>HYPERLINK("http://www.twitter.com/eredluinOZ", "eredluinOZ")</f>
        <v>eredluinOZ</v>
      </c>
      <c r="B14303" s="65" t="s">
        <v>3988</v>
      </c>
    </row>
    <row r="14304" spans="1:2" x14ac:dyDescent="0.25">
      <c r="A14304" s="64" t="str">
        <f>HYPERLINK("http://www.twitter.com/trebehor", "trebehor")</f>
        <v>trebehor</v>
      </c>
      <c r="B14304" s="65" t="s">
        <v>8235</v>
      </c>
    </row>
    <row r="14305" spans="1:2" x14ac:dyDescent="0.25">
      <c r="A14305" s="64" t="str">
        <f>HYPERLINK("http://www.twitter.com/AlisonRobinso17", "AlisonRobinso17")</f>
        <v>AlisonRobinso17</v>
      </c>
      <c r="B14305" s="65"/>
    </row>
    <row r="14306" spans="1:2" x14ac:dyDescent="0.25">
      <c r="A14306" s="64" t="str">
        <f>HYPERLINK("http://www.twitter.com/ToBarnacle", "ToBarnacle")</f>
        <v>ToBarnacle</v>
      </c>
      <c r="B14306" s="65" t="s">
        <v>318</v>
      </c>
    </row>
    <row r="14307" spans="1:2" x14ac:dyDescent="0.25">
      <c r="A14307" s="64" t="str">
        <f>HYPERLINK("http://www.twitter.com/jemawren", "jemawren")</f>
        <v>jemawren</v>
      </c>
      <c r="B14307" s="65"/>
    </row>
    <row r="14308" spans="1:2" x14ac:dyDescent="0.25">
      <c r="A14308" s="64" t="str">
        <f>HYPERLINK("http://www.twitter.com/gmtestimonal", "gmtestimonal")</f>
        <v>gmtestimonal</v>
      </c>
      <c r="B14308" s="65" t="s">
        <v>4447</v>
      </c>
    </row>
    <row r="14309" spans="1:2" x14ac:dyDescent="0.25">
      <c r="A14309" s="64" t="str">
        <f>HYPERLINK("http://www.twitter.com/sofa_surfer4lyf", "sofa_surfer4lyf")</f>
        <v>sofa_surfer4lyf</v>
      </c>
      <c r="B14309" s="65" t="s">
        <v>8236</v>
      </c>
    </row>
    <row r="14310" spans="1:2" x14ac:dyDescent="0.25">
      <c r="A14310" s="64" t="str">
        <f>HYPERLINK("http://www.twitter.com/naomiozmen", "naomiozmen")</f>
        <v>naomiozmen</v>
      </c>
      <c r="B14310" s="65" t="s">
        <v>1235</v>
      </c>
    </row>
    <row r="14311" spans="1:2" x14ac:dyDescent="0.25">
      <c r="A14311" s="64" t="str">
        <f>HYPERLINK("http://www.twitter.com/djhenshall", "djhenshall")</f>
        <v>djhenshall</v>
      </c>
      <c r="B14311" s="65"/>
    </row>
    <row r="14312" spans="1:2" x14ac:dyDescent="0.25">
      <c r="A14312" s="64" t="str">
        <f>HYPERLINK("http://www.twitter.com/Jo_Hardie", "Jo_Hardie")</f>
        <v>Jo_Hardie</v>
      </c>
      <c r="B14312" s="65" t="s">
        <v>8237</v>
      </c>
    </row>
    <row r="14313" spans="1:2" x14ac:dyDescent="0.25">
      <c r="A14313" s="64" t="str">
        <f>HYPERLINK("http://www.twitter.com/brendadiffley", "brendadiffley")</f>
        <v>brendadiffley</v>
      </c>
      <c r="B14313" s="65" t="s">
        <v>8238</v>
      </c>
    </row>
    <row r="14314" spans="1:2" x14ac:dyDescent="0.25">
      <c r="A14314" s="64" t="str">
        <f>HYPERLINK("http://www.twitter.com/exlibrisann", "exlibrisann")</f>
        <v>exlibrisann</v>
      </c>
      <c r="B14314" s="65"/>
    </row>
    <row r="14315" spans="1:2" x14ac:dyDescent="0.25">
      <c r="A14315" s="64" t="str">
        <f>HYPERLINK("http://www.twitter.com/costleyhotels", "costleyhotels")</f>
        <v>costleyhotels</v>
      </c>
      <c r="B14315" s="65" t="s">
        <v>8239</v>
      </c>
    </row>
    <row r="14316" spans="1:2" x14ac:dyDescent="0.25">
      <c r="A14316" s="64" t="str">
        <f>HYPERLINK("http://www.twitter.com/AlcessaAlces", "AlcessaAlces")</f>
        <v>AlcessaAlces</v>
      </c>
      <c r="B14316" s="65"/>
    </row>
    <row r="14317" spans="1:2" x14ac:dyDescent="0.25">
      <c r="A14317" s="64" t="str">
        <f>HYPERLINK("http://www.twitter.com/UARKLibraries", "UARKLibraries")</f>
        <v>UARKLibraries</v>
      </c>
      <c r="B14317" s="65" t="s">
        <v>3937</v>
      </c>
    </row>
    <row r="14318" spans="1:2" x14ac:dyDescent="0.25">
      <c r="A14318" s="64" t="str">
        <f>HYPERLINK("http://www.twitter.com/kath_kin", "kath_kin")</f>
        <v>kath_kin</v>
      </c>
      <c r="B14318" s="65"/>
    </row>
    <row r="14319" spans="1:2" x14ac:dyDescent="0.25">
      <c r="A14319" s="64" t="str">
        <f>HYPERLINK("http://www.twitter.com/CMClaire", "CMClaire")</f>
        <v>CMClaire</v>
      </c>
      <c r="B14319" s="65" t="s">
        <v>477</v>
      </c>
    </row>
    <row r="14320" spans="1:2" x14ac:dyDescent="0.25">
      <c r="A14320" s="64" t="str">
        <f>HYPERLINK("http://www.twitter.com/danrholden", "danrholden")</f>
        <v>danrholden</v>
      </c>
      <c r="B14320" s="65" t="s">
        <v>2595</v>
      </c>
    </row>
    <row r="14321" spans="1:2" x14ac:dyDescent="0.25">
      <c r="A14321" s="64" t="str">
        <f>HYPERLINK("http://www.twitter.com/shwe_maw", "shwe_maw")</f>
        <v>shwe_maw</v>
      </c>
      <c r="B14321" s="65"/>
    </row>
    <row r="14322" spans="1:2" x14ac:dyDescent="0.25">
      <c r="A14322" s="64" t="str">
        <f>HYPERLINK("http://www.twitter.com/MillaisArtist", "MillaisArtist")</f>
        <v>MillaisArtist</v>
      </c>
      <c r="B14322" s="65"/>
    </row>
    <row r="14323" spans="1:2" x14ac:dyDescent="0.25">
      <c r="A14323" s="64" t="str">
        <f>HYPERLINK("http://www.twitter.com/antheasutton", "antheasutton")</f>
        <v>antheasutton</v>
      </c>
      <c r="B14323" s="65"/>
    </row>
    <row r="14324" spans="1:2" x14ac:dyDescent="0.25">
      <c r="A14324" s="64" t="str">
        <f>HYPERLINK("http://www.twitter.com/ros_bell", "ros_bell")</f>
        <v>ros_bell</v>
      </c>
      <c r="B14324" s="65" t="s">
        <v>33</v>
      </c>
    </row>
    <row r="14325" spans="1:2" x14ac:dyDescent="0.25">
      <c r="A14325" s="64" t="str">
        <f>HYPERLINK("http://www.twitter.com/MMATOpera", "MMATOpera")</f>
        <v>MMATOpera</v>
      </c>
      <c r="B14325" s="65" t="s">
        <v>8240</v>
      </c>
    </row>
    <row r="14326" spans="1:2" x14ac:dyDescent="0.25">
      <c r="A14326" s="64" t="str">
        <f>HYPERLINK("http://www.twitter.com/jomograd", "jomograd")</f>
        <v>jomograd</v>
      </c>
      <c r="B14326" s="65"/>
    </row>
    <row r="14327" spans="1:2" x14ac:dyDescent="0.25">
      <c r="A14327" s="64" t="str">
        <f>HYPERLINK("http://www.twitter.com/erinincolumbus", "erinincolumbus")</f>
        <v>erinincolumbus</v>
      </c>
      <c r="B14327" s="65"/>
    </row>
    <row r="14328" spans="1:2" x14ac:dyDescent="0.25">
      <c r="A14328" s="64" t="str">
        <f>HYPERLINK("http://www.twitter.com/lozconn", "lozconn")</f>
        <v>lozconn</v>
      </c>
      <c r="B14328" s="65"/>
    </row>
    <row r="14329" spans="1:2" x14ac:dyDescent="0.25">
      <c r="A14329" s="64" t="str">
        <f>HYPERLINK("http://www.twitter.com/amywestwell", "amywestwell")</f>
        <v>amywestwell</v>
      </c>
      <c r="B14329" s="65" t="s">
        <v>2007</v>
      </c>
    </row>
    <row r="14330" spans="1:2" x14ac:dyDescent="0.25">
      <c r="A14330" s="64" t="str">
        <f>HYPERLINK("http://www.twitter.com/KathleenDolby", "KathleenDolby")</f>
        <v>KathleenDolby</v>
      </c>
      <c r="B14330" s="65" t="s">
        <v>36</v>
      </c>
    </row>
    <row r="14331" spans="1:2" x14ac:dyDescent="0.25">
      <c r="A14331" s="64" t="str">
        <f>HYPERLINK("http://www.twitter.com/ReebzLouise", "ReebzLouise")</f>
        <v>ReebzLouise</v>
      </c>
      <c r="B14331" s="65" t="s">
        <v>517</v>
      </c>
    </row>
    <row r="14332" spans="1:2" x14ac:dyDescent="0.25">
      <c r="A14332" s="64" t="str">
        <f>HYPERLINK("http://www.twitter.com/domenauk", "domenauk")</f>
        <v>domenauk</v>
      </c>
      <c r="B14332" s="65" t="s">
        <v>5965</v>
      </c>
    </row>
    <row r="14333" spans="1:2" x14ac:dyDescent="0.25">
      <c r="A14333" s="64" t="str">
        <f>HYPERLINK("http://www.twitter.com/lovebookswap", "lovebookswap")</f>
        <v>lovebookswap</v>
      </c>
      <c r="B14333" s="65" t="s">
        <v>8241</v>
      </c>
    </row>
    <row r="14334" spans="1:2" x14ac:dyDescent="0.25">
      <c r="A14334" s="64" t="str">
        <f>HYPERLINK("http://www.twitter.com/HelainaSharpley", "HelainaSharpley")</f>
        <v>HelainaSharpley</v>
      </c>
      <c r="B14334" s="65" t="s">
        <v>773</v>
      </c>
    </row>
    <row r="14335" spans="1:2" x14ac:dyDescent="0.25">
      <c r="A14335" s="64" t="str">
        <f>HYPERLINK("http://www.twitter.com/issueandreturn", "issueandreturn")</f>
        <v>issueandreturn</v>
      </c>
      <c r="B14335" s="65" t="s">
        <v>883</v>
      </c>
    </row>
    <row r="14336" spans="1:2" x14ac:dyDescent="0.25">
      <c r="A14336" s="64" t="str">
        <f>HYPERLINK("http://www.twitter.com/pboropixie", "pboropixie")</f>
        <v>pboropixie</v>
      </c>
      <c r="B14336" s="65" t="s">
        <v>8242</v>
      </c>
    </row>
    <row r="14337" spans="1:2" x14ac:dyDescent="0.25">
      <c r="A14337" s="64" t="str">
        <f>HYPERLINK("http://www.twitter.com/Strata_Books", "Strata_Books")</f>
        <v>Strata_Books</v>
      </c>
      <c r="B14337" s="65"/>
    </row>
    <row r="14338" spans="1:2" x14ac:dyDescent="0.25">
      <c r="A14338" s="64" t="str">
        <f>HYPERLINK("http://www.twitter.com/knjiznicakranj", "knjiznicakranj")</f>
        <v>knjiznicakranj</v>
      </c>
      <c r="B14338" s="65" t="s">
        <v>8243</v>
      </c>
    </row>
    <row r="14339" spans="1:2" x14ac:dyDescent="0.25">
      <c r="A14339" s="64" t="str">
        <f>HYPERLINK("http://www.twitter.com/DinanAlly", "DinanAlly")</f>
        <v>DinanAlly</v>
      </c>
      <c r="B14339" s="65" t="s">
        <v>8244</v>
      </c>
    </row>
    <row r="14340" spans="1:2" x14ac:dyDescent="0.25">
      <c r="A14340" s="64" t="str">
        <f>HYPERLINK("http://www.twitter.com/pointbeing", "pointbeing")</f>
        <v>pointbeing</v>
      </c>
      <c r="B14340" s="65" t="s">
        <v>8245</v>
      </c>
    </row>
    <row r="14341" spans="1:2" x14ac:dyDescent="0.25">
      <c r="A14341" s="64" t="str">
        <f>HYPERLINK("http://www.twitter.com/free_champagne", "free_champagne")</f>
        <v>free_champagne</v>
      </c>
      <c r="B14341" s="65"/>
    </row>
    <row r="14342" spans="1:2" x14ac:dyDescent="0.25">
      <c r="A14342" s="64" t="str">
        <f>HYPERLINK("http://www.twitter.com/arthurfaeleith", "arthurfaeleith")</f>
        <v>arthurfaeleith</v>
      </c>
      <c r="B14342" s="65"/>
    </row>
    <row r="14343" spans="1:2" x14ac:dyDescent="0.25">
      <c r="A14343" s="64" t="str">
        <f>HYPERLINK("http://www.twitter.com/SnoopDougieDoig", "SnoopDougieDoig")</f>
        <v>SnoopDougieDoig</v>
      </c>
      <c r="B14343" s="65" t="s">
        <v>318</v>
      </c>
    </row>
    <row r="14344" spans="1:2" x14ac:dyDescent="0.25">
      <c r="A14344" s="64" t="str">
        <f>HYPERLINK("http://www.twitter.com/jacobkelly7", "jacobkelly7")</f>
        <v>jacobkelly7</v>
      </c>
      <c r="B14344" s="65"/>
    </row>
    <row r="14345" spans="1:2" x14ac:dyDescent="0.25">
      <c r="A14345" s="64" t="str">
        <f>HYPERLINK("http://www.twitter.com/librarianna1", "librarianna1")</f>
        <v>librarianna1</v>
      </c>
      <c r="B14345" s="65"/>
    </row>
    <row r="14346" spans="1:2" x14ac:dyDescent="0.25">
      <c r="A14346" s="64" t="str">
        <f>HYPERLINK("http://www.twitter.com/orightmylover", "orightmylover")</f>
        <v>orightmylover</v>
      </c>
      <c r="B14346" s="65" t="s">
        <v>8246</v>
      </c>
    </row>
    <row r="14347" spans="1:2" x14ac:dyDescent="0.25">
      <c r="A14347" s="64" t="str">
        <f>HYPERLINK("http://www.twitter.com/YesRutherglen", "YesRutherglen")</f>
        <v>YesRutherglen</v>
      </c>
      <c r="B14347" s="65" t="s">
        <v>8247</v>
      </c>
    </row>
    <row r="14348" spans="1:2" x14ac:dyDescent="0.25">
      <c r="A14348" s="64" t="str">
        <f>HYPERLINK("http://www.twitter.com/garthygarthy", "garthygarthy")</f>
        <v>garthygarthy</v>
      </c>
      <c r="B14348" s="65" t="s">
        <v>8248</v>
      </c>
    </row>
    <row r="14349" spans="1:2" x14ac:dyDescent="0.25">
      <c r="A14349" s="64" t="str">
        <f>HYPERLINK("http://www.twitter.com/DanNewmanWrites", "DanNewmanWrites")</f>
        <v>DanNewmanWrites</v>
      </c>
      <c r="B14349" s="65" t="s">
        <v>8249</v>
      </c>
    </row>
    <row r="14350" spans="1:2" x14ac:dyDescent="0.25">
      <c r="A14350" s="64" t="str">
        <f>HYPERLINK("http://www.twitter.com/AuraPR", "AuraPR")</f>
        <v>AuraPR</v>
      </c>
      <c r="B14350" s="65" t="s">
        <v>2007</v>
      </c>
    </row>
    <row r="14351" spans="1:2" x14ac:dyDescent="0.25">
      <c r="A14351" s="64" t="str">
        <f>HYPERLINK("http://www.twitter.com/molnic79", "molnic79")</f>
        <v>molnic79</v>
      </c>
      <c r="B14351" s="65" t="s">
        <v>6392</v>
      </c>
    </row>
    <row r="14352" spans="1:2" x14ac:dyDescent="0.25">
      <c r="A14352" s="64" t="str">
        <f>HYPERLINK("http://www.twitter.com/onothimagen", "onothimagen")</f>
        <v>onothimagen</v>
      </c>
      <c r="B14352" s="65"/>
    </row>
    <row r="14353" spans="1:2" x14ac:dyDescent="0.25">
      <c r="A14353" s="64" t="str">
        <f>HYPERLINK("http://www.twitter.com/serasuresh", "serasuresh")</f>
        <v>serasuresh</v>
      </c>
      <c r="B14353" s="65"/>
    </row>
    <row r="14354" spans="1:2" x14ac:dyDescent="0.25">
      <c r="A14354" s="64" t="str">
        <f>HYPERLINK("http://www.twitter.com/leadscot_tweet", "leadscot_tweet")</f>
        <v>leadscot_tweet</v>
      </c>
      <c r="B14354" s="65" t="s">
        <v>487</v>
      </c>
    </row>
    <row r="14355" spans="1:2" x14ac:dyDescent="0.25">
      <c r="A14355" s="64" t="str">
        <f>HYPERLINK("http://www.twitter.com/b_haines", "b_haines")</f>
        <v>b_haines</v>
      </c>
      <c r="B14355" s="65" t="s">
        <v>8250</v>
      </c>
    </row>
    <row r="14356" spans="1:2" x14ac:dyDescent="0.25">
      <c r="A14356" s="64" t="str">
        <f>HYPERLINK("http://www.twitter.com/ERCL4", "ERCL4")</f>
        <v>ERCL4</v>
      </c>
      <c r="B14356" s="65" t="s">
        <v>2407</v>
      </c>
    </row>
    <row r="14357" spans="1:2" x14ac:dyDescent="0.25">
      <c r="A14357" s="64" t="str">
        <f>HYPERLINK("http://www.twitter.com/anne_acleary", "anne_acleary")</f>
        <v>anne_acleary</v>
      </c>
      <c r="B14357" s="65" t="s">
        <v>4275</v>
      </c>
    </row>
    <row r="14358" spans="1:2" x14ac:dyDescent="0.25">
      <c r="A14358" s="64" t="str">
        <f>HYPERLINK("http://www.twitter.com/richardcorrigan", "richardcorrigan")</f>
        <v>richardcorrigan</v>
      </c>
      <c r="B14358" s="65" t="s">
        <v>4167</v>
      </c>
    </row>
    <row r="14359" spans="1:2" x14ac:dyDescent="0.25">
      <c r="A14359" s="64" t="str">
        <f>HYPERLINK("http://www.twitter.com/ElaineEgan_", "ElaineEgan_")</f>
        <v>ElaineEgan_</v>
      </c>
      <c r="B14359" s="65"/>
    </row>
    <row r="14360" spans="1:2" x14ac:dyDescent="0.25">
      <c r="A14360" s="64" t="str">
        <f>HYPERLINK("http://www.twitter.com/MSThomasDesign", "MSThomasDesign")</f>
        <v>MSThomasDesign</v>
      </c>
      <c r="B14360" s="65" t="s">
        <v>8251</v>
      </c>
    </row>
    <row r="14361" spans="1:2" x14ac:dyDescent="0.25">
      <c r="A14361" s="64" t="str">
        <f>HYPERLINK("http://www.twitter.com/CheTantos", "CheTantos")</f>
        <v>CheTantos</v>
      </c>
      <c r="B14361" s="65" t="s">
        <v>8252</v>
      </c>
    </row>
    <row r="14362" spans="1:2" x14ac:dyDescent="0.25">
      <c r="A14362" s="64" t="str">
        <f>HYPERLINK("http://www.twitter.com/emiliemildred", "emiliemildred")</f>
        <v>emiliemildred</v>
      </c>
      <c r="B14362" s="65"/>
    </row>
    <row r="14363" spans="1:2" x14ac:dyDescent="0.25">
      <c r="A14363" s="64" t="str">
        <f>HYPERLINK("http://www.twitter.com/RGU_ITHelpdesk", "RGU_ITHelpdesk")</f>
        <v>RGU_ITHelpdesk</v>
      </c>
      <c r="B14363" s="65" t="s">
        <v>808</v>
      </c>
    </row>
    <row r="14364" spans="1:2" x14ac:dyDescent="0.25">
      <c r="A14364" s="64" t="str">
        <f>HYPERLINK("http://www.twitter.com/farmgirlwriter", "farmgirlwriter")</f>
        <v>farmgirlwriter</v>
      </c>
      <c r="B14364" s="65" t="s">
        <v>1980</v>
      </c>
    </row>
    <row r="14365" spans="1:2" x14ac:dyDescent="0.25">
      <c r="A14365" s="64" t="str">
        <f>HYPERLINK("http://www.twitter.com/GeorgiaLisette", "GeorgiaLisette")</f>
        <v>GeorgiaLisette</v>
      </c>
      <c r="B14365" s="65" t="s">
        <v>232</v>
      </c>
    </row>
    <row r="14366" spans="1:2" x14ac:dyDescent="0.25">
      <c r="A14366" s="64" t="str">
        <f>HYPERLINK("http://www.twitter.com/AbbieHeadon", "AbbieHeadon")</f>
        <v>AbbieHeadon</v>
      </c>
      <c r="B14366" s="65" t="s">
        <v>5921</v>
      </c>
    </row>
    <row r="14367" spans="1:2" x14ac:dyDescent="0.25">
      <c r="A14367" s="64" t="str">
        <f>HYPERLINK("http://www.twitter.com/SeonaidMacLeod", "SeonaidMacLeod")</f>
        <v>SeonaidMacLeod</v>
      </c>
      <c r="B14367" s="65" t="s">
        <v>36</v>
      </c>
    </row>
    <row r="14368" spans="1:2" x14ac:dyDescent="0.25">
      <c r="A14368" s="64" t="str">
        <f>HYPERLINK("http://www.twitter.com/ali_harper", "ali_harper")</f>
        <v>ali_harper</v>
      </c>
      <c r="B14368" s="65" t="s">
        <v>2232</v>
      </c>
    </row>
    <row r="14369" spans="1:2" x14ac:dyDescent="0.25">
      <c r="A14369" s="64" t="str">
        <f>HYPERLINK("http://www.twitter.com/NYRpersonals", "NYRpersonals")</f>
        <v>NYRpersonals</v>
      </c>
      <c r="B14369" s="65" t="s">
        <v>4145</v>
      </c>
    </row>
    <row r="14370" spans="1:2" x14ac:dyDescent="0.25">
      <c r="A14370" s="64" t="str">
        <f>HYPERLINK("http://www.twitter.com/SavidgeReads", "SavidgeReads")</f>
        <v>SavidgeReads</v>
      </c>
      <c r="B14370" s="65" t="s">
        <v>102</v>
      </c>
    </row>
    <row r="14371" spans="1:2" x14ac:dyDescent="0.25">
      <c r="A14371" s="64" t="str">
        <f>HYPERLINK("http://www.twitter.com/sonya_lm", "sonya_lm")</f>
        <v>sonya_lm</v>
      </c>
      <c r="B14371" s="65" t="s">
        <v>8253</v>
      </c>
    </row>
    <row r="14372" spans="1:2" x14ac:dyDescent="0.25">
      <c r="A14372" s="64" t="str">
        <f>HYPERLINK("http://www.twitter.com/amyinstaffs", "amyinstaffs")</f>
        <v>amyinstaffs</v>
      </c>
      <c r="B14372" s="65" t="s">
        <v>1490</v>
      </c>
    </row>
    <row r="14373" spans="1:2" x14ac:dyDescent="0.25">
      <c r="A14373" s="64" t="str">
        <f>HYPERLINK("http://www.twitter.com/mabon_louise", "mabon_louise")</f>
        <v>mabon_louise</v>
      </c>
      <c r="B14373" s="65"/>
    </row>
    <row r="14374" spans="1:2" x14ac:dyDescent="0.25">
      <c r="A14374" s="64" t="str">
        <f>HYPERLINK("http://www.twitter.com/Montycarlos95", "Montycarlos95")</f>
        <v>Montycarlos95</v>
      </c>
      <c r="B14374" s="65"/>
    </row>
    <row r="14375" spans="1:2" x14ac:dyDescent="0.25">
      <c r="A14375" s="64" t="str">
        <f>HYPERLINK("http://www.twitter.com/ElizaPawrogers", "ElizaPawrogers")</f>
        <v>ElizaPawrogers</v>
      </c>
      <c r="B14375" s="65"/>
    </row>
    <row r="14376" spans="1:2" x14ac:dyDescent="0.25">
      <c r="A14376" s="64" t="str">
        <f>HYPERLINK("http://www.twitter.com/burnsjilly", "burnsjilly")</f>
        <v>burnsjilly</v>
      </c>
      <c r="B14376" s="65" t="s">
        <v>3991</v>
      </c>
    </row>
    <row r="14377" spans="1:2" x14ac:dyDescent="0.25">
      <c r="A14377" s="64" t="str">
        <f>HYPERLINK("http://www.twitter.com/Lyz67", "Lyz67")</f>
        <v>Lyz67</v>
      </c>
      <c r="B14377" s="65" t="s">
        <v>8254</v>
      </c>
    </row>
    <row r="14378" spans="1:2" x14ac:dyDescent="0.25">
      <c r="A14378" s="64" t="str">
        <f>HYPERLINK("http://www.twitter.com/fabricate17", "fabricate17")</f>
        <v>fabricate17</v>
      </c>
      <c r="B14378" s="65" t="s">
        <v>1221</v>
      </c>
    </row>
    <row r="14379" spans="1:2" x14ac:dyDescent="0.25">
      <c r="A14379" s="64" t="str">
        <f>HYPERLINK("http://www.twitter.com/pamawalker", "pamawalker")</f>
        <v>pamawalker</v>
      </c>
      <c r="B14379" s="65" t="s">
        <v>517</v>
      </c>
    </row>
    <row r="14380" spans="1:2" x14ac:dyDescent="0.25">
      <c r="A14380" s="64" t="str">
        <f>HYPERLINK("http://www.twitter.com/pg_library", "pg_library")</f>
        <v>pg_library</v>
      </c>
      <c r="B14380" s="65" t="s">
        <v>8255</v>
      </c>
    </row>
    <row r="14381" spans="1:2" x14ac:dyDescent="0.25">
      <c r="A14381" s="64" t="str">
        <f>HYPERLINK("http://www.twitter.com/pyriform", "pyriform")</f>
        <v>pyriform</v>
      </c>
      <c r="B14381" s="65" t="s">
        <v>8256</v>
      </c>
    </row>
    <row r="14382" spans="1:2" x14ac:dyDescent="0.25">
      <c r="A14382" s="64" t="str">
        <f>HYPERLINK("http://www.twitter.com/chariotte", "chariotte")</f>
        <v>chariotte</v>
      </c>
      <c r="B14382" s="65" t="s">
        <v>8257</v>
      </c>
    </row>
    <row r="14383" spans="1:2" x14ac:dyDescent="0.25">
      <c r="A14383" s="64" t="str">
        <f>HYPERLINK("http://www.twitter.com/squaredsong", "squaredsong")</f>
        <v>squaredsong</v>
      </c>
      <c r="B14383" s="65" t="s">
        <v>8258</v>
      </c>
    </row>
    <row r="14384" spans="1:2" x14ac:dyDescent="0.25">
      <c r="A14384" s="64" t="str">
        <f>HYPERLINK("http://www.twitter.com/GreagoirRuadh", "GreagoirRuadh")</f>
        <v>GreagoirRuadh</v>
      </c>
      <c r="B14384" s="65" t="s">
        <v>8259</v>
      </c>
    </row>
    <row r="14385" spans="1:2" x14ac:dyDescent="0.25">
      <c r="A14385" s="64" t="str">
        <f>HYPERLINK("http://www.twitter.com/Start360org", "Start360org")</f>
        <v>Start360org</v>
      </c>
      <c r="B14385" s="65" t="s">
        <v>8260</v>
      </c>
    </row>
    <row r="14386" spans="1:2" x14ac:dyDescent="0.25">
      <c r="A14386" s="64" t="str">
        <f>HYPERLINK("http://www.twitter.com/CeeJoz", "CeeJoz")</f>
        <v>CeeJoz</v>
      </c>
      <c r="B14386" s="65" t="s">
        <v>8261</v>
      </c>
    </row>
    <row r="14387" spans="1:2" x14ac:dyDescent="0.25">
      <c r="A14387" s="64" t="str">
        <f>HYPERLINK("http://www.twitter.com/la_ginge", "la_ginge")</f>
        <v>la_ginge</v>
      </c>
      <c r="B14387" s="65"/>
    </row>
    <row r="14388" spans="1:2" x14ac:dyDescent="0.25">
      <c r="A14388" s="64" t="str">
        <f>HYPERLINK("http://www.twitter.com/KatGough", "KatGough")</f>
        <v>KatGough</v>
      </c>
      <c r="B14388" s="65" t="s">
        <v>36</v>
      </c>
    </row>
    <row r="14389" spans="1:2" x14ac:dyDescent="0.25">
      <c r="A14389" s="64" t="str">
        <f>HYPERLINK("http://www.twitter.com/swanny_allan", "swanny_allan")</f>
        <v>swanny_allan</v>
      </c>
      <c r="B14389" s="65" t="s">
        <v>4052</v>
      </c>
    </row>
    <row r="14390" spans="1:2" x14ac:dyDescent="0.25">
      <c r="A14390" s="64" t="str">
        <f>HYPERLINK("http://www.twitter.com/srucfooddrink", "srucfooddrink")</f>
        <v>srucfooddrink</v>
      </c>
      <c r="B14390" s="65"/>
    </row>
    <row r="14391" spans="1:2" x14ac:dyDescent="0.25">
      <c r="A14391" s="64" t="str">
        <f>HYPERLINK("http://www.twitter.com/bhsreadingbooks", "bhsreadingbooks")</f>
        <v>bhsreadingbooks</v>
      </c>
      <c r="B14391" s="65"/>
    </row>
    <row r="14392" spans="1:2" x14ac:dyDescent="0.25">
      <c r="A14392" s="64" t="str">
        <f>HYPERLINK("http://www.twitter.com/HannahHarcus", "HannahHarcus")</f>
        <v>HannahHarcus</v>
      </c>
      <c r="B14392" s="65" t="s">
        <v>4193</v>
      </c>
    </row>
    <row r="14393" spans="1:2" x14ac:dyDescent="0.25">
      <c r="A14393" s="64" t="str">
        <f>HYPERLINK("http://www.twitter.com/Lanrefemi", "Lanrefemi")</f>
        <v>Lanrefemi</v>
      </c>
      <c r="B14393" s="65" t="s">
        <v>70</v>
      </c>
    </row>
    <row r="14394" spans="1:2" x14ac:dyDescent="0.25">
      <c r="A14394" s="64" t="str">
        <f>HYPERLINK("http://www.twitter.com/petetavna", "petetavna")</f>
        <v>petetavna</v>
      </c>
      <c r="B14394" s="65" t="s">
        <v>8262</v>
      </c>
    </row>
    <row r="14395" spans="1:2" x14ac:dyDescent="0.25">
      <c r="A14395" s="64" t="str">
        <f>HYPERLINK("http://www.twitter.com/jonno828", "jonno828")</f>
        <v>jonno828</v>
      </c>
      <c r="B14395" s="65" t="s">
        <v>8263</v>
      </c>
    </row>
    <row r="14396" spans="1:2" x14ac:dyDescent="0.25">
      <c r="A14396" s="64" t="str">
        <f>HYPERLINK("http://www.twitter.com/mynameisgill", "mynameisgill")</f>
        <v>mynameisgill</v>
      </c>
      <c r="B14396" s="65" t="s">
        <v>8264</v>
      </c>
    </row>
    <row r="14397" spans="1:2" x14ac:dyDescent="0.25">
      <c r="A14397" s="64" t="str">
        <f>HYPERLINK("http://www.twitter.com/Alison_JScott", "Alison_JScott")</f>
        <v>Alison_JScott</v>
      </c>
      <c r="B14397" s="65" t="s">
        <v>517</v>
      </c>
    </row>
    <row r="14398" spans="1:2" x14ac:dyDescent="0.25">
      <c r="A14398" s="64" t="str">
        <f>HYPERLINK("http://www.twitter.com/SnarkyPlatypus", "SnarkyPlatypus")</f>
        <v>SnarkyPlatypus</v>
      </c>
      <c r="B14398" s="65" t="s">
        <v>8265</v>
      </c>
    </row>
    <row r="14399" spans="1:2" x14ac:dyDescent="0.25">
      <c r="A14399" s="64" t="str">
        <f>HYPERLINK("http://www.twitter.com/petemosley", "petemosley")</f>
        <v>petemosley</v>
      </c>
      <c r="B14399" s="65" t="s">
        <v>8266</v>
      </c>
    </row>
    <row r="14400" spans="1:2" x14ac:dyDescent="0.25">
      <c r="A14400" s="64" t="str">
        <f>HYPERLINK("http://www.twitter.com/pandolfini", "pandolfini")</f>
        <v>pandolfini</v>
      </c>
      <c r="B14400" s="65" t="s">
        <v>4213</v>
      </c>
    </row>
    <row r="14401" spans="1:2" x14ac:dyDescent="0.25">
      <c r="A14401" s="64" t="str">
        <f>HYPERLINK("http://www.twitter.com/KingAlgernon", "KingAlgernon")</f>
        <v>KingAlgernon</v>
      </c>
      <c r="B14401" s="65"/>
    </row>
    <row r="14402" spans="1:2" x14ac:dyDescent="0.25">
      <c r="A14402" s="64" t="str">
        <f>HYPERLINK("http://www.twitter.com/VM_Blake", "VM_Blake")</f>
        <v>VM_Blake</v>
      </c>
      <c r="B14402" s="65" t="s">
        <v>477</v>
      </c>
    </row>
    <row r="14403" spans="1:2" x14ac:dyDescent="0.25">
      <c r="A14403" s="64" t="str">
        <f>HYPERLINK("http://www.twitter.com/Overlandorg", "Overlandorg")</f>
        <v>Overlandorg</v>
      </c>
      <c r="B14403" s="65" t="s">
        <v>8267</v>
      </c>
    </row>
    <row r="14404" spans="1:2" x14ac:dyDescent="0.25">
      <c r="A14404" s="64" t="str">
        <f>HYPERLINK("http://www.twitter.com/es_thomson", "es_thomson")</f>
        <v>es_thomson</v>
      </c>
      <c r="B14404" s="65" t="s">
        <v>487</v>
      </c>
    </row>
    <row r="14405" spans="1:2" x14ac:dyDescent="0.25">
      <c r="A14405" s="64" t="str">
        <f>HYPERLINK("http://www.twitter.com/seedstems", "seedstems")</f>
        <v>seedstems</v>
      </c>
      <c r="B14405" s="65"/>
    </row>
    <row r="14406" spans="1:2" x14ac:dyDescent="0.25">
      <c r="A14406" s="64" t="str">
        <f>HYPERLINK("http://www.twitter.com/antiuniversity", "antiuniversity")</f>
        <v>antiuniversity</v>
      </c>
      <c r="B14406" s="65" t="s">
        <v>8268</v>
      </c>
    </row>
    <row r="14407" spans="1:2" x14ac:dyDescent="0.25">
      <c r="A14407" s="64" t="str">
        <f>HYPERLINK("http://www.twitter.com/NorthLandsCreat", "NorthLandsCreat")</f>
        <v>NorthLandsCreat</v>
      </c>
      <c r="B14407" s="65" t="s">
        <v>6322</v>
      </c>
    </row>
    <row r="14408" spans="1:2" x14ac:dyDescent="0.25">
      <c r="A14408" s="64" t="str">
        <f>HYPERLINK("http://www.twitter.com/ForumBooks", "ForumBooks")</f>
        <v>ForumBooks</v>
      </c>
      <c r="B14408" s="65" t="s">
        <v>8269</v>
      </c>
    </row>
    <row r="14409" spans="1:2" x14ac:dyDescent="0.25">
      <c r="A14409" s="64" t="str">
        <f>HYPERLINK("http://www.twitter.com/MattyBlackwood", "MattyBlackwood")</f>
        <v>MattyBlackwood</v>
      </c>
      <c r="B14409" s="65" t="s">
        <v>3779</v>
      </c>
    </row>
    <row r="14410" spans="1:2" x14ac:dyDescent="0.25">
      <c r="A14410" s="64" t="str">
        <f>HYPERLINK("http://www.twitter.com/Hewcullan", "Hewcullan")</f>
        <v>Hewcullan</v>
      </c>
      <c r="B14410" s="65" t="s">
        <v>2007</v>
      </c>
    </row>
    <row r="14411" spans="1:2" x14ac:dyDescent="0.25">
      <c r="A14411" s="64" t="str">
        <f>HYPERLINK("http://www.twitter.com/ImirtPele", "ImirtPele")</f>
        <v>ImirtPele</v>
      </c>
      <c r="B14411" s="65" t="s">
        <v>3760</v>
      </c>
    </row>
    <row r="14412" spans="1:2" x14ac:dyDescent="0.25">
      <c r="A14412" s="64" t="str">
        <f>HYPERLINK("http://www.twitter.com/JoyVoysey", "JoyVoysey")</f>
        <v>JoyVoysey</v>
      </c>
      <c r="B14412" s="65"/>
    </row>
    <row r="14413" spans="1:2" x14ac:dyDescent="0.25">
      <c r="A14413" s="64" t="str">
        <f>HYPERLINK("http://www.twitter.com/acatfromgreece", "acatfromgreece")</f>
        <v>acatfromgreece</v>
      </c>
      <c r="B14413" s="65"/>
    </row>
    <row r="14414" spans="1:2" x14ac:dyDescent="0.25">
      <c r="A14414" s="64" t="str">
        <f>HYPERLINK("http://www.twitter.com/ReadWriteCount", "ReadWriteCount")</f>
        <v>ReadWriteCount</v>
      </c>
      <c r="B14414" s="65" t="s">
        <v>2007</v>
      </c>
    </row>
    <row r="14415" spans="1:2" x14ac:dyDescent="0.25">
      <c r="A14415" s="64" t="str">
        <f>HYPERLINK("http://www.twitter.com/IvoryHueser", "IvoryHueser")</f>
        <v>IvoryHueser</v>
      </c>
      <c r="B14415" s="65"/>
    </row>
    <row r="14416" spans="1:2" x14ac:dyDescent="0.25">
      <c r="A14416" s="64" t="str">
        <f>HYPERLINK("http://www.twitter.com/deedee_772", "deedee_772")</f>
        <v>deedee_772</v>
      </c>
      <c r="B14416" s="65"/>
    </row>
    <row r="14417" spans="1:2" x14ac:dyDescent="0.25">
      <c r="A14417" s="64" t="str">
        <f>HYPERLINK("http://www.twitter.com/ManyGriffo", "ManyGriffo")</f>
        <v>ManyGriffo</v>
      </c>
      <c r="B14417" s="65"/>
    </row>
    <row r="14418" spans="1:2" x14ac:dyDescent="0.25">
      <c r="A14418" s="64" t="str">
        <f>HYPERLINK("http://www.twitter.com/fliceverett", "fliceverett")</f>
        <v>fliceverett</v>
      </c>
      <c r="B14418" s="65" t="s">
        <v>8270</v>
      </c>
    </row>
    <row r="14419" spans="1:2" x14ac:dyDescent="0.25">
      <c r="A14419" s="64" t="str">
        <f>HYPERLINK("http://www.twitter.com/Chloecycles", "Chloecycles")</f>
        <v>Chloecycles</v>
      </c>
      <c r="B14419" s="65" t="s">
        <v>36</v>
      </c>
    </row>
    <row r="14420" spans="1:2" x14ac:dyDescent="0.25">
      <c r="A14420" s="64" t="str">
        <f>HYPERLINK("http://www.twitter.com/e_mcvie", "e_mcvie")</f>
        <v>e_mcvie</v>
      </c>
      <c r="B14420" s="65" t="s">
        <v>70</v>
      </c>
    </row>
    <row r="14421" spans="1:2" x14ac:dyDescent="0.25">
      <c r="A14421" s="64" t="str">
        <f>HYPERLINK("http://www.twitter.com/kazstar99", "kazstar99")</f>
        <v>kazstar99</v>
      </c>
      <c r="B14421" s="65" t="s">
        <v>4147</v>
      </c>
    </row>
    <row r="14422" spans="1:2" x14ac:dyDescent="0.25">
      <c r="A14422" s="64" t="str">
        <f>HYPERLINK("http://www.twitter.com/NorthshireBooks", "NorthshireBooks")</f>
        <v>NorthshireBooks</v>
      </c>
      <c r="B14422" s="65" t="s">
        <v>8271</v>
      </c>
    </row>
    <row r="14423" spans="1:2" x14ac:dyDescent="0.25">
      <c r="A14423" s="64" t="str">
        <f>HYPERLINK("http://www.twitter.com/KatiePekacar", "KatiePekacar")</f>
        <v>KatiePekacar</v>
      </c>
      <c r="B14423" s="65" t="s">
        <v>36</v>
      </c>
    </row>
    <row r="14424" spans="1:2" x14ac:dyDescent="0.25">
      <c r="A14424" s="64" t="str">
        <f>HYPERLINK("http://www.twitter.com/TynieEnglish", "TynieEnglish")</f>
        <v>TynieEnglish</v>
      </c>
      <c r="B14424" s="65" t="s">
        <v>24</v>
      </c>
    </row>
    <row r="14425" spans="1:2" x14ac:dyDescent="0.25">
      <c r="A14425" s="64" t="str">
        <f>HYPERLINK("http://www.twitter.com/JamesBDonaldson", "JamesBDonaldson")</f>
        <v>JamesBDonaldson</v>
      </c>
      <c r="B14425" s="65" t="s">
        <v>808</v>
      </c>
    </row>
    <row r="14426" spans="1:2" x14ac:dyDescent="0.25">
      <c r="A14426" s="64" t="str">
        <f>HYPERLINK("http://www.twitter.com/Mardybear", "Mardybear")</f>
        <v>Mardybear</v>
      </c>
      <c r="B14426" s="65" t="s">
        <v>8272</v>
      </c>
    </row>
    <row r="14427" spans="1:2" x14ac:dyDescent="0.25">
      <c r="A14427" s="64" t="str">
        <f>HYPERLINK("http://www.twitter.com/BenAdamsAuthor", "BenAdamsAuthor")</f>
        <v>BenAdamsAuthor</v>
      </c>
      <c r="B14427" s="65" t="s">
        <v>36</v>
      </c>
    </row>
    <row r="14428" spans="1:2" x14ac:dyDescent="0.25">
      <c r="A14428" s="64" t="str">
        <f>HYPERLINK("http://www.twitter.com/PT_CEN_GROUP", "PT_CEN_GROUP")</f>
        <v>PT_CEN_GROUP</v>
      </c>
      <c r="B14428" s="65" t="s">
        <v>8273</v>
      </c>
    </row>
    <row r="14429" spans="1:2" x14ac:dyDescent="0.25">
      <c r="A14429" s="64" t="str">
        <f>HYPERLINK("http://www.twitter.com/Shishi_Samir", "Shishi_Samir")</f>
        <v>Shishi_Samir</v>
      </c>
      <c r="B14429" s="65" t="s">
        <v>8274</v>
      </c>
    </row>
    <row r="14430" spans="1:2" x14ac:dyDescent="0.25">
      <c r="A14430" s="64" t="str">
        <f>HYPERLINK("http://www.twitter.com/ReadingMattersC", "ReadingMattersC")</f>
        <v>ReadingMattersC</v>
      </c>
      <c r="B14430" s="65" t="s">
        <v>8275</v>
      </c>
    </row>
    <row r="14431" spans="1:2" x14ac:dyDescent="0.25">
      <c r="A14431" s="64" t="str">
        <f>HYPERLINK("http://www.twitter.com/dunebunnie", "dunebunnie")</f>
        <v>dunebunnie</v>
      </c>
      <c r="B14431" s="65"/>
    </row>
    <row r="14432" spans="1:2" x14ac:dyDescent="0.25">
      <c r="A14432" s="64" t="str">
        <f>HYPERLINK("http://www.twitter.com/marleynbob", "marleynbob")</f>
        <v>marleynbob</v>
      </c>
      <c r="B14432" s="65"/>
    </row>
    <row r="14433" spans="1:2" x14ac:dyDescent="0.25">
      <c r="A14433" s="64" t="str">
        <f>HYPERLINK("http://www.twitter.com/KirstenMA53", "KirstenMA53")</f>
        <v>KirstenMA53</v>
      </c>
      <c r="B14433" s="65" t="s">
        <v>36</v>
      </c>
    </row>
    <row r="14434" spans="1:2" x14ac:dyDescent="0.25">
      <c r="A14434" s="64" t="str">
        <f>HYPERLINK("http://www.twitter.com/iconiclibrary", "iconiclibrary")</f>
        <v>iconiclibrary</v>
      </c>
      <c r="B14434" s="65"/>
    </row>
    <row r="14435" spans="1:2" x14ac:dyDescent="0.25">
      <c r="A14435" s="64" t="str">
        <f>HYPERLINK("http://www.twitter.com/SmallMol", "SmallMol")</f>
        <v>SmallMol</v>
      </c>
      <c r="B14435" s="65" t="s">
        <v>8276</v>
      </c>
    </row>
    <row r="14436" spans="1:2" x14ac:dyDescent="0.25">
      <c r="A14436" s="64" t="str">
        <f>HYPERLINK("http://www.twitter.com/LarglenLarry", "LarglenLarry")</f>
        <v>LarglenLarry</v>
      </c>
      <c r="B14436" s="65" t="s">
        <v>2007</v>
      </c>
    </row>
    <row r="14437" spans="1:2" x14ac:dyDescent="0.25">
      <c r="A14437" s="64" t="str">
        <f>HYPERLINK("http://www.twitter.com/WaterstonesBrae", "WaterstonesBrae")</f>
        <v>WaterstonesBrae</v>
      </c>
      <c r="B14437" s="65" t="s">
        <v>138</v>
      </c>
    </row>
    <row r="14438" spans="1:2" x14ac:dyDescent="0.25">
      <c r="A14438" s="64" t="str">
        <f>HYPERLINK("http://www.twitter.com/louisebarringt3", "louisebarringt3")</f>
        <v>louisebarringt3</v>
      </c>
      <c r="B14438" s="65" t="s">
        <v>5412</v>
      </c>
    </row>
    <row r="14439" spans="1:2" x14ac:dyDescent="0.25">
      <c r="A14439" s="64" t="str">
        <f>HYPERLINK("http://www.twitter.com/ianjsimpson", "ianjsimpson")</f>
        <v>ianjsimpson</v>
      </c>
      <c r="B14439" s="65" t="s">
        <v>5002</v>
      </c>
    </row>
    <row r="14440" spans="1:2" x14ac:dyDescent="0.25">
      <c r="A14440" s="64" t="str">
        <f>HYPERLINK("http://www.twitter.com/shinpad1", "shinpad1")</f>
        <v>shinpad1</v>
      </c>
      <c r="B14440" s="65" t="s">
        <v>459</v>
      </c>
    </row>
    <row r="14441" spans="1:2" x14ac:dyDescent="0.25">
      <c r="A14441" s="64" t="str">
        <f>HYPERLINK("http://www.twitter.com/LULiteracy", "LULiteracy")</f>
        <v>LULiteracy</v>
      </c>
      <c r="B14441" s="65" t="s">
        <v>8277</v>
      </c>
    </row>
    <row r="14442" spans="1:2" x14ac:dyDescent="0.25">
      <c r="A14442" s="64" t="str">
        <f>HYPERLINK("http://www.twitter.com/marieannswift", "marieannswift")</f>
        <v>marieannswift</v>
      </c>
      <c r="B14442" s="65" t="s">
        <v>725</v>
      </c>
    </row>
    <row r="14443" spans="1:2" x14ac:dyDescent="0.25">
      <c r="A14443" s="64" t="str">
        <f>HYPERLINK("http://www.twitter.com/shslitsoc", "shslitsoc")</f>
        <v>shslitsoc</v>
      </c>
      <c r="B14443" s="65"/>
    </row>
    <row r="14444" spans="1:2" x14ac:dyDescent="0.25">
      <c r="A14444" s="64" t="str">
        <f>HYPERLINK("http://www.twitter.com/RachelIndexer", "RachelIndexer")</f>
        <v>RachelIndexer</v>
      </c>
      <c r="B14444" s="65" t="s">
        <v>5770</v>
      </c>
    </row>
    <row r="14445" spans="1:2" x14ac:dyDescent="0.25">
      <c r="A14445" s="64" t="str">
        <f>HYPERLINK("http://www.twitter.com/john2westcara", "john2westcara")</f>
        <v>john2westcara</v>
      </c>
      <c r="B14445" s="65"/>
    </row>
    <row r="14446" spans="1:2" x14ac:dyDescent="0.25">
      <c r="A14446" s="64" t="str">
        <f>HYPERLINK("http://www.twitter.com/_somanybooks", "_somanybooks")</f>
        <v>_somanybooks</v>
      </c>
      <c r="B14446" s="65" t="s">
        <v>8278</v>
      </c>
    </row>
    <row r="14447" spans="1:2" x14ac:dyDescent="0.25">
      <c r="A14447" s="64" t="str">
        <f>HYPERLINK("http://www.twitter.com/jodge80", "jodge80")</f>
        <v>jodge80</v>
      </c>
      <c r="B14447" s="65"/>
    </row>
    <row r="14448" spans="1:2" x14ac:dyDescent="0.25">
      <c r="A14448" s="64" t="str">
        <f>HYPERLINK("http://www.twitter.com/KevinVThorne", "KevinVThorne")</f>
        <v>KevinVThorne</v>
      </c>
      <c r="B14448" s="65" t="s">
        <v>36</v>
      </c>
    </row>
    <row r="14449" spans="1:2" x14ac:dyDescent="0.25">
      <c r="A14449" s="64" t="str">
        <f>HYPERLINK("http://www.twitter.com/mikiewoods", "mikiewoods")</f>
        <v>mikiewoods</v>
      </c>
      <c r="B14449" s="65"/>
    </row>
    <row r="14450" spans="1:2" x14ac:dyDescent="0.25">
      <c r="A14450" s="64" t="str">
        <f>HYPERLINK("http://www.twitter.com/jennilban", "jennilban")</f>
        <v>jennilban</v>
      </c>
      <c r="B14450" s="65" t="s">
        <v>8279</v>
      </c>
    </row>
    <row r="14451" spans="1:2" x14ac:dyDescent="0.25">
      <c r="A14451" s="64" t="str">
        <f>HYPERLINK("http://www.twitter.com/nikyrathbone", "nikyrathbone")</f>
        <v>nikyrathbone</v>
      </c>
      <c r="B14451" s="65"/>
    </row>
    <row r="14452" spans="1:2" x14ac:dyDescent="0.25">
      <c r="A14452" s="64" t="str">
        <f>HYPERLINK("http://www.twitter.com/SloopJohnBisset", "SloopJohnBisset")</f>
        <v>SloopJohnBisset</v>
      </c>
      <c r="B14452" s="65" t="s">
        <v>8280</v>
      </c>
    </row>
    <row r="14453" spans="1:2" x14ac:dyDescent="0.25">
      <c r="A14453" s="64" t="str">
        <f>HYPERLINK("http://www.twitter.com/CaroRance", "CaroRance")</f>
        <v>CaroRance</v>
      </c>
      <c r="B14453" s="65" t="s">
        <v>8281</v>
      </c>
    </row>
    <row r="14454" spans="1:2" x14ac:dyDescent="0.25">
      <c r="A14454" s="64" t="str">
        <f>HYPERLINK("http://www.twitter.com/donaldson_fi", "donaldson_fi")</f>
        <v>donaldson_fi</v>
      </c>
      <c r="B14454" s="65"/>
    </row>
    <row r="14455" spans="1:2" x14ac:dyDescent="0.25">
      <c r="A14455" s="64" t="str">
        <f>HYPERLINK("http://www.twitter.com/LianaSpanner", "LianaSpanner")</f>
        <v>LianaSpanner</v>
      </c>
      <c r="B14455" s="65" t="s">
        <v>4963</v>
      </c>
    </row>
    <row r="14456" spans="1:2" x14ac:dyDescent="0.25">
      <c r="A14456" s="64" t="str">
        <f>HYPERLINK("http://www.twitter.com/CRAIGWILLIAMS4", "CRAIGWILLIAMS4")</f>
        <v>CRAIGWILLIAMS4</v>
      </c>
      <c r="B14456" s="65" t="s">
        <v>8282</v>
      </c>
    </row>
    <row r="14457" spans="1:2" x14ac:dyDescent="0.25">
      <c r="A14457" s="64" t="str">
        <f>HYPERLINK("http://www.twitter.com/alexcduthie1", "alexcduthie1")</f>
        <v>alexcduthie1</v>
      </c>
      <c r="B14457" s="65" t="s">
        <v>487</v>
      </c>
    </row>
    <row r="14458" spans="1:2" x14ac:dyDescent="0.25">
      <c r="A14458" s="64" t="str">
        <f>HYPERLINK("http://www.twitter.com/sugarpompoms", "sugarpompoms")</f>
        <v>sugarpompoms</v>
      </c>
      <c r="B14458" s="65"/>
    </row>
    <row r="14459" spans="1:2" x14ac:dyDescent="0.25">
      <c r="A14459" s="64" t="str">
        <f>HYPERLINK("http://www.twitter.com/madeitorkney", "madeitorkney")</f>
        <v>madeitorkney</v>
      </c>
      <c r="B14459" s="65" t="s">
        <v>8283</v>
      </c>
    </row>
    <row r="14460" spans="1:2" x14ac:dyDescent="0.25">
      <c r="A14460" s="64" t="str">
        <f>HYPERLINK("http://www.twitter.com/IzzieGo", "IzzieGo")</f>
        <v>IzzieGo</v>
      </c>
      <c r="B14460" s="65"/>
    </row>
    <row r="14461" spans="1:2" x14ac:dyDescent="0.25">
      <c r="A14461" s="64" t="str">
        <f>HYPERLINK("http://www.twitter.com/devlanmud", "devlanmud")</f>
        <v>devlanmud</v>
      </c>
      <c r="B14461" s="65"/>
    </row>
    <row r="14462" spans="1:2" x14ac:dyDescent="0.25">
      <c r="A14462" s="64" t="str">
        <f>HYPERLINK("http://www.twitter.com/bibliobiker", "bibliobiker")</f>
        <v>bibliobiker</v>
      </c>
      <c r="B14462" s="65" t="s">
        <v>4703</v>
      </c>
    </row>
    <row r="14463" spans="1:2" x14ac:dyDescent="0.25">
      <c r="A14463" s="64" t="str">
        <f>HYPERLINK("http://www.twitter.com/SheilaPerryPR", "SheilaPerryPR")</f>
        <v>SheilaPerryPR</v>
      </c>
      <c r="B14463" s="65" t="s">
        <v>1537</v>
      </c>
    </row>
    <row r="14464" spans="1:2" x14ac:dyDescent="0.25">
      <c r="A14464" s="64" t="str">
        <f>HYPERLINK("http://www.twitter.com/loveswimming", "loveswimming")</f>
        <v>loveswimming</v>
      </c>
      <c r="B14464" s="65" t="s">
        <v>36</v>
      </c>
    </row>
    <row r="14465" spans="1:2" x14ac:dyDescent="0.25">
      <c r="A14465" s="64" t="str">
        <f>HYPERLINK("http://www.twitter.com/rowan_wallace", "rowan_wallace")</f>
        <v>rowan_wallace</v>
      </c>
      <c r="B14465" s="65" t="s">
        <v>138</v>
      </c>
    </row>
    <row r="14466" spans="1:2" x14ac:dyDescent="0.25">
      <c r="A14466" s="64" t="str">
        <f>HYPERLINK("http://www.twitter.com/EmmaMilnes1", "EmmaMilnes1")</f>
        <v>EmmaMilnes1</v>
      </c>
      <c r="B14466" s="65"/>
    </row>
    <row r="14467" spans="1:2" x14ac:dyDescent="0.25">
      <c r="A14467" s="64" t="str">
        <f>HYPERLINK("http://www.twitter.com/Rosie_Canning", "Rosie_Canning")</f>
        <v>Rosie_Canning</v>
      </c>
      <c r="B14467" s="65" t="s">
        <v>36</v>
      </c>
    </row>
    <row r="14468" spans="1:2" x14ac:dyDescent="0.25">
      <c r="A14468" s="64" t="str">
        <f>HYPERLINK("http://www.twitter.com/RebellionPub", "RebellionPub")</f>
        <v>RebellionPub</v>
      </c>
      <c r="B14468" s="65" t="s">
        <v>505</v>
      </c>
    </row>
    <row r="14469" spans="1:2" x14ac:dyDescent="0.25">
      <c r="A14469" s="64" t="str">
        <f>HYPERLINK("http://www.twitter.com/lauracw92", "lauracw92")</f>
        <v>lauracw92</v>
      </c>
      <c r="B14469" s="65" t="s">
        <v>93</v>
      </c>
    </row>
    <row r="14470" spans="1:2" x14ac:dyDescent="0.25">
      <c r="A14470" s="64" t="str">
        <f>HYPERLINK("http://www.twitter.com/ShetlandTelecom", "ShetlandTelecom")</f>
        <v>ShetlandTelecom</v>
      </c>
      <c r="B14470" s="65" t="s">
        <v>115</v>
      </c>
    </row>
    <row r="14471" spans="1:2" x14ac:dyDescent="0.25">
      <c r="A14471" s="64" t="str">
        <f>HYPERLINK("http://www.twitter.com/WyckoffLibrary", "WyckoffLibrary")</f>
        <v>WyckoffLibrary</v>
      </c>
      <c r="B14471" s="65" t="s">
        <v>8284</v>
      </c>
    </row>
    <row r="14472" spans="1:2" x14ac:dyDescent="0.25">
      <c r="A14472" s="64" t="str">
        <f>HYPERLINK("http://www.twitter.com/tegangrayy", "tegangrayy")</f>
        <v>tegangrayy</v>
      </c>
      <c r="B14472" s="65"/>
    </row>
    <row r="14473" spans="1:2" x14ac:dyDescent="0.25">
      <c r="A14473" s="64" t="str">
        <f>HYPERLINK("http://www.twitter.com/DrDannyPenman", "DrDannyPenman")</f>
        <v>DrDannyPenman</v>
      </c>
      <c r="B14473" s="65" t="s">
        <v>36</v>
      </c>
    </row>
    <row r="14474" spans="1:2" x14ac:dyDescent="0.25">
      <c r="A14474" s="64" t="str">
        <f>HYPERLINK("http://www.twitter.com/jonreed", "jonreed")</f>
        <v>jonreed</v>
      </c>
      <c r="B14474" s="65" t="s">
        <v>8285</v>
      </c>
    </row>
    <row r="14475" spans="1:2" x14ac:dyDescent="0.25">
      <c r="A14475" s="64" t="str">
        <f>HYPERLINK("http://www.twitter.com/HighlandSam1", "HighlandSam1")</f>
        <v>HighlandSam1</v>
      </c>
      <c r="B14475" s="65" t="s">
        <v>296</v>
      </c>
    </row>
    <row r="14476" spans="1:2" x14ac:dyDescent="0.25">
      <c r="A14476" s="64" t="str">
        <f>HYPERLINK("http://www.twitter.com/BL_Labs", "BL_Labs")</f>
        <v>BL_Labs</v>
      </c>
      <c r="B14476" s="65" t="s">
        <v>36</v>
      </c>
    </row>
    <row r="14477" spans="1:2" x14ac:dyDescent="0.25">
      <c r="A14477" s="64" t="str">
        <f>HYPERLINK("http://www.twitter.com/ReadLearnPlay", "ReadLearnPlay")</f>
        <v>ReadLearnPlay</v>
      </c>
      <c r="B14477" s="65" t="s">
        <v>8286</v>
      </c>
    </row>
    <row r="14478" spans="1:2" x14ac:dyDescent="0.25">
      <c r="A14478" s="64" t="str">
        <f>HYPERLINK("http://www.twitter.com/marknorman21074", "marknorman21074")</f>
        <v>marknorman21074</v>
      </c>
      <c r="B14478" s="65"/>
    </row>
    <row r="14479" spans="1:2" x14ac:dyDescent="0.25">
      <c r="A14479" s="64" t="str">
        <f>HYPERLINK("http://www.twitter.com/MornaOmay", "MornaOmay")</f>
        <v>MornaOmay</v>
      </c>
      <c r="B14479" s="65" t="s">
        <v>517</v>
      </c>
    </row>
    <row r="14480" spans="1:2" x14ac:dyDescent="0.25">
      <c r="A14480" s="64" t="str">
        <f>HYPERLINK("http://www.twitter.com/OxfamBooksM21", "OxfamBooksM21")</f>
        <v>OxfamBooksM21</v>
      </c>
      <c r="B14480" s="65" t="s">
        <v>2289</v>
      </c>
    </row>
    <row r="14481" spans="1:2" x14ac:dyDescent="0.25">
      <c r="A14481" s="64" t="str">
        <f>HYPERLINK("http://www.twitter.com/Em_E_Dee", "Em_E_Dee")</f>
        <v>Em_E_Dee</v>
      </c>
      <c r="B14481" s="65"/>
    </row>
    <row r="14482" spans="1:2" x14ac:dyDescent="0.25">
      <c r="A14482" s="64" t="str">
        <f>HYPERLINK("http://www.twitter.com/MunthaliLinga", "MunthaliLinga")</f>
        <v>MunthaliLinga</v>
      </c>
      <c r="B14482" s="65" t="s">
        <v>3775</v>
      </c>
    </row>
    <row r="14483" spans="1:2" x14ac:dyDescent="0.25">
      <c r="A14483" s="64" t="str">
        <f>HYPERLINK("http://www.twitter.com/Chr1908", "Chr1908")</f>
        <v>Chr1908</v>
      </c>
      <c r="B14483" s="65" t="s">
        <v>7775</v>
      </c>
    </row>
    <row r="14484" spans="1:2" x14ac:dyDescent="0.25">
      <c r="A14484" s="64" t="str">
        <f>HYPERLINK("http://www.twitter.com/RonaMain", "RonaMain")</f>
        <v>RonaMain</v>
      </c>
      <c r="B14484" s="65" t="s">
        <v>8287</v>
      </c>
    </row>
    <row r="14485" spans="1:2" x14ac:dyDescent="0.25">
      <c r="A14485" s="64" t="str">
        <f>HYPERLINK("http://www.twitter.com/frvckledfox", "frvckledfox")</f>
        <v>frvckledfox</v>
      </c>
      <c r="B14485" s="65"/>
    </row>
    <row r="14486" spans="1:2" x14ac:dyDescent="0.25">
      <c r="A14486" s="64" t="str">
        <f>HYPERLINK("http://www.twitter.com/KenHambly", "KenHambly")</f>
        <v>KenHambly</v>
      </c>
      <c r="B14486" s="65" t="s">
        <v>20</v>
      </c>
    </row>
    <row r="14487" spans="1:2" x14ac:dyDescent="0.25">
      <c r="A14487" s="64" t="str">
        <f>HYPERLINK("http://www.twitter.com/SaveEcclestonLi", "SaveEcclestonLi")</f>
        <v>SaveEcclestonLi</v>
      </c>
      <c r="B14487" s="65"/>
    </row>
    <row r="14488" spans="1:2" x14ac:dyDescent="0.25">
      <c r="A14488" s="64" t="str">
        <f>HYPERLINK("http://www.twitter.com/lizzymajerus", "lizzymajerus")</f>
        <v>lizzymajerus</v>
      </c>
      <c r="B14488" s="65"/>
    </row>
    <row r="14489" spans="1:2" x14ac:dyDescent="0.25">
      <c r="A14489" s="64" t="str">
        <f>HYPERLINK("http://www.twitter.com/lostinmacc", "lostinmacc")</f>
        <v>lostinmacc</v>
      </c>
      <c r="B14489" s="65" t="s">
        <v>3040</v>
      </c>
    </row>
    <row r="14490" spans="1:2" x14ac:dyDescent="0.25">
      <c r="A14490" s="64" t="str">
        <f>HYPERLINK("http://www.twitter.com/michael52476634", "michael52476634")</f>
        <v>michael52476634</v>
      </c>
      <c r="B14490" s="65"/>
    </row>
    <row r="14491" spans="1:2" x14ac:dyDescent="0.25">
      <c r="A14491" s="64" t="str">
        <f>HYPERLINK("http://www.twitter.com/SolLibraries", "SolLibraries")</f>
        <v>SolLibraries</v>
      </c>
      <c r="B14491" s="65" t="s">
        <v>1666</v>
      </c>
    </row>
    <row r="14492" spans="1:2" x14ac:dyDescent="0.25">
      <c r="A14492" s="64" t="str">
        <f>HYPERLINK("http://www.twitter.com/RayTheBuffalo", "RayTheBuffalo")</f>
        <v>RayTheBuffalo</v>
      </c>
      <c r="B14492" s="65" t="s">
        <v>4370</v>
      </c>
    </row>
    <row r="14493" spans="1:2" x14ac:dyDescent="0.25">
      <c r="A14493" s="64" t="str">
        <f>HYPERLINK("http://www.twitter.com/thedancingflea", "thedancingflea")</f>
        <v>thedancingflea</v>
      </c>
      <c r="B14493" s="65" t="s">
        <v>8288</v>
      </c>
    </row>
    <row r="14494" spans="1:2" x14ac:dyDescent="0.25">
      <c r="A14494" s="64" t="str">
        <f>HYPERLINK("http://www.twitter.com/NatMiningMuseum", "NatMiningMuseum")</f>
        <v>NatMiningMuseum</v>
      </c>
      <c r="B14494" s="65" t="s">
        <v>517</v>
      </c>
    </row>
    <row r="14495" spans="1:2" x14ac:dyDescent="0.25">
      <c r="A14495" s="64" t="str">
        <f>HYPERLINK("http://www.twitter.com/gillkittea", "gillkittea")</f>
        <v>gillkittea</v>
      </c>
      <c r="B14495" s="65" t="s">
        <v>138</v>
      </c>
    </row>
    <row r="14496" spans="1:2" x14ac:dyDescent="0.25">
      <c r="A14496" s="64" t="str">
        <f>HYPERLINK("http://www.twitter.com/CandaleeBeatty", "CandaleeBeatty")</f>
        <v>CandaleeBeatty</v>
      </c>
      <c r="B14496" s="65" t="s">
        <v>3948</v>
      </c>
    </row>
    <row r="14497" spans="1:2" x14ac:dyDescent="0.25">
      <c r="A14497" s="64" t="str">
        <f>HYPERLINK("http://www.twitter.com/MariaJSimoes", "MariaJSimoes")</f>
        <v>MariaJSimoes</v>
      </c>
      <c r="B14497" s="65" t="s">
        <v>2774</v>
      </c>
    </row>
    <row r="14498" spans="1:2" x14ac:dyDescent="0.25">
      <c r="A14498" s="64" t="str">
        <f>HYPERLINK("http://www.twitter.com/FredaOByrne", "FredaOByrne")</f>
        <v>FredaOByrne</v>
      </c>
      <c r="B14498" s="65" t="s">
        <v>487</v>
      </c>
    </row>
    <row r="14499" spans="1:2" x14ac:dyDescent="0.25">
      <c r="A14499" s="64" t="str">
        <f>HYPERLINK("http://www.twitter.com/Creative_Dundee", "Creative_Dundee")</f>
        <v>Creative_Dundee</v>
      </c>
      <c r="B14499" s="65" t="s">
        <v>1482</v>
      </c>
    </row>
    <row r="14500" spans="1:2" x14ac:dyDescent="0.25">
      <c r="A14500" s="64" t="str">
        <f>HYPERLINK("http://www.twitter.com/governanced", "governanced")</f>
        <v>governanced</v>
      </c>
      <c r="B14500" s="65" t="s">
        <v>8289</v>
      </c>
    </row>
    <row r="14501" spans="1:2" x14ac:dyDescent="0.25">
      <c r="A14501" s="64" t="str">
        <f>HYPERLINK("http://www.twitter.com/TwoHootsBooks", "TwoHootsBooks")</f>
        <v>TwoHootsBooks</v>
      </c>
      <c r="B14501" s="65" t="s">
        <v>477</v>
      </c>
    </row>
    <row r="14502" spans="1:2" x14ac:dyDescent="0.25">
      <c r="A14502" s="64" t="str">
        <f>HYPERLINK("http://www.twitter.com/thekeoghser", "thekeoghser")</f>
        <v>thekeoghser</v>
      </c>
      <c r="B14502" s="65"/>
    </row>
    <row r="14503" spans="1:2" x14ac:dyDescent="0.25">
      <c r="A14503" s="64" t="str">
        <f>HYPERLINK("http://www.twitter.com/mermaidjade5764", "mermaidjade5764")</f>
        <v>mermaidjade5764</v>
      </c>
      <c r="B14503" s="65" t="s">
        <v>8290</v>
      </c>
    </row>
    <row r="14504" spans="1:2" x14ac:dyDescent="0.25">
      <c r="A14504" s="64" t="str">
        <f>HYPERLINK("http://www.twitter.com/tabooword", "tabooword")</f>
        <v>tabooword</v>
      </c>
      <c r="B14504" s="65"/>
    </row>
    <row r="14505" spans="1:2" x14ac:dyDescent="0.25">
      <c r="A14505" s="64" t="str">
        <f>HYPERLINK("http://www.twitter.com/FalveyLibrary", "FalveyLibrary")</f>
        <v>FalveyLibrary</v>
      </c>
      <c r="B14505" s="65" t="s">
        <v>8291</v>
      </c>
    </row>
    <row r="14506" spans="1:2" x14ac:dyDescent="0.25">
      <c r="A14506" s="64" t="str">
        <f>HYPERLINK("http://www.twitter.com/lucyfoleytweets", "lucyfoleytweets")</f>
        <v>lucyfoleytweets</v>
      </c>
      <c r="B14506" s="65" t="s">
        <v>7783</v>
      </c>
    </row>
    <row r="14507" spans="1:2" x14ac:dyDescent="0.25">
      <c r="A14507" s="64" t="str">
        <f>HYPERLINK("http://www.twitter.com/galore_feathers", "galore_feathers")</f>
        <v>galore_feathers</v>
      </c>
      <c r="B14507" s="65" t="s">
        <v>70</v>
      </c>
    </row>
    <row r="14508" spans="1:2" x14ac:dyDescent="0.25">
      <c r="A14508" s="64" t="str">
        <f>HYPERLINK("http://www.twitter.com/yearofthedad", "yearofthedad")</f>
        <v>yearofthedad</v>
      </c>
      <c r="B14508" s="65" t="s">
        <v>8292</v>
      </c>
    </row>
    <row r="14509" spans="1:2" x14ac:dyDescent="0.25">
      <c r="A14509" s="64" t="str">
        <f>HYPERLINK("http://www.twitter.com/FathersNetScot", "FathersNetScot")</f>
        <v>FathersNetScot</v>
      </c>
      <c r="B14509" s="65" t="s">
        <v>517</v>
      </c>
    </row>
    <row r="14510" spans="1:2" x14ac:dyDescent="0.25">
      <c r="A14510" s="64" t="str">
        <f>HYPERLINK("http://www.twitter.com/kitch197", "kitch197")</f>
        <v>kitch197</v>
      </c>
      <c r="B14510" s="65"/>
    </row>
    <row r="14511" spans="1:2" x14ac:dyDescent="0.25">
      <c r="A14511" s="64" t="str">
        <f>HYPERLINK("http://www.twitter.com/kjginnane", "kjginnane")</f>
        <v>kjginnane</v>
      </c>
      <c r="B14511" s="65" t="s">
        <v>3978</v>
      </c>
    </row>
    <row r="14512" spans="1:2" x14ac:dyDescent="0.25">
      <c r="A14512" s="64" t="str">
        <f>HYPERLINK("http://www.twitter.com/luxury__travel", "luxury__travel")</f>
        <v>luxury__travel</v>
      </c>
      <c r="B14512" s="65" t="s">
        <v>296</v>
      </c>
    </row>
    <row r="14513" spans="1:2" x14ac:dyDescent="0.25">
      <c r="A14513" s="64" t="str">
        <f>HYPERLINK("http://www.twitter.com/enjo_gayle", "enjo_gayle")</f>
        <v>enjo_gayle</v>
      </c>
      <c r="B14513" s="65" t="s">
        <v>3762</v>
      </c>
    </row>
    <row r="14514" spans="1:2" x14ac:dyDescent="0.25">
      <c r="A14514" s="64" t="str">
        <f>HYPERLINK("http://www.twitter.com/KateHrrngtn", "KateHrrngtn")</f>
        <v>KateHrrngtn</v>
      </c>
      <c r="B14514" s="65"/>
    </row>
    <row r="14515" spans="1:2" x14ac:dyDescent="0.25">
      <c r="A14515" s="64" t="str">
        <f>HYPERLINK("http://www.twitter.com/typovino", "typovino")</f>
        <v>typovino</v>
      </c>
      <c r="B14515" s="65" t="s">
        <v>4436</v>
      </c>
    </row>
    <row r="14516" spans="1:2" x14ac:dyDescent="0.25">
      <c r="A14516" s="64" t="str">
        <f>HYPERLINK("http://www.twitter.com/miassic", "miassic")</f>
        <v>miassic</v>
      </c>
      <c r="B14516" s="65"/>
    </row>
    <row r="14517" spans="1:2" x14ac:dyDescent="0.25">
      <c r="A14517" s="64" t="str">
        <f>HYPERLINK("http://www.twitter.com/ShalimarBooks", "ShalimarBooks")</f>
        <v>ShalimarBooks</v>
      </c>
      <c r="B14517" s="65" t="s">
        <v>110</v>
      </c>
    </row>
    <row r="14518" spans="1:2" x14ac:dyDescent="0.25">
      <c r="A14518" s="64" t="str">
        <f>HYPERLINK("http://www.twitter.com/behindtheshelf", "behindtheshelf")</f>
        <v>behindtheshelf</v>
      </c>
      <c r="B14518" s="65"/>
    </row>
    <row r="14519" spans="1:2" x14ac:dyDescent="0.25">
      <c r="A14519" s="64" t="str">
        <f>HYPERLINK("http://www.twitter.com/rojeid", "rojeid")</f>
        <v>rojeid</v>
      </c>
      <c r="B14519" s="65" t="s">
        <v>8293</v>
      </c>
    </row>
    <row r="14520" spans="1:2" x14ac:dyDescent="0.25">
      <c r="A14520" s="64" t="str">
        <f>HYPERLINK("http://www.twitter.com/RoseVos", "RoseVos")</f>
        <v>RoseVos</v>
      </c>
      <c r="B14520" s="65" t="s">
        <v>8294</v>
      </c>
    </row>
    <row r="14521" spans="1:2" x14ac:dyDescent="0.25">
      <c r="A14521" s="64" t="str">
        <f>HYPERLINK("http://www.twitter.com/DebbieHeddle", "DebbieHeddle")</f>
        <v>DebbieHeddle</v>
      </c>
      <c r="B14521" s="65"/>
    </row>
    <row r="14522" spans="1:2" x14ac:dyDescent="0.25">
      <c r="A14522" s="64" t="str">
        <f>HYPERLINK("http://www.twitter.com/alledinge", "alledinge")</f>
        <v>alledinge</v>
      </c>
      <c r="B14522" s="65" t="s">
        <v>8295</v>
      </c>
    </row>
    <row r="14523" spans="1:2" x14ac:dyDescent="0.25">
      <c r="A14523" s="64" t="str">
        <f>HYPERLINK("http://www.twitter.com/Jake131", "Jake131")</f>
        <v>Jake131</v>
      </c>
      <c r="B14523" s="65" t="s">
        <v>808</v>
      </c>
    </row>
    <row r="14524" spans="1:2" x14ac:dyDescent="0.25">
      <c r="A14524" s="64" t="str">
        <f>HYPERLINK("http://www.twitter.com/obliviate_alz", "obliviate_alz")</f>
        <v>obliviate_alz</v>
      </c>
      <c r="B14524" s="65" t="s">
        <v>8296</v>
      </c>
    </row>
    <row r="14525" spans="1:2" x14ac:dyDescent="0.25">
      <c r="A14525" s="64" t="str">
        <f>HYPERLINK("http://www.twitter.com/LorenJDiclaudio", "LorenJDiclaudio")</f>
        <v>LorenJDiclaudio</v>
      </c>
      <c r="B14525" s="65"/>
    </row>
    <row r="14526" spans="1:2" x14ac:dyDescent="0.25">
      <c r="A14526" s="64" t="str">
        <f>HYPERLINK("http://www.twitter.com/HOWDEC", "HOWDEC")</f>
        <v>HOWDEC</v>
      </c>
      <c r="B14526" s="65" t="s">
        <v>4050</v>
      </c>
    </row>
    <row r="14527" spans="1:2" x14ac:dyDescent="0.25">
      <c r="A14527" s="64" t="str">
        <f>HYPERLINK("http://www.twitter.com/Toyota_Makoto", "Toyota_Makoto")</f>
        <v>Toyota_Makoto</v>
      </c>
      <c r="B14527" s="65" t="s">
        <v>8297</v>
      </c>
    </row>
    <row r="14528" spans="1:2" x14ac:dyDescent="0.25">
      <c r="A14528" s="64" t="str">
        <f>HYPERLINK("http://www.twitter.com/LondonLee62", "LondonLee62")</f>
        <v>LondonLee62</v>
      </c>
      <c r="B14528" s="65" t="s">
        <v>8298</v>
      </c>
    </row>
    <row r="14529" spans="1:2" x14ac:dyDescent="0.25">
      <c r="A14529" s="64" t="str">
        <f>HYPERLINK("http://www.twitter.com/fuzzycloud8947", "fuzzycloud8947")</f>
        <v>fuzzycloud8947</v>
      </c>
      <c r="B14529" s="65" t="s">
        <v>8299</v>
      </c>
    </row>
    <row r="14530" spans="1:2" x14ac:dyDescent="0.25">
      <c r="A14530" s="64" t="str">
        <f>HYPERLINK("http://www.twitter.com/ThomAlexWatt", "ThomAlexWatt")</f>
        <v>ThomAlexWatt</v>
      </c>
      <c r="B14530" s="65" t="s">
        <v>4215</v>
      </c>
    </row>
    <row r="14531" spans="1:2" x14ac:dyDescent="0.25">
      <c r="A14531" s="64" t="str">
        <f>HYPERLINK("http://www.twitter.com/hannahboursnell", "hannahboursnell")</f>
        <v>hannahboursnell</v>
      </c>
      <c r="B14531" s="65" t="s">
        <v>8300</v>
      </c>
    </row>
    <row r="14532" spans="1:2" x14ac:dyDescent="0.25">
      <c r="A14532" s="64" t="str">
        <f>HYPERLINK("http://www.twitter.com/craftylins", "craftylins")</f>
        <v>craftylins</v>
      </c>
      <c r="B14532" s="65"/>
    </row>
    <row r="14533" spans="1:2" x14ac:dyDescent="0.25">
      <c r="A14533" s="64" t="str">
        <f>HYPERLINK("http://www.twitter.com/DanielLaud85", "DanielLaud85")</f>
        <v>DanielLaud85</v>
      </c>
      <c r="B14533" s="65" t="s">
        <v>20</v>
      </c>
    </row>
    <row r="14534" spans="1:2" x14ac:dyDescent="0.25">
      <c r="A14534" s="64" t="str">
        <f>HYPERLINK("http://www.twitter.com/loupinloon", "loupinloon")</f>
        <v>loupinloon</v>
      </c>
      <c r="B14534" s="65" t="s">
        <v>8301</v>
      </c>
    </row>
    <row r="14535" spans="1:2" x14ac:dyDescent="0.25">
      <c r="A14535" s="64" t="str">
        <f>HYPERLINK("http://www.twitter.com/GillieWilson1", "GillieWilson1")</f>
        <v>GillieWilson1</v>
      </c>
      <c r="B14535" s="65"/>
    </row>
    <row r="14536" spans="1:2" x14ac:dyDescent="0.25">
      <c r="A14536" s="64" t="str">
        <f>HYPERLINK("http://www.twitter.com/betty_murray", "betty_murray")</f>
        <v>betty_murray</v>
      </c>
      <c r="B14536" s="65" t="s">
        <v>8302</v>
      </c>
    </row>
    <row r="14537" spans="1:2" x14ac:dyDescent="0.25">
      <c r="A14537" s="64" t="str">
        <f>HYPERLINK("http://www.twitter.com/susanlamb3", "susanlamb3")</f>
        <v>susanlamb3</v>
      </c>
      <c r="B14537" s="65"/>
    </row>
    <row r="14538" spans="1:2" x14ac:dyDescent="0.25">
      <c r="A14538" s="64" t="str">
        <f>HYPERLINK("http://www.twitter.com/garycrg", "garycrg")</f>
        <v>garycrg</v>
      </c>
      <c r="B14538" s="65"/>
    </row>
    <row r="14539" spans="1:2" x14ac:dyDescent="0.25">
      <c r="A14539" s="64" t="str">
        <f>HYPERLINK("http://www.twitter.com/the_kelda", "the_kelda")</f>
        <v>the_kelda</v>
      </c>
      <c r="B14539" s="65"/>
    </row>
    <row r="14540" spans="1:2" x14ac:dyDescent="0.25">
      <c r="A14540" s="64" t="str">
        <f>HYPERLINK("http://www.twitter.com/hlehhan", "hlehhan")</f>
        <v>hlehhan</v>
      </c>
      <c r="B14540" s="65"/>
    </row>
    <row r="14541" spans="1:2" x14ac:dyDescent="0.25">
      <c r="A14541" s="64" t="str">
        <f>HYPERLINK("http://www.twitter.com/drizzleroot", "drizzleroot")</f>
        <v>drizzleroot</v>
      </c>
      <c r="B14541" s="65"/>
    </row>
    <row r="14542" spans="1:2" x14ac:dyDescent="0.25">
      <c r="A14542" s="64" t="str">
        <f>HYPERLINK("http://www.twitter.com/OT_frances", "OT_frances")</f>
        <v>OT_frances</v>
      </c>
      <c r="B14542" s="65"/>
    </row>
    <row r="14543" spans="1:2" x14ac:dyDescent="0.25">
      <c r="A14543" s="64" t="str">
        <f>HYPERLINK("http://www.twitter.com/Mary_Carol", "Mary_Carol")</f>
        <v>Mary_Carol</v>
      </c>
      <c r="B14543" s="65" t="s">
        <v>8303</v>
      </c>
    </row>
    <row r="14544" spans="1:2" x14ac:dyDescent="0.25">
      <c r="A14544" s="64" t="str">
        <f>HYPERLINK("http://www.twitter.com/menamarkhanna", "menamarkhanna")</f>
        <v>menamarkhanna</v>
      </c>
      <c r="B14544" s="65" t="s">
        <v>5089</v>
      </c>
    </row>
    <row r="14545" spans="1:2" x14ac:dyDescent="0.25">
      <c r="A14545" s="64" t="str">
        <f>HYPERLINK("http://www.twitter.com/cultured_cat", "cultured_cat")</f>
        <v>cultured_cat</v>
      </c>
      <c r="B14545" s="65"/>
    </row>
    <row r="14546" spans="1:2" x14ac:dyDescent="0.25">
      <c r="A14546" s="64" t="str">
        <f>HYPERLINK("http://www.twitter.com/JoBrdshw", "JoBrdshw")</f>
        <v>JoBrdshw</v>
      </c>
      <c r="B14546" s="65" t="s">
        <v>8304</v>
      </c>
    </row>
    <row r="14547" spans="1:2" x14ac:dyDescent="0.25">
      <c r="A14547" s="64" t="str">
        <f>HYPERLINK("http://www.twitter.com/SusanMacKellar", "SusanMacKellar")</f>
        <v>SusanMacKellar</v>
      </c>
      <c r="B14547" s="65"/>
    </row>
    <row r="14548" spans="1:2" x14ac:dyDescent="0.25">
      <c r="A14548" s="64" t="str">
        <f>HYPERLINK("http://www.twitter.com/CatesbyK", "CatesbyK")</f>
        <v>CatesbyK</v>
      </c>
      <c r="B14548" s="65" t="s">
        <v>36</v>
      </c>
    </row>
    <row r="14549" spans="1:2" x14ac:dyDescent="0.25">
      <c r="A14549" s="64" t="str">
        <f>HYPERLINK("http://www.twitter.com/DrCelineFitz", "DrCelineFitz")</f>
        <v>DrCelineFitz</v>
      </c>
      <c r="B14549" s="65"/>
    </row>
    <row r="14550" spans="1:2" x14ac:dyDescent="0.25">
      <c r="A14550" s="64" t="str">
        <f>HYPERLINK("http://www.twitter.com/PenPendragon", "PenPendragon")</f>
        <v>PenPendragon</v>
      </c>
      <c r="B14550" s="65" t="s">
        <v>8305</v>
      </c>
    </row>
    <row r="14551" spans="1:2" x14ac:dyDescent="0.25">
      <c r="A14551" s="64" t="str">
        <f>HYPERLINK("http://www.twitter.com/EDU_Colin", "EDU_Colin")</f>
        <v>EDU_Colin</v>
      </c>
      <c r="B14551" s="65" t="s">
        <v>6153</v>
      </c>
    </row>
    <row r="14552" spans="1:2" x14ac:dyDescent="0.25">
      <c r="A14552" s="64" t="str">
        <f>HYPERLINK("http://www.twitter.com/DeborahFrances5", "DeborahFrances5")</f>
        <v>DeborahFrances5</v>
      </c>
      <c r="B14552" s="65" t="s">
        <v>1377</v>
      </c>
    </row>
    <row r="14553" spans="1:2" x14ac:dyDescent="0.25">
      <c r="A14553" s="64" t="str">
        <f>HYPERLINK("http://www.twitter.com/KatieLopez1984", "KatieLopez1984")</f>
        <v>KatieLopez1984</v>
      </c>
      <c r="B14553" s="65"/>
    </row>
    <row r="14554" spans="1:2" x14ac:dyDescent="0.25">
      <c r="A14554" s="64" t="str">
        <f>HYPERLINK("http://www.twitter.com/tenpennydreams", "tenpennydreams")</f>
        <v>tenpennydreams</v>
      </c>
      <c r="B14554" s="65" t="s">
        <v>8306</v>
      </c>
    </row>
    <row r="14555" spans="1:2" x14ac:dyDescent="0.25">
      <c r="A14555" s="64" t="str">
        <f>HYPERLINK("http://www.twitter.com/Bettehead", "Bettehead")</f>
        <v>Bettehead</v>
      </c>
      <c r="B14555" s="65" t="s">
        <v>6171</v>
      </c>
    </row>
    <row r="14556" spans="1:2" x14ac:dyDescent="0.25">
      <c r="A14556" s="64" t="str">
        <f>HYPERLINK("http://www.twitter.com/jackieandrews11", "jackieandrews11")</f>
        <v>jackieandrews11</v>
      </c>
      <c r="B14556" s="65"/>
    </row>
    <row r="14557" spans="1:2" x14ac:dyDescent="0.25">
      <c r="A14557" s="64" t="str">
        <f>HYPERLINK("http://www.twitter.com/bookingaround", "bookingaround")</f>
        <v>bookingaround</v>
      </c>
      <c r="B14557" s="65" t="s">
        <v>505</v>
      </c>
    </row>
    <row r="14558" spans="1:2" x14ac:dyDescent="0.25">
      <c r="A14558" s="64" t="str">
        <f>HYPERLINK("http://www.twitter.com/StephenMulholl", "StephenMulholl")</f>
        <v>StephenMulholl</v>
      </c>
      <c r="B14558" s="65" t="s">
        <v>24</v>
      </c>
    </row>
    <row r="14559" spans="1:2" x14ac:dyDescent="0.25">
      <c r="A14559" s="64" t="str">
        <f>HYPERLINK("http://www.twitter.com/Emmabrao", "Emmabrao")</f>
        <v>Emmabrao</v>
      </c>
      <c r="B14559" s="65" t="s">
        <v>36</v>
      </c>
    </row>
    <row r="14560" spans="1:2" x14ac:dyDescent="0.25">
      <c r="A14560" s="64" t="str">
        <f>HYPERLINK("http://www.twitter.com/FMelroseWriter", "FMelroseWriter")</f>
        <v>FMelroseWriter</v>
      </c>
      <c r="B14560" s="65" t="s">
        <v>8307</v>
      </c>
    </row>
    <row r="14561" spans="1:2" x14ac:dyDescent="0.25">
      <c r="A14561" s="64" t="str">
        <f>HYPERLINK("http://www.twitter.com/zerozero73", "zerozero73")</f>
        <v>zerozero73</v>
      </c>
      <c r="B14561" s="65" t="s">
        <v>8308</v>
      </c>
    </row>
    <row r="14562" spans="1:2" x14ac:dyDescent="0.25">
      <c r="A14562" s="64" t="str">
        <f>HYPERLINK("http://www.twitter.com/mousegrave", "mousegrave")</f>
        <v>mousegrave</v>
      </c>
      <c r="B14562" s="65" t="s">
        <v>8309</v>
      </c>
    </row>
    <row r="14563" spans="1:2" x14ac:dyDescent="0.25">
      <c r="A14563" s="64" t="str">
        <f>HYPERLINK("http://www.twitter.com/deborahshelton", "deborahshelton")</f>
        <v>deborahshelton</v>
      </c>
      <c r="B14563" s="65" t="s">
        <v>2811</v>
      </c>
    </row>
    <row r="14564" spans="1:2" x14ac:dyDescent="0.25">
      <c r="A14564" s="64" t="str">
        <f>HYPERLINK("http://www.twitter.com/seeninthedeen", "seeninthedeen")</f>
        <v>seeninthedeen</v>
      </c>
      <c r="B14564" s="65" t="s">
        <v>8310</v>
      </c>
    </row>
    <row r="14565" spans="1:2" x14ac:dyDescent="0.25">
      <c r="A14565" s="64" t="str">
        <f>HYPERLINK("http://www.twitter.com/d_m_crawford", "d_m_crawford")</f>
        <v>d_m_crawford</v>
      </c>
      <c r="B14565" s="65"/>
    </row>
    <row r="14566" spans="1:2" x14ac:dyDescent="0.25">
      <c r="A14566" s="64" t="str">
        <f>HYPERLINK("http://www.twitter.com/VicksAnne", "VicksAnne")</f>
        <v>VicksAnne</v>
      </c>
      <c r="B14566" s="65"/>
    </row>
    <row r="14567" spans="1:2" x14ac:dyDescent="0.25">
      <c r="A14567" s="64" t="str">
        <f>HYPERLINK("http://www.twitter.com/KeethInk", "KeethInk")</f>
        <v>KeethInk</v>
      </c>
      <c r="B14567" s="65" t="s">
        <v>4702</v>
      </c>
    </row>
    <row r="14568" spans="1:2" x14ac:dyDescent="0.25">
      <c r="A14568" s="64" t="str">
        <f>HYPERLINK("http://www.twitter.com/flickytwit", "flickytwit")</f>
        <v>flickytwit</v>
      </c>
      <c r="B14568" s="65"/>
    </row>
    <row r="14569" spans="1:2" x14ac:dyDescent="0.25">
      <c r="A14569" s="64" t="str">
        <f>HYPERLINK("http://www.twitter.com/dematerialise", "dematerialise")</f>
        <v>dematerialise</v>
      </c>
      <c r="B14569" s="65" t="s">
        <v>8311</v>
      </c>
    </row>
    <row r="14570" spans="1:2" x14ac:dyDescent="0.25">
      <c r="A14570" s="64" t="str">
        <f>HYPERLINK("http://www.twitter.com/chronotis42", "chronotis42")</f>
        <v>chronotis42</v>
      </c>
      <c r="B14570" s="65"/>
    </row>
    <row r="14571" spans="1:2" x14ac:dyDescent="0.25">
      <c r="A14571" s="64" t="str">
        <f>HYPERLINK("http://www.twitter.com/jennytownmouse", "jennytownmouse")</f>
        <v>jennytownmouse</v>
      </c>
      <c r="B14571" s="65"/>
    </row>
    <row r="14572" spans="1:2" x14ac:dyDescent="0.25">
      <c r="A14572" s="64" t="str">
        <f>HYPERLINK("http://www.twitter.com/moosgirl", "moosgirl")</f>
        <v>moosgirl</v>
      </c>
      <c r="B14572" s="65" t="s">
        <v>8312</v>
      </c>
    </row>
    <row r="14573" spans="1:2" x14ac:dyDescent="0.25">
      <c r="A14573" s="64" t="str">
        <f>HYPERLINK("http://www.twitter.com/Fawksie", "Fawksie")</f>
        <v>Fawksie</v>
      </c>
      <c r="B14573" s="65" t="s">
        <v>24</v>
      </c>
    </row>
    <row r="14574" spans="1:2" x14ac:dyDescent="0.25">
      <c r="A14574" s="64" t="str">
        <f>HYPERLINK("http://www.twitter.com/KarlThurgood", "KarlThurgood")</f>
        <v>KarlThurgood</v>
      </c>
      <c r="B14574" s="65" t="s">
        <v>8313</v>
      </c>
    </row>
    <row r="14575" spans="1:2" x14ac:dyDescent="0.25">
      <c r="A14575" s="64" t="str">
        <f>HYPERLINK("http://www.twitter.com/tinylittlefish", "tinylittlefish")</f>
        <v>tinylittlefish</v>
      </c>
      <c r="B14575" s="65"/>
    </row>
    <row r="14576" spans="1:2" x14ac:dyDescent="0.25">
      <c r="A14576" s="64" t="str">
        <f>HYPERLINK("http://www.twitter.com/Damohun", "Damohun")</f>
        <v>Damohun</v>
      </c>
      <c r="B14576" s="65" t="s">
        <v>36</v>
      </c>
    </row>
    <row r="14577" spans="1:2" x14ac:dyDescent="0.25">
      <c r="A14577" s="64" t="str">
        <f>HYPERLINK("http://www.twitter.com/_m_braithwaite", "_m_braithwaite")</f>
        <v>_m_braithwaite</v>
      </c>
      <c r="B14577" s="65"/>
    </row>
    <row r="14578" spans="1:2" x14ac:dyDescent="0.25">
      <c r="A14578" s="64" t="str">
        <f>HYPERLINK("http://www.twitter.com/_lizlewis", "_lizlewis")</f>
        <v>_lizlewis</v>
      </c>
      <c r="B14578" s="65"/>
    </row>
    <row r="14579" spans="1:2" x14ac:dyDescent="0.25">
      <c r="A14579" s="64" t="str">
        <f>HYPERLINK("http://www.twitter.com/_NickGates", "_NickGates")</f>
        <v>_NickGates</v>
      </c>
      <c r="B14579" s="65"/>
    </row>
    <row r="14580" spans="1:2" x14ac:dyDescent="0.25">
      <c r="A14580" s="64" t="str">
        <f>HYPERLINK("http://www.twitter.com/SaraBurnett", "SaraBurnett")</f>
        <v>SaraBurnett</v>
      </c>
      <c r="B14580" s="65"/>
    </row>
    <row r="14581" spans="1:2" x14ac:dyDescent="0.25">
      <c r="A14581" s="64" t="str">
        <f>HYPERLINK("http://www.twitter.com/Logicsrock", "Logicsrock")</f>
        <v>Logicsrock</v>
      </c>
      <c r="B14581" s="65" t="s">
        <v>487</v>
      </c>
    </row>
    <row r="14582" spans="1:2" x14ac:dyDescent="0.25">
      <c r="A14582" s="64" t="str">
        <f>HYPERLINK("http://www.twitter.com/criatividade_in", "criatividade_in")</f>
        <v>criatividade_in</v>
      </c>
      <c r="B14582" s="65" t="s">
        <v>8314</v>
      </c>
    </row>
    <row r="14583" spans="1:2" x14ac:dyDescent="0.25">
      <c r="A14583" s="64" t="str">
        <f>HYPERLINK("http://www.twitter.com/jillianfenton1", "jillianfenton1")</f>
        <v>jillianfenton1</v>
      </c>
      <c r="B14583" s="65" t="s">
        <v>487</v>
      </c>
    </row>
    <row r="14584" spans="1:2" x14ac:dyDescent="0.25">
      <c r="A14584" s="64" t="str">
        <f>HYPERLINK("http://www.twitter.com/_Rootstories", "_Rootstories")</f>
        <v>_Rootstories</v>
      </c>
      <c r="B14584" s="65"/>
    </row>
    <row r="14585" spans="1:2" x14ac:dyDescent="0.25">
      <c r="A14585" s="64" t="str">
        <f>HYPERLINK("http://www.twitter.com/Nethergate32", "Nethergate32")</f>
        <v>Nethergate32</v>
      </c>
      <c r="B14585" s="65" t="s">
        <v>8315</v>
      </c>
    </row>
    <row r="14586" spans="1:2" x14ac:dyDescent="0.25">
      <c r="A14586" s="64" t="str">
        <f>HYPERLINK("http://www.twitter.com/Lucy_Robinson", "Lucy_Robinson")</f>
        <v>Lucy_Robinson</v>
      </c>
      <c r="B14586" s="65" t="s">
        <v>1873</v>
      </c>
    </row>
    <row r="14587" spans="1:2" x14ac:dyDescent="0.25">
      <c r="A14587" s="64" t="str">
        <f>HYPERLINK("http://www.twitter.com/dan_howells", "dan_howells")</f>
        <v>dan_howells</v>
      </c>
      <c r="B14587" s="65" t="s">
        <v>8316</v>
      </c>
    </row>
    <row r="14588" spans="1:2" x14ac:dyDescent="0.25">
      <c r="A14588" s="64" t="str">
        <f>HYPERLINK("http://www.twitter.com/sun_sea_sky", "sun_sea_sky")</f>
        <v>sun_sea_sky</v>
      </c>
      <c r="B14588" s="65" t="s">
        <v>6098</v>
      </c>
    </row>
    <row r="14589" spans="1:2" x14ac:dyDescent="0.25">
      <c r="A14589" s="64" t="str">
        <f>HYPERLINK("http://www.twitter.com/borolou", "borolou")</f>
        <v>borolou</v>
      </c>
      <c r="B14589" s="65" t="s">
        <v>8317</v>
      </c>
    </row>
    <row r="14590" spans="1:2" x14ac:dyDescent="0.25">
      <c r="A14590" s="64" t="str">
        <f>HYPERLINK("http://www.twitter.com/BookishEmma", "BookishEmma")</f>
        <v>BookishEmma</v>
      </c>
      <c r="B14590" s="65" t="s">
        <v>749</v>
      </c>
    </row>
    <row r="14591" spans="1:2" x14ac:dyDescent="0.25">
      <c r="A14591" s="64" t="str">
        <f>HYPERLINK("http://www.twitter.com/SaveCoppullLib", "SaveCoppullLib")</f>
        <v>SaveCoppullLib</v>
      </c>
      <c r="B14591" s="65" t="s">
        <v>8318</v>
      </c>
    </row>
    <row r="14592" spans="1:2" x14ac:dyDescent="0.25">
      <c r="A14592" s="64" t="str">
        <f>HYPERLINK("http://www.twitter.com/MediaSmartGuy", "MediaSmartGuy")</f>
        <v>MediaSmartGuy</v>
      </c>
      <c r="B14592" s="65" t="s">
        <v>8319</v>
      </c>
    </row>
    <row r="14593" spans="1:2" x14ac:dyDescent="0.25">
      <c r="A14593" s="64" t="str">
        <f>HYPERLINK("http://www.twitter.com/poppy53", "poppy53")</f>
        <v>poppy53</v>
      </c>
      <c r="B14593" s="65" t="s">
        <v>8320</v>
      </c>
    </row>
    <row r="14594" spans="1:2" x14ac:dyDescent="0.25">
      <c r="A14594" s="64" t="str">
        <f>HYPERLINK("http://www.twitter.com/BrandenRennie", "BrandenRennie")</f>
        <v>BrandenRennie</v>
      </c>
      <c r="B14594" s="65" t="s">
        <v>8321</v>
      </c>
    </row>
    <row r="14595" spans="1:2" x14ac:dyDescent="0.25">
      <c r="A14595" s="64" t="str">
        <f>HYPERLINK("http://www.twitter.com/dianajmorton", "dianajmorton")</f>
        <v>dianajmorton</v>
      </c>
      <c r="B14595" s="65" t="s">
        <v>2007</v>
      </c>
    </row>
    <row r="14596" spans="1:2" x14ac:dyDescent="0.25">
      <c r="A14596" s="64" t="str">
        <f>HYPERLINK("http://www.twitter.com/SoniaevansSonia", "SoniaevansSonia")</f>
        <v>SoniaevansSonia</v>
      </c>
      <c r="B14596" s="65"/>
    </row>
    <row r="14597" spans="1:2" x14ac:dyDescent="0.25">
      <c r="A14597" s="64" t="str">
        <f>HYPERLINK("http://www.twitter.com/Bismaurice", "Bismaurice")</f>
        <v>Bismaurice</v>
      </c>
      <c r="B14597" s="65"/>
    </row>
    <row r="14598" spans="1:2" x14ac:dyDescent="0.25">
      <c r="A14598" s="64" t="str">
        <f>HYPERLINK("http://www.twitter.com/LibraryWest", "LibraryWest")</f>
        <v>LibraryWest</v>
      </c>
      <c r="B14598" s="65"/>
    </row>
    <row r="14599" spans="1:2" x14ac:dyDescent="0.25">
      <c r="A14599" s="64" t="str">
        <f>HYPERLINK("http://www.twitter.com/steffimcknight", "steffimcknight")</f>
        <v>steffimcknight</v>
      </c>
      <c r="B14599" s="65" t="s">
        <v>8322</v>
      </c>
    </row>
    <row r="14600" spans="1:2" x14ac:dyDescent="0.25">
      <c r="A14600" s="64" t="str">
        <f>HYPERLINK("http://www.twitter.com/lynnygrundy", "lynnygrundy")</f>
        <v>lynnygrundy</v>
      </c>
      <c r="B14600" s="65"/>
    </row>
    <row r="14601" spans="1:2" x14ac:dyDescent="0.25">
      <c r="A14601" s="64" t="str">
        <f>HYPERLINK("http://www.twitter.com/departsltddavid", "departsltddavid")</f>
        <v>departsltddavid</v>
      </c>
      <c r="B14601" s="65" t="s">
        <v>8323</v>
      </c>
    </row>
    <row r="14602" spans="1:2" x14ac:dyDescent="0.25">
      <c r="A14602" s="64" t="str">
        <f>HYPERLINK("http://www.twitter.com/consultenhance", "consultenhance")</f>
        <v>consultenhance</v>
      </c>
      <c r="B14602" s="65"/>
    </row>
    <row r="14603" spans="1:2" x14ac:dyDescent="0.25">
      <c r="A14603" s="64" t="str">
        <f>HYPERLINK("http://www.twitter.com/cromar1", "cromar1")</f>
        <v>cromar1</v>
      </c>
      <c r="B14603" s="65" t="s">
        <v>517</v>
      </c>
    </row>
    <row r="14604" spans="1:2" x14ac:dyDescent="0.25">
      <c r="A14604" s="64" t="str">
        <f>HYPERLINK("http://www.twitter.com/Notts_Heritage", "Notts_Heritage")</f>
        <v>Notts_Heritage</v>
      </c>
      <c r="B14604" s="65" t="s">
        <v>273</v>
      </c>
    </row>
    <row r="14605" spans="1:2" x14ac:dyDescent="0.25">
      <c r="A14605" s="64" t="str">
        <f>HYPERLINK("http://www.twitter.com/offfbrand", "offfbrand")</f>
        <v>offfbrand</v>
      </c>
      <c r="B14605" s="65" t="s">
        <v>8324</v>
      </c>
    </row>
    <row r="14606" spans="1:2" x14ac:dyDescent="0.25">
      <c r="A14606" s="64" t="str">
        <f>HYPERLINK("http://www.twitter.com/GeoRitchie", "GeoRitchie")</f>
        <v>GeoRitchie</v>
      </c>
      <c r="B14606" s="65" t="s">
        <v>8282</v>
      </c>
    </row>
    <row r="14607" spans="1:2" x14ac:dyDescent="0.25">
      <c r="A14607" s="64" t="str">
        <f>HYPERLINK("http://www.twitter.com/kevincurlew", "kevincurlew")</f>
        <v>kevincurlew</v>
      </c>
      <c r="B14607" s="65" t="s">
        <v>8325</v>
      </c>
    </row>
    <row r="14608" spans="1:2" x14ac:dyDescent="0.25">
      <c r="A14608" s="64" t="str">
        <f>HYPERLINK("http://www.twitter.com/ScottishCycling", "ScottishCycling")</f>
        <v>ScottishCycling</v>
      </c>
      <c r="B14608" s="65" t="s">
        <v>517</v>
      </c>
    </row>
    <row r="14609" spans="1:2" x14ac:dyDescent="0.25">
      <c r="A14609" s="64" t="str">
        <f>HYPERLINK("http://www.twitter.com/jackdmevans", "jackdmevans")</f>
        <v>jackdmevans</v>
      </c>
      <c r="B14609" s="65"/>
    </row>
    <row r="14610" spans="1:2" x14ac:dyDescent="0.25">
      <c r="A14610" s="64" t="str">
        <f>HYPERLINK("http://www.twitter.com/kritchi", "kritchi")</f>
        <v>kritchi</v>
      </c>
      <c r="B14610" s="65" t="s">
        <v>138</v>
      </c>
    </row>
    <row r="14611" spans="1:2" x14ac:dyDescent="0.25">
      <c r="A14611" s="64" t="str">
        <f>HYPERLINK("http://www.twitter.com/AClaireEllison", "AClaireEllison")</f>
        <v>AClaireEllison</v>
      </c>
      <c r="B14611" s="65" t="s">
        <v>33</v>
      </c>
    </row>
    <row r="14612" spans="1:2" x14ac:dyDescent="0.25">
      <c r="A14612" s="64" t="str">
        <f>HYPERLINK("http://www.twitter.com/cacomesser", "cacomesser")</f>
        <v>cacomesser</v>
      </c>
      <c r="B14612" s="65"/>
    </row>
    <row r="14613" spans="1:2" x14ac:dyDescent="0.25">
      <c r="A14613" s="64" t="str">
        <f>HYPERLINK("http://www.twitter.com/DenbsLibs", "DenbsLibs")</f>
        <v>DenbsLibs</v>
      </c>
      <c r="B14613" s="65" t="s">
        <v>1782</v>
      </c>
    </row>
    <row r="14614" spans="1:2" x14ac:dyDescent="0.25">
      <c r="A14614" s="64" t="str">
        <f>HYPERLINK("http://www.twitter.com/WorkPlacePen1", "WorkPlacePen1")</f>
        <v>WorkPlacePen1</v>
      </c>
      <c r="B14614" s="65" t="s">
        <v>569</v>
      </c>
    </row>
    <row r="14615" spans="1:2" x14ac:dyDescent="0.25">
      <c r="A14615" s="64" t="str">
        <f>HYPERLINK("http://www.twitter.com/EastonPhyllis", "EastonPhyllis")</f>
        <v>EastonPhyllis</v>
      </c>
      <c r="B14615" s="65"/>
    </row>
    <row r="14616" spans="1:2" x14ac:dyDescent="0.25">
      <c r="A14616" s="64" t="str">
        <f>HYPERLINK("http://www.twitter.com/TarbertBookFest", "TarbertBookFest")</f>
        <v>TarbertBookFest</v>
      </c>
      <c r="B14616" s="65"/>
    </row>
    <row r="14617" spans="1:2" x14ac:dyDescent="0.25">
      <c r="A14617" s="64" t="str">
        <f>HYPERLINK("http://www.twitter.com/heraghtyj", "heraghtyj")</f>
        <v>heraghtyj</v>
      </c>
      <c r="B14617" s="65" t="s">
        <v>517</v>
      </c>
    </row>
    <row r="14618" spans="1:2" x14ac:dyDescent="0.25">
      <c r="A14618" s="64" t="str">
        <f>HYPERLINK("http://www.twitter.com/Robin_Berry1", "Robin_Berry1")</f>
        <v>Robin_Berry1</v>
      </c>
      <c r="B14618" s="65" t="s">
        <v>7722</v>
      </c>
    </row>
    <row r="14619" spans="1:2" x14ac:dyDescent="0.25">
      <c r="A14619" s="64" t="str">
        <f>HYPERLINK("http://www.twitter.com/Laurajanekemp", "Laurajanekemp")</f>
        <v>Laurajanekemp</v>
      </c>
      <c r="B14619" s="65" t="s">
        <v>8326</v>
      </c>
    </row>
    <row r="14620" spans="1:2" x14ac:dyDescent="0.25">
      <c r="A14620" s="64" t="str">
        <f>HYPERLINK("http://www.twitter.com/kreynolds22", "kreynolds22")</f>
        <v>kreynolds22</v>
      </c>
      <c r="B14620" s="65"/>
    </row>
    <row r="14621" spans="1:2" x14ac:dyDescent="0.25">
      <c r="A14621" s="64" t="str">
        <f>HYPERLINK("http://www.twitter.com/gerd_miller1", "gerd_miller1")</f>
        <v>gerd_miller1</v>
      </c>
      <c r="B14621" s="65" t="s">
        <v>8327</v>
      </c>
    </row>
    <row r="14622" spans="1:2" x14ac:dyDescent="0.25">
      <c r="A14622" s="64" t="str">
        <f>HYPERLINK("http://www.twitter.com/goodcatmum", "goodcatmum")</f>
        <v>goodcatmum</v>
      </c>
      <c r="B14622" s="65" t="s">
        <v>8328</v>
      </c>
    </row>
    <row r="14623" spans="1:2" x14ac:dyDescent="0.25">
      <c r="A14623" s="64" t="str">
        <f>HYPERLINK("http://www.twitter.com/AH13131313", "AH13131313")</f>
        <v>AH13131313</v>
      </c>
      <c r="B14623" s="65"/>
    </row>
    <row r="14624" spans="1:2" x14ac:dyDescent="0.25">
      <c r="A14624" s="64" t="str">
        <f>HYPERLINK("http://www.twitter.com/tometidier", "tometidier")</f>
        <v>tometidier</v>
      </c>
      <c r="B14624" s="65" t="s">
        <v>8329</v>
      </c>
    </row>
    <row r="14625" spans="1:2" x14ac:dyDescent="0.25">
      <c r="A14625" s="64" t="str">
        <f>HYPERLINK("http://www.twitter.com/heltranter", "heltranter")</f>
        <v>heltranter</v>
      </c>
      <c r="B14625" s="65" t="s">
        <v>4070</v>
      </c>
    </row>
    <row r="14626" spans="1:2" x14ac:dyDescent="0.25">
      <c r="A14626" s="64" t="str">
        <f>HYPERLINK("http://www.twitter.com/StampLickers", "StampLickers")</f>
        <v>StampLickers</v>
      </c>
      <c r="B14626" s="65" t="s">
        <v>8330</v>
      </c>
    </row>
    <row r="14627" spans="1:2" x14ac:dyDescent="0.25">
      <c r="A14627" s="64" t="str">
        <f>HYPERLINK("http://www.twitter.com/Porkney_Pies", "Porkney_Pies")</f>
        <v>Porkney_Pies</v>
      </c>
      <c r="B14627" s="65" t="s">
        <v>2007</v>
      </c>
    </row>
    <row r="14628" spans="1:2" x14ac:dyDescent="0.25">
      <c r="A14628" s="64" t="str">
        <f>HYPERLINK("http://www.twitter.com/nehaparashar27", "nehaparashar27")</f>
        <v>nehaparashar27</v>
      </c>
      <c r="B14628" s="65" t="s">
        <v>5658</v>
      </c>
    </row>
    <row r="14629" spans="1:2" x14ac:dyDescent="0.25">
      <c r="A14629" s="64" t="str">
        <f>HYPERLINK("http://www.twitter.com/_RachAlexander", "_RachAlexander")</f>
        <v>_RachAlexander</v>
      </c>
      <c r="B14629" s="65" t="s">
        <v>232</v>
      </c>
    </row>
    <row r="14630" spans="1:2" x14ac:dyDescent="0.25">
      <c r="A14630" s="64" t="str">
        <f>HYPERLINK("http://www.twitter.com/scaredycait", "scaredycait")</f>
        <v>scaredycait</v>
      </c>
      <c r="B14630" s="65" t="s">
        <v>6634</v>
      </c>
    </row>
    <row r="14631" spans="1:2" x14ac:dyDescent="0.25">
      <c r="A14631" s="64" t="str">
        <f>HYPERLINK("http://www.twitter.com/londonlibrary", "londonlibrary")</f>
        <v>londonlibrary</v>
      </c>
      <c r="B14631" s="65" t="s">
        <v>8331</v>
      </c>
    </row>
    <row r="14632" spans="1:2" x14ac:dyDescent="0.25">
      <c r="A14632" s="64" t="str">
        <f>HYPERLINK("http://www.twitter.com/davidjames512", "davidjames512")</f>
        <v>davidjames512</v>
      </c>
      <c r="B14632" s="65" t="s">
        <v>8332</v>
      </c>
    </row>
    <row r="14633" spans="1:2" x14ac:dyDescent="0.25">
      <c r="A14633" s="64" t="str">
        <f>HYPERLINK("http://www.twitter.com/Brackens1", "Brackens1")</f>
        <v>Brackens1</v>
      </c>
      <c r="B14633" s="65" t="s">
        <v>1482</v>
      </c>
    </row>
    <row r="14634" spans="1:2" x14ac:dyDescent="0.25">
      <c r="A14634" s="64" t="str">
        <f>HYPERLINK("http://www.twitter.com/magicmoron123", "magicmoron123")</f>
        <v>magicmoron123</v>
      </c>
      <c r="B14634" s="65" t="s">
        <v>8333</v>
      </c>
    </row>
    <row r="14635" spans="1:2" x14ac:dyDescent="0.25">
      <c r="A14635" s="64" t="str">
        <f>HYPERLINK("http://www.twitter.com/brumradio_books", "brumradio_books")</f>
        <v>brumradio_books</v>
      </c>
      <c r="B14635" s="65" t="s">
        <v>2030</v>
      </c>
    </row>
    <row r="14636" spans="1:2" x14ac:dyDescent="0.25">
      <c r="A14636" s="64" t="str">
        <f>HYPERLINK("http://www.twitter.com/matthewslesley1", "matthewslesley1")</f>
        <v>matthewslesley1</v>
      </c>
      <c r="B14636" s="65" t="s">
        <v>2007</v>
      </c>
    </row>
    <row r="14637" spans="1:2" x14ac:dyDescent="0.25">
      <c r="A14637" s="64" t="str">
        <f>HYPERLINK("http://www.twitter.com/tromanbook", "tromanbook")</f>
        <v>tromanbook</v>
      </c>
      <c r="B14637" s="65"/>
    </row>
    <row r="14638" spans="1:2" x14ac:dyDescent="0.25">
      <c r="A14638" s="64" t="str">
        <f>HYPERLINK("http://www.twitter.com/Hugh36Hugh", "Hugh36Hugh")</f>
        <v>Hugh36Hugh</v>
      </c>
      <c r="B14638" s="65"/>
    </row>
    <row r="14639" spans="1:2" x14ac:dyDescent="0.25">
      <c r="A14639" s="64" t="str">
        <f>HYPERLINK("http://www.twitter.com/gailbrdnlibrary", "gailbrdnlibrary")</f>
        <v>gailbrdnlibrary</v>
      </c>
      <c r="B14639" s="65" t="s">
        <v>8334</v>
      </c>
    </row>
    <row r="14640" spans="1:2" x14ac:dyDescent="0.25">
      <c r="A14640" s="64" t="str">
        <f>HYPERLINK("http://www.twitter.com/erinharcuss", "erinharcuss")</f>
        <v>erinharcuss</v>
      </c>
      <c r="B14640" s="65"/>
    </row>
    <row r="14641" spans="1:2" x14ac:dyDescent="0.25">
      <c r="A14641" s="64" t="str">
        <f>HYPERLINK("http://www.twitter.com/_Palimpsest", "_Palimpsest")</f>
        <v>_Palimpsest</v>
      </c>
      <c r="B14641" s="65" t="s">
        <v>2303</v>
      </c>
    </row>
    <row r="14642" spans="1:2" x14ac:dyDescent="0.25">
      <c r="A14642" s="64" t="str">
        <f>HYPERLINK("http://www.twitter.com/AuntElaines", "AuntElaines")</f>
        <v>AuntElaines</v>
      </c>
      <c r="B14642" s="65" t="s">
        <v>8335</v>
      </c>
    </row>
    <row r="14643" spans="1:2" x14ac:dyDescent="0.25">
      <c r="A14643" s="64" t="str">
        <f>HYPERLINK("http://www.twitter.com/Lindamoff5416", "Lindamoff5416")</f>
        <v>Lindamoff5416</v>
      </c>
      <c r="B14643" s="65"/>
    </row>
    <row r="14644" spans="1:2" x14ac:dyDescent="0.25">
      <c r="A14644" s="64" t="str">
        <f>HYPERLINK("http://www.twitter.com/rhenaylor", "rhenaylor")</f>
        <v>rhenaylor</v>
      </c>
      <c r="B14644" s="65" t="s">
        <v>8336</v>
      </c>
    </row>
    <row r="14645" spans="1:2" x14ac:dyDescent="0.25">
      <c r="A14645" s="64" t="str">
        <f>HYPERLINK("http://www.twitter.com/captain_type", "captain_type")</f>
        <v>captain_type</v>
      </c>
      <c r="B14645" s="65"/>
    </row>
    <row r="14646" spans="1:2" x14ac:dyDescent="0.25">
      <c r="A14646" s="64" t="str">
        <f>HYPERLINK("http://www.twitter.com/bigcomfybooks", "bigcomfybooks")</f>
        <v>bigcomfybooks</v>
      </c>
      <c r="B14646" s="65" t="s">
        <v>8337</v>
      </c>
    </row>
    <row r="14647" spans="1:2" x14ac:dyDescent="0.25">
      <c r="A14647" s="64" t="str">
        <f>HYPERLINK("http://www.twitter.com/librariansare", "librariansare")</f>
        <v>librariansare</v>
      </c>
      <c r="B14647" s="65"/>
    </row>
    <row r="14648" spans="1:2" x14ac:dyDescent="0.25">
      <c r="A14648" s="64" t="str">
        <f>HYPERLINK("http://www.twitter.com/judy_weasley", "judy_weasley")</f>
        <v>judy_weasley</v>
      </c>
      <c r="B14648" s="65" t="s">
        <v>8338</v>
      </c>
    </row>
    <row r="14649" spans="1:2" x14ac:dyDescent="0.25">
      <c r="A14649" s="64" t="str">
        <f>HYPERLINK("http://www.twitter.com/SilkeReeploeg", "SilkeReeploeg")</f>
        <v>SilkeReeploeg</v>
      </c>
      <c r="B14649" s="65" t="s">
        <v>8339</v>
      </c>
    </row>
    <row r="14650" spans="1:2" x14ac:dyDescent="0.25">
      <c r="A14650" s="64" t="str">
        <f>HYPERLINK("http://www.twitter.com/Piasava55", "Piasava55")</f>
        <v>Piasava55</v>
      </c>
      <c r="B14650" s="65"/>
    </row>
    <row r="14651" spans="1:2" x14ac:dyDescent="0.25">
      <c r="A14651" s="64" t="str">
        <f>HYPERLINK("http://www.twitter.com/kishor_abhinav", "kishor_abhinav")</f>
        <v>kishor_abhinav</v>
      </c>
      <c r="B14651" s="65"/>
    </row>
    <row r="14652" spans="1:2" x14ac:dyDescent="0.25">
      <c r="A14652" s="64" t="str">
        <f>HYPERLINK("http://www.twitter.com/RedheadOrkney", "RedheadOrkney")</f>
        <v>RedheadOrkney</v>
      </c>
      <c r="B14652" s="65"/>
    </row>
    <row r="14653" spans="1:2" x14ac:dyDescent="0.25">
      <c r="A14653" s="64" t="str">
        <f>HYPERLINK("http://www.twitter.com/OstendGudgeon", "OstendGudgeon")</f>
        <v>OstendGudgeon</v>
      </c>
      <c r="B14653" s="65"/>
    </row>
    <row r="14654" spans="1:2" x14ac:dyDescent="0.25">
      <c r="A14654" s="64" t="str">
        <f>HYPERLINK("http://www.twitter.com/watyle", "watyle")</f>
        <v>watyle</v>
      </c>
      <c r="B14654" s="65" t="s">
        <v>1490</v>
      </c>
    </row>
    <row r="14655" spans="1:2" x14ac:dyDescent="0.25">
      <c r="A14655" s="64" t="str">
        <f>HYPERLINK("http://www.twitter.com/davidjarcher", "davidjarcher")</f>
        <v>davidjarcher</v>
      </c>
      <c r="B14655" s="65" t="s">
        <v>8340</v>
      </c>
    </row>
    <row r="14656" spans="1:2" x14ac:dyDescent="0.25">
      <c r="A14656" s="64" t="str">
        <f>HYPERLINK("http://www.twitter.com/helensedgwick", "helensedgwick")</f>
        <v>helensedgwick</v>
      </c>
      <c r="B14656" s="65" t="s">
        <v>2007</v>
      </c>
    </row>
    <row r="14657" spans="1:2" x14ac:dyDescent="0.25">
      <c r="A14657" s="64" t="str">
        <f>HYPERLINK("http://www.twitter.com/MELandolfi", "MELandolfi")</f>
        <v>MELandolfi</v>
      </c>
      <c r="B14657" s="65" t="s">
        <v>4522</v>
      </c>
    </row>
    <row r="14658" spans="1:2" x14ac:dyDescent="0.25">
      <c r="A14658" s="64" t="str">
        <f>HYPERLINK("http://www.twitter.com/FlirtygirlieLou", "FlirtygirlieLou")</f>
        <v>FlirtygirlieLou</v>
      </c>
      <c r="B14658" s="65" t="s">
        <v>4716</v>
      </c>
    </row>
    <row r="14659" spans="1:2" x14ac:dyDescent="0.25">
      <c r="A14659" s="64" t="str">
        <f>HYPERLINK("http://www.twitter.com/warmwaterlover", "warmwaterlover")</f>
        <v>warmwaterlover</v>
      </c>
      <c r="B14659" s="65"/>
    </row>
    <row r="14660" spans="1:2" x14ac:dyDescent="0.25">
      <c r="A14660" s="64" t="str">
        <f>HYPERLINK("http://www.twitter.com/Giggles899", "Giggles899")</f>
        <v>Giggles899</v>
      </c>
      <c r="B14660" s="65"/>
    </row>
    <row r="14661" spans="1:2" x14ac:dyDescent="0.25">
      <c r="A14661" s="64" t="str">
        <f>HYPERLINK("http://www.twitter.com/sintaygaleska", "sintaygaleska")</f>
        <v>sintaygaleska</v>
      </c>
      <c r="B14661" s="65" t="s">
        <v>8341</v>
      </c>
    </row>
    <row r="14662" spans="1:2" x14ac:dyDescent="0.25">
      <c r="A14662" s="64" t="str">
        <f>HYPERLINK("http://www.twitter.com/davidsmith070", "davidsmith070")</f>
        <v>davidsmith070</v>
      </c>
      <c r="B14662" s="65"/>
    </row>
    <row r="14663" spans="1:2" x14ac:dyDescent="0.25">
      <c r="A14663" s="64" t="str">
        <f>HYPERLINK("http://www.twitter.com/GadgetGav", "GadgetGav")</f>
        <v>GadgetGav</v>
      </c>
      <c r="B14663" s="65"/>
    </row>
    <row r="14664" spans="1:2" x14ac:dyDescent="0.25">
      <c r="A14664" s="64" t="str">
        <f>HYPERLINK("http://www.twitter.com/gctprocessor", "gctprocessor")</f>
        <v>gctprocessor</v>
      </c>
      <c r="B14664" s="65" t="s">
        <v>8342</v>
      </c>
    </row>
    <row r="14665" spans="1:2" x14ac:dyDescent="0.25">
      <c r="A14665" s="64" t="str">
        <f>HYPERLINK("http://www.twitter.com/word_worm", "word_worm")</f>
        <v>word_worm</v>
      </c>
      <c r="B14665" s="65" t="s">
        <v>3872</v>
      </c>
    </row>
    <row r="14666" spans="1:2" x14ac:dyDescent="0.25">
      <c r="A14666" s="64" t="str">
        <f>HYPERLINK("http://www.twitter.com/MissLauraRoss", "MissLauraRoss")</f>
        <v>MissLauraRoss</v>
      </c>
      <c r="B14666" s="65"/>
    </row>
    <row r="14667" spans="1:2" x14ac:dyDescent="0.25">
      <c r="A14667" s="64" t="str">
        <f>HYPERLINK("http://www.twitter.com/BirdyOBrien", "BirdyOBrien")</f>
        <v>BirdyOBrien</v>
      </c>
      <c r="B14667" s="65" t="s">
        <v>1885</v>
      </c>
    </row>
    <row r="14668" spans="1:2" x14ac:dyDescent="0.25">
      <c r="A14668" s="64" t="str">
        <f>HYPERLINK("http://www.twitter.com/Kathryn0103", "Kathryn0103")</f>
        <v>Kathryn0103</v>
      </c>
      <c r="B14668" s="65" t="s">
        <v>8343</v>
      </c>
    </row>
    <row r="14669" spans="1:2" x14ac:dyDescent="0.25">
      <c r="A14669" s="64" t="str">
        <f>HYPERLINK("http://www.twitter.com/moirarn", "moirarn")</f>
        <v>moirarn</v>
      </c>
      <c r="B14669" s="65"/>
    </row>
    <row r="14670" spans="1:2" x14ac:dyDescent="0.25">
      <c r="A14670" s="64" t="str">
        <f>HYPERLINK("http://www.twitter.com/mattmcarthur", "mattmcarthur")</f>
        <v>mattmcarthur</v>
      </c>
      <c r="B14670" s="65" t="s">
        <v>24</v>
      </c>
    </row>
    <row r="14671" spans="1:2" x14ac:dyDescent="0.25">
      <c r="A14671" s="64" t="str">
        <f>HYPERLINK("http://www.twitter.com/Cornerskid", "Cornerskid")</f>
        <v>Cornerskid</v>
      </c>
      <c r="B14671" s="65" t="s">
        <v>8344</v>
      </c>
    </row>
    <row r="14672" spans="1:2" x14ac:dyDescent="0.25">
      <c r="A14672" s="64" t="str">
        <f>HYPERLINK("http://www.twitter.com/LesMcKeownUK", "LesMcKeownUK")</f>
        <v>LesMcKeownUK</v>
      </c>
      <c r="B14672" s="65" t="s">
        <v>8345</v>
      </c>
    </row>
    <row r="14673" spans="1:2" x14ac:dyDescent="0.25">
      <c r="A14673" s="64" t="str">
        <f>HYPERLINK("http://www.twitter.com/u003f", "u003f")</f>
        <v>u003f</v>
      </c>
      <c r="B14673" s="65"/>
    </row>
    <row r="14674" spans="1:2" x14ac:dyDescent="0.25">
      <c r="A14674" s="64" t="str">
        <f>HYPERLINK("http://www.twitter.com/IanKing29647682", "IanKing29647682")</f>
        <v>IanKing29647682</v>
      </c>
      <c r="B14674" s="65"/>
    </row>
    <row r="14675" spans="1:2" x14ac:dyDescent="0.25">
      <c r="A14675" s="64" t="str">
        <f>HYPERLINK("http://www.twitter.com/loweryhannah1", "loweryhannah1")</f>
        <v>loweryhannah1</v>
      </c>
      <c r="B14675" s="65"/>
    </row>
    <row r="14676" spans="1:2" x14ac:dyDescent="0.25">
      <c r="A14676" s="64" t="str">
        <f>HYPERLINK("http://www.twitter.com/poppycorkhill", "poppycorkhill")</f>
        <v>poppycorkhill</v>
      </c>
      <c r="B14676" s="65" t="s">
        <v>7341</v>
      </c>
    </row>
    <row r="14677" spans="1:2" x14ac:dyDescent="0.25">
      <c r="A14677" s="64" t="str">
        <f>HYPERLINK("http://www.twitter.com/theGreek82", "theGreek82")</f>
        <v>theGreek82</v>
      </c>
      <c r="B14677" s="65"/>
    </row>
    <row r="14678" spans="1:2" x14ac:dyDescent="0.25">
      <c r="A14678" s="64" t="str">
        <f>HYPERLINK("http://www.twitter.com/SanneGulden", "SanneGulden")</f>
        <v>SanneGulden</v>
      </c>
      <c r="B14678" s="65"/>
    </row>
    <row r="14679" spans="1:2" x14ac:dyDescent="0.25">
      <c r="A14679" s="64" t="str">
        <f>HYPERLINK("http://www.twitter.com/love_rosey12", "love_rosey12")</f>
        <v>love_rosey12</v>
      </c>
      <c r="B14679" s="65" t="s">
        <v>3787</v>
      </c>
    </row>
    <row r="14680" spans="1:2" x14ac:dyDescent="0.25">
      <c r="A14680" s="64" t="str">
        <f>HYPERLINK("http://www.twitter.com/maddatch", "maddatch")</f>
        <v>maddatch</v>
      </c>
      <c r="B14680" s="65" t="s">
        <v>8346</v>
      </c>
    </row>
    <row r="14681" spans="1:2" x14ac:dyDescent="0.25">
      <c r="A14681" s="64" t="str">
        <f>HYPERLINK("http://www.twitter.com/LaWilson81", "LaWilson81")</f>
        <v>LaWilson81</v>
      </c>
      <c r="B14681" s="65"/>
    </row>
    <row r="14682" spans="1:2" x14ac:dyDescent="0.25">
      <c r="A14682" s="64" t="str">
        <f>HYPERLINK("http://www.twitter.com/tabularius", "tabularius")</f>
        <v>tabularius</v>
      </c>
      <c r="B14682" s="65" t="s">
        <v>6211</v>
      </c>
    </row>
    <row r="14683" spans="1:2" x14ac:dyDescent="0.25">
      <c r="A14683" s="64" t="str">
        <f>HYPERLINK("http://www.twitter.com/cheekylilo1", "cheekylilo1")</f>
        <v>cheekylilo1</v>
      </c>
      <c r="B14683" s="65" t="s">
        <v>8347</v>
      </c>
    </row>
    <row r="14684" spans="1:2" x14ac:dyDescent="0.25">
      <c r="A14684" s="64" t="str">
        <f>HYPERLINK("http://www.twitter.com/leftunion1349", "leftunion1349")</f>
        <v>leftunion1349</v>
      </c>
      <c r="B14684" s="65" t="s">
        <v>8348</v>
      </c>
    </row>
    <row r="14685" spans="1:2" x14ac:dyDescent="0.25">
      <c r="A14685" s="64" t="str">
        <f>HYPERLINK("http://www.twitter.com/sadpandaprints", "sadpandaprints")</f>
        <v>sadpandaprints</v>
      </c>
      <c r="B14685" s="65" t="s">
        <v>2007</v>
      </c>
    </row>
    <row r="14686" spans="1:2" x14ac:dyDescent="0.25">
      <c r="A14686" s="64" t="str">
        <f>HYPERLINK("http://www.twitter.com/stewartkinnon", "stewartkinnon")</f>
        <v>stewartkinnon</v>
      </c>
      <c r="B14686" s="65" t="s">
        <v>8349</v>
      </c>
    </row>
    <row r="14687" spans="1:2" x14ac:dyDescent="0.25">
      <c r="A14687" s="64" t="str">
        <f>HYPERLINK("http://www.twitter.com/BeckieSenior", "BeckieSenior")</f>
        <v>BeckieSenior</v>
      </c>
      <c r="B14687" s="65"/>
    </row>
    <row r="14688" spans="1:2" x14ac:dyDescent="0.25">
      <c r="A14688" s="64" t="str">
        <f>HYPERLINK("http://www.twitter.com/SarahDotHoney", "SarahDotHoney")</f>
        <v>SarahDotHoney</v>
      </c>
      <c r="B14688" s="65"/>
    </row>
    <row r="14689" spans="1:2" x14ac:dyDescent="0.25">
      <c r="A14689" s="64" t="str">
        <f>HYPERLINK("http://www.twitter.com/silentgav", "silentgav")</f>
        <v>silentgav</v>
      </c>
      <c r="B14689" s="65" t="s">
        <v>318</v>
      </c>
    </row>
    <row r="14690" spans="1:2" x14ac:dyDescent="0.25">
      <c r="A14690" s="64" t="str">
        <f>HYPERLINK("http://www.twitter.com/mariemillward", "mariemillward")</f>
        <v>mariemillward</v>
      </c>
      <c r="B14690" s="65" t="s">
        <v>2774</v>
      </c>
    </row>
    <row r="14691" spans="1:2" x14ac:dyDescent="0.25">
      <c r="A14691" s="64" t="str">
        <f>HYPERLINK("http://www.twitter.com/anna_c_smart", "anna_c_smart")</f>
        <v>anna_c_smart</v>
      </c>
      <c r="B14691" s="65" t="s">
        <v>6805</v>
      </c>
    </row>
    <row r="14692" spans="1:2" x14ac:dyDescent="0.25">
      <c r="A14692" s="64" t="str">
        <f>HYPERLINK("http://www.twitter.com/seeler_tod", "seeler_tod")</f>
        <v>seeler_tod</v>
      </c>
      <c r="B14692" s="65" t="s">
        <v>138</v>
      </c>
    </row>
    <row r="14693" spans="1:2" x14ac:dyDescent="0.25">
      <c r="A14693" s="64" t="str">
        <f>HYPERLINK("http://www.twitter.com/EdHeery", "EdHeery")</f>
        <v>EdHeery</v>
      </c>
      <c r="B14693" s="65" t="s">
        <v>1213</v>
      </c>
    </row>
    <row r="14694" spans="1:2" x14ac:dyDescent="0.25">
      <c r="A14694" s="64" t="str">
        <f>HYPERLINK("http://www.twitter.com/doctorbala", "doctorbala")</f>
        <v>doctorbala</v>
      </c>
      <c r="B14694" s="65" t="s">
        <v>487</v>
      </c>
    </row>
    <row r="14695" spans="1:2" x14ac:dyDescent="0.25">
      <c r="A14695" s="64" t="str">
        <f>HYPERLINK("http://www.twitter.com/TheFizzCMJB", "TheFizzCMJB")</f>
        <v>TheFizzCMJB</v>
      </c>
      <c r="B14695" s="65" t="s">
        <v>70</v>
      </c>
    </row>
    <row r="14696" spans="1:2" x14ac:dyDescent="0.25">
      <c r="A14696" s="64" t="str">
        <f>HYPERLINK("http://www.twitter.com/Jennyalwaysrite", "Jennyalwaysrite")</f>
        <v>Jennyalwaysrite</v>
      </c>
      <c r="B14696" s="65" t="s">
        <v>8350</v>
      </c>
    </row>
    <row r="14697" spans="1:2" x14ac:dyDescent="0.25">
      <c r="A14697" s="64" t="str">
        <f>HYPERLINK("http://www.twitter.com/LaurenJWelch", "LaurenJWelch")</f>
        <v>LaurenJWelch</v>
      </c>
      <c r="B14697" s="65"/>
    </row>
    <row r="14698" spans="1:2" x14ac:dyDescent="0.25">
      <c r="A14698" s="64" t="str">
        <f>HYPERLINK("http://www.twitter.com/defnecizakca", "defnecizakca")</f>
        <v>defnecizakca</v>
      </c>
      <c r="B14698" s="65" t="s">
        <v>8351</v>
      </c>
    </row>
    <row r="14699" spans="1:2" x14ac:dyDescent="0.25">
      <c r="A14699" s="64" t="str">
        <f>HYPERLINK("http://www.twitter.com/YarmouthLib", "YarmouthLib")</f>
        <v>YarmouthLib</v>
      </c>
      <c r="B14699" s="65" t="s">
        <v>1562</v>
      </c>
    </row>
    <row r="14700" spans="1:2" x14ac:dyDescent="0.25">
      <c r="A14700" s="64" t="str">
        <f>HYPERLINK("http://www.twitter.com/sandragogglebox", "sandragogglebox")</f>
        <v>sandragogglebox</v>
      </c>
      <c r="B14700" s="65" t="s">
        <v>4338</v>
      </c>
    </row>
    <row r="14701" spans="1:2" x14ac:dyDescent="0.25">
      <c r="A14701" s="64" t="str">
        <f>HYPERLINK("http://www.twitter.com/CEGE_UCL", "CEGE_UCL")</f>
        <v>CEGE_UCL</v>
      </c>
      <c r="B14701" s="65" t="s">
        <v>8352</v>
      </c>
    </row>
    <row r="14702" spans="1:2" x14ac:dyDescent="0.25">
      <c r="A14702" s="64" t="str">
        <f>HYPERLINK("http://www.twitter.com/Ernaaaa", "Ernaaaa")</f>
        <v>Ernaaaa</v>
      </c>
      <c r="B14702" s="65" t="s">
        <v>6728</v>
      </c>
    </row>
    <row r="14703" spans="1:2" x14ac:dyDescent="0.25">
      <c r="A14703" s="64" t="str">
        <f>HYPERLINK("http://www.twitter.com/ShetlandCreate", "ShetlandCreate")</f>
        <v>ShetlandCreate</v>
      </c>
      <c r="B14703" s="65" t="s">
        <v>6208</v>
      </c>
    </row>
    <row r="14704" spans="1:2" x14ac:dyDescent="0.25">
      <c r="A14704" s="64" t="str">
        <f>HYPERLINK("http://www.twitter.com/HelGriffiths", "HelGriffiths")</f>
        <v>HelGriffiths</v>
      </c>
      <c r="B14704" s="65" t="s">
        <v>8353</v>
      </c>
    </row>
    <row r="14705" spans="1:2" x14ac:dyDescent="0.25">
      <c r="A14705" s="64" t="str">
        <f>HYPERLINK("http://www.twitter.com/_MrsHickman", "_MrsHickman")</f>
        <v>_MrsHickman</v>
      </c>
      <c r="B14705" s="65" t="s">
        <v>4001</v>
      </c>
    </row>
    <row r="14706" spans="1:2" x14ac:dyDescent="0.25">
      <c r="A14706" s="64" t="str">
        <f>HYPERLINK("http://www.twitter.com/LordAragorn199", "LordAragorn199")</f>
        <v>LordAragorn199</v>
      </c>
      <c r="B14706" s="65"/>
    </row>
    <row r="14707" spans="1:2" x14ac:dyDescent="0.25">
      <c r="A14707" s="64" t="str">
        <f>HYPERLINK("http://www.twitter.com/hari962", "hari962")</f>
        <v>hari962</v>
      </c>
      <c r="B14707" s="65" t="s">
        <v>70</v>
      </c>
    </row>
    <row r="14708" spans="1:2" x14ac:dyDescent="0.25">
      <c r="A14708" s="64" t="str">
        <f>HYPERLINK("http://www.twitter.com/historicshops", "historicshops")</f>
        <v>historicshops</v>
      </c>
      <c r="B14708" s="65" t="s">
        <v>5933</v>
      </c>
    </row>
    <row r="14709" spans="1:2" x14ac:dyDescent="0.25">
      <c r="A14709" s="64" t="str">
        <f>HYPERLINK("http://www.twitter.com/Brownlee_Donald", "Brownlee_Donald")</f>
        <v>Brownlee_Donald</v>
      </c>
      <c r="B14709" s="65"/>
    </row>
    <row r="14710" spans="1:2" x14ac:dyDescent="0.25">
      <c r="A14710" s="64" t="str">
        <f>HYPERLINK("http://www.twitter.com/sadej5", "sadej5")</f>
        <v>sadej5</v>
      </c>
      <c r="B14710" s="65" t="s">
        <v>877</v>
      </c>
    </row>
    <row r="14711" spans="1:2" x14ac:dyDescent="0.25">
      <c r="A14711" s="64" t="str">
        <f>HYPERLINK("http://www.twitter.com/staceymac29", "staceymac29")</f>
        <v>staceymac29</v>
      </c>
      <c r="B14711" s="65"/>
    </row>
    <row r="14712" spans="1:2" x14ac:dyDescent="0.25">
      <c r="A14712" s="64" t="str">
        <f>HYPERLINK("http://www.twitter.com/harriscountypl", "harriscountypl")</f>
        <v>harriscountypl</v>
      </c>
      <c r="B14712" s="65" t="s">
        <v>3798</v>
      </c>
    </row>
    <row r="14713" spans="1:2" x14ac:dyDescent="0.25">
      <c r="A14713" s="64" t="str">
        <f>HYPERLINK("http://www.twitter.com/JC_Delmas", "JC_Delmas")</f>
        <v>JC_Delmas</v>
      </c>
      <c r="B14713" s="65"/>
    </row>
    <row r="14714" spans="1:2" x14ac:dyDescent="0.25">
      <c r="A14714" s="64" t="str">
        <f>HYPERLINK("http://www.twitter.com/BrianSpanner1", "BrianSpanner1")</f>
        <v>BrianSpanner1</v>
      </c>
      <c r="B14714" s="65"/>
    </row>
    <row r="14715" spans="1:2" x14ac:dyDescent="0.25">
      <c r="A14715" s="64" t="str">
        <f>HYPERLINK("http://www.twitter.com/QueryNLibrarian", "QueryNLibrarian")</f>
        <v>QueryNLibrarian</v>
      </c>
      <c r="B14715" s="65" t="s">
        <v>3770</v>
      </c>
    </row>
    <row r="14716" spans="1:2" x14ac:dyDescent="0.25">
      <c r="A14716" s="64" t="str">
        <f>HYPERLINK("http://www.twitter.com/brixtonlibrary", "brixtonlibrary")</f>
        <v>brixtonlibrary</v>
      </c>
      <c r="B14716" s="65" t="s">
        <v>327</v>
      </c>
    </row>
    <row r="14717" spans="1:2" x14ac:dyDescent="0.25">
      <c r="A14717" s="64" t="str">
        <f>HYPERLINK("http://www.twitter.com/LancsHospLib", "LancsHospLib")</f>
        <v>LancsHospLib</v>
      </c>
      <c r="B14717" s="65" t="s">
        <v>1710</v>
      </c>
    </row>
    <row r="14718" spans="1:2" x14ac:dyDescent="0.25">
      <c r="A14718" s="64" t="str">
        <f>HYPERLINK("http://www.twitter.com/LivingxStories", "LivingxStories")</f>
        <v>LivingxStories</v>
      </c>
      <c r="B14718" s="65"/>
    </row>
    <row r="14719" spans="1:2" x14ac:dyDescent="0.25">
      <c r="A14719" s="64" t="str">
        <f>HYPERLINK("http://www.twitter.com/Scottishgirl67", "Scottishgirl67")</f>
        <v>Scottishgirl67</v>
      </c>
      <c r="B14719" s="65" t="s">
        <v>6728</v>
      </c>
    </row>
    <row r="14720" spans="1:2" x14ac:dyDescent="0.25">
      <c r="A14720" s="64" t="str">
        <f>HYPERLINK("http://www.twitter.com/suzymckeon", "suzymckeon")</f>
        <v>suzymckeon</v>
      </c>
      <c r="B14720" s="65"/>
    </row>
    <row r="14721" spans="1:2" x14ac:dyDescent="0.25">
      <c r="A14721" s="64" t="str">
        <f>HYPERLINK("http://www.twitter.com/WhatTheFricker", "WhatTheFricker")</f>
        <v>WhatTheFricker</v>
      </c>
      <c r="B14721" s="65" t="s">
        <v>477</v>
      </c>
    </row>
    <row r="14722" spans="1:2" x14ac:dyDescent="0.25">
      <c r="A14722" s="64" t="str">
        <f>HYPERLINK("http://www.twitter.com/JenLovesReading", "JenLovesReading")</f>
        <v>JenLovesReading</v>
      </c>
      <c r="B14722" s="65" t="s">
        <v>8354</v>
      </c>
    </row>
    <row r="14723" spans="1:2" x14ac:dyDescent="0.25">
      <c r="A14723" s="64" t="str">
        <f>HYPERLINK("http://www.twitter.com/vatislovromanov", "vatislovromanov")</f>
        <v>vatislovromanov</v>
      </c>
      <c r="B14723" s="65" t="s">
        <v>2007</v>
      </c>
    </row>
    <row r="14724" spans="1:2" x14ac:dyDescent="0.25">
      <c r="A14724" s="64" t="str">
        <f>HYPERLINK("http://www.twitter.com/LibertyNCLib", "LibertyNCLib")</f>
        <v>LibertyNCLib</v>
      </c>
      <c r="B14724" s="65" t="s">
        <v>3871</v>
      </c>
    </row>
    <row r="14725" spans="1:2" x14ac:dyDescent="0.25">
      <c r="A14725" s="64" t="str">
        <f>HYPERLINK("http://www.twitter.com/BlackWolfEdit", "BlackWolfEdit")</f>
        <v>BlackWolfEdit</v>
      </c>
      <c r="B14725" s="65" t="s">
        <v>2007</v>
      </c>
    </row>
    <row r="14726" spans="1:2" x14ac:dyDescent="0.25">
      <c r="A14726" s="64" t="str">
        <f>HYPERLINK("http://www.twitter.com/RFalcon_", "RFalcon_")</f>
        <v>RFalcon_</v>
      </c>
      <c r="B14726" s="65" t="s">
        <v>8355</v>
      </c>
    </row>
    <row r="14727" spans="1:2" x14ac:dyDescent="0.25">
      <c r="A14727" s="64" t="str">
        <f>HYPERLINK("http://www.twitter.com/AmandaDuncan12", "AmandaDuncan12")</f>
        <v>AmandaDuncan12</v>
      </c>
      <c r="B14727" s="65" t="s">
        <v>8356</v>
      </c>
    </row>
    <row r="14728" spans="1:2" x14ac:dyDescent="0.25">
      <c r="A14728" s="64" t="str">
        <f>HYPERLINK("http://www.twitter.com/anndeebee", "anndeebee")</f>
        <v>anndeebee</v>
      </c>
      <c r="B14728" s="65" t="s">
        <v>4327</v>
      </c>
    </row>
    <row r="14729" spans="1:2" x14ac:dyDescent="0.25">
      <c r="A14729" s="64" t="str">
        <f>HYPERLINK("http://www.twitter.com/BB_Taylor_", "BB_Taylor_")</f>
        <v>BB_Taylor_</v>
      </c>
      <c r="B14729" s="65" t="s">
        <v>926</v>
      </c>
    </row>
    <row r="14730" spans="1:2" x14ac:dyDescent="0.25">
      <c r="A14730" s="64" t="str">
        <f>HYPERLINK("http://www.twitter.com/LadyM_McManus", "LadyM_McManus")</f>
        <v>LadyM_McManus</v>
      </c>
      <c r="B14730" s="65" t="s">
        <v>138</v>
      </c>
    </row>
    <row r="14731" spans="1:2" x14ac:dyDescent="0.25">
      <c r="A14731" s="64" t="str">
        <f>HYPERLINK("http://www.twitter.com/barbarrett", "barbarrett")</f>
        <v>barbarrett</v>
      </c>
      <c r="B14731" s="65" t="s">
        <v>2213</v>
      </c>
    </row>
    <row r="14732" spans="1:2" x14ac:dyDescent="0.25">
      <c r="A14732" s="64" t="str">
        <f>HYPERLINK("http://www.twitter.com/johnnyboy7169", "johnnyboy7169")</f>
        <v>johnnyboy7169</v>
      </c>
      <c r="B14732" s="65" t="s">
        <v>8357</v>
      </c>
    </row>
    <row r="14733" spans="1:2" x14ac:dyDescent="0.25">
      <c r="A14733" s="64" t="str">
        <f>HYPERLINK("http://www.twitter.com/fofigc", "fofigc")</f>
        <v>fofigc</v>
      </c>
      <c r="B14733" s="65" t="s">
        <v>8358</v>
      </c>
    </row>
    <row r="14734" spans="1:2" x14ac:dyDescent="0.25">
      <c r="A14734" s="64" t="str">
        <f>HYPERLINK("http://www.twitter.com/CaledoniaPlay", "CaledoniaPlay")</f>
        <v>CaledoniaPlay</v>
      </c>
      <c r="B14734" s="65" t="s">
        <v>517</v>
      </c>
    </row>
    <row r="14735" spans="1:2" x14ac:dyDescent="0.25">
      <c r="A14735" s="64" t="str">
        <f>HYPERLINK("http://www.twitter.com/Ratvaark", "Ratvaark")</f>
        <v>Ratvaark</v>
      </c>
      <c r="B14735" s="65" t="s">
        <v>8359</v>
      </c>
    </row>
    <row r="14736" spans="1:2" x14ac:dyDescent="0.25">
      <c r="A14736" s="64" t="str">
        <f>HYPERLINK("http://www.twitter.com/VintagePaperCo", "VintagePaperCo")</f>
        <v>VintagePaperCo</v>
      </c>
      <c r="B14736" s="65" t="s">
        <v>8360</v>
      </c>
    </row>
    <row r="14737" spans="1:2" x14ac:dyDescent="0.25">
      <c r="A14737" s="64" t="str">
        <f>HYPERLINK("http://www.twitter.com/Ibanezpmarina", "Ibanezpmarina")</f>
        <v>Ibanezpmarina</v>
      </c>
      <c r="B14737" s="65" t="s">
        <v>8361</v>
      </c>
    </row>
    <row r="14738" spans="1:2" x14ac:dyDescent="0.25">
      <c r="A14738" s="64" t="str">
        <f>HYPERLINK("http://www.twitter.com/StaciaSeaman", "StaciaSeaman")</f>
        <v>StaciaSeaman</v>
      </c>
      <c r="B14738" s="65" t="s">
        <v>7574</v>
      </c>
    </row>
    <row r="14739" spans="1:2" x14ac:dyDescent="0.25">
      <c r="A14739" s="64" t="str">
        <f>HYPERLINK("http://www.twitter.com/SaranLibrarian", "SaranLibrarian")</f>
        <v>SaranLibrarian</v>
      </c>
      <c r="B14739" s="65"/>
    </row>
    <row r="14740" spans="1:2" x14ac:dyDescent="0.25">
      <c r="A14740" s="64" t="str">
        <f>HYPERLINK("http://www.twitter.com/madjam1979", "madjam1979")</f>
        <v>madjam1979</v>
      </c>
      <c r="B14740" s="65" t="s">
        <v>4167</v>
      </c>
    </row>
    <row r="14741" spans="1:2" x14ac:dyDescent="0.25">
      <c r="A14741" s="64" t="str">
        <f>HYPERLINK("http://www.twitter.com/kathleenrobb45", "kathleenrobb45")</f>
        <v>kathleenrobb45</v>
      </c>
      <c r="B14741" s="65"/>
    </row>
    <row r="14742" spans="1:2" x14ac:dyDescent="0.25">
      <c r="A14742" s="64" t="str">
        <f>HYPERLINK("http://www.twitter.com/Tweet_Russ", "Tweet_Russ")</f>
        <v>Tweet_Russ</v>
      </c>
      <c r="B14742" s="65" t="s">
        <v>7746</v>
      </c>
    </row>
    <row r="14743" spans="1:2" x14ac:dyDescent="0.25">
      <c r="A14743" s="64" t="str">
        <f>HYPERLINK("http://www.twitter.com/kimwilde", "kimwilde")</f>
        <v>kimwilde</v>
      </c>
      <c r="B14743" s="65" t="s">
        <v>8362</v>
      </c>
    </row>
    <row r="14744" spans="1:2" x14ac:dyDescent="0.25">
      <c r="A14744" s="64" t="str">
        <f>HYPERLINK("http://www.twitter.com/frankstonlib", "frankstonlib")</f>
        <v>frankstonlib</v>
      </c>
      <c r="B14744" s="65" t="s">
        <v>6976</v>
      </c>
    </row>
    <row r="14745" spans="1:2" x14ac:dyDescent="0.25">
      <c r="A14745" s="64" t="str">
        <f>HYPERLINK("http://www.twitter.com/MarionMurray20", "MarionMurray20")</f>
        <v>MarionMurray20</v>
      </c>
      <c r="B14745" s="65" t="s">
        <v>2007</v>
      </c>
    </row>
    <row r="14746" spans="1:2" x14ac:dyDescent="0.25">
      <c r="A14746" s="64" t="str">
        <f>HYPERLINK("http://www.twitter.com/CatrionaLMac", "CatrionaLMac")</f>
        <v>CatrionaLMac</v>
      </c>
      <c r="B14746" s="65"/>
    </row>
    <row r="14747" spans="1:2" x14ac:dyDescent="0.25">
      <c r="A14747" s="64" t="str">
        <f>HYPERLINK("http://www.twitter.com/emmalforster", "emmalforster")</f>
        <v>emmalforster</v>
      </c>
      <c r="B14747" s="65"/>
    </row>
    <row r="14748" spans="1:2" x14ac:dyDescent="0.25">
      <c r="A14748" s="64" t="str">
        <f>HYPERLINK("http://www.twitter.com/CarnegieUKTrust", "CarnegieUKTrust")</f>
        <v>CarnegieUKTrust</v>
      </c>
      <c r="B14748" s="65" t="s">
        <v>296</v>
      </c>
    </row>
    <row r="14749" spans="1:2" x14ac:dyDescent="0.25">
      <c r="A14749" s="64" t="str">
        <f>HYPERLINK("http://www.twitter.com/neko_no_chikan", "neko_no_chikan")</f>
        <v>neko_no_chikan</v>
      </c>
      <c r="B14749" s="65" t="s">
        <v>3798</v>
      </c>
    </row>
    <row r="14750" spans="1:2" x14ac:dyDescent="0.25">
      <c r="A14750" s="64" t="str">
        <f>HYPERLINK("http://www.twitter.com/RDWFalkirk", "RDWFalkirk")</f>
        <v>RDWFalkirk</v>
      </c>
      <c r="B14750" s="65" t="s">
        <v>2303</v>
      </c>
    </row>
    <row r="14751" spans="1:2" x14ac:dyDescent="0.25">
      <c r="A14751" s="64" t="str">
        <f>HYPERLINK("http://www.twitter.com/newbreckan", "newbreckan")</f>
        <v>newbreckan</v>
      </c>
      <c r="B14751" s="65" t="s">
        <v>8193</v>
      </c>
    </row>
    <row r="14752" spans="1:2" x14ac:dyDescent="0.25">
      <c r="A14752" s="64" t="str">
        <f>HYPERLINK("http://www.twitter.com/AllorNothingADT", "AllorNothingADT")</f>
        <v>AllorNothingADT</v>
      </c>
      <c r="B14752" s="65" t="s">
        <v>487</v>
      </c>
    </row>
    <row r="14753" spans="1:2" x14ac:dyDescent="0.25">
      <c r="A14753" s="64" t="str">
        <f>HYPERLINK("http://www.twitter.com/baz1978", "baz1978")</f>
        <v>baz1978</v>
      </c>
      <c r="B14753" s="65"/>
    </row>
    <row r="14754" spans="1:2" x14ac:dyDescent="0.25">
      <c r="A14754" s="64" t="str">
        <f>HYPERLINK("http://www.twitter.com/derek2sheds", "derek2sheds")</f>
        <v>derek2sheds</v>
      </c>
      <c r="B14754" s="65" t="s">
        <v>138</v>
      </c>
    </row>
    <row r="14755" spans="1:2" x14ac:dyDescent="0.25">
      <c r="A14755" s="64" t="str">
        <f>HYPERLINK("http://www.twitter.com/lojowilso", "lojowilso")</f>
        <v>lojowilso</v>
      </c>
      <c r="B14755" s="65" t="s">
        <v>24</v>
      </c>
    </row>
    <row r="14756" spans="1:2" x14ac:dyDescent="0.25">
      <c r="A14756" s="64" t="str">
        <f>HYPERLINK("http://www.twitter.com/Eirene_Fito", "Eirene_Fito")</f>
        <v>Eirene_Fito</v>
      </c>
      <c r="B14756" s="65"/>
    </row>
    <row r="14757" spans="1:2" x14ac:dyDescent="0.25">
      <c r="A14757" s="64" t="str">
        <f>HYPERLINK("http://www.twitter.com/RaymondBesant", "RaymondBesant")</f>
        <v>RaymondBesant</v>
      </c>
      <c r="B14757" s="65" t="s">
        <v>5412</v>
      </c>
    </row>
    <row r="14758" spans="1:2" x14ac:dyDescent="0.25">
      <c r="A14758" s="64" t="str">
        <f>HYPERLINK("http://www.twitter.com/marylaw1234", "marylaw1234")</f>
        <v>marylaw1234</v>
      </c>
      <c r="B14758" s="65"/>
    </row>
    <row r="14759" spans="1:2" x14ac:dyDescent="0.25">
      <c r="A14759" s="64" t="str">
        <f>HYPERLINK("http://www.twitter.com/REpsinoza", "REpsinoza")</f>
        <v>REpsinoza</v>
      </c>
      <c r="B14759" s="65"/>
    </row>
    <row r="14760" spans="1:2" x14ac:dyDescent="0.25">
      <c r="A14760" s="64" t="str">
        <f>HYPERLINK("http://www.twitter.com/ygoloxelfer", "ygoloxelfer")</f>
        <v>ygoloxelfer</v>
      </c>
      <c r="B14760" s="65"/>
    </row>
    <row r="14761" spans="1:2" x14ac:dyDescent="0.25">
      <c r="A14761" s="64" t="str">
        <f>HYPERLINK("http://www.twitter.com/TanyaOdie", "TanyaOdie")</f>
        <v>TanyaOdie</v>
      </c>
      <c r="B14761" s="65"/>
    </row>
    <row r="14762" spans="1:2" x14ac:dyDescent="0.25">
      <c r="A14762" s="64" t="str">
        <f>HYPERLINK("http://www.twitter.com/micheal_rosen", "micheal_rosen")</f>
        <v>micheal_rosen</v>
      </c>
      <c r="B14762" s="65" t="s">
        <v>8363</v>
      </c>
    </row>
    <row r="14763" spans="1:2" x14ac:dyDescent="0.25">
      <c r="A14763" s="64" t="str">
        <f>HYPERLINK("http://www.twitter.com/MsFilmLibrarian", "MsFilmLibrarian")</f>
        <v>MsFilmLibrarian</v>
      </c>
      <c r="B14763" s="65" t="s">
        <v>3778</v>
      </c>
    </row>
    <row r="14764" spans="1:2" x14ac:dyDescent="0.25">
      <c r="A14764" s="64" t="str">
        <f>HYPERLINK("http://www.twitter.com/gprajs", "gprajs")</f>
        <v>gprajs</v>
      </c>
      <c r="B14764" s="65" t="s">
        <v>8364</v>
      </c>
    </row>
    <row r="14765" spans="1:2" x14ac:dyDescent="0.25">
      <c r="A14765" s="64" t="str">
        <f>HYPERLINK("http://www.twitter.com/ClaudioSvaluto", "ClaudioSvaluto")</f>
        <v>ClaudioSvaluto</v>
      </c>
      <c r="B14765" s="65" t="s">
        <v>2850</v>
      </c>
    </row>
    <row r="14766" spans="1:2" x14ac:dyDescent="0.25">
      <c r="A14766" s="64" t="str">
        <f>HYPERLINK("http://www.twitter.com/NewbattleLib", "NewbattleLib")</f>
        <v>NewbattleLib</v>
      </c>
      <c r="B14766" s="65" t="s">
        <v>2410</v>
      </c>
    </row>
    <row r="14767" spans="1:2" x14ac:dyDescent="0.25">
      <c r="A14767" s="64" t="str">
        <f>HYPERLINK("http://www.twitter.com/GLRoderick", "GLRoderick")</f>
        <v>GLRoderick</v>
      </c>
      <c r="B14767" s="65" t="s">
        <v>5727</v>
      </c>
    </row>
    <row r="14768" spans="1:2" x14ac:dyDescent="0.25">
      <c r="A14768" s="64" t="str">
        <f>HYPERLINK("http://www.twitter.com/GryphonLRC", "GryphonLRC")</f>
        <v>GryphonLRC</v>
      </c>
      <c r="B14768" s="65" t="s">
        <v>2080</v>
      </c>
    </row>
    <row r="14769" spans="1:2" x14ac:dyDescent="0.25">
      <c r="A14769" s="64" t="str">
        <f>HYPERLINK("http://www.twitter.com/MinisterChance", "MinisterChance")</f>
        <v>MinisterChance</v>
      </c>
      <c r="B14769" s="65" t="s">
        <v>8365</v>
      </c>
    </row>
    <row r="14770" spans="1:2" x14ac:dyDescent="0.25">
      <c r="A14770" s="64" t="str">
        <f>HYPERLINK("http://www.twitter.com/SandRussellArt", "SandRussellArt")</f>
        <v>SandRussellArt</v>
      </c>
      <c r="B14770" s="65" t="s">
        <v>1377</v>
      </c>
    </row>
    <row r="14771" spans="1:2" x14ac:dyDescent="0.25">
      <c r="A14771" s="64" t="str">
        <f>HYPERLINK("http://www.twitter.com/Maslotel", "Maslotel")</f>
        <v>Maslotel</v>
      </c>
      <c r="B14771" s="65" t="s">
        <v>6107</v>
      </c>
    </row>
    <row r="14772" spans="1:2" x14ac:dyDescent="0.25">
      <c r="A14772" s="64" t="str">
        <f>HYPERLINK("http://www.twitter.com/frutpastel", "frutpastel")</f>
        <v>frutpastel</v>
      </c>
      <c r="B14772" s="65"/>
    </row>
    <row r="14773" spans="1:2" x14ac:dyDescent="0.25">
      <c r="A14773" s="64" t="str">
        <f>HYPERLINK("http://www.twitter.com/maudward", "maudward")</f>
        <v>maudward</v>
      </c>
      <c r="B14773" s="65"/>
    </row>
    <row r="14774" spans="1:2" x14ac:dyDescent="0.25">
      <c r="A14774" s="64" t="str">
        <f>HYPERLINK("http://www.twitter.com/SShawdon", "SShawdon")</f>
        <v>SShawdon</v>
      </c>
      <c r="B14774" s="65"/>
    </row>
    <row r="14775" spans="1:2" x14ac:dyDescent="0.25">
      <c r="A14775" s="64" t="str">
        <f>HYPERLINK("http://www.twitter.com/haykirstin", "haykirstin")</f>
        <v>haykirstin</v>
      </c>
      <c r="B14775" s="65" t="s">
        <v>517</v>
      </c>
    </row>
    <row r="14776" spans="1:2" x14ac:dyDescent="0.25">
      <c r="A14776" s="64" t="str">
        <f>HYPERLINK("http://www.twitter.com/FantasticaZink", "FantasticaZink")</f>
        <v>FantasticaZink</v>
      </c>
      <c r="B14776" s="65" t="s">
        <v>8366</v>
      </c>
    </row>
    <row r="14777" spans="1:2" x14ac:dyDescent="0.25">
      <c r="A14777" s="64" t="str">
        <f>HYPERLINK("http://www.twitter.com/Linnifer676", "Linnifer676")</f>
        <v>Linnifer676</v>
      </c>
      <c r="B14777" s="65" t="s">
        <v>4519</v>
      </c>
    </row>
    <row r="14778" spans="1:2" x14ac:dyDescent="0.25">
      <c r="A14778" s="64" t="str">
        <f>HYPERLINK("http://www.twitter.com/orchardbooks", "orchardbooks")</f>
        <v>orchardbooks</v>
      </c>
      <c r="B14778" s="65" t="s">
        <v>70</v>
      </c>
    </row>
    <row r="14779" spans="1:2" x14ac:dyDescent="0.25">
      <c r="A14779" s="64" t="str">
        <f>HYPERLINK("http://www.twitter.com/arsenalpeteglw", "arsenalpeteglw")</f>
        <v>arsenalpeteglw</v>
      </c>
      <c r="B14779" s="65" t="s">
        <v>8367</v>
      </c>
    </row>
    <row r="14780" spans="1:2" x14ac:dyDescent="0.25">
      <c r="A14780" s="64" t="str">
        <f>HYPERLINK("http://www.twitter.com/Jgs_x", "Jgs_x")</f>
        <v>Jgs_x</v>
      </c>
      <c r="B14780" s="65"/>
    </row>
    <row r="14781" spans="1:2" x14ac:dyDescent="0.25">
      <c r="A14781" s="64" t="str">
        <f>HYPERLINK("http://www.twitter.com/ZaraWestAuthor", "ZaraWestAuthor")</f>
        <v>ZaraWestAuthor</v>
      </c>
      <c r="B14781" s="65" t="s">
        <v>4867</v>
      </c>
    </row>
    <row r="14782" spans="1:2" x14ac:dyDescent="0.25">
      <c r="A14782" s="64" t="str">
        <f>HYPERLINK("http://www.twitter.com/RGS17", "RGS17")</f>
        <v>RGS17</v>
      </c>
      <c r="B14782" s="65" t="s">
        <v>115</v>
      </c>
    </row>
    <row r="14783" spans="1:2" x14ac:dyDescent="0.25">
      <c r="A14783" s="64" t="str">
        <f>HYPERLINK("http://www.twitter.com/shespian", "shespian")</f>
        <v>shespian</v>
      </c>
      <c r="B14783" s="65" t="s">
        <v>8368</v>
      </c>
    </row>
    <row r="14784" spans="1:2" x14ac:dyDescent="0.25">
      <c r="A14784" s="64" t="str">
        <f>HYPERLINK("http://www.twitter.com/rosdu_", "rosdu_")</f>
        <v>rosdu_</v>
      </c>
      <c r="B14784" s="65" t="s">
        <v>2007</v>
      </c>
    </row>
    <row r="14785" spans="1:2" x14ac:dyDescent="0.25">
      <c r="A14785" s="64" t="str">
        <f>HYPERLINK("http://www.twitter.com/_Emerson_Rose_", "_Emerson_Rose_")</f>
        <v>_Emerson_Rose_</v>
      </c>
      <c r="B14785" s="65" t="s">
        <v>3872</v>
      </c>
    </row>
    <row r="14786" spans="1:2" x14ac:dyDescent="0.25">
      <c r="A14786" s="64" t="str">
        <f>HYPERLINK("http://www.twitter.com/abergavennyhub", "abergavennyhub")</f>
        <v>abergavennyhub</v>
      </c>
      <c r="B14786" s="65" t="s">
        <v>439</v>
      </c>
    </row>
    <row r="14787" spans="1:2" x14ac:dyDescent="0.25">
      <c r="A14787" s="64" t="str">
        <f>HYPERLINK("http://www.twitter.com/mspaulsonellis", "mspaulsonellis")</f>
        <v>mspaulsonellis</v>
      </c>
      <c r="B14787" s="65" t="s">
        <v>487</v>
      </c>
    </row>
    <row r="14788" spans="1:2" x14ac:dyDescent="0.25">
      <c r="A14788" s="64" t="str">
        <f>HYPERLINK("http://www.twitter.com/poncarova", "poncarova")</f>
        <v>poncarova</v>
      </c>
      <c r="B14788" s="65" t="s">
        <v>4644</v>
      </c>
    </row>
    <row r="14789" spans="1:2" x14ac:dyDescent="0.25">
      <c r="A14789" s="64" t="str">
        <f>HYPERLINK("http://www.twitter.com/spirochete", "spirochete")</f>
        <v>spirochete</v>
      </c>
      <c r="B14789" s="65"/>
    </row>
    <row r="14790" spans="1:2" x14ac:dyDescent="0.25">
      <c r="A14790" s="64" t="str">
        <f>HYPERLINK("http://www.twitter.com/AmyCantley", "AmyCantley")</f>
        <v>AmyCantley</v>
      </c>
      <c r="B14790" s="65" t="s">
        <v>8369</v>
      </c>
    </row>
    <row r="14791" spans="1:2" x14ac:dyDescent="0.25">
      <c r="A14791" s="64" t="str">
        <f>HYPERLINK("http://www.twitter.com/abookishquinn", "abookishquinn")</f>
        <v>abookishquinn</v>
      </c>
      <c r="B14791" s="65" t="s">
        <v>4476</v>
      </c>
    </row>
    <row r="14792" spans="1:2" x14ac:dyDescent="0.25">
      <c r="A14792" s="64" t="str">
        <f>HYPERLINK("http://www.twitter.com/PeaceableReader", "PeaceableReader")</f>
        <v>PeaceableReader</v>
      </c>
      <c r="B14792" s="65" t="s">
        <v>8370</v>
      </c>
    </row>
    <row r="14793" spans="1:2" x14ac:dyDescent="0.25">
      <c r="A14793" s="64" t="str">
        <f>HYPERLINK("http://www.twitter.com/KLVP33", "KLVP33")</f>
        <v>KLVP33</v>
      </c>
      <c r="B14793" s="65" t="s">
        <v>3949</v>
      </c>
    </row>
    <row r="14794" spans="1:2" x14ac:dyDescent="0.25">
      <c r="A14794" s="64" t="str">
        <f>HYPERLINK("http://www.twitter.com/natatay922", "natatay922")</f>
        <v>natatay922</v>
      </c>
      <c r="B14794" s="65"/>
    </row>
    <row r="14795" spans="1:2" x14ac:dyDescent="0.25">
      <c r="A14795" s="64" t="str">
        <f>HYPERLINK("http://www.twitter.com/cairistionat", "cairistionat")</f>
        <v>cairistionat</v>
      </c>
      <c r="B14795" s="65"/>
    </row>
    <row r="14796" spans="1:2" x14ac:dyDescent="0.25">
      <c r="A14796" s="64" t="str">
        <f>HYPERLINK("http://www.twitter.com/sapphia1", "sapphia1")</f>
        <v>sapphia1</v>
      </c>
      <c r="B14796" s="65" t="s">
        <v>4201</v>
      </c>
    </row>
    <row r="14797" spans="1:2" x14ac:dyDescent="0.25">
      <c r="A14797" s="64" t="str">
        <f>HYPERLINK("http://www.twitter.com/DavidB1996", "DavidB1996")</f>
        <v>DavidB1996</v>
      </c>
      <c r="B14797" s="65" t="s">
        <v>8371</v>
      </c>
    </row>
    <row r="14798" spans="1:2" x14ac:dyDescent="0.25">
      <c r="A14798" s="64" t="str">
        <f>HYPERLINK("http://www.twitter.com/L0v3l4C3", "L0v3l4C3")</f>
        <v>L0v3l4C3</v>
      </c>
      <c r="B14798" s="65" t="s">
        <v>8372</v>
      </c>
    </row>
    <row r="14799" spans="1:2" x14ac:dyDescent="0.25">
      <c r="A14799" s="64" t="str">
        <f>HYPERLINK("http://www.twitter.com/annastromberg2", "annastromberg2")</f>
        <v>annastromberg2</v>
      </c>
      <c r="B14799" s="65" t="s">
        <v>5417</v>
      </c>
    </row>
    <row r="14800" spans="1:2" x14ac:dyDescent="0.25">
      <c r="A14800" s="64" t="str">
        <f>HYPERLINK("http://www.twitter.com/theruxii", "theruxii")</f>
        <v>theruxii</v>
      </c>
      <c r="B14800" s="65"/>
    </row>
    <row r="14801" spans="1:2" x14ac:dyDescent="0.25">
      <c r="A14801" s="64" t="str">
        <f>HYPERLINK("http://www.twitter.com/STCR_Friends", "STCR_Friends")</f>
        <v>STCR_Friends</v>
      </c>
      <c r="B14801" s="65" t="s">
        <v>8373</v>
      </c>
    </row>
    <row r="14802" spans="1:2" x14ac:dyDescent="0.25">
      <c r="A14802" s="64" t="str">
        <f>HYPERLINK("http://www.twitter.com/eslsmith", "eslsmith")</f>
        <v>eslsmith</v>
      </c>
      <c r="B14802" s="65" t="s">
        <v>8374</v>
      </c>
    </row>
    <row r="14803" spans="1:2" x14ac:dyDescent="0.25">
      <c r="A14803" s="64" t="str">
        <f>HYPERLINK("http://www.twitter.com/martic_mat", "martic_mat")</f>
        <v>martic_mat</v>
      </c>
      <c r="B14803" s="65" t="s">
        <v>318</v>
      </c>
    </row>
    <row r="14804" spans="1:2" x14ac:dyDescent="0.25">
      <c r="A14804" s="64" t="str">
        <f>HYPERLINK("http://www.twitter.com/tomeghunter", "tomeghunter")</f>
        <v>tomeghunter</v>
      </c>
      <c r="B14804" s="65"/>
    </row>
    <row r="14805" spans="1:2" x14ac:dyDescent="0.25">
      <c r="A14805" s="64" t="str">
        <f>HYPERLINK("http://www.twitter.com/barrie_lovatt", "barrie_lovatt")</f>
        <v>barrie_lovatt</v>
      </c>
      <c r="B14805" s="65" t="s">
        <v>8375</v>
      </c>
    </row>
    <row r="14806" spans="1:2" x14ac:dyDescent="0.25">
      <c r="A14806" s="64" t="str">
        <f>HYPERLINK("http://www.twitter.com/flettfiona", "flettfiona")</f>
        <v>flettfiona</v>
      </c>
      <c r="B14806" s="65" t="s">
        <v>2007</v>
      </c>
    </row>
    <row r="14807" spans="1:2" x14ac:dyDescent="0.25">
      <c r="A14807" s="64" t="str">
        <f>HYPERLINK("http://www.twitter.com/Jade_f_souza", "Jade_f_souza")</f>
        <v>Jade_f_souza</v>
      </c>
      <c r="B14807" s="65" t="s">
        <v>8376</v>
      </c>
    </row>
    <row r="14808" spans="1:2" x14ac:dyDescent="0.25">
      <c r="A14808" s="64" t="str">
        <f>HYPERLINK("http://www.twitter.com/ErinSoutham", "ErinSoutham")</f>
        <v>ErinSoutham</v>
      </c>
      <c r="B14808" s="65"/>
    </row>
    <row r="14809" spans="1:2" x14ac:dyDescent="0.25">
      <c r="A14809" s="64" t="str">
        <f>HYPERLINK("http://www.twitter.com/wtfoxsayo", "wtfoxsayo")</f>
        <v>wtfoxsayo</v>
      </c>
      <c r="B14809" s="65"/>
    </row>
    <row r="14810" spans="1:2" x14ac:dyDescent="0.25">
      <c r="A14810" s="64" t="str">
        <f>HYPERLINK("http://www.twitter.com/r_mileham", "r_mileham")</f>
        <v>r_mileham</v>
      </c>
      <c r="B14810" s="65" t="s">
        <v>1180</v>
      </c>
    </row>
    <row r="14811" spans="1:2" x14ac:dyDescent="0.25">
      <c r="A14811" s="64" t="str">
        <f>HYPERLINK("http://www.twitter.com/i_am_mill_i_am", "i_am_mill_i_am")</f>
        <v>i_am_mill_i_am</v>
      </c>
      <c r="B14811" s="65" t="s">
        <v>8377</v>
      </c>
    </row>
    <row r="14812" spans="1:2" x14ac:dyDescent="0.25">
      <c r="A14812" s="64" t="str">
        <f>HYPERLINK("http://www.twitter.com/nlsmodern", "nlsmodern")</f>
        <v>nlsmodern</v>
      </c>
      <c r="B14812" s="65" t="s">
        <v>487</v>
      </c>
    </row>
    <row r="14813" spans="1:2" x14ac:dyDescent="0.25">
      <c r="A14813" s="64" t="str">
        <f>HYPERLINK("http://www.twitter.com/NatCole47", "NatCole47")</f>
        <v>NatCole47</v>
      </c>
      <c r="B14813" s="65" t="s">
        <v>8378</v>
      </c>
    </row>
    <row r="14814" spans="1:2" x14ac:dyDescent="0.25">
      <c r="A14814" s="64" t="str">
        <f>HYPERLINK("http://www.twitter.com/LouiseHeren", "LouiseHeren")</f>
        <v>LouiseHeren</v>
      </c>
      <c r="B14814" s="65" t="s">
        <v>2041</v>
      </c>
    </row>
    <row r="14815" spans="1:2" x14ac:dyDescent="0.25">
      <c r="A14815" s="64" t="str">
        <f>HYPERLINK("http://www.twitter.com/EmilyGreen73", "EmilyGreen73")</f>
        <v>EmilyGreen73</v>
      </c>
      <c r="B14815" s="65"/>
    </row>
    <row r="14816" spans="1:2" x14ac:dyDescent="0.25">
      <c r="A14816" s="64" t="str">
        <f>HYPERLINK("http://www.twitter.com/aineejay", "aineejay")</f>
        <v>aineejay</v>
      </c>
      <c r="B14816" s="65" t="s">
        <v>1221</v>
      </c>
    </row>
    <row r="14817" spans="1:2" x14ac:dyDescent="0.25">
      <c r="A14817" s="64" t="str">
        <f>HYPERLINK("http://www.twitter.com/danielejackso10", "danielejackso10")</f>
        <v>danielejackso10</v>
      </c>
      <c r="B14817" s="65" t="s">
        <v>8379</v>
      </c>
    </row>
    <row r="14818" spans="1:2" x14ac:dyDescent="0.25">
      <c r="A14818" s="64" t="str">
        <f>HYPERLINK("http://www.twitter.com/zeely_99", "zeely_99")</f>
        <v>zeely_99</v>
      </c>
      <c r="B14818" s="65"/>
    </row>
    <row r="14819" spans="1:2" x14ac:dyDescent="0.25">
      <c r="A14819" s="64" t="str">
        <f>HYPERLINK("http://www.twitter.com/InvererneR", "InvererneR")</f>
        <v>InvererneR</v>
      </c>
      <c r="B14819" s="65" t="s">
        <v>8380</v>
      </c>
    </row>
    <row r="14820" spans="1:2" x14ac:dyDescent="0.25">
      <c r="A14820" s="64" t="str">
        <f>HYPERLINK("http://www.twitter.com/MissAKEarl", "MissAKEarl")</f>
        <v>MissAKEarl</v>
      </c>
      <c r="B14820" s="65" t="s">
        <v>4339</v>
      </c>
    </row>
    <row r="14821" spans="1:2" x14ac:dyDescent="0.25">
      <c r="A14821" s="64" t="str">
        <f>HYPERLINK("http://www.twitter.com/ItsBenNugent", "ItsBenNugent")</f>
        <v>ItsBenNugent</v>
      </c>
      <c r="B14821" s="65"/>
    </row>
    <row r="14822" spans="1:2" x14ac:dyDescent="0.25">
      <c r="A14822" s="64" t="str">
        <f>HYPERLINK("http://www.twitter.com/AngelaSStone", "AngelaSStone")</f>
        <v>AngelaSStone</v>
      </c>
      <c r="B14822" s="65" t="s">
        <v>3948</v>
      </c>
    </row>
    <row r="14823" spans="1:2" x14ac:dyDescent="0.25">
      <c r="A14823" s="64" t="str">
        <f>HYPERLINK("http://www.twitter.com/jansen_heidy", "jansen_heidy")</f>
        <v>jansen_heidy</v>
      </c>
      <c r="B14823" s="65" t="s">
        <v>8381</v>
      </c>
    </row>
    <row r="14824" spans="1:2" x14ac:dyDescent="0.25">
      <c r="A14824" s="64" t="str">
        <f>HYPERLINK("http://www.twitter.com/TheAmyDouglas", "TheAmyDouglas")</f>
        <v>TheAmyDouglas</v>
      </c>
      <c r="B14824" s="65"/>
    </row>
    <row r="14825" spans="1:2" x14ac:dyDescent="0.25">
      <c r="A14825" s="64" t="str">
        <f>HYPERLINK("http://www.twitter.com/C_P_Burgess", "C_P_Burgess")</f>
        <v>C_P_Burgess</v>
      </c>
      <c r="B14825" s="65" t="s">
        <v>508</v>
      </c>
    </row>
    <row r="14826" spans="1:2" x14ac:dyDescent="0.25">
      <c r="A14826" s="64" t="str">
        <f>HYPERLINK("http://www.twitter.com/DaleCopley1", "DaleCopley1")</f>
        <v>DaleCopley1</v>
      </c>
      <c r="B14826" s="65" t="s">
        <v>70</v>
      </c>
    </row>
    <row r="14827" spans="1:2" x14ac:dyDescent="0.25">
      <c r="A14827" s="64" t="str">
        <f>HYPERLINK("http://www.twitter.com/DavenportLib", "DavenportLib")</f>
        <v>DavenportLib</v>
      </c>
      <c r="B14827" s="65" t="s">
        <v>8382</v>
      </c>
    </row>
    <row r="14828" spans="1:2" x14ac:dyDescent="0.25">
      <c r="A14828" s="64" t="str">
        <f>HYPERLINK("http://www.twitter.com/KateASands", "KateASands")</f>
        <v>KateASands</v>
      </c>
      <c r="B14828" s="65"/>
    </row>
    <row r="14829" spans="1:2" x14ac:dyDescent="0.25">
      <c r="A14829" s="64" t="str">
        <f>HYPERLINK("http://www.twitter.com/jjwinch", "jjwinch")</f>
        <v>jjwinch</v>
      </c>
      <c r="B14829" s="65" t="s">
        <v>8383</v>
      </c>
    </row>
    <row r="14830" spans="1:2" x14ac:dyDescent="0.25">
      <c r="A14830" s="64" t="str">
        <f>HYPERLINK("http://www.twitter.com/AMZPublications", "AMZPublications")</f>
        <v>AMZPublications</v>
      </c>
      <c r="B14830" s="65" t="s">
        <v>4039</v>
      </c>
    </row>
    <row r="14831" spans="1:2" x14ac:dyDescent="0.25">
      <c r="A14831" s="64" t="str">
        <f>HYPERLINK("http://www.twitter.com/MagzLeask", "MagzLeask")</f>
        <v>MagzLeask</v>
      </c>
      <c r="B14831" s="65"/>
    </row>
    <row r="14832" spans="1:2" x14ac:dyDescent="0.25">
      <c r="A14832" s="64" t="str">
        <f>HYPERLINK("http://www.twitter.com/abbyideally", "abbyideally")</f>
        <v>abbyideally</v>
      </c>
      <c r="B14832" s="65" t="s">
        <v>3785</v>
      </c>
    </row>
    <row r="14833" spans="1:2" x14ac:dyDescent="0.25">
      <c r="A14833" s="64" t="str">
        <f>HYPERLINK("http://www.twitter.com/Hanrahandsy", "Hanrahandsy")</f>
        <v>Hanrahandsy</v>
      </c>
      <c r="B14833" s="65" t="s">
        <v>3633</v>
      </c>
    </row>
    <row r="14834" spans="1:2" x14ac:dyDescent="0.25">
      <c r="A14834" s="64" t="str">
        <f>HYPERLINK("http://www.twitter.com/apseevents", "apseevents")</f>
        <v>apseevents</v>
      </c>
      <c r="B14834" s="65" t="s">
        <v>2289</v>
      </c>
    </row>
    <row r="14835" spans="1:2" x14ac:dyDescent="0.25">
      <c r="A14835" s="64" t="str">
        <f>HYPERLINK("http://www.twitter.com/ninjaofinfo", "ninjaofinfo")</f>
        <v>ninjaofinfo</v>
      </c>
      <c r="B14835" s="65"/>
    </row>
    <row r="14836" spans="1:2" x14ac:dyDescent="0.25">
      <c r="A14836" s="64" t="str">
        <f>HYPERLINK("http://www.twitter.com/ffindlayy", "ffindlayy")</f>
        <v>ffindlayy</v>
      </c>
      <c r="B14836" s="65" t="s">
        <v>2222</v>
      </c>
    </row>
    <row r="14837" spans="1:2" x14ac:dyDescent="0.25">
      <c r="A14837" s="64" t="str">
        <f>HYPERLINK("http://www.twitter.com/Grandpontgirl", "Grandpontgirl")</f>
        <v>Grandpontgirl</v>
      </c>
      <c r="B14837" s="65" t="s">
        <v>2289</v>
      </c>
    </row>
    <row r="14838" spans="1:2" x14ac:dyDescent="0.25">
      <c r="A14838" s="64" t="str">
        <f>HYPERLINK("http://www.twitter.com/carolinewjones", "carolinewjones")</f>
        <v>carolinewjones</v>
      </c>
      <c r="B14838" s="65"/>
    </row>
    <row r="14839" spans="1:2" x14ac:dyDescent="0.25">
      <c r="A14839" s="64" t="str">
        <f>HYPERLINK("http://www.twitter.com/jessietm92", "jessietm92")</f>
        <v>jessietm92</v>
      </c>
      <c r="B14839" s="65" t="s">
        <v>1949</v>
      </c>
    </row>
    <row r="14840" spans="1:2" x14ac:dyDescent="0.25">
      <c r="A14840" s="64" t="str">
        <f>HYPERLINK("http://www.twitter.com/thatsokthen", "thatsokthen")</f>
        <v>thatsokthen</v>
      </c>
      <c r="B14840" s="65"/>
    </row>
    <row r="14841" spans="1:2" x14ac:dyDescent="0.25">
      <c r="A14841" s="64" t="str">
        <f>HYPERLINK("http://www.twitter.com/Hororo", "Hororo")</f>
        <v>Hororo</v>
      </c>
      <c r="B14841" s="65" t="s">
        <v>477</v>
      </c>
    </row>
    <row r="14842" spans="1:2" x14ac:dyDescent="0.25">
      <c r="A14842" s="64" t="str">
        <f>HYPERLINK("http://www.twitter.com/GlasSydney", "GlasSydney")</f>
        <v>GlasSydney</v>
      </c>
      <c r="B14842" s="65" t="s">
        <v>8384</v>
      </c>
    </row>
    <row r="14843" spans="1:2" x14ac:dyDescent="0.25">
      <c r="A14843" s="64" t="str">
        <f>HYPERLINK("http://www.twitter.com/BristolLibrary", "BristolLibrary")</f>
        <v>BristolLibrary</v>
      </c>
      <c r="B14843" s="65" t="s">
        <v>315</v>
      </c>
    </row>
    <row r="14844" spans="1:2" x14ac:dyDescent="0.25">
      <c r="A14844" s="64" t="str">
        <f>HYPERLINK("http://www.twitter.com/iainmaloney", "iainmaloney")</f>
        <v>iainmaloney</v>
      </c>
      <c r="B14844" s="65"/>
    </row>
    <row r="14845" spans="1:2" x14ac:dyDescent="0.25">
      <c r="A14845" s="64" t="str">
        <f>HYPERLINK("http://www.twitter.com/boosh71", "boosh71")</f>
        <v>boosh71</v>
      </c>
      <c r="B14845" s="65"/>
    </row>
    <row r="14846" spans="1:2" x14ac:dyDescent="0.25">
      <c r="A14846" s="64" t="str">
        <f>HYPERLINK("http://www.twitter.com/UofGWriting", "UofGWriting")</f>
        <v>UofGWriting</v>
      </c>
      <c r="B14846" s="65" t="s">
        <v>318</v>
      </c>
    </row>
    <row r="14847" spans="1:2" x14ac:dyDescent="0.25">
      <c r="A14847" s="64" t="str">
        <f>HYPERLINK("http://www.twitter.com/larainey82", "larainey82")</f>
        <v>larainey82</v>
      </c>
      <c r="B14847" s="65"/>
    </row>
    <row r="14848" spans="1:2" x14ac:dyDescent="0.25">
      <c r="A14848" s="64" t="str">
        <f>HYPERLINK("http://www.twitter.com/edelfomoss", "edelfomoss")</f>
        <v>edelfomoss</v>
      </c>
      <c r="B14848" s="65"/>
    </row>
    <row r="14849" spans="1:2" x14ac:dyDescent="0.25">
      <c r="A14849" s="64" t="str">
        <f>HYPERLINK("http://www.twitter.com/LUCYMONTGOM", "LUCYMONTGOM")</f>
        <v>LUCYMONTGOM</v>
      </c>
      <c r="B14849" s="65" t="s">
        <v>4193</v>
      </c>
    </row>
    <row r="14850" spans="1:2" x14ac:dyDescent="0.25">
      <c r="A14850" s="64" t="str">
        <f>HYPERLINK("http://www.twitter.com/GaspardWinckler", "GaspardWinckler")</f>
        <v>GaspardWinckler</v>
      </c>
      <c r="B14850" s="65" t="s">
        <v>36</v>
      </c>
    </row>
    <row r="14851" spans="1:2" x14ac:dyDescent="0.25">
      <c r="A14851" s="64" t="str">
        <f>HYPERLINK("http://www.twitter.com/thombo91", "thombo91")</f>
        <v>thombo91</v>
      </c>
      <c r="B14851" s="65" t="s">
        <v>8385</v>
      </c>
    </row>
    <row r="14852" spans="1:2" x14ac:dyDescent="0.25">
      <c r="A14852" s="64" t="str">
        <f>HYPERLINK("http://www.twitter.com/fifiathome", "fifiathome")</f>
        <v>fifiathome</v>
      </c>
      <c r="B14852" s="65"/>
    </row>
    <row r="14853" spans="1:2" x14ac:dyDescent="0.25">
      <c r="A14853" s="64" t="str">
        <f>HYPERLINK("http://www.twitter.com/Bevlington", "Bevlington")</f>
        <v>Bevlington</v>
      </c>
      <c r="B14853" s="65" t="s">
        <v>8386</v>
      </c>
    </row>
    <row r="14854" spans="1:2" x14ac:dyDescent="0.25">
      <c r="A14854" s="64" t="str">
        <f>HYPERLINK("http://www.twitter.com/DedThingz", "DedThingz")</f>
        <v>DedThingz</v>
      </c>
      <c r="B14854" s="65" t="s">
        <v>6271</v>
      </c>
    </row>
    <row r="14855" spans="1:2" x14ac:dyDescent="0.25">
      <c r="A14855" s="64" t="str">
        <f>HYPERLINK("http://www.twitter.com/TheBlandompoet", "TheBlandompoet")</f>
        <v>TheBlandompoet</v>
      </c>
      <c r="B14855" s="65" t="s">
        <v>8387</v>
      </c>
    </row>
    <row r="14856" spans="1:2" x14ac:dyDescent="0.25">
      <c r="A14856" s="64" t="str">
        <f>HYPERLINK("http://www.twitter.com/EastVanRed", "EastVanRed")</f>
        <v>EastVanRed</v>
      </c>
      <c r="B14856" s="65" t="s">
        <v>8388</v>
      </c>
    </row>
    <row r="14857" spans="1:2" x14ac:dyDescent="0.25">
      <c r="A14857" s="64" t="str">
        <f>HYPERLINK("http://www.twitter.com/tamsin77", "tamsin77")</f>
        <v>tamsin77</v>
      </c>
      <c r="B14857" s="65" t="s">
        <v>8389</v>
      </c>
    </row>
    <row r="14858" spans="1:2" x14ac:dyDescent="0.25">
      <c r="A14858" s="64" t="str">
        <f>HYPERLINK("http://www.twitter.com/RuthBacon4", "RuthBacon4")</f>
        <v>RuthBacon4</v>
      </c>
      <c r="B14858" s="65" t="s">
        <v>318</v>
      </c>
    </row>
    <row r="14859" spans="1:2" x14ac:dyDescent="0.25">
      <c r="A14859" s="64" t="str">
        <f>HYPERLINK("http://www.twitter.com/NoolaMary", "NoolaMary")</f>
        <v>NoolaMary</v>
      </c>
      <c r="B14859" s="65" t="s">
        <v>8390</v>
      </c>
    </row>
    <row r="14860" spans="1:2" x14ac:dyDescent="0.25">
      <c r="A14860" s="64" t="str">
        <f>HYPERLINK("http://www.twitter.com/104songs", "104songs")</f>
        <v>104songs</v>
      </c>
      <c r="B14860" s="65" t="s">
        <v>3954</v>
      </c>
    </row>
    <row r="14861" spans="1:2" x14ac:dyDescent="0.25">
      <c r="A14861" s="64" t="str">
        <f>HYPERLINK("http://www.twitter.com/DedGudTweets", "DedGudTweets")</f>
        <v>DedGudTweets</v>
      </c>
      <c r="B14861" s="65" t="s">
        <v>8391</v>
      </c>
    </row>
    <row r="14862" spans="1:2" x14ac:dyDescent="0.25">
      <c r="A14862" s="64" t="str">
        <f>HYPERLINK("http://www.twitter.com/WadeyLady001", "WadeyLady001")</f>
        <v>WadeyLady001</v>
      </c>
      <c r="B14862" s="65" t="s">
        <v>5398</v>
      </c>
    </row>
    <row r="14863" spans="1:2" x14ac:dyDescent="0.25">
      <c r="A14863" s="64" t="str">
        <f>HYPERLINK("http://www.twitter.com/jambong", "jambong")</f>
        <v>jambong</v>
      </c>
      <c r="B14863" s="65" t="s">
        <v>8392</v>
      </c>
    </row>
    <row r="14864" spans="1:2" x14ac:dyDescent="0.25">
      <c r="A14864" s="64" t="str">
        <f>HYPERLINK("http://www.twitter.com/EuropeanLibrary", "EuropeanLibrary")</f>
        <v>EuropeanLibrary</v>
      </c>
      <c r="B14864" s="65" t="s">
        <v>8393</v>
      </c>
    </row>
    <row r="14865" spans="1:2" x14ac:dyDescent="0.25">
      <c r="A14865" s="64" t="str">
        <f>HYPERLINK("http://www.twitter.com/Rich_OC", "Rich_OC")</f>
        <v>Rich_OC</v>
      </c>
      <c r="B14865" s="65" t="s">
        <v>4062</v>
      </c>
    </row>
    <row r="14866" spans="1:2" x14ac:dyDescent="0.25">
      <c r="A14866" s="64" t="str">
        <f>HYPERLINK("http://www.twitter.com/gmd_bear", "gmd_bear")</f>
        <v>gmd_bear</v>
      </c>
      <c r="B14866" s="65"/>
    </row>
    <row r="14867" spans="1:2" x14ac:dyDescent="0.25">
      <c r="A14867" s="64" t="str">
        <f>HYPERLINK("http://www.twitter.com/norwichbex", "norwichbex")</f>
        <v>norwichbex</v>
      </c>
      <c r="B14867" s="65"/>
    </row>
    <row r="14868" spans="1:2" x14ac:dyDescent="0.25">
      <c r="A14868" s="64" t="str">
        <f>HYPERLINK("http://www.twitter.com/prior702702", "prior702702")</f>
        <v>prior702702</v>
      </c>
      <c r="B14868" s="65"/>
    </row>
    <row r="14869" spans="1:2" x14ac:dyDescent="0.25">
      <c r="A14869" s="64" t="str">
        <f>HYPERLINK("http://www.twitter.com/SquadCakebox", "SquadCakebox")</f>
        <v>SquadCakebox</v>
      </c>
      <c r="B14869" s="65" t="s">
        <v>138</v>
      </c>
    </row>
    <row r="14870" spans="1:2" x14ac:dyDescent="0.25">
      <c r="A14870" s="64" t="str">
        <f>HYPERLINK("http://www.twitter.com/northerngrit73", "northerngrit73")</f>
        <v>northerngrit73</v>
      </c>
      <c r="B14870" s="65"/>
    </row>
    <row r="14871" spans="1:2" x14ac:dyDescent="0.25">
      <c r="A14871" s="64" t="str">
        <f>HYPERLINK("http://www.twitter.com/johnagiles", "johnagiles")</f>
        <v>johnagiles</v>
      </c>
      <c r="B14871" s="65" t="s">
        <v>773</v>
      </c>
    </row>
    <row r="14872" spans="1:2" x14ac:dyDescent="0.25">
      <c r="A14872" s="64" t="str">
        <f>HYPERLINK("http://www.twitter.com/sort_of_dan", "sort_of_dan")</f>
        <v>sort_of_dan</v>
      </c>
      <c r="B14872" s="65" t="s">
        <v>697</v>
      </c>
    </row>
    <row r="14873" spans="1:2" x14ac:dyDescent="0.25">
      <c r="A14873" s="64" t="str">
        <f>HYPERLINK("http://www.twitter.com/_colinfaulkner", "_colinfaulkner")</f>
        <v>_colinfaulkner</v>
      </c>
      <c r="B14873" s="65" t="s">
        <v>477</v>
      </c>
    </row>
    <row r="14874" spans="1:2" x14ac:dyDescent="0.25">
      <c r="A14874" s="64" t="str">
        <f>HYPERLINK("http://www.twitter.com/ncackerman", "ncackerman")</f>
        <v>ncackerman</v>
      </c>
      <c r="B14874" s="65" t="s">
        <v>5807</v>
      </c>
    </row>
    <row r="14875" spans="1:2" x14ac:dyDescent="0.25">
      <c r="A14875" s="64" t="str">
        <f>HYPERLINK("http://www.twitter.com/jonjonedinburgh", "jonjonedinburgh")</f>
        <v>jonjonedinburgh</v>
      </c>
      <c r="B14875" s="65" t="s">
        <v>487</v>
      </c>
    </row>
    <row r="14876" spans="1:2" x14ac:dyDescent="0.25">
      <c r="A14876" s="64" t="str">
        <f>HYPERLINK("http://www.twitter.com/StepGreg", "StepGreg")</f>
        <v>StepGreg</v>
      </c>
      <c r="B14876" s="65" t="s">
        <v>883</v>
      </c>
    </row>
    <row r="14877" spans="1:2" x14ac:dyDescent="0.25">
      <c r="A14877" s="64" t="str">
        <f>HYPERLINK("http://www.twitter.com/PeaceLibrarySys", "PeaceLibrarySys")</f>
        <v>PeaceLibrarySys</v>
      </c>
      <c r="B14877" s="65" t="s">
        <v>5508</v>
      </c>
    </row>
    <row r="14878" spans="1:2" x14ac:dyDescent="0.25">
      <c r="A14878" s="64" t="str">
        <f>HYPERLINK("http://www.twitter.com/michaelpia14", "michaelpia14")</f>
        <v>michaelpia14</v>
      </c>
      <c r="B14878" s="65"/>
    </row>
    <row r="14879" spans="1:2" x14ac:dyDescent="0.25">
      <c r="A14879" s="64" t="str">
        <f>HYPERLINK("http://www.twitter.com/Mattwolf75", "Mattwolf75")</f>
        <v>Mattwolf75</v>
      </c>
      <c r="B14879" s="65"/>
    </row>
    <row r="14880" spans="1:2" x14ac:dyDescent="0.25">
      <c r="A14880" s="64" t="str">
        <f>HYPERLINK("http://www.twitter.com/Tomstar79", "Tomstar79")</f>
        <v>Tomstar79</v>
      </c>
      <c r="B14880" s="65" t="s">
        <v>8394</v>
      </c>
    </row>
    <row r="14881" spans="1:2" x14ac:dyDescent="0.25">
      <c r="A14881" s="64" t="str">
        <f>HYPERLINK("http://www.twitter.com/aintgoodenough", "aintgoodenough")</f>
        <v>aintgoodenough</v>
      </c>
      <c r="B14881" s="65" t="s">
        <v>8395</v>
      </c>
    </row>
    <row r="14882" spans="1:2" x14ac:dyDescent="0.25">
      <c r="A14882" s="64" t="str">
        <f>HYPERLINK("http://www.twitter.com/alan_wills", "alan_wills")</f>
        <v>alan_wills</v>
      </c>
      <c r="B14882" s="65"/>
    </row>
    <row r="14883" spans="1:2" x14ac:dyDescent="0.25">
      <c r="A14883" s="64" t="str">
        <f>HYPERLINK("http://www.twitter.com/linzerellasmith", "linzerellasmith")</f>
        <v>linzerellasmith</v>
      </c>
      <c r="B14883" s="65" t="s">
        <v>138</v>
      </c>
    </row>
    <row r="14884" spans="1:2" x14ac:dyDescent="0.25">
      <c r="A14884" s="64" t="str">
        <f>HYPERLINK("http://www.twitter.com/AlexisWarren", "AlexisWarren")</f>
        <v>AlexisWarren</v>
      </c>
      <c r="B14884" s="65" t="s">
        <v>4412</v>
      </c>
    </row>
    <row r="14885" spans="1:2" x14ac:dyDescent="0.25">
      <c r="A14885" s="64" t="str">
        <f>HYPERLINK("http://www.twitter.com/JazzScotland1", "JazzScotland1")</f>
        <v>JazzScotland1</v>
      </c>
      <c r="B14885" s="65" t="s">
        <v>517</v>
      </c>
    </row>
    <row r="14886" spans="1:2" x14ac:dyDescent="0.25">
      <c r="A14886" s="64" t="str">
        <f>HYPERLINK("http://www.twitter.com/alpha_sun_king", "alpha_sun_king")</f>
        <v>alpha_sun_king</v>
      </c>
      <c r="B14886" s="65" t="s">
        <v>8396</v>
      </c>
    </row>
    <row r="14887" spans="1:2" x14ac:dyDescent="0.25">
      <c r="A14887" s="64" t="str">
        <f>HYPERLINK("http://www.twitter.com/lizzygrujin", "lizzygrujin")</f>
        <v>lizzygrujin</v>
      </c>
      <c r="B14887" s="65" t="s">
        <v>36</v>
      </c>
    </row>
    <row r="14888" spans="1:2" x14ac:dyDescent="0.25">
      <c r="A14888" s="64" t="str">
        <f>HYPERLINK("http://www.twitter.com/Spunkpouch", "Spunkpouch")</f>
        <v>Spunkpouch</v>
      </c>
      <c r="B14888" s="65" t="s">
        <v>477</v>
      </c>
    </row>
    <row r="14889" spans="1:2" x14ac:dyDescent="0.25">
      <c r="A14889" s="64" t="str">
        <f>HYPERLINK("http://www.twitter.com/gregmnoone", "gregmnoone")</f>
        <v>gregmnoone</v>
      </c>
      <c r="B14889" s="65" t="s">
        <v>5965</v>
      </c>
    </row>
    <row r="14890" spans="1:2" x14ac:dyDescent="0.25">
      <c r="A14890" s="64" t="str">
        <f>HYPERLINK("http://www.twitter.com/ComanFullard", "ComanFullard")</f>
        <v>ComanFullard</v>
      </c>
      <c r="B14890" s="65" t="s">
        <v>4254</v>
      </c>
    </row>
    <row r="14891" spans="1:2" x14ac:dyDescent="0.25">
      <c r="A14891" s="64" t="str">
        <f>HYPERLINK("http://www.twitter.com/SkeletonInMeat", "SkeletonInMeat")</f>
        <v>SkeletonInMeat</v>
      </c>
      <c r="B14891" s="65"/>
    </row>
    <row r="14892" spans="1:2" x14ac:dyDescent="0.25">
      <c r="A14892" s="64" t="str">
        <f>HYPERLINK("http://www.twitter.com/MrDingers", "MrDingers")</f>
        <v>MrDingers</v>
      </c>
      <c r="B14892" s="65"/>
    </row>
    <row r="14893" spans="1:2" x14ac:dyDescent="0.25">
      <c r="A14893" s="64" t="str">
        <f>HYPERLINK("http://www.twitter.com/di_cranio", "di_cranio")</f>
        <v>di_cranio</v>
      </c>
      <c r="B14893" s="65" t="s">
        <v>1482</v>
      </c>
    </row>
    <row r="14894" spans="1:2" x14ac:dyDescent="0.25">
      <c r="A14894" s="64" t="str">
        <f>HYPERLINK("http://www.twitter.com/hospitalnumber", "hospitalnumber")</f>
        <v>hospitalnumber</v>
      </c>
      <c r="B14894" s="65"/>
    </row>
    <row r="14895" spans="1:2" x14ac:dyDescent="0.25">
      <c r="A14895" s="64" t="str">
        <f>HYPERLINK("http://www.twitter.com/Helenlaxmi", "Helenlaxmi")</f>
        <v>Helenlaxmi</v>
      </c>
      <c r="B14895" s="65"/>
    </row>
    <row r="14896" spans="1:2" x14ac:dyDescent="0.25">
      <c r="A14896" s="64" t="str">
        <f>HYPERLINK("http://www.twitter.com/Mr_Considerate", "Mr_Considerate")</f>
        <v>Mr_Considerate</v>
      </c>
      <c r="B14896" s="65" t="s">
        <v>8397</v>
      </c>
    </row>
    <row r="14897" spans="1:2" x14ac:dyDescent="0.25">
      <c r="A14897" s="64" t="str">
        <f>HYPERLINK("http://www.twitter.com/staplemeg", "staplemeg")</f>
        <v>staplemeg</v>
      </c>
      <c r="B14897" s="65" t="s">
        <v>8398</v>
      </c>
    </row>
    <row r="14898" spans="1:2" x14ac:dyDescent="0.25">
      <c r="A14898" s="64" t="str">
        <f>HYPERLINK("http://www.twitter.com/QueeniePrior", "QueeniePrior")</f>
        <v>QueeniePrior</v>
      </c>
      <c r="B14898" s="65" t="s">
        <v>257</v>
      </c>
    </row>
    <row r="14899" spans="1:2" x14ac:dyDescent="0.25">
      <c r="A14899" s="64" t="str">
        <f>HYPERLINK("http://www.twitter.com/mikeshields84", "mikeshields84")</f>
        <v>mikeshields84</v>
      </c>
      <c r="B14899" s="65" t="s">
        <v>5566</v>
      </c>
    </row>
    <row r="14900" spans="1:2" x14ac:dyDescent="0.25">
      <c r="A14900" s="64" t="str">
        <f>HYPERLINK("http://www.twitter.com/pesserine", "pesserine")</f>
        <v>pesserine</v>
      </c>
      <c r="B14900" s="65"/>
    </row>
    <row r="14901" spans="1:2" x14ac:dyDescent="0.25">
      <c r="A14901" s="64" t="str">
        <f>HYPERLINK("http://www.twitter.com/EFBarker", "EFBarker")</f>
        <v>EFBarker</v>
      </c>
      <c r="B14901" s="65" t="s">
        <v>96</v>
      </c>
    </row>
    <row r="14902" spans="1:2" x14ac:dyDescent="0.25">
      <c r="A14902" s="64" t="str">
        <f>HYPERLINK("http://www.twitter.com/SamclarkSam", "SamclarkSam")</f>
        <v>SamclarkSam</v>
      </c>
      <c r="B14902" s="65"/>
    </row>
    <row r="14903" spans="1:2" x14ac:dyDescent="0.25">
      <c r="A14903" s="64" t="str">
        <f>HYPERLINK("http://www.twitter.com/Aliceymoo", "Aliceymoo")</f>
        <v>Aliceymoo</v>
      </c>
      <c r="B14903" s="65" t="s">
        <v>8399</v>
      </c>
    </row>
    <row r="14904" spans="1:2" x14ac:dyDescent="0.25">
      <c r="A14904" s="64" t="str">
        <f>HYPERLINK("http://www.twitter.com/sjooietwoey", "sjooietwoey")</f>
        <v>sjooietwoey</v>
      </c>
      <c r="B14904" s="65" t="s">
        <v>8400</v>
      </c>
    </row>
    <row r="14905" spans="1:2" x14ac:dyDescent="0.25">
      <c r="A14905" s="64" t="str">
        <f>HYPERLINK("http://www.twitter.com/A_SIMD", "A_SIMD")</f>
        <v>A_SIMD</v>
      </c>
      <c r="B14905" s="65" t="s">
        <v>8401</v>
      </c>
    </row>
    <row r="14906" spans="1:2" x14ac:dyDescent="0.25">
      <c r="A14906" s="64" t="str">
        <f>HYPERLINK("http://www.twitter.com/scunnydelight", "scunnydelight")</f>
        <v>scunnydelight</v>
      </c>
      <c r="B14906" s="65"/>
    </row>
    <row r="14907" spans="1:2" x14ac:dyDescent="0.25">
      <c r="A14907" s="64" t="str">
        <f>HYPERLINK("http://www.twitter.com/AlexlibsCL", "AlexlibsCL")</f>
        <v>AlexlibsCL</v>
      </c>
      <c r="B14907" s="65" t="s">
        <v>8402</v>
      </c>
    </row>
    <row r="14908" spans="1:2" x14ac:dyDescent="0.25">
      <c r="A14908" s="64" t="str">
        <f>HYPERLINK("http://www.twitter.com/HarperAdamsLibr", "HarperAdamsLibr")</f>
        <v>HarperAdamsLibr</v>
      </c>
      <c r="B14908" s="65" t="s">
        <v>1802</v>
      </c>
    </row>
    <row r="14909" spans="1:2" x14ac:dyDescent="0.25">
      <c r="A14909" s="64" t="str">
        <f>HYPERLINK("http://www.twitter.com/mb101", "mb101")</f>
        <v>mb101</v>
      </c>
      <c r="B14909" s="65"/>
    </row>
    <row r="14910" spans="1:2" x14ac:dyDescent="0.25">
      <c r="A14910" s="64" t="str">
        <f>HYPERLINK("http://www.twitter.com/mserinkelly", "mserinkelly")</f>
        <v>mserinkelly</v>
      </c>
      <c r="B14910" s="65" t="s">
        <v>7448</v>
      </c>
    </row>
    <row r="14911" spans="1:2" x14ac:dyDescent="0.25">
      <c r="A14911" s="64" t="str">
        <f>HYPERLINK("http://www.twitter.com/xian_clarkson", "xian_clarkson")</f>
        <v>xian_clarkson</v>
      </c>
      <c r="B14911" s="65"/>
    </row>
    <row r="14912" spans="1:2" x14ac:dyDescent="0.25">
      <c r="A14912" s="64" t="str">
        <f>HYPERLINK("http://www.twitter.com/shatchernz", "shatchernz")</f>
        <v>shatchernz</v>
      </c>
      <c r="B14912" s="65" t="s">
        <v>3894</v>
      </c>
    </row>
    <row r="14913" spans="1:2" x14ac:dyDescent="0.25">
      <c r="A14913" s="64" t="str">
        <f>HYPERLINK("http://www.twitter.com/ExLibrisEurope", "ExLibrisEurope")</f>
        <v>ExLibrisEurope</v>
      </c>
      <c r="B14913" s="65" t="s">
        <v>4862</v>
      </c>
    </row>
    <row r="14914" spans="1:2" x14ac:dyDescent="0.25">
      <c r="A14914" s="64" t="str">
        <f>HYPERLINK("http://www.twitter.com/HMCIMCD", "HMCIMCD")</f>
        <v>HMCIMCD</v>
      </c>
      <c r="B14914" s="65"/>
    </row>
    <row r="14915" spans="1:2" x14ac:dyDescent="0.25">
      <c r="A14915" s="64" t="str">
        <f>HYPERLINK("http://www.twitter.com/boxtastic", "boxtastic")</f>
        <v>boxtastic</v>
      </c>
      <c r="B14915" s="65" t="s">
        <v>5212</v>
      </c>
    </row>
    <row r="14916" spans="1:2" x14ac:dyDescent="0.25">
      <c r="A14916" s="64" t="str">
        <f>HYPERLINK("http://www.twitter.com/LucyMalagoni", "LucyMalagoni")</f>
        <v>LucyMalagoni</v>
      </c>
      <c r="B14916" s="65" t="s">
        <v>36</v>
      </c>
    </row>
    <row r="14917" spans="1:2" x14ac:dyDescent="0.25">
      <c r="A14917" s="64" t="str">
        <f>HYPERLINK("http://www.twitter.com/xmassheep", "xmassheep")</f>
        <v>xmassheep</v>
      </c>
      <c r="B14917" s="65" t="s">
        <v>36</v>
      </c>
    </row>
    <row r="14918" spans="1:2" x14ac:dyDescent="0.25">
      <c r="A14918" s="64" t="str">
        <f>HYPERLINK("http://www.twitter.com/troutodyssey", "troutodyssey")</f>
        <v>troutodyssey</v>
      </c>
      <c r="B14918" s="65" t="s">
        <v>8403</v>
      </c>
    </row>
    <row r="14919" spans="1:2" x14ac:dyDescent="0.25">
      <c r="A14919" s="64" t="str">
        <f>HYPERLINK("http://www.twitter.com/Oceane_vgx", "Oceane_vgx")</f>
        <v>Oceane_vgx</v>
      </c>
      <c r="B14919" s="65"/>
    </row>
    <row r="14920" spans="1:2" x14ac:dyDescent="0.25">
      <c r="A14920" s="64" t="str">
        <f>HYPERLINK("http://www.twitter.com/Yourbluemuse", "Yourbluemuse")</f>
        <v>Yourbluemuse</v>
      </c>
      <c r="B14920" s="65"/>
    </row>
    <row r="14921" spans="1:2" x14ac:dyDescent="0.25">
      <c r="A14921" s="64" t="str">
        <f>HYPERLINK("http://www.twitter.com/theredlibrary", "theredlibrary")</f>
        <v>theredlibrary</v>
      </c>
      <c r="B14921" s="65" t="s">
        <v>8404</v>
      </c>
    </row>
    <row r="14922" spans="1:2" x14ac:dyDescent="0.25">
      <c r="A14922" s="64" t="str">
        <f>HYPERLINK("http://www.twitter.com/Cass__Miller", "Cass__Miller")</f>
        <v>Cass__Miller</v>
      </c>
      <c r="B14922" s="65" t="s">
        <v>477</v>
      </c>
    </row>
    <row r="14923" spans="1:2" x14ac:dyDescent="0.25">
      <c r="A14923" s="64" t="str">
        <f>HYPERLINK("http://www.twitter.com/AllyBeckett", "AllyBeckett")</f>
        <v>AllyBeckett</v>
      </c>
      <c r="B14923" s="65" t="s">
        <v>138</v>
      </c>
    </row>
    <row r="14924" spans="1:2" x14ac:dyDescent="0.25">
      <c r="A14924" s="64" t="str">
        <f>HYPERLINK("http://www.twitter.com/emmalucywhitney", "emmalucywhitney")</f>
        <v>emmalucywhitney</v>
      </c>
      <c r="B14924" s="65" t="s">
        <v>4534</v>
      </c>
    </row>
    <row r="14925" spans="1:2" x14ac:dyDescent="0.25">
      <c r="A14925" s="64" t="str">
        <f>HYPERLINK("http://www.twitter.com/Xstitchbee", "Xstitchbee")</f>
        <v>Xstitchbee</v>
      </c>
      <c r="B14925" s="65" t="s">
        <v>33</v>
      </c>
    </row>
    <row r="14926" spans="1:2" x14ac:dyDescent="0.25">
      <c r="A14926" s="64" t="str">
        <f>HYPERLINK("http://www.twitter.com/sophiestenduffy", "sophiestenduffy")</f>
        <v>sophiestenduffy</v>
      </c>
      <c r="B14926" s="65" t="s">
        <v>8405</v>
      </c>
    </row>
    <row r="14927" spans="1:2" x14ac:dyDescent="0.25">
      <c r="A14927" s="64" t="str">
        <f>HYPERLINK("http://www.twitter.com/MeganThornberry", "MeganThornberry")</f>
        <v>MeganThornberry</v>
      </c>
      <c r="B14927" s="65"/>
    </row>
    <row r="14928" spans="1:2" x14ac:dyDescent="0.25">
      <c r="A14928" s="64" t="str">
        <f>HYPERLINK("http://www.twitter.com/JoshLacey123", "JoshLacey123")</f>
        <v>JoshLacey123</v>
      </c>
      <c r="B14928" s="65"/>
    </row>
    <row r="14929" spans="1:2" x14ac:dyDescent="0.25">
      <c r="A14929" s="64" t="str">
        <f>HYPERLINK("http://www.twitter.com/Dacina1", "Dacina1")</f>
        <v>Dacina1</v>
      </c>
      <c r="B14929" s="65" t="s">
        <v>7510</v>
      </c>
    </row>
    <row r="14930" spans="1:2" x14ac:dyDescent="0.25">
      <c r="A14930" s="64" t="str">
        <f>HYPERLINK("http://www.twitter.com/solar_chase", "solar_chase")</f>
        <v>solar_chase</v>
      </c>
      <c r="B14930" s="65" t="s">
        <v>4233</v>
      </c>
    </row>
    <row r="14931" spans="1:2" x14ac:dyDescent="0.25">
      <c r="A14931" s="64" t="str">
        <f>HYPERLINK("http://www.twitter.com/suecareersgroup", "suecareersgroup")</f>
        <v>suecareersgroup</v>
      </c>
      <c r="B14931" s="65" t="s">
        <v>477</v>
      </c>
    </row>
    <row r="14932" spans="1:2" x14ac:dyDescent="0.25">
      <c r="A14932" s="64" t="str">
        <f>HYPERLINK("http://www.twitter.com/Hughwdeery", "Hughwdeery")</f>
        <v>Hughwdeery</v>
      </c>
      <c r="B14932" s="65" t="s">
        <v>532</v>
      </c>
    </row>
    <row r="14933" spans="1:2" x14ac:dyDescent="0.25">
      <c r="A14933" s="64" t="str">
        <f>HYPERLINK("http://www.twitter.com/DwilightBM", "DwilightBM")</f>
        <v>DwilightBM</v>
      </c>
      <c r="B14933" s="65" t="s">
        <v>8406</v>
      </c>
    </row>
    <row r="14934" spans="1:2" x14ac:dyDescent="0.25">
      <c r="A14934" s="64" t="str">
        <f>HYPERLINK("http://www.twitter.com/siestaingsnake", "siestaingsnake")</f>
        <v>siestaingsnake</v>
      </c>
      <c r="B14934" s="65" t="s">
        <v>5384</v>
      </c>
    </row>
    <row r="14935" spans="1:2" x14ac:dyDescent="0.25">
      <c r="A14935" s="64" t="str">
        <f>HYPERLINK("http://www.twitter.com/catrin_in_a_box", "catrin_in_a_box")</f>
        <v>catrin_in_a_box</v>
      </c>
      <c r="B14935" s="65" t="s">
        <v>4019</v>
      </c>
    </row>
    <row r="14936" spans="1:2" x14ac:dyDescent="0.25">
      <c r="A14936" s="64" t="str">
        <f>HYPERLINK("http://www.twitter.com/CutPriceCarpet_", "CutPriceCarpet_")</f>
        <v>CutPriceCarpet_</v>
      </c>
      <c r="B14936" s="65"/>
    </row>
    <row r="14937" spans="1:2" x14ac:dyDescent="0.25">
      <c r="A14937" s="64" t="str">
        <f>HYPERLINK("http://www.twitter.com/Morven_Shearer", "Morven_Shearer")</f>
        <v>Morven_Shearer</v>
      </c>
      <c r="B14937" s="65"/>
    </row>
    <row r="14938" spans="1:2" x14ac:dyDescent="0.25">
      <c r="A14938" s="64" t="str">
        <f>HYPERLINK("http://www.twitter.com/snoakes7001", "snoakes7001")</f>
        <v>snoakes7001</v>
      </c>
      <c r="B14938" s="65" t="s">
        <v>5045</v>
      </c>
    </row>
    <row r="14939" spans="1:2" x14ac:dyDescent="0.25">
      <c r="A14939" s="64" t="str">
        <f>HYPERLINK("http://www.twitter.com/AnnabelWilson", "AnnabelWilson")</f>
        <v>AnnabelWilson</v>
      </c>
      <c r="B14939" s="65" t="s">
        <v>477</v>
      </c>
    </row>
    <row r="14940" spans="1:2" x14ac:dyDescent="0.25">
      <c r="A14940" s="64" t="str">
        <f>HYPERLINK("http://www.twitter.com/JennaAlicia", "JennaAlicia")</f>
        <v>JennaAlicia</v>
      </c>
      <c r="B14940" s="65" t="s">
        <v>7210</v>
      </c>
    </row>
    <row r="14941" spans="1:2" x14ac:dyDescent="0.25">
      <c r="A14941" s="64" t="str">
        <f>HYPERLINK("http://www.twitter.com/stbridelibrary", "stbridelibrary")</f>
        <v>stbridelibrary</v>
      </c>
      <c r="B14941" s="65" t="s">
        <v>88</v>
      </c>
    </row>
    <row r="14942" spans="1:2" x14ac:dyDescent="0.25">
      <c r="A14942" s="64" t="str">
        <f>HYPERLINK("http://www.twitter.com/andrewlogue", "andrewlogue")</f>
        <v>andrewlogue</v>
      </c>
      <c r="B14942" s="65" t="s">
        <v>67</v>
      </c>
    </row>
    <row r="14943" spans="1:2" x14ac:dyDescent="0.25">
      <c r="A14943" s="64" t="str">
        <f>HYPERLINK("http://www.twitter.com/RaliRalk", "RaliRalk")</f>
        <v>RaliRalk</v>
      </c>
      <c r="B14943" s="65"/>
    </row>
    <row r="14944" spans="1:2" x14ac:dyDescent="0.25">
      <c r="A14944" s="64" t="str">
        <f>HYPERLINK("http://www.twitter.com/pubnames", "pubnames")</f>
        <v>pubnames</v>
      </c>
      <c r="B14944" s="65"/>
    </row>
    <row r="14945" spans="1:2" x14ac:dyDescent="0.25">
      <c r="A14945" s="64" t="str">
        <f>HYPERLINK("http://www.twitter.com/bkeilig", "bkeilig")</f>
        <v>bkeilig</v>
      </c>
      <c r="B14945" s="65" t="s">
        <v>8407</v>
      </c>
    </row>
    <row r="14946" spans="1:2" x14ac:dyDescent="0.25">
      <c r="A14946" s="64" t="str">
        <f>HYPERLINK("http://www.twitter.com/LenaPottinger", "LenaPottinger")</f>
        <v>LenaPottinger</v>
      </c>
      <c r="B14946" s="65"/>
    </row>
    <row r="14947" spans="1:2" x14ac:dyDescent="0.25">
      <c r="A14947" s="64" t="str">
        <f>HYPERLINK("http://www.twitter.com/kathryn_elle", "kathryn_elle")</f>
        <v>kathryn_elle</v>
      </c>
      <c r="B14947" s="65" t="s">
        <v>702</v>
      </c>
    </row>
    <row r="14948" spans="1:2" x14ac:dyDescent="0.25">
      <c r="A14948" s="64" t="str">
        <f>HYPERLINK("http://www.twitter.com/BayUsedBooks", "BayUsedBooks")</f>
        <v>BayUsedBooks</v>
      </c>
      <c r="B14948" s="65" t="s">
        <v>8408</v>
      </c>
    </row>
    <row r="14949" spans="1:2" x14ac:dyDescent="0.25">
      <c r="A14949" s="64" t="str">
        <f>HYPERLINK("http://www.twitter.com/michelle62442", "michelle62442")</f>
        <v>michelle62442</v>
      </c>
      <c r="B14949" s="65" t="s">
        <v>3853</v>
      </c>
    </row>
    <row r="14950" spans="1:2" x14ac:dyDescent="0.25">
      <c r="A14950" s="64" t="str">
        <f>HYPERLINK("http://www.twitter.com/camelin7", "camelin7")</f>
        <v>camelin7</v>
      </c>
      <c r="B14950" s="65"/>
    </row>
    <row r="14951" spans="1:2" x14ac:dyDescent="0.25">
      <c r="A14951" s="64" t="str">
        <f>HYPERLINK("http://www.twitter.com/Kelly_Roddy", "Kelly_Roddy")</f>
        <v>Kelly_Roddy</v>
      </c>
      <c r="B14951" s="65"/>
    </row>
    <row r="14952" spans="1:2" x14ac:dyDescent="0.25">
      <c r="A14952" s="64" t="str">
        <f>HYPERLINK("http://www.twitter.com/hannah140290", "hannah140290")</f>
        <v>hannah140290</v>
      </c>
      <c r="B14952" s="65"/>
    </row>
    <row r="14953" spans="1:2" x14ac:dyDescent="0.25">
      <c r="A14953" s="64" t="str">
        <f>HYPERLINK("http://www.twitter.com/byJennyJohnston", "byJennyJohnston")</f>
        <v>byJennyJohnston</v>
      </c>
      <c r="B14953" s="65"/>
    </row>
    <row r="14954" spans="1:2" x14ac:dyDescent="0.25">
      <c r="A14954" s="64" t="str">
        <f>HYPERLINK("http://www.twitter.com/B_Chadd", "B_Chadd")</f>
        <v>B_Chadd</v>
      </c>
      <c r="B14954" s="65"/>
    </row>
    <row r="14955" spans="1:2" x14ac:dyDescent="0.25">
      <c r="A14955" s="64" t="str">
        <f>HYPERLINK("http://www.twitter.com/RedsKitten", "RedsKitten")</f>
        <v>RedsKitten</v>
      </c>
      <c r="B14955" s="65"/>
    </row>
    <row r="14956" spans="1:2" x14ac:dyDescent="0.25">
      <c r="A14956" s="64" t="str">
        <f>HYPERLINK("http://www.twitter.com/lindal061", "lindal061")</f>
        <v>lindal061</v>
      </c>
      <c r="B14956" s="65" t="s">
        <v>4061</v>
      </c>
    </row>
    <row r="14957" spans="1:2" x14ac:dyDescent="0.25">
      <c r="A14957" s="64" t="str">
        <f>HYPERLINK("http://www.twitter.com/kateapple", "kateapple")</f>
        <v>kateapple</v>
      </c>
      <c r="B14957" s="65" t="s">
        <v>3797</v>
      </c>
    </row>
    <row r="14958" spans="1:2" x14ac:dyDescent="0.25">
      <c r="A14958" s="64" t="str">
        <f>HYPERLINK("http://www.twitter.com/Moorhen2012", "Moorhen2012")</f>
        <v>Moorhen2012</v>
      </c>
      <c r="B14958" s="65" t="s">
        <v>5598</v>
      </c>
    </row>
    <row r="14959" spans="1:2" x14ac:dyDescent="0.25">
      <c r="A14959" s="64" t="str">
        <f>HYPERLINK("http://www.twitter.com/MlSjf", "MlSjf")</f>
        <v>MlSjf</v>
      </c>
      <c r="B14959" s="65"/>
    </row>
    <row r="14960" spans="1:2" x14ac:dyDescent="0.25">
      <c r="A14960" s="64" t="str">
        <f>HYPERLINK("http://www.twitter.com/_coffee_bean", "_coffee_bean")</f>
        <v>_coffee_bean</v>
      </c>
      <c r="B14960" s="65" t="s">
        <v>8409</v>
      </c>
    </row>
    <row r="14961" spans="1:2" x14ac:dyDescent="0.25">
      <c r="A14961" s="64" t="str">
        <f>HYPERLINK("http://www.twitter.com/sj_radford", "sj_radford")</f>
        <v>sj_radford</v>
      </c>
      <c r="B14961" s="65"/>
    </row>
    <row r="14962" spans="1:2" x14ac:dyDescent="0.25">
      <c r="A14962" s="64" t="str">
        <f>HYPERLINK("http://www.twitter.com/Aurorabeee", "Aurorabeee")</f>
        <v>Aurorabeee</v>
      </c>
      <c r="B14962" s="65" t="s">
        <v>8410</v>
      </c>
    </row>
    <row r="14963" spans="1:2" x14ac:dyDescent="0.25">
      <c r="A14963" s="64" t="str">
        <f>HYPERLINK("http://www.twitter.com/walshmegm", "walshmegm")</f>
        <v>walshmegm</v>
      </c>
      <c r="B14963" s="65"/>
    </row>
    <row r="14964" spans="1:2" x14ac:dyDescent="0.25">
      <c r="A14964" s="64" t="str">
        <f>HYPERLINK("http://www.twitter.com/billyryanwill", "billyryanwill")</f>
        <v>billyryanwill</v>
      </c>
      <c r="B14964" s="65"/>
    </row>
    <row r="14965" spans="1:2" x14ac:dyDescent="0.25">
      <c r="A14965" s="64" t="str">
        <f>HYPERLINK("http://www.twitter.com/JMChild", "JMChild")</f>
        <v>JMChild</v>
      </c>
      <c r="B14965" s="65"/>
    </row>
    <row r="14966" spans="1:2" x14ac:dyDescent="0.25">
      <c r="A14966" s="64" t="str">
        <f>HYPERLINK("http://www.twitter.com/intofilm_scot", "intofilm_scot")</f>
        <v>intofilm_scot</v>
      </c>
      <c r="B14966" s="65" t="s">
        <v>487</v>
      </c>
    </row>
    <row r="14967" spans="1:2" x14ac:dyDescent="0.25">
      <c r="A14967" s="64" t="str">
        <f>HYPERLINK("http://www.twitter.com/Akshay01shukla", "Akshay01shukla")</f>
        <v>Akshay01shukla</v>
      </c>
      <c r="B14967" s="65" t="s">
        <v>8411</v>
      </c>
    </row>
    <row r="14968" spans="1:2" x14ac:dyDescent="0.25">
      <c r="A14968" s="64" t="str">
        <f>HYPERLINK("http://www.twitter.com/ArddangosfaLLGC", "ArddangosfaLLGC")</f>
        <v>ArddangosfaLLGC</v>
      </c>
      <c r="B14968" s="65" t="s">
        <v>4562</v>
      </c>
    </row>
    <row r="14969" spans="1:2" x14ac:dyDescent="0.25">
      <c r="A14969" s="64" t="str">
        <f>HYPERLINK("http://www.twitter.com/thesubliminator", "thesubliminator")</f>
        <v>thesubliminator</v>
      </c>
      <c r="B14969" s="65"/>
    </row>
    <row r="14970" spans="1:2" x14ac:dyDescent="0.25">
      <c r="A14970" s="64" t="str">
        <f>HYPERLINK("http://www.twitter.com/BoringBurton", "BoringBurton")</f>
        <v>BoringBurton</v>
      </c>
      <c r="B14970" s="65" t="s">
        <v>70</v>
      </c>
    </row>
    <row r="14971" spans="1:2" x14ac:dyDescent="0.25">
      <c r="A14971" s="64" t="str">
        <f>HYPERLINK("http://www.twitter.com/dominic_mi", "dominic_mi")</f>
        <v>dominic_mi</v>
      </c>
      <c r="B14971" s="65"/>
    </row>
    <row r="14972" spans="1:2" x14ac:dyDescent="0.25">
      <c r="A14972" s="64" t="str">
        <f>HYPERLINK("http://www.twitter.com/prowlingtigress", "prowlingtigress")</f>
        <v>prowlingtigress</v>
      </c>
      <c r="B14972" s="65" t="s">
        <v>8412</v>
      </c>
    </row>
    <row r="14973" spans="1:2" x14ac:dyDescent="0.25">
      <c r="A14973" s="64" t="str">
        <f>HYPERLINK("http://www.twitter.com/MonkeyTennis14", "MonkeyTennis14")</f>
        <v>MonkeyTennis14</v>
      </c>
      <c r="B14973" s="65" t="s">
        <v>8413</v>
      </c>
    </row>
    <row r="14974" spans="1:2" x14ac:dyDescent="0.25">
      <c r="A14974" s="64" t="str">
        <f>HYPERLINK("http://www.twitter.com/Soc_of_Authors", "Soc_of_Authors")</f>
        <v>Soc_of_Authors</v>
      </c>
      <c r="B14974" s="65" t="s">
        <v>5477</v>
      </c>
    </row>
    <row r="14975" spans="1:2" x14ac:dyDescent="0.25">
      <c r="A14975" s="64" t="str">
        <f>HYPERLINK("http://www.twitter.com/LDiamondAuthor", "LDiamondAuthor")</f>
        <v>LDiamondAuthor</v>
      </c>
      <c r="B14975" s="65" t="s">
        <v>1098</v>
      </c>
    </row>
    <row r="14976" spans="1:2" x14ac:dyDescent="0.25">
      <c r="A14976" s="64" t="str">
        <f>HYPERLINK("http://www.twitter.com/policywonkier", "policywonkier")</f>
        <v>policywonkier</v>
      </c>
      <c r="B14976" s="65" t="s">
        <v>8414</v>
      </c>
    </row>
    <row r="14977" spans="1:2" x14ac:dyDescent="0.25">
      <c r="A14977" s="64" t="str">
        <f>HYPERLINK("http://www.twitter.com/heatheranthro", "heatheranthro")</f>
        <v>heatheranthro</v>
      </c>
      <c r="B14977" s="65" t="s">
        <v>837</v>
      </c>
    </row>
    <row r="14978" spans="1:2" x14ac:dyDescent="0.25">
      <c r="A14978" s="64" t="str">
        <f>HYPERLINK("http://www.twitter.com/karajrennie", "karajrennie")</f>
        <v>karajrennie</v>
      </c>
      <c r="B14978" s="65" t="s">
        <v>36</v>
      </c>
    </row>
    <row r="14979" spans="1:2" x14ac:dyDescent="0.25">
      <c r="A14979" s="64" t="str">
        <f>HYPERLINK("http://www.twitter.com/DeelyBopper", "DeelyBopper")</f>
        <v>DeelyBopper</v>
      </c>
      <c r="B14979" s="65" t="s">
        <v>93</v>
      </c>
    </row>
    <row r="14980" spans="1:2" x14ac:dyDescent="0.25">
      <c r="A14980" s="64" t="str">
        <f>HYPERLINK("http://www.twitter.com/lfmccartney", "lfmccartney")</f>
        <v>lfmccartney</v>
      </c>
      <c r="B14980" s="65" t="s">
        <v>318</v>
      </c>
    </row>
    <row r="14981" spans="1:2" x14ac:dyDescent="0.25">
      <c r="A14981" s="64" t="str">
        <f>HYPERLINK("http://www.twitter.com/Woodstock_tweet", "Woodstock_tweet")</f>
        <v>Woodstock_tweet</v>
      </c>
      <c r="B14981" s="65"/>
    </row>
    <row r="14982" spans="1:2" x14ac:dyDescent="0.25">
      <c r="A14982" s="64" t="str">
        <f>HYPERLINK("http://www.twitter.com/traceytweeting", "traceytweeting")</f>
        <v>traceytweeting</v>
      </c>
      <c r="B14982" s="65"/>
    </row>
    <row r="14983" spans="1:2" x14ac:dyDescent="0.25">
      <c r="A14983" s="64" t="str">
        <f>HYPERLINK("http://www.twitter.com/Hughesy1967", "Hughesy1967")</f>
        <v>Hughesy1967</v>
      </c>
      <c r="B14983" s="65" t="s">
        <v>138</v>
      </c>
    </row>
    <row r="14984" spans="1:2" x14ac:dyDescent="0.25">
      <c r="A14984" s="64" t="str">
        <f>HYPERLINK("http://www.twitter.com/Visible_Women", "Visible_Women")</f>
        <v>Visible_Women</v>
      </c>
      <c r="B14984" s="65" t="s">
        <v>8415</v>
      </c>
    </row>
    <row r="14985" spans="1:2" x14ac:dyDescent="0.25">
      <c r="A14985" s="64" t="str">
        <f>HYPERLINK("http://www.twitter.com/Kristi42620393", "Kristi42620393")</f>
        <v>Kristi42620393</v>
      </c>
      <c r="B14985" s="65"/>
    </row>
    <row r="14986" spans="1:2" x14ac:dyDescent="0.25">
      <c r="A14986" s="64" t="str">
        <f>HYPERLINK("http://www.twitter.com/EnquiryTracker", "EnquiryTracker")</f>
        <v>EnquiryTracker</v>
      </c>
      <c r="B14986" s="65" t="s">
        <v>3281</v>
      </c>
    </row>
    <row r="14987" spans="1:2" x14ac:dyDescent="0.25">
      <c r="A14987" s="64" t="str">
        <f>HYPERLINK("http://www.twitter.com/peterdroberts", "peterdroberts")</f>
        <v>peterdroberts</v>
      </c>
      <c r="B14987" s="65" t="s">
        <v>61</v>
      </c>
    </row>
    <row r="14988" spans="1:2" x14ac:dyDescent="0.25">
      <c r="A14988" s="64" t="str">
        <f>HYPERLINK("http://www.twitter.com/jennyalexander4", "jennyalexander4")</f>
        <v>jennyalexander4</v>
      </c>
      <c r="B14988" s="65" t="s">
        <v>6147</v>
      </c>
    </row>
    <row r="14989" spans="1:2" x14ac:dyDescent="0.25">
      <c r="A14989" s="64" t="str">
        <f>HYPERLINK("http://www.twitter.com/Folktalejewelry", "Folktalejewelry")</f>
        <v>Folktalejewelry</v>
      </c>
      <c r="B14989" s="65" t="s">
        <v>36</v>
      </c>
    </row>
    <row r="14990" spans="1:2" x14ac:dyDescent="0.25">
      <c r="A14990" s="64" t="str">
        <f>HYPERLINK("http://www.twitter.com/Melpomuse", "Melpomuse")</f>
        <v>Melpomuse</v>
      </c>
      <c r="B14990" s="65" t="s">
        <v>8416</v>
      </c>
    </row>
    <row r="14991" spans="1:2" x14ac:dyDescent="0.25">
      <c r="A14991" s="64" t="str">
        <f>HYPERLINK("http://www.twitter.com/harri1518", "harri1518")</f>
        <v>harri1518</v>
      </c>
      <c r="B14991" s="65"/>
    </row>
    <row r="14992" spans="1:2" x14ac:dyDescent="0.25">
      <c r="A14992" s="64" t="str">
        <f>HYPERLINK("http://www.twitter.com/purpleTerath", "purpleTerath")</f>
        <v>purpleTerath</v>
      </c>
      <c r="B14992" s="65" t="s">
        <v>33</v>
      </c>
    </row>
    <row r="14993" spans="1:2" x14ac:dyDescent="0.25">
      <c r="A14993" s="64" t="str">
        <f>HYPERLINK("http://www.twitter.com/RebekaHorvath", "RebekaHorvath")</f>
        <v>RebekaHorvath</v>
      </c>
      <c r="B14993" s="65"/>
    </row>
    <row r="14994" spans="1:2" x14ac:dyDescent="0.25">
      <c r="A14994" s="64" t="str">
        <f>HYPERLINK("http://www.twitter.com/PennyHopkins3", "PennyHopkins3")</f>
        <v>PennyHopkins3</v>
      </c>
      <c r="B14994" s="65" t="s">
        <v>1876</v>
      </c>
    </row>
    <row r="14995" spans="1:2" x14ac:dyDescent="0.25">
      <c r="A14995" s="64" t="str">
        <f>HYPERLINK("http://www.twitter.com/annie_cw", "annie_cw")</f>
        <v>annie_cw</v>
      </c>
      <c r="B14995" s="65"/>
    </row>
    <row r="14996" spans="1:2" x14ac:dyDescent="0.25">
      <c r="A14996" s="64" t="str">
        <f>HYPERLINK("http://www.twitter.com/me1969new", "me1969new")</f>
        <v>me1969new</v>
      </c>
      <c r="B14996" s="65"/>
    </row>
    <row r="14997" spans="1:2" x14ac:dyDescent="0.25">
      <c r="A14997" s="64" t="str">
        <f>HYPERLINK("http://www.twitter.com/janacoetzee", "janacoetzee")</f>
        <v>janacoetzee</v>
      </c>
      <c r="B14997" s="65" t="s">
        <v>8417</v>
      </c>
    </row>
    <row r="14998" spans="1:2" x14ac:dyDescent="0.25">
      <c r="A14998" s="64" t="str">
        <f>HYPERLINK("http://www.twitter.com/guptgargi", "guptgargi")</f>
        <v>guptgargi</v>
      </c>
      <c r="B14998" s="65" t="s">
        <v>296</v>
      </c>
    </row>
    <row r="14999" spans="1:2" x14ac:dyDescent="0.25">
      <c r="A14999" s="64" t="str">
        <f>HYPERLINK("http://www.twitter.com/abiclarewhite", "abiclarewhite")</f>
        <v>abiclarewhite</v>
      </c>
      <c r="B14999" s="65"/>
    </row>
    <row r="15000" spans="1:2" x14ac:dyDescent="0.25">
      <c r="A15000" s="64" t="str">
        <f>HYPERLINK("http://www.twitter.com/GBKarthi", "GBKarthi")</f>
        <v>GBKarthi</v>
      </c>
      <c r="B15000" s="65"/>
    </row>
    <row r="15001" spans="1:2" x14ac:dyDescent="0.25">
      <c r="A15001" s="64" t="str">
        <f>HYPERLINK("http://www.twitter.com/Jay_MW", "Jay_MW")</f>
        <v>Jay_MW</v>
      </c>
      <c r="B15001" s="65" t="s">
        <v>5766</v>
      </c>
    </row>
    <row r="15002" spans="1:2" x14ac:dyDescent="0.25">
      <c r="A15002" s="64" t="str">
        <f>HYPERLINK("http://www.twitter.com/DonaF", "DonaF")</f>
        <v>DonaF</v>
      </c>
      <c r="B15002" s="65"/>
    </row>
    <row r="15003" spans="1:2" x14ac:dyDescent="0.25">
      <c r="A15003" s="64" t="str">
        <f>HYPERLINK("http://www.twitter.com/GeneralDan", "GeneralDan")</f>
        <v>GeneralDan</v>
      </c>
      <c r="B15003" s="65" t="s">
        <v>8418</v>
      </c>
    </row>
    <row r="15004" spans="1:2" x14ac:dyDescent="0.25">
      <c r="A15004" s="64" t="str">
        <f>HYPERLINK("http://www.twitter.com/2ndGuardian", "2ndGuardian")</f>
        <v>2ndGuardian</v>
      </c>
      <c r="B15004" s="65" t="s">
        <v>8419</v>
      </c>
    </row>
    <row r="15005" spans="1:2" x14ac:dyDescent="0.25">
      <c r="A15005" s="64" t="str">
        <f>HYPERLINK("http://www.twitter.com/judy_threlfall", "judy_threlfall")</f>
        <v>judy_threlfall</v>
      </c>
      <c r="B15005" s="65"/>
    </row>
    <row r="15006" spans="1:2" x14ac:dyDescent="0.25">
      <c r="A15006" s="64" t="str">
        <f>HYPERLINK("http://www.twitter.com/laura_koala28", "laura_koala28")</f>
        <v>laura_koala28</v>
      </c>
      <c r="B15006" s="65" t="s">
        <v>4442</v>
      </c>
    </row>
    <row r="15007" spans="1:2" x14ac:dyDescent="0.25">
      <c r="A15007" s="64" t="str">
        <f>HYPERLINK("http://www.twitter.com/HBWC", "HBWC")</f>
        <v>HBWC</v>
      </c>
      <c r="B15007" s="65" t="s">
        <v>4050</v>
      </c>
    </row>
    <row r="15008" spans="1:2" x14ac:dyDescent="0.25">
      <c r="A15008" s="64" t="str">
        <f>HYPERLINK("http://www.twitter.com/GregorQueen", "GregorQueen")</f>
        <v>GregorQueen</v>
      </c>
      <c r="B15008" s="65"/>
    </row>
    <row r="15009" spans="1:2" x14ac:dyDescent="0.25">
      <c r="A15009" s="64" t="str">
        <f>HYPERLINK("http://www.twitter.com/25dorothy", "25dorothy")</f>
        <v>25dorothy</v>
      </c>
      <c r="B15009" s="65" t="s">
        <v>8420</v>
      </c>
    </row>
    <row r="15010" spans="1:2" x14ac:dyDescent="0.25">
      <c r="A15010" s="64" t="str">
        <f>HYPERLINK("http://www.twitter.com/NormalInMyHouse", "NormalInMyHouse")</f>
        <v>NormalInMyHouse</v>
      </c>
      <c r="B15010" s="65"/>
    </row>
    <row r="15011" spans="1:2" x14ac:dyDescent="0.25">
      <c r="A15011" s="64" t="str">
        <f>HYPERLINK("http://www.twitter.com/sassysumo_", "sassysumo_")</f>
        <v>sassysumo_</v>
      </c>
      <c r="B15011" s="65" t="s">
        <v>477</v>
      </c>
    </row>
    <row r="15012" spans="1:2" x14ac:dyDescent="0.25">
      <c r="A15012" s="64" t="str">
        <f>HYPERLINK("http://www.twitter.com/biffer1976", "biffer1976")</f>
        <v>biffer1976</v>
      </c>
      <c r="B15012" s="65"/>
    </row>
    <row r="15013" spans="1:2" x14ac:dyDescent="0.25">
      <c r="A15013" s="64" t="str">
        <f>HYPERLINK("http://www.twitter.com/Bookworm_1986", "Bookworm_1986")</f>
        <v>Bookworm_1986</v>
      </c>
      <c r="B15013" s="65"/>
    </row>
    <row r="15014" spans="1:2" x14ac:dyDescent="0.25">
      <c r="A15014" s="64" t="str">
        <f>HYPERLINK("http://www.twitter.com/h_mccready", "h_mccready")</f>
        <v>h_mccready</v>
      </c>
      <c r="B15014" s="65" t="s">
        <v>2007</v>
      </c>
    </row>
    <row r="15015" spans="1:2" x14ac:dyDescent="0.25">
      <c r="A15015" s="64" t="str">
        <f>HYPERLINK("http://www.twitter.com/hbruce71", "hbruce71")</f>
        <v>hbruce71</v>
      </c>
      <c r="B15015" s="65"/>
    </row>
    <row r="15016" spans="1:2" x14ac:dyDescent="0.25">
      <c r="A15016" s="64" t="str">
        <f>HYPERLINK("http://www.twitter.com/bradgui2", "bradgui2")</f>
        <v>bradgui2</v>
      </c>
      <c r="B15016" s="65"/>
    </row>
    <row r="15017" spans="1:2" x14ac:dyDescent="0.25">
      <c r="A15017" s="64" t="str">
        <f>HYPERLINK("http://www.twitter.com/dcypnie21", "dcypnie21")</f>
        <v>dcypnie21</v>
      </c>
      <c r="B15017" s="65" t="s">
        <v>8421</v>
      </c>
    </row>
    <row r="15018" spans="1:2" x14ac:dyDescent="0.25">
      <c r="A15018" s="64" t="str">
        <f>HYPERLINK("http://www.twitter.com/MrsEyeNoise", "MrsEyeNoise")</f>
        <v>MrsEyeNoise</v>
      </c>
      <c r="B15018" s="65"/>
    </row>
    <row r="15019" spans="1:2" x14ac:dyDescent="0.25">
      <c r="A15019" s="64" t="str">
        <f>HYPERLINK("http://www.twitter.com/StanleighEffie", "StanleighEffie")</f>
        <v>StanleighEffie</v>
      </c>
      <c r="B15019" s="65" t="s">
        <v>8422</v>
      </c>
    </row>
    <row r="15020" spans="1:2" x14ac:dyDescent="0.25">
      <c r="A15020" s="64" t="str">
        <f>HYPERLINK("http://www.twitter.com/rta_scales", "rta_scales")</f>
        <v>rta_scales</v>
      </c>
      <c r="B15020" s="65"/>
    </row>
    <row r="15021" spans="1:2" x14ac:dyDescent="0.25">
      <c r="A15021" s="64" t="str">
        <f>HYPERLINK("http://www.twitter.com/jameshuttdixon", "jameshuttdixon")</f>
        <v>jameshuttdixon</v>
      </c>
      <c r="B15021" s="65" t="s">
        <v>8423</v>
      </c>
    </row>
    <row r="15022" spans="1:2" x14ac:dyDescent="0.25">
      <c r="A15022" s="64" t="str">
        <f>HYPERLINK("http://www.twitter.com/pjinexile", "pjinexile")</f>
        <v>pjinexile</v>
      </c>
      <c r="B15022" s="65"/>
    </row>
    <row r="15023" spans="1:2" x14ac:dyDescent="0.25">
      <c r="A15023" s="64" t="str">
        <f>HYPERLINK("http://www.twitter.com/paigegrasty", "paigegrasty")</f>
        <v>paigegrasty</v>
      </c>
      <c r="B15023" s="65"/>
    </row>
    <row r="15024" spans="1:2" x14ac:dyDescent="0.25">
      <c r="A15024" s="64" t="str">
        <f>HYPERLINK("http://www.twitter.com/EmoBitch148", "EmoBitch148")</f>
        <v>EmoBitch148</v>
      </c>
      <c r="B15024" s="65" t="s">
        <v>3854</v>
      </c>
    </row>
    <row r="15025" spans="1:2" x14ac:dyDescent="0.25">
      <c r="A15025" s="64" t="str">
        <f>HYPERLINK("http://www.twitter.com/JaimeSolerF", "JaimeSolerF")</f>
        <v>JaimeSolerF</v>
      </c>
      <c r="B15025" s="65"/>
    </row>
    <row r="15026" spans="1:2" x14ac:dyDescent="0.25">
      <c r="A15026" s="64" t="str">
        <f>HYPERLINK("http://www.twitter.com/amodernportrait", "amodernportrait")</f>
        <v>amodernportrait</v>
      </c>
      <c r="B15026" s="65" t="s">
        <v>8424</v>
      </c>
    </row>
    <row r="15027" spans="1:2" x14ac:dyDescent="0.25">
      <c r="A15027" s="64" t="str">
        <f>HYPERLINK("http://www.twitter.com/KymBrinkley", "KymBrinkley")</f>
        <v>KymBrinkley</v>
      </c>
      <c r="B15027" s="65" t="s">
        <v>4229</v>
      </c>
    </row>
    <row r="15028" spans="1:2" x14ac:dyDescent="0.25">
      <c r="A15028" s="64" t="str">
        <f>HYPERLINK("http://www.twitter.com/kbryns36", "kbryns36")</f>
        <v>kbryns36</v>
      </c>
      <c r="B15028" s="65" t="s">
        <v>4924</v>
      </c>
    </row>
    <row r="15029" spans="1:2" x14ac:dyDescent="0.25">
      <c r="A15029" s="64" t="str">
        <f>HYPERLINK("http://www.twitter.com/normalblackchic", "normalblackchic")</f>
        <v>normalblackchic</v>
      </c>
      <c r="B15029" s="65" t="s">
        <v>8425</v>
      </c>
    </row>
    <row r="15030" spans="1:2" x14ac:dyDescent="0.25">
      <c r="A15030" s="64" t="str">
        <f>HYPERLINK("http://www.twitter.com/freemanedwina1", "freemanedwina1")</f>
        <v>freemanedwina1</v>
      </c>
      <c r="B15030" s="65"/>
    </row>
    <row r="15031" spans="1:2" x14ac:dyDescent="0.25">
      <c r="A15031" s="64" t="str">
        <f>HYPERLINK("http://www.twitter.com/nabenn67", "nabenn67")</f>
        <v>nabenn67</v>
      </c>
      <c r="B15031" s="65" t="s">
        <v>8426</v>
      </c>
    </row>
    <row r="15032" spans="1:2" x14ac:dyDescent="0.25">
      <c r="A15032" s="64" t="str">
        <f>HYPERLINK("http://www.twitter.com/ellaismine_", "ellaismine_")</f>
        <v>ellaismine_</v>
      </c>
      <c r="B15032" s="65"/>
    </row>
    <row r="15033" spans="1:2" x14ac:dyDescent="0.25">
      <c r="A15033" s="64" t="str">
        <f>HYPERLINK("http://www.twitter.com/TheJojoBride", "TheJojoBride")</f>
        <v>TheJojoBride</v>
      </c>
      <c r="B15033" s="65" t="s">
        <v>8427</v>
      </c>
    </row>
    <row r="15034" spans="1:2" x14ac:dyDescent="0.25">
      <c r="A15034" s="64" t="str">
        <f>HYPERLINK("http://www.twitter.com/SomeCrazyChick", "SomeCrazyChick")</f>
        <v>SomeCrazyChick</v>
      </c>
      <c r="B15034" s="65"/>
    </row>
    <row r="15035" spans="1:2" x14ac:dyDescent="0.25">
      <c r="A15035" s="64" t="str">
        <f>HYPERLINK("http://www.twitter.com/Imrozz", "Imrozz")</f>
        <v>Imrozz</v>
      </c>
      <c r="B15035" s="65" t="s">
        <v>4492</v>
      </c>
    </row>
    <row r="15036" spans="1:2" x14ac:dyDescent="0.25">
      <c r="A15036" s="64" t="str">
        <f>HYPERLINK("http://www.twitter.com/MargueriteBeaty", "MargueriteBeaty")</f>
        <v>MargueriteBeaty</v>
      </c>
      <c r="B15036" s="65" t="s">
        <v>4579</v>
      </c>
    </row>
    <row r="15037" spans="1:2" x14ac:dyDescent="0.25">
      <c r="A15037" s="64" t="str">
        <f>HYPERLINK("http://www.twitter.com/adventurinjamie", "adventurinjamie")</f>
        <v>adventurinjamie</v>
      </c>
      <c r="B15037" s="65" t="s">
        <v>4542</v>
      </c>
    </row>
    <row r="15038" spans="1:2" x14ac:dyDescent="0.25">
      <c r="A15038" s="64" t="str">
        <f>HYPERLINK("http://www.twitter.com/goddessriss", "goddessriss")</f>
        <v>goddessriss</v>
      </c>
      <c r="B15038" s="65" t="s">
        <v>837</v>
      </c>
    </row>
    <row r="15039" spans="1:2" x14ac:dyDescent="0.25">
      <c r="A15039" s="64" t="str">
        <f>HYPERLINK("http://www.twitter.com/anjahall212", "anjahall212")</f>
        <v>anjahall212</v>
      </c>
      <c r="B15039" s="65" t="s">
        <v>20</v>
      </c>
    </row>
    <row r="15040" spans="1:2" x14ac:dyDescent="0.25">
      <c r="A15040" s="64" t="str">
        <f>HYPERLINK("http://www.twitter.com/ShonaWn", "ShonaWn")</f>
        <v>ShonaWn</v>
      </c>
      <c r="B15040" s="65"/>
    </row>
    <row r="15041" spans="1:2" x14ac:dyDescent="0.25">
      <c r="A15041" s="64" t="str">
        <f>HYPERLINK("http://www.twitter.com/sjoh0050", "sjoh0050")</f>
        <v>sjoh0050</v>
      </c>
      <c r="B15041" s="65" t="s">
        <v>505</v>
      </c>
    </row>
    <row r="15042" spans="1:2" x14ac:dyDescent="0.25">
      <c r="A15042" s="64" t="str">
        <f>HYPERLINK("http://www.twitter.com/Lucy_1103", "Lucy_1103")</f>
        <v>Lucy_1103</v>
      </c>
      <c r="B15042" s="65"/>
    </row>
    <row r="15043" spans="1:2" x14ac:dyDescent="0.25">
      <c r="A15043" s="64" t="str">
        <f>HYPERLINK("http://www.twitter.com/tayloizz", "tayloizz")</f>
        <v>tayloizz</v>
      </c>
      <c r="B15043" s="65" t="s">
        <v>36</v>
      </c>
    </row>
    <row r="15044" spans="1:2" x14ac:dyDescent="0.25">
      <c r="A15044" s="64" t="str">
        <f>HYPERLINK("http://www.twitter.com/CasaEnlatada", "CasaEnlatada")</f>
        <v>CasaEnlatada</v>
      </c>
      <c r="B15044" s="65" t="s">
        <v>8428</v>
      </c>
    </row>
    <row r="15045" spans="1:2" x14ac:dyDescent="0.25">
      <c r="A15045" s="64" t="str">
        <f>HYPERLINK("http://www.twitter.com/algebraadams", "algebraadams")</f>
        <v>algebraadams</v>
      </c>
      <c r="B15045" s="65"/>
    </row>
    <row r="15046" spans="1:2" x14ac:dyDescent="0.25">
      <c r="A15046" s="64" t="str">
        <f>HYPERLINK("http://www.twitter.com/rfsymonds", "rfsymonds")</f>
        <v>rfsymonds</v>
      </c>
      <c r="B15046" s="65" t="s">
        <v>20</v>
      </c>
    </row>
    <row r="15047" spans="1:2" x14ac:dyDescent="0.25">
      <c r="A15047" s="64" t="str">
        <f>HYPERLINK("http://www.twitter.com/mary_fagan", "mary_fagan")</f>
        <v>mary_fagan</v>
      </c>
      <c r="B15047" s="65" t="s">
        <v>3347</v>
      </c>
    </row>
    <row r="15048" spans="1:2" x14ac:dyDescent="0.25">
      <c r="A15048" s="64" t="str">
        <f>HYPERLINK("http://www.twitter.com/miss_ellen_m", "miss_ellen_m")</f>
        <v>miss_ellen_m</v>
      </c>
      <c r="B15048" s="65" t="s">
        <v>8429</v>
      </c>
    </row>
    <row r="15049" spans="1:2" x14ac:dyDescent="0.25">
      <c r="A15049" s="64" t="str">
        <f>HYPERLINK("http://www.twitter.com/TsungWei", "TsungWei")</f>
        <v>TsungWei</v>
      </c>
      <c r="B15049" s="65" t="s">
        <v>477</v>
      </c>
    </row>
    <row r="15050" spans="1:2" x14ac:dyDescent="0.25">
      <c r="A15050" s="64" t="str">
        <f>HYPERLINK("http://www.twitter.com/CarrotsSmiley", "CarrotsSmiley")</f>
        <v>CarrotsSmiley</v>
      </c>
      <c r="B15050" s="65"/>
    </row>
    <row r="15051" spans="1:2" x14ac:dyDescent="0.25">
      <c r="A15051" s="64" t="str">
        <f>HYPERLINK("http://www.twitter.com/su3p3rpr3dator", "su3p3rpr3dator")</f>
        <v>su3p3rpr3dator</v>
      </c>
      <c r="B15051" s="65"/>
    </row>
    <row r="15052" spans="1:2" x14ac:dyDescent="0.25">
      <c r="A15052" s="64" t="str">
        <f>HYPERLINK("http://www.twitter.com/noelashford", "noelashford")</f>
        <v>noelashford</v>
      </c>
      <c r="B15052" s="65" t="s">
        <v>8430</v>
      </c>
    </row>
    <row r="15053" spans="1:2" x14ac:dyDescent="0.25">
      <c r="A15053" s="64" t="str">
        <f>HYPERLINK("http://www.twitter.com/frangordon_", "frangordon_")</f>
        <v>frangordon_</v>
      </c>
      <c r="B15053" s="65" t="s">
        <v>36</v>
      </c>
    </row>
    <row r="15054" spans="1:2" x14ac:dyDescent="0.25">
      <c r="A15054" s="64" t="str">
        <f>HYPERLINK("http://www.twitter.com/carollineolliv3", "carollineolliv3")</f>
        <v>carollineolliv3</v>
      </c>
      <c r="B15054" s="65" t="s">
        <v>8431</v>
      </c>
    </row>
    <row r="15055" spans="1:2" x14ac:dyDescent="0.25">
      <c r="A15055" s="64" t="str">
        <f>HYPERLINK("http://www.twitter.com/SueEllCee", "SueEllCee")</f>
        <v>SueEllCee</v>
      </c>
      <c r="B15055" s="65" t="s">
        <v>4147</v>
      </c>
    </row>
    <row r="15056" spans="1:2" x14ac:dyDescent="0.25">
      <c r="A15056" s="64" t="str">
        <f>HYPERLINK("http://www.twitter.com/JRELibrary", "JRELibrary")</f>
        <v>JRELibrary</v>
      </c>
      <c r="B15056" s="65" t="s">
        <v>8432</v>
      </c>
    </row>
    <row r="15057" spans="1:2" x14ac:dyDescent="0.25">
      <c r="A15057" s="64" t="str">
        <f>HYPERLINK("http://www.twitter.com/sciencekate1", "sciencekate1")</f>
        <v>sciencekate1</v>
      </c>
      <c r="B15057" s="65" t="s">
        <v>487</v>
      </c>
    </row>
    <row r="15058" spans="1:2" x14ac:dyDescent="0.25">
      <c r="A15058" s="64" t="str">
        <f>HYPERLINK("http://www.twitter.com/Happy16438967", "Happy16438967")</f>
        <v>Happy16438967</v>
      </c>
      <c r="B15058" s="65"/>
    </row>
    <row r="15059" spans="1:2" x14ac:dyDescent="0.25">
      <c r="A15059" s="64" t="str">
        <f>HYPERLINK("http://www.twitter.com/hmfreer", "hmfreer")</f>
        <v>hmfreer</v>
      </c>
      <c r="B15059" s="65" t="s">
        <v>4500</v>
      </c>
    </row>
    <row r="15060" spans="1:2" x14ac:dyDescent="0.25">
      <c r="A15060" s="64" t="str">
        <f>HYPERLINK("http://www.twitter.com/JanetWhyte", "JanetWhyte")</f>
        <v>JanetWhyte</v>
      </c>
      <c r="B15060" s="65"/>
    </row>
    <row r="15061" spans="1:2" x14ac:dyDescent="0.25">
      <c r="A15061" s="64" t="str">
        <f>HYPERLINK("http://www.twitter.com/Reallyish", "Reallyish")</f>
        <v>Reallyish</v>
      </c>
      <c r="B15061" s="65" t="s">
        <v>4246</v>
      </c>
    </row>
    <row r="15062" spans="1:2" x14ac:dyDescent="0.25">
      <c r="A15062" s="64" t="str">
        <f>HYPERLINK("http://www.twitter.com/phoebecodling", "phoebecodling")</f>
        <v>phoebecodling</v>
      </c>
      <c r="B15062" s="65" t="s">
        <v>8433</v>
      </c>
    </row>
    <row r="15063" spans="1:2" x14ac:dyDescent="0.25">
      <c r="A15063" s="64" t="str">
        <f>HYPERLINK("http://www.twitter.com/heatherrg", "heatherrg")</f>
        <v>heatherrg</v>
      </c>
      <c r="B15063" s="65" t="s">
        <v>1490</v>
      </c>
    </row>
    <row r="15064" spans="1:2" x14ac:dyDescent="0.25">
      <c r="A15064" s="64" t="str">
        <f>HYPERLINK("http://www.twitter.com/heather_twit", "heather_twit")</f>
        <v>heather_twit</v>
      </c>
      <c r="B15064" s="65" t="s">
        <v>8434</v>
      </c>
    </row>
    <row r="15065" spans="1:2" x14ac:dyDescent="0.25">
      <c r="A15065" s="64" t="str">
        <f>HYPERLINK("http://www.twitter.com/TWMAMA", "TWMAMA")</f>
        <v>TWMAMA</v>
      </c>
      <c r="B15065" s="65" t="s">
        <v>8435</v>
      </c>
    </row>
    <row r="15066" spans="1:2" x14ac:dyDescent="0.25">
      <c r="A15066" s="64" t="str">
        <f>HYPERLINK("http://www.twitter.com/samdonnachie", "samdonnachie")</f>
        <v>samdonnachie</v>
      </c>
      <c r="B15066" s="65"/>
    </row>
    <row r="15067" spans="1:2" x14ac:dyDescent="0.25">
      <c r="A15067" s="64" t="str">
        <f>HYPERLINK("http://www.twitter.com/DryRedFrog", "DryRedFrog")</f>
        <v>DryRedFrog</v>
      </c>
      <c r="B15067" s="65"/>
    </row>
    <row r="15068" spans="1:2" x14ac:dyDescent="0.25">
      <c r="A15068" s="64" t="str">
        <f>HYPERLINK("http://www.twitter.com/BellAinslie", "BellAinslie")</f>
        <v>BellAinslie</v>
      </c>
      <c r="B15068" s="65"/>
    </row>
    <row r="15069" spans="1:2" x14ac:dyDescent="0.25">
      <c r="A15069" s="64" t="str">
        <f>HYPERLINK("http://www.twitter.com/TheBehemothCat", "TheBehemothCat")</f>
        <v>TheBehemothCat</v>
      </c>
      <c r="B15069" s="65"/>
    </row>
    <row r="15070" spans="1:2" x14ac:dyDescent="0.25">
      <c r="A15070" s="64" t="str">
        <f>HYPERLINK("http://www.twitter.com/otheronecat", "otheronecat")</f>
        <v>otheronecat</v>
      </c>
      <c r="B15070" s="65"/>
    </row>
    <row r="15071" spans="1:2" x14ac:dyDescent="0.25">
      <c r="A15071" s="64" t="str">
        <f>HYPERLINK("http://www.twitter.com/RosaDaughter", "RosaDaughter")</f>
        <v>RosaDaughter</v>
      </c>
      <c r="B15071" s="65"/>
    </row>
    <row r="15072" spans="1:2" x14ac:dyDescent="0.25">
      <c r="A15072" s="64" t="str">
        <f>HYPERLINK("http://www.twitter.com/rimacpherson", "rimacpherson")</f>
        <v>rimacpherson</v>
      </c>
      <c r="B15072" s="65"/>
    </row>
    <row r="15073" spans="1:2" x14ac:dyDescent="0.25">
      <c r="A15073" s="64" t="str">
        <f>HYPERLINK("http://www.twitter.com/mforsis", "mforsis")</f>
        <v>mforsis</v>
      </c>
      <c r="B15073" s="65" t="s">
        <v>8436</v>
      </c>
    </row>
    <row r="15074" spans="1:2" x14ac:dyDescent="0.25">
      <c r="A15074" s="64" t="str">
        <f>HYPERLINK("http://www.twitter.com/ohlittlechief", "ohlittlechief")</f>
        <v>ohlittlechief</v>
      </c>
      <c r="B15074" s="65" t="s">
        <v>8437</v>
      </c>
    </row>
    <row r="15075" spans="1:2" x14ac:dyDescent="0.25">
      <c r="A15075" s="64" t="str">
        <f>HYPERLINK("http://www.twitter.com/ProgrammerRcf", "ProgrammerRcf")</f>
        <v>ProgrammerRcf</v>
      </c>
      <c r="B15075" s="65" t="s">
        <v>8438</v>
      </c>
    </row>
    <row r="15076" spans="1:2" x14ac:dyDescent="0.25">
      <c r="A15076" s="64" t="str">
        <f>HYPERLINK("http://www.twitter.com/CEdininny", "CEdininny")</f>
        <v>CEdininny</v>
      </c>
      <c r="B15076" s="65"/>
    </row>
    <row r="15077" spans="1:2" x14ac:dyDescent="0.25">
      <c r="A15077" s="64" t="str">
        <f>HYPERLINK("http://www.twitter.com/JoBoaden", "JoBoaden")</f>
        <v>JoBoaden</v>
      </c>
      <c r="B15077" s="65" t="s">
        <v>5942</v>
      </c>
    </row>
    <row r="15078" spans="1:2" x14ac:dyDescent="0.25">
      <c r="A15078" s="64" t="str">
        <f>HYPERLINK("http://www.twitter.com/heatherdrever6", "heatherdrever6")</f>
        <v>heatherdrever6</v>
      </c>
      <c r="B15078" s="65"/>
    </row>
    <row r="15079" spans="1:2" x14ac:dyDescent="0.25">
      <c r="A15079" s="64" t="str">
        <f>HYPERLINK("http://www.twitter.com/isobelburton", "isobelburton")</f>
        <v>isobelburton</v>
      </c>
      <c r="B15079" s="65" t="s">
        <v>36</v>
      </c>
    </row>
    <row r="15080" spans="1:2" x14ac:dyDescent="0.25">
      <c r="A15080" s="64" t="str">
        <f>HYPERLINK("http://www.twitter.com/amberprophet", "amberprophet")</f>
        <v>amberprophet</v>
      </c>
      <c r="B15080" s="65"/>
    </row>
    <row r="15081" spans="1:2" x14ac:dyDescent="0.25">
      <c r="A15081" s="64" t="str">
        <f>HYPERLINK("http://www.twitter.com/_JacMac_", "_JacMac_")</f>
        <v>_JacMac_</v>
      </c>
      <c r="B15081" s="65"/>
    </row>
    <row r="15082" spans="1:2" x14ac:dyDescent="0.25">
      <c r="A15082" s="64" t="str">
        <f>HYPERLINK("http://www.twitter.com/jesusrock7", "jesusrock7")</f>
        <v>jesusrock7</v>
      </c>
      <c r="B15082" s="65" t="s">
        <v>8439</v>
      </c>
    </row>
    <row r="15083" spans="1:2" x14ac:dyDescent="0.25">
      <c r="A15083" s="64" t="str">
        <f>HYPERLINK("http://www.twitter.com/got_some_apples", "got_some_apples")</f>
        <v>got_some_apples</v>
      </c>
      <c r="B15083" s="65"/>
    </row>
    <row r="15084" spans="1:2" x14ac:dyDescent="0.25">
      <c r="A15084" s="64" t="str">
        <f>HYPERLINK("http://www.twitter.com/katewithnoi", "katewithnoi")</f>
        <v>katewithnoi</v>
      </c>
      <c r="B15084" s="65"/>
    </row>
    <row r="15085" spans="1:2" x14ac:dyDescent="0.25">
      <c r="A15085" s="64" t="str">
        <f>HYPERLINK("http://www.twitter.com/Bezanna", "Bezanna")</f>
        <v>Bezanna</v>
      </c>
      <c r="B15085" s="65" t="s">
        <v>8440</v>
      </c>
    </row>
    <row r="15086" spans="1:2" x14ac:dyDescent="0.25">
      <c r="A15086" s="64" t="str">
        <f>HYPERLINK("http://www.twitter.com/Anyamw", "Anyamw")</f>
        <v>Anyamw</v>
      </c>
      <c r="B15086" s="65" t="s">
        <v>477</v>
      </c>
    </row>
    <row r="15087" spans="1:2" x14ac:dyDescent="0.25">
      <c r="A15087" s="64" t="str">
        <f>HYPERLINK("http://www.twitter.com/marissagawel", "marissagawel")</f>
        <v>marissagawel</v>
      </c>
      <c r="B15087" s="65" t="s">
        <v>8441</v>
      </c>
    </row>
    <row r="15088" spans="1:2" x14ac:dyDescent="0.25">
      <c r="A15088" s="64" t="str">
        <f>HYPERLINK("http://www.twitter.com/craftytrekky", "craftytrekky")</f>
        <v>craftytrekky</v>
      </c>
      <c r="B15088" s="65" t="s">
        <v>138</v>
      </c>
    </row>
    <row r="15089" spans="1:2" x14ac:dyDescent="0.25">
      <c r="A15089" s="64" t="str">
        <f>HYPERLINK("http://www.twitter.com/oshins_", "oshins_")</f>
        <v>oshins_</v>
      </c>
      <c r="B15089" s="65" t="s">
        <v>8442</v>
      </c>
    </row>
    <row r="15090" spans="1:2" x14ac:dyDescent="0.25">
      <c r="A15090" s="64" t="str">
        <f>HYPERLINK("http://www.twitter.com/CatherineM372", "CatherineM372")</f>
        <v>CatherineM372</v>
      </c>
      <c r="B15090" s="65" t="s">
        <v>459</v>
      </c>
    </row>
    <row r="15091" spans="1:2" x14ac:dyDescent="0.25">
      <c r="A15091" s="64" t="str">
        <f>HYPERLINK("http://www.twitter.com/abbyalowe", "abbyalowe")</f>
        <v>abbyalowe</v>
      </c>
      <c r="B15091" s="65" t="s">
        <v>1490</v>
      </c>
    </row>
    <row r="15092" spans="1:2" x14ac:dyDescent="0.25">
      <c r="A15092" s="64" t="str">
        <f>HYPERLINK("http://www.twitter.com/CarlySpearing", "CarlySpearing")</f>
        <v>CarlySpearing</v>
      </c>
      <c r="B15092" s="65"/>
    </row>
    <row r="15093" spans="1:2" x14ac:dyDescent="0.25">
      <c r="A15093" s="64" t="str">
        <f>HYPERLINK("http://www.twitter.com/BeckyCant", "BeckyCant")</f>
        <v>BeckyCant</v>
      </c>
      <c r="B15093" s="65" t="s">
        <v>8443</v>
      </c>
    </row>
    <row r="15094" spans="1:2" x14ac:dyDescent="0.25">
      <c r="A15094" s="64" t="str">
        <f>HYPERLINK("http://www.twitter.com/LIWpride", "LIWpride")</f>
        <v>LIWpride</v>
      </c>
      <c r="B15094" s="65" t="s">
        <v>8444</v>
      </c>
    </row>
    <row r="15095" spans="1:2" x14ac:dyDescent="0.25">
      <c r="A15095" s="64" t="str">
        <f>HYPERLINK("http://www.twitter.com/KatyMcGraham", "KatyMcGraham")</f>
        <v>KatyMcGraham</v>
      </c>
      <c r="B15095" s="65" t="s">
        <v>2679</v>
      </c>
    </row>
    <row r="15096" spans="1:2" x14ac:dyDescent="0.25">
      <c r="A15096" s="64" t="str">
        <f>HYPERLINK("http://www.twitter.com/Eschatom", "Eschatom")</f>
        <v>Eschatom</v>
      </c>
      <c r="B15096" s="65"/>
    </row>
    <row r="15097" spans="1:2" x14ac:dyDescent="0.25">
      <c r="A15097" s="64" t="str">
        <f>HYPERLINK("http://www.twitter.com/ActuallyGreg", "ActuallyGreg")</f>
        <v>ActuallyGreg</v>
      </c>
      <c r="B15097" s="65" t="s">
        <v>8445</v>
      </c>
    </row>
    <row r="15098" spans="1:2" x14ac:dyDescent="0.25">
      <c r="A15098" s="64" t="str">
        <f>HYPERLINK("http://www.twitter.com/justjenfornow", "justjenfornow")</f>
        <v>justjenfornow</v>
      </c>
      <c r="B15098" s="65" t="s">
        <v>8446</v>
      </c>
    </row>
    <row r="15099" spans="1:2" x14ac:dyDescent="0.25">
      <c r="A15099" s="64" t="str">
        <f>HYPERLINK("http://www.twitter.com/dapcaron", "dapcaron")</f>
        <v>dapcaron</v>
      </c>
      <c r="B15099" s="65"/>
    </row>
    <row r="15100" spans="1:2" x14ac:dyDescent="0.25">
      <c r="A15100" s="64" t="str">
        <f>HYPERLINK("http://www.twitter.com/ofmothstardust", "ofmothstardust")</f>
        <v>ofmothstardust</v>
      </c>
      <c r="B15100" s="65"/>
    </row>
    <row r="15101" spans="1:2" x14ac:dyDescent="0.25">
      <c r="A15101" s="64" t="str">
        <f>HYPERLINK("http://www.twitter.com/LindaJoyAdams", "LindaJoyAdams")</f>
        <v>LindaJoyAdams</v>
      </c>
      <c r="B15101" s="65" t="s">
        <v>4127</v>
      </c>
    </row>
    <row r="15102" spans="1:2" x14ac:dyDescent="0.25">
      <c r="A15102" s="64" t="str">
        <f>HYPERLINK("http://www.twitter.com/clmanderson", "clmanderson")</f>
        <v>clmanderson</v>
      </c>
      <c r="B15102" s="65"/>
    </row>
    <row r="15103" spans="1:2" x14ac:dyDescent="0.25">
      <c r="A15103" s="64" t="str">
        <f>HYPERLINK("http://www.twitter.com/samsamlund", "samsamlund")</f>
        <v>samsamlund</v>
      </c>
      <c r="B15103" s="65" t="s">
        <v>8447</v>
      </c>
    </row>
    <row r="15104" spans="1:2" x14ac:dyDescent="0.25">
      <c r="A15104" s="64" t="str">
        <f>HYPERLINK("http://www.twitter.com/rockadaisical", "rockadaisical")</f>
        <v>rockadaisical</v>
      </c>
      <c r="B15104" s="65" t="s">
        <v>8448</v>
      </c>
    </row>
    <row r="15105" spans="1:2" x14ac:dyDescent="0.25">
      <c r="A15105" s="64" t="str">
        <f>HYPERLINK("http://www.twitter.com/ruthlesspenguin", "ruthlesspenguin")</f>
        <v>ruthlesspenguin</v>
      </c>
      <c r="B15105" s="65"/>
    </row>
    <row r="15106" spans="1:2" x14ac:dyDescent="0.25">
      <c r="A15106" s="64" t="str">
        <f>HYPERLINK("http://www.twitter.com/Animei279", "Animei279")</f>
        <v>Animei279</v>
      </c>
      <c r="B15106" s="65" t="s">
        <v>8449</v>
      </c>
    </row>
    <row r="15107" spans="1:2" x14ac:dyDescent="0.25">
      <c r="A15107" s="64" t="str">
        <f>HYPERLINK("http://www.twitter.com/COArtisans", "COArtisans")</f>
        <v>COArtisans</v>
      </c>
      <c r="B15107" s="65" t="s">
        <v>8450</v>
      </c>
    </row>
    <row r="15108" spans="1:2" x14ac:dyDescent="0.25">
      <c r="A15108" s="64" t="str">
        <f>HYPERLINK("http://www.twitter.com/KikiMacDonald1", "KikiMacDonald1")</f>
        <v>KikiMacDonald1</v>
      </c>
      <c r="B15108" s="65" t="s">
        <v>487</v>
      </c>
    </row>
    <row r="15109" spans="1:2" x14ac:dyDescent="0.25">
      <c r="A15109" s="64" t="str">
        <f>HYPERLINK("http://www.twitter.com/gaitadaria", "gaitadaria")</f>
        <v>gaitadaria</v>
      </c>
      <c r="B15109" s="65" t="s">
        <v>4041</v>
      </c>
    </row>
    <row r="15110" spans="1:2" x14ac:dyDescent="0.25">
      <c r="A15110" s="64" t="str">
        <f>HYPERLINK("http://www.twitter.com/alexrampoldi", "alexrampoldi")</f>
        <v>alexrampoldi</v>
      </c>
      <c r="B15110" s="65" t="s">
        <v>8451</v>
      </c>
    </row>
    <row r="15111" spans="1:2" x14ac:dyDescent="0.25">
      <c r="A15111" s="64" t="str">
        <f>HYPERLINK("http://www.twitter.com/HighFlyingBoyd", "HighFlyingBoyd")</f>
        <v>HighFlyingBoyd</v>
      </c>
      <c r="B15111" s="65" t="s">
        <v>1008</v>
      </c>
    </row>
    <row r="15112" spans="1:2" x14ac:dyDescent="0.25">
      <c r="A15112" s="64" t="str">
        <f>HYPERLINK("http://www.twitter.com/HelenLay", "HelenLay")</f>
        <v>HelenLay</v>
      </c>
      <c r="B15112" s="65" t="s">
        <v>346</v>
      </c>
    </row>
    <row r="15113" spans="1:2" x14ac:dyDescent="0.25">
      <c r="A15113" s="64" t="str">
        <f>HYPERLINK("http://www.twitter.com/jennifersauls", "jennifersauls")</f>
        <v>jennifersauls</v>
      </c>
      <c r="B15113" s="65" t="s">
        <v>8452</v>
      </c>
    </row>
    <row r="15114" spans="1:2" x14ac:dyDescent="0.25">
      <c r="A15114" s="64" t="str">
        <f>HYPERLINK("http://www.twitter.com/SarahBragg", "SarahBragg")</f>
        <v>SarahBragg</v>
      </c>
      <c r="B15114" s="65"/>
    </row>
    <row r="15115" spans="1:2" x14ac:dyDescent="0.25">
      <c r="A15115" s="64" t="str">
        <f>HYPERLINK("http://www.twitter.com/pigwotflies", "pigwotflies")</f>
        <v>pigwotflies</v>
      </c>
      <c r="B15115" s="65" t="s">
        <v>61</v>
      </c>
    </row>
    <row r="15116" spans="1:2" x14ac:dyDescent="0.25">
      <c r="A15116" s="64" t="str">
        <f>HYPERLINK("http://www.twitter.com/Westywrites", "Westywrites")</f>
        <v>Westywrites</v>
      </c>
      <c r="B15116" s="65" t="s">
        <v>517</v>
      </c>
    </row>
    <row r="15117" spans="1:2" x14ac:dyDescent="0.25">
      <c r="A15117" s="64" t="str">
        <f>HYPERLINK("http://www.twitter.com/authorontheedge", "authorontheedge")</f>
        <v>authorontheedge</v>
      </c>
      <c r="B15117" s="65"/>
    </row>
    <row r="15118" spans="1:2" x14ac:dyDescent="0.25">
      <c r="A15118" s="64" t="str">
        <f>HYPERLINK("http://www.twitter.com/LittleFoxCoton", "LittleFoxCoton")</f>
        <v>LittleFoxCoton</v>
      </c>
      <c r="B15118" s="65"/>
    </row>
    <row r="15119" spans="1:2" x14ac:dyDescent="0.25">
      <c r="A15119" s="64" t="str">
        <f>HYPERLINK("http://www.twitter.com/john_t_brown", "john_t_brown")</f>
        <v>john_t_brown</v>
      </c>
      <c r="B15119" s="65" t="s">
        <v>138</v>
      </c>
    </row>
    <row r="15120" spans="1:2" x14ac:dyDescent="0.25">
      <c r="A15120" s="64" t="str">
        <f>HYPERLINK("http://www.twitter.com/andyUlloa13", "andyUlloa13")</f>
        <v>andyUlloa13</v>
      </c>
      <c r="B15120" s="65"/>
    </row>
    <row r="15121" spans="1:2" x14ac:dyDescent="0.25">
      <c r="A15121" s="64" t="str">
        <f>HYPERLINK("http://www.twitter.com/GozzerNo1", "GozzerNo1")</f>
        <v>GozzerNo1</v>
      </c>
      <c r="B15121" s="65"/>
    </row>
    <row r="15122" spans="1:2" x14ac:dyDescent="0.25">
      <c r="A15122" s="64" t="str">
        <f>HYPERLINK("http://www.twitter.com/elviralondo12", "elviralondo12")</f>
        <v>elviralondo12</v>
      </c>
      <c r="B15122" s="65" t="s">
        <v>8453</v>
      </c>
    </row>
    <row r="15123" spans="1:2" x14ac:dyDescent="0.25">
      <c r="A15123" s="64" t="str">
        <f>HYPERLINK("http://www.twitter.com/lemonyhoney", "lemonyhoney")</f>
        <v>lemonyhoney</v>
      </c>
      <c r="B15123" s="65" t="s">
        <v>3797</v>
      </c>
    </row>
    <row r="15124" spans="1:2" x14ac:dyDescent="0.25">
      <c r="A15124" s="64" t="str">
        <f>HYPERLINK("http://www.twitter.com/JimJamGin", "JimJamGin")</f>
        <v>JimJamGin</v>
      </c>
      <c r="B15124" s="65" t="s">
        <v>1482</v>
      </c>
    </row>
    <row r="15125" spans="1:2" x14ac:dyDescent="0.25">
      <c r="A15125" s="64" t="str">
        <f>HYPERLINK("http://www.twitter.com/janetbastard", "janetbastard")</f>
        <v>janetbastard</v>
      </c>
      <c r="B15125" s="65" t="s">
        <v>4446</v>
      </c>
    </row>
    <row r="15126" spans="1:2" x14ac:dyDescent="0.25">
      <c r="A15126" s="64" t="str">
        <f>HYPERLINK("http://www.twitter.com/jenhewett", "jenhewett")</f>
        <v>jenhewett</v>
      </c>
      <c r="B15126" s="65" t="s">
        <v>7373</v>
      </c>
    </row>
    <row r="15127" spans="1:2" x14ac:dyDescent="0.25">
      <c r="A15127" s="64" t="str">
        <f>HYPERLINK("http://www.twitter.com/owlsoflaughter", "owlsoflaughter")</f>
        <v>owlsoflaughter</v>
      </c>
      <c r="B15127" s="65" t="s">
        <v>36</v>
      </c>
    </row>
    <row r="15128" spans="1:2" x14ac:dyDescent="0.25">
      <c r="A15128" s="64" t="str">
        <f>HYPERLINK("http://www.twitter.com/BeccaTriggs", "BeccaTriggs")</f>
        <v>BeccaTriggs</v>
      </c>
      <c r="B15128" s="65"/>
    </row>
    <row r="15129" spans="1:2" x14ac:dyDescent="0.25">
      <c r="A15129" s="64" t="str">
        <f>HYPERLINK("http://www.twitter.com/LindaHogg", "LindaHogg")</f>
        <v>LindaHogg</v>
      </c>
      <c r="B15129" s="65" t="s">
        <v>180</v>
      </c>
    </row>
    <row r="15130" spans="1:2" x14ac:dyDescent="0.25">
      <c r="A15130" s="64" t="str">
        <f>HYPERLINK("http://www.twitter.com/ch25knight", "ch25knight")</f>
        <v>ch25knight</v>
      </c>
      <c r="B15130" s="65" t="s">
        <v>36</v>
      </c>
    </row>
    <row r="15131" spans="1:2" x14ac:dyDescent="0.25">
      <c r="A15131" s="64" t="str">
        <f>HYPERLINK("http://www.twitter.com/SpikiestMatt", "SpikiestMatt")</f>
        <v>SpikiestMatt</v>
      </c>
      <c r="B15131" s="65"/>
    </row>
    <row r="15132" spans="1:2" x14ac:dyDescent="0.25">
      <c r="A15132" s="64" t="str">
        <f>HYPERLINK("http://www.twitter.com/aioniortiz", "aioniortiz")</f>
        <v>aioniortiz</v>
      </c>
      <c r="B15132" s="65" t="s">
        <v>8454</v>
      </c>
    </row>
    <row r="15133" spans="1:2" x14ac:dyDescent="0.25">
      <c r="A15133" s="64" t="str">
        <f>HYPERLINK("http://www.twitter.com/saraheddie", "saraheddie")</f>
        <v>saraheddie</v>
      </c>
      <c r="B15133" s="65" t="s">
        <v>7838</v>
      </c>
    </row>
    <row r="15134" spans="1:2" x14ac:dyDescent="0.25">
      <c r="A15134" s="64" t="str">
        <f>HYPERLINK("http://www.twitter.com/karen_tighe", "karen_tighe")</f>
        <v>karen_tighe</v>
      </c>
      <c r="B15134" s="65" t="s">
        <v>24</v>
      </c>
    </row>
    <row r="15135" spans="1:2" x14ac:dyDescent="0.25">
      <c r="A15135" s="64" t="str">
        <f>HYPERLINK("http://www.twitter.com/AdamPMansbridge", "AdamPMansbridge")</f>
        <v>AdamPMansbridge</v>
      </c>
      <c r="B15135" s="65" t="s">
        <v>3512</v>
      </c>
    </row>
    <row r="15136" spans="1:2" x14ac:dyDescent="0.25">
      <c r="A15136" s="64" t="str">
        <f>HYPERLINK("http://www.twitter.com/elanore2", "elanore2")</f>
        <v>elanore2</v>
      </c>
      <c r="B15136" s="65"/>
    </row>
    <row r="15137" spans="1:2" x14ac:dyDescent="0.25">
      <c r="A15137" s="64" t="str">
        <f>HYPERLINK("http://www.twitter.com/StopSingingNow", "StopSingingNow")</f>
        <v>StopSingingNow</v>
      </c>
      <c r="B15137" s="65" t="s">
        <v>3871</v>
      </c>
    </row>
    <row r="15138" spans="1:2" x14ac:dyDescent="0.25">
      <c r="A15138" s="64" t="str">
        <f>HYPERLINK("http://www.twitter.com/joshheath1", "joshheath1")</f>
        <v>joshheath1</v>
      </c>
      <c r="B15138" s="65"/>
    </row>
    <row r="15139" spans="1:2" x14ac:dyDescent="0.25">
      <c r="A15139" s="64" t="str">
        <f>HYPERLINK("http://www.twitter.com/anamaribi", "anamaribi")</f>
        <v>anamaribi</v>
      </c>
      <c r="B15139" s="65"/>
    </row>
    <row r="15140" spans="1:2" x14ac:dyDescent="0.25">
      <c r="A15140" s="64" t="str">
        <f>HYPERLINK("http://www.twitter.com/Jack_Newman94", "Jack_Newman94")</f>
        <v>Jack_Newman94</v>
      </c>
      <c r="B15140" s="65"/>
    </row>
    <row r="15141" spans="1:2" x14ac:dyDescent="0.25">
      <c r="A15141" s="64" t="str">
        <f>HYPERLINK("http://www.twitter.com/mamatous", "mamatous")</f>
        <v>mamatous</v>
      </c>
      <c r="B15141" s="65"/>
    </row>
    <row r="15142" spans="1:2" x14ac:dyDescent="0.25">
      <c r="A15142" s="64" t="str">
        <f>HYPERLINK("http://www.twitter.com/ValDinsmore", "ValDinsmore")</f>
        <v>ValDinsmore</v>
      </c>
      <c r="B15142" s="65" t="s">
        <v>8455</v>
      </c>
    </row>
    <row r="15143" spans="1:2" x14ac:dyDescent="0.25">
      <c r="A15143" s="64" t="str">
        <f>HYPERLINK("http://www.twitter.com/PhilBeardmore", "PhilBeardmore")</f>
        <v>PhilBeardmore</v>
      </c>
      <c r="B15143" s="65" t="s">
        <v>8456</v>
      </c>
    </row>
    <row r="15144" spans="1:2" x14ac:dyDescent="0.25">
      <c r="A15144" s="64" t="str">
        <f>HYPERLINK("http://www.twitter.com/loueymarge", "loueymarge")</f>
        <v>loueymarge</v>
      </c>
      <c r="B15144" s="65" t="s">
        <v>598</v>
      </c>
    </row>
    <row r="15145" spans="1:2" x14ac:dyDescent="0.25">
      <c r="A15145" s="64" t="str">
        <f>HYPERLINK("http://www.twitter.com/jwalmond", "jwalmond")</f>
        <v>jwalmond</v>
      </c>
      <c r="B15145" s="65"/>
    </row>
    <row r="15146" spans="1:2" x14ac:dyDescent="0.25">
      <c r="A15146" s="64" t="str">
        <f>HYPERLINK("http://www.twitter.com/bethjbrearley", "bethjbrearley")</f>
        <v>bethjbrearley</v>
      </c>
      <c r="B15146" s="65" t="s">
        <v>6844</v>
      </c>
    </row>
    <row r="15147" spans="1:2" x14ac:dyDescent="0.25">
      <c r="A15147" s="64" t="str">
        <f>HYPERLINK("http://www.twitter.com/ILIM91", "ILIM91")</f>
        <v>ILIM91</v>
      </c>
      <c r="B15147" s="65" t="s">
        <v>70</v>
      </c>
    </row>
    <row r="15148" spans="1:2" x14ac:dyDescent="0.25">
      <c r="A15148" s="64" t="str">
        <f>HYPERLINK("http://www.twitter.com/libthroughthis", "libthroughthis")</f>
        <v>libthroughthis</v>
      </c>
      <c r="B15148" s="65" t="s">
        <v>36</v>
      </c>
    </row>
    <row r="15149" spans="1:2" x14ac:dyDescent="0.25">
      <c r="A15149" s="64" t="str">
        <f>HYPERLINK("http://www.twitter.com/jonmorgan50", "jonmorgan50")</f>
        <v>jonmorgan50</v>
      </c>
      <c r="B15149" s="65" t="s">
        <v>8457</v>
      </c>
    </row>
    <row r="15150" spans="1:2" x14ac:dyDescent="0.25">
      <c r="A15150" s="64" t="str">
        <f>HYPERLINK("http://www.twitter.com/andymartin10", "andymartin10")</f>
        <v>andymartin10</v>
      </c>
      <c r="B15150" s="65"/>
    </row>
    <row r="15151" spans="1:2" x14ac:dyDescent="0.25">
      <c r="A15151" s="64" t="str">
        <f>HYPERLINK("http://www.twitter.com/steveloftus69", "steveloftus69")</f>
        <v>steveloftus69</v>
      </c>
      <c r="B15151" s="65"/>
    </row>
    <row r="15152" spans="1:2" x14ac:dyDescent="0.25">
      <c r="A15152" s="64" t="str">
        <f>HYPERLINK("http://www.twitter.com/RowenRatcliffe", "RowenRatcliffe")</f>
        <v>RowenRatcliffe</v>
      </c>
      <c r="B15152" s="65" t="s">
        <v>8458</v>
      </c>
    </row>
    <row r="15153" spans="1:2" x14ac:dyDescent="0.25">
      <c r="A15153" s="64" t="str">
        <f>HYPERLINK("http://www.twitter.com/ktpankie", "ktpankie")</f>
        <v>ktpankie</v>
      </c>
      <c r="B15153" s="65" t="s">
        <v>477</v>
      </c>
    </row>
    <row r="15154" spans="1:2" x14ac:dyDescent="0.25">
      <c r="A15154" s="64" t="str">
        <f>HYPERLINK("http://www.twitter.com/Tighnacoille", "Tighnacoille")</f>
        <v>Tighnacoille</v>
      </c>
      <c r="B15154" s="65"/>
    </row>
    <row r="15155" spans="1:2" x14ac:dyDescent="0.25">
      <c r="A15155" s="64" t="str">
        <f>HYPERLINK("http://www.twitter.com/wordwatcher7", "wordwatcher7")</f>
        <v>wordwatcher7</v>
      </c>
      <c r="B15155" s="65"/>
    </row>
    <row r="15156" spans="1:2" x14ac:dyDescent="0.25">
      <c r="A15156" s="64" t="str">
        <f>HYPERLINK("http://www.twitter.com/gowlar", "gowlar")</f>
        <v>gowlar</v>
      </c>
      <c r="B15156" s="65" t="s">
        <v>4501</v>
      </c>
    </row>
    <row r="15157" spans="1:2" x14ac:dyDescent="0.25">
      <c r="A15157" s="64" t="str">
        <f>HYPERLINK("http://www.twitter.com/EmileeFinn", "EmileeFinn")</f>
        <v>EmileeFinn</v>
      </c>
      <c r="B15157" s="65"/>
    </row>
    <row r="15158" spans="1:2" x14ac:dyDescent="0.25">
      <c r="A15158" s="64" t="str">
        <f>HYPERLINK("http://www.twitter.com/reallymrst", "reallymrst")</f>
        <v>reallymrst</v>
      </c>
      <c r="B15158" s="65" t="s">
        <v>3854</v>
      </c>
    </row>
    <row r="15159" spans="1:2" x14ac:dyDescent="0.25">
      <c r="A15159" s="64" t="str">
        <f>HYPERLINK("http://www.twitter.com/GeraldineHolden", "GeraldineHolden")</f>
        <v>GeraldineHolden</v>
      </c>
      <c r="B15159" s="65"/>
    </row>
    <row r="15160" spans="1:2" x14ac:dyDescent="0.25">
      <c r="A15160" s="64" t="str">
        <f>HYPERLINK("http://www.twitter.com/H333", "H333")</f>
        <v>H333</v>
      </c>
      <c r="B15160" s="65" t="s">
        <v>8446</v>
      </c>
    </row>
    <row r="15161" spans="1:2" x14ac:dyDescent="0.25">
      <c r="A15161" s="64" t="str">
        <f>HYPERLINK("http://www.twitter.com/XaniaMuller", "XaniaMuller")</f>
        <v>XaniaMuller</v>
      </c>
      <c r="B15161" s="65"/>
    </row>
    <row r="15162" spans="1:2" x14ac:dyDescent="0.25">
      <c r="A15162" s="64" t="str">
        <f>HYPERLINK("http://www.twitter.com/RitaYoMama", "RitaYoMama")</f>
        <v>RitaYoMama</v>
      </c>
      <c r="B15162" s="65"/>
    </row>
    <row r="15163" spans="1:2" x14ac:dyDescent="0.25">
      <c r="A15163" s="64" t="str">
        <f>HYPERLINK("http://www.twitter.com/alastairjam", "alastairjam")</f>
        <v>alastairjam</v>
      </c>
      <c r="B15163" s="65" t="s">
        <v>36</v>
      </c>
    </row>
    <row r="15164" spans="1:2" x14ac:dyDescent="0.25">
      <c r="A15164" s="64" t="str">
        <f>HYPERLINK("http://www.twitter.com/nusratmkhan", "nusratmkhan")</f>
        <v>nusratmkhan</v>
      </c>
      <c r="B15164" s="65"/>
    </row>
    <row r="15165" spans="1:2" x14ac:dyDescent="0.25">
      <c r="A15165" s="64" t="str">
        <f>HYPERLINK("http://www.twitter.com/alilomas", "alilomas")</f>
        <v>alilomas</v>
      </c>
      <c r="B15165" s="65" t="s">
        <v>773</v>
      </c>
    </row>
    <row r="15166" spans="1:2" x14ac:dyDescent="0.25">
      <c r="A15166" s="64" t="str">
        <f>HYPERLINK("http://www.twitter.com/CindyCruz7", "CindyCruz7")</f>
        <v>CindyCruz7</v>
      </c>
      <c r="B15166" s="65" t="s">
        <v>3921</v>
      </c>
    </row>
    <row r="15167" spans="1:2" x14ac:dyDescent="0.25">
      <c r="A15167" s="64" t="str">
        <f>HYPERLINK("http://www.twitter.com/Danielle_R76", "Danielle_R76")</f>
        <v>Danielle_R76</v>
      </c>
      <c r="B15167" s="65" t="s">
        <v>1479</v>
      </c>
    </row>
    <row r="15168" spans="1:2" x14ac:dyDescent="0.25">
      <c r="A15168" s="64" t="str">
        <f>HYPERLINK("http://www.twitter.com/ShinesFresh", "ShinesFresh")</f>
        <v>ShinesFresh</v>
      </c>
      <c r="B15168" s="65" t="s">
        <v>8459</v>
      </c>
    </row>
    <row r="15169" spans="1:2" x14ac:dyDescent="0.25">
      <c r="A15169" s="64" t="str">
        <f>HYPERLINK("http://www.twitter.com/ladylawyer79", "ladylawyer79")</f>
        <v>ladylawyer79</v>
      </c>
      <c r="B15169" s="65" t="s">
        <v>7273</v>
      </c>
    </row>
    <row r="15170" spans="1:2" x14ac:dyDescent="0.25">
      <c r="A15170" s="64" t="str">
        <f>HYPERLINK("http://www.twitter.com/SapphiraToh", "SapphiraToh")</f>
        <v>SapphiraToh</v>
      </c>
      <c r="B15170" s="65" t="s">
        <v>1479</v>
      </c>
    </row>
    <row r="15171" spans="1:2" x14ac:dyDescent="0.25">
      <c r="A15171" s="64" t="str">
        <f>HYPERLINK("http://www.twitter.com/JoannaCDobson", "JoannaCDobson")</f>
        <v>JoannaCDobson</v>
      </c>
      <c r="B15171" s="65" t="s">
        <v>459</v>
      </c>
    </row>
    <row r="15172" spans="1:2" x14ac:dyDescent="0.25">
      <c r="A15172" s="64" t="str">
        <f>HYPERLINK("http://www.twitter.com/snunkiebrian", "snunkiebrian")</f>
        <v>snunkiebrian</v>
      </c>
      <c r="B15172" s="65" t="s">
        <v>8460</v>
      </c>
    </row>
    <row r="15173" spans="1:2" x14ac:dyDescent="0.25">
      <c r="A15173" s="64" t="str">
        <f>HYPERLINK("http://www.twitter.com/Millie_Gibbs", "Millie_Gibbs")</f>
        <v>Millie_Gibbs</v>
      </c>
      <c r="B15173" s="65"/>
    </row>
    <row r="15174" spans="1:2" x14ac:dyDescent="0.25">
      <c r="A15174" s="64" t="str">
        <f>HYPERLINK("http://www.twitter.com/TheLHTD", "TheLHTD")</f>
        <v>TheLHTD</v>
      </c>
      <c r="B15174" s="65" t="s">
        <v>24</v>
      </c>
    </row>
    <row r="15175" spans="1:2" x14ac:dyDescent="0.25">
      <c r="A15175" s="64" t="str">
        <f>HYPERLINK("http://www.twitter.com/TheNovl", "TheNovl")</f>
        <v>TheNovl</v>
      </c>
      <c r="B15175" s="65" t="s">
        <v>4145</v>
      </c>
    </row>
    <row r="15176" spans="1:2" x14ac:dyDescent="0.25">
      <c r="A15176" s="64" t="str">
        <f>HYPERLINK("http://www.twitter.com/wmckin11", "wmckin11")</f>
        <v>wmckin11</v>
      </c>
      <c r="B15176" s="65"/>
    </row>
    <row r="15177" spans="1:2" x14ac:dyDescent="0.25">
      <c r="A15177" s="64" t="str">
        <f>HYPERLINK("http://www.twitter.com/bea_251", "bea_251")</f>
        <v>bea_251</v>
      </c>
      <c r="B15177" s="65"/>
    </row>
    <row r="15178" spans="1:2" x14ac:dyDescent="0.25">
      <c r="A15178" s="64" t="str">
        <f>HYPERLINK("http://www.twitter.com/numbereleven", "numbereleven")</f>
        <v>numbereleven</v>
      </c>
      <c r="B15178" s="65" t="s">
        <v>318</v>
      </c>
    </row>
    <row r="15179" spans="1:2" x14ac:dyDescent="0.25">
      <c r="A15179" s="64" t="str">
        <f>HYPERLINK("http://www.twitter.com/Eleesasj", "Eleesasj")</f>
        <v>Eleesasj</v>
      </c>
      <c r="B15179" s="65"/>
    </row>
    <row r="15180" spans="1:2" x14ac:dyDescent="0.25">
      <c r="A15180" s="64" t="str">
        <f>HYPERLINK("http://www.twitter.com/yeahbats", "yeahbats")</f>
        <v>yeahbats</v>
      </c>
      <c r="B15180" s="65" t="s">
        <v>8461</v>
      </c>
    </row>
    <row r="15181" spans="1:2" x14ac:dyDescent="0.25">
      <c r="A15181" s="64" t="str">
        <f>HYPERLINK("http://www.twitter.com/DaWNd58", "DaWNd58")</f>
        <v>DaWNd58</v>
      </c>
      <c r="B15181" s="65" t="s">
        <v>8462</v>
      </c>
    </row>
    <row r="15182" spans="1:2" x14ac:dyDescent="0.25">
      <c r="A15182" s="64" t="str">
        <f>HYPERLINK("http://www.twitter.com/Poketsunnyshine", "Poketsunnyshine")</f>
        <v>Poketsunnyshine</v>
      </c>
      <c r="B15182" s="65"/>
    </row>
    <row r="15183" spans="1:2" x14ac:dyDescent="0.25">
      <c r="A15183" s="64" t="str">
        <f>HYPERLINK("http://www.twitter.com/lora_Feltonner", "lora_Feltonner")</f>
        <v>lora_Feltonner</v>
      </c>
      <c r="B15183" s="65" t="s">
        <v>8463</v>
      </c>
    </row>
    <row r="15184" spans="1:2" x14ac:dyDescent="0.25">
      <c r="A15184" s="64" t="str">
        <f>HYPERLINK("http://www.twitter.com/mgnimmo", "mgnimmo")</f>
        <v>mgnimmo</v>
      </c>
      <c r="B15184" s="65" t="s">
        <v>517</v>
      </c>
    </row>
    <row r="15185" spans="1:2" x14ac:dyDescent="0.25">
      <c r="A15185" s="64" t="str">
        <f>HYPERLINK("http://www.twitter.com/judke", "judke")</f>
        <v>judke</v>
      </c>
      <c r="B15185" s="65"/>
    </row>
    <row r="15186" spans="1:2" x14ac:dyDescent="0.25">
      <c r="A15186" s="64" t="str">
        <f>HYPERLINK("http://www.twitter.com/Armunchkin", "Armunchkin")</f>
        <v>Armunchkin</v>
      </c>
      <c r="B15186" s="65" t="s">
        <v>8464</v>
      </c>
    </row>
    <row r="15187" spans="1:2" x14ac:dyDescent="0.25">
      <c r="A15187" s="64" t="str">
        <f>HYPERLINK("http://www.twitter.com/MeghCheck", "MeghCheck")</f>
        <v>MeghCheck</v>
      </c>
      <c r="B15187" s="65" t="s">
        <v>8465</v>
      </c>
    </row>
    <row r="15188" spans="1:2" x14ac:dyDescent="0.25">
      <c r="A15188" s="64" t="str">
        <f>HYPERLINK("http://www.twitter.com/PsychScientists", "PsychScientists")</f>
        <v>PsychScientists</v>
      </c>
      <c r="B15188" s="65" t="s">
        <v>2774</v>
      </c>
    </row>
    <row r="15189" spans="1:2" x14ac:dyDescent="0.25">
      <c r="A15189" s="64" t="str">
        <f>HYPERLINK("http://www.twitter.com/Joce328", "Joce328")</f>
        <v>Joce328</v>
      </c>
      <c r="B15189" s="65" t="s">
        <v>8466</v>
      </c>
    </row>
    <row r="15190" spans="1:2" x14ac:dyDescent="0.25">
      <c r="A15190" s="64" t="str">
        <f>HYPERLINK("http://www.twitter.com/LucyHLondon", "LucyHLondon")</f>
        <v>LucyHLondon</v>
      </c>
      <c r="B15190" s="65" t="s">
        <v>8467</v>
      </c>
    </row>
    <row r="15191" spans="1:2" x14ac:dyDescent="0.25">
      <c r="A15191" s="64" t="str">
        <f>HYPERLINK("http://www.twitter.com/__BAAL", "__BAAL")</f>
        <v>__BAAL</v>
      </c>
      <c r="B15191" s="65" t="s">
        <v>8468</v>
      </c>
    </row>
    <row r="15192" spans="1:2" x14ac:dyDescent="0.25">
      <c r="A15192" s="64" t="str">
        <f>HYPERLINK("http://www.twitter.com/FionaBuggy", "FionaBuggy")</f>
        <v>FionaBuggy</v>
      </c>
      <c r="B15192" s="65" t="s">
        <v>318</v>
      </c>
    </row>
    <row r="15193" spans="1:2" x14ac:dyDescent="0.25">
      <c r="A15193" s="64" t="str">
        <f>HYPERLINK("http://www.twitter.com/Miketheplanner", "Miketheplanner")</f>
        <v>Miketheplanner</v>
      </c>
      <c r="B15193" s="65" t="s">
        <v>8469</v>
      </c>
    </row>
    <row r="15194" spans="1:2" x14ac:dyDescent="0.25">
      <c r="A15194" s="64" t="str">
        <f>HYPERLINK("http://www.twitter.com/AlysonRushing", "AlysonRushing")</f>
        <v>AlysonRushing</v>
      </c>
      <c r="B15194" s="65" t="s">
        <v>4728</v>
      </c>
    </row>
    <row r="15195" spans="1:2" x14ac:dyDescent="0.25">
      <c r="A15195" s="64" t="str">
        <f>HYPERLINK("http://www.twitter.com/JoshuaTaylor55", "JoshuaTaylor55")</f>
        <v>JoshuaTaylor55</v>
      </c>
      <c r="B15195" s="65" t="s">
        <v>8470</v>
      </c>
    </row>
    <row r="15196" spans="1:2" x14ac:dyDescent="0.25">
      <c r="A15196" s="64" t="str">
        <f>HYPERLINK("http://www.twitter.com/AngelaVo134", "AngelaVo134")</f>
        <v>AngelaVo134</v>
      </c>
      <c r="B15196" s="65"/>
    </row>
    <row r="15197" spans="1:2" x14ac:dyDescent="0.25">
      <c r="A15197" s="64" t="str">
        <f>HYPERLINK("http://www.twitter.com/emmalinesmusic", "emmalinesmusic")</f>
        <v>emmalinesmusic</v>
      </c>
      <c r="B15197" s="65" t="s">
        <v>67</v>
      </c>
    </row>
    <row r="15198" spans="1:2" x14ac:dyDescent="0.25">
      <c r="A15198" s="64" t="str">
        <f>HYPERLINK("http://www.twitter.com/DisTex_LU", "DisTex_LU")</f>
        <v>DisTex_LU</v>
      </c>
      <c r="B15198" s="65" t="s">
        <v>8277</v>
      </c>
    </row>
    <row r="15199" spans="1:2" x14ac:dyDescent="0.25">
      <c r="A15199" s="64" t="str">
        <f>HYPERLINK("http://www.twitter.com/sunnygovanemma", "sunnygovanemma")</f>
        <v>sunnygovanemma</v>
      </c>
      <c r="B15199" s="65" t="s">
        <v>517</v>
      </c>
    </row>
    <row r="15200" spans="1:2" x14ac:dyDescent="0.25">
      <c r="A15200" s="64" t="str">
        <f>HYPERLINK("http://www.twitter.com/DrClaireH", "DrClaireH")</f>
        <v>DrClaireH</v>
      </c>
      <c r="B15200" s="65" t="s">
        <v>8277</v>
      </c>
    </row>
    <row r="15201" spans="1:2" x14ac:dyDescent="0.25">
      <c r="A15201" s="64" t="str">
        <f>HYPERLINK("http://www.twitter.com/DanielJLayton", "DanielJLayton")</f>
        <v>DanielJLayton</v>
      </c>
      <c r="B15201" s="65" t="s">
        <v>110</v>
      </c>
    </row>
    <row r="15202" spans="1:2" x14ac:dyDescent="0.25">
      <c r="A15202" s="64" t="str">
        <f>HYPERLINK("http://www.twitter.com/tarlkhir", "tarlkhir")</f>
        <v>tarlkhir</v>
      </c>
      <c r="B15202" s="65" t="s">
        <v>8471</v>
      </c>
    </row>
    <row r="15203" spans="1:2" x14ac:dyDescent="0.25">
      <c r="A15203" s="64" t="str">
        <f>HYPERLINK("http://www.twitter.com/NickySinnett", "NickySinnett")</f>
        <v>NickySinnett</v>
      </c>
      <c r="B15203" s="65"/>
    </row>
    <row r="15204" spans="1:2" x14ac:dyDescent="0.25">
      <c r="A15204" s="64" t="str">
        <f>HYPERLINK("http://www.twitter.com/Andres_Remis", "Andres_Remis")</f>
        <v>Andres_Remis</v>
      </c>
      <c r="B15204" s="65" t="s">
        <v>8472</v>
      </c>
    </row>
    <row r="15205" spans="1:2" x14ac:dyDescent="0.25">
      <c r="A15205" s="64" t="str">
        <f>HYPERLINK("http://www.twitter.com/beakif", "beakif")</f>
        <v>beakif</v>
      </c>
      <c r="B15205" s="65" t="s">
        <v>1537</v>
      </c>
    </row>
    <row r="15206" spans="1:2" x14ac:dyDescent="0.25">
      <c r="A15206" s="64" t="str">
        <f>HYPERLINK("http://www.twitter.com/SirWeena", "SirWeena")</f>
        <v>SirWeena</v>
      </c>
      <c r="B15206" s="65" t="s">
        <v>36</v>
      </c>
    </row>
    <row r="15207" spans="1:2" x14ac:dyDescent="0.25">
      <c r="A15207" s="64" t="str">
        <f>HYPERLINK("http://www.twitter.com/laliqueheart", "laliqueheart")</f>
        <v>laliqueheart</v>
      </c>
      <c r="B15207" s="65"/>
    </row>
    <row r="15208" spans="1:2" x14ac:dyDescent="0.25">
      <c r="A15208" s="64" t="str">
        <f>HYPERLINK("http://www.twitter.com/Umweltbibo_LE", "Umweltbibo_LE")</f>
        <v>Umweltbibo_LE</v>
      </c>
      <c r="B15208" s="65" t="s">
        <v>8473</v>
      </c>
    </row>
    <row r="15209" spans="1:2" x14ac:dyDescent="0.25">
      <c r="A15209" s="64" t="str">
        <f>HYPERLINK("http://www.twitter.com/mdrewduncan", "mdrewduncan")</f>
        <v>mdrewduncan</v>
      </c>
      <c r="B15209" s="65"/>
    </row>
    <row r="15210" spans="1:2" x14ac:dyDescent="0.25">
      <c r="A15210" s="64" t="str">
        <f>HYPERLINK("http://www.twitter.com/CarolineM76", "CarolineM76")</f>
        <v>CarolineM76</v>
      </c>
      <c r="B15210" s="65"/>
    </row>
    <row r="15211" spans="1:2" x14ac:dyDescent="0.25">
      <c r="A15211" s="64" t="str">
        <f>HYPERLINK("http://www.twitter.com/kirstiela", "kirstiela")</f>
        <v>kirstiela</v>
      </c>
      <c r="B15211" s="65" t="s">
        <v>1490</v>
      </c>
    </row>
    <row r="15212" spans="1:2" x14ac:dyDescent="0.25">
      <c r="A15212" s="64" t="str">
        <f>HYPERLINK("http://www.twitter.com/Elfinwaffle", "Elfinwaffle")</f>
        <v>Elfinwaffle</v>
      </c>
      <c r="B15212" s="65" t="s">
        <v>3954</v>
      </c>
    </row>
    <row r="15213" spans="1:2" x14ac:dyDescent="0.25">
      <c r="A15213" s="64" t="str">
        <f>HYPERLINK("http://www.twitter.com/Blake_Seven", "Blake_Seven")</f>
        <v>Blake_Seven</v>
      </c>
      <c r="B15213" s="65" t="s">
        <v>4222</v>
      </c>
    </row>
    <row r="15214" spans="1:2" x14ac:dyDescent="0.25">
      <c r="A15214" s="64" t="str">
        <f>HYPERLINK("http://www.twitter.com/LenoirLaRouge", "LenoirLaRouge")</f>
        <v>LenoirLaRouge</v>
      </c>
      <c r="B15214" s="65"/>
    </row>
    <row r="15215" spans="1:2" x14ac:dyDescent="0.25">
      <c r="A15215" s="64" t="str">
        <f>HYPERLINK("http://www.twitter.com/natalieScox", "natalieScox")</f>
        <v>natalieScox</v>
      </c>
      <c r="B15215" s="65" t="s">
        <v>36</v>
      </c>
    </row>
    <row r="15216" spans="1:2" x14ac:dyDescent="0.25">
      <c r="A15216" s="64" t="str">
        <f>HYPERLINK("http://www.twitter.com/HannahLeSpanner", "HannahLeSpanner")</f>
        <v>HannahLeSpanner</v>
      </c>
      <c r="B15216" s="65" t="s">
        <v>3428</v>
      </c>
    </row>
    <row r="15217" spans="1:2" x14ac:dyDescent="0.25">
      <c r="A15217" s="64" t="str">
        <f>HYPERLINK("http://www.twitter.com/ravenbiter", "ravenbiter")</f>
        <v>ravenbiter</v>
      </c>
      <c r="B15217" s="65"/>
    </row>
    <row r="15218" spans="1:2" x14ac:dyDescent="0.25">
      <c r="A15218" s="64" t="str">
        <f>HYPERLINK("http://www.twitter.com/gavrelop", "gavrelop")</f>
        <v>gavrelop</v>
      </c>
      <c r="B15218" s="65"/>
    </row>
    <row r="15219" spans="1:2" x14ac:dyDescent="0.25">
      <c r="A15219" s="64" t="str">
        <f>HYPERLINK("http://www.twitter.com/jazzbartlett", "jazzbartlett")</f>
        <v>jazzbartlett</v>
      </c>
      <c r="B15219" s="65" t="s">
        <v>1295</v>
      </c>
    </row>
    <row r="15220" spans="1:2" x14ac:dyDescent="0.25">
      <c r="A15220" s="64" t="str">
        <f>HYPERLINK("http://www.twitter.com/suddenlymoreen", "suddenlymoreen")</f>
        <v>suddenlymoreen</v>
      </c>
      <c r="B15220" s="65" t="s">
        <v>8474</v>
      </c>
    </row>
    <row r="15221" spans="1:2" x14ac:dyDescent="0.25">
      <c r="A15221" s="64" t="str">
        <f>HYPERLINK("http://www.twitter.com/BedpopFunPalace", "BedpopFunPalace")</f>
        <v>BedpopFunPalace</v>
      </c>
      <c r="B15221" s="65" t="s">
        <v>4345</v>
      </c>
    </row>
    <row r="15222" spans="1:2" x14ac:dyDescent="0.25">
      <c r="A15222" s="64" t="str">
        <f>HYPERLINK("http://www.twitter.com/telamange", "telamange")</f>
        <v>telamange</v>
      </c>
      <c r="B15222" s="65" t="s">
        <v>8475</v>
      </c>
    </row>
    <row r="15223" spans="1:2" x14ac:dyDescent="0.25">
      <c r="A15223" s="64" t="str">
        <f>HYPERLINK("http://www.twitter.com/thekirstenrose", "thekirstenrose")</f>
        <v>thekirstenrose</v>
      </c>
      <c r="B15223" s="65" t="s">
        <v>514</v>
      </c>
    </row>
    <row r="15224" spans="1:2" x14ac:dyDescent="0.25">
      <c r="A15224" s="64" t="str">
        <f>HYPERLINK("http://www.twitter.com/MattPhillips73", "MattPhillips73")</f>
        <v>MattPhillips73</v>
      </c>
      <c r="B15224" s="65" t="s">
        <v>8476</v>
      </c>
    </row>
    <row r="15225" spans="1:2" x14ac:dyDescent="0.25">
      <c r="A15225" s="64" t="str">
        <f>HYPERLINK("http://www.twitter.com/minardiforever", "minardiforever")</f>
        <v>minardiforever</v>
      </c>
      <c r="B15225" s="65" t="s">
        <v>773</v>
      </c>
    </row>
    <row r="15226" spans="1:2" x14ac:dyDescent="0.25">
      <c r="A15226" s="64" t="str">
        <f>HYPERLINK("http://www.twitter.com/liz_flamingo", "liz_flamingo")</f>
        <v>liz_flamingo</v>
      </c>
      <c r="B15226" s="65"/>
    </row>
    <row r="15227" spans="1:2" x14ac:dyDescent="0.25">
      <c r="A15227" s="64" t="str">
        <f>HYPERLINK("http://www.twitter.com/afrandsen3", "afrandsen3")</f>
        <v>afrandsen3</v>
      </c>
      <c r="B15227" s="65"/>
    </row>
    <row r="15228" spans="1:2" x14ac:dyDescent="0.25">
      <c r="A15228" s="64" t="str">
        <f>HYPERLINK("http://www.twitter.com/florashedden", "florashedden")</f>
        <v>florashedden</v>
      </c>
      <c r="B15228" s="65" t="s">
        <v>8477</v>
      </c>
    </row>
    <row r="15229" spans="1:2" x14ac:dyDescent="0.25">
      <c r="A15229" s="64" t="str">
        <f>HYPERLINK("http://www.twitter.com/wood_vincent", "wood_vincent")</f>
        <v>wood_vincent</v>
      </c>
      <c r="B15229" s="65" t="s">
        <v>36</v>
      </c>
    </row>
    <row r="15230" spans="1:2" x14ac:dyDescent="0.25">
      <c r="A15230" s="64" t="str">
        <f>HYPERLINK("http://www.twitter.com/HendrickAngela", "HendrickAngela")</f>
        <v>HendrickAngela</v>
      </c>
      <c r="B15230" s="65"/>
    </row>
    <row r="15231" spans="1:2" x14ac:dyDescent="0.25">
      <c r="A15231" s="64" t="str">
        <f>HYPERLINK("http://www.twitter.com/irn_brutus", "irn_brutus")</f>
        <v>irn_brutus</v>
      </c>
      <c r="B15231" s="65" t="s">
        <v>138</v>
      </c>
    </row>
    <row r="15232" spans="1:2" x14ac:dyDescent="0.25">
      <c r="A15232" s="64" t="str">
        <f>HYPERLINK("http://www.twitter.com/LauraDuncan8", "LauraDuncan8")</f>
        <v>LauraDuncan8</v>
      </c>
      <c r="B15232" s="65" t="s">
        <v>36</v>
      </c>
    </row>
    <row r="15233" spans="1:2" x14ac:dyDescent="0.25">
      <c r="A15233" s="64" t="str">
        <f>HYPERLINK("http://www.twitter.com/ALtoLouisiana", "ALtoLouisiana")</f>
        <v>ALtoLouisiana</v>
      </c>
      <c r="B15233" s="65"/>
    </row>
    <row r="15234" spans="1:2" x14ac:dyDescent="0.25">
      <c r="A15234" s="64" t="str">
        <f>HYPERLINK("http://www.twitter.com/MeggieDennis", "MeggieDennis")</f>
        <v>MeggieDennis</v>
      </c>
      <c r="B15234" s="65" t="s">
        <v>8478</v>
      </c>
    </row>
    <row r="15235" spans="1:2" x14ac:dyDescent="0.25">
      <c r="A15235" s="64" t="str">
        <f>HYPERLINK("http://www.twitter.com/asunsolans", "asunsolans")</f>
        <v>asunsolans</v>
      </c>
      <c r="B15235" s="65"/>
    </row>
    <row r="15236" spans="1:2" x14ac:dyDescent="0.25">
      <c r="A15236" s="64" t="str">
        <f>HYPERLINK("http://www.twitter.com/HannahWorsey", "HannahWorsey")</f>
        <v>HannahWorsey</v>
      </c>
      <c r="B15236" s="65" t="s">
        <v>70</v>
      </c>
    </row>
    <row r="15237" spans="1:2" x14ac:dyDescent="0.25">
      <c r="A15237" s="64" t="str">
        <f>HYPERLINK("http://www.twitter.com/croft_jane", "croft_jane")</f>
        <v>croft_jane</v>
      </c>
      <c r="B15237" s="65"/>
    </row>
    <row r="15238" spans="1:2" x14ac:dyDescent="0.25">
      <c r="A15238" s="64" t="str">
        <f>HYPERLINK("http://www.twitter.com/kkatie", "kkatie")</f>
        <v>kkatie</v>
      </c>
      <c r="B15238" s="65" t="s">
        <v>8479</v>
      </c>
    </row>
    <row r="15239" spans="1:2" x14ac:dyDescent="0.25">
      <c r="A15239" s="64" t="str">
        <f>HYPERLINK("http://www.twitter.com/sbra184", "sbra184")</f>
        <v>sbra184</v>
      </c>
      <c r="B15239" s="65" t="s">
        <v>296</v>
      </c>
    </row>
    <row r="15240" spans="1:2" x14ac:dyDescent="0.25">
      <c r="A15240" s="64" t="str">
        <f>HYPERLINK("http://www.twitter.com/LKThomson", "LKThomson")</f>
        <v>LKThomson</v>
      </c>
      <c r="B15240" s="65" t="s">
        <v>8480</v>
      </c>
    </row>
    <row r="15241" spans="1:2" x14ac:dyDescent="0.25">
      <c r="A15241" s="64" t="str">
        <f>HYPERLINK("http://www.twitter.com/SoulCake_Duck", "SoulCake_Duck")</f>
        <v>SoulCake_Duck</v>
      </c>
      <c r="B15241" s="65" t="s">
        <v>8481</v>
      </c>
    </row>
    <row r="15242" spans="1:2" x14ac:dyDescent="0.25">
      <c r="A15242" s="64" t="str">
        <f>HYPERLINK("http://www.twitter.com/LucyB_Ry", "LucyB_Ry")</f>
        <v>LucyB_Ry</v>
      </c>
      <c r="B15242" s="65" t="s">
        <v>7261</v>
      </c>
    </row>
    <row r="15243" spans="1:2" x14ac:dyDescent="0.25">
      <c r="A15243" s="64" t="str">
        <f>HYPERLINK("http://www.twitter.com/gr8bigadventure", "gr8bigadventure")</f>
        <v>gr8bigadventure</v>
      </c>
      <c r="B15243" s="65"/>
    </row>
    <row r="15244" spans="1:2" x14ac:dyDescent="0.25">
      <c r="A15244" s="64" t="str">
        <f>HYPERLINK("http://www.twitter.com/florilegia", "florilegia")</f>
        <v>florilegia</v>
      </c>
      <c r="B15244" s="65" t="s">
        <v>1213</v>
      </c>
    </row>
    <row r="15245" spans="1:2" x14ac:dyDescent="0.25">
      <c r="A15245" s="64" t="str">
        <f>HYPERLINK("http://www.twitter.com/spam2202", "spam2202")</f>
        <v>spam2202</v>
      </c>
      <c r="B15245" s="65" t="s">
        <v>2471</v>
      </c>
    </row>
    <row r="15246" spans="1:2" x14ac:dyDescent="0.25">
      <c r="A15246" s="64" t="str">
        <f>HYPERLINK("http://www.twitter.com/MarthaGallagher", "MarthaGallagher")</f>
        <v>MarthaGallagher</v>
      </c>
      <c r="B15246" s="65" t="s">
        <v>8482</v>
      </c>
    </row>
    <row r="15247" spans="1:2" x14ac:dyDescent="0.25">
      <c r="A15247" s="64" t="str">
        <f>HYPERLINK("http://www.twitter.com/mrduttz", "mrduttz")</f>
        <v>mrduttz</v>
      </c>
      <c r="B15247" s="65" t="s">
        <v>4524</v>
      </c>
    </row>
    <row r="15248" spans="1:2" x14ac:dyDescent="0.25">
      <c r="A15248" s="64" t="str">
        <f>HYPERLINK("http://www.twitter.com/kaphc", "kaphc")</f>
        <v>kaphc</v>
      </c>
      <c r="B15248" s="65"/>
    </row>
    <row r="15249" spans="1:2" x14ac:dyDescent="0.25">
      <c r="A15249" s="64" t="str">
        <f>HYPERLINK("http://www.twitter.com/FeeMBee", "FeeMBee")</f>
        <v>FeeMBee</v>
      </c>
      <c r="B15249" s="65"/>
    </row>
    <row r="15250" spans="1:2" x14ac:dyDescent="0.25">
      <c r="A15250" s="64" t="str">
        <f>HYPERLINK("http://www.twitter.com/Renerei", "Renerei")</f>
        <v>Renerei</v>
      </c>
      <c r="B15250" s="65"/>
    </row>
    <row r="15251" spans="1:2" x14ac:dyDescent="0.25">
      <c r="A15251" s="64" t="str">
        <f>HYPERLINK("http://www.twitter.com/iona_howell", "iona_howell")</f>
        <v>iona_howell</v>
      </c>
      <c r="B15251" s="65" t="s">
        <v>361</v>
      </c>
    </row>
    <row r="15252" spans="1:2" x14ac:dyDescent="0.25">
      <c r="A15252" s="64" t="str">
        <f>HYPERLINK("http://www.twitter.com/anholm", "anholm")</f>
        <v>anholm</v>
      </c>
      <c r="B15252" s="65" t="s">
        <v>8483</v>
      </c>
    </row>
    <row r="15253" spans="1:2" x14ac:dyDescent="0.25">
      <c r="A15253" s="64" t="str">
        <f>HYPERLINK("http://www.twitter.com/Donnachka206", "Donnachka206")</f>
        <v>Donnachka206</v>
      </c>
      <c r="B15253" s="65" t="s">
        <v>5156</v>
      </c>
    </row>
    <row r="15254" spans="1:2" x14ac:dyDescent="0.25">
      <c r="A15254" s="64" t="str">
        <f>HYPERLINK("http://www.twitter.com/EmilyHD", "EmilyHD")</f>
        <v>EmilyHD</v>
      </c>
      <c r="B15254" s="65"/>
    </row>
    <row r="15255" spans="1:2" x14ac:dyDescent="0.25">
      <c r="A15255" s="64" t="str">
        <f>HYPERLINK("http://www.twitter.com/katehinds", "katehinds")</f>
        <v>katehinds</v>
      </c>
      <c r="B15255" s="65" t="s">
        <v>8484</v>
      </c>
    </row>
    <row r="15256" spans="1:2" x14ac:dyDescent="0.25">
      <c r="A15256" s="64" t="str">
        <f>HYPERLINK("http://www.twitter.com/tiddlywinks24", "tiddlywinks24")</f>
        <v>tiddlywinks24</v>
      </c>
      <c r="B15256" s="65" t="s">
        <v>4215</v>
      </c>
    </row>
    <row r="15257" spans="1:2" x14ac:dyDescent="0.25">
      <c r="A15257" s="64" t="str">
        <f>HYPERLINK("http://www.twitter.com/AlfiesMum1", "AlfiesMum1")</f>
        <v>AlfiesMum1</v>
      </c>
      <c r="B15257" s="65"/>
    </row>
    <row r="15258" spans="1:2" x14ac:dyDescent="0.25">
      <c r="A15258" s="64" t="str">
        <f>HYPERLINK("http://www.twitter.com/mikeredding", "mikeredding")</f>
        <v>mikeredding</v>
      </c>
      <c r="B15258" s="65" t="s">
        <v>8485</v>
      </c>
    </row>
    <row r="15259" spans="1:2" x14ac:dyDescent="0.25">
      <c r="A15259" s="64" t="str">
        <f>HYPERLINK("http://www.twitter.com/prazegoose", "prazegoose")</f>
        <v>prazegoose</v>
      </c>
      <c r="B15259" s="65" t="s">
        <v>3797</v>
      </c>
    </row>
    <row r="15260" spans="1:2" x14ac:dyDescent="0.25">
      <c r="A15260" s="64" t="str">
        <f>HYPERLINK("http://www.twitter.com/magog83", "magog83")</f>
        <v>magog83</v>
      </c>
      <c r="B15260" s="65" t="s">
        <v>296</v>
      </c>
    </row>
    <row r="15261" spans="1:2" x14ac:dyDescent="0.25">
      <c r="A15261" s="64" t="str">
        <f>HYPERLINK("http://www.twitter.com/bfwriter", "bfwriter")</f>
        <v>bfwriter</v>
      </c>
      <c r="B15261" s="65" t="s">
        <v>4981</v>
      </c>
    </row>
    <row r="15262" spans="1:2" x14ac:dyDescent="0.25">
      <c r="A15262" s="64" t="str">
        <f>HYPERLINK("http://www.twitter.com/elainehutton", "elainehutton")</f>
        <v>elainehutton</v>
      </c>
      <c r="B15262" s="65" t="s">
        <v>601</v>
      </c>
    </row>
    <row r="15263" spans="1:2" x14ac:dyDescent="0.25">
      <c r="A15263" s="64" t="str">
        <f>HYPERLINK("http://www.twitter.com/dawn7022", "dawn7022")</f>
        <v>dawn7022</v>
      </c>
      <c r="B15263" s="65"/>
    </row>
    <row r="15264" spans="1:2" x14ac:dyDescent="0.25">
      <c r="A15264" s="64" t="str">
        <f>HYPERLINK("http://www.twitter.com/magdabatiz", "magdabatiz")</f>
        <v>magdabatiz</v>
      </c>
      <c r="B15264" s="65"/>
    </row>
    <row r="15265" spans="1:2" x14ac:dyDescent="0.25">
      <c r="A15265" s="64" t="str">
        <f>HYPERLINK("http://www.twitter.com/lasch2006", "lasch2006")</f>
        <v>lasch2006</v>
      </c>
      <c r="B15265" s="65" t="s">
        <v>4678</v>
      </c>
    </row>
    <row r="15266" spans="1:2" x14ac:dyDescent="0.25">
      <c r="A15266" s="64" t="str">
        <f>HYPERLINK("http://www.twitter.com/FiWhalley", "FiWhalley")</f>
        <v>FiWhalley</v>
      </c>
      <c r="B15266" s="65" t="s">
        <v>147</v>
      </c>
    </row>
    <row r="15267" spans="1:2" x14ac:dyDescent="0.25">
      <c r="A15267" s="64" t="str">
        <f>HYPERLINK("http://www.twitter.com/chrissyfleps", "chrissyfleps")</f>
        <v>chrissyfleps</v>
      </c>
      <c r="B15267" s="65" t="s">
        <v>7760</v>
      </c>
    </row>
    <row r="15268" spans="1:2" x14ac:dyDescent="0.25">
      <c r="A15268" s="64" t="str">
        <f>HYPERLINK("http://www.twitter.com/everythingalyce", "everythingalyce")</f>
        <v>everythingalyce</v>
      </c>
      <c r="B15268" s="65" t="s">
        <v>6805</v>
      </c>
    </row>
    <row r="15269" spans="1:2" x14ac:dyDescent="0.25">
      <c r="A15269" s="64" t="str">
        <f>HYPERLINK("http://www.twitter.com/Alisa_Dickerson", "Alisa_Dickerson")</f>
        <v>Alisa_Dickerson</v>
      </c>
      <c r="B15269" s="65" t="s">
        <v>8486</v>
      </c>
    </row>
    <row r="15270" spans="1:2" x14ac:dyDescent="0.25">
      <c r="A15270" s="64" t="str">
        <f>HYPERLINK("http://www.twitter.com/EmmaMillway", "EmmaMillway")</f>
        <v>EmmaMillway</v>
      </c>
      <c r="B15270" s="65" t="s">
        <v>1810</v>
      </c>
    </row>
    <row r="15271" spans="1:2" x14ac:dyDescent="0.25">
      <c r="A15271" s="64" t="str">
        <f>HYPERLINK("http://www.twitter.com/edwardthenorman", "edwardthenorman")</f>
        <v>edwardthenorman</v>
      </c>
      <c r="B15271" s="65" t="s">
        <v>3317</v>
      </c>
    </row>
    <row r="15272" spans="1:2" x14ac:dyDescent="0.25">
      <c r="A15272" s="64" t="str">
        <f>HYPERLINK("http://www.twitter.com/amystegner", "amystegner")</f>
        <v>amystegner</v>
      </c>
      <c r="B15272" s="65" t="s">
        <v>8487</v>
      </c>
    </row>
    <row r="15273" spans="1:2" x14ac:dyDescent="0.25">
      <c r="A15273" s="64" t="str">
        <f>HYPERLINK("http://www.twitter.com/tomcharnley", "tomcharnley")</f>
        <v>tomcharnley</v>
      </c>
      <c r="B15273" s="65" t="s">
        <v>2289</v>
      </c>
    </row>
    <row r="15274" spans="1:2" x14ac:dyDescent="0.25">
      <c r="A15274" s="64" t="str">
        <f>HYPERLINK("http://www.twitter.com/JillTheobald", "JillTheobald")</f>
        <v>JillTheobald</v>
      </c>
      <c r="B15274" s="65" t="s">
        <v>219</v>
      </c>
    </row>
    <row r="15275" spans="1:2" x14ac:dyDescent="0.25">
      <c r="A15275" s="64" t="str">
        <f>HYPERLINK("http://www.twitter.com/FireWolfphoenix", "FireWolfphoenix")</f>
        <v>FireWolfphoenix</v>
      </c>
      <c r="B15275" s="65" t="s">
        <v>8488</v>
      </c>
    </row>
    <row r="15276" spans="1:2" x14ac:dyDescent="0.25">
      <c r="A15276" s="64" t="str">
        <f>HYPERLINK("http://www.twitter.com/frankiehsimons", "frankiehsimons")</f>
        <v>frankiehsimons</v>
      </c>
      <c r="B15276" s="65" t="s">
        <v>8489</v>
      </c>
    </row>
    <row r="15277" spans="1:2" x14ac:dyDescent="0.25">
      <c r="A15277" s="64" t="str">
        <f>HYPERLINK("http://www.twitter.com/YeOldeWW", "YeOldeWW")</f>
        <v>YeOldeWW</v>
      </c>
      <c r="B15277" s="65"/>
    </row>
    <row r="15278" spans="1:2" x14ac:dyDescent="0.25">
      <c r="A15278" s="64" t="str">
        <f>HYPERLINK("http://www.twitter.com/ParawlPerwyl", "ParawlPerwyl")</f>
        <v>ParawlPerwyl</v>
      </c>
      <c r="B15278" s="65"/>
    </row>
    <row r="15279" spans="1:2" x14ac:dyDescent="0.25">
      <c r="A15279" s="64" t="str">
        <f>HYPERLINK("http://www.twitter.com/ch_pearson", "ch_pearson")</f>
        <v>ch_pearson</v>
      </c>
      <c r="B15279" s="65" t="s">
        <v>8490</v>
      </c>
    </row>
    <row r="15280" spans="1:2" x14ac:dyDescent="0.25">
      <c r="A15280" s="64" t="str">
        <f>HYPERLINK("http://www.twitter.com/_evocado", "_evocado")</f>
        <v>_evocado</v>
      </c>
      <c r="B15280" s="65"/>
    </row>
    <row r="15281" spans="1:2" x14ac:dyDescent="0.25">
      <c r="A15281" s="64" t="str">
        <f>HYPERLINK("http://www.twitter.com/Michael88337204", "Michael88337204")</f>
        <v>Michael88337204</v>
      </c>
      <c r="B15281" s="65"/>
    </row>
    <row r="15282" spans="1:2" x14ac:dyDescent="0.25">
      <c r="A15282" s="64" t="str">
        <f>HYPERLINK("http://www.twitter.com/tmramis", "tmramis")</f>
        <v>tmramis</v>
      </c>
      <c r="B15282" s="65" t="s">
        <v>7055</v>
      </c>
    </row>
    <row r="15283" spans="1:2" x14ac:dyDescent="0.25">
      <c r="A15283" s="64" t="str">
        <f>HYPERLINK("http://www.twitter.com/LittleMissMon", "LittleMissMon")</f>
        <v>LittleMissMon</v>
      </c>
      <c r="B15283" s="65" t="s">
        <v>36</v>
      </c>
    </row>
    <row r="15284" spans="1:2" x14ac:dyDescent="0.25">
      <c r="A15284" s="64" t="str">
        <f>HYPERLINK("http://www.twitter.com/Catriona_____", "Catriona_____")</f>
        <v>Catriona_____</v>
      </c>
      <c r="B15284" s="65" t="s">
        <v>477</v>
      </c>
    </row>
    <row r="15285" spans="1:2" x14ac:dyDescent="0.25">
      <c r="A15285" s="64" t="str">
        <f>HYPERLINK("http://www.twitter.com/TrentTFord", "TrentTFord")</f>
        <v>TrentTFord</v>
      </c>
      <c r="B15285" s="65"/>
    </row>
    <row r="15286" spans="1:2" x14ac:dyDescent="0.25">
      <c r="A15286" s="64" t="str">
        <f>HYPERLINK("http://www.twitter.com/_AlexSanderson", "_AlexSanderson")</f>
        <v>_AlexSanderson</v>
      </c>
      <c r="B15286" s="65"/>
    </row>
    <row r="15287" spans="1:2" x14ac:dyDescent="0.25">
      <c r="A15287" s="64" t="str">
        <f>HYPERLINK("http://www.twitter.com/helen_cresswell", "helen_cresswell")</f>
        <v>helen_cresswell</v>
      </c>
      <c r="B15287" s="65"/>
    </row>
    <row r="15288" spans="1:2" x14ac:dyDescent="0.25">
      <c r="A15288" s="64" t="str">
        <f>HYPERLINK("http://www.twitter.com/Swerty", "Swerty")</f>
        <v>Swerty</v>
      </c>
      <c r="B15288" s="65" t="s">
        <v>8491</v>
      </c>
    </row>
    <row r="15289" spans="1:2" x14ac:dyDescent="0.25">
      <c r="A15289" s="64" t="str">
        <f>HYPERLINK("http://www.twitter.com/aswideastall", "aswideastall")</f>
        <v>aswideastall</v>
      </c>
      <c r="B15289" s="65" t="s">
        <v>8492</v>
      </c>
    </row>
    <row r="15290" spans="1:2" x14ac:dyDescent="0.25">
      <c r="A15290" s="64" t="str">
        <f>HYPERLINK("http://www.twitter.com/bliurblog", "bliurblog")</f>
        <v>bliurblog</v>
      </c>
      <c r="B15290" s="65" t="s">
        <v>8493</v>
      </c>
    </row>
    <row r="15291" spans="1:2" x14ac:dyDescent="0.25">
      <c r="A15291" s="64" t="str">
        <f>HYPERLINK("http://www.twitter.com/saramacgregor", "saramacgregor")</f>
        <v>saramacgregor</v>
      </c>
      <c r="B15291" s="65" t="s">
        <v>5142</v>
      </c>
    </row>
    <row r="15292" spans="1:2" x14ac:dyDescent="0.25">
      <c r="A15292" s="64" t="str">
        <f>HYPERLINK("http://www.twitter.com/haydnkissack", "haydnkissack")</f>
        <v>haydnkissack</v>
      </c>
      <c r="B15292" s="65" t="s">
        <v>8494</v>
      </c>
    </row>
    <row r="15293" spans="1:2" x14ac:dyDescent="0.25">
      <c r="A15293" s="64" t="str">
        <f>HYPERLINK("http://www.twitter.com/ScalyFace", "ScalyFace")</f>
        <v>ScalyFace</v>
      </c>
      <c r="B15293" s="65" t="s">
        <v>477</v>
      </c>
    </row>
    <row r="15294" spans="1:2" x14ac:dyDescent="0.25">
      <c r="A15294" s="64" t="str">
        <f>HYPERLINK("http://www.twitter.com/eloisewales", "eloisewales")</f>
        <v>eloisewales</v>
      </c>
      <c r="B15294" s="65" t="s">
        <v>36</v>
      </c>
    </row>
    <row r="15295" spans="1:2" x14ac:dyDescent="0.25">
      <c r="A15295" s="64" t="str">
        <f>HYPERLINK("http://www.twitter.com/doinggoodmn", "doinggoodmn")</f>
        <v>doinggoodmn</v>
      </c>
      <c r="B15295" s="65"/>
    </row>
    <row r="15296" spans="1:2" x14ac:dyDescent="0.25">
      <c r="A15296" s="64" t="str">
        <f>HYPERLINK("http://www.twitter.com/rachsarahm", "rachsarahm")</f>
        <v>rachsarahm</v>
      </c>
      <c r="B15296" s="65" t="s">
        <v>4716</v>
      </c>
    </row>
    <row r="15297" spans="1:2" x14ac:dyDescent="0.25">
      <c r="A15297" s="64" t="str">
        <f>HYPERLINK("http://www.twitter.com/Ceci3473", "Ceci3473")</f>
        <v>Ceci3473</v>
      </c>
      <c r="B15297" s="65"/>
    </row>
    <row r="15298" spans="1:2" x14ac:dyDescent="0.25">
      <c r="A15298" s="64" t="str">
        <f>HYPERLINK("http://www.twitter.com/Lee923", "Lee923")</f>
        <v>Lee923</v>
      </c>
      <c r="B15298" s="65" t="s">
        <v>361</v>
      </c>
    </row>
    <row r="15299" spans="1:2" x14ac:dyDescent="0.25">
      <c r="A15299" s="64" t="str">
        <f>HYPERLINK("http://www.twitter.com/lauranield", "lauranield")</f>
        <v>lauranield</v>
      </c>
      <c r="B15299" s="65"/>
    </row>
    <row r="15300" spans="1:2" x14ac:dyDescent="0.25">
      <c r="A15300" s="64" t="str">
        <f>HYPERLINK("http://www.twitter.com/Teddy_Hannan", "Teddy_Hannan")</f>
        <v>Teddy_Hannan</v>
      </c>
      <c r="B15300" s="65" t="s">
        <v>232</v>
      </c>
    </row>
    <row r="15301" spans="1:2" x14ac:dyDescent="0.25">
      <c r="A15301" s="64" t="str">
        <f>HYPERLINK("http://www.twitter.com/charis_robbo", "charis_robbo")</f>
        <v>charis_robbo</v>
      </c>
      <c r="B15301" s="65" t="s">
        <v>8495</v>
      </c>
    </row>
    <row r="15302" spans="1:2" x14ac:dyDescent="0.25">
      <c r="A15302" s="64" t="str">
        <f>HYPERLINK("http://www.twitter.com/Martint2000", "Martint2000")</f>
        <v>Martint2000</v>
      </c>
      <c r="B15302" s="65"/>
    </row>
    <row r="15303" spans="1:2" x14ac:dyDescent="0.25">
      <c r="A15303" s="64" t="str">
        <f>HYPERLINK("http://www.twitter.com/emmaq1983", "emmaq1983")</f>
        <v>emmaq1983</v>
      </c>
      <c r="B15303" s="65" t="s">
        <v>8496</v>
      </c>
    </row>
    <row r="15304" spans="1:2" x14ac:dyDescent="0.25">
      <c r="A15304" s="64" t="str">
        <f>HYPERLINK("http://www.twitter.com/matildaG_25", "matildaG_25")</f>
        <v>matildaG_25</v>
      </c>
      <c r="B15304" s="65" t="s">
        <v>4765</v>
      </c>
    </row>
    <row r="15305" spans="1:2" x14ac:dyDescent="0.25">
      <c r="A15305" s="64" t="str">
        <f>HYPERLINK("http://www.twitter.com/PoliahuCDA", "PoliahuCDA")</f>
        <v>PoliahuCDA</v>
      </c>
      <c r="B15305" s="65" t="s">
        <v>8497</v>
      </c>
    </row>
    <row r="15306" spans="1:2" x14ac:dyDescent="0.25">
      <c r="A15306" s="64" t="str">
        <f>HYPERLINK("http://www.twitter.com/RafaelMagnani", "RafaelMagnani")</f>
        <v>RafaelMagnani</v>
      </c>
      <c r="B15306" s="65" t="s">
        <v>8498</v>
      </c>
    </row>
    <row r="15307" spans="1:2" x14ac:dyDescent="0.25">
      <c r="A15307" s="64" t="str">
        <f>HYPERLINK("http://www.twitter.com/matildaweasley", "matildaweasley")</f>
        <v>matildaweasley</v>
      </c>
      <c r="B15307" s="65"/>
    </row>
    <row r="15308" spans="1:2" x14ac:dyDescent="0.25">
      <c r="A15308" s="64" t="str">
        <f>HYPERLINK("http://www.twitter.com/waterlillynb", "waterlillynb")</f>
        <v>waterlillynb</v>
      </c>
      <c r="B15308" s="65" t="s">
        <v>8499</v>
      </c>
    </row>
    <row r="15309" spans="1:2" x14ac:dyDescent="0.25">
      <c r="A15309" s="64" t="str">
        <f>HYPERLINK("http://www.twitter.com/gocer2323", "gocer2323")</f>
        <v>gocer2323</v>
      </c>
      <c r="B15309" s="65"/>
    </row>
    <row r="15310" spans="1:2" x14ac:dyDescent="0.25">
      <c r="A15310" s="64" t="str">
        <f>HYPERLINK("http://www.twitter.com/Gryffin_Duck", "Gryffin_Duck")</f>
        <v>Gryffin_Duck</v>
      </c>
      <c r="B15310" s="65" t="s">
        <v>8500</v>
      </c>
    </row>
    <row r="15311" spans="1:2" x14ac:dyDescent="0.25">
      <c r="A15311" s="64" t="str">
        <f>HYPERLINK("http://www.twitter.com/marialice12759", "marialice12759")</f>
        <v>marialice12759</v>
      </c>
      <c r="B15311" s="65"/>
    </row>
    <row r="15312" spans="1:2" x14ac:dyDescent="0.25">
      <c r="A15312" s="64" t="str">
        <f>HYPERLINK("http://www.twitter.com/butty1972", "butty1972")</f>
        <v>butty1972</v>
      </c>
      <c r="B15312" s="65" t="s">
        <v>3955</v>
      </c>
    </row>
    <row r="15313" spans="1:2" x14ac:dyDescent="0.25">
      <c r="A15313" s="64" t="str">
        <f>HYPERLINK("http://www.twitter.com/joslynnyvette", "joslynnyvette")</f>
        <v>joslynnyvette</v>
      </c>
      <c r="B15313" s="65"/>
    </row>
    <row r="15314" spans="1:2" x14ac:dyDescent="0.25">
      <c r="A15314" s="64" t="str">
        <f>HYPERLINK("http://www.twitter.com/witchypooh42", "witchypooh42")</f>
        <v>witchypooh42</v>
      </c>
      <c r="B15314" s="65"/>
    </row>
    <row r="15315" spans="1:2" x14ac:dyDescent="0.25">
      <c r="A15315" s="64" t="str">
        <f>HYPERLINK("http://www.twitter.com/MonaghanAndrea", "MonaghanAndrea")</f>
        <v>MonaghanAndrea</v>
      </c>
      <c r="B15315" s="65"/>
    </row>
    <row r="15316" spans="1:2" x14ac:dyDescent="0.25">
      <c r="A15316" s="64" t="str">
        <f>HYPERLINK("http://www.twitter.com/quediafoiesse", "quediafoiesse")</f>
        <v>quediafoiesse</v>
      </c>
      <c r="B15316" s="65" t="s">
        <v>4837</v>
      </c>
    </row>
    <row r="15317" spans="1:2" x14ac:dyDescent="0.25">
      <c r="A15317" s="64" t="str">
        <f>HYPERLINK("http://www.twitter.com/scatcat99", "scatcat99")</f>
        <v>scatcat99</v>
      </c>
      <c r="B15317" s="65" t="s">
        <v>8501</v>
      </c>
    </row>
    <row r="15318" spans="1:2" x14ac:dyDescent="0.25">
      <c r="A15318" s="64" t="str">
        <f>HYPERLINK("http://www.twitter.com/PaulBrears", "PaulBrears")</f>
        <v>PaulBrears</v>
      </c>
      <c r="B15318" s="65"/>
    </row>
    <row r="15319" spans="1:2" x14ac:dyDescent="0.25">
      <c r="A15319" s="64" t="str">
        <f>HYPERLINK("http://www.twitter.com/HauntedCryme", "HauntedCryme")</f>
        <v>HauntedCryme</v>
      </c>
      <c r="B15319" s="65" t="s">
        <v>538</v>
      </c>
    </row>
    <row r="15320" spans="1:2" x14ac:dyDescent="0.25">
      <c r="A15320" s="64" t="str">
        <f>HYPERLINK("http://www.twitter.com/DiSBiTcHiSNiCe", "DiSBiTcHiSNiCe")</f>
        <v>DiSBiTcHiSNiCe</v>
      </c>
      <c r="B15320" s="65" t="s">
        <v>3797</v>
      </c>
    </row>
    <row r="15321" spans="1:2" x14ac:dyDescent="0.25">
      <c r="A15321" s="64" t="str">
        <f>HYPERLINK("http://www.twitter.com/ManuChoBove", "ManuChoBove")</f>
        <v>ManuChoBove</v>
      </c>
      <c r="B15321" s="65"/>
    </row>
    <row r="15322" spans="1:2" x14ac:dyDescent="0.25">
      <c r="A15322" s="64" t="str">
        <f>HYPERLINK("http://www.twitter.com/lorijunejones", "lorijunejones")</f>
        <v>lorijunejones</v>
      </c>
      <c r="B15322" s="65" t="s">
        <v>2134</v>
      </c>
    </row>
    <row r="15323" spans="1:2" x14ac:dyDescent="0.25">
      <c r="A15323" s="64" t="str">
        <f>HYPERLINK("http://www.twitter.com/inesofielodsby", "inesofielodsby")</f>
        <v>inesofielodsby</v>
      </c>
      <c r="B15323" s="65"/>
    </row>
    <row r="15324" spans="1:2" x14ac:dyDescent="0.25">
      <c r="A15324" s="64" t="str">
        <f>HYPERLINK("http://www.twitter.com/v5kag", "v5kag")</f>
        <v>v5kag</v>
      </c>
      <c r="B15324" s="65"/>
    </row>
    <row r="15325" spans="1:2" x14ac:dyDescent="0.25">
      <c r="A15325" s="64" t="str">
        <f>HYPERLINK("http://www.twitter.com/LauraOso8", "LauraOso8")</f>
        <v>LauraOso8</v>
      </c>
      <c r="B15325" s="65" t="s">
        <v>4192</v>
      </c>
    </row>
    <row r="15326" spans="1:2" x14ac:dyDescent="0.25">
      <c r="A15326" s="64" t="str">
        <f>HYPERLINK("http://www.twitter.com/jescobe", "jescobe")</f>
        <v>jescobe</v>
      </c>
      <c r="B15326" s="65" t="s">
        <v>4153</v>
      </c>
    </row>
    <row r="15327" spans="1:2" x14ac:dyDescent="0.25">
      <c r="A15327" s="64" t="str">
        <f>HYPERLINK("http://www.twitter.com/KitJGill", "KitJGill")</f>
        <v>KitJGill</v>
      </c>
      <c r="B15327" s="65"/>
    </row>
    <row r="15328" spans="1:2" x14ac:dyDescent="0.25">
      <c r="A15328" s="64" t="str">
        <f>HYPERLINK("http://www.twitter.com/youthlibrarian", "youthlibrarian")</f>
        <v>youthlibrarian</v>
      </c>
      <c r="B15328" s="65"/>
    </row>
    <row r="15329" spans="1:2" x14ac:dyDescent="0.25">
      <c r="A15329" s="64" t="str">
        <f>HYPERLINK("http://www.twitter.com/TacitusOrkney", "TacitusOrkney")</f>
        <v>TacitusOrkney</v>
      </c>
      <c r="B15329" s="65"/>
    </row>
    <row r="15330" spans="1:2" x14ac:dyDescent="0.25">
      <c r="A15330" s="64" t="str">
        <f>HYPERLINK("http://www.twitter.com/cranachanbooks", "cranachanbooks")</f>
        <v>cranachanbooks</v>
      </c>
      <c r="B15330" s="65" t="s">
        <v>517</v>
      </c>
    </row>
    <row r="15331" spans="1:2" x14ac:dyDescent="0.25">
      <c r="A15331" s="64" t="str">
        <f>HYPERLINK("http://www.twitter.com/boccabaciata", "boccabaciata")</f>
        <v>boccabaciata</v>
      </c>
      <c r="B15331" s="65" t="s">
        <v>8502</v>
      </c>
    </row>
    <row r="15332" spans="1:2" x14ac:dyDescent="0.25">
      <c r="A15332" s="64" t="str">
        <f>HYPERLINK("http://www.twitter.com/LifeAfloat", "LifeAfloat")</f>
        <v>LifeAfloat</v>
      </c>
      <c r="B15332" s="65" t="s">
        <v>8503</v>
      </c>
    </row>
    <row r="15333" spans="1:2" x14ac:dyDescent="0.25">
      <c r="A15333" s="64" t="str">
        <f>HYPERLINK("http://www.twitter.com/MattRalphs2", "MattRalphs2")</f>
        <v>MattRalphs2</v>
      </c>
      <c r="B15333" s="65"/>
    </row>
    <row r="15334" spans="1:2" x14ac:dyDescent="0.25">
      <c r="A15334" s="64" t="str">
        <f>HYPERLINK("http://www.twitter.com/AugustaMB", "AugustaMB")</f>
        <v>AugustaMB</v>
      </c>
      <c r="B15334" s="65" t="s">
        <v>1490</v>
      </c>
    </row>
    <row r="15335" spans="1:2" x14ac:dyDescent="0.25">
      <c r="A15335" s="64" t="str">
        <f>HYPERLINK("http://www.twitter.com/davidbrook", "davidbrook")</f>
        <v>davidbrook</v>
      </c>
      <c r="B15335" s="65" t="s">
        <v>4002</v>
      </c>
    </row>
    <row r="15336" spans="1:2" x14ac:dyDescent="0.25">
      <c r="A15336" s="64" t="str">
        <f>HYPERLINK("http://www.twitter.com/westhillcomm", "westhillcomm")</f>
        <v>westhillcomm</v>
      </c>
      <c r="B15336" s="65"/>
    </row>
    <row r="15337" spans="1:2" x14ac:dyDescent="0.25">
      <c r="A15337" s="64" t="str">
        <f>HYPERLINK("http://www.twitter.com/LibraryUknws", "LibraryUknws")</f>
        <v>LibraryUknws</v>
      </c>
      <c r="B15337" s="65"/>
    </row>
    <row r="15338" spans="1:2" x14ac:dyDescent="0.25">
      <c r="A15338" s="64" t="str">
        <f>HYPERLINK("http://www.twitter.com/KashmoreA", "KashmoreA")</f>
        <v>KashmoreA</v>
      </c>
      <c r="B15338" s="65"/>
    </row>
    <row r="15339" spans="1:2" x14ac:dyDescent="0.25">
      <c r="A15339" s="64" t="str">
        <f>HYPERLINK("http://www.twitter.com/tina_meldrum", "tina_meldrum")</f>
        <v>tina_meldrum</v>
      </c>
      <c r="B15339" s="65" t="s">
        <v>4519</v>
      </c>
    </row>
    <row r="15340" spans="1:2" x14ac:dyDescent="0.25">
      <c r="A15340" s="64" t="str">
        <f>HYPERLINK("http://www.twitter.com/Tessicat", "Tessicat")</f>
        <v>Tessicat</v>
      </c>
      <c r="B15340" s="65" t="s">
        <v>1873</v>
      </c>
    </row>
    <row r="15341" spans="1:2" x14ac:dyDescent="0.25">
      <c r="A15341" s="64" t="str">
        <f>HYPERLINK("http://www.twitter.com/BermondseyLady", "BermondseyLady")</f>
        <v>BermondseyLady</v>
      </c>
      <c r="B15341" s="65" t="s">
        <v>7029</v>
      </c>
    </row>
    <row r="15342" spans="1:2" x14ac:dyDescent="0.25">
      <c r="A15342" s="64" t="str">
        <f>HYPERLINK("http://www.twitter.com/WLFocusOn", "WLFocusOn")</f>
        <v>WLFocusOn</v>
      </c>
      <c r="B15342" s="65" t="s">
        <v>3991</v>
      </c>
    </row>
    <row r="15343" spans="1:2" x14ac:dyDescent="0.25">
      <c r="A15343" s="64" t="str">
        <f>HYPERLINK("http://www.twitter.com/ChiqueBoum", "ChiqueBoum")</f>
        <v>ChiqueBoum</v>
      </c>
      <c r="B15343" s="65" t="s">
        <v>138</v>
      </c>
    </row>
    <row r="15344" spans="1:2" x14ac:dyDescent="0.25">
      <c r="A15344" s="64" t="str">
        <f>HYPERLINK("http://www.twitter.com/hillsnspills", "hillsnspills")</f>
        <v>hillsnspills</v>
      </c>
      <c r="B15344" s="65"/>
    </row>
    <row r="15345" spans="1:2" x14ac:dyDescent="0.25">
      <c r="A15345" s="64" t="str">
        <f>HYPERLINK("http://www.twitter.com/G_U_Knit", "G_U_Knit")</f>
        <v>G_U_Knit</v>
      </c>
      <c r="B15345" s="65" t="s">
        <v>5915</v>
      </c>
    </row>
    <row r="15346" spans="1:2" x14ac:dyDescent="0.25">
      <c r="A15346" s="64" t="str">
        <f>HYPERLINK("http://www.twitter.com/Kiluk5", "Kiluk5")</f>
        <v>Kiluk5</v>
      </c>
      <c r="B15346" s="65"/>
    </row>
    <row r="15347" spans="1:2" x14ac:dyDescent="0.25">
      <c r="A15347" s="64" t="str">
        <f>HYPERLINK("http://www.twitter.com/janinelaporte", "janinelaporte")</f>
        <v>janinelaporte</v>
      </c>
      <c r="B15347" s="65" t="s">
        <v>3778</v>
      </c>
    </row>
    <row r="15348" spans="1:2" x14ac:dyDescent="0.25">
      <c r="A15348" s="64" t="str">
        <f>HYPERLINK("http://www.twitter.com/maggiekie1y", "maggiekie1y")</f>
        <v>maggiekie1y</v>
      </c>
      <c r="B15348" s="65" t="s">
        <v>70</v>
      </c>
    </row>
    <row r="15349" spans="1:2" x14ac:dyDescent="0.25">
      <c r="A15349" s="64" t="str">
        <f>HYPERLINK("http://www.twitter.com/McGone", "McGone")</f>
        <v>McGone</v>
      </c>
      <c r="B15349" s="65" t="s">
        <v>8504</v>
      </c>
    </row>
    <row r="15350" spans="1:2" x14ac:dyDescent="0.25">
      <c r="A15350" s="64" t="str">
        <f>HYPERLINK("http://www.twitter.com/GillAllard", "GillAllard")</f>
        <v>GillAllard</v>
      </c>
      <c r="B15350" s="65" t="s">
        <v>880</v>
      </c>
    </row>
    <row r="15351" spans="1:2" x14ac:dyDescent="0.25">
      <c r="A15351" s="64" t="str">
        <f>HYPERLINK("http://www.twitter.com/baileysara", "baileysara")</f>
        <v>baileysara</v>
      </c>
      <c r="B15351" s="65" t="s">
        <v>20</v>
      </c>
    </row>
    <row r="15352" spans="1:2" x14ac:dyDescent="0.25">
      <c r="A15352" s="64" t="str">
        <f>HYPERLINK("http://www.twitter.com/karenmogwai", "karenmogwai")</f>
        <v>karenmogwai</v>
      </c>
      <c r="B15352" s="65"/>
    </row>
    <row r="15353" spans="1:2" x14ac:dyDescent="0.25">
      <c r="A15353" s="64" t="str">
        <f>HYPERLINK("http://www.twitter.com/BrewDogAllison", "BrewDogAllison")</f>
        <v>BrewDogAllison</v>
      </c>
      <c r="B15353" s="65"/>
    </row>
    <row r="15354" spans="1:2" x14ac:dyDescent="0.25">
      <c r="A15354" s="64" t="str">
        <f>HYPERLINK("http://www.twitter.com/the_lonetrotter", "the_lonetrotter")</f>
        <v>the_lonetrotter</v>
      </c>
      <c r="B15354" s="65" t="s">
        <v>8505</v>
      </c>
    </row>
    <row r="15355" spans="1:2" x14ac:dyDescent="0.25">
      <c r="A15355" s="64" t="str">
        <f>HYPERLINK("http://www.twitter.com/LouLouReads", "LouLouReads")</f>
        <v>LouLouReads</v>
      </c>
      <c r="B15355" s="65"/>
    </row>
    <row r="15356" spans="1:2" x14ac:dyDescent="0.25">
      <c r="A15356" s="64" t="str">
        <f>HYPERLINK("http://www.twitter.com/TriciaAyrton", "TriciaAyrton")</f>
        <v>TriciaAyrton</v>
      </c>
      <c r="B15356" s="65" t="s">
        <v>1669</v>
      </c>
    </row>
    <row r="15357" spans="1:2" x14ac:dyDescent="0.25">
      <c r="A15357" s="64" t="str">
        <f>HYPERLINK("http://www.twitter.com/advbakhan", "advbakhan")</f>
        <v>advbakhan</v>
      </c>
      <c r="B15357" s="65" t="s">
        <v>4452</v>
      </c>
    </row>
    <row r="15358" spans="1:2" x14ac:dyDescent="0.25">
      <c r="A15358" s="64" t="str">
        <f>HYPERLINK("http://www.twitter.com/singingdentist", "singingdentist")</f>
        <v>singingdentist</v>
      </c>
      <c r="B15358" s="65" t="s">
        <v>8506</v>
      </c>
    </row>
    <row r="15359" spans="1:2" x14ac:dyDescent="0.25">
      <c r="A15359" s="64" t="str">
        <f>HYPERLINK("http://www.twitter.com/coy10800", "coy10800")</f>
        <v>coy10800</v>
      </c>
      <c r="B15359" s="65" t="s">
        <v>4309</v>
      </c>
    </row>
    <row r="15360" spans="1:2" x14ac:dyDescent="0.25">
      <c r="A15360" s="64" t="str">
        <f>HYPERLINK("http://www.twitter.com/4Newmans", "4Newmans")</f>
        <v>4Newmans</v>
      </c>
      <c r="B15360" s="65"/>
    </row>
    <row r="15361" spans="1:2" x14ac:dyDescent="0.25">
      <c r="A15361" s="64" t="str">
        <f>HYPERLINK("http://www.twitter.com/ali_lamont", "ali_lamont")</f>
        <v>ali_lamont</v>
      </c>
      <c r="B15361" s="65" t="s">
        <v>8507</v>
      </c>
    </row>
    <row r="15362" spans="1:2" x14ac:dyDescent="0.25">
      <c r="A15362" s="64" t="str">
        <f>HYPERLINK("http://www.twitter.com/incubefurniture", "incubefurniture")</f>
        <v>incubefurniture</v>
      </c>
      <c r="B15362" s="65" t="s">
        <v>3650</v>
      </c>
    </row>
    <row r="15363" spans="1:2" x14ac:dyDescent="0.25">
      <c r="A15363" s="64" t="str">
        <f>HYPERLINK("http://www.twitter.com/TamsinRussell", "TamsinRussell")</f>
        <v>TamsinRussell</v>
      </c>
      <c r="B15363" s="65" t="s">
        <v>8508</v>
      </c>
    </row>
    <row r="15364" spans="1:2" x14ac:dyDescent="0.25">
      <c r="A15364" s="64" t="str">
        <f>HYPERLINK("http://www.twitter.com/clinestar", "clinestar")</f>
        <v>clinestar</v>
      </c>
      <c r="B15364" s="65" t="s">
        <v>477</v>
      </c>
    </row>
    <row r="15365" spans="1:2" x14ac:dyDescent="0.25">
      <c r="A15365" s="64" t="str">
        <f>HYPERLINK("http://www.twitter.com/SouthwarkLibs", "SouthwarkLibs")</f>
        <v>SouthwarkLibs</v>
      </c>
      <c r="B15365" s="65" t="s">
        <v>493</v>
      </c>
    </row>
    <row r="15366" spans="1:2" x14ac:dyDescent="0.25">
      <c r="A15366" s="64" t="str">
        <f>HYPERLINK("http://www.twitter.com/Karin_Penguin", "Karin_Penguin")</f>
        <v>Karin_Penguin</v>
      </c>
      <c r="B15366" s="65"/>
    </row>
    <row r="15367" spans="1:2" x14ac:dyDescent="0.25">
      <c r="A15367" s="64" t="str">
        <f>HYPERLINK("http://www.twitter.com/TribhuvanPrajw1", "TribhuvanPrajw1")</f>
        <v>TribhuvanPrajw1</v>
      </c>
      <c r="B15367" s="65" t="s">
        <v>4628</v>
      </c>
    </row>
    <row r="15368" spans="1:2" x14ac:dyDescent="0.25">
      <c r="A15368" s="64" t="str">
        <f>HYPERLINK("http://www.twitter.com/alina_matsuri", "alina_matsuri")</f>
        <v>alina_matsuri</v>
      </c>
      <c r="B15368" s="65" t="s">
        <v>8509</v>
      </c>
    </row>
    <row r="15369" spans="1:2" x14ac:dyDescent="0.25">
      <c r="A15369" s="64" t="str">
        <f>HYPERLINK("http://www.twitter.com/ChrisNest1", "ChrisNest1")</f>
        <v>ChrisNest1</v>
      </c>
      <c r="B15369" s="65"/>
    </row>
    <row r="15370" spans="1:2" x14ac:dyDescent="0.25">
      <c r="A15370" s="64" t="str">
        <f>HYPERLINK("http://www.twitter.com/bittertwittan", "bittertwittan")</f>
        <v>bittertwittan</v>
      </c>
      <c r="B15370" s="65" t="s">
        <v>8510</v>
      </c>
    </row>
    <row r="15371" spans="1:2" x14ac:dyDescent="0.25">
      <c r="A15371" s="64" t="str">
        <f>HYPERLINK("http://www.twitter.com/LePlanRex", "LePlanRex")</f>
        <v>LePlanRex</v>
      </c>
      <c r="B15371" s="65"/>
    </row>
    <row r="15372" spans="1:2" x14ac:dyDescent="0.25">
      <c r="A15372" s="64" t="str">
        <f>HYPERLINK("http://www.twitter.com/keirrichard", "keirrichard")</f>
        <v>keirrichard</v>
      </c>
      <c r="B15372" s="65"/>
    </row>
    <row r="15373" spans="1:2" x14ac:dyDescent="0.25">
      <c r="A15373" s="64" t="str">
        <f>HYPERLINK("http://www.twitter.com/Bookloverworm1", "Bookloverworm1")</f>
        <v>Bookloverworm1</v>
      </c>
      <c r="B15373" s="65" t="s">
        <v>8511</v>
      </c>
    </row>
    <row r="15374" spans="1:2" x14ac:dyDescent="0.25">
      <c r="A15374" s="64" t="str">
        <f>HYPERLINK("http://www.twitter.com/pilotffi", "pilotffi")</f>
        <v>pilotffi</v>
      </c>
      <c r="B15374" s="65" t="s">
        <v>36</v>
      </c>
    </row>
    <row r="15375" spans="1:2" x14ac:dyDescent="0.25">
      <c r="A15375" s="64" t="str">
        <f>HYPERLINK("http://www.twitter.com/burguillosmf", "burguillosmf")</f>
        <v>burguillosmf</v>
      </c>
      <c r="B15375" s="65" t="s">
        <v>8512</v>
      </c>
    </row>
    <row r="15376" spans="1:2" x14ac:dyDescent="0.25">
      <c r="A15376" s="64" t="str">
        <f>HYPERLINK("http://www.twitter.com/JenSpindler", "JenSpindler")</f>
        <v>JenSpindler</v>
      </c>
      <c r="B15376" s="65" t="s">
        <v>8513</v>
      </c>
    </row>
    <row r="15377" spans="1:2" x14ac:dyDescent="0.25">
      <c r="A15377" s="64" t="str">
        <f>HYPERLINK("http://www.twitter.com/CelticStFX", "CelticStFX")</f>
        <v>CelticStFX</v>
      </c>
      <c r="B15377" s="65" t="s">
        <v>8514</v>
      </c>
    </row>
    <row r="15378" spans="1:2" x14ac:dyDescent="0.25">
      <c r="A15378" s="64" t="str">
        <f>HYPERLINK("http://www.twitter.com/Gauauauauauald", "Gauauauauauald")</f>
        <v>Gauauauauauald</v>
      </c>
      <c r="B15378" s="65"/>
    </row>
    <row r="15379" spans="1:2" x14ac:dyDescent="0.25">
      <c r="A15379" s="64" t="str">
        <f>HYPERLINK("http://www.twitter.com/DevonWrites", "DevonWrites")</f>
        <v>DevonWrites</v>
      </c>
      <c r="B15379" s="65" t="s">
        <v>296</v>
      </c>
    </row>
    <row r="15380" spans="1:2" x14ac:dyDescent="0.25">
      <c r="A15380" s="64" t="str">
        <f>HYPERLINK("http://www.twitter.com/nicolewmiller", "nicolewmiller")</f>
        <v>nicolewmiller</v>
      </c>
      <c r="B15380" s="65" t="s">
        <v>6566</v>
      </c>
    </row>
    <row r="15381" spans="1:2" x14ac:dyDescent="0.25">
      <c r="A15381" s="64" t="str">
        <f>HYPERLINK("http://www.twitter.com/ParkerSisters03", "ParkerSisters03")</f>
        <v>ParkerSisters03</v>
      </c>
      <c r="B15381" s="65" t="s">
        <v>8515</v>
      </c>
    </row>
    <row r="15382" spans="1:2" x14ac:dyDescent="0.25">
      <c r="A15382" s="64" t="str">
        <f>HYPERLINK("http://www.twitter.com/baccarababe", "baccarababe")</f>
        <v>baccarababe</v>
      </c>
      <c r="B15382" s="65" t="s">
        <v>517</v>
      </c>
    </row>
    <row r="15383" spans="1:2" x14ac:dyDescent="0.25">
      <c r="A15383" s="64" t="str">
        <f>HYPERLINK("http://www.twitter.com/Ozbird", "Ozbird")</f>
        <v>Ozbird</v>
      </c>
      <c r="B15383" s="65" t="s">
        <v>3988</v>
      </c>
    </row>
    <row r="15384" spans="1:2" x14ac:dyDescent="0.25">
      <c r="A15384" s="64" t="str">
        <f>HYPERLINK("http://www.twitter.com/DrewSavageSport", "DrewSavageSport")</f>
        <v>DrewSavageSport</v>
      </c>
      <c r="B15384" s="65" t="s">
        <v>5923</v>
      </c>
    </row>
    <row r="15385" spans="1:2" x14ac:dyDescent="0.25">
      <c r="A15385" s="64" t="str">
        <f>HYPERLINK("http://www.twitter.com/TimesLucy", "TimesLucy")</f>
        <v>TimesLucy</v>
      </c>
      <c r="B15385" s="65" t="s">
        <v>36</v>
      </c>
    </row>
    <row r="15386" spans="1:2" x14ac:dyDescent="0.25">
      <c r="A15386" s="64" t="str">
        <f>HYPERLINK("http://www.twitter.com/buliejell", "buliejell")</f>
        <v>buliejell</v>
      </c>
      <c r="B15386" s="65" t="s">
        <v>8516</v>
      </c>
    </row>
    <row r="15387" spans="1:2" x14ac:dyDescent="0.25">
      <c r="A15387" s="64" t="str">
        <f>HYPERLINK("http://www.twitter.com/FolkloreThurs", "FolkloreThurs")</f>
        <v>FolkloreThurs</v>
      </c>
      <c r="B15387" s="65" t="s">
        <v>70</v>
      </c>
    </row>
    <row r="15388" spans="1:2" x14ac:dyDescent="0.25">
      <c r="A15388" s="64" t="str">
        <f>HYPERLINK("http://www.twitter.com/Fine1stEditions", "Fine1stEditions")</f>
        <v>Fine1stEditions</v>
      </c>
      <c r="B15388" s="65" t="s">
        <v>8517</v>
      </c>
    </row>
    <row r="15389" spans="1:2" x14ac:dyDescent="0.25">
      <c r="A15389" s="64" t="str">
        <f>HYPERLINK("http://www.twitter.com/EKWalks", "EKWalks")</f>
        <v>EKWalks</v>
      </c>
      <c r="B15389" s="65" t="s">
        <v>3995</v>
      </c>
    </row>
    <row r="15390" spans="1:2" x14ac:dyDescent="0.25">
      <c r="A15390" s="64" t="str">
        <f>HYPERLINK("http://www.twitter.com/JaneHeth", "JaneHeth")</f>
        <v>JaneHeth</v>
      </c>
      <c r="B15390" s="65"/>
    </row>
    <row r="15391" spans="1:2" x14ac:dyDescent="0.25">
      <c r="A15391" s="64" t="str">
        <f>HYPERLINK("http://www.twitter.com/KRychtycka", "KRychtycka")</f>
        <v>KRychtycka</v>
      </c>
      <c r="B15391" s="65" t="s">
        <v>8518</v>
      </c>
    </row>
    <row r="15392" spans="1:2" x14ac:dyDescent="0.25">
      <c r="A15392" s="64" t="str">
        <f>HYPERLINK("http://www.twitter.com/JessieHubbard14", "JessieHubbard14")</f>
        <v>JessieHubbard14</v>
      </c>
      <c r="B15392" s="65" t="s">
        <v>4538</v>
      </c>
    </row>
    <row r="15393" spans="1:2" x14ac:dyDescent="0.25">
      <c r="A15393" s="64" t="str">
        <f>HYPERLINK("http://www.twitter.com/duncanadams", "duncanadams")</f>
        <v>duncanadams</v>
      </c>
      <c r="B15393" s="65" t="s">
        <v>8519</v>
      </c>
    </row>
    <row r="15394" spans="1:2" x14ac:dyDescent="0.25">
      <c r="A15394" s="64" t="str">
        <f>HYPERLINK("http://www.twitter.com/medicines_LCH", "medicines_LCH")</f>
        <v>medicines_LCH</v>
      </c>
      <c r="B15394" s="65" t="s">
        <v>3859</v>
      </c>
    </row>
    <row r="15395" spans="1:2" x14ac:dyDescent="0.25">
      <c r="A15395" s="64" t="str">
        <f>HYPERLINK("http://www.twitter.com/duophonic", "duophonic")</f>
        <v>duophonic</v>
      </c>
      <c r="B15395" s="65"/>
    </row>
    <row r="15396" spans="1:2" x14ac:dyDescent="0.25">
      <c r="A15396" s="64" t="str">
        <f>HYPERLINK("http://www.twitter.com/EmmaW74", "EmmaW74")</f>
        <v>EmmaW74</v>
      </c>
      <c r="B15396" s="65" t="s">
        <v>1790</v>
      </c>
    </row>
    <row r="15397" spans="1:2" x14ac:dyDescent="0.25">
      <c r="A15397" s="64" t="str">
        <f>HYPERLINK("http://www.twitter.com/KendalPeters", "KendalPeters")</f>
        <v>KendalPeters</v>
      </c>
      <c r="B15397" s="65" t="s">
        <v>36</v>
      </c>
    </row>
    <row r="15398" spans="1:2" x14ac:dyDescent="0.25">
      <c r="A15398" s="64" t="str">
        <f>HYPERLINK("http://www.twitter.com/andydphilip", "andydphilip")</f>
        <v>andydphilip</v>
      </c>
      <c r="B15398" s="65" t="s">
        <v>517</v>
      </c>
    </row>
    <row r="15399" spans="1:2" x14ac:dyDescent="0.25">
      <c r="A15399" s="64" t="str">
        <f>HYPERLINK("http://www.twitter.com/ChrisHarris44", "ChrisHarris44")</f>
        <v>ChrisHarris44</v>
      </c>
      <c r="B15399" s="65" t="s">
        <v>4472</v>
      </c>
    </row>
    <row r="15400" spans="1:2" x14ac:dyDescent="0.25">
      <c r="A15400" s="64" t="str">
        <f>HYPERLINK("http://www.twitter.com/jenni2906", "jenni2906")</f>
        <v>jenni2906</v>
      </c>
      <c r="B15400" s="65"/>
    </row>
    <row r="15401" spans="1:2" x14ac:dyDescent="0.25">
      <c r="A15401" s="64" t="str">
        <f>HYPERLINK("http://www.twitter.com/Sherry_Trifle", "Sherry_Trifle")</f>
        <v>Sherry_Trifle</v>
      </c>
      <c r="B15401" s="65"/>
    </row>
    <row r="15402" spans="1:2" x14ac:dyDescent="0.25">
      <c r="A15402" s="64" t="str">
        <f>HYPERLINK("http://www.twitter.com/jodenice", "jodenice")</f>
        <v>jodenice</v>
      </c>
      <c r="B15402" s="65" t="s">
        <v>5199</v>
      </c>
    </row>
    <row r="15403" spans="1:2" x14ac:dyDescent="0.25">
      <c r="A15403" s="64" t="str">
        <f>HYPERLINK("http://www.twitter.com/MissMossley", "MissMossley")</f>
        <v>MissMossley</v>
      </c>
      <c r="B15403" s="65" t="s">
        <v>8520</v>
      </c>
    </row>
    <row r="15404" spans="1:2" x14ac:dyDescent="0.25">
      <c r="A15404" s="64" t="str">
        <f>HYPERLINK("http://www.twitter.com/GHMJA", "GHMJA")</f>
        <v>GHMJA</v>
      </c>
      <c r="B15404" s="65"/>
    </row>
    <row r="15405" spans="1:2" x14ac:dyDescent="0.25">
      <c r="A15405" s="64" t="str">
        <f>HYPERLINK("http://www.twitter.com/BenBoothPhoto", "BenBoothPhoto")</f>
        <v>BenBoothPhoto</v>
      </c>
      <c r="B15405" s="65" t="s">
        <v>6073</v>
      </c>
    </row>
    <row r="15406" spans="1:2" x14ac:dyDescent="0.25">
      <c r="A15406" s="64" t="str">
        <f>HYPERLINK("http://www.twitter.com/Traveljo", "Traveljo")</f>
        <v>Traveljo</v>
      </c>
      <c r="B15406" s="65"/>
    </row>
    <row r="15407" spans="1:2" x14ac:dyDescent="0.25">
      <c r="A15407" s="64" t="str">
        <f>HYPERLINK("http://www.twitter.com/lisammulligan", "lisammulligan")</f>
        <v>lisammulligan</v>
      </c>
      <c r="B15407" s="65" t="s">
        <v>4741</v>
      </c>
    </row>
    <row r="15408" spans="1:2" x14ac:dyDescent="0.25">
      <c r="A15408" s="64" t="str">
        <f>HYPERLINK("http://www.twitter.com/ruthetc", "ruthetc")</f>
        <v>ruthetc</v>
      </c>
      <c r="B15408" s="65" t="s">
        <v>36</v>
      </c>
    </row>
    <row r="15409" spans="1:2" x14ac:dyDescent="0.25">
      <c r="A15409" s="64" t="str">
        <f>HYPERLINK("http://www.twitter.com/meg_lellan", "meg_lellan")</f>
        <v>meg_lellan</v>
      </c>
      <c r="B15409" s="65" t="s">
        <v>318</v>
      </c>
    </row>
    <row r="15410" spans="1:2" x14ac:dyDescent="0.25">
      <c r="A15410" s="64" t="str">
        <f>HYPERLINK("http://www.twitter.com/cazza_rw", "cazza_rw")</f>
        <v>cazza_rw</v>
      </c>
      <c r="B15410" s="65"/>
    </row>
    <row r="15411" spans="1:2" x14ac:dyDescent="0.25">
      <c r="A15411" s="64" t="str">
        <f>HYPERLINK("http://www.twitter.com/MsJemimaJane", "MsJemimaJane")</f>
        <v>MsJemimaJane</v>
      </c>
      <c r="B15411" s="65"/>
    </row>
    <row r="15412" spans="1:2" x14ac:dyDescent="0.25">
      <c r="A15412" s="64" t="str">
        <f>HYPERLINK("http://www.twitter.com/docker_keith", "docker_keith")</f>
        <v>docker_keith</v>
      </c>
      <c r="B15412" s="65"/>
    </row>
    <row r="15413" spans="1:2" x14ac:dyDescent="0.25">
      <c r="A15413" s="64" t="str">
        <f>HYPERLINK("http://www.twitter.com/sunflowerinrain", "sunflowerinrain")</f>
        <v>sunflowerinrain</v>
      </c>
      <c r="B15413" s="65" t="s">
        <v>8521</v>
      </c>
    </row>
    <row r="15414" spans="1:2" x14ac:dyDescent="0.25">
      <c r="A15414" s="64" t="str">
        <f>HYPERLINK("http://www.twitter.com/HazeSpike", "HazeSpike")</f>
        <v>HazeSpike</v>
      </c>
      <c r="B15414" s="65"/>
    </row>
    <row r="15415" spans="1:2" x14ac:dyDescent="0.25">
      <c r="A15415" s="64" t="str">
        <f>HYPERLINK("http://www.twitter.com/SteveH1982", "SteveH1982")</f>
        <v>SteveH1982</v>
      </c>
      <c r="B15415" s="65" t="s">
        <v>36</v>
      </c>
    </row>
    <row r="15416" spans="1:2" x14ac:dyDescent="0.25">
      <c r="A15416" s="64" t="str">
        <f>HYPERLINK("http://www.twitter.com/EjeGeo", "EjeGeo")</f>
        <v>EjeGeo</v>
      </c>
      <c r="B15416" s="65"/>
    </row>
    <row r="15417" spans="1:2" x14ac:dyDescent="0.25">
      <c r="A15417" s="64" t="str">
        <f>HYPERLINK("http://www.twitter.com/RachaelB279", "RachaelB279")</f>
        <v>RachaelB279</v>
      </c>
      <c r="B15417" s="65"/>
    </row>
    <row r="15418" spans="1:2" x14ac:dyDescent="0.25">
      <c r="A15418" s="64" t="str">
        <f>HYPERLINK("http://www.twitter.com/heatherjedwards", "heatherjedwards")</f>
        <v>heatherjedwards</v>
      </c>
      <c r="B15418" s="65" t="s">
        <v>4068</v>
      </c>
    </row>
    <row r="15419" spans="1:2" x14ac:dyDescent="0.25">
      <c r="A15419" s="64" t="str">
        <f>HYPERLINK("http://www.twitter.com/pipdivall", "pipdivall")</f>
        <v>pipdivall</v>
      </c>
      <c r="B15419" s="65" t="s">
        <v>1876</v>
      </c>
    </row>
    <row r="15420" spans="1:2" x14ac:dyDescent="0.25">
      <c r="A15420" s="64" t="str">
        <f>HYPERLINK("http://www.twitter.com/LouiseHull", "LouiseHull")</f>
        <v>LouiseHull</v>
      </c>
      <c r="B15420" s="65" t="s">
        <v>1876</v>
      </c>
    </row>
    <row r="15421" spans="1:2" x14ac:dyDescent="0.25">
      <c r="A15421" s="64" t="str">
        <f>HYPERLINK("http://www.twitter.com/tea_n_see", "tea_n_see")</f>
        <v>tea_n_see</v>
      </c>
      <c r="B15421" s="65" t="s">
        <v>3779</v>
      </c>
    </row>
    <row r="15422" spans="1:2" x14ac:dyDescent="0.25">
      <c r="A15422" s="64" t="str">
        <f>HYPERLINK("http://www.twitter.com/BookspeedGeorge", "BookspeedGeorge")</f>
        <v>BookspeedGeorge</v>
      </c>
      <c r="B15422" s="65" t="s">
        <v>487</v>
      </c>
    </row>
    <row r="15423" spans="1:2" x14ac:dyDescent="0.25">
      <c r="A15423" s="64" t="str">
        <f>HYPERLINK("http://www.twitter.com/DottyB21", "DottyB21")</f>
        <v>DottyB21</v>
      </c>
      <c r="B15423" s="65" t="s">
        <v>456</v>
      </c>
    </row>
    <row r="15424" spans="1:2" x14ac:dyDescent="0.25">
      <c r="A15424" s="64" t="str">
        <f>HYPERLINK("http://www.twitter.com/JamiesonLindsey", "JamiesonLindsey")</f>
        <v>JamiesonLindsey</v>
      </c>
      <c r="B15424" s="65"/>
    </row>
    <row r="15425" spans="1:2" x14ac:dyDescent="0.25">
      <c r="A15425" s="64" t="str">
        <f>HYPERLINK("http://www.twitter.com/Northern_Soul_", "Northern_Soul_")</f>
        <v>Northern_Soul_</v>
      </c>
      <c r="B15425" s="65"/>
    </row>
    <row r="15426" spans="1:2" x14ac:dyDescent="0.25">
      <c r="A15426" s="64" t="str">
        <f>HYPERLINK("http://www.twitter.com/katejhewson", "katejhewson")</f>
        <v>katejhewson</v>
      </c>
      <c r="B15426" s="65" t="s">
        <v>8522</v>
      </c>
    </row>
    <row r="15427" spans="1:2" x14ac:dyDescent="0.25">
      <c r="A15427" s="64" t="str">
        <f>HYPERLINK("http://www.twitter.com/re3recycling", "re3recycling")</f>
        <v>re3recycling</v>
      </c>
      <c r="B15427" s="65" t="s">
        <v>7273</v>
      </c>
    </row>
    <row r="15428" spans="1:2" x14ac:dyDescent="0.25">
      <c r="A15428" s="64" t="str">
        <f>HYPERLINK("http://www.twitter.com/DawnMidgley", "DawnMidgley")</f>
        <v>DawnMidgley</v>
      </c>
      <c r="B15428" s="65"/>
    </row>
    <row r="15429" spans="1:2" x14ac:dyDescent="0.25">
      <c r="A15429" s="64" t="str">
        <f>HYPERLINK("http://www.twitter.com/StirUni", "StirUni")</f>
        <v>StirUni</v>
      </c>
      <c r="B15429" s="65" t="s">
        <v>6809</v>
      </c>
    </row>
    <row r="15430" spans="1:2" x14ac:dyDescent="0.25">
      <c r="A15430" s="64" t="str">
        <f>HYPERLINK("http://www.twitter.com/Trishie_D", "Trishie_D")</f>
        <v>Trishie_D</v>
      </c>
      <c r="B15430" s="65"/>
    </row>
    <row r="15431" spans="1:2" x14ac:dyDescent="0.25">
      <c r="A15431" s="64" t="str">
        <f>HYPERLINK("http://www.twitter.com/juliemr1000", "juliemr1000")</f>
        <v>juliemr1000</v>
      </c>
      <c r="B15431" s="65" t="s">
        <v>1189</v>
      </c>
    </row>
    <row r="15432" spans="1:2" x14ac:dyDescent="0.25">
      <c r="A15432" s="64" t="str">
        <f>HYPERLINK("http://www.twitter.com/JenLawson_", "JenLawson_")</f>
        <v>JenLawson_</v>
      </c>
      <c r="B15432" s="65"/>
    </row>
    <row r="15433" spans="1:2" x14ac:dyDescent="0.25">
      <c r="A15433" s="64" t="str">
        <f>HYPERLINK("http://www.twitter.com/victoriaellis", "victoriaellis")</f>
        <v>victoriaellis</v>
      </c>
      <c r="B15433" s="65" t="s">
        <v>8524</v>
      </c>
    </row>
    <row r="15434" spans="1:2" x14ac:dyDescent="0.25">
      <c r="A15434" s="64" t="str">
        <f>HYPERLINK("http://www.twitter.com/scottygb", "scottygb")</f>
        <v>scottygb</v>
      </c>
      <c r="B15434" s="65" t="s">
        <v>8525</v>
      </c>
    </row>
    <row r="15435" spans="1:2" x14ac:dyDescent="0.25">
      <c r="A15435" s="64" t="str">
        <f>HYPERLINK("http://www.twitter.com/RossHighEnglish", "RossHighEnglish")</f>
        <v>RossHighEnglish</v>
      </c>
      <c r="B15435" s="65" t="s">
        <v>8526</v>
      </c>
    </row>
    <row r="15436" spans="1:2" x14ac:dyDescent="0.25">
      <c r="A15436" s="64" t="str">
        <f>HYPERLINK("http://www.twitter.com/tootgirl", "tootgirl")</f>
        <v>tootgirl</v>
      </c>
      <c r="B15436" s="65" t="s">
        <v>2564</v>
      </c>
    </row>
    <row r="15437" spans="1:2" x14ac:dyDescent="0.25">
      <c r="A15437" s="64" t="str">
        <f>HYPERLINK("http://www.twitter.com/joeygill", "joeygill")</f>
        <v>joeygill</v>
      </c>
      <c r="B15437" s="65" t="s">
        <v>8527</v>
      </c>
    </row>
    <row r="15438" spans="1:2" x14ac:dyDescent="0.25">
      <c r="A15438" s="64" t="str">
        <f>HYPERLINK("http://www.twitter.com/fmpaterson", "fmpaterson")</f>
        <v>fmpaterson</v>
      </c>
      <c r="B15438" s="65"/>
    </row>
    <row r="15439" spans="1:2" x14ac:dyDescent="0.25">
      <c r="A15439" s="64" t="str">
        <f>HYPERLINK("http://www.twitter.com/SarahJaneKat", "SarahJaneKat")</f>
        <v>SarahJaneKat</v>
      </c>
      <c r="B15439" s="65" t="s">
        <v>459</v>
      </c>
    </row>
    <row r="15440" spans="1:2" x14ac:dyDescent="0.25">
      <c r="A15440" s="64" t="str">
        <f>HYPERLINK("http://www.twitter.com/chrissiekat", "chrissiekat")</f>
        <v>chrissiekat</v>
      </c>
      <c r="B15440" s="65" t="s">
        <v>8528</v>
      </c>
    </row>
    <row r="15441" spans="1:2" x14ac:dyDescent="0.25">
      <c r="A15441" s="64" t="str">
        <f>HYPERLINK("http://www.twitter.com/Liz_ORiordan", "Liz_ORiordan")</f>
        <v>Liz_ORiordan</v>
      </c>
      <c r="B15441" s="65"/>
    </row>
    <row r="15442" spans="1:2" x14ac:dyDescent="0.25">
      <c r="A15442" s="64" t="str">
        <f>HYPERLINK("http://www.twitter.com/simps_a", "simps_a")</f>
        <v>simps_a</v>
      </c>
      <c r="B15442" s="65" t="s">
        <v>180</v>
      </c>
    </row>
    <row r="15443" spans="1:2" x14ac:dyDescent="0.25">
      <c r="A15443" s="64" t="str">
        <f>HYPERLINK("http://www.twitter.com/JJohnFoyle", "JJohnFoyle")</f>
        <v>JJohnFoyle</v>
      </c>
      <c r="B15443" s="65" t="s">
        <v>4291</v>
      </c>
    </row>
    <row r="15444" spans="1:2" x14ac:dyDescent="0.25">
      <c r="A15444" s="64" t="str">
        <f>HYPERLINK("http://www.twitter.com/BSBIbotany", "BSBIbotany")</f>
        <v>BSBIbotany</v>
      </c>
      <c r="B15444" s="65"/>
    </row>
    <row r="15445" spans="1:2" x14ac:dyDescent="0.25">
      <c r="A15445" s="64" t="str">
        <f>HYPERLINK("http://www.twitter.com/JCHessCO", "JCHessCO")</f>
        <v>JCHessCO</v>
      </c>
      <c r="B15445" s="65" t="s">
        <v>8185</v>
      </c>
    </row>
    <row r="15446" spans="1:2" x14ac:dyDescent="0.25">
      <c r="A15446" s="64" t="str">
        <f>HYPERLINK("http://www.twitter.com/RoughAcres", "RoughAcres")</f>
        <v>RoughAcres</v>
      </c>
      <c r="B15446" s="65" t="s">
        <v>7659</v>
      </c>
    </row>
    <row r="15447" spans="1:2" x14ac:dyDescent="0.25">
      <c r="A15447" s="64" t="str">
        <f>HYPERLINK("http://www.twitter.com/Vinny_LBC", "Vinny_LBC")</f>
        <v>Vinny_LBC</v>
      </c>
      <c r="B15447" s="65" t="s">
        <v>110</v>
      </c>
    </row>
    <row r="15448" spans="1:2" x14ac:dyDescent="0.25">
      <c r="A15448" s="64" t="str">
        <f>HYPERLINK("http://www.twitter.com/K_E_R_1", "K_E_R_1")</f>
        <v>K_E_R_1</v>
      </c>
      <c r="B15448" s="65"/>
    </row>
    <row r="15449" spans="1:2" x14ac:dyDescent="0.25">
      <c r="A15449" s="64" t="str">
        <f>HYPERLINK("http://www.twitter.com/moranless", "moranless")</f>
        <v>moranless</v>
      </c>
      <c r="B15449" s="65" t="s">
        <v>4062</v>
      </c>
    </row>
    <row r="15450" spans="1:2" x14ac:dyDescent="0.25">
      <c r="A15450" s="64" t="str">
        <f>HYPERLINK("http://www.twitter.com/Gcampbell23", "Gcampbell23")</f>
        <v>Gcampbell23</v>
      </c>
      <c r="B15450" s="65"/>
    </row>
    <row r="15451" spans="1:2" x14ac:dyDescent="0.25">
      <c r="A15451" s="64" t="str">
        <f>HYPERLINK("http://www.twitter.com/HelionaS", "HelionaS")</f>
        <v>HelionaS</v>
      </c>
      <c r="B15451" s="65" t="s">
        <v>1490</v>
      </c>
    </row>
    <row r="15452" spans="1:2" x14ac:dyDescent="0.25">
      <c r="A15452" s="64" t="str">
        <f>HYPERLINK("http://www.twitter.com/lainey_bop", "lainey_bop")</f>
        <v>lainey_bop</v>
      </c>
      <c r="B15452" s="65" t="s">
        <v>24</v>
      </c>
    </row>
    <row r="15453" spans="1:2" x14ac:dyDescent="0.25">
      <c r="A15453" s="64" t="str">
        <f>HYPERLINK("http://www.twitter.com/sharedreadingco", "sharedreadingco")</f>
        <v>sharedreadingco</v>
      </c>
      <c r="B15453" s="65" t="s">
        <v>6939</v>
      </c>
    </row>
    <row r="15454" spans="1:2" x14ac:dyDescent="0.25">
      <c r="A15454" s="64" t="str">
        <f>HYPERLINK("http://www.twitter.com/TUCEd_Scotland", "TUCEd_Scotland")</f>
        <v>TUCEd_Scotland</v>
      </c>
      <c r="B15454" s="65" t="s">
        <v>517</v>
      </c>
    </row>
    <row r="15455" spans="1:2" x14ac:dyDescent="0.25">
      <c r="A15455" s="64" t="str">
        <f>HYPERLINK("http://www.twitter.com/jpilkington09", "jpilkington09")</f>
        <v>jpilkington09</v>
      </c>
      <c r="B15455" s="65" t="s">
        <v>6240</v>
      </c>
    </row>
    <row r="15456" spans="1:2" x14ac:dyDescent="0.25">
      <c r="A15456" s="64" t="str">
        <f>HYPERLINK("http://www.twitter.com/Abridged030", "Abridged030")</f>
        <v>Abridged030</v>
      </c>
      <c r="B15456" s="65" t="s">
        <v>8529</v>
      </c>
    </row>
    <row r="15457" spans="1:2" x14ac:dyDescent="0.25">
      <c r="A15457" s="64" t="str">
        <f>HYPERLINK("http://www.twitter.com/dickiedaviseyes", "dickiedaviseyes")</f>
        <v>dickiedaviseyes</v>
      </c>
      <c r="B15457" s="65" t="s">
        <v>8530</v>
      </c>
    </row>
    <row r="15458" spans="1:2" x14ac:dyDescent="0.25">
      <c r="A15458" s="64" t="str">
        <f>HYPERLINK("http://www.twitter.com/uhchess", "uhchess")</f>
        <v>uhchess</v>
      </c>
      <c r="B15458" s="65"/>
    </row>
    <row r="15459" spans="1:2" x14ac:dyDescent="0.25">
      <c r="A15459" s="64" t="str">
        <f>HYPERLINK("http://www.twitter.com/RedbankCo", "RedbankCo")</f>
        <v>RedbankCo</v>
      </c>
      <c r="B15459" s="65" t="s">
        <v>8531</v>
      </c>
    </row>
    <row r="15460" spans="1:2" x14ac:dyDescent="0.25">
      <c r="A15460" s="64" t="str">
        <f>HYPERLINK("http://www.twitter.com/simonjtsays", "simonjtsays")</f>
        <v>simonjtsays</v>
      </c>
      <c r="B15460" s="65" t="s">
        <v>2997</v>
      </c>
    </row>
    <row r="15461" spans="1:2" x14ac:dyDescent="0.25">
      <c r="A15461" s="64" t="str">
        <f>HYPERLINK("http://www.twitter.com/vickimeaks", "vickimeaks")</f>
        <v>vickimeaks</v>
      </c>
      <c r="B15461" s="65" t="s">
        <v>6135</v>
      </c>
    </row>
    <row r="15462" spans="1:2" x14ac:dyDescent="0.25">
      <c r="A15462" s="64" t="str">
        <f>HYPERLINK("http://www.twitter.com/AlexEJones", "AlexEJones")</f>
        <v>AlexEJones</v>
      </c>
      <c r="B15462" s="65" t="s">
        <v>36</v>
      </c>
    </row>
    <row r="15463" spans="1:2" x14ac:dyDescent="0.25">
      <c r="A15463" s="64" t="str">
        <f>HYPERLINK("http://www.twitter.com/Poorboy_stories", "Poorboy_stories")</f>
        <v>Poorboy_stories</v>
      </c>
      <c r="B15463" s="65" t="s">
        <v>8532</v>
      </c>
    </row>
    <row r="15464" spans="1:2" x14ac:dyDescent="0.25">
      <c r="A15464" s="64" t="str">
        <f>HYPERLINK("http://www.twitter.com/BelgradeClaireS", "BelgradeClaireS")</f>
        <v>BelgradeClaireS</v>
      </c>
      <c r="B15464" s="65" t="s">
        <v>2557</v>
      </c>
    </row>
    <row r="15465" spans="1:2" x14ac:dyDescent="0.25">
      <c r="A15465" s="64" t="str">
        <f>HYPERLINK("http://www.twitter.com/susanmfletcher", "susanmfletcher")</f>
        <v>susanmfletcher</v>
      </c>
      <c r="B15465" s="65" t="s">
        <v>8533</v>
      </c>
    </row>
    <row r="15466" spans="1:2" x14ac:dyDescent="0.25">
      <c r="A15466" s="64" t="str">
        <f>HYPERLINK("http://www.twitter.com/TheTerraJournal", "TheTerraJournal")</f>
        <v>TheTerraJournal</v>
      </c>
      <c r="B15466" s="65" t="s">
        <v>8534</v>
      </c>
    </row>
    <row r="15467" spans="1:2" x14ac:dyDescent="0.25">
      <c r="A15467" s="64" t="str">
        <f>HYPERLINK("http://www.twitter.com/CR2_India", "CR2_India")</f>
        <v>CR2_India</v>
      </c>
      <c r="B15467" s="65" t="s">
        <v>8535</v>
      </c>
    </row>
    <row r="15468" spans="1:2" x14ac:dyDescent="0.25">
      <c r="A15468" s="64" t="str">
        <f>HYPERLINK("http://www.twitter.com/susanna_tayler", "susanna_tayler")</f>
        <v>susanna_tayler</v>
      </c>
      <c r="B15468" s="65" t="s">
        <v>93</v>
      </c>
    </row>
    <row r="15469" spans="1:2" x14ac:dyDescent="0.25">
      <c r="A15469" s="64" t="str">
        <f>HYPERLINK("http://www.twitter.com/TeeniefaeTroon1", "TeeniefaeTroon1")</f>
        <v>TeeniefaeTroon1</v>
      </c>
      <c r="B15469" s="65" t="s">
        <v>70</v>
      </c>
    </row>
    <row r="15470" spans="1:2" x14ac:dyDescent="0.25">
      <c r="A15470" s="64" t="str">
        <f>HYPERLINK("http://www.twitter.com/OrkneyTextiles", "OrkneyTextiles")</f>
        <v>OrkneyTextiles</v>
      </c>
      <c r="B15470" s="65" t="s">
        <v>4519</v>
      </c>
    </row>
    <row r="15471" spans="1:2" x14ac:dyDescent="0.25">
      <c r="A15471" s="64" t="str">
        <f>HYPERLINK("http://www.twitter.com/spanglyreindeer", "spanglyreindeer")</f>
        <v>spanglyreindeer</v>
      </c>
      <c r="B15471" s="65" t="s">
        <v>1490</v>
      </c>
    </row>
    <row r="15472" spans="1:2" x14ac:dyDescent="0.25">
      <c r="A15472" s="64" t="str">
        <f>HYPERLINK("http://www.twitter.com/AplstaffArdmore", "AplstaffArdmore")</f>
        <v>AplstaffArdmore</v>
      </c>
      <c r="B15472" s="65" t="s">
        <v>8536</v>
      </c>
    </row>
    <row r="15473" spans="1:2" x14ac:dyDescent="0.25">
      <c r="A15473" s="64" t="str">
        <f>HYPERLINK("http://www.twitter.com/eva_dolan", "eva_dolan")</f>
        <v>eva_dolan</v>
      </c>
      <c r="B15473" s="65" t="s">
        <v>8537</v>
      </c>
    </row>
    <row r="15474" spans="1:2" x14ac:dyDescent="0.25">
      <c r="A15474" s="64" t="str">
        <f>HYPERLINK("http://www.twitter.com/finlayharnden", "finlayharnden")</f>
        <v>finlayharnden</v>
      </c>
      <c r="B15474" s="65"/>
    </row>
    <row r="15475" spans="1:2" x14ac:dyDescent="0.25">
      <c r="A15475" s="64" t="str">
        <f>HYPERLINK("http://www.twitter.com/RCAngiedaVinci", "RCAngiedaVinci")</f>
        <v>RCAngiedaVinci</v>
      </c>
      <c r="B15475" s="65" t="s">
        <v>4900</v>
      </c>
    </row>
    <row r="15476" spans="1:2" x14ac:dyDescent="0.25">
      <c r="A15476" s="64" t="str">
        <f>HYPERLINK("http://www.twitter.com/RebGardner", "RebGardner")</f>
        <v>RebGardner</v>
      </c>
      <c r="B15476" s="65" t="s">
        <v>8538</v>
      </c>
    </row>
    <row r="15477" spans="1:2" x14ac:dyDescent="0.25">
      <c r="A15477" s="64" t="str">
        <f>HYPERLINK("http://www.twitter.com/AlmaExLibris", "AlmaExLibris")</f>
        <v>AlmaExLibris</v>
      </c>
      <c r="B15477" s="65"/>
    </row>
    <row r="15478" spans="1:2" x14ac:dyDescent="0.25">
      <c r="A15478" s="64" t="str">
        <f>HYPERLINK("http://www.twitter.com/CaerphillyLibs", "CaerphillyLibs")</f>
        <v>CaerphillyLibs</v>
      </c>
      <c r="B15478" s="65" t="s">
        <v>883</v>
      </c>
    </row>
    <row r="15479" spans="1:2" x14ac:dyDescent="0.25">
      <c r="A15479" s="64" t="str">
        <f>HYPERLINK("http://www.twitter.com/SheffLibraries", "SheffLibraries")</f>
        <v>SheffLibraries</v>
      </c>
      <c r="B15479" s="65" t="s">
        <v>105</v>
      </c>
    </row>
    <row r="15480" spans="1:2" x14ac:dyDescent="0.25">
      <c r="A15480" s="64" t="str">
        <f>HYPERLINK("http://www.twitter.com/berwickbird", "berwickbird")</f>
        <v>berwickbird</v>
      </c>
      <c r="B15480" s="65" t="s">
        <v>8539</v>
      </c>
    </row>
    <row r="15481" spans="1:2" x14ac:dyDescent="0.25">
      <c r="A15481" s="64" t="str">
        <f>HYPERLINK("http://www.twitter.com/jenhp315", "jenhp315")</f>
        <v>jenhp315</v>
      </c>
      <c r="B15481" s="65"/>
    </row>
    <row r="15482" spans="1:2" x14ac:dyDescent="0.25">
      <c r="A15482" s="64" t="str">
        <f>HYPERLINK("http://www.twitter.com/AilishHay", "AilishHay")</f>
        <v>AilishHay</v>
      </c>
      <c r="B15482" s="65" t="s">
        <v>20</v>
      </c>
    </row>
    <row r="15483" spans="1:2" x14ac:dyDescent="0.25">
      <c r="A15483" s="64" t="str">
        <f>HYPERLINK("http://www.twitter.com/rodgersimonrod1", "rodgersimonrod1")</f>
        <v>rodgersimonrod1</v>
      </c>
      <c r="B15483" s="65" t="s">
        <v>5384</v>
      </c>
    </row>
    <row r="15484" spans="1:2" x14ac:dyDescent="0.25">
      <c r="A15484" s="64" t="str">
        <f>HYPERLINK("http://www.twitter.com/cpdinosaurs", "cpdinosaurs")</f>
        <v>cpdinosaurs</v>
      </c>
      <c r="B15484" s="65" t="s">
        <v>8540</v>
      </c>
    </row>
    <row r="15485" spans="1:2" x14ac:dyDescent="0.25">
      <c r="A15485" s="64" t="str">
        <f>HYPERLINK("http://www.twitter.com/Ingagarth", "Ingagarth")</f>
        <v>Ingagarth</v>
      </c>
      <c r="B15485" s="65" t="s">
        <v>3040</v>
      </c>
    </row>
    <row r="15486" spans="1:2" x14ac:dyDescent="0.25">
      <c r="A15486" s="64" t="str">
        <f>HYPERLINK("http://www.twitter.com/Dawn_French", "Dawn_French")</f>
        <v>Dawn_French</v>
      </c>
      <c r="B15486" s="65" t="s">
        <v>296</v>
      </c>
    </row>
    <row r="15487" spans="1:2" x14ac:dyDescent="0.25">
      <c r="A15487" s="64" t="str">
        <f>HYPERLINK("http://www.twitter.com/firth_firth", "firth_firth")</f>
        <v>firth_firth</v>
      </c>
      <c r="B15487" s="65" t="s">
        <v>8541</v>
      </c>
    </row>
    <row r="15488" spans="1:2" x14ac:dyDescent="0.25">
      <c r="A15488" s="64" t="str">
        <f>HYPERLINK("http://www.twitter.com/homemadeyvonne", "homemadeyvonne")</f>
        <v>homemadeyvonne</v>
      </c>
      <c r="B15488" s="65" t="s">
        <v>318</v>
      </c>
    </row>
    <row r="15489" spans="1:2" x14ac:dyDescent="0.25">
      <c r="A15489" s="64" t="str">
        <f>HYPERLINK("http://www.twitter.com/MacFloral", "MacFloral")</f>
        <v>MacFloral</v>
      </c>
      <c r="B15489" s="65" t="s">
        <v>421</v>
      </c>
    </row>
    <row r="15490" spans="1:2" x14ac:dyDescent="0.25">
      <c r="A15490" s="64" t="str">
        <f>HYPERLINK("http://www.twitter.com/StageGearRental", "StageGearRental")</f>
        <v>StageGearRental</v>
      </c>
      <c r="B15490" s="65" t="s">
        <v>8542</v>
      </c>
    </row>
    <row r="15491" spans="1:2" x14ac:dyDescent="0.25">
      <c r="A15491" s="64" t="str">
        <f>HYPERLINK("http://www.twitter.com/mennaAt60140329", "mennaAt60140329")</f>
        <v>mennaAt60140329</v>
      </c>
      <c r="B15491" s="65"/>
    </row>
    <row r="15492" spans="1:2" x14ac:dyDescent="0.25">
      <c r="A15492" s="64" t="str">
        <f>HYPERLINK("http://www.twitter.com/SandayRanger", "SandayRanger")</f>
        <v>SandayRanger</v>
      </c>
      <c r="B15492" s="65" t="s">
        <v>8543</v>
      </c>
    </row>
    <row r="15493" spans="1:2" x14ac:dyDescent="0.25">
      <c r="A15493" s="64" t="str">
        <f>HYPERLINK("http://www.twitter.com/scandinavigator", "scandinavigator")</f>
        <v>scandinavigator</v>
      </c>
      <c r="B15493" s="65" t="s">
        <v>508</v>
      </c>
    </row>
    <row r="15494" spans="1:2" x14ac:dyDescent="0.25">
      <c r="A15494" s="64" t="str">
        <f>HYPERLINK("http://www.twitter.com/c14thsky", "c14thsky")</f>
        <v>c14thsky</v>
      </c>
      <c r="B15494" s="65" t="s">
        <v>36</v>
      </c>
    </row>
    <row r="15495" spans="1:2" x14ac:dyDescent="0.25">
      <c r="A15495" s="64" t="str">
        <f>HYPERLINK("http://www.twitter.com/RGantig", "RGantig")</f>
        <v>RGantig</v>
      </c>
      <c r="B15495" s="65"/>
    </row>
    <row r="15496" spans="1:2" x14ac:dyDescent="0.25">
      <c r="A15496" s="64" t="str">
        <f>HYPERLINK("http://www.twitter.com/corinnepaterson", "corinnepaterson")</f>
        <v>corinnepaterson</v>
      </c>
      <c r="B15496" s="65" t="s">
        <v>4250</v>
      </c>
    </row>
    <row r="15497" spans="1:2" x14ac:dyDescent="0.25">
      <c r="A15497" s="64" t="str">
        <f>HYPERLINK("http://www.twitter.com/arsebundren", "arsebundren")</f>
        <v>arsebundren</v>
      </c>
      <c r="B15497" s="65" t="s">
        <v>8544</v>
      </c>
    </row>
    <row r="15498" spans="1:2" x14ac:dyDescent="0.25">
      <c r="A15498" s="64" t="str">
        <f>HYPERLINK("http://www.twitter.com/paulgarnham", "paulgarnham")</f>
        <v>paulgarnham</v>
      </c>
      <c r="B15498" s="65" t="s">
        <v>36</v>
      </c>
    </row>
    <row r="15499" spans="1:2" x14ac:dyDescent="0.25">
      <c r="A15499" s="64" t="str">
        <f>HYPERLINK("http://www.twitter.com/RodMT5Harrell", "RodMT5Harrell")</f>
        <v>RodMT5Harrell</v>
      </c>
      <c r="B15499" s="65" t="s">
        <v>8545</v>
      </c>
    </row>
    <row r="15500" spans="1:2" x14ac:dyDescent="0.25">
      <c r="A15500" s="64" t="str">
        <f>HYPERLINK("http://www.twitter.com/smurfsum", "smurfsum")</f>
        <v>smurfsum</v>
      </c>
      <c r="B15500" s="65"/>
    </row>
    <row r="15501" spans="1:2" x14ac:dyDescent="0.25">
      <c r="A15501" s="64" t="str">
        <f>HYPERLINK("http://www.twitter.com/KathrynMoran20", "KathrynMoran20")</f>
        <v>KathrynMoran20</v>
      </c>
      <c r="B15501" s="65"/>
    </row>
    <row r="15502" spans="1:2" x14ac:dyDescent="0.25">
      <c r="A15502" s="64" t="str">
        <f>HYPERLINK("http://www.twitter.com/kccjf", "kccjf")</f>
        <v>kccjf</v>
      </c>
      <c r="B15502" s="65"/>
    </row>
    <row r="15503" spans="1:2" x14ac:dyDescent="0.25">
      <c r="A15503" s="64" t="str">
        <f>HYPERLINK("http://www.twitter.com/togidogan", "togidogan")</f>
        <v>togidogan</v>
      </c>
      <c r="B15503" s="65" t="s">
        <v>8546</v>
      </c>
    </row>
    <row r="15504" spans="1:2" x14ac:dyDescent="0.25">
      <c r="A15504" s="64" t="str">
        <f>HYPERLINK("http://www.twitter.com/Edinburghperson", "Edinburghperson")</f>
        <v>Edinburghperson</v>
      </c>
      <c r="B15504" s="65" t="s">
        <v>517</v>
      </c>
    </row>
    <row r="15505" spans="1:2" x14ac:dyDescent="0.25">
      <c r="A15505" s="64" t="str">
        <f>HYPERLINK("http://www.twitter.com/blikablika", "blikablika")</f>
        <v>blikablika</v>
      </c>
      <c r="B15505" s="65"/>
    </row>
    <row r="15506" spans="1:2" x14ac:dyDescent="0.25">
      <c r="A15506" s="64" t="str">
        <f>HYPERLINK("http://www.twitter.com/HaniefahT", "HaniefahT")</f>
        <v>HaniefahT</v>
      </c>
      <c r="B15506" s="65"/>
    </row>
    <row r="15507" spans="1:2" x14ac:dyDescent="0.25">
      <c r="A15507" s="64" t="str">
        <f>HYPERLINK("http://www.twitter.com/OliviaMcLeodSG", "OliviaMcLeodSG")</f>
        <v>OliviaMcLeodSG</v>
      </c>
      <c r="B15507" s="65" t="s">
        <v>2007</v>
      </c>
    </row>
    <row r="15508" spans="1:2" x14ac:dyDescent="0.25">
      <c r="A15508" s="64" t="str">
        <f>HYPERLINK("http://www.twitter.com/ColinTKIrk", "ColinTKIrk")</f>
        <v>ColinTKIrk</v>
      </c>
      <c r="B15508" s="65" t="s">
        <v>4167</v>
      </c>
    </row>
    <row r="15509" spans="1:2" x14ac:dyDescent="0.25">
      <c r="A15509" s="64" t="str">
        <f>HYPERLINK("http://www.twitter.com/artistafterdark", "artistafterdark")</f>
        <v>artistafterdark</v>
      </c>
      <c r="B15509" s="65"/>
    </row>
    <row r="15510" spans="1:2" x14ac:dyDescent="0.25">
      <c r="A15510" s="64" t="str">
        <f>HYPERLINK("http://www.twitter.com/WordPlayAudio", "WordPlayAudio")</f>
        <v>WordPlayAudio</v>
      </c>
      <c r="B15510" s="65" t="s">
        <v>70</v>
      </c>
    </row>
    <row r="15511" spans="1:2" x14ac:dyDescent="0.25">
      <c r="A15511" s="64" t="str">
        <f>HYPERLINK("http://www.twitter.com/pallas29100", "pallas29100")</f>
        <v>pallas29100</v>
      </c>
      <c r="B15511" s="65"/>
    </row>
    <row r="15512" spans="1:2" x14ac:dyDescent="0.25">
      <c r="A15512" s="64" t="str">
        <f>HYPERLINK("http://www.twitter.com/SwarbrickHT", "SwarbrickHT")</f>
        <v>SwarbrickHT</v>
      </c>
      <c r="B15512" s="65" t="s">
        <v>318</v>
      </c>
    </row>
    <row r="15513" spans="1:2" x14ac:dyDescent="0.25">
      <c r="A15513" s="64" t="str">
        <f>HYPERLINK("http://www.twitter.com/BomoSarah", "BomoSarah")</f>
        <v>BomoSarah</v>
      </c>
      <c r="B15513" s="65" t="s">
        <v>118</v>
      </c>
    </row>
    <row r="15514" spans="1:2" x14ac:dyDescent="0.25">
      <c r="A15514" s="64" t="str">
        <f>HYPERLINK("http://www.twitter.com/sketch_hannah", "sketch_hannah")</f>
        <v>sketch_hannah</v>
      </c>
      <c r="B15514" s="65" t="s">
        <v>8547</v>
      </c>
    </row>
    <row r="15515" spans="1:2" x14ac:dyDescent="0.25">
      <c r="A15515" s="64" t="str">
        <f>HYPERLINK("http://www.twitter.com/HelenRuggles", "HelenRuggles")</f>
        <v>HelenRuggles</v>
      </c>
      <c r="B15515" s="65" t="s">
        <v>8548</v>
      </c>
    </row>
    <row r="15516" spans="1:2" x14ac:dyDescent="0.25">
      <c r="A15516" s="64" t="str">
        <f>HYPERLINK("http://www.twitter.com/FionaLaing", "FionaLaing")</f>
        <v>FionaLaing</v>
      </c>
      <c r="B15516" s="65" t="s">
        <v>24</v>
      </c>
    </row>
    <row r="15517" spans="1:2" x14ac:dyDescent="0.25">
      <c r="A15517" s="64" t="str">
        <f>HYPERLINK("http://www.twitter.com/MrsMPT", "MrsMPT")</f>
        <v>MrsMPT</v>
      </c>
      <c r="B15517" s="65"/>
    </row>
    <row r="15518" spans="1:2" x14ac:dyDescent="0.25">
      <c r="A15518" s="64" t="str">
        <f>HYPERLINK("http://www.twitter.com/AledThomas99", "AledThomas99")</f>
        <v>AledThomas99</v>
      </c>
      <c r="B15518" s="65"/>
    </row>
    <row r="15519" spans="1:2" x14ac:dyDescent="0.25">
      <c r="A15519" s="64" t="str">
        <f>HYPERLINK("http://www.twitter.com/ahundredbooks", "ahundredbooks")</f>
        <v>ahundredbooks</v>
      </c>
      <c r="B15519" s="65"/>
    </row>
    <row r="15520" spans="1:2" x14ac:dyDescent="0.25">
      <c r="A15520" s="64" t="str">
        <f>HYPERLINK("http://www.twitter.com/nancy_house", "nancy_house")</f>
        <v>nancy_house</v>
      </c>
      <c r="B15520" s="65"/>
    </row>
    <row r="15521" spans="1:2" x14ac:dyDescent="0.25">
      <c r="A15521" s="64" t="str">
        <f>HYPERLINK("http://www.twitter.com/2Nefoos", "2Nefoos")</f>
        <v>2Nefoos</v>
      </c>
      <c r="B15521" s="65" t="s">
        <v>3948</v>
      </c>
    </row>
    <row r="15522" spans="1:2" x14ac:dyDescent="0.25">
      <c r="A15522" s="64" t="str">
        <f>HYPERLINK("http://www.twitter.com/TheReadQ", "TheReadQ")</f>
        <v>TheReadQ</v>
      </c>
      <c r="B15522" s="65"/>
    </row>
    <row r="15523" spans="1:2" x14ac:dyDescent="0.25">
      <c r="A15523" s="64" t="str">
        <f>HYPERLINK("http://www.twitter.com/VarelaNaty", "VarelaNaty")</f>
        <v>VarelaNaty</v>
      </c>
      <c r="B15523" s="65" t="s">
        <v>8549</v>
      </c>
    </row>
    <row r="15524" spans="1:2" x14ac:dyDescent="0.25">
      <c r="A15524" s="64" t="str">
        <f>HYPERLINK("http://www.twitter.com/iholowaty", "iholowaty")</f>
        <v>iholowaty</v>
      </c>
      <c r="B15524" s="65" t="s">
        <v>505</v>
      </c>
    </row>
    <row r="15525" spans="1:2" x14ac:dyDescent="0.25">
      <c r="A15525" s="64" t="str">
        <f>HYPERLINK("http://www.twitter.com/AsadmanCollis", "AsadmanCollis")</f>
        <v>AsadmanCollis</v>
      </c>
      <c r="B15525" s="65"/>
    </row>
    <row r="15526" spans="1:2" x14ac:dyDescent="0.25">
      <c r="A15526" s="64" t="str">
        <f>HYPERLINK("http://www.twitter.com/laurelsbooks", "laurelsbooks")</f>
        <v>laurelsbooks</v>
      </c>
      <c r="B15526" s="65" t="s">
        <v>8500</v>
      </c>
    </row>
    <row r="15527" spans="1:2" x14ac:dyDescent="0.25">
      <c r="A15527" s="64" t="str">
        <f>HYPERLINK("http://www.twitter.com/littlebitoflind", "littlebitoflind")</f>
        <v>littlebitoflind</v>
      </c>
      <c r="B15527" s="65"/>
    </row>
    <row r="15528" spans="1:2" x14ac:dyDescent="0.25">
      <c r="A15528" s="64" t="str">
        <f>HYPERLINK("http://www.twitter.com/JoyVamvakari", "JoyVamvakari")</f>
        <v>JoyVamvakari</v>
      </c>
      <c r="B15528" s="65" t="s">
        <v>487</v>
      </c>
    </row>
    <row r="15529" spans="1:2" x14ac:dyDescent="0.25">
      <c r="A15529" s="64" t="str">
        <f>HYPERLINK("http://www.twitter.com/dadwingingit", "dadwingingit")</f>
        <v>dadwingingit</v>
      </c>
      <c r="B15529" s="65" t="s">
        <v>4447</v>
      </c>
    </row>
    <row r="15530" spans="1:2" x14ac:dyDescent="0.25">
      <c r="A15530" s="64" t="str">
        <f>HYPERLINK("http://www.twitter.com/Ladyeditrice", "Ladyeditrice")</f>
        <v>Ladyeditrice</v>
      </c>
      <c r="B15530" s="65"/>
    </row>
    <row r="15531" spans="1:2" x14ac:dyDescent="0.25">
      <c r="A15531" s="64" t="str">
        <f>HYPERLINK("http://www.twitter.com/GreybobCath", "GreybobCath")</f>
        <v>GreybobCath</v>
      </c>
      <c r="B15531" s="65"/>
    </row>
    <row r="15532" spans="1:2" x14ac:dyDescent="0.25">
      <c r="A15532" s="64" t="str">
        <f>HYPERLINK("http://www.twitter.com/caitlinmacrae11", "caitlinmacrae11")</f>
        <v>caitlinmacrae11</v>
      </c>
      <c r="B15532" s="65"/>
    </row>
    <row r="15533" spans="1:2" x14ac:dyDescent="0.25">
      <c r="A15533" s="64" t="str">
        <f>HYPERLINK("http://www.twitter.com/AndrewC98391860", "AndrewC98391860")</f>
        <v>AndrewC98391860</v>
      </c>
      <c r="B15533" s="65"/>
    </row>
    <row r="15534" spans="1:2" x14ac:dyDescent="0.25">
      <c r="A15534" s="64" t="str">
        <f>HYPERLINK("http://www.twitter.com/thatssokerry", "thatssokerry")</f>
        <v>thatssokerry</v>
      </c>
      <c r="B15534" s="65"/>
    </row>
    <row r="15535" spans="1:2" x14ac:dyDescent="0.25">
      <c r="A15535" s="64" t="str">
        <f>HYPERLINK("http://www.twitter.com/AmorosFernanda", "AmorosFernanda")</f>
        <v>AmorosFernanda</v>
      </c>
      <c r="B15535" s="65" t="s">
        <v>8550</v>
      </c>
    </row>
    <row r="15536" spans="1:2" x14ac:dyDescent="0.25">
      <c r="A15536" s="64" t="str">
        <f>HYPERLINK("http://www.twitter.com/WLJ499KMINI", "WLJ499KMINI")</f>
        <v>WLJ499KMINI</v>
      </c>
      <c r="B15536" s="65"/>
    </row>
    <row r="15537" spans="1:2" x14ac:dyDescent="0.25">
      <c r="A15537" s="64" t="str">
        <f>HYPERLINK("http://www.twitter.com/aishamhallman", "aishamhallman")</f>
        <v>aishamhallman</v>
      </c>
      <c r="B15537" s="65"/>
    </row>
    <row r="15538" spans="1:2" x14ac:dyDescent="0.25">
      <c r="A15538" s="64" t="str">
        <f>HYPERLINK("http://www.twitter.com/valkcano", "valkcano")</f>
        <v>valkcano</v>
      </c>
      <c r="B15538" s="65" t="s">
        <v>8551</v>
      </c>
    </row>
    <row r="15539" spans="1:2" x14ac:dyDescent="0.25">
      <c r="A15539" s="64" t="str">
        <f>HYPERLINK("http://www.twitter.com/Keri_Harc", "Keri_Harc")</f>
        <v>Keri_Harc</v>
      </c>
      <c r="B15539" s="65" t="s">
        <v>20</v>
      </c>
    </row>
    <row r="15540" spans="1:2" x14ac:dyDescent="0.25">
      <c r="A15540" s="64" t="str">
        <f>HYPERLINK("http://www.twitter.com/McGarvey4Orkney", "McGarvey4Orkney")</f>
        <v>McGarvey4Orkney</v>
      </c>
      <c r="B15540" s="65"/>
    </row>
    <row r="15541" spans="1:2" x14ac:dyDescent="0.25">
      <c r="A15541" s="64" t="str">
        <f>HYPERLINK("http://www.twitter.com/LuHilliar", "LuHilliar")</f>
        <v>LuHilliar</v>
      </c>
      <c r="B15541" s="65"/>
    </row>
    <row r="15542" spans="1:2" x14ac:dyDescent="0.25">
      <c r="A15542" s="64" t="str">
        <f>HYPERLINK("http://www.twitter.com/karen2ryan34", "karen2ryan34")</f>
        <v>karen2ryan34</v>
      </c>
      <c r="B15542" s="65" t="s">
        <v>3810</v>
      </c>
    </row>
    <row r="15543" spans="1:2" x14ac:dyDescent="0.25">
      <c r="A15543" s="64" t="str">
        <f>HYPERLINK("http://www.twitter.com/betsi_gwennie", "betsi_gwennie")</f>
        <v>betsi_gwennie</v>
      </c>
      <c r="B15543" s="65" t="s">
        <v>8552</v>
      </c>
    </row>
    <row r="15544" spans="1:2" x14ac:dyDescent="0.25">
      <c r="A15544" s="64" t="str">
        <f>HYPERLINK("http://www.twitter.com/ArgonJam", "ArgonJam")</f>
        <v>ArgonJam</v>
      </c>
      <c r="B15544" s="65"/>
    </row>
    <row r="15545" spans="1:2" x14ac:dyDescent="0.25">
      <c r="A15545" s="64" t="str">
        <f>HYPERLINK("http://www.twitter.com/LizBarkerLords", "LizBarkerLords")</f>
        <v>LizBarkerLords</v>
      </c>
      <c r="B15545" s="65"/>
    </row>
    <row r="15546" spans="1:2" x14ac:dyDescent="0.25">
      <c r="A15546" s="64" t="str">
        <f>HYPERLINK("http://www.twitter.com/weescottslibs", "weescottslibs")</f>
        <v>weescottslibs</v>
      </c>
      <c r="B15546" s="65" t="s">
        <v>318</v>
      </c>
    </row>
    <row r="15547" spans="1:2" x14ac:dyDescent="0.25">
      <c r="A15547" s="64" t="str">
        <f>HYPERLINK("http://www.twitter.com/PPLlibrarystaff", "PPLlibrarystaff")</f>
        <v>PPLlibrarystaff</v>
      </c>
      <c r="B15547" s="65" t="s">
        <v>8553</v>
      </c>
    </row>
    <row r="15548" spans="1:2" x14ac:dyDescent="0.25">
      <c r="A15548" s="64" t="str">
        <f>HYPERLINK("http://www.twitter.com/JessicaBurrows0", "JessicaBurrows0")</f>
        <v>JessicaBurrows0</v>
      </c>
      <c r="B15548" s="65" t="s">
        <v>70</v>
      </c>
    </row>
    <row r="15549" spans="1:2" x14ac:dyDescent="0.25">
      <c r="A15549" s="64" t="str">
        <f>HYPERLINK("http://www.twitter.com/Dreaducate", "Dreaducate")</f>
        <v>Dreaducate</v>
      </c>
      <c r="B15549" s="65"/>
    </row>
    <row r="15550" spans="1:2" x14ac:dyDescent="0.25">
      <c r="A15550" s="64" t="str">
        <f>HYPERLINK("http://www.twitter.com/laurasreads", "laurasreads")</f>
        <v>laurasreads</v>
      </c>
      <c r="B15550" s="65"/>
    </row>
    <row r="15551" spans="1:2" x14ac:dyDescent="0.25">
      <c r="A15551" s="64" t="str">
        <f>HYPERLINK("http://www.twitter.com/tararasim18", "tararasim18")</f>
        <v>tararasim18</v>
      </c>
      <c r="B15551" s="65"/>
    </row>
    <row r="15552" spans="1:2" x14ac:dyDescent="0.25">
      <c r="A15552" s="64" t="str">
        <f>HYPERLINK("http://www.twitter.com/NetworkLibrary", "NetworkLibrary")</f>
        <v>NetworkLibrary</v>
      </c>
      <c r="B15552" s="65"/>
    </row>
    <row r="15553" spans="1:2" x14ac:dyDescent="0.25">
      <c r="A15553" s="64" t="str">
        <f>HYPERLINK("http://www.twitter.com/jependleton", "jependleton")</f>
        <v>jependleton</v>
      </c>
      <c r="B15553" s="65" t="s">
        <v>7574</v>
      </c>
    </row>
    <row r="15554" spans="1:2" x14ac:dyDescent="0.25">
      <c r="A15554" s="64" t="str">
        <f>HYPERLINK("http://www.twitter.com/FerociousDennis", "FerociousDennis")</f>
        <v>FerociousDennis</v>
      </c>
      <c r="B15554" s="65" t="s">
        <v>8554</v>
      </c>
    </row>
    <row r="15555" spans="1:2" x14ac:dyDescent="0.25">
      <c r="A15555" s="64" t="str">
        <f>HYPERLINK("http://www.twitter.com/little_pip", "little_pip")</f>
        <v>little_pip</v>
      </c>
      <c r="B15555" s="65" t="s">
        <v>2289</v>
      </c>
    </row>
    <row r="15556" spans="1:2" x14ac:dyDescent="0.25">
      <c r="A15556" s="64" t="str">
        <f>HYPERLINK("http://www.twitter.com/orkneyoatcake", "orkneyoatcake")</f>
        <v>orkneyoatcake</v>
      </c>
      <c r="B15556" s="65"/>
    </row>
    <row r="15557" spans="1:2" x14ac:dyDescent="0.25">
      <c r="A15557" s="64" t="str">
        <f>HYPERLINK("http://www.twitter.com/MikeEliot2", "MikeEliot2")</f>
        <v>MikeEliot2</v>
      </c>
      <c r="B15557" s="65"/>
    </row>
    <row r="15558" spans="1:2" x14ac:dyDescent="0.25">
      <c r="A15558" s="64" t="str">
        <f>HYPERLINK("http://www.twitter.com/LeedsMuseums", "LeedsMuseums")</f>
        <v>LeedsMuseums</v>
      </c>
      <c r="B15558" s="65" t="s">
        <v>5481</v>
      </c>
    </row>
    <row r="15559" spans="1:2" x14ac:dyDescent="0.25">
      <c r="A15559" s="64" t="str">
        <f>HYPERLINK("http://www.twitter.com/j2bisop", "j2bisop")</f>
        <v>j2bisop</v>
      </c>
      <c r="B15559" s="65"/>
    </row>
    <row r="15560" spans="1:2" x14ac:dyDescent="0.25">
      <c r="A15560" s="64" t="str">
        <f>HYPERLINK("http://www.twitter.com/TheForagersKitc", "TheForagersKitc")</f>
        <v>TheForagersKitc</v>
      </c>
      <c r="B15560" s="65" t="s">
        <v>8555</v>
      </c>
    </row>
    <row r="15561" spans="1:2" x14ac:dyDescent="0.25">
      <c r="A15561" s="64" t="str">
        <f>HYPERLINK("http://www.twitter.com/DWaltss", "DWaltss")</f>
        <v>DWaltss</v>
      </c>
      <c r="B15561" s="65" t="s">
        <v>20</v>
      </c>
    </row>
    <row r="15562" spans="1:2" x14ac:dyDescent="0.25">
      <c r="A15562" s="64" t="str">
        <f>HYPERLINK("http://www.twitter.com/SpitfireMKXII", "SpitfireMKXII")</f>
        <v>SpitfireMKXII</v>
      </c>
      <c r="B15562" s="65"/>
    </row>
    <row r="15563" spans="1:2" x14ac:dyDescent="0.25">
      <c r="A15563" s="64" t="str">
        <f>HYPERLINK("http://www.twitter.com/mxrcwright", "mxrcwright")</f>
        <v>mxrcwright</v>
      </c>
      <c r="B15563" s="65" t="s">
        <v>138</v>
      </c>
    </row>
    <row r="15564" spans="1:2" x14ac:dyDescent="0.25">
      <c r="A15564" s="64" t="str">
        <f>HYPERLINK("http://www.twitter.com/goggleboxwatch", "goggleboxwatch")</f>
        <v>goggleboxwatch</v>
      </c>
      <c r="B15564" s="65"/>
    </row>
    <row r="15565" spans="1:2" x14ac:dyDescent="0.25">
      <c r="A15565" s="64" t="str">
        <f>HYPERLINK("http://www.twitter.com/Pixierotten11", "Pixierotten11")</f>
        <v>Pixierotten11</v>
      </c>
      <c r="B15565" s="65"/>
    </row>
    <row r="15566" spans="1:2" x14ac:dyDescent="0.25">
      <c r="A15566" s="64" t="str">
        <f>HYPERLINK("http://www.twitter.com/forgedname", "forgedname")</f>
        <v>forgedname</v>
      </c>
      <c r="B15566" s="65" t="s">
        <v>296</v>
      </c>
    </row>
    <row r="15567" spans="1:2" x14ac:dyDescent="0.25">
      <c r="A15567" s="64" t="str">
        <f>HYPERLINK("http://www.twitter.com/meece_67", "meece_67")</f>
        <v>meece_67</v>
      </c>
      <c r="B15567" s="65" t="s">
        <v>1490</v>
      </c>
    </row>
    <row r="15568" spans="1:2" x14ac:dyDescent="0.25">
      <c r="A15568" s="64" t="str">
        <f>HYPERLINK("http://www.twitter.com/CarricoRosita", "CarricoRosita")</f>
        <v>CarricoRosita</v>
      </c>
      <c r="B15568" s="65" t="s">
        <v>4369</v>
      </c>
    </row>
    <row r="15569" spans="1:2" x14ac:dyDescent="0.25">
      <c r="A15569" s="64" t="str">
        <f>HYPERLINK("http://www.twitter.com/TheEuroGirl", "TheEuroGirl")</f>
        <v>TheEuroGirl</v>
      </c>
      <c r="B15569" s="65" t="s">
        <v>296</v>
      </c>
    </row>
    <row r="15570" spans="1:2" x14ac:dyDescent="0.25">
      <c r="A15570" s="64" t="str">
        <f>HYPERLINK("http://www.twitter.com/juliabachmann70", "juliabachmann70")</f>
        <v>juliabachmann70</v>
      </c>
      <c r="B15570" s="65"/>
    </row>
    <row r="15571" spans="1:2" x14ac:dyDescent="0.25">
      <c r="A15571" s="64" t="str">
        <f>HYPERLINK("http://www.twitter.com/clare_fitz", "clare_fitz")</f>
        <v>clare_fitz</v>
      </c>
      <c r="B15571" s="65" t="s">
        <v>8556</v>
      </c>
    </row>
    <row r="15572" spans="1:2" x14ac:dyDescent="0.25">
      <c r="A15572" s="64" t="str">
        <f>HYPERLINK("http://www.twitter.com/pollyplunket", "pollyplunket")</f>
        <v>pollyplunket</v>
      </c>
      <c r="B15572" s="65" t="s">
        <v>8557</v>
      </c>
    </row>
    <row r="15573" spans="1:2" x14ac:dyDescent="0.25">
      <c r="A15573" s="64" t="str">
        <f>HYPERLINK("http://www.twitter.com/marytrank", "marytrank")</f>
        <v>marytrank</v>
      </c>
      <c r="B15573" s="65" t="s">
        <v>8558</v>
      </c>
    </row>
    <row r="15574" spans="1:2" x14ac:dyDescent="0.25">
      <c r="A15574" s="64" t="str">
        <f>HYPERLINK("http://www.twitter.com/gwallter", "gwallter")</f>
        <v>gwallter</v>
      </c>
      <c r="B15574" s="65" t="s">
        <v>8559</v>
      </c>
    </row>
    <row r="15575" spans="1:2" x14ac:dyDescent="0.25">
      <c r="A15575" s="64" t="str">
        <f>HYPERLINK("http://www.twitter.com/ronindotca", "ronindotca")</f>
        <v>ronindotca</v>
      </c>
      <c r="B15575" s="65" t="s">
        <v>8560</v>
      </c>
    </row>
    <row r="15576" spans="1:2" x14ac:dyDescent="0.25">
      <c r="A15576" s="64" t="str">
        <f>HYPERLINK("http://www.twitter.com/Susan_A_Miner", "Susan_A_Miner")</f>
        <v>Susan_A_Miner</v>
      </c>
      <c r="B15576" s="65" t="s">
        <v>6472</v>
      </c>
    </row>
    <row r="15577" spans="1:2" x14ac:dyDescent="0.25">
      <c r="A15577" s="64" t="str">
        <f>HYPERLINK("http://www.twitter.com/Starwell", "Starwell")</f>
        <v>Starwell</v>
      </c>
      <c r="B15577" s="65" t="s">
        <v>8561</v>
      </c>
    </row>
    <row r="15578" spans="1:2" x14ac:dyDescent="0.25">
      <c r="A15578" s="64" t="str">
        <f>HYPERLINK("http://www.twitter.com/PrinceHerb", "PrinceHerb")</f>
        <v>PrinceHerb</v>
      </c>
      <c r="B15578" s="65" t="s">
        <v>2227</v>
      </c>
    </row>
    <row r="15579" spans="1:2" x14ac:dyDescent="0.25">
      <c r="A15579" s="64" t="str">
        <f>HYPERLINK("http://www.twitter.com/EasyReadDave", "EasyReadDave")</f>
        <v>EasyReadDave</v>
      </c>
      <c r="B15579" s="65" t="s">
        <v>8562</v>
      </c>
    </row>
    <row r="15580" spans="1:2" x14ac:dyDescent="0.25">
      <c r="A15580" s="64" t="str">
        <f>HYPERLINK("http://www.twitter.com/PaulDGAuthor", "PaulDGAuthor")</f>
        <v>PaulDGAuthor</v>
      </c>
      <c r="B15580" s="65" t="s">
        <v>3804</v>
      </c>
    </row>
    <row r="15581" spans="1:2" x14ac:dyDescent="0.25">
      <c r="A15581" s="64" t="str">
        <f>HYPERLINK("http://www.twitter.com/isobeldavidson", "isobeldavidson")</f>
        <v>isobeldavidson</v>
      </c>
      <c r="B15581" s="65" t="s">
        <v>5196</v>
      </c>
    </row>
    <row r="15582" spans="1:2" x14ac:dyDescent="0.25">
      <c r="A15582" s="64" t="str">
        <f>HYPERLINK("http://www.twitter.com/nchnthman", "nchnthman")</f>
        <v>nchnthman</v>
      </c>
      <c r="B15582" s="65" t="s">
        <v>2213</v>
      </c>
    </row>
    <row r="15583" spans="1:2" x14ac:dyDescent="0.25">
      <c r="A15583" s="64" t="str">
        <f>HYPERLINK("http://www.twitter.com/moragmacalister", "moragmacalister")</f>
        <v>moragmacalister</v>
      </c>
      <c r="B15583" s="65"/>
    </row>
    <row r="15584" spans="1:2" x14ac:dyDescent="0.25">
      <c r="A15584" s="64" t="str">
        <f>HYPERLINK("http://www.twitter.com/tarabara_83", "tarabara_83")</f>
        <v>tarabara_83</v>
      </c>
      <c r="B15584" s="65"/>
    </row>
    <row r="15585" spans="1:2" x14ac:dyDescent="0.25">
      <c r="A15585" s="64" t="str">
        <f>HYPERLINK("http://www.twitter.com/mariahkarina392", "mariahkarina392")</f>
        <v>mariahkarina392</v>
      </c>
      <c r="B15585" s="65"/>
    </row>
    <row r="15586" spans="1:2" x14ac:dyDescent="0.25">
      <c r="A15586" s="64" t="str">
        <f>HYPERLINK("http://www.twitter.com/soyjessita", "soyjessita")</f>
        <v>soyjessita</v>
      </c>
      <c r="B15586" s="65" t="s">
        <v>517</v>
      </c>
    </row>
    <row r="15587" spans="1:2" x14ac:dyDescent="0.25">
      <c r="A15587" s="64" t="str">
        <f>HYPERLINK("http://www.twitter.com/AlexSchillemore", "AlexSchillemore")</f>
        <v>AlexSchillemore</v>
      </c>
      <c r="B15587" s="65" t="s">
        <v>8563</v>
      </c>
    </row>
    <row r="15588" spans="1:2" x14ac:dyDescent="0.25">
      <c r="A15588" s="64" t="str">
        <f>HYPERLINK("http://www.twitter.com/Mr_Mark_Brown", "Mr_Mark_Brown")</f>
        <v>Mr_Mark_Brown</v>
      </c>
      <c r="B15588" s="65" t="s">
        <v>2007</v>
      </c>
    </row>
    <row r="15589" spans="1:2" x14ac:dyDescent="0.25">
      <c r="A15589" s="64" t="str">
        <f>HYPERLINK("http://www.twitter.com/e11ery", "e11ery")</f>
        <v>e11ery</v>
      </c>
      <c r="B15589" s="65" t="s">
        <v>757</v>
      </c>
    </row>
    <row r="15590" spans="1:2" x14ac:dyDescent="0.25">
      <c r="A15590" s="64" t="str">
        <f>HYPERLINK("http://www.twitter.com/mgtlsmith1", "mgtlsmith1")</f>
        <v>mgtlsmith1</v>
      </c>
      <c r="B15590" s="65"/>
    </row>
    <row r="15591" spans="1:2" x14ac:dyDescent="0.25">
      <c r="A15591" s="64" t="str">
        <f>HYPERLINK("http://www.twitter.com/oneexwidow", "oneexwidow")</f>
        <v>oneexwidow</v>
      </c>
      <c r="B15591" s="65" t="s">
        <v>1295</v>
      </c>
    </row>
    <row r="15592" spans="1:2" x14ac:dyDescent="0.25">
      <c r="A15592" s="64" t="str">
        <f>HYPERLINK("http://www.twitter.com/Flossie_Machine", "Flossie_Machine")</f>
        <v>Flossie_Machine</v>
      </c>
      <c r="B15592" s="65"/>
    </row>
    <row r="15593" spans="1:2" x14ac:dyDescent="0.25">
      <c r="A15593" s="64" t="str">
        <f>HYPERLINK("http://www.twitter.com/SuperBobFilm", "SuperBobFilm")</f>
        <v>SuperBobFilm</v>
      </c>
      <c r="B15593" s="65" t="s">
        <v>4924</v>
      </c>
    </row>
    <row r="15594" spans="1:2" x14ac:dyDescent="0.25">
      <c r="A15594" s="64" t="str">
        <f>HYPERLINK("http://www.twitter.com/Cafe80sClothing", "Cafe80sClothing")</f>
        <v>Cafe80sClothing</v>
      </c>
      <c r="B15594" s="65"/>
    </row>
    <row r="15595" spans="1:2" x14ac:dyDescent="0.25">
      <c r="A15595" s="64" t="str">
        <f>HYPERLINK("http://www.twitter.com/laurenlaverne", "laurenlaverne")</f>
        <v>laurenlaverne</v>
      </c>
      <c r="B15595" s="65" t="s">
        <v>8564</v>
      </c>
    </row>
    <row r="15596" spans="1:2" x14ac:dyDescent="0.25">
      <c r="A15596" s="64" t="str">
        <f>HYPERLINK("http://www.twitter.com/violetdevilla", "violetdevilla")</f>
        <v>violetdevilla</v>
      </c>
      <c r="B15596" s="65" t="s">
        <v>8565</v>
      </c>
    </row>
    <row r="15597" spans="1:2" x14ac:dyDescent="0.25">
      <c r="A15597" s="64" t="str">
        <f>HYPERLINK("http://www.twitter.com/akmkem", "akmkem")</f>
        <v>akmkem</v>
      </c>
      <c r="B15597" s="65"/>
    </row>
    <row r="15598" spans="1:2" x14ac:dyDescent="0.25">
      <c r="A15598" s="64" t="str">
        <f>HYPERLINK("http://www.twitter.com/theCapelloIndex", "theCapelloIndex")</f>
        <v>theCapelloIndex</v>
      </c>
      <c r="B15598" s="65"/>
    </row>
    <row r="15599" spans="1:2" x14ac:dyDescent="0.25">
      <c r="A15599" s="64" t="str">
        <f>HYPERLINK("http://www.twitter.com/smart_3006", "smart_3006")</f>
        <v>smart_3006</v>
      </c>
      <c r="B15599" s="65" t="s">
        <v>8566</v>
      </c>
    </row>
    <row r="15600" spans="1:2" x14ac:dyDescent="0.25">
      <c r="A15600" s="64" t="str">
        <f>HYPERLINK("http://www.twitter.com/ThankBookFor", "ThankBookFor")</f>
        <v>ThankBookFor</v>
      </c>
      <c r="B15600" s="65" t="s">
        <v>2557</v>
      </c>
    </row>
    <row r="15601" spans="1:2" x14ac:dyDescent="0.25">
      <c r="A15601" s="64" t="str">
        <f>HYPERLINK("http://www.twitter.com/JoodyBally", "JoodyBally")</f>
        <v>JoodyBally</v>
      </c>
      <c r="B15601" s="65" t="s">
        <v>6263</v>
      </c>
    </row>
    <row r="15602" spans="1:2" x14ac:dyDescent="0.25">
      <c r="A15602" s="64" t="str">
        <f>HYPERLINK("http://www.twitter.com/CraigLobster84", "CraigLobster84")</f>
        <v>CraigLobster84</v>
      </c>
      <c r="B15602" s="65"/>
    </row>
    <row r="15603" spans="1:2" x14ac:dyDescent="0.25">
      <c r="A15603" s="64" t="str">
        <f>HYPERLINK("http://www.twitter.com/sarahjackson099", "sarahjackson099")</f>
        <v>sarahjackson099</v>
      </c>
      <c r="B15603" s="65"/>
    </row>
    <row r="15604" spans="1:2" x14ac:dyDescent="0.25">
      <c r="A15604" s="64" t="str">
        <f>HYPERLINK("http://www.twitter.com/beagluv", "beagluv")</f>
        <v>beagluv</v>
      </c>
      <c r="B15604" s="65" t="s">
        <v>3797</v>
      </c>
    </row>
    <row r="15605" spans="1:2" x14ac:dyDescent="0.25">
      <c r="A15605" s="64" t="str">
        <f>HYPERLINK("http://www.twitter.com/Brilens", "Brilens")</f>
        <v>Brilens</v>
      </c>
      <c r="B15605" s="65"/>
    </row>
    <row r="15606" spans="1:2" x14ac:dyDescent="0.25">
      <c r="A15606" s="64" t="str">
        <f>HYPERLINK("http://www.twitter.com/MegsMum63", "MegsMum63")</f>
        <v>MegsMum63</v>
      </c>
      <c r="B15606" s="65"/>
    </row>
    <row r="15607" spans="1:2" x14ac:dyDescent="0.25">
      <c r="A15607" s="64" t="str">
        <f>HYPERLINK("http://www.twitter.com/oakhues", "oakhues")</f>
        <v>oakhues</v>
      </c>
      <c r="B15607" s="65"/>
    </row>
    <row r="15608" spans="1:2" x14ac:dyDescent="0.25">
      <c r="A15608" s="64" t="str">
        <f>HYPERLINK("http://www.twitter.com/DanW_TEE", "DanW_TEE")</f>
        <v>DanW_TEE</v>
      </c>
      <c r="B15608" s="65" t="s">
        <v>6089</v>
      </c>
    </row>
    <row r="15609" spans="1:2" x14ac:dyDescent="0.25">
      <c r="A15609" s="64" t="str">
        <f>HYPERLINK("http://www.twitter.com/wallywally707", "wallywally707")</f>
        <v>wallywally707</v>
      </c>
      <c r="B15609" s="65"/>
    </row>
    <row r="15610" spans="1:2" x14ac:dyDescent="0.25">
      <c r="A15610" s="64" t="str">
        <f>HYPERLINK("http://www.twitter.com/LibraryRoe", "LibraryRoe")</f>
        <v>LibraryRoe</v>
      </c>
      <c r="B15610" s="65" t="s">
        <v>8567</v>
      </c>
    </row>
    <row r="15611" spans="1:2" x14ac:dyDescent="0.25">
      <c r="A15611" s="64" t="str">
        <f>HYPERLINK("http://www.twitter.com/LewisMaclean07", "LewisMaclean07")</f>
        <v>LewisMaclean07</v>
      </c>
      <c r="B15611" s="65"/>
    </row>
    <row r="15612" spans="1:2" x14ac:dyDescent="0.25">
      <c r="A15612" s="64" t="str">
        <f>HYPERLINK("http://www.twitter.com/cafe_mila", "cafe_mila")</f>
        <v>cafe_mila</v>
      </c>
      <c r="B15612" s="65" t="s">
        <v>8568</v>
      </c>
    </row>
    <row r="15613" spans="1:2" x14ac:dyDescent="0.25">
      <c r="A15613" s="64" t="str">
        <f>HYPERLINK("http://www.twitter.com/cornerstweets", "cornerstweets")</f>
        <v>cornerstweets</v>
      </c>
      <c r="B15613" s="65" t="s">
        <v>8569</v>
      </c>
    </row>
    <row r="15614" spans="1:2" x14ac:dyDescent="0.25">
      <c r="A15614" s="64" t="str">
        <f>HYPERLINK("http://www.twitter.com/luloume", "luloume")</f>
        <v>luloume</v>
      </c>
      <c r="B15614" s="65" t="s">
        <v>24</v>
      </c>
    </row>
    <row r="15615" spans="1:2" x14ac:dyDescent="0.25">
      <c r="A15615" s="64" t="str">
        <f>HYPERLINK("http://www.twitter.com/TheKristaHart", "TheKristaHart")</f>
        <v>TheKristaHart</v>
      </c>
      <c r="B15615" s="65"/>
    </row>
    <row r="15616" spans="1:2" x14ac:dyDescent="0.25">
      <c r="A15616" s="64" t="str">
        <f>HYPERLINK("http://www.twitter.com/boovake", "boovake")</f>
        <v>boovake</v>
      </c>
      <c r="B15616" s="65" t="s">
        <v>3773</v>
      </c>
    </row>
    <row r="15617" spans="1:2" x14ac:dyDescent="0.25">
      <c r="A15617" s="64" t="str">
        <f>HYPERLINK("http://www.twitter.com/C_Hebden_Forest", "C_Hebden_Forest")</f>
        <v>C_Hebden_Forest</v>
      </c>
      <c r="B15617" s="65" t="s">
        <v>487</v>
      </c>
    </row>
    <row r="15618" spans="1:2" x14ac:dyDescent="0.25">
      <c r="A15618" s="64" t="str">
        <f>HYPERLINK("http://www.twitter.com/angela_cotter", "angela_cotter")</f>
        <v>angela_cotter</v>
      </c>
      <c r="B15618" s="65" t="s">
        <v>4254</v>
      </c>
    </row>
    <row r="15619" spans="1:2" x14ac:dyDescent="0.25">
      <c r="A15619" s="64" t="str">
        <f>HYPERLINK("http://www.twitter.com/booklib61", "booklib61")</f>
        <v>booklib61</v>
      </c>
      <c r="B15619" s="65" t="s">
        <v>514</v>
      </c>
    </row>
    <row r="15620" spans="1:2" x14ac:dyDescent="0.25">
      <c r="A15620" s="64" t="str">
        <f>HYPERLINK("http://www.twitter.com/ach_fooey", "ach_fooey")</f>
        <v>ach_fooey</v>
      </c>
      <c r="B15620" s="65" t="s">
        <v>318</v>
      </c>
    </row>
    <row r="15621" spans="1:2" x14ac:dyDescent="0.25">
      <c r="A15621" s="64" t="str">
        <f>HYPERLINK("http://www.twitter.com/JSmithy64", "JSmithy64")</f>
        <v>JSmithy64</v>
      </c>
      <c r="B15621" s="65" t="s">
        <v>3920</v>
      </c>
    </row>
    <row r="15622" spans="1:2" x14ac:dyDescent="0.25">
      <c r="A15622" s="64" t="str">
        <f>HYPERLINK("http://www.twitter.com/CILIP_ARLG", "CILIP_ARLG")</f>
        <v>CILIP_ARLG</v>
      </c>
      <c r="B15622" s="65"/>
    </row>
    <row r="15623" spans="1:2" x14ac:dyDescent="0.25">
      <c r="A15623" s="64" t="str">
        <f>HYPERLINK("http://www.twitter.com/ArtsVox1", "ArtsVox1")</f>
        <v>ArtsVox1</v>
      </c>
      <c r="B15623" s="65" t="s">
        <v>4135</v>
      </c>
    </row>
    <row r="15624" spans="1:2" x14ac:dyDescent="0.25">
      <c r="A15624" s="64" t="str">
        <f>HYPERLINK("http://www.twitter.com/JimHelmore", "JimHelmore")</f>
        <v>JimHelmore</v>
      </c>
      <c r="B15624" s="65" t="s">
        <v>477</v>
      </c>
    </row>
    <row r="15625" spans="1:2" x14ac:dyDescent="0.25">
      <c r="A15625" s="64" t="str">
        <f>HYPERLINK("http://www.twitter.com/marfa_m", "marfa_m")</f>
        <v>marfa_m</v>
      </c>
      <c r="B15625" s="65" t="s">
        <v>808</v>
      </c>
    </row>
    <row r="15626" spans="1:2" x14ac:dyDescent="0.25">
      <c r="A15626" s="64" t="str">
        <f>HYPERLINK("http://www.twitter.com/ABDULDABO2", "ABDULDABO2")</f>
        <v>ABDULDABO2</v>
      </c>
      <c r="B15626" s="65" t="s">
        <v>8570</v>
      </c>
    </row>
    <row r="15627" spans="1:2" x14ac:dyDescent="0.25">
      <c r="A15627" s="64" t="str">
        <f>HYPERLINK("http://www.twitter.com/UoPlibrary", "UoPlibrary")</f>
        <v>UoPlibrary</v>
      </c>
      <c r="B15627" s="65" t="s">
        <v>206</v>
      </c>
    </row>
    <row r="15628" spans="1:2" x14ac:dyDescent="0.25">
      <c r="A15628" s="64" t="str">
        <f>HYPERLINK("http://www.twitter.com/ScottishPinUp", "ScottishPinUp")</f>
        <v>ScottishPinUp</v>
      </c>
      <c r="B15628" s="65"/>
    </row>
    <row r="15629" spans="1:2" x14ac:dyDescent="0.25">
      <c r="A15629" s="64" t="str">
        <f>HYPERLINK("http://www.twitter.com/SophieTowne", "SophieTowne")</f>
        <v>SophieTowne</v>
      </c>
      <c r="B15629" s="65" t="s">
        <v>8571</v>
      </c>
    </row>
    <row r="15630" spans="1:2" x14ac:dyDescent="0.25">
      <c r="A15630" s="64" t="str">
        <f>HYPERLINK("http://www.twitter.com/janesct1951", "janesct1951")</f>
        <v>janesct1951</v>
      </c>
      <c r="B15630" s="65"/>
    </row>
    <row r="15631" spans="1:2" x14ac:dyDescent="0.25">
      <c r="A15631" s="64" t="str">
        <f>HYPERLINK("http://www.twitter.com/prostheticlives", "prostheticlives")</f>
        <v>prostheticlives</v>
      </c>
      <c r="B15631" s="65" t="s">
        <v>8572</v>
      </c>
    </row>
    <row r="15632" spans="1:2" x14ac:dyDescent="0.25">
      <c r="A15632" s="64" t="str">
        <f>HYPERLINK("http://www.twitter.com/CbusLibraries", "CbusLibraries")</f>
        <v>CbusLibraries</v>
      </c>
      <c r="B15632" s="65" t="s">
        <v>7961</v>
      </c>
    </row>
    <row r="15633" spans="1:2" x14ac:dyDescent="0.25">
      <c r="A15633" s="64" t="str">
        <f>HYPERLINK("http://www.twitter.com/librerry", "librerry")</f>
        <v>librerry</v>
      </c>
      <c r="B15633" s="65"/>
    </row>
    <row r="15634" spans="1:2" x14ac:dyDescent="0.25">
      <c r="A15634" s="64" t="str">
        <f>HYPERLINK("http://www.twitter.com/samholloway", "samholloway")</f>
        <v>samholloway</v>
      </c>
      <c r="B15634" s="65" t="s">
        <v>61</v>
      </c>
    </row>
    <row r="15635" spans="1:2" x14ac:dyDescent="0.25">
      <c r="A15635" s="64" t="str">
        <f>HYPERLINK("http://www.twitter.com/iamrobhughes", "iamrobhughes")</f>
        <v>iamrobhughes</v>
      </c>
      <c r="B15635" s="65" t="s">
        <v>8573</v>
      </c>
    </row>
    <row r="15636" spans="1:2" x14ac:dyDescent="0.25">
      <c r="A15636" s="64" t="str">
        <f>HYPERLINK("http://www.twitter.com/pelagikat", "pelagikat")</f>
        <v>pelagikat</v>
      </c>
      <c r="B15636" s="65" t="s">
        <v>3779</v>
      </c>
    </row>
    <row r="15637" spans="1:2" x14ac:dyDescent="0.25">
      <c r="A15637" s="64" t="str">
        <f>HYPERLINK("http://www.twitter.com/RUSSCAMPBELL11", "RUSSCAMPBELL11")</f>
        <v>RUSSCAMPBELL11</v>
      </c>
      <c r="B15637" s="65" t="s">
        <v>6180</v>
      </c>
    </row>
    <row r="15638" spans="1:2" x14ac:dyDescent="0.25">
      <c r="A15638" s="64" t="str">
        <f>HYPERLINK("http://www.twitter.com/WendyGlass1", "WendyGlass1")</f>
        <v>WendyGlass1</v>
      </c>
      <c r="B15638" s="65" t="s">
        <v>8574</v>
      </c>
    </row>
    <row r="15639" spans="1:2" x14ac:dyDescent="0.25">
      <c r="A15639" s="64" t="str">
        <f>HYPERLINK("http://www.twitter.com/RoseDotClark", "RoseDotClark")</f>
        <v>RoseDotClark</v>
      </c>
      <c r="B15639" s="65" t="s">
        <v>517</v>
      </c>
    </row>
    <row r="15640" spans="1:2" x14ac:dyDescent="0.25">
      <c r="A15640" s="64" t="str">
        <f>HYPERLINK("http://www.twitter.com/EHSEnglishDept", "EHSEnglishDept")</f>
        <v>EHSEnglishDept</v>
      </c>
      <c r="B15640" s="65" t="s">
        <v>4895</v>
      </c>
    </row>
    <row r="15641" spans="1:2" x14ac:dyDescent="0.25">
      <c r="A15641" s="64" t="str">
        <f>HYPERLINK("http://www.twitter.com/BrunelSpecColl", "BrunelSpecColl")</f>
        <v>BrunelSpecColl</v>
      </c>
      <c r="B15641" s="65" t="s">
        <v>110</v>
      </c>
    </row>
    <row r="15642" spans="1:2" x14ac:dyDescent="0.25">
      <c r="A15642" s="64" t="str">
        <f>HYPERLINK("http://www.twitter.com/NVKING", "NVKING")</f>
        <v>NVKING</v>
      </c>
      <c r="B15642" s="65" t="s">
        <v>4118</v>
      </c>
    </row>
    <row r="15643" spans="1:2" x14ac:dyDescent="0.25">
      <c r="A15643" s="64" t="str">
        <f>HYPERLINK("http://www.twitter.com/LJohnsonBioRec", "LJohnsonBioRec")</f>
        <v>LJohnsonBioRec</v>
      </c>
      <c r="B15643" s="65"/>
    </row>
    <row r="15644" spans="1:2" x14ac:dyDescent="0.25">
      <c r="A15644" s="64" t="str">
        <f>HYPERLINK("http://www.twitter.com/helengrantsays", "helengrantsays")</f>
        <v>helengrantsays</v>
      </c>
      <c r="B15644" s="65" t="s">
        <v>8575</v>
      </c>
    </row>
    <row r="15645" spans="1:2" x14ac:dyDescent="0.25">
      <c r="A15645" s="64" t="str">
        <f>HYPERLINK("http://www.twitter.com/andytruscott87", "andytruscott87")</f>
        <v>andytruscott87</v>
      </c>
      <c r="B15645" s="65" t="s">
        <v>8576</v>
      </c>
    </row>
    <row r="15646" spans="1:2" x14ac:dyDescent="0.25">
      <c r="A15646" s="64" t="str">
        <f>HYPERLINK("http://www.twitter.com/geehowquaint", "geehowquaint")</f>
        <v>geehowquaint</v>
      </c>
      <c r="B15646" s="65" t="s">
        <v>487</v>
      </c>
    </row>
    <row r="15647" spans="1:2" x14ac:dyDescent="0.25">
      <c r="A15647" s="64" t="str">
        <f>HYPERLINK("http://www.twitter.com/LeatherbarrowL", "LeatherbarrowL")</f>
        <v>LeatherbarrowL</v>
      </c>
      <c r="B15647" s="65" t="s">
        <v>517</v>
      </c>
    </row>
    <row r="15648" spans="1:2" x14ac:dyDescent="0.25">
      <c r="A15648" s="64" t="str">
        <f>HYPERLINK("http://www.twitter.com/AlAlmurray65", "AlAlmurray65")</f>
        <v>AlAlmurray65</v>
      </c>
      <c r="B15648" s="65" t="s">
        <v>4868</v>
      </c>
    </row>
    <row r="15649" spans="1:2" x14ac:dyDescent="0.25">
      <c r="A15649" s="64" t="str">
        <f>HYPERLINK("http://www.twitter.com/LunaPotter11", "LunaPotter11")</f>
        <v>LunaPotter11</v>
      </c>
      <c r="B15649" s="65" t="s">
        <v>8577</v>
      </c>
    </row>
    <row r="15650" spans="1:2" x14ac:dyDescent="0.25">
      <c r="A15650" s="64" t="str">
        <f>HYPERLINK("http://www.twitter.com/gobslab", "gobslab")</f>
        <v>gobslab</v>
      </c>
      <c r="B15650" s="65"/>
    </row>
    <row r="15651" spans="1:2" x14ac:dyDescent="0.25">
      <c r="A15651" s="64" t="str">
        <f>HYPERLINK("http://www.twitter.com/MntSeskinlib", "MntSeskinlib")</f>
        <v>MntSeskinlib</v>
      </c>
      <c r="B15651" s="65"/>
    </row>
    <row r="15652" spans="1:2" x14ac:dyDescent="0.25">
      <c r="A15652" s="64" t="str">
        <f>HYPERLINK("http://www.twitter.com/carai_tonino", "carai_tonino")</f>
        <v>carai_tonino</v>
      </c>
      <c r="B15652" s="65" t="s">
        <v>4816</v>
      </c>
    </row>
    <row r="15653" spans="1:2" x14ac:dyDescent="0.25">
      <c r="A15653" s="64" t="str">
        <f>HYPERLINK("http://www.twitter.com/Dschanai", "Dschanai")</f>
        <v>Dschanai</v>
      </c>
      <c r="B15653" s="65" t="s">
        <v>110</v>
      </c>
    </row>
    <row r="15654" spans="1:2" x14ac:dyDescent="0.25">
      <c r="A15654" s="64" t="str">
        <f>HYPERLINK("http://www.twitter.com/Annaa_Dang", "Annaa_Dang")</f>
        <v>Annaa_Dang</v>
      </c>
      <c r="B15654" s="65"/>
    </row>
    <row r="15655" spans="1:2" x14ac:dyDescent="0.25">
      <c r="A15655" s="64" t="str">
        <f>HYPERLINK("http://www.twitter.com/karenmariechoy", "karenmariechoy")</f>
        <v>karenmariechoy</v>
      </c>
      <c r="B15655" s="65" t="s">
        <v>3921</v>
      </c>
    </row>
    <row r="15656" spans="1:2" x14ac:dyDescent="0.25">
      <c r="A15656" s="64" t="str">
        <f>HYPERLINK("http://www.twitter.com/editorlisaquinn", "editorlisaquinn")</f>
        <v>editorlisaquinn</v>
      </c>
      <c r="B15656" s="65" t="s">
        <v>8578</v>
      </c>
    </row>
    <row r="15657" spans="1:2" x14ac:dyDescent="0.25">
      <c r="A15657" s="64" t="str">
        <f>HYPERLINK("http://www.twitter.com/elenkidd", "elenkidd")</f>
        <v>elenkidd</v>
      </c>
      <c r="B15657" s="65"/>
    </row>
    <row r="15658" spans="1:2" x14ac:dyDescent="0.25">
      <c r="A15658" s="64" t="str">
        <f>HYPERLINK("http://www.twitter.com/70s_party", "70s_party")</f>
        <v>70s_party</v>
      </c>
      <c r="B15658" s="65"/>
    </row>
    <row r="15659" spans="1:2" x14ac:dyDescent="0.25">
      <c r="A15659" s="64" t="str">
        <f>HYPERLINK("http://www.twitter.com/shivani_khokar", "shivani_khokar")</f>
        <v>shivani_khokar</v>
      </c>
      <c r="B15659" s="65" t="s">
        <v>8579</v>
      </c>
    </row>
    <row r="15660" spans="1:2" x14ac:dyDescent="0.25">
      <c r="A15660" s="64" t="str">
        <f>HYPERLINK("http://www.twitter.com/LHSGETSLEARNING", "LHSGETSLEARNING")</f>
        <v>LHSGETSLEARNING</v>
      </c>
      <c r="B15660" s="65" t="s">
        <v>1272</v>
      </c>
    </row>
    <row r="15661" spans="1:2" x14ac:dyDescent="0.25">
      <c r="A15661" s="64" t="str">
        <f>HYPERLINK("http://www.twitter.com/Anggism_99", "Anggism_99")</f>
        <v>Anggism_99</v>
      </c>
      <c r="B15661" s="65" t="s">
        <v>8580</v>
      </c>
    </row>
    <row r="15662" spans="1:2" x14ac:dyDescent="0.25">
      <c r="A15662" s="64" t="str">
        <f>HYPERLINK("http://www.twitter.com/maggie172", "maggie172")</f>
        <v>maggie172</v>
      </c>
      <c r="B15662" s="65" t="s">
        <v>8581</v>
      </c>
    </row>
    <row r="15663" spans="1:2" x14ac:dyDescent="0.25">
      <c r="A15663" s="64" t="str">
        <f>HYPERLINK("http://www.twitter.com/CressexCSchool", "CressexCSchool")</f>
        <v>CressexCSchool</v>
      </c>
      <c r="B15663" s="65" t="s">
        <v>8582</v>
      </c>
    </row>
    <row r="15664" spans="1:2" x14ac:dyDescent="0.25">
      <c r="A15664" s="64" t="str">
        <f>HYPERLINK("http://www.twitter.com/BPACLibrary", "BPACLibrary")</f>
        <v>BPACLibrary</v>
      </c>
      <c r="B15664" s="65"/>
    </row>
    <row r="15665" spans="1:2" x14ac:dyDescent="0.25">
      <c r="A15665" s="64" t="str">
        <f>HYPERLINK("http://www.twitter.com/Dracu_liza", "Dracu_liza")</f>
        <v>Dracu_liza</v>
      </c>
      <c r="B15665" s="65" t="s">
        <v>8583</v>
      </c>
    </row>
    <row r="15666" spans="1:2" x14ac:dyDescent="0.25">
      <c r="A15666" s="64" t="str">
        <f>HYPERLINK("http://www.twitter.com/Dexibit", "Dexibit")</f>
        <v>Dexibit</v>
      </c>
      <c r="B15666" s="65" t="s">
        <v>4177</v>
      </c>
    </row>
    <row r="15667" spans="1:2" x14ac:dyDescent="0.25">
      <c r="A15667" s="64" t="str">
        <f>HYPERLINK("http://www.twitter.com/abbieds1", "abbieds1")</f>
        <v>abbieds1</v>
      </c>
      <c r="B15667" s="65" t="s">
        <v>20</v>
      </c>
    </row>
    <row r="15668" spans="1:2" x14ac:dyDescent="0.25">
      <c r="A15668" s="64" t="str">
        <f>HYPERLINK("http://www.twitter.com/mutabilis", "mutabilis")</f>
        <v>mutabilis</v>
      </c>
      <c r="B15668" s="65" t="s">
        <v>3907</v>
      </c>
    </row>
    <row r="15669" spans="1:2" x14ac:dyDescent="0.25">
      <c r="A15669" s="64" t="str">
        <f>HYPERLINK("http://www.twitter.com/jelyfireads", "jelyfireads")</f>
        <v>jelyfireads</v>
      </c>
      <c r="B15669" s="65"/>
    </row>
    <row r="15670" spans="1:2" x14ac:dyDescent="0.25">
      <c r="A15670" s="64" t="str">
        <f>HYPERLINK("http://www.twitter.com/JuliaKingsford", "JuliaKingsford")</f>
        <v>JuliaKingsford</v>
      </c>
      <c r="B15670" s="65" t="s">
        <v>36</v>
      </c>
    </row>
    <row r="15671" spans="1:2" x14ac:dyDescent="0.25">
      <c r="A15671" s="64" t="str">
        <f>HYPERLINK("http://www.twitter.com/dennygirl2510", "dennygirl2510")</f>
        <v>dennygirl2510</v>
      </c>
      <c r="B15671" s="65" t="s">
        <v>7378</v>
      </c>
    </row>
    <row r="15672" spans="1:2" x14ac:dyDescent="0.25">
      <c r="A15672" s="64" t="str">
        <f>HYPERLINK("http://www.twitter.com/TerryBuster87", "TerryBuster87")</f>
        <v>TerryBuster87</v>
      </c>
      <c r="B15672" s="65" t="s">
        <v>6073</v>
      </c>
    </row>
    <row r="15673" spans="1:2" x14ac:dyDescent="0.25">
      <c r="A15673" s="64" t="str">
        <f>HYPERLINK("http://www.twitter.com/scargill_megan", "scargill_megan")</f>
        <v>scargill_megan</v>
      </c>
      <c r="B15673" s="65" t="s">
        <v>7309</v>
      </c>
    </row>
    <row r="15674" spans="1:2" x14ac:dyDescent="0.25">
      <c r="A15674" s="64" t="str">
        <f>HYPERLINK("http://www.twitter.com/heathleonard", "heathleonard")</f>
        <v>heathleonard</v>
      </c>
      <c r="B15674" s="65" t="s">
        <v>569</v>
      </c>
    </row>
    <row r="15675" spans="1:2" x14ac:dyDescent="0.25">
      <c r="A15675" s="64" t="str">
        <f>HYPERLINK("http://www.twitter.com/Lazzari_Autore", "Lazzari_Autore")</f>
        <v>Lazzari_Autore</v>
      </c>
      <c r="B15675" s="65" t="s">
        <v>487</v>
      </c>
    </row>
    <row r="15676" spans="1:2" x14ac:dyDescent="0.25">
      <c r="A15676" s="64" t="str">
        <f>HYPERLINK("http://www.twitter.com/27eromnor", "27eromnor")</f>
        <v>27eromnor</v>
      </c>
      <c r="B15676" s="65" t="s">
        <v>2007</v>
      </c>
    </row>
    <row r="15677" spans="1:2" x14ac:dyDescent="0.25">
      <c r="A15677" s="64" t="str">
        <f>HYPERLINK("http://www.twitter.com/judealdridge", "judealdridge")</f>
        <v>judealdridge</v>
      </c>
      <c r="B15677" s="65" t="s">
        <v>8584</v>
      </c>
    </row>
    <row r="15678" spans="1:2" x14ac:dyDescent="0.25">
      <c r="A15678" s="64" t="str">
        <f>HYPERLINK("http://www.twitter.com/ishikhadeep", "ishikhadeep")</f>
        <v>ishikhadeep</v>
      </c>
      <c r="B15678" s="65"/>
    </row>
    <row r="15679" spans="1:2" x14ac:dyDescent="0.25">
      <c r="A15679" s="64" t="str">
        <f>HYPERLINK("http://www.twitter.com/TommyCoyneBN1", "TommyCoyneBN1")</f>
        <v>TommyCoyneBN1</v>
      </c>
      <c r="B15679" s="65" t="s">
        <v>8585</v>
      </c>
    </row>
    <row r="15680" spans="1:2" x14ac:dyDescent="0.25">
      <c r="A15680" s="64" t="str">
        <f>HYPERLINK("http://www.twitter.com/gimseongho", "gimseongho")</f>
        <v>gimseongho</v>
      </c>
      <c r="B15680" s="65" t="s">
        <v>8586</v>
      </c>
    </row>
    <row r="15681" spans="1:2" x14ac:dyDescent="0.25">
      <c r="A15681" s="64" t="str">
        <f>HYPERLINK("http://www.twitter.com/msdakulu5", "msdakulu5")</f>
        <v>msdakulu5</v>
      </c>
      <c r="B15681" s="65" t="s">
        <v>8587</v>
      </c>
    </row>
    <row r="15682" spans="1:2" x14ac:dyDescent="0.25">
      <c r="A15682" s="64" t="str">
        <f>HYPERLINK("http://www.twitter.com/Amphitrite12", "Amphitrite12")</f>
        <v>Amphitrite12</v>
      </c>
      <c r="B15682" s="65"/>
    </row>
    <row r="15683" spans="1:2" x14ac:dyDescent="0.25">
      <c r="A15683" s="64" t="str">
        <f>HYPERLINK("http://www.twitter.com/pamwalker4931", "pamwalker4931")</f>
        <v>pamwalker4931</v>
      </c>
      <c r="B15683" s="65"/>
    </row>
    <row r="15684" spans="1:2" x14ac:dyDescent="0.25">
      <c r="A15684" s="64" t="str">
        <f>HYPERLINK("http://www.twitter.com/PatrickSWelsh", "PatrickSWelsh")</f>
        <v>PatrickSWelsh</v>
      </c>
      <c r="B15684" s="65" t="s">
        <v>2997</v>
      </c>
    </row>
    <row r="15685" spans="1:2" x14ac:dyDescent="0.25">
      <c r="A15685" s="64" t="str">
        <f>HYPERLINK("http://www.twitter.com/CanmoreLibrary", "CanmoreLibrary")</f>
        <v>CanmoreLibrary</v>
      </c>
      <c r="B15685" s="65" t="s">
        <v>8588</v>
      </c>
    </row>
    <row r="15686" spans="1:2" x14ac:dyDescent="0.25">
      <c r="A15686" s="64" t="str">
        <f>HYPERLINK("http://www.twitter.com/CJtherapies", "CJtherapies")</f>
        <v>CJtherapies</v>
      </c>
      <c r="B15686" s="65"/>
    </row>
    <row r="15687" spans="1:2" x14ac:dyDescent="0.25">
      <c r="A15687" s="64" t="str">
        <f>HYPERLINK("http://www.twitter.com/AbertridwrLib", "AbertridwrLib")</f>
        <v>AbertridwrLib</v>
      </c>
      <c r="B15687" s="65"/>
    </row>
    <row r="15688" spans="1:2" x14ac:dyDescent="0.25">
      <c r="A15688" s="64" t="str">
        <f>HYPERLINK("http://www.twitter.com/TellingTalesFFS", "TellingTalesFFS")</f>
        <v>TellingTalesFFS</v>
      </c>
      <c r="B15688" s="65" t="s">
        <v>8589</v>
      </c>
    </row>
    <row r="15689" spans="1:2" x14ac:dyDescent="0.25">
      <c r="A15689" s="64" t="str">
        <f>HYPERLINK("http://www.twitter.com/emmajaynepaul", "emmajaynepaul")</f>
        <v>emmajaynepaul</v>
      </c>
      <c r="B15689" s="65" t="s">
        <v>487</v>
      </c>
    </row>
    <row r="15690" spans="1:2" x14ac:dyDescent="0.25">
      <c r="A15690" s="64" t="str">
        <f>HYPERLINK("http://www.twitter.com/CarletonLibrary", "CarletonLibrary")</f>
        <v>CarletonLibrary</v>
      </c>
      <c r="B15690" s="65" t="s">
        <v>6972</v>
      </c>
    </row>
    <row r="15691" spans="1:2" x14ac:dyDescent="0.25">
      <c r="A15691" s="64" t="str">
        <f>HYPERLINK("http://www.twitter.com/shelley_gee", "shelley_gee")</f>
        <v>shelley_gee</v>
      </c>
      <c r="B15691" s="65" t="s">
        <v>3894</v>
      </c>
    </row>
    <row r="15692" spans="1:2" x14ac:dyDescent="0.25">
      <c r="A15692" s="64" t="str">
        <f>HYPERLINK("http://www.twitter.com/KevinBowrin", "KevinBowrin")</f>
        <v>KevinBowrin</v>
      </c>
      <c r="B15692" s="65" t="s">
        <v>4157</v>
      </c>
    </row>
    <row r="15693" spans="1:2" x14ac:dyDescent="0.25">
      <c r="A15693" s="64" t="str">
        <f>HYPERLINK("http://www.twitter.com/Attervar", "Attervar")</f>
        <v>Attervar</v>
      </c>
      <c r="B15693" s="65" t="s">
        <v>1980</v>
      </c>
    </row>
    <row r="15694" spans="1:2" x14ac:dyDescent="0.25">
      <c r="A15694" s="64" t="str">
        <f>HYPERLINK("http://www.twitter.com/RWCMDLibrary", "RWCMDLibrary")</f>
        <v>RWCMDLibrary</v>
      </c>
      <c r="B15694" s="65" t="s">
        <v>427</v>
      </c>
    </row>
    <row r="15695" spans="1:2" x14ac:dyDescent="0.25">
      <c r="A15695" s="64" t="str">
        <f>HYPERLINK("http://www.twitter.com/reikiusa", "reikiusa")</f>
        <v>reikiusa</v>
      </c>
      <c r="B15695" s="65" t="s">
        <v>8590</v>
      </c>
    </row>
    <row r="15696" spans="1:2" x14ac:dyDescent="0.25">
      <c r="A15696" s="64" t="str">
        <f>HYPERLINK("http://www.twitter.com/vgillispie", "vgillispie")</f>
        <v>vgillispie</v>
      </c>
      <c r="B15696" s="65" t="s">
        <v>7709</v>
      </c>
    </row>
    <row r="15697" spans="1:2" x14ac:dyDescent="0.25">
      <c r="A15697" s="64" t="str">
        <f>HYPERLINK("http://www.twitter.com/UKNailTech", "UKNailTech")</f>
        <v>UKNailTech</v>
      </c>
      <c r="B15697" s="65" t="s">
        <v>8591</v>
      </c>
    </row>
    <row r="15698" spans="1:2" x14ac:dyDescent="0.25">
      <c r="A15698" s="64" t="str">
        <f>HYPERLINK("http://www.twitter.com/anotherbullshit", "anotherbullshit")</f>
        <v>anotherbullshit</v>
      </c>
      <c r="B15698" s="65"/>
    </row>
    <row r="15699" spans="1:2" x14ac:dyDescent="0.25">
      <c r="A15699" s="64" t="str">
        <f>HYPERLINK("http://www.twitter.com/KateLouiseRowan", "KateLouiseRowan")</f>
        <v>KateLouiseRowan</v>
      </c>
      <c r="B15699" s="65" t="s">
        <v>8592</v>
      </c>
    </row>
    <row r="15700" spans="1:2" x14ac:dyDescent="0.25">
      <c r="A15700" s="64" t="str">
        <f>HYPERLINK("http://www.twitter.com/JennyBartlett2", "JennyBartlett2")</f>
        <v>JennyBartlett2</v>
      </c>
      <c r="B15700" s="65"/>
    </row>
    <row r="15701" spans="1:2" x14ac:dyDescent="0.25">
      <c r="A15701" s="64" t="str">
        <f>HYPERLINK("http://www.twitter.com/Tree_and_Troll", "Tree_and_Troll")</f>
        <v>Tree_and_Troll</v>
      </c>
      <c r="B15701" s="65"/>
    </row>
    <row r="15702" spans="1:2" x14ac:dyDescent="0.25">
      <c r="A15702" s="64" t="str">
        <f>HYPERLINK("http://www.twitter.com/foxinthebox2010", "foxinthebox2010")</f>
        <v>foxinthebox2010</v>
      </c>
      <c r="B15702" s="65"/>
    </row>
    <row r="15703" spans="1:2" x14ac:dyDescent="0.25">
      <c r="A15703" s="64" t="str">
        <f>HYPERLINK("http://www.twitter.com/tigerbalsam1", "tigerbalsam1")</f>
        <v>tigerbalsam1</v>
      </c>
      <c r="B15703" s="65" t="s">
        <v>4598</v>
      </c>
    </row>
    <row r="15704" spans="1:2" x14ac:dyDescent="0.25">
      <c r="A15704" s="64" t="str">
        <f>HYPERLINK("http://www.twitter.com/Noasdad247", "Noasdad247")</f>
        <v>Noasdad247</v>
      </c>
      <c r="B15704" s="65"/>
    </row>
    <row r="15705" spans="1:2" x14ac:dyDescent="0.25">
      <c r="A15705" s="64" t="str">
        <f>HYPERLINK("http://www.twitter.com/Tracey94249526", "Tracey94249526")</f>
        <v>Tracey94249526</v>
      </c>
      <c r="B15705" s="65"/>
    </row>
    <row r="15706" spans="1:2" x14ac:dyDescent="0.25">
      <c r="A15706" s="64" t="str">
        <f>HYPERLINK("http://www.twitter.com/zedej", "zedej")</f>
        <v>zedej</v>
      </c>
      <c r="B15706" s="65" t="s">
        <v>8593</v>
      </c>
    </row>
    <row r="15707" spans="1:2" x14ac:dyDescent="0.25">
      <c r="A15707" s="64" t="str">
        <f>HYPERLINK("http://www.twitter.com/oggy87", "oggy87")</f>
        <v>oggy87</v>
      </c>
      <c r="B15707" s="65"/>
    </row>
    <row r="15708" spans="1:2" x14ac:dyDescent="0.25">
      <c r="A15708" s="64" t="str">
        <f>HYPERLINK("http://www.twitter.com/bobizgrate", "bobizgrate")</f>
        <v>bobizgrate</v>
      </c>
      <c r="B15708" s="65" t="s">
        <v>36</v>
      </c>
    </row>
    <row r="15709" spans="1:2" x14ac:dyDescent="0.25">
      <c r="A15709" s="64" t="str">
        <f>HYPERLINK("http://www.twitter.com/A_Susan", "A_Susan")</f>
        <v>A_Susan</v>
      </c>
      <c r="B15709" s="65" t="s">
        <v>5339</v>
      </c>
    </row>
    <row r="15710" spans="1:2" x14ac:dyDescent="0.25">
      <c r="A15710" s="64" t="str">
        <f>HYPERLINK("http://www.twitter.com/smithsimon1969", "smithsimon1969")</f>
        <v>smithsimon1969</v>
      </c>
      <c r="B15710" s="65" t="s">
        <v>2289</v>
      </c>
    </row>
    <row r="15711" spans="1:2" x14ac:dyDescent="0.25">
      <c r="A15711" s="64" t="str">
        <f>HYPERLINK("http://www.twitter.com/theyarnyard", "theyarnyard")</f>
        <v>theyarnyard</v>
      </c>
      <c r="B15711" s="65" t="s">
        <v>8594</v>
      </c>
    </row>
    <row r="15712" spans="1:2" x14ac:dyDescent="0.25">
      <c r="A15712" s="64" t="str">
        <f>HYPERLINK("http://www.twitter.com/sueveneer", "sueveneer")</f>
        <v>sueveneer</v>
      </c>
      <c r="B15712" s="65" t="s">
        <v>8595</v>
      </c>
    </row>
    <row r="15713" spans="1:2" x14ac:dyDescent="0.25">
      <c r="A15713" s="64" t="str">
        <f>HYPERLINK("http://www.twitter.com/fabsoot", "fabsoot")</f>
        <v>fabsoot</v>
      </c>
      <c r="B15713" s="65"/>
    </row>
    <row r="15714" spans="1:2" x14ac:dyDescent="0.25">
      <c r="A15714" s="64" t="str">
        <f>HYPERLINK("http://www.twitter.com/MantleBooks", "MantleBooks")</f>
        <v>MantleBooks</v>
      </c>
      <c r="B15714" s="65" t="s">
        <v>477</v>
      </c>
    </row>
    <row r="15715" spans="1:2" x14ac:dyDescent="0.25">
      <c r="A15715" s="64" t="str">
        <f>HYPERLINK("http://www.twitter.com/SparklyPinchy", "SparklyPinchy")</f>
        <v>SparklyPinchy</v>
      </c>
      <c r="B15715" s="65" t="s">
        <v>805</v>
      </c>
    </row>
    <row r="15716" spans="1:2" x14ac:dyDescent="0.25">
      <c r="A15716" s="64" t="str">
        <f>HYPERLINK("http://www.twitter.com/misskimsherwin", "misskimsherwin")</f>
        <v>misskimsherwin</v>
      </c>
      <c r="B15716" s="65"/>
    </row>
    <row r="15717" spans="1:2" x14ac:dyDescent="0.25">
      <c r="A15717" s="64" t="str">
        <f>HYPERLINK("http://www.twitter.com/MURRAYMCINTYRE", "MURRAYMCINTYRE")</f>
        <v>MURRAYMCINTYRE</v>
      </c>
      <c r="B15717" s="65" t="s">
        <v>8596</v>
      </c>
    </row>
    <row r="15718" spans="1:2" x14ac:dyDescent="0.25">
      <c r="A15718" s="64" t="str">
        <f>HYPERLINK("http://www.twitter.com/UoLDWL", "UoLDWL")</f>
        <v>UoLDWL</v>
      </c>
      <c r="B15718" s="65" t="s">
        <v>551</v>
      </c>
    </row>
    <row r="15719" spans="1:2" x14ac:dyDescent="0.25">
      <c r="A15719" s="64" t="str">
        <f>HYPERLINK("http://www.twitter.com/knelf", "knelf")</f>
        <v>knelf</v>
      </c>
      <c r="B15719" s="65" t="s">
        <v>296</v>
      </c>
    </row>
    <row r="15720" spans="1:2" x14ac:dyDescent="0.25">
      <c r="A15720" s="64" t="str">
        <f>HYPERLINK("http://www.twitter.com/ARLG_EM", "ARLG_EM")</f>
        <v>ARLG_EM</v>
      </c>
      <c r="B15720" s="65"/>
    </row>
    <row r="15721" spans="1:2" x14ac:dyDescent="0.25">
      <c r="A15721" s="64" t="str">
        <f>HYPERLINK("http://www.twitter.com/LucyBray86", "LucyBray86")</f>
        <v>LucyBray86</v>
      </c>
      <c r="B15721" s="65" t="s">
        <v>8597</v>
      </c>
    </row>
    <row r="15722" spans="1:2" x14ac:dyDescent="0.25">
      <c r="A15722" s="64" t="str">
        <f>HYPERLINK("http://www.twitter.com/matt_g_b", "matt_g_b")</f>
        <v>matt_g_b</v>
      </c>
      <c r="B15722" s="65"/>
    </row>
    <row r="15723" spans="1:2" x14ac:dyDescent="0.25">
      <c r="A15723" s="64" t="str">
        <f>HYPERLINK("http://www.twitter.com/RCWhite_", "RCWhite_")</f>
        <v>RCWhite_</v>
      </c>
      <c r="B15723" s="65"/>
    </row>
    <row r="15724" spans="1:2" x14ac:dyDescent="0.25">
      <c r="A15724" s="64" t="str">
        <f>HYPERLINK("http://www.twitter.com/jenni0683", "jenni0683")</f>
        <v>jenni0683</v>
      </c>
      <c r="B15724" s="65"/>
    </row>
    <row r="15725" spans="1:2" x14ac:dyDescent="0.25">
      <c r="A15725" s="64" t="str">
        <f>HYPERLINK("http://www.twitter.com/LisaMcLaren66", "LisaMcLaren66")</f>
        <v>LisaMcLaren66</v>
      </c>
      <c r="B15725" s="65" t="s">
        <v>8598</v>
      </c>
    </row>
    <row r="15726" spans="1:2" x14ac:dyDescent="0.25">
      <c r="A15726" s="64" t="str">
        <f>HYPERLINK("http://www.twitter.com/karen_bookster", "karen_bookster")</f>
        <v>karen_bookster</v>
      </c>
      <c r="B15726" s="65" t="s">
        <v>3978</v>
      </c>
    </row>
    <row r="15727" spans="1:2" x14ac:dyDescent="0.25">
      <c r="A15727" s="64" t="str">
        <f>HYPERLINK("http://www.twitter.com/ReptonLibrary", "ReptonLibrary")</f>
        <v>ReptonLibrary</v>
      </c>
      <c r="B15727" s="65" t="s">
        <v>2659</v>
      </c>
    </row>
    <row r="15728" spans="1:2" x14ac:dyDescent="0.25">
      <c r="A15728" s="64" t="str">
        <f>HYPERLINK("http://www.twitter.com/RealDeltaRomeo", "RealDeltaRomeo")</f>
        <v>RealDeltaRomeo</v>
      </c>
      <c r="B15728" s="65" t="s">
        <v>8599</v>
      </c>
    </row>
    <row r="15729" spans="1:2" x14ac:dyDescent="0.25">
      <c r="A15729" s="64" t="str">
        <f>HYPERLINK("http://www.twitter.com/JulieNivs", "JulieNivs")</f>
        <v>JulieNivs</v>
      </c>
      <c r="B15729" s="65" t="s">
        <v>456</v>
      </c>
    </row>
    <row r="15730" spans="1:2" x14ac:dyDescent="0.25">
      <c r="A15730" s="64" t="str">
        <f>HYPERLINK("http://www.twitter.com/tmcgraw73", "tmcgraw73")</f>
        <v>tmcgraw73</v>
      </c>
      <c r="B15730" s="65"/>
    </row>
    <row r="15731" spans="1:2" x14ac:dyDescent="0.25">
      <c r="A15731" s="64" t="str">
        <f>HYPERLINK("http://www.twitter.com/maryintheup", "maryintheup")</f>
        <v>maryintheup</v>
      </c>
      <c r="B15731" s="65" t="s">
        <v>8600</v>
      </c>
    </row>
    <row r="15732" spans="1:2" x14ac:dyDescent="0.25">
      <c r="A15732" s="64" t="str">
        <f>HYPERLINK("http://www.twitter.com/albumeveryweek", "albumeveryweek")</f>
        <v>albumeveryweek</v>
      </c>
      <c r="B15732" s="65"/>
    </row>
    <row r="15733" spans="1:2" x14ac:dyDescent="0.25">
      <c r="A15733" s="64" t="str">
        <f>HYPERLINK("http://www.twitter.com/monevelia", "monevelia")</f>
        <v>monevelia</v>
      </c>
      <c r="B15733" s="65"/>
    </row>
    <row r="15734" spans="1:2" x14ac:dyDescent="0.25">
      <c r="A15734" s="64" t="str">
        <f>HYPERLINK("http://www.twitter.com/emmascapp", "emmascapp")</f>
        <v>emmascapp</v>
      </c>
      <c r="B15734" s="65"/>
    </row>
    <row r="15735" spans="1:2" x14ac:dyDescent="0.25">
      <c r="A15735" s="64" t="str">
        <f>HYPERLINK("http://www.twitter.com/uoppenguin", "uoppenguin")</f>
        <v>uoppenguin</v>
      </c>
      <c r="B15735" s="65" t="s">
        <v>708</v>
      </c>
    </row>
    <row r="15736" spans="1:2" x14ac:dyDescent="0.25">
      <c r="A15736" s="64" t="str">
        <f>HYPERLINK("http://www.twitter.com/dwyragranger", "dwyragranger")</f>
        <v>dwyragranger</v>
      </c>
      <c r="B15736" s="65" t="s">
        <v>8601</v>
      </c>
    </row>
    <row r="15737" spans="1:2" x14ac:dyDescent="0.25">
      <c r="A15737" s="64" t="str">
        <f>HYPERLINK("http://www.twitter.com/MaBrownsBoyZ", "MaBrownsBoyZ")</f>
        <v>MaBrownsBoyZ</v>
      </c>
      <c r="B15737" s="65" t="s">
        <v>8602</v>
      </c>
    </row>
    <row r="15738" spans="1:2" x14ac:dyDescent="0.25">
      <c r="A15738" s="64" t="str">
        <f>HYPERLINK("http://www.twitter.com/jamesdnorman", "jamesdnorman")</f>
        <v>jamesdnorman</v>
      </c>
      <c r="B15738" s="65" t="s">
        <v>110</v>
      </c>
    </row>
    <row r="15739" spans="1:2" x14ac:dyDescent="0.25">
      <c r="A15739" s="64" t="str">
        <f>HYPERLINK("http://www.twitter.com/Libtog", "Libtog")</f>
        <v>Libtog</v>
      </c>
      <c r="B15739" s="65" t="s">
        <v>2631</v>
      </c>
    </row>
    <row r="15740" spans="1:2" x14ac:dyDescent="0.25">
      <c r="A15740" s="64" t="str">
        <f>HYPERLINK("http://www.twitter.com/justChryssa", "justChryssa")</f>
        <v>justChryssa</v>
      </c>
      <c r="B15740" s="65"/>
    </row>
    <row r="15741" spans="1:2" x14ac:dyDescent="0.25">
      <c r="A15741" s="64" t="str">
        <f>HYPERLINK("http://www.twitter.com/WokingLibrary", "WokingLibrary")</f>
        <v>WokingLibrary</v>
      </c>
      <c r="B15741" s="65" t="s">
        <v>830</v>
      </c>
    </row>
    <row r="15742" spans="1:2" x14ac:dyDescent="0.25">
      <c r="A15742" s="64" t="str">
        <f>HYPERLINK("http://www.twitter.com/lola_gr_dr", "lola_gr_dr")</f>
        <v>lola_gr_dr</v>
      </c>
      <c r="B15742" s="65" t="s">
        <v>5325</v>
      </c>
    </row>
    <row r="15743" spans="1:2" x14ac:dyDescent="0.25">
      <c r="A15743" s="64" t="str">
        <f>HYPERLINK("http://www.twitter.com/Non_Gardener", "Non_Gardener")</f>
        <v>Non_Gardener</v>
      </c>
      <c r="B15743" s="65" t="s">
        <v>7588</v>
      </c>
    </row>
    <row r="15744" spans="1:2" x14ac:dyDescent="0.25">
      <c r="A15744" s="64" t="str">
        <f>HYPERLINK("http://www.twitter.com/ImBlackPeter", "ImBlackPeter")</f>
        <v>ImBlackPeter</v>
      </c>
      <c r="B15744" s="65"/>
    </row>
    <row r="15745" spans="1:2" x14ac:dyDescent="0.25">
      <c r="A15745" s="64" t="str">
        <f>HYPERLINK("http://www.twitter.com/CharactrDesignr", "CharactrDesignr")</f>
        <v>CharactrDesignr</v>
      </c>
      <c r="B15745" s="65"/>
    </row>
    <row r="15746" spans="1:2" x14ac:dyDescent="0.25">
      <c r="A15746" s="64" t="str">
        <f>HYPERLINK("http://www.twitter.com/GraemeWSmith", "GraemeWSmith")</f>
        <v>GraemeWSmith</v>
      </c>
      <c r="B15746" s="65" t="s">
        <v>5415</v>
      </c>
    </row>
    <row r="15747" spans="1:2" x14ac:dyDescent="0.25">
      <c r="A15747" s="64" t="str">
        <f>HYPERLINK("http://www.twitter.com/raintreedrive", "raintreedrive")</f>
        <v>raintreedrive</v>
      </c>
      <c r="B15747" s="65" t="s">
        <v>4273</v>
      </c>
    </row>
    <row r="15748" spans="1:2" x14ac:dyDescent="0.25">
      <c r="A15748" s="64" t="str">
        <f>HYPERLINK("http://www.twitter.com/Crafty_Vali", "Crafty_Vali")</f>
        <v>Crafty_Vali</v>
      </c>
      <c r="B15748" s="65"/>
    </row>
    <row r="15749" spans="1:2" x14ac:dyDescent="0.25">
      <c r="A15749" s="64" t="str">
        <f>HYPERLINK("http://www.twitter.com/SpeedOfSoundUK", "SpeedOfSoundUK")</f>
        <v>SpeedOfSoundUK</v>
      </c>
      <c r="B15749" s="65"/>
    </row>
    <row r="15750" spans="1:2" x14ac:dyDescent="0.25">
      <c r="A15750" s="64" t="str">
        <f>HYPERLINK("http://www.twitter.com/SwannayBrewery", "SwannayBrewery")</f>
        <v>SwannayBrewery</v>
      </c>
      <c r="B15750" s="65" t="s">
        <v>20</v>
      </c>
    </row>
    <row r="15751" spans="1:2" x14ac:dyDescent="0.25">
      <c r="A15751" s="64" t="str">
        <f>HYPERLINK("http://www.twitter.com/arsewizard", "arsewizard")</f>
        <v>arsewizard</v>
      </c>
      <c r="B15751" s="65" t="s">
        <v>2007</v>
      </c>
    </row>
    <row r="15752" spans="1:2" x14ac:dyDescent="0.25">
      <c r="A15752" s="64" t="str">
        <f>HYPERLINK("http://www.twitter.com/phamvannamlsk4", "phamvannamlsk4")</f>
        <v>phamvannamlsk4</v>
      </c>
      <c r="B15752" s="65"/>
    </row>
    <row r="15753" spans="1:2" x14ac:dyDescent="0.25">
      <c r="A15753" s="64" t="str">
        <f>HYPERLINK("http://www.twitter.com/duttonwrites", "duttonwrites")</f>
        <v>duttonwrites</v>
      </c>
      <c r="B15753" s="65"/>
    </row>
    <row r="15754" spans="1:2" x14ac:dyDescent="0.25">
      <c r="A15754" s="64" t="str">
        <f>HYPERLINK("http://www.twitter.com/happylilcoo", "happylilcoo")</f>
        <v>happylilcoo</v>
      </c>
      <c r="B15754" s="65" t="s">
        <v>4702</v>
      </c>
    </row>
    <row r="15755" spans="1:2" x14ac:dyDescent="0.25">
      <c r="A15755" s="64" t="str">
        <f>HYPERLINK("http://www.twitter.com/powellmania", "powellmania")</f>
        <v>powellmania</v>
      </c>
      <c r="B15755" s="65"/>
    </row>
    <row r="15756" spans="1:2" x14ac:dyDescent="0.25">
      <c r="A15756" s="64" t="str">
        <f>HYPERLINK("http://www.twitter.com/SufPubLib", "SufPubLib")</f>
        <v>SufPubLib</v>
      </c>
      <c r="B15756" s="65" t="s">
        <v>8603</v>
      </c>
    </row>
    <row r="15757" spans="1:2" x14ac:dyDescent="0.25">
      <c r="A15757" s="64" t="str">
        <f>HYPERLINK("http://www.twitter.com/Siobhy_83", "Siobhy_83")</f>
        <v>Siobhy_83</v>
      </c>
      <c r="B15757" s="65" t="s">
        <v>8604</v>
      </c>
    </row>
    <row r="15758" spans="1:2" x14ac:dyDescent="0.25">
      <c r="A15758" s="64" t="str">
        <f>HYPERLINK("http://www.twitter.com/PerthAmboyPL", "PerthAmboyPL")</f>
        <v>PerthAmboyPL</v>
      </c>
      <c r="B15758" s="65" t="s">
        <v>8379</v>
      </c>
    </row>
    <row r="15759" spans="1:2" x14ac:dyDescent="0.25">
      <c r="A15759" s="64" t="str">
        <f>HYPERLINK("http://www.twitter.com/BookSizzle", "BookSizzle")</f>
        <v>BookSizzle</v>
      </c>
      <c r="B15759" s="65" t="s">
        <v>4149</v>
      </c>
    </row>
    <row r="15760" spans="1:2" x14ac:dyDescent="0.25">
      <c r="A15760" s="64" t="str">
        <f>HYPERLINK("http://www.twitter.com/RoseRed345", "RoseRed345")</f>
        <v>RoseRed345</v>
      </c>
      <c r="B15760" s="65"/>
    </row>
    <row r="15761" spans="1:2" x14ac:dyDescent="0.25">
      <c r="A15761" s="64" t="str">
        <f>HYPERLINK("http://www.twitter.com/alisonmorgannn", "alisonmorgannn")</f>
        <v>alisonmorgannn</v>
      </c>
      <c r="B15761" s="65" t="s">
        <v>6117</v>
      </c>
    </row>
    <row r="15762" spans="1:2" x14ac:dyDescent="0.25">
      <c r="A15762" s="64" t="str">
        <f>HYPERLINK("http://www.twitter.com/Minerva452010", "Minerva452010")</f>
        <v>Minerva452010</v>
      </c>
      <c r="B15762" s="65"/>
    </row>
    <row r="15763" spans="1:2" x14ac:dyDescent="0.25">
      <c r="A15763" s="64" t="str">
        <f>HYPERLINK("http://www.twitter.com/ShuggyJones", "ShuggyJones")</f>
        <v>ShuggyJones</v>
      </c>
      <c r="B15763" s="65"/>
    </row>
    <row r="15764" spans="1:2" x14ac:dyDescent="0.25">
      <c r="A15764" s="64" t="str">
        <f>HYPERLINK("http://www.twitter.com/SarahKNorquoy", "SarahKNorquoy")</f>
        <v>SarahKNorquoy</v>
      </c>
      <c r="B15764" s="65" t="s">
        <v>8605</v>
      </c>
    </row>
    <row r="15765" spans="1:2" x14ac:dyDescent="0.25">
      <c r="A15765" s="64" t="str">
        <f>HYPERLINK("http://www.twitter.com/oyvinddidrik", "oyvinddidrik")</f>
        <v>oyvinddidrik</v>
      </c>
      <c r="B15765" s="65" t="s">
        <v>6709</v>
      </c>
    </row>
    <row r="15766" spans="1:2" x14ac:dyDescent="0.25">
      <c r="A15766" s="64" t="str">
        <f>HYPERLINK("http://www.twitter.com/IntotheWoods_UK", "IntotheWoods_UK")</f>
        <v>IntotheWoods_UK</v>
      </c>
      <c r="B15766" s="65" t="s">
        <v>8606</v>
      </c>
    </row>
    <row r="15767" spans="1:2" x14ac:dyDescent="0.25">
      <c r="A15767" s="64" t="str">
        <f>HYPERLINK("http://www.twitter.com/ALMillar", "ALMillar")</f>
        <v>ALMillar</v>
      </c>
      <c r="B15767" s="65"/>
    </row>
    <row r="15768" spans="1:2" x14ac:dyDescent="0.25">
      <c r="A15768" s="64" t="str">
        <f>HYPERLINK("http://www.twitter.com/HorrieFarm", "HorrieFarm")</f>
        <v>HorrieFarm</v>
      </c>
      <c r="B15768" s="65" t="s">
        <v>8607</v>
      </c>
    </row>
    <row r="15769" spans="1:2" x14ac:dyDescent="0.25">
      <c r="A15769" s="64" t="str">
        <f>HYPERLINK("http://www.twitter.com/WalsallCouncil", "WalsallCouncil")</f>
        <v>WalsallCouncil</v>
      </c>
      <c r="B15769" s="65" t="s">
        <v>8608</v>
      </c>
    </row>
    <row r="15770" spans="1:2" x14ac:dyDescent="0.25">
      <c r="A15770" s="64" t="str">
        <f>HYPERLINK("http://www.twitter.com/AntonyDunnPoet", "AntonyDunnPoet")</f>
        <v>AntonyDunnPoet</v>
      </c>
      <c r="B15770" s="65" t="s">
        <v>2774</v>
      </c>
    </row>
    <row r="15771" spans="1:2" x14ac:dyDescent="0.25">
      <c r="A15771" s="64" t="str">
        <f>HYPERLINK("http://www.twitter.com/BeccaB00S", "BeccaB00S")</f>
        <v>BeccaB00S</v>
      </c>
      <c r="B15771" s="65"/>
    </row>
    <row r="15772" spans="1:2" x14ac:dyDescent="0.25">
      <c r="A15772" s="64" t="str">
        <f>HYPERLINK("http://www.twitter.com/MMyoungwriters", "MMyoungwriters")</f>
        <v>MMyoungwriters</v>
      </c>
      <c r="B15772" s="65" t="s">
        <v>8609</v>
      </c>
    </row>
    <row r="15773" spans="1:2" x14ac:dyDescent="0.25">
      <c r="A15773" s="64" t="str">
        <f>HYPERLINK("http://www.twitter.com/JoMMickle", "JoMMickle")</f>
        <v>JoMMickle</v>
      </c>
      <c r="B15773" s="65" t="s">
        <v>8610</v>
      </c>
    </row>
    <row r="15774" spans="1:2" x14ac:dyDescent="0.25">
      <c r="A15774" s="64" t="str">
        <f>HYPERLINK("http://www.twitter.com/dickie_nicola", "dickie_nicola")</f>
        <v>dickie_nicola</v>
      </c>
      <c r="B15774" s="65" t="s">
        <v>6272</v>
      </c>
    </row>
    <row r="15775" spans="1:2" x14ac:dyDescent="0.25">
      <c r="A15775" s="64" t="str">
        <f>HYPERLINK("http://www.twitter.com/ThymianZimt", "ThymianZimt")</f>
        <v>ThymianZimt</v>
      </c>
      <c r="B15775" s="65"/>
    </row>
    <row r="15776" spans="1:2" x14ac:dyDescent="0.25">
      <c r="A15776" s="64" t="str">
        <f>HYPERLINK("http://www.twitter.com/TimotheusRossie", "TimotheusRossie")</f>
        <v>TimotheusRossie</v>
      </c>
      <c r="B15776" s="65" t="s">
        <v>8611</v>
      </c>
    </row>
    <row r="15777" spans="1:2" x14ac:dyDescent="0.25">
      <c r="A15777" s="64" t="str">
        <f>HYPERLINK("http://www.twitter.com/MariaNur12", "MariaNur12")</f>
        <v>MariaNur12</v>
      </c>
      <c r="B15777" s="65" t="s">
        <v>8612</v>
      </c>
    </row>
    <row r="15778" spans="1:2" x14ac:dyDescent="0.25">
      <c r="A15778" s="64" t="str">
        <f>HYPERLINK("http://www.twitter.com/juliaatlarge", "juliaatlarge")</f>
        <v>juliaatlarge</v>
      </c>
      <c r="B15778" s="65"/>
    </row>
    <row r="15779" spans="1:2" x14ac:dyDescent="0.25">
      <c r="A15779" s="64" t="str">
        <f>HYPERLINK("http://www.twitter.com/lolz1962", "lolz1962")</f>
        <v>lolz1962</v>
      </c>
      <c r="B15779" s="65" t="s">
        <v>8613</v>
      </c>
    </row>
    <row r="15780" spans="1:2" x14ac:dyDescent="0.25">
      <c r="A15780" s="64" t="str">
        <f>HYPERLINK("http://www.twitter.com/bxa_library", "bxa_library")</f>
        <v>bxa_library</v>
      </c>
      <c r="B15780" s="65" t="s">
        <v>2991</v>
      </c>
    </row>
    <row r="15781" spans="1:2" x14ac:dyDescent="0.25">
      <c r="A15781" s="64" t="str">
        <f>HYPERLINK("http://www.twitter.com/OpenSecret5", "OpenSecret5")</f>
        <v>OpenSecret5</v>
      </c>
      <c r="B15781" s="65" t="s">
        <v>2303</v>
      </c>
    </row>
    <row r="15782" spans="1:2" x14ac:dyDescent="0.25">
      <c r="A15782" s="64" t="str">
        <f>HYPERLINK("http://www.twitter.com/oicouncil", "oicouncil")</f>
        <v>oicouncil</v>
      </c>
      <c r="B15782" s="65" t="s">
        <v>20</v>
      </c>
    </row>
    <row r="15783" spans="1:2" x14ac:dyDescent="0.25">
      <c r="A15783" s="64" t="str">
        <f>HYPERLINK("http://www.twitter.com/katie_heerlyn", "katie_heerlyn")</f>
        <v>katie_heerlyn</v>
      </c>
      <c r="B15783" s="65"/>
    </row>
    <row r="15784" spans="1:2" x14ac:dyDescent="0.25">
      <c r="A15784" s="64" t="str">
        <f>HYPERLINK("http://www.twitter.com/pottergryffind", "pottergryffind")</f>
        <v>pottergryffind</v>
      </c>
      <c r="B15784" s="65" t="s">
        <v>4339</v>
      </c>
    </row>
    <row r="15785" spans="1:2" x14ac:dyDescent="0.25">
      <c r="A15785" s="64" t="str">
        <f>HYPERLINK("http://www.twitter.com/SSiennac", "SSiennac")</f>
        <v>SSiennac</v>
      </c>
      <c r="B15785" s="65"/>
    </row>
    <row r="15786" spans="1:2" x14ac:dyDescent="0.25">
      <c r="A15786" s="64" t="str">
        <f>HYPERLINK("http://www.twitter.com/grarose1", "grarose1")</f>
        <v>grarose1</v>
      </c>
      <c r="B15786" s="65" t="s">
        <v>8614</v>
      </c>
    </row>
    <row r="15787" spans="1:2" x14ac:dyDescent="0.25">
      <c r="A15787" s="64" t="str">
        <f>HYPERLINK("http://www.twitter.com/SUSlearninghub", "SUSlearninghub")</f>
        <v>SUSlearninghub</v>
      </c>
      <c r="B15787" s="65"/>
    </row>
    <row r="15788" spans="1:2" x14ac:dyDescent="0.25">
      <c r="A15788" s="64" t="str">
        <f>HYPERLINK("http://www.twitter.com/registrarism", "registrarism")</f>
        <v>registrarism</v>
      </c>
      <c r="B15788" s="65" t="s">
        <v>8615</v>
      </c>
    </row>
    <row r="15789" spans="1:2" x14ac:dyDescent="0.25">
      <c r="A15789" s="64" t="str">
        <f>HYPERLINK("http://www.twitter.com/Riddlescourt", "Riddlescourt")</f>
        <v>Riddlescourt</v>
      </c>
      <c r="B15789" s="65" t="s">
        <v>24</v>
      </c>
    </row>
    <row r="15790" spans="1:2" x14ac:dyDescent="0.25">
      <c r="A15790" s="64" t="str">
        <f>HYPERLINK("http://www.twitter.com/JoyConkey", "JoyConkey")</f>
        <v>JoyConkey</v>
      </c>
      <c r="B15790" s="65"/>
    </row>
    <row r="15791" spans="1:2" x14ac:dyDescent="0.25">
      <c r="A15791" s="64" t="str">
        <f>HYPERLINK("http://www.twitter.com/Annereman", "Annereman")</f>
        <v>Annereman</v>
      </c>
      <c r="B15791" s="65"/>
    </row>
    <row r="15792" spans="1:2" x14ac:dyDescent="0.25">
      <c r="A15792" s="64" t="str">
        <f>HYPERLINK("http://www.twitter.com/gaby_calvert", "gaby_calvert")</f>
        <v>gaby_calvert</v>
      </c>
      <c r="B15792" s="65" t="s">
        <v>24</v>
      </c>
    </row>
    <row r="15793" spans="1:2" x14ac:dyDescent="0.25">
      <c r="A15793" s="64" t="str">
        <f>HYPERLINK("http://www.twitter.com/jmkearneynz", "jmkearneynz")</f>
        <v>jmkearneynz</v>
      </c>
      <c r="B15793" s="65" t="s">
        <v>4441</v>
      </c>
    </row>
    <row r="15794" spans="1:2" x14ac:dyDescent="0.25">
      <c r="A15794" s="64" t="str">
        <f>HYPERLINK("http://www.twitter.com/statelibrarynsw", "statelibrarynsw")</f>
        <v>statelibrarynsw</v>
      </c>
      <c r="B15794" s="65" t="s">
        <v>3817</v>
      </c>
    </row>
    <row r="15795" spans="1:2" x14ac:dyDescent="0.25">
      <c r="A15795" s="64" t="str">
        <f>HYPERLINK("http://www.twitter.com/iamhilarym", "iamhilarym")</f>
        <v>iamhilarym</v>
      </c>
      <c r="B15795" s="65" t="s">
        <v>4436</v>
      </c>
    </row>
    <row r="15796" spans="1:2" x14ac:dyDescent="0.25">
      <c r="A15796" s="64" t="str">
        <f>HYPERLINK("http://www.twitter.com/JulianBunning", "JulianBunning")</f>
        <v>JulianBunning</v>
      </c>
      <c r="B15796" s="65"/>
    </row>
    <row r="15797" spans="1:2" x14ac:dyDescent="0.25">
      <c r="A15797" s="64" t="str">
        <f>HYPERLINK("http://www.twitter.com/EricStrachan", "EricStrachan")</f>
        <v>EricStrachan</v>
      </c>
      <c r="B15797" s="65" t="s">
        <v>115</v>
      </c>
    </row>
    <row r="15798" spans="1:2" x14ac:dyDescent="0.25">
      <c r="A15798" s="64" t="str">
        <f>HYPERLINK("http://www.twitter.com/rosiesash", "rosiesash")</f>
        <v>rosiesash</v>
      </c>
      <c r="B15798" s="65"/>
    </row>
    <row r="15799" spans="1:2" x14ac:dyDescent="0.25">
      <c r="A15799" s="64" t="str">
        <f>HYPERLINK("http://www.twitter.com/FLLCsheffield", "FLLCsheffield")</f>
        <v>FLLCsheffield</v>
      </c>
      <c r="B15799" s="65" t="s">
        <v>219</v>
      </c>
    </row>
    <row r="15800" spans="1:2" x14ac:dyDescent="0.25">
      <c r="A15800" s="64" t="str">
        <f>HYPERLINK("http://www.twitter.com/emiliedotkm", "emiliedotkm")</f>
        <v>emiliedotkm</v>
      </c>
      <c r="B15800" s="65" t="s">
        <v>318</v>
      </c>
    </row>
    <row r="15801" spans="1:2" x14ac:dyDescent="0.25">
      <c r="A15801" s="64" t="str">
        <f>HYPERLINK("http://www.twitter.com/AliCamera", "AliCamera")</f>
        <v>AliCamera</v>
      </c>
      <c r="B15801" s="65"/>
    </row>
    <row r="15802" spans="1:2" x14ac:dyDescent="0.25">
      <c r="A15802" s="64" t="str">
        <f>HYPERLINK("http://www.twitter.com/SunnySideArtUK", "SunnySideArtUK")</f>
        <v>SunnySideArtUK</v>
      </c>
      <c r="B15802" s="65" t="s">
        <v>8616</v>
      </c>
    </row>
    <row r="15803" spans="1:2" x14ac:dyDescent="0.25">
      <c r="A15803" s="64" t="str">
        <f>HYPERLINK("http://www.twitter.com/lindacedwards", "lindacedwards")</f>
        <v>lindacedwards</v>
      </c>
      <c r="B15803" s="65" t="s">
        <v>8617</v>
      </c>
    </row>
    <row r="15804" spans="1:2" x14ac:dyDescent="0.25">
      <c r="A15804" s="64" t="str">
        <f>HYPERLINK("http://www.twitter.com/CheraKimiko", "CheraKimiko")</f>
        <v>CheraKimiko</v>
      </c>
      <c r="B15804" s="65" t="s">
        <v>7165</v>
      </c>
    </row>
    <row r="15805" spans="1:2" x14ac:dyDescent="0.25">
      <c r="A15805" s="64" t="str">
        <f>HYPERLINK("http://www.twitter.com/jinglinglane", "jinglinglane")</f>
        <v>jinglinglane</v>
      </c>
      <c r="B15805" s="65" t="s">
        <v>1417</v>
      </c>
    </row>
    <row r="15806" spans="1:2" x14ac:dyDescent="0.25">
      <c r="A15806" s="64" t="str">
        <f>HYPERLINK("http://www.twitter.com/pamela_logue", "pamela_logue")</f>
        <v>pamela_logue</v>
      </c>
      <c r="B15806" s="65" t="s">
        <v>5384</v>
      </c>
    </row>
    <row r="15807" spans="1:2" x14ac:dyDescent="0.25">
      <c r="A15807" s="64" t="str">
        <f>HYPERLINK("http://www.twitter.com/BenjiAlpha", "BenjiAlpha")</f>
        <v>BenjiAlpha</v>
      </c>
      <c r="B15807" s="65" t="s">
        <v>8618</v>
      </c>
    </row>
    <row r="15808" spans="1:2" x14ac:dyDescent="0.25">
      <c r="A15808" s="64" t="str">
        <f>HYPERLINK("http://www.twitter.com/BruceandidaIda", "BruceandidaIda")</f>
        <v>BruceandidaIda</v>
      </c>
      <c r="B15808" s="65"/>
    </row>
    <row r="15809" spans="1:2" x14ac:dyDescent="0.25">
      <c r="A15809" s="64" t="str">
        <f>HYPERLINK("http://www.twitter.com/CormackMoira", "CormackMoira")</f>
        <v>CormackMoira</v>
      </c>
      <c r="B15809" s="65" t="s">
        <v>517</v>
      </c>
    </row>
    <row r="15810" spans="1:2" x14ac:dyDescent="0.25">
      <c r="A15810" s="64" t="str">
        <f>HYPERLINK("http://www.twitter.com/StKildaCentre", "StKildaCentre")</f>
        <v>StKildaCentre</v>
      </c>
      <c r="B15810" s="65" t="s">
        <v>8619</v>
      </c>
    </row>
    <row r="15811" spans="1:2" x14ac:dyDescent="0.25">
      <c r="A15811" s="64" t="str">
        <f>HYPERLINK("http://www.twitter.com/carinaincendio", "carinaincendio")</f>
        <v>carinaincendio</v>
      </c>
      <c r="B15811" s="65" t="s">
        <v>8620</v>
      </c>
    </row>
    <row r="15812" spans="1:2" x14ac:dyDescent="0.25">
      <c r="A15812" s="64" t="str">
        <f>HYPERLINK("http://www.twitter.com/TheDrob_", "TheDrob_")</f>
        <v>TheDrob_</v>
      </c>
      <c r="B15812" s="65" t="s">
        <v>3948</v>
      </c>
    </row>
    <row r="15813" spans="1:2" x14ac:dyDescent="0.25">
      <c r="A15813" s="64" t="str">
        <f>HYPERLINK("http://www.twitter.com/ewhitelock", "ewhitelock")</f>
        <v>ewhitelock</v>
      </c>
      <c r="B15813" s="65"/>
    </row>
    <row r="15814" spans="1:2" x14ac:dyDescent="0.25">
      <c r="A15814" s="64" t="str">
        <f>HYPERLINK("http://www.twitter.com/ZeutschelUKLtd", "ZeutschelUKLtd")</f>
        <v>ZeutschelUKLtd</v>
      </c>
      <c r="B15814" s="65" t="s">
        <v>8621</v>
      </c>
    </row>
    <row r="15815" spans="1:2" x14ac:dyDescent="0.25">
      <c r="A15815" s="64" t="str">
        <f>HYPERLINK("http://www.twitter.com/suzi187", "suzi187")</f>
        <v>suzi187</v>
      </c>
      <c r="B15815" s="65"/>
    </row>
    <row r="15816" spans="1:2" x14ac:dyDescent="0.25">
      <c r="A15816" s="64" t="str">
        <f>HYPERLINK("http://www.twitter.com/knittingtastic", "knittingtastic")</f>
        <v>knittingtastic</v>
      </c>
      <c r="B15816" s="65" t="s">
        <v>8622</v>
      </c>
    </row>
    <row r="15817" spans="1:2" x14ac:dyDescent="0.25">
      <c r="A15817" s="64" t="str">
        <f>HYPERLINK("http://www.twitter.com/GabrielleBarnby", "GabrielleBarnby")</f>
        <v>GabrielleBarnby</v>
      </c>
      <c r="B15817" s="65" t="s">
        <v>20</v>
      </c>
    </row>
    <row r="15818" spans="1:2" x14ac:dyDescent="0.25">
      <c r="A15818" s="64" t="str">
        <f>HYPERLINK("http://www.twitter.com/sparky2kk", "sparky2kk")</f>
        <v>sparky2kk</v>
      </c>
      <c r="B15818" s="65"/>
    </row>
    <row r="15819" spans="1:2" x14ac:dyDescent="0.25">
      <c r="A15819" s="64" t="str">
        <f>HYPERLINK("http://www.twitter.com/mariavigers", "mariavigers")</f>
        <v>mariavigers</v>
      </c>
      <c r="B15819" s="65" t="s">
        <v>24</v>
      </c>
    </row>
    <row r="15820" spans="1:2" x14ac:dyDescent="0.25">
      <c r="A15820" s="64" t="str">
        <f>HYPERLINK("http://www.twitter.com/Glass_Beaker", "Glass_Beaker")</f>
        <v>Glass_Beaker</v>
      </c>
      <c r="B15820" s="65"/>
    </row>
    <row r="15821" spans="1:2" x14ac:dyDescent="0.25">
      <c r="A15821" s="64" t="str">
        <f>HYPERLINK("http://www.twitter.com/global_ginger", "global_ginger")</f>
        <v>global_ginger</v>
      </c>
      <c r="B15821" s="65" t="s">
        <v>8623</v>
      </c>
    </row>
    <row r="15822" spans="1:2" x14ac:dyDescent="0.25">
      <c r="A15822" s="64" t="str">
        <f>HYPERLINK("http://www.twitter.com/eptliaxalli", "eptliaxalli")</f>
        <v>eptliaxalli</v>
      </c>
      <c r="B15822" s="65"/>
    </row>
    <row r="15823" spans="1:2" x14ac:dyDescent="0.25">
      <c r="A15823" s="64" t="str">
        <f>HYPERLINK("http://www.twitter.com/rosetotheanne", "rosetotheanne")</f>
        <v>rosetotheanne</v>
      </c>
      <c r="B15823" s="65" t="s">
        <v>4359</v>
      </c>
    </row>
    <row r="15824" spans="1:2" x14ac:dyDescent="0.25">
      <c r="A15824" s="64" t="str">
        <f>HYPERLINK("http://www.twitter.com/kylesut76181691", "kylesut76181691")</f>
        <v>kylesut76181691</v>
      </c>
      <c r="B15824" s="65"/>
    </row>
    <row r="15825" spans="1:2" x14ac:dyDescent="0.25">
      <c r="A15825" s="64" t="str">
        <f>HYPERLINK("http://www.twitter.com/Ben_Pippin1", "Ben_Pippin1")</f>
        <v>Ben_Pippin1</v>
      </c>
      <c r="B15825" s="65"/>
    </row>
    <row r="15826" spans="1:2" x14ac:dyDescent="0.25">
      <c r="A15826" s="64" t="str">
        <f>HYPERLINK("http://www.twitter.com/CoachingGemma", "CoachingGemma")</f>
        <v>CoachingGemma</v>
      </c>
      <c r="B15826" s="65" t="s">
        <v>8624</v>
      </c>
    </row>
    <row r="15827" spans="1:2" x14ac:dyDescent="0.25">
      <c r="A15827" s="64" t="str">
        <f>HYPERLINK("http://www.twitter.com/portsalut888", "portsalut888")</f>
        <v>portsalut888</v>
      </c>
      <c r="B15827" s="65" t="s">
        <v>8625</v>
      </c>
    </row>
    <row r="15828" spans="1:2" x14ac:dyDescent="0.25">
      <c r="A15828" s="64" t="str">
        <f>HYPERLINK("http://www.twitter.com/rreitak", "rreitak")</f>
        <v>rreitak</v>
      </c>
      <c r="B15828" s="65"/>
    </row>
    <row r="15829" spans="1:2" x14ac:dyDescent="0.25">
      <c r="A15829" s="64" t="str">
        <f>HYPERLINK("http://www.twitter.com/LibrariesEU", "LibrariesEU")</f>
        <v>LibrariesEU</v>
      </c>
      <c r="B15829" s="65" t="s">
        <v>4829</v>
      </c>
    </row>
    <row r="15830" spans="1:2" x14ac:dyDescent="0.25">
      <c r="A15830" s="64" t="str">
        <f>HYPERLINK("http://www.twitter.com/advpetro2015", "advpetro2015")</f>
        <v>advpetro2015</v>
      </c>
      <c r="B15830" s="65" t="s">
        <v>477</v>
      </c>
    </row>
    <row r="15831" spans="1:2" x14ac:dyDescent="0.25">
      <c r="A15831" s="64" t="str">
        <f>HYPERLINK("http://www.twitter.com/LunaMinerva_", "LunaMinerva_")</f>
        <v>LunaMinerva_</v>
      </c>
      <c r="B15831" s="65"/>
    </row>
    <row r="15832" spans="1:2" x14ac:dyDescent="0.25">
      <c r="A15832" s="64" t="str">
        <f>HYPERLINK("http://www.twitter.com/Shouldbee87", "Shouldbee87")</f>
        <v>Shouldbee87</v>
      </c>
      <c r="B15832" s="65" t="s">
        <v>8626</v>
      </c>
    </row>
    <row r="15833" spans="1:2" x14ac:dyDescent="0.25">
      <c r="A15833" s="64" t="str">
        <f>HYPERLINK("http://www.twitter.com/TMarsterson", "TMarsterson")</f>
        <v>TMarsterson</v>
      </c>
      <c r="B15833" s="65"/>
    </row>
    <row r="15834" spans="1:2" x14ac:dyDescent="0.25">
      <c r="A15834" s="64" t="str">
        <f>HYPERLINK("http://www.twitter.com/CamillaElworthy", "CamillaElworthy")</f>
        <v>CamillaElworthy</v>
      </c>
      <c r="B15834" s="65" t="s">
        <v>8627</v>
      </c>
    </row>
    <row r="15835" spans="1:2" x14ac:dyDescent="0.25">
      <c r="A15835" s="64" t="str">
        <f>HYPERLINK("http://www.twitter.com/emilybain0", "emilybain0")</f>
        <v>emilybain0</v>
      </c>
      <c r="B15835" s="65"/>
    </row>
    <row r="15836" spans="1:2" x14ac:dyDescent="0.25">
      <c r="A15836" s="64" t="str">
        <f>HYPERLINK("http://www.twitter.com/HistEnvScot", "HistEnvScot")</f>
        <v>HistEnvScot</v>
      </c>
      <c r="B15836" s="65" t="s">
        <v>2007</v>
      </c>
    </row>
    <row r="15837" spans="1:2" x14ac:dyDescent="0.25">
      <c r="A15837" s="64" t="str">
        <f>HYPERLINK("http://www.twitter.com/SStevensonOlds", "SStevensonOlds")</f>
        <v>SStevensonOlds</v>
      </c>
      <c r="B15837" s="65" t="s">
        <v>8628</v>
      </c>
    </row>
    <row r="15838" spans="1:2" x14ac:dyDescent="0.25">
      <c r="A15838" s="64" t="str">
        <f>HYPERLINK("http://www.twitter.com/RedbournLibrary", "RedbournLibrary")</f>
        <v>RedbournLibrary</v>
      </c>
      <c r="B15838" s="65" t="s">
        <v>3116</v>
      </c>
    </row>
    <row r="15839" spans="1:2" x14ac:dyDescent="0.25">
      <c r="A15839" s="64" t="str">
        <f>HYPERLINK("http://www.twitter.com/phangirlamy712", "phangirlamy712")</f>
        <v>phangirlamy712</v>
      </c>
      <c r="B15839" s="65"/>
    </row>
    <row r="15840" spans="1:2" x14ac:dyDescent="0.25">
      <c r="A15840" s="64" t="str">
        <f>HYPERLINK("http://www.twitter.com/hannahsampson21", "hannahsampson21")</f>
        <v>hannahsampson21</v>
      </c>
      <c r="B15840" s="65"/>
    </row>
    <row r="15841" spans="1:2" x14ac:dyDescent="0.25">
      <c r="A15841" s="64" t="str">
        <f>HYPERLINK("http://www.twitter.com/urbanreivers", "urbanreivers")</f>
        <v>urbanreivers</v>
      </c>
      <c r="B15841" s="65" t="s">
        <v>2007</v>
      </c>
    </row>
    <row r="15842" spans="1:2" x14ac:dyDescent="0.25">
      <c r="A15842" s="64" t="str">
        <f>HYPERLINK("http://www.twitter.com/Rakugal", "Rakugal")</f>
        <v>Rakugal</v>
      </c>
      <c r="B15842" s="65"/>
    </row>
    <row r="15843" spans="1:2" x14ac:dyDescent="0.25">
      <c r="A15843" s="64" t="str">
        <f>HYPERLINK("http://www.twitter.com/ICITOrkney", "ICITOrkney")</f>
        <v>ICITOrkney</v>
      </c>
      <c r="B15843" s="65" t="s">
        <v>4223</v>
      </c>
    </row>
    <row r="15844" spans="1:2" x14ac:dyDescent="0.25">
      <c r="A15844" s="64" t="str">
        <f>HYPERLINK("http://www.twitter.com/BayHouseLRC", "BayHouseLRC")</f>
        <v>BayHouseLRC</v>
      </c>
      <c r="B15844" s="65" t="s">
        <v>8629</v>
      </c>
    </row>
    <row r="15845" spans="1:2" x14ac:dyDescent="0.25">
      <c r="A15845" s="64" t="str">
        <f>HYPERLINK("http://www.twitter.com/obantweet", "obantweet")</f>
        <v>obantweet</v>
      </c>
      <c r="B15845" s="65" t="s">
        <v>8630</v>
      </c>
    </row>
    <row r="15846" spans="1:2" x14ac:dyDescent="0.25">
      <c r="A15846" s="64" t="str">
        <f>HYPERLINK("http://www.twitter.com/Cru_Rule", "Cru_Rule")</f>
        <v>Cru_Rule</v>
      </c>
      <c r="B15846" s="65" t="s">
        <v>8631</v>
      </c>
    </row>
    <row r="15847" spans="1:2" x14ac:dyDescent="0.25">
      <c r="A15847" s="64" t="str">
        <f>HYPERLINK("http://www.twitter.com/annaframe", "annaframe")</f>
        <v>annaframe</v>
      </c>
      <c r="B15847" s="65" t="s">
        <v>8632</v>
      </c>
    </row>
    <row r="15848" spans="1:2" x14ac:dyDescent="0.25">
      <c r="A15848" s="64" t="str">
        <f>HYPERLINK("http://www.twitter.com/EMusselle", "EMusselle")</f>
        <v>EMusselle</v>
      </c>
      <c r="B15848" s="65" t="s">
        <v>8633</v>
      </c>
    </row>
    <row r="15849" spans="1:2" x14ac:dyDescent="0.25">
      <c r="A15849" s="64" t="str">
        <f>HYPERLINK("http://www.twitter.com/EmoUrbanArt", "EmoUrbanArt")</f>
        <v>EmoUrbanArt</v>
      </c>
      <c r="B15849" s="65" t="s">
        <v>1490</v>
      </c>
    </row>
    <row r="15850" spans="1:2" x14ac:dyDescent="0.25">
      <c r="A15850" s="64" t="str">
        <f>HYPERLINK("http://www.twitter.com/fionasanderson8", "fionasanderson8")</f>
        <v>fionasanderson8</v>
      </c>
      <c r="B15850" s="65"/>
    </row>
    <row r="15851" spans="1:2" x14ac:dyDescent="0.25">
      <c r="A15851" s="64" t="str">
        <f>HYPERLINK("http://www.twitter.com/cinthakadissan1", "cinthakadissan1")</f>
        <v>cinthakadissan1</v>
      </c>
      <c r="B15851" s="65" t="s">
        <v>8634</v>
      </c>
    </row>
    <row r="15852" spans="1:2" x14ac:dyDescent="0.25">
      <c r="A15852" s="64" t="str">
        <f>HYPERLINK("http://www.twitter.com/sedgersara", "sedgersara")</f>
        <v>sedgersara</v>
      </c>
      <c r="B15852" s="65" t="s">
        <v>8635</v>
      </c>
    </row>
    <row r="15853" spans="1:2" x14ac:dyDescent="0.25">
      <c r="A15853" s="64" t="str">
        <f>HYPERLINK("http://www.twitter.com/rawroving1", "rawroving1")</f>
        <v>rawroving1</v>
      </c>
      <c r="B15853" s="65"/>
    </row>
    <row r="15854" spans="1:2" x14ac:dyDescent="0.25">
      <c r="A15854" s="64" t="str">
        <f>HYPERLINK("http://www.twitter.com/alex_stewart8", "alex_stewart8")</f>
        <v>alex_stewart8</v>
      </c>
      <c r="B15854" s="65" t="s">
        <v>8636</v>
      </c>
    </row>
    <row r="15855" spans="1:2" x14ac:dyDescent="0.25">
      <c r="A15855" s="64" t="str">
        <f>HYPERLINK("http://www.twitter.com/DianeLeslie11", "DianeLeslie11")</f>
        <v>DianeLeslie11</v>
      </c>
      <c r="B15855" s="65" t="s">
        <v>3773</v>
      </c>
    </row>
    <row r="15856" spans="1:2" x14ac:dyDescent="0.25">
      <c r="A15856" s="64" t="str">
        <f>HYPERLINK("http://www.twitter.com/KateFinchkova", "KateFinchkova")</f>
        <v>KateFinchkova</v>
      </c>
      <c r="B15856" s="65"/>
    </row>
    <row r="15857" spans="1:2" x14ac:dyDescent="0.25">
      <c r="A15857" s="64" t="str">
        <f>HYPERLINK("http://www.twitter.com/mrs_s_campbell", "mrs_s_campbell")</f>
        <v>mrs_s_campbell</v>
      </c>
      <c r="B15857" s="65"/>
    </row>
    <row r="15858" spans="1:2" x14ac:dyDescent="0.25">
      <c r="A15858" s="64" t="str">
        <f>HYPERLINK("http://www.twitter.com/LibraryBeret", "LibraryBeret")</f>
        <v>LibraryBeret</v>
      </c>
      <c r="B15858" s="65"/>
    </row>
    <row r="15859" spans="1:2" x14ac:dyDescent="0.25">
      <c r="A15859" s="64" t="str">
        <f>HYPERLINK("http://www.twitter.com/PierowallHotel", "PierowallHotel")</f>
        <v>PierowallHotel</v>
      </c>
      <c r="B15859" s="65" t="s">
        <v>8637</v>
      </c>
    </row>
    <row r="15860" spans="1:2" x14ac:dyDescent="0.25">
      <c r="A15860" s="64" t="str">
        <f>HYPERLINK("http://www.twitter.com/bpl_nh", "bpl_nh")</f>
        <v>bpl_nh</v>
      </c>
      <c r="B15860" s="65" t="s">
        <v>8638</v>
      </c>
    </row>
    <row r="15861" spans="1:2" x14ac:dyDescent="0.25">
      <c r="A15861" s="64" t="str">
        <f>HYPERLINK("http://www.twitter.com/lynwilson54", "lynwilson54")</f>
        <v>lynwilson54</v>
      </c>
      <c r="B15861" s="65"/>
    </row>
    <row r="15862" spans="1:2" x14ac:dyDescent="0.25">
      <c r="A15862" s="64" t="str">
        <f>HYPERLINK("http://www.twitter.com/CorduroyCheeks", "CorduroyCheeks")</f>
        <v>CorduroyCheeks</v>
      </c>
      <c r="B15862" s="65"/>
    </row>
    <row r="15863" spans="1:2" x14ac:dyDescent="0.25">
      <c r="A15863" s="64" t="str">
        <f>HYPERLINK("http://www.twitter.com/mcdabalo", "mcdabalo")</f>
        <v>mcdabalo</v>
      </c>
      <c r="B15863" s="65" t="s">
        <v>8639</v>
      </c>
    </row>
    <row r="15864" spans="1:2" x14ac:dyDescent="0.25">
      <c r="A15864" s="64" t="str">
        <f>HYPERLINK("http://www.twitter.com/Year2HillMead", "Year2HillMead")</f>
        <v>Year2HillMead</v>
      </c>
      <c r="B15864" s="65" t="s">
        <v>8640</v>
      </c>
    </row>
    <row r="15865" spans="1:2" x14ac:dyDescent="0.25">
      <c r="A15865" s="64" t="str">
        <f>HYPERLINK("http://www.twitter.com/GillianGreenEd", "GillianGreenEd")</f>
        <v>GillianGreenEd</v>
      </c>
      <c r="B15865" s="65" t="s">
        <v>8641</v>
      </c>
    </row>
    <row r="15866" spans="1:2" x14ac:dyDescent="0.25">
      <c r="A15866" s="64" t="str">
        <f>HYPERLINK("http://www.twitter.com/JulieR282", "JulieR282")</f>
        <v>JulieR282</v>
      </c>
      <c r="B15866" s="65"/>
    </row>
    <row r="15867" spans="1:2" x14ac:dyDescent="0.25">
      <c r="A15867" s="64" t="str">
        <f>HYPERLINK("http://www.twitter.com/SarahGrey19", "SarahGrey19")</f>
        <v>SarahGrey19</v>
      </c>
      <c r="B15867" s="65"/>
    </row>
    <row r="15868" spans="1:2" x14ac:dyDescent="0.25">
      <c r="A15868" s="64" t="str">
        <f>HYPERLINK("http://www.twitter.com/murdoch_jenny", "murdoch_jenny")</f>
        <v>murdoch_jenny</v>
      </c>
      <c r="B15868" s="65"/>
    </row>
    <row r="15869" spans="1:2" x14ac:dyDescent="0.25">
      <c r="A15869" s="64" t="str">
        <f>HYPERLINK("http://www.twitter.com/WorcLibrary", "WorcLibrary")</f>
        <v>WorcLibrary</v>
      </c>
      <c r="B15869" s="65" t="s">
        <v>1189</v>
      </c>
    </row>
    <row r="15870" spans="1:2" x14ac:dyDescent="0.25">
      <c r="A15870" s="64" t="str">
        <f>HYPERLINK("http://www.twitter.com/SlugYork", "SlugYork")</f>
        <v>SlugYork</v>
      </c>
      <c r="B15870" s="65" t="s">
        <v>8642</v>
      </c>
    </row>
    <row r="15871" spans="1:2" x14ac:dyDescent="0.25">
      <c r="A15871" s="64" t="str">
        <f>HYPERLINK("http://www.twitter.com/laurawishart9", "laurawishart9")</f>
        <v>laurawishart9</v>
      </c>
      <c r="B15871" s="65"/>
    </row>
    <row r="15872" spans="1:2" x14ac:dyDescent="0.25">
      <c r="A15872" s="64" t="str">
        <f>HYPERLINK("http://www.twitter.com/Che_L_Ecossais", "Che_L_Ecossais")</f>
        <v>Che_L_Ecossais</v>
      </c>
      <c r="B15872" s="65"/>
    </row>
    <row r="15873" spans="1:2" x14ac:dyDescent="0.25">
      <c r="A15873" s="64" t="str">
        <f>HYPERLINK("http://www.twitter.com/makemuseum", "makemuseum")</f>
        <v>makemuseum</v>
      </c>
      <c r="B15873" s="65" t="s">
        <v>4370</v>
      </c>
    </row>
    <row r="15874" spans="1:2" x14ac:dyDescent="0.25">
      <c r="A15874" s="64" t="str">
        <f>HYPERLINK("http://www.twitter.com/SVzMz", "SVzMz")</f>
        <v>SVzMz</v>
      </c>
      <c r="B15874" s="65" t="s">
        <v>8643</v>
      </c>
    </row>
    <row r="15875" spans="1:2" x14ac:dyDescent="0.25">
      <c r="A15875" s="64" t="str">
        <f>HYPERLINK("http://www.twitter.com/chosaengphil1", "chosaengphil1")</f>
        <v>chosaengphil1</v>
      </c>
      <c r="B15875" s="65"/>
    </row>
    <row r="15876" spans="1:2" x14ac:dyDescent="0.25">
      <c r="A15876" s="64" t="str">
        <f>HYPERLINK("http://www.twitter.com/cairngormhamper", "cairngormhamper")</f>
        <v>cairngormhamper</v>
      </c>
      <c r="B15876" s="65"/>
    </row>
    <row r="15877" spans="1:2" x14ac:dyDescent="0.25">
      <c r="A15877" s="64" t="str">
        <f>HYPERLINK("http://www.twitter.com/BookJo", "BookJo")</f>
        <v>BookJo</v>
      </c>
      <c r="B15877" s="65"/>
    </row>
    <row r="15878" spans="1:2" x14ac:dyDescent="0.25">
      <c r="A15878" s="64" t="str">
        <f>HYPERLINK("http://www.twitter.com/rosiegraham94", "rosiegraham94")</f>
        <v>rosiegraham94</v>
      </c>
      <c r="B15878" s="65" t="s">
        <v>487</v>
      </c>
    </row>
    <row r="15879" spans="1:2" x14ac:dyDescent="0.25">
      <c r="A15879" s="64" t="str">
        <f>HYPERLINK("http://www.twitter.com/CapOfReaders", "CapOfReaders")</f>
        <v>CapOfReaders</v>
      </c>
      <c r="B15879" s="65"/>
    </row>
    <row r="15880" spans="1:2" x14ac:dyDescent="0.25">
      <c r="A15880" s="64" t="str">
        <f>HYPERLINK("http://www.twitter.com/Southington_Lib", "Southington_Lib")</f>
        <v>Southington_Lib</v>
      </c>
      <c r="B15880" s="65" t="s">
        <v>8644</v>
      </c>
    </row>
    <row r="15881" spans="1:2" x14ac:dyDescent="0.25">
      <c r="A15881" s="64" t="str">
        <f>HYPERLINK("http://www.twitter.com/heatherabelles", "heatherabelles")</f>
        <v>heatherabelles</v>
      </c>
      <c r="B15881" s="65"/>
    </row>
    <row r="15882" spans="1:2" x14ac:dyDescent="0.25">
      <c r="A15882" s="64" t="str">
        <f>HYPERLINK("http://www.twitter.com/lan3y", "lan3y")</f>
        <v>lan3y</v>
      </c>
      <c r="B15882" s="65" t="s">
        <v>526</v>
      </c>
    </row>
    <row r="15883" spans="1:2" x14ac:dyDescent="0.25">
      <c r="A15883" s="64" t="str">
        <f>HYPERLINK("http://www.twitter.com/linesinsand2016", "linesinsand2016")</f>
        <v>linesinsand2016</v>
      </c>
      <c r="B15883" s="65" t="s">
        <v>318</v>
      </c>
    </row>
    <row r="15884" spans="1:2" x14ac:dyDescent="0.25">
      <c r="A15884" s="64" t="str">
        <f>HYPERLINK("http://www.twitter.com/LisaPrince21", "LisaPrince21")</f>
        <v>LisaPrince21</v>
      </c>
      <c r="B15884" s="65" t="s">
        <v>680</v>
      </c>
    </row>
    <row r="15885" spans="1:2" x14ac:dyDescent="0.25">
      <c r="A15885" s="64" t="str">
        <f>HYPERLINK("http://www.twitter.com/KeGaffney", "KeGaffney")</f>
        <v>KeGaffney</v>
      </c>
      <c r="B15885" s="65" t="s">
        <v>8645</v>
      </c>
    </row>
    <row r="15886" spans="1:2" x14ac:dyDescent="0.25">
      <c r="A15886" s="64" t="str">
        <f>HYPERLINK("http://www.twitter.com/lightlylumos", "lightlylumos")</f>
        <v>lightlylumos</v>
      </c>
      <c r="B15886" s="65"/>
    </row>
    <row r="15887" spans="1:2" x14ac:dyDescent="0.25">
      <c r="A15887" s="64" t="str">
        <f>HYPERLINK("http://www.twitter.com/Roobina", "Roobina")</f>
        <v>Roobina</v>
      </c>
      <c r="B15887" s="65" t="s">
        <v>477</v>
      </c>
    </row>
    <row r="15888" spans="1:2" x14ac:dyDescent="0.25">
      <c r="A15888" s="64" t="str">
        <f>HYPERLINK("http://www.twitter.com/FallaronLP", "FallaronLP")</f>
        <v>FallaronLP</v>
      </c>
      <c r="B15888" s="65" t="s">
        <v>4820</v>
      </c>
    </row>
    <row r="15889" spans="1:2" x14ac:dyDescent="0.25">
      <c r="A15889" s="64" t="str">
        <f>HYPERLINK("http://www.twitter.com/riski_sejati", "riski_sejati")</f>
        <v>riski_sejati</v>
      </c>
      <c r="B15889" s="65" t="s">
        <v>8646</v>
      </c>
    </row>
    <row r="15890" spans="1:2" x14ac:dyDescent="0.25">
      <c r="A15890" s="64" t="str">
        <f>HYPERLINK("http://www.twitter.com/BradfordMuseums", "BradfordMuseums")</f>
        <v>BradfordMuseums</v>
      </c>
      <c r="B15890" s="65" t="s">
        <v>5976</v>
      </c>
    </row>
    <row r="15891" spans="1:2" x14ac:dyDescent="0.25">
      <c r="A15891" s="64" t="str">
        <f>HYPERLINK("http://www.twitter.com/MandSHeritage", "MandSHeritage")</f>
        <v>MandSHeritage</v>
      </c>
      <c r="B15891" s="65" t="s">
        <v>2774</v>
      </c>
    </row>
    <row r="15892" spans="1:2" x14ac:dyDescent="0.25">
      <c r="A15892" s="64" t="str">
        <f>HYPERLINK("http://www.twitter.com/DoncasterWW1", "DoncasterWW1")</f>
        <v>DoncasterWW1</v>
      </c>
      <c r="B15892" s="65" t="s">
        <v>8647</v>
      </c>
    </row>
    <row r="15893" spans="1:2" x14ac:dyDescent="0.25">
      <c r="A15893" s="64" t="str">
        <f>HYPERLINK("http://www.twitter.com/Smcr13", "Smcr13")</f>
        <v>Smcr13</v>
      </c>
      <c r="B15893" s="65" t="s">
        <v>67</v>
      </c>
    </row>
    <row r="15894" spans="1:2" x14ac:dyDescent="0.25">
      <c r="A15894" s="64" t="str">
        <f>HYPERLINK("http://www.twitter.com/lizfmgreen", "lizfmgreen")</f>
        <v>lizfmgreen</v>
      </c>
      <c r="B15894" s="65"/>
    </row>
    <row r="15895" spans="1:2" x14ac:dyDescent="0.25">
      <c r="A15895" s="64" t="str">
        <f>HYPERLINK("http://www.twitter.com/EdNapLib", "EdNapLib")</f>
        <v>EdNapLib</v>
      </c>
      <c r="B15895" s="65" t="s">
        <v>24</v>
      </c>
    </row>
    <row r="15896" spans="1:2" x14ac:dyDescent="0.25">
      <c r="A15896" s="64" t="str">
        <f>HYPERLINK("http://www.twitter.com/RamsayShetland", "RamsayShetland")</f>
        <v>RamsayShetland</v>
      </c>
      <c r="B15896" s="65" t="s">
        <v>8648</v>
      </c>
    </row>
    <row r="15897" spans="1:2" x14ac:dyDescent="0.25">
      <c r="A15897" s="64" t="str">
        <f>HYPERLINK("http://www.twitter.com/SophieBuchan", "SophieBuchan")</f>
        <v>SophieBuchan</v>
      </c>
      <c r="B15897" s="65" t="s">
        <v>8649</v>
      </c>
    </row>
    <row r="15898" spans="1:2" x14ac:dyDescent="0.25">
      <c r="A15898" s="64" t="str">
        <f>HYPERLINK("http://www.twitter.com/ginny1904", "ginny1904")</f>
        <v>ginny1904</v>
      </c>
      <c r="B15898" s="65" t="s">
        <v>517</v>
      </c>
    </row>
    <row r="15899" spans="1:2" x14ac:dyDescent="0.25">
      <c r="A15899" s="64" t="str">
        <f>HYPERLINK("http://www.twitter.com/thespecbookshop", "thespecbookshop")</f>
        <v>thespecbookshop</v>
      </c>
      <c r="B15899" s="65" t="s">
        <v>138</v>
      </c>
    </row>
    <row r="15900" spans="1:2" x14ac:dyDescent="0.25">
      <c r="A15900" s="64" t="str">
        <f>HYPERLINK("http://www.twitter.com/carynphillipa", "carynphillipa")</f>
        <v>carynphillipa</v>
      </c>
      <c r="B15900" s="65"/>
    </row>
    <row r="15901" spans="1:2" x14ac:dyDescent="0.25">
      <c r="A15901" s="64" t="str">
        <f>HYPERLINK("http://www.twitter.com/WilleSuzanne", "WilleSuzanne")</f>
        <v>WilleSuzanne</v>
      </c>
      <c r="B15901" s="65"/>
    </row>
    <row r="15902" spans="1:2" x14ac:dyDescent="0.25">
      <c r="A15902" s="64" t="str">
        <f>HYPERLINK("http://www.twitter.com/KirstinShearer", "KirstinShearer")</f>
        <v>KirstinShearer</v>
      </c>
      <c r="B15902" s="65" t="s">
        <v>4327</v>
      </c>
    </row>
    <row r="15903" spans="1:2" x14ac:dyDescent="0.25">
      <c r="A15903" s="64" t="str">
        <f>HYPERLINK("http://www.twitter.com/clockworksunday", "clockworksunday")</f>
        <v>clockworksunday</v>
      </c>
      <c r="B15903" s="65" t="s">
        <v>2595</v>
      </c>
    </row>
    <row r="15904" spans="1:2" x14ac:dyDescent="0.25">
      <c r="A15904" s="64" t="str">
        <f>HYPERLINK("http://www.twitter.com/hector_pascals", "hector_pascals")</f>
        <v>hector_pascals</v>
      </c>
      <c r="B15904" s="65" t="s">
        <v>8650</v>
      </c>
    </row>
    <row r="15905" spans="1:2" x14ac:dyDescent="0.25">
      <c r="A15905" s="64" t="str">
        <f>HYPERLINK("http://www.twitter.com/GSiaton", "GSiaton")</f>
        <v>GSiaton</v>
      </c>
      <c r="B15905" s="65" t="s">
        <v>8651</v>
      </c>
    </row>
    <row r="15906" spans="1:2" x14ac:dyDescent="0.25">
      <c r="A15906" s="64" t="str">
        <f>HYPERLINK("http://www.twitter.com/nick241274", "nick241274")</f>
        <v>nick241274</v>
      </c>
      <c r="B15906" s="65"/>
    </row>
    <row r="15907" spans="1:2" x14ac:dyDescent="0.25">
      <c r="A15907" s="64" t="str">
        <f>HYPERLINK("http://www.twitter.com/Sarah_Boylan", "Sarah_Boylan")</f>
        <v>Sarah_Boylan</v>
      </c>
      <c r="B15907" s="65" t="s">
        <v>8446</v>
      </c>
    </row>
    <row r="15908" spans="1:2" x14ac:dyDescent="0.25">
      <c r="A15908" s="64" t="str">
        <f>HYPERLINK("http://www.twitter.com/foxat59", "foxat59")</f>
        <v>foxat59</v>
      </c>
      <c r="B15908" s="65"/>
    </row>
    <row r="15909" spans="1:2" x14ac:dyDescent="0.25">
      <c r="A15909" s="64" t="str">
        <f>HYPERLINK("http://www.twitter.com/brydoncheyney", "brydoncheyney")</f>
        <v>brydoncheyney</v>
      </c>
      <c r="B15909" s="65" t="s">
        <v>8652</v>
      </c>
    </row>
    <row r="15910" spans="1:2" x14ac:dyDescent="0.25">
      <c r="A15910" s="64" t="str">
        <f>HYPERLINK("http://www.twitter.com/_twittwoo_owl_", "_twittwoo_owl_")</f>
        <v>_twittwoo_owl_</v>
      </c>
      <c r="B15910" s="65" t="s">
        <v>8653</v>
      </c>
    </row>
    <row r="15911" spans="1:2" x14ac:dyDescent="0.25">
      <c r="A15911" s="64" t="str">
        <f>HYPERLINK("http://www.twitter.com/Cocoannwyl", "Cocoannwyl")</f>
        <v>Cocoannwyl</v>
      </c>
      <c r="B15911" s="65"/>
    </row>
    <row r="15912" spans="1:2" x14ac:dyDescent="0.25">
      <c r="A15912" s="64" t="str">
        <f>HYPERLINK("http://www.twitter.com/mujergala", "mujergala")</f>
        <v>mujergala</v>
      </c>
      <c r="B15912" s="65" t="s">
        <v>8654</v>
      </c>
    </row>
    <row r="15913" spans="1:2" x14ac:dyDescent="0.25">
      <c r="A15913" s="64" t="str">
        <f>HYPERLINK("http://www.twitter.com/lamyanders", "lamyanders")</f>
        <v>lamyanders</v>
      </c>
      <c r="B15913" s="65" t="s">
        <v>8655</v>
      </c>
    </row>
    <row r="15914" spans="1:2" x14ac:dyDescent="0.25">
      <c r="A15914" s="64" t="str">
        <f>HYPERLINK("http://www.twitter.com/DameEdnaEverage", "DameEdnaEverage")</f>
        <v>DameEdnaEverage</v>
      </c>
      <c r="B15914" s="65" t="s">
        <v>8656</v>
      </c>
    </row>
    <row r="15915" spans="1:2" x14ac:dyDescent="0.25">
      <c r="A15915" s="64" t="str">
        <f>HYPERLINK("http://www.twitter.com/markmc1", "markmc1")</f>
        <v>markmc1</v>
      </c>
      <c r="B15915" s="65" t="s">
        <v>8657</v>
      </c>
    </row>
    <row r="15916" spans="1:2" x14ac:dyDescent="0.25">
      <c r="A15916" s="64" t="str">
        <f>HYPERLINK("http://www.twitter.com/BassoonPorter", "BassoonPorter")</f>
        <v>BassoonPorter</v>
      </c>
      <c r="B15916" s="65" t="s">
        <v>8658</v>
      </c>
    </row>
    <row r="15917" spans="1:2" x14ac:dyDescent="0.25">
      <c r="A15917" s="64" t="str">
        <f>HYPERLINK("http://www.twitter.com/teaobsessor", "teaobsessor")</f>
        <v>teaobsessor</v>
      </c>
      <c r="B15917" s="65" t="s">
        <v>24</v>
      </c>
    </row>
    <row r="15918" spans="1:2" x14ac:dyDescent="0.25">
      <c r="A15918" s="64" t="str">
        <f>HYPERLINK("http://www.twitter.com/comptableavelo", "comptableavelo")</f>
        <v>comptableavelo</v>
      </c>
      <c r="B15918" s="65" t="s">
        <v>8659</v>
      </c>
    </row>
    <row r="15919" spans="1:2" x14ac:dyDescent="0.25">
      <c r="A15919" s="64" t="str">
        <f>HYPERLINK("http://www.twitter.com/poems_for_all", "poems_for_all")</f>
        <v>poems_for_all</v>
      </c>
      <c r="B15919" s="65" t="s">
        <v>8660</v>
      </c>
    </row>
    <row r="15920" spans="1:2" x14ac:dyDescent="0.25">
      <c r="A15920" s="64" t="str">
        <f>HYPERLINK("http://www.twitter.com/SarahMaineBooks", "SarahMaineBooks")</f>
        <v>SarahMaineBooks</v>
      </c>
      <c r="B15920" s="65"/>
    </row>
    <row r="15921" spans="1:2" x14ac:dyDescent="0.25">
      <c r="A15921" s="64" t="str">
        <f>HYPERLINK("http://www.twitter.com/distract_me", "distract_me")</f>
        <v>distract_me</v>
      </c>
      <c r="B15921" s="65"/>
    </row>
    <row r="15922" spans="1:2" x14ac:dyDescent="0.25">
      <c r="A15922" s="64" t="str">
        <f>HYPERLINK("http://www.twitter.com/ILovesTheDiff", "ILovesTheDiff")</f>
        <v>ILovesTheDiff</v>
      </c>
      <c r="B15922" s="65" t="s">
        <v>8661</v>
      </c>
    </row>
    <row r="15923" spans="1:2" x14ac:dyDescent="0.25">
      <c r="A15923" s="64" t="str">
        <f>HYPERLINK("http://www.twitter.com/audurran", "audurran")</f>
        <v>audurran</v>
      </c>
      <c r="B15923" s="65"/>
    </row>
    <row r="15924" spans="1:2" x14ac:dyDescent="0.25">
      <c r="A15924" s="64" t="str">
        <f>HYPERLINK("http://www.twitter.com/essebcom", "essebcom")</f>
        <v>essebcom</v>
      </c>
      <c r="B15924" s="65"/>
    </row>
    <row r="15925" spans="1:2" x14ac:dyDescent="0.25">
      <c r="A15925" s="64" t="str">
        <f>HYPERLINK("http://www.twitter.com/TheQuietKnitter", "TheQuietKnitter")</f>
        <v>TheQuietKnitter</v>
      </c>
      <c r="B15925" s="65" t="s">
        <v>2007</v>
      </c>
    </row>
    <row r="15926" spans="1:2" x14ac:dyDescent="0.25">
      <c r="A15926" s="64" t="str">
        <f>HYPERLINK("http://www.twitter.com/n_gillies", "n_gillies")</f>
        <v>n_gillies</v>
      </c>
      <c r="B15926" s="65"/>
    </row>
    <row r="15927" spans="1:2" x14ac:dyDescent="0.25">
      <c r="A15927" s="64" t="str">
        <f>HYPERLINK("http://www.twitter.com/mumkin", "mumkin")</f>
        <v>mumkin</v>
      </c>
      <c r="B15927" s="65" t="s">
        <v>8662</v>
      </c>
    </row>
    <row r="15928" spans="1:2" x14ac:dyDescent="0.25">
      <c r="A15928" s="64" t="str">
        <f>HYPERLINK("http://www.twitter.com/AmosZena", "AmosZena")</f>
        <v>AmosZena</v>
      </c>
      <c r="B15928" s="65"/>
    </row>
    <row r="15929" spans="1:2" x14ac:dyDescent="0.25">
      <c r="A15929" s="64" t="str">
        <f>HYPERLINK("http://www.twitter.com/SheilaHam3", "SheilaHam3")</f>
        <v>SheilaHam3</v>
      </c>
      <c r="B15929" s="65"/>
    </row>
    <row r="15930" spans="1:2" x14ac:dyDescent="0.25">
      <c r="A15930" s="64" t="str">
        <f>HYPERLINK("http://www.twitter.com/TheLibraryatEHS", "TheLibraryatEHS")</f>
        <v>TheLibraryatEHS</v>
      </c>
      <c r="B15930" s="65"/>
    </row>
    <row r="15931" spans="1:2" x14ac:dyDescent="0.25">
      <c r="A15931" s="64" t="str">
        <f>HYPERLINK("http://www.twitter.com/AndersonRonnie", "AndersonRonnie")</f>
        <v>AndersonRonnie</v>
      </c>
      <c r="B15931" s="65" t="s">
        <v>138</v>
      </c>
    </row>
    <row r="15932" spans="1:2" x14ac:dyDescent="0.25">
      <c r="A15932" s="64" t="str">
        <f>HYPERLINK("http://www.twitter.com/GermckMc", "GermckMc")</f>
        <v>GermckMc</v>
      </c>
      <c r="B15932" s="65" t="s">
        <v>2830</v>
      </c>
    </row>
    <row r="15933" spans="1:2" x14ac:dyDescent="0.25">
      <c r="A15933" s="64" t="str">
        <f>HYPERLINK("http://www.twitter.com/RichardG1022", "RichardG1022")</f>
        <v>RichardG1022</v>
      </c>
      <c r="B15933" s="65" t="s">
        <v>4171</v>
      </c>
    </row>
    <row r="15934" spans="1:2" x14ac:dyDescent="0.25">
      <c r="A15934" s="64" t="str">
        <f>HYPERLINK("http://www.twitter.com/ewanmct", "ewanmct")</f>
        <v>ewanmct</v>
      </c>
      <c r="B15934" s="65" t="s">
        <v>8663</v>
      </c>
    </row>
    <row r="15935" spans="1:2" x14ac:dyDescent="0.25">
      <c r="A15935" s="64" t="str">
        <f>HYPERLINK("http://www.twitter.com/ruth_wishart", "ruth_wishart")</f>
        <v>ruth_wishart</v>
      </c>
      <c r="B15935" s="65" t="s">
        <v>8664</v>
      </c>
    </row>
    <row r="15936" spans="1:2" x14ac:dyDescent="0.25">
      <c r="A15936" s="64" t="str">
        <f>HYPERLINK("http://www.twitter.com/AJSDerby", "AJSDerby")</f>
        <v>AJSDerby</v>
      </c>
      <c r="B15936" s="65" t="s">
        <v>3040</v>
      </c>
    </row>
    <row r="15937" spans="1:2" x14ac:dyDescent="0.25">
      <c r="A15937" s="64" t="str">
        <f>HYPERLINK("http://www.twitter.com/maggiegjack", "maggiegjack")</f>
        <v>maggiegjack</v>
      </c>
      <c r="B15937" s="65" t="s">
        <v>8665</v>
      </c>
    </row>
    <row r="15938" spans="1:2" x14ac:dyDescent="0.25">
      <c r="A15938" s="64" t="str">
        <f>HYPERLINK("http://www.twitter.com/alasdairmacdon1", "alasdairmacdon1")</f>
        <v>alasdairmacdon1</v>
      </c>
      <c r="B15938" s="65" t="s">
        <v>8666</v>
      </c>
    </row>
    <row r="15939" spans="1:2" x14ac:dyDescent="0.25">
      <c r="A15939" s="64" t="str">
        <f>HYPERLINK("http://www.twitter.com/PatBlack9", "PatBlack9")</f>
        <v>PatBlack9</v>
      </c>
      <c r="B15939" s="65"/>
    </row>
    <row r="15940" spans="1:2" x14ac:dyDescent="0.25">
      <c r="A15940" s="64" t="str">
        <f>HYPERLINK("http://www.twitter.com/AlpacaJo", "AlpacaJo")</f>
        <v>AlpacaJo</v>
      </c>
      <c r="B15940" s="65" t="s">
        <v>8667</v>
      </c>
    </row>
    <row r="15941" spans="1:2" x14ac:dyDescent="0.25">
      <c r="A15941" s="64" t="str">
        <f>HYPERLINK("http://www.twitter.com/chrisfolkieuk", "chrisfolkieuk")</f>
        <v>chrisfolkieuk</v>
      </c>
      <c r="B15941" s="65"/>
    </row>
    <row r="15942" spans="1:2" x14ac:dyDescent="0.25">
      <c r="A15942" s="64" t="str">
        <f>HYPERLINK("http://www.twitter.com/SAM2point0", "SAM2point0")</f>
        <v>SAM2point0</v>
      </c>
      <c r="B15942" s="65"/>
    </row>
    <row r="15943" spans="1:2" x14ac:dyDescent="0.25">
      <c r="A15943" s="64" t="str">
        <f>HYPERLINK("http://www.twitter.com/kdeiss", "kdeiss")</f>
        <v>kdeiss</v>
      </c>
      <c r="B15943" s="65" t="s">
        <v>4329</v>
      </c>
    </row>
    <row r="15944" spans="1:2" x14ac:dyDescent="0.25">
      <c r="A15944" s="64" t="str">
        <f>HYPERLINK("http://www.twitter.com/LissaKEvans", "LissaKEvans")</f>
        <v>LissaKEvans</v>
      </c>
      <c r="B15944" s="65"/>
    </row>
    <row r="15945" spans="1:2" x14ac:dyDescent="0.25">
      <c r="A15945" s="64" t="str">
        <f>HYPERLINK("http://www.twitter.com/booksnbikkies", "booksnbikkies")</f>
        <v>booksnbikkies</v>
      </c>
      <c r="B15945" s="65" t="s">
        <v>3779</v>
      </c>
    </row>
    <row r="15946" spans="1:2" x14ac:dyDescent="0.25">
      <c r="A15946" s="64" t="str">
        <f>HYPERLINK("http://www.twitter.com/LilyMcInerney", "LilyMcInerney")</f>
        <v>LilyMcInerney</v>
      </c>
      <c r="B15946" s="65" t="s">
        <v>8668</v>
      </c>
    </row>
    <row r="15947" spans="1:2" x14ac:dyDescent="0.25">
      <c r="A15947" s="64" t="str">
        <f>HYPERLINK("http://www.twitter.com/hallidaysarah", "hallidaysarah")</f>
        <v>hallidaysarah</v>
      </c>
      <c r="B15947" s="65"/>
    </row>
    <row r="15948" spans="1:2" x14ac:dyDescent="0.25">
      <c r="A15948" s="64" t="str">
        <f>HYPERLINK("http://www.twitter.com/philipdsjones", "philipdsjones")</f>
        <v>philipdsjones</v>
      </c>
      <c r="B15948" s="65" t="s">
        <v>36</v>
      </c>
    </row>
    <row r="15949" spans="1:2" x14ac:dyDescent="0.25">
      <c r="A15949" s="64" t="str">
        <f>HYPERLINK("http://www.twitter.com/miller_anne", "miller_anne")</f>
        <v>miller_anne</v>
      </c>
      <c r="B15949" s="65"/>
    </row>
    <row r="15950" spans="1:2" x14ac:dyDescent="0.25">
      <c r="A15950" s="64" t="str">
        <f>HYPERLINK("http://www.twitter.com/Kate7Mills", "Kate7Mills")</f>
        <v>Kate7Mills</v>
      </c>
      <c r="B15950" s="65" t="s">
        <v>8669</v>
      </c>
    </row>
    <row r="15951" spans="1:2" x14ac:dyDescent="0.25">
      <c r="A15951" s="64" t="str">
        <f>HYPERLINK("http://www.twitter.com/Smiffy1903", "Smiffy1903")</f>
        <v>Smiffy1903</v>
      </c>
      <c r="B15951" s="65" t="s">
        <v>4092</v>
      </c>
    </row>
    <row r="15952" spans="1:2" x14ac:dyDescent="0.25">
      <c r="A15952" s="64" t="str">
        <f>HYPERLINK("http://www.twitter.com/pieterdho", "pieterdho")</f>
        <v>pieterdho</v>
      </c>
      <c r="B15952" s="65" t="s">
        <v>3819</v>
      </c>
    </row>
    <row r="15953" spans="1:2" x14ac:dyDescent="0.25">
      <c r="A15953" s="64" t="str">
        <f>HYPERLINK("http://www.twitter.com/LBABooks", "LBABooks")</f>
        <v>LBABooks</v>
      </c>
      <c r="B15953" s="65" t="s">
        <v>36</v>
      </c>
    </row>
    <row r="15954" spans="1:2" x14ac:dyDescent="0.25">
      <c r="A15954" s="64" t="str">
        <f>HYPERLINK("http://www.twitter.com/katecaldwell", "katecaldwell")</f>
        <v>katecaldwell</v>
      </c>
      <c r="B15954" s="65" t="s">
        <v>8670</v>
      </c>
    </row>
    <row r="15955" spans="1:2" x14ac:dyDescent="0.25">
      <c r="A15955" s="64" t="str">
        <f>HYPERLINK("http://www.twitter.com/glothy", "glothy")</f>
        <v>glothy</v>
      </c>
      <c r="B15955" s="65" t="s">
        <v>6294</v>
      </c>
    </row>
    <row r="15956" spans="1:2" x14ac:dyDescent="0.25">
      <c r="A15956" s="64" t="str">
        <f>HYPERLINK("http://www.twitter.com/Pompeysal", "Pompeysal")</f>
        <v>Pompeysal</v>
      </c>
      <c r="B15956" s="65"/>
    </row>
    <row r="15957" spans="1:2" x14ac:dyDescent="0.25">
      <c r="A15957" s="64" t="str">
        <f>HYPERLINK("http://www.twitter.com/JacquiPybus", "JacquiPybus")</f>
        <v>JacquiPybus</v>
      </c>
      <c r="B15957" s="65" t="s">
        <v>8671</v>
      </c>
    </row>
    <row r="15958" spans="1:2" x14ac:dyDescent="0.25">
      <c r="A15958" s="64" t="str">
        <f>HYPERLINK("http://www.twitter.com/shroom98", "shroom98")</f>
        <v>shroom98</v>
      </c>
      <c r="B15958" s="65" t="s">
        <v>8672</v>
      </c>
    </row>
    <row r="15959" spans="1:2" x14ac:dyDescent="0.25">
      <c r="A15959" s="64" t="str">
        <f>HYPERLINK("http://www.twitter.com/CameronAddicott", "CameronAddicott")</f>
        <v>CameronAddicott</v>
      </c>
      <c r="B15959" s="65" t="s">
        <v>8673</v>
      </c>
    </row>
    <row r="15960" spans="1:2" x14ac:dyDescent="0.25">
      <c r="A15960" s="64" t="str">
        <f>HYPERLINK("http://www.twitter.com/Xavgenper", "Xavgenper")</f>
        <v>Xavgenper</v>
      </c>
      <c r="B15960" s="65"/>
    </row>
    <row r="15961" spans="1:2" x14ac:dyDescent="0.25">
      <c r="A15961" s="64" t="str">
        <f>HYPERLINK("http://www.twitter.com/Steven9382", "Steven9382")</f>
        <v>Steven9382</v>
      </c>
      <c r="B15961" s="65"/>
    </row>
    <row r="15962" spans="1:2" x14ac:dyDescent="0.25">
      <c r="A15962" s="64" t="str">
        <f>HYPERLINK("http://www.twitter.com/MrsRanty", "MrsRanty")</f>
        <v>MrsRanty</v>
      </c>
      <c r="B15962" s="65"/>
    </row>
    <row r="15963" spans="1:2" x14ac:dyDescent="0.25">
      <c r="A15963" s="64" t="str">
        <f>HYPERLINK("http://www.twitter.com/Ash_Billinghay", "Ash_Billinghay")</f>
        <v>Ash_Billinghay</v>
      </c>
      <c r="B15963" s="65" t="s">
        <v>180</v>
      </c>
    </row>
    <row r="15964" spans="1:2" x14ac:dyDescent="0.25">
      <c r="A15964" s="64" t="str">
        <f>HYPERLINK("http://www.twitter.com/Sally_Nicholls", "Sally_Nicholls")</f>
        <v>Sally_Nicholls</v>
      </c>
      <c r="B15964" s="65" t="s">
        <v>505</v>
      </c>
    </row>
    <row r="15965" spans="1:2" x14ac:dyDescent="0.25">
      <c r="A15965" s="64" t="str">
        <f>HYPERLINK("http://www.twitter.com/Malcolm_Sulliva", "Malcolm_Sulliva")</f>
        <v>Malcolm_Sulliva</v>
      </c>
      <c r="B15965" s="65" t="s">
        <v>8674</v>
      </c>
    </row>
    <row r="15966" spans="1:2" x14ac:dyDescent="0.25">
      <c r="A15966" s="64" t="str">
        <f>HYPERLINK("http://www.twitter.com/forzagarza", "forzagarza")</f>
        <v>forzagarza</v>
      </c>
      <c r="B15966" s="65"/>
    </row>
    <row r="15967" spans="1:2" x14ac:dyDescent="0.25">
      <c r="A15967" s="64" t="str">
        <f>HYPERLINK("http://www.twitter.com/PigeonJon", "PigeonJon")</f>
        <v>PigeonJon</v>
      </c>
      <c r="B15967" s="65" t="s">
        <v>8675</v>
      </c>
    </row>
    <row r="15968" spans="1:2" x14ac:dyDescent="0.25">
      <c r="A15968" s="64" t="str">
        <f>HYPERLINK("http://www.twitter.com/graemecoleman", "graemecoleman")</f>
        <v>graemecoleman</v>
      </c>
      <c r="B15968" s="65" t="s">
        <v>7975</v>
      </c>
    </row>
    <row r="15969" spans="1:2" x14ac:dyDescent="0.25">
      <c r="A15969" s="64" t="str">
        <f>HYPERLINK("http://www.twitter.com/jo_the_hat", "jo_the_hat")</f>
        <v>jo_the_hat</v>
      </c>
      <c r="B15969" s="65" t="s">
        <v>8676</v>
      </c>
    </row>
    <row r="15970" spans="1:2" x14ac:dyDescent="0.25">
      <c r="A15970" s="64" t="str">
        <f>HYPERLINK("http://www.twitter.com/Alphabeckles", "Alphabeckles")</f>
        <v>Alphabeckles</v>
      </c>
      <c r="B15970" s="65" t="s">
        <v>36</v>
      </c>
    </row>
    <row r="15971" spans="1:2" x14ac:dyDescent="0.25">
      <c r="A15971" s="64" t="str">
        <f>HYPERLINK("http://www.twitter.com/chrsmatthe", "chrsmatthe")</f>
        <v>chrsmatthe</v>
      </c>
      <c r="B15971" s="65" t="s">
        <v>20</v>
      </c>
    </row>
    <row r="15972" spans="1:2" x14ac:dyDescent="0.25">
      <c r="A15972" s="64" t="str">
        <f>HYPERLINK("http://www.twitter.com/GerryOrkney", "GerryOrkney")</f>
        <v>GerryOrkney</v>
      </c>
      <c r="B15972" s="65" t="s">
        <v>8677</v>
      </c>
    </row>
    <row r="15973" spans="1:2" x14ac:dyDescent="0.25">
      <c r="A15973" s="64" t="str">
        <f>HYPERLINK("http://www.twitter.com/alisoncmd", "alisoncmd")</f>
        <v>alisoncmd</v>
      </c>
      <c r="B15973" s="65" t="s">
        <v>4019</v>
      </c>
    </row>
    <row r="15974" spans="1:2" x14ac:dyDescent="0.25">
      <c r="A15974" s="64" t="str">
        <f>HYPERLINK("http://www.twitter.com/avocadorose89", "avocadorose89")</f>
        <v>avocadorose89</v>
      </c>
      <c r="B15974" s="65" t="s">
        <v>2454</v>
      </c>
    </row>
    <row r="15975" spans="1:2" x14ac:dyDescent="0.25">
      <c r="A15975" s="64" t="str">
        <f>HYPERLINK("http://www.twitter.com/SuzBell3", "SuzBell3")</f>
        <v>SuzBell3</v>
      </c>
      <c r="B15975" s="65" t="s">
        <v>3863</v>
      </c>
    </row>
    <row r="15976" spans="1:2" x14ac:dyDescent="0.25">
      <c r="A15976" s="64" t="str">
        <f>HYPERLINK("http://www.twitter.com/SandySneddon", "SandySneddon")</f>
        <v>SandySneddon</v>
      </c>
      <c r="B15976" s="65" t="s">
        <v>24</v>
      </c>
    </row>
    <row r="15977" spans="1:2" x14ac:dyDescent="0.25">
      <c r="A15977" s="64" t="str">
        <f>HYPERLINK("http://www.twitter.com/MaudsGone", "MaudsGone")</f>
        <v>MaudsGone</v>
      </c>
      <c r="B15977" s="65" t="s">
        <v>6263</v>
      </c>
    </row>
    <row r="15978" spans="1:2" x14ac:dyDescent="0.25">
      <c r="A15978" s="64" t="str">
        <f>HYPERLINK("http://www.twitter.com/MsAshleyDavies", "MsAshleyDavies")</f>
        <v>MsAshleyDavies</v>
      </c>
      <c r="B15978" s="65" t="s">
        <v>8678</v>
      </c>
    </row>
    <row r="15979" spans="1:2" x14ac:dyDescent="0.25">
      <c r="A15979" s="64" t="str">
        <f>HYPERLINK("http://www.twitter.com/scotsonscreen", "scotsonscreen")</f>
        <v>scotsonscreen</v>
      </c>
      <c r="B15979" s="65" t="s">
        <v>8679</v>
      </c>
    </row>
    <row r="15980" spans="1:2" x14ac:dyDescent="0.25">
      <c r="A15980" s="64" t="str">
        <f>HYPERLINK("http://www.twitter.com/ShazMoonFlower", "ShazMoonFlower")</f>
        <v>ShazMoonFlower</v>
      </c>
      <c r="B15980" s="65" t="s">
        <v>4227</v>
      </c>
    </row>
    <row r="15981" spans="1:2" x14ac:dyDescent="0.25">
      <c r="A15981" s="64" t="str">
        <f>HYPERLINK("http://www.twitter.com/ByronGWriterGuy", "ByronGWriterGuy")</f>
        <v>ByronGWriterGuy</v>
      </c>
      <c r="B15981" s="65" t="s">
        <v>4584</v>
      </c>
    </row>
    <row r="15982" spans="1:2" x14ac:dyDescent="0.25">
      <c r="A15982" s="64" t="str">
        <f>HYPERLINK("http://www.twitter.com/Disnae_Doodle", "Disnae_Doodle")</f>
        <v>Disnae_Doodle</v>
      </c>
      <c r="B15982" s="65"/>
    </row>
    <row r="15983" spans="1:2" x14ac:dyDescent="0.25">
      <c r="A15983" s="64" t="str">
        <f>HYPERLINK("http://www.twitter.com/AliceCMoretti", "AliceCMoretti")</f>
        <v>AliceCMoretti</v>
      </c>
      <c r="B15983" s="65" t="s">
        <v>232</v>
      </c>
    </row>
    <row r="15984" spans="1:2" x14ac:dyDescent="0.25">
      <c r="A15984" s="64" t="str">
        <f>HYPERLINK("http://www.twitter.com/FryettPaul", "FryettPaul")</f>
        <v>FryettPaul</v>
      </c>
      <c r="B15984" s="65" t="s">
        <v>364</v>
      </c>
    </row>
    <row r="15985" spans="1:2" x14ac:dyDescent="0.25">
      <c r="A15985" s="64" t="str">
        <f>HYPERLINK("http://www.twitter.com/kristy_simpson_", "kristy_simpson_")</f>
        <v>kristy_simpson_</v>
      </c>
      <c r="B15985" s="65" t="s">
        <v>3778</v>
      </c>
    </row>
    <row r="15986" spans="1:2" x14ac:dyDescent="0.25">
      <c r="A15986" s="64" t="str">
        <f>HYPERLINK("http://www.twitter.com/annatheis88", "annatheis88")</f>
        <v>annatheis88</v>
      </c>
      <c r="B15986" s="65" t="s">
        <v>4040</v>
      </c>
    </row>
    <row r="15987" spans="1:2" x14ac:dyDescent="0.25">
      <c r="A15987" s="64" t="str">
        <f>HYPERLINK("http://www.twitter.com/gillorei", "gillorei")</f>
        <v>gillorei</v>
      </c>
      <c r="B15987" s="65" t="s">
        <v>3773</v>
      </c>
    </row>
    <row r="15988" spans="1:2" x14ac:dyDescent="0.25">
      <c r="A15988" s="64" t="str">
        <f>HYPERLINK("http://www.twitter.com/christine_19195", "christine_19195")</f>
        <v>christine_19195</v>
      </c>
      <c r="B15988" s="65" t="s">
        <v>8680</v>
      </c>
    </row>
    <row r="15989" spans="1:2" x14ac:dyDescent="0.25">
      <c r="A15989" s="64" t="str">
        <f>HYPERLINK("http://www.twitter.com/sirona_gs", "sirona_gs")</f>
        <v>sirona_gs</v>
      </c>
      <c r="B15989" s="65" t="s">
        <v>8681</v>
      </c>
    </row>
    <row r="15990" spans="1:2" x14ac:dyDescent="0.25">
      <c r="A15990" s="64" t="str">
        <f>HYPERLINK("http://www.twitter.com/superseveriano", "superseveriano")</f>
        <v>superseveriano</v>
      </c>
      <c r="B15990" s="65" t="s">
        <v>8682</v>
      </c>
    </row>
    <row r="15991" spans="1:2" x14ac:dyDescent="0.25">
      <c r="A15991" s="64" t="str">
        <f>HYPERLINK("http://www.twitter.com/TonyWilliams9", "TonyWilliams9")</f>
        <v>TonyWilliams9</v>
      </c>
      <c r="B15991" s="65" t="s">
        <v>96</v>
      </c>
    </row>
    <row r="15992" spans="1:2" x14ac:dyDescent="0.25">
      <c r="A15992" s="64" t="str">
        <f>HYPERLINK("http://www.twitter.com/LibraryHHS", "LibraryHHS")</f>
        <v>LibraryHHS</v>
      </c>
      <c r="B15992" s="65" t="s">
        <v>685</v>
      </c>
    </row>
    <row r="15993" spans="1:2" x14ac:dyDescent="0.25">
      <c r="A15993" s="64" t="str">
        <f>HYPERLINK("http://www.twitter.com/barbvz", "barbvz")</f>
        <v>barbvz</v>
      </c>
      <c r="B15993" s="65" t="s">
        <v>8683</v>
      </c>
    </row>
    <row r="15994" spans="1:2" x14ac:dyDescent="0.25">
      <c r="A15994" s="64" t="str">
        <f>HYPERLINK("http://www.twitter.com/LibraryTaylor", "LibraryTaylor")</f>
        <v>LibraryTaylor</v>
      </c>
      <c r="B15994" s="65" t="s">
        <v>2007</v>
      </c>
    </row>
    <row r="15995" spans="1:2" x14ac:dyDescent="0.25">
      <c r="A15995" s="64" t="str">
        <f>HYPERLINK("http://www.twitter.com/Fi_Gordon", "Fi_Gordon")</f>
        <v>Fi_Gordon</v>
      </c>
      <c r="B15995" s="65" t="s">
        <v>318</v>
      </c>
    </row>
    <row r="15996" spans="1:2" x14ac:dyDescent="0.25">
      <c r="A15996" s="64" t="str">
        <f>HYPERLINK("http://www.twitter.com/GallacherA", "GallacherA")</f>
        <v>GallacherA</v>
      </c>
      <c r="B15996" s="65"/>
    </row>
    <row r="15997" spans="1:2" x14ac:dyDescent="0.25">
      <c r="A15997" s="64" t="str">
        <f>HYPERLINK("http://www.twitter.com/LauraEDonald", "LauraEDonald")</f>
        <v>LauraEDonald</v>
      </c>
      <c r="B15997" s="65" t="s">
        <v>8684</v>
      </c>
    </row>
    <row r="15998" spans="1:2" x14ac:dyDescent="0.25">
      <c r="A15998" s="64" t="str">
        <f>HYPERLINK("http://www.twitter.com/aikahyppy", "aikahyppy")</f>
        <v>aikahyppy</v>
      </c>
      <c r="B15998" s="65" t="s">
        <v>8685</v>
      </c>
    </row>
    <row r="15999" spans="1:2" x14ac:dyDescent="0.25">
      <c r="A15999" s="64" t="str">
        <f>HYPERLINK("http://www.twitter.com/SandownLibrary", "SandownLibrary")</f>
        <v>SandownLibrary</v>
      </c>
      <c r="B15999" s="65" t="s">
        <v>3662</v>
      </c>
    </row>
    <row r="16000" spans="1:2" x14ac:dyDescent="0.25">
      <c r="A16000" s="64" t="str">
        <f>HYPERLINK("http://www.twitter.com/EastMidsCPRE", "EastMidsCPRE")</f>
        <v>EastMidsCPRE</v>
      </c>
      <c r="B16000" s="65" t="s">
        <v>2592</v>
      </c>
    </row>
    <row r="16001" spans="1:2" x14ac:dyDescent="0.25">
      <c r="A16001" s="64" t="str">
        <f>HYPERLINK("http://www.twitter.com/BooksWanted", "BooksWanted")</f>
        <v>BooksWanted</v>
      </c>
      <c r="B16001" s="65" t="s">
        <v>296</v>
      </c>
    </row>
    <row r="16002" spans="1:2" x14ac:dyDescent="0.25">
      <c r="A16002" s="64" t="str">
        <f>HYPERLINK("http://www.twitter.com/Upbeat_book", "Upbeat_book")</f>
        <v>Upbeat_book</v>
      </c>
      <c r="B16002" s="65" t="s">
        <v>8686</v>
      </c>
    </row>
    <row r="16003" spans="1:2" x14ac:dyDescent="0.25">
      <c r="A16003" s="64" t="str">
        <f>HYPERLINK("http://www.twitter.com/ChineCats", "ChineCats")</f>
        <v>ChineCats</v>
      </c>
      <c r="B16003" s="65" t="s">
        <v>8687</v>
      </c>
    </row>
    <row r="16004" spans="1:2" x14ac:dyDescent="0.25">
      <c r="A16004" s="64" t="str">
        <f>HYPERLINK("http://www.twitter.com/Clare_LouiseH", "Clare_LouiseH")</f>
        <v>Clare_LouiseH</v>
      </c>
      <c r="B16004" s="65"/>
    </row>
    <row r="16005" spans="1:2" x14ac:dyDescent="0.25">
      <c r="A16005" s="64" t="str">
        <f>HYPERLINK("http://www.twitter.com/patsimmons", "patsimmons")</f>
        <v>patsimmons</v>
      </c>
      <c r="B16005" s="65" t="s">
        <v>7821</v>
      </c>
    </row>
    <row r="16006" spans="1:2" x14ac:dyDescent="0.25">
      <c r="A16006" s="64" t="str">
        <f>HYPERLINK("http://www.twitter.com/AdelaideLibrary", "AdelaideLibrary")</f>
        <v>AdelaideLibrary</v>
      </c>
      <c r="B16006" s="65" t="s">
        <v>8688</v>
      </c>
    </row>
    <row r="16007" spans="1:2" x14ac:dyDescent="0.25">
      <c r="A16007" s="64" t="str">
        <f>HYPERLINK("http://www.twitter.com/Cube68", "Cube68")</f>
        <v>Cube68</v>
      </c>
      <c r="B16007" s="65" t="s">
        <v>24</v>
      </c>
    </row>
    <row r="16008" spans="1:2" x14ac:dyDescent="0.25">
      <c r="A16008" s="64" t="str">
        <f>HYPERLINK("http://www.twitter.com/KatePolandArt", "KatePolandArt")</f>
        <v>KatePolandArt</v>
      </c>
      <c r="B16008" s="65" t="s">
        <v>36</v>
      </c>
    </row>
    <row r="16009" spans="1:2" x14ac:dyDescent="0.25">
      <c r="A16009" s="64" t="str">
        <f>HYPERLINK("http://www.twitter.com/DianeStrz", "DianeStrz")</f>
        <v>DianeStrz</v>
      </c>
      <c r="B16009" s="65"/>
    </row>
    <row r="16010" spans="1:2" x14ac:dyDescent="0.25">
      <c r="A16010" s="64" t="str">
        <f>HYPERLINK("http://www.twitter.com/tonk5ey", "tonk5ey")</f>
        <v>tonk5ey</v>
      </c>
      <c r="B16010" s="65" t="s">
        <v>8689</v>
      </c>
    </row>
    <row r="16011" spans="1:2" x14ac:dyDescent="0.25">
      <c r="A16011" s="64" t="str">
        <f>HYPERLINK("http://www.twitter.com/AlexSokoloff", "AlexSokoloff")</f>
        <v>AlexSokoloff</v>
      </c>
      <c r="B16011" s="65" t="s">
        <v>8690</v>
      </c>
    </row>
    <row r="16012" spans="1:2" x14ac:dyDescent="0.25">
      <c r="A16012" s="64" t="str">
        <f>HYPERLINK("http://www.twitter.com/AnitaPerks", "AnitaPerks")</f>
        <v>AnitaPerks</v>
      </c>
      <c r="B16012" s="65" t="s">
        <v>4146</v>
      </c>
    </row>
    <row r="16013" spans="1:2" x14ac:dyDescent="0.25">
      <c r="A16013" s="64" t="str">
        <f>HYPERLINK("http://www.twitter.com/librarianfirst", "librarianfirst")</f>
        <v>librarianfirst</v>
      </c>
      <c r="B16013" s="65" t="s">
        <v>3863</v>
      </c>
    </row>
    <row r="16014" spans="1:2" x14ac:dyDescent="0.25">
      <c r="A16014" s="64" t="str">
        <f>HYPERLINK("http://www.twitter.com/_hemad69", "_hemad69")</f>
        <v>_hemad69</v>
      </c>
      <c r="B16014" s="65" t="s">
        <v>8691</v>
      </c>
    </row>
    <row r="16015" spans="1:2" x14ac:dyDescent="0.25">
      <c r="A16015" s="64" t="str">
        <f>HYPERLINK("http://www.twitter.com/Ink84Books", "Ink84Books")</f>
        <v>Ink84Books</v>
      </c>
      <c r="B16015" s="65" t="s">
        <v>8692</v>
      </c>
    </row>
    <row r="16016" spans="1:2" x14ac:dyDescent="0.25">
      <c r="A16016" s="64" t="str">
        <f>HYPERLINK("http://www.twitter.com/ribbleheadrose", "ribbleheadrose")</f>
        <v>ribbleheadrose</v>
      </c>
      <c r="B16016" s="65"/>
    </row>
    <row r="16017" spans="1:2" x14ac:dyDescent="0.25">
      <c r="A16017" s="64" t="str">
        <f>HYPERLINK("http://www.twitter.com/OmandElma", "OmandElma")</f>
        <v>OmandElma</v>
      </c>
      <c r="B16017" s="65"/>
    </row>
    <row r="16018" spans="1:2" x14ac:dyDescent="0.25">
      <c r="A16018" s="64" t="str">
        <f>HYPERLINK("http://www.twitter.com/arne_dahl", "arne_dahl")</f>
        <v>arne_dahl</v>
      </c>
      <c r="B16018" s="65" t="s">
        <v>5417</v>
      </c>
    </row>
    <row r="16019" spans="1:2" x14ac:dyDescent="0.25">
      <c r="A16019" s="64" t="str">
        <f>HYPERLINK("http://www.twitter.com/GrrrrrrrrrrrrAr", "GrrrrrrrrrrrrAr")</f>
        <v>GrrrrrrrrrrrrAr</v>
      </c>
      <c r="B16019" s="65" t="s">
        <v>3762</v>
      </c>
    </row>
    <row r="16020" spans="1:2" x14ac:dyDescent="0.25">
      <c r="A16020" s="64" t="str">
        <f>HYPERLINK("http://www.twitter.com/AnnieSte1", "AnnieSte1")</f>
        <v>AnnieSte1</v>
      </c>
      <c r="B16020" s="65"/>
    </row>
    <row r="16021" spans="1:2" x14ac:dyDescent="0.25">
      <c r="A16021" s="64" t="str">
        <f>HYPERLINK("http://www.twitter.com/CNotC", "CNotC")</f>
        <v>CNotC</v>
      </c>
      <c r="B16021" s="65" t="s">
        <v>1033</v>
      </c>
    </row>
    <row r="16022" spans="1:2" x14ac:dyDescent="0.25">
      <c r="A16022" s="64" t="str">
        <f>HYPERLINK("http://www.twitter.com/Sourpuss29", "Sourpuss29")</f>
        <v>Sourpuss29</v>
      </c>
      <c r="B16022" s="65" t="s">
        <v>3787</v>
      </c>
    </row>
    <row r="16023" spans="1:2" x14ac:dyDescent="0.25">
      <c r="A16023" s="64" t="str">
        <f>HYPERLINK("http://www.twitter.com/bazzared1903", "bazzared1903")</f>
        <v>bazzared1903</v>
      </c>
      <c r="B16023" s="65"/>
    </row>
    <row r="16024" spans="1:2" x14ac:dyDescent="0.25">
      <c r="A16024" s="64" t="str">
        <f>HYPERLINK("http://www.twitter.com/asifpervezphd", "asifpervezphd")</f>
        <v>asifpervezphd</v>
      </c>
      <c r="B16024" s="65" t="s">
        <v>4924</v>
      </c>
    </row>
    <row r="16025" spans="1:2" x14ac:dyDescent="0.25">
      <c r="A16025" s="64" t="str">
        <f>HYPERLINK("http://www.twitter.com/boyd_ey", "boyd_ey")</f>
        <v>boyd_ey</v>
      </c>
      <c r="B16025" s="65" t="s">
        <v>296</v>
      </c>
    </row>
    <row r="16026" spans="1:2" x14ac:dyDescent="0.25">
      <c r="A16026" s="64" t="str">
        <f>HYPERLINK("http://www.twitter.com/nixcutecars", "nixcutecars")</f>
        <v>nixcutecars</v>
      </c>
      <c r="B16026" s="65"/>
    </row>
    <row r="16027" spans="1:2" x14ac:dyDescent="0.25">
      <c r="A16027" s="64" t="str">
        <f>HYPERLINK("http://www.twitter.com/davy987", "davy987")</f>
        <v>davy987</v>
      </c>
      <c r="B16027" s="65" t="s">
        <v>4167</v>
      </c>
    </row>
    <row r="16028" spans="1:2" x14ac:dyDescent="0.25">
      <c r="A16028" s="64" t="str">
        <f>HYPERLINK("http://www.twitter.com/ObsidianzArt", "ObsidianzArt")</f>
        <v>ObsidianzArt</v>
      </c>
      <c r="B16028" s="65"/>
    </row>
    <row r="16029" spans="1:2" x14ac:dyDescent="0.25">
      <c r="A16029" s="64" t="str">
        <f>HYPERLINK("http://www.twitter.com/quoysltd", "quoysltd")</f>
        <v>quoysltd</v>
      </c>
      <c r="B16029" s="65"/>
    </row>
    <row r="16030" spans="1:2" x14ac:dyDescent="0.25">
      <c r="A16030" s="64" t="str">
        <f>HYPERLINK("http://www.twitter.com/AlanLaing4", "AlanLaing4")</f>
        <v>AlanLaing4</v>
      </c>
      <c r="B16030" s="65" t="s">
        <v>487</v>
      </c>
    </row>
    <row r="16031" spans="1:2" x14ac:dyDescent="0.25">
      <c r="A16031" s="64" t="str">
        <f>HYPERLINK("http://www.twitter.com/ScotHappening", "ScotHappening")</f>
        <v>ScotHappening</v>
      </c>
      <c r="B16031" s="65" t="s">
        <v>2007</v>
      </c>
    </row>
    <row r="16032" spans="1:2" x14ac:dyDescent="0.25">
      <c r="A16032" s="64" t="str">
        <f>HYPERLINK("http://www.twitter.com/OrkneyLadiesRFC", "OrkneyLadiesRFC")</f>
        <v>OrkneyLadiesRFC</v>
      </c>
      <c r="B16032" s="65" t="s">
        <v>5667</v>
      </c>
    </row>
    <row r="16033" spans="1:2" x14ac:dyDescent="0.25">
      <c r="A16033" s="64" t="str">
        <f>HYPERLINK("http://www.twitter.com/jenmrose1", "jenmrose1")</f>
        <v>jenmrose1</v>
      </c>
      <c r="B16033" s="65" t="s">
        <v>3779</v>
      </c>
    </row>
    <row r="16034" spans="1:2" x14ac:dyDescent="0.25">
      <c r="A16034" s="64" t="str">
        <f>HYPERLINK("http://www.twitter.com/ARDALJONES", "ARDALJONES")</f>
        <v>ARDALJONES</v>
      </c>
      <c r="B16034" s="65" t="s">
        <v>296</v>
      </c>
    </row>
    <row r="16035" spans="1:2" x14ac:dyDescent="0.25">
      <c r="A16035" s="64" t="str">
        <f>HYPERLINK("http://www.twitter.com/mandy_macdonald", "mandy_macdonald")</f>
        <v>mandy_macdonald</v>
      </c>
      <c r="B16035" s="65" t="s">
        <v>767</v>
      </c>
    </row>
    <row r="16036" spans="1:2" x14ac:dyDescent="0.25">
      <c r="A16036" s="64" t="str">
        <f>HYPERLINK("http://www.twitter.com/pettedlip", "pettedlip")</f>
        <v>pettedlip</v>
      </c>
      <c r="B16036" s="65" t="s">
        <v>8693</v>
      </c>
    </row>
    <row r="16037" spans="1:2" x14ac:dyDescent="0.25">
      <c r="A16037" s="64" t="str">
        <f>HYPERLINK("http://www.twitter.com/Ms_Argy_Bargy", "Ms_Argy_Bargy")</f>
        <v>Ms_Argy_Bargy</v>
      </c>
      <c r="B16037" s="65"/>
    </row>
    <row r="16038" spans="1:2" x14ac:dyDescent="0.25">
      <c r="A16038" s="64" t="str">
        <f>HYPERLINK("http://www.twitter.com/JanMcD4", "JanMcD4")</f>
        <v>JanMcD4</v>
      </c>
      <c r="B16038" s="65"/>
    </row>
    <row r="16039" spans="1:2" x14ac:dyDescent="0.25">
      <c r="A16039" s="64" t="str">
        <f>HYPERLINK("http://www.twitter.com/LesG1001", "LesG1001")</f>
        <v>LesG1001</v>
      </c>
      <c r="B16039" s="65" t="s">
        <v>296</v>
      </c>
    </row>
    <row r="16040" spans="1:2" x14ac:dyDescent="0.25">
      <c r="A16040" s="64" t="str">
        <f>HYPERLINK("http://www.twitter.com/Askbigsky", "Askbigsky")</f>
        <v>Askbigsky</v>
      </c>
      <c r="B16040" s="65" t="s">
        <v>8694</v>
      </c>
    </row>
    <row r="16041" spans="1:2" x14ac:dyDescent="0.25">
      <c r="A16041" s="64" t="str">
        <f>HYPERLINK("http://www.twitter.com/TheresaBrownArt", "TheresaBrownArt")</f>
        <v>TheresaBrownArt</v>
      </c>
      <c r="B16041" s="65" t="s">
        <v>2007</v>
      </c>
    </row>
    <row r="16042" spans="1:2" x14ac:dyDescent="0.25">
      <c r="A16042" s="64" t="str">
        <f>HYPERLINK("http://www.twitter.com/TerribelleD", "TerribelleD")</f>
        <v>TerribelleD</v>
      </c>
      <c r="B16042" s="65" t="s">
        <v>36</v>
      </c>
    </row>
    <row r="16043" spans="1:2" x14ac:dyDescent="0.25">
      <c r="A16043" s="64" t="str">
        <f>HYPERLINK("http://www.twitter.com/afrostwit", "afrostwit")</f>
        <v>afrostwit</v>
      </c>
      <c r="B16043" s="65" t="s">
        <v>318</v>
      </c>
    </row>
    <row r="16044" spans="1:2" x14ac:dyDescent="0.25">
      <c r="A16044" s="64" t="str">
        <f>HYPERLINK("http://www.twitter.com/DailyGael", "DailyGael")</f>
        <v>DailyGael</v>
      </c>
      <c r="B16044" s="65" t="s">
        <v>2007</v>
      </c>
    </row>
    <row r="16045" spans="1:2" x14ac:dyDescent="0.25">
      <c r="A16045" s="64" t="str">
        <f>HYPERLINK("http://www.twitter.com/brownbear8682", "brownbear8682")</f>
        <v>brownbear8682</v>
      </c>
      <c r="B16045" s="65" t="s">
        <v>8695</v>
      </c>
    </row>
    <row r="16046" spans="1:2" x14ac:dyDescent="0.25">
      <c r="A16046" s="64" t="str">
        <f>HYPERLINK("http://www.twitter.com/wendy2curly", "wendy2curly")</f>
        <v>wendy2curly</v>
      </c>
      <c r="B16046" s="65"/>
    </row>
    <row r="16047" spans="1:2" x14ac:dyDescent="0.25">
      <c r="A16047" s="64" t="str">
        <f>HYPERLINK("http://www.twitter.com/joanne_launder", "joanne_launder")</f>
        <v>joanne_launder</v>
      </c>
      <c r="B16047" s="65"/>
    </row>
    <row r="16048" spans="1:2" x14ac:dyDescent="0.25">
      <c r="A16048" s="64" t="str">
        <f>HYPERLINK("http://www.twitter.com/1wrightjojo", "1wrightjojo")</f>
        <v>1wrightjojo</v>
      </c>
      <c r="B16048" s="65" t="s">
        <v>8696</v>
      </c>
    </row>
    <row r="16049" spans="1:2" x14ac:dyDescent="0.25">
      <c r="A16049" s="64" t="str">
        <f>HYPERLINK("http://www.twitter.com/floz2003", "floz2003")</f>
        <v>floz2003</v>
      </c>
      <c r="B16049" s="65"/>
    </row>
    <row r="16050" spans="1:2" x14ac:dyDescent="0.25">
      <c r="A16050" s="64" t="str">
        <f>HYPERLINK("http://www.twitter.com/almhills", "almhills")</f>
        <v>almhills</v>
      </c>
      <c r="B16050" s="65" t="s">
        <v>138</v>
      </c>
    </row>
    <row r="16051" spans="1:2" x14ac:dyDescent="0.25">
      <c r="A16051" s="64" t="str">
        <f>HYPERLINK("http://www.twitter.com/LowsonJane", "LowsonJane")</f>
        <v>LowsonJane</v>
      </c>
      <c r="B16051" s="65" t="s">
        <v>569</v>
      </c>
    </row>
    <row r="16052" spans="1:2" x14ac:dyDescent="0.25">
      <c r="A16052" s="64" t="str">
        <f>HYPERLINK("http://www.twitter.com/SamIAmLibrarian", "SamIAmLibrarian")</f>
        <v>SamIAmLibrarian</v>
      </c>
      <c r="B16052" s="65"/>
    </row>
    <row r="16053" spans="1:2" x14ac:dyDescent="0.25">
      <c r="A16053" s="64" t="str">
        <f>HYPERLINK("http://www.twitter.com/Sirtweet8036", "Sirtweet8036")</f>
        <v>Sirtweet8036</v>
      </c>
      <c r="B16053" s="65" t="s">
        <v>1377</v>
      </c>
    </row>
    <row r="16054" spans="1:2" x14ac:dyDescent="0.25">
      <c r="A16054" s="64" t="str">
        <f>HYPERLINK("http://www.twitter.com/GillianMMoore", "GillianMMoore")</f>
        <v>GillianMMoore</v>
      </c>
      <c r="B16054" s="65"/>
    </row>
    <row r="16055" spans="1:2" x14ac:dyDescent="0.25">
      <c r="A16055" s="64" t="str">
        <f>HYPERLINK("http://www.twitter.com/moh_gema", "moh_gema")</f>
        <v>moh_gema</v>
      </c>
      <c r="B16055" s="65"/>
    </row>
    <row r="16056" spans="1:2" x14ac:dyDescent="0.25">
      <c r="A16056" s="64" t="str">
        <f>HYPERLINK("http://www.twitter.com/edinfoodsafari", "edinfoodsafari")</f>
        <v>edinfoodsafari</v>
      </c>
      <c r="B16056" s="65" t="s">
        <v>24</v>
      </c>
    </row>
    <row r="16057" spans="1:2" x14ac:dyDescent="0.25">
      <c r="A16057" s="64" t="str">
        <f>HYPERLINK("http://www.twitter.com/hcgal94", "hcgal94")</f>
        <v>hcgal94</v>
      </c>
      <c r="B16057" s="65" t="s">
        <v>2864</v>
      </c>
    </row>
    <row r="16058" spans="1:2" x14ac:dyDescent="0.25">
      <c r="A16058" s="64" t="str">
        <f>HYPERLINK("http://www.twitter.com/helzrod", "helzrod")</f>
        <v>helzrod</v>
      </c>
      <c r="B16058" s="65" t="s">
        <v>8697</v>
      </c>
    </row>
    <row r="16059" spans="1:2" x14ac:dyDescent="0.25">
      <c r="A16059" s="64" t="str">
        <f>HYPERLINK("http://www.twitter.com/liammurraybell", "liammurraybell")</f>
        <v>liammurraybell</v>
      </c>
      <c r="B16059" s="65"/>
    </row>
    <row r="16060" spans="1:2" x14ac:dyDescent="0.25">
      <c r="A16060" s="64" t="str">
        <f>HYPERLINK("http://www.twitter.com/cdeabaitua", "cdeabaitua")</f>
        <v>cdeabaitua</v>
      </c>
      <c r="B16060" s="65" t="s">
        <v>8698</v>
      </c>
    </row>
    <row r="16061" spans="1:2" x14ac:dyDescent="0.25">
      <c r="A16061" s="64" t="str">
        <f>HYPERLINK("http://www.twitter.com/JWRFH", "JWRFH")</f>
        <v>JWRFH</v>
      </c>
      <c r="B16061" s="65" t="s">
        <v>1490</v>
      </c>
    </row>
    <row r="16062" spans="1:2" x14ac:dyDescent="0.25">
      <c r="A16062" s="64" t="str">
        <f>HYPERLINK("http://www.twitter.com/clairesociolog", "clairesociolog")</f>
        <v>clairesociolog</v>
      </c>
      <c r="B16062" s="65"/>
    </row>
    <row r="16063" spans="1:2" x14ac:dyDescent="0.25">
      <c r="A16063" s="64" t="str">
        <f>HYPERLINK("http://www.twitter.com/VolunteeringMMU", "VolunteeringMMU")</f>
        <v>VolunteeringMMU</v>
      </c>
      <c r="B16063" s="65" t="s">
        <v>2289</v>
      </c>
    </row>
    <row r="16064" spans="1:2" x14ac:dyDescent="0.25">
      <c r="A16064" s="64" t="str">
        <f>HYPERLINK("http://www.twitter.com/rapscallionp", "rapscallionp")</f>
        <v>rapscallionp</v>
      </c>
      <c r="B16064" s="65" t="s">
        <v>110</v>
      </c>
    </row>
    <row r="16065" spans="1:2" x14ac:dyDescent="0.25">
      <c r="A16065" s="64" t="str">
        <f>HYPERLINK("http://www.twitter.com/LCBlibrary", "LCBlibrary")</f>
        <v>LCBlibrary</v>
      </c>
      <c r="B16065" s="65" t="s">
        <v>93</v>
      </c>
    </row>
    <row r="16066" spans="1:2" x14ac:dyDescent="0.25">
      <c r="A16066" s="64" t="str">
        <f>HYPERLINK("http://www.twitter.com/ashTV", "ashTV")</f>
        <v>ashTV</v>
      </c>
      <c r="B16066" s="65" t="s">
        <v>477</v>
      </c>
    </row>
    <row r="16067" spans="1:2" x14ac:dyDescent="0.25">
      <c r="A16067" s="64" t="str">
        <f>HYPERLINK("http://www.twitter.com/ALIAinWA", "ALIAinWA")</f>
        <v>ALIAinWA</v>
      </c>
      <c r="B16067" s="65" t="s">
        <v>4129</v>
      </c>
    </row>
    <row r="16068" spans="1:2" x14ac:dyDescent="0.25">
      <c r="A16068" s="64" t="str">
        <f>HYPERLINK("http://www.twitter.com/DorianHepburn", "DorianHepburn")</f>
        <v>DorianHepburn</v>
      </c>
      <c r="B16068" s="65" t="s">
        <v>8699</v>
      </c>
    </row>
    <row r="16069" spans="1:2" x14ac:dyDescent="0.25">
      <c r="A16069" s="64" t="str">
        <f>HYPERLINK("http://www.twitter.com/NumbersAGangsta", "NumbersAGangsta")</f>
        <v>NumbersAGangsta</v>
      </c>
      <c r="B16069" s="65" t="s">
        <v>8700</v>
      </c>
    </row>
    <row r="16070" spans="1:2" x14ac:dyDescent="0.25">
      <c r="A16070" s="64" t="str">
        <f>HYPERLINK("http://www.twitter.com/gempaws", "gempaws")</f>
        <v>gempaws</v>
      </c>
      <c r="B16070" s="65" t="s">
        <v>8701</v>
      </c>
    </row>
    <row r="16071" spans="1:2" x14ac:dyDescent="0.25">
      <c r="A16071" s="64" t="str">
        <f>HYPERLINK("http://www.twitter.com/barmybecx", "barmybecx")</f>
        <v>barmybecx</v>
      </c>
      <c r="B16071" s="65"/>
    </row>
    <row r="16072" spans="1:2" x14ac:dyDescent="0.25">
      <c r="A16072" s="64" t="str">
        <f>HYPERLINK("http://www.twitter.com/LibrariandyW", "LibrariandyW")</f>
        <v>LibrariandyW</v>
      </c>
      <c r="B16072" s="65" t="s">
        <v>8593</v>
      </c>
    </row>
    <row r="16073" spans="1:2" x14ac:dyDescent="0.25">
      <c r="A16073" s="64" t="str">
        <f>HYPERLINK("http://www.twitter.com/ExploreArgyll", "ExploreArgyll")</f>
        <v>ExploreArgyll</v>
      </c>
      <c r="B16073" s="65" t="s">
        <v>8702</v>
      </c>
    </row>
    <row r="16074" spans="1:2" x14ac:dyDescent="0.25">
      <c r="A16074" s="64" t="str">
        <f>HYPERLINK("http://www.twitter.com/The_JHS", "The_JHS")</f>
        <v>The_JHS</v>
      </c>
      <c r="B16074" s="65" t="s">
        <v>248</v>
      </c>
    </row>
    <row r="16075" spans="1:2" x14ac:dyDescent="0.25">
      <c r="A16075" s="64" t="str">
        <f>HYPERLINK("http://www.twitter.com/educationgovuk", "educationgovuk")</f>
        <v>educationgovuk</v>
      </c>
      <c r="B16075" s="65" t="s">
        <v>110</v>
      </c>
    </row>
    <row r="16076" spans="1:2" x14ac:dyDescent="0.25">
      <c r="A16076" s="64" t="str">
        <f>HYPERLINK("http://www.twitter.com/AndyCobley", "AndyCobley")</f>
        <v>AndyCobley</v>
      </c>
      <c r="B16076" s="65" t="s">
        <v>8703</v>
      </c>
    </row>
    <row r="16077" spans="1:2" x14ac:dyDescent="0.25">
      <c r="A16077" s="64" t="str">
        <f>HYPERLINK("http://www.twitter.com/rmarz44", "rmarz44")</f>
        <v>rmarz44</v>
      </c>
      <c r="B16077" s="65"/>
    </row>
    <row r="16078" spans="1:2" x14ac:dyDescent="0.25">
      <c r="A16078" s="64" t="str">
        <f>HYPERLINK("http://www.twitter.com/TheRaceTool", "TheRaceTool")</f>
        <v>TheRaceTool</v>
      </c>
      <c r="B16078" s="65" t="s">
        <v>8704</v>
      </c>
    </row>
    <row r="16079" spans="1:2" x14ac:dyDescent="0.25">
      <c r="A16079" s="64" t="str">
        <f>HYPERLINK("http://www.twitter.com/ChoIe", "ChoIe")</f>
        <v>ChoIe</v>
      </c>
      <c r="B16079" s="65" t="s">
        <v>8705</v>
      </c>
    </row>
    <row r="16080" spans="1:2" x14ac:dyDescent="0.25">
      <c r="A16080" s="64" t="str">
        <f>HYPERLINK("http://www.twitter.com/julianhyde", "julianhyde")</f>
        <v>julianhyde</v>
      </c>
      <c r="B16080" s="65" t="s">
        <v>8706</v>
      </c>
    </row>
    <row r="16081" spans="1:2" x14ac:dyDescent="0.25">
      <c r="A16081" s="64" t="str">
        <f>HYPERLINK("http://www.twitter.com/skippyadam", "skippyadam")</f>
        <v>skippyadam</v>
      </c>
      <c r="B16081" s="65"/>
    </row>
    <row r="16082" spans="1:2" x14ac:dyDescent="0.25">
      <c r="A16082" s="64" t="str">
        <f>HYPERLINK("http://www.twitter.com/theamelah", "theamelah")</f>
        <v>theamelah</v>
      </c>
      <c r="B16082" s="65" t="s">
        <v>8707</v>
      </c>
    </row>
    <row r="16083" spans="1:2" x14ac:dyDescent="0.25">
      <c r="A16083" s="64" t="str">
        <f>HYPERLINK("http://www.twitter.com/bountyhuntergri", "bountyhuntergri")</f>
        <v>bountyhuntergri</v>
      </c>
      <c r="B16083" s="65" t="s">
        <v>8708</v>
      </c>
    </row>
    <row r="16084" spans="1:2" x14ac:dyDescent="0.25">
      <c r="A16084" s="64" t="str">
        <f>HYPERLINK("http://www.twitter.com/chrisvdk", "chrisvdk")</f>
        <v>chrisvdk</v>
      </c>
      <c r="B16084" s="65" t="s">
        <v>8709</v>
      </c>
    </row>
    <row r="16085" spans="1:2" x14ac:dyDescent="0.25">
      <c r="A16085" s="64" t="str">
        <f>HYPERLINK("http://www.twitter.com/kophoogte", "kophoogte")</f>
        <v>kophoogte</v>
      </c>
      <c r="B16085" s="65"/>
    </row>
    <row r="16086" spans="1:2" x14ac:dyDescent="0.25">
      <c r="A16086" s="64" t="str">
        <f>HYPERLINK("http://www.twitter.com/HudsonJohnson", "HudsonJohnson")</f>
        <v>HudsonJohnson</v>
      </c>
      <c r="B16086" s="65"/>
    </row>
    <row r="16087" spans="1:2" x14ac:dyDescent="0.25">
      <c r="A16087" s="64" t="str">
        <f>HYPERLINK("http://www.twitter.com/sofiacake13", "sofiacake13")</f>
        <v>sofiacake13</v>
      </c>
      <c r="B16087" s="65"/>
    </row>
    <row r="16088" spans="1:2" x14ac:dyDescent="0.25">
      <c r="A16088" s="64" t="str">
        <f>HYPERLINK("http://www.twitter.com/nawzad_kurdish", "nawzad_kurdish")</f>
        <v>nawzad_kurdish</v>
      </c>
      <c r="B16088" s="65" t="s">
        <v>8710</v>
      </c>
    </row>
    <row r="16089" spans="1:2" x14ac:dyDescent="0.25">
      <c r="A16089" s="64" t="str">
        <f>HYPERLINK("http://www.twitter.com/calvinsivier", "calvinsivier")</f>
        <v>calvinsivier</v>
      </c>
      <c r="B16089" s="65"/>
    </row>
    <row r="16090" spans="1:2" x14ac:dyDescent="0.25">
      <c r="A16090" s="64" t="str">
        <f>HYPERLINK("http://www.twitter.com/bellemo", "bellemo")</f>
        <v>bellemo</v>
      </c>
      <c r="B16090" s="65" t="s">
        <v>8711</v>
      </c>
    </row>
    <row r="16091" spans="1:2" x14ac:dyDescent="0.25">
      <c r="A16091" s="64" t="str">
        <f>HYPERLINK("http://www.twitter.com/peterc", "peterc")</f>
        <v>peterc</v>
      </c>
      <c r="B16091" s="65" t="s">
        <v>8712</v>
      </c>
    </row>
    <row r="16092" spans="1:2" x14ac:dyDescent="0.25">
      <c r="A16092" s="64" t="str">
        <f>HYPERLINK("http://www.twitter.com/suziemarine", "suziemarine")</f>
        <v>suziemarine</v>
      </c>
      <c r="B16092" s="65" t="s">
        <v>8713</v>
      </c>
    </row>
    <row r="16093" spans="1:2" x14ac:dyDescent="0.25">
      <c r="A16093" s="64" t="str">
        <f>HYPERLINK("http://www.twitter.com/fiscott74", "fiscott74")</f>
        <v>fiscott74</v>
      </c>
      <c r="B16093" s="65" t="s">
        <v>517</v>
      </c>
    </row>
    <row r="16094" spans="1:2" x14ac:dyDescent="0.25">
      <c r="A16094" s="64" t="str">
        <f>HYPERLINK("http://www.twitter.com/sampoat", "sampoat")</f>
        <v>sampoat</v>
      </c>
      <c r="B16094" s="65" t="s">
        <v>8714</v>
      </c>
    </row>
    <row r="16095" spans="1:2" x14ac:dyDescent="0.25">
      <c r="A16095" s="64" t="str">
        <f>HYPERLINK("http://www.twitter.com/calalalala", "calalalala")</f>
        <v>calalalala</v>
      </c>
      <c r="B16095" s="65" t="s">
        <v>8715</v>
      </c>
    </row>
    <row r="16096" spans="1:2" x14ac:dyDescent="0.25">
      <c r="A16096" s="64" t="str">
        <f>HYPERLINK("http://www.twitter.com/AReddikiran", "AReddikiran")</f>
        <v>AReddikiran</v>
      </c>
      <c r="B16096" s="65"/>
    </row>
    <row r="16097" spans="1:2" x14ac:dyDescent="0.25">
      <c r="A16097" s="64" t="str">
        <f>HYPERLINK("http://www.twitter.com/BLUESKY20", "BLUESKY20")</f>
        <v>BLUESKY20</v>
      </c>
      <c r="B16097" s="65" t="s">
        <v>8716</v>
      </c>
    </row>
    <row r="16098" spans="1:2" x14ac:dyDescent="0.25">
      <c r="A16098" s="64" t="str">
        <f>HYPERLINK("http://www.twitter.com/KirstyGold", "KirstyGold")</f>
        <v>KirstyGold</v>
      </c>
      <c r="B16098" s="65"/>
    </row>
    <row r="16099" spans="1:2" x14ac:dyDescent="0.25">
      <c r="A16099" s="64" t="str">
        <f>HYPERLINK("http://www.twitter.com/mrphildog", "mrphildog")</f>
        <v>mrphildog</v>
      </c>
      <c r="B16099" s="65" t="s">
        <v>3850</v>
      </c>
    </row>
    <row r="16100" spans="1:2" x14ac:dyDescent="0.25">
      <c r="A16100" s="64" t="str">
        <f>HYPERLINK("http://www.twitter.com/skynewsniall", "skynewsniall")</f>
        <v>skynewsniall</v>
      </c>
      <c r="B16100" s="65" t="s">
        <v>8717</v>
      </c>
    </row>
    <row r="16101" spans="1:2" x14ac:dyDescent="0.25">
      <c r="A16101" s="64" t="str">
        <f>HYPERLINK("http://www.twitter.com/racheeeelxo", "racheeeelxo")</f>
        <v>racheeeelxo</v>
      </c>
      <c r="B16101" s="65" t="s">
        <v>138</v>
      </c>
    </row>
    <row r="16102" spans="1:2" x14ac:dyDescent="0.25">
      <c r="A16102" s="64" t="str">
        <f>HYPERLINK("http://www.twitter.com/ianralph", "ianralph")</f>
        <v>ianralph</v>
      </c>
      <c r="B16102" s="65"/>
    </row>
    <row r="16103" spans="1:2" x14ac:dyDescent="0.25">
      <c r="A16103" s="64" t="str">
        <f>HYPERLINK("http://www.twitter.com/juliakite", "juliakite")</f>
        <v>juliakite</v>
      </c>
      <c r="B16103" s="65" t="s">
        <v>5819</v>
      </c>
    </row>
    <row r="16104" spans="1:2" x14ac:dyDescent="0.25">
      <c r="A16104" s="64" t="str">
        <f>HYPERLINK("http://www.twitter.com/Antoshko84", "Antoshko84")</f>
        <v>Antoshko84</v>
      </c>
      <c r="B16104" s="65"/>
    </row>
    <row r="16105" spans="1:2" x14ac:dyDescent="0.25">
      <c r="A16105" s="64" t="str">
        <f>HYPERLINK("http://www.twitter.com/CrimeFest", "CrimeFest")</f>
        <v>CrimeFest</v>
      </c>
      <c r="B16105" s="65" t="s">
        <v>1873</v>
      </c>
    </row>
    <row r="16106" spans="1:2" x14ac:dyDescent="0.25">
      <c r="A16106" s="64" t="str">
        <f>HYPERLINK("http://www.twitter.com/hackneylibs", "hackneylibs")</f>
        <v>hackneylibs</v>
      </c>
      <c r="B16106" s="65" t="s">
        <v>3633</v>
      </c>
    </row>
    <row r="16107" spans="1:2" x14ac:dyDescent="0.25">
      <c r="A16107" s="64" t="str">
        <f>HYPERLINK("http://www.twitter.com/WorthPinkham_ML", "WorthPinkham_ML")</f>
        <v>WorthPinkham_ML</v>
      </c>
      <c r="B16107" s="65" t="s">
        <v>8718</v>
      </c>
    </row>
    <row r="16108" spans="1:2" x14ac:dyDescent="0.25">
      <c r="A16108" s="64" t="str">
        <f>HYPERLINK("http://www.twitter.com/JaniceErnest", "JaniceErnest")</f>
        <v>JaniceErnest</v>
      </c>
      <c r="B16108" s="65" t="s">
        <v>8719</v>
      </c>
    </row>
    <row r="16109" spans="1:2" x14ac:dyDescent="0.25">
      <c r="A16109" s="64" t="str">
        <f>HYPERLINK("http://www.twitter.com/LGiUScotland", "LGiUScotland")</f>
        <v>LGiUScotland</v>
      </c>
      <c r="B16109" s="65"/>
    </row>
    <row r="16110" spans="1:2" x14ac:dyDescent="0.25">
      <c r="A16110" s="64" t="str">
        <f>HYPERLINK("http://www.twitter.com/oh_archives", "oh_archives")</f>
        <v>oh_archives</v>
      </c>
      <c r="B16110" s="65" t="s">
        <v>318</v>
      </c>
    </row>
    <row r="16111" spans="1:2" x14ac:dyDescent="0.25">
      <c r="A16111" s="64" t="str">
        <f>HYPERLINK("http://www.twitter.com/WendyTurner", "WendyTurner")</f>
        <v>WendyTurner</v>
      </c>
      <c r="B16111" s="65" t="s">
        <v>8720</v>
      </c>
    </row>
    <row r="16112" spans="1:2" x14ac:dyDescent="0.25">
      <c r="A16112" s="64" t="str">
        <f>HYPERLINK("http://www.twitter.com/LGlenhaven", "LGlenhaven")</f>
        <v>LGlenhaven</v>
      </c>
      <c r="B16112" s="65" t="s">
        <v>8721</v>
      </c>
    </row>
    <row r="16113" spans="1:2" x14ac:dyDescent="0.25">
      <c r="A16113" s="64" t="str">
        <f>HYPERLINK("http://www.twitter.com/zola19781", "zola19781")</f>
        <v>zola19781</v>
      </c>
      <c r="B16113" s="65"/>
    </row>
    <row r="16114" spans="1:2" x14ac:dyDescent="0.25">
      <c r="A16114" s="64" t="str">
        <f>HYPERLINK("http://www.twitter.com/mikekilpatrick", "mikekilpatrick")</f>
        <v>mikekilpatrick</v>
      </c>
      <c r="B16114" s="65" t="s">
        <v>5540</v>
      </c>
    </row>
    <row r="16115" spans="1:2" x14ac:dyDescent="0.25">
      <c r="A16115" s="64" t="str">
        <f>HYPERLINK("http://www.twitter.com/swansonbooks", "swansonbooks")</f>
        <v>swansonbooks</v>
      </c>
      <c r="B16115" s="65"/>
    </row>
    <row r="16116" spans="1:2" x14ac:dyDescent="0.25">
      <c r="A16116" s="64" t="str">
        <f>HYPERLINK("http://www.twitter.com/jenhallwood", "jenhallwood")</f>
        <v>jenhallwood</v>
      </c>
      <c r="B16116" s="65" t="s">
        <v>8722</v>
      </c>
    </row>
    <row r="16117" spans="1:2" x14ac:dyDescent="0.25">
      <c r="A16117" s="64" t="str">
        <f>HYPERLINK("http://www.twitter.com/OakMothBooks", "OakMothBooks")</f>
        <v>OakMothBooks</v>
      </c>
      <c r="B16117" s="65" t="s">
        <v>1377</v>
      </c>
    </row>
    <row r="16118" spans="1:2" x14ac:dyDescent="0.25">
      <c r="A16118" s="64" t="str">
        <f>HYPERLINK("http://www.twitter.com/playitagain_uk", "playitagain_uk")</f>
        <v>playitagain_uk</v>
      </c>
      <c r="B16118" s="65" t="s">
        <v>5301</v>
      </c>
    </row>
    <row r="16119" spans="1:2" x14ac:dyDescent="0.25">
      <c r="A16119" s="64" t="str">
        <f>HYPERLINK("http://www.twitter.com/elbieinwaterloo", "elbieinwaterloo")</f>
        <v>elbieinwaterloo</v>
      </c>
      <c r="B16119" s="65" t="s">
        <v>8723</v>
      </c>
    </row>
    <row r="16120" spans="1:2" x14ac:dyDescent="0.25">
      <c r="A16120" s="64" t="str">
        <f>HYPERLINK("http://www.twitter.com/TRPLteens", "TRPLteens")</f>
        <v>TRPLteens</v>
      </c>
      <c r="B16120" s="65" t="s">
        <v>8724</v>
      </c>
    </row>
    <row r="16121" spans="1:2" x14ac:dyDescent="0.25">
      <c r="A16121" s="64" t="str">
        <f>HYPERLINK("http://www.twitter.com/sashadebuyl", "sashadebuyl")</f>
        <v>sashadebuyl</v>
      </c>
      <c r="B16121" s="65" t="s">
        <v>24</v>
      </c>
    </row>
    <row r="16122" spans="1:2" x14ac:dyDescent="0.25">
      <c r="A16122" s="64" t="str">
        <f>HYPERLINK("http://www.twitter.com/EHS_Library", "EHS_Library")</f>
        <v>EHS_Library</v>
      </c>
      <c r="B16122" s="65" t="s">
        <v>8725</v>
      </c>
    </row>
    <row r="16123" spans="1:2" x14ac:dyDescent="0.25">
      <c r="A16123" s="64" t="str">
        <f>HYPERLINK("http://www.twitter.com/RhysLib", "RhysLib")</f>
        <v>RhysLib</v>
      </c>
      <c r="B16123" s="65" t="s">
        <v>8726</v>
      </c>
    </row>
    <row r="16124" spans="1:2" x14ac:dyDescent="0.25">
      <c r="A16124" s="64" t="str">
        <f>HYPERLINK("http://www.twitter.com/newsheep2", "newsheep2")</f>
        <v>newsheep2</v>
      </c>
      <c r="B16124" s="65"/>
    </row>
    <row r="16125" spans="1:2" x14ac:dyDescent="0.25">
      <c r="A16125" s="64" t="str">
        <f>HYPERLINK("http://www.twitter.com/LostJohnny1", "LostJohnny1")</f>
        <v>LostJohnny1</v>
      </c>
      <c r="B16125" s="65"/>
    </row>
    <row r="16126" spans="1:2" x14ac:dyDescent="0.25">
      <c r="A16126" s="64" t="str">
        <f>HYPERLINK("http://www.twitter.com/ianduncan7_ian", "ianduncan7_ian")</f>
        <v>ianduncan7_ian</v>
      </c>
      <c r="B16126" s="65" t="s">
        <v>8727</v>
      </c>
    </row>
    <row r="16127" spans="1:2" x14ac:dyDescent="0.25">
      <c r="A16127" s="64" t="str">
        <f>HYPERLINK("http://www.twitter.com/DevanBrie", "DevanBrie")</f>
        <v>DevanBrie</v>
      </c>
      <c r="B16127" s="65" t="s">
        <v>4255</v>
      </c>
    </row>
    <row r="16128" spans="1:2" x14ac:dyDescent="0.25">
      <c r="A16128" s="64" t="str">
        <f>HYPERLINK("http://www.twitter.com/yalelibrary", "yalelibrary")</f>
        <v>yalelibrary</v>
      </c>
      <c r="B16128" s="65" t="s">
        <v>8728</v>
      </c>
    </row>
    <row r="16129" spans="1:2" x14ac:dyDescent="0.25">
      <c r="A16129" s="64" t="str">
        <f>HYPERLINK("http://www.twitter.com/FintelAnswers", "FintelAnswers")</f>
        <v>FintelAnswers</v>
      </c>
      <c r="B16129" s="65"/>
    </row>
    <row r="16130" spans="1:2" x14ac:dyDescent="0.25">
      <c r="A16130" s="64" t="str">
        <f>HYPERLINK("http://www.twitter.com/rerooney", "rerooney")</f>
        <v>rerooney</v>
      </c>
      <c r="B16130" s="65"/>
    </row>
    <row r="16131" spans="1:2" x14ac:dyDescent="0.25">
      <c r="A16131" s="64" t="str">
        <f>HYPERLINK("http://www.twitter.com/EctorCoLibrary", "EctorCoLibrary")</f>
        <v>EctorCoLibrary</v>
      </c>
      <c r="B16131" s="65" t="s">
        <v>8729</v>
      </c>
    </row>
    <row r="16132" spans="1:2" x14ac:dyDescent="0.25">
      <c r="A16132" s="64" t="str">
        <f>HYPERLINK("http://www.twitter.com/tkaspo", "tkaspo")</f>
        <v>tkaspo</v>
      </c>
      <c r="B16132" s="65" t="s">
        <v>4329</v>
      </c>
    </row>
    <row r="16133" spans="1:2" x14ac:dyDescent="0.25">
      <c r="A16133" s="64" t="str">
        <f>HYPERLINK("http://www.twitter.com/anaroxyrox", "anaroxyrox")</f>
        <v>anaroxyrox</v>
      </c>
      <c r="B16133" s="65"/>
    </row>
    <row r="16134" spans="1:2" x14ac:dyDescent="0.25">
      <c r="A16134" s="64" t="str">
        <f>HYPERLINK("http://www.twitter.com/cryptbooks", "cryptbooks")</f>
        <v>cryptbooks</v>
      </c>
      <c r="B16134" s="65" t="s">
        <v>8730</v>
      </c>
    </row>
    <row r="16135" spans="1:2" x14ac:dyDescent="0.25">
      <c r="A16135" s="64" t="str">
        <f>HYPERLINK("http://www.twitter.com/SupportTCPL", "SupportTCPL")</f>
        <v>SupportTCPL</v>
      </c>
      <c r="B16135" s="65" t="s">
        <v>8731</v>
      </c>
    </row>
    <row r="16136" spans="1:2" x14ac:dyDescent="0.25">
      <c r="A16136" s="64" t="str">
        <f>HYPERLINK("http://www.twitter.com/ForewordReviews", "ForewordReviews")</f>
        <v>ForewordReviews</v>
      </c>
      <c r="B16136" s="65" t="s">
        <v>8732</v>
      </c>
    </row>
    <row r="16137" spans="1:2" x14ac:dyDescent="0.25">
      <c r="A16137" s="64" t="str">
        <f>HYPERLINK("http://www.twitter.com/Sheltie2014", "Sheltie2014")</f>
        <v>Sheltie2014</v>
      </c>
      <c r="B16137" s="65"/>
    </row>
    <row r="16138" spans="1:2" x14ac:dyDescent="0.25">
      <c r="A16138" s="64" t="str">
        <f>HYPERLINK("http://www.twitter.com/hillaryemma", "hillaryemma")</f>
        <v>hillaryemma</v>
      </c>
      <c r="B16138" s="65"/>
    </row>
    <row r="16139" spans="1:2" x14ac:dyDescent="0.25">
      <c r="A16139" s="64" t="str">
        <f>HYPERLINK("http://www.twitter.com/OrlandPkLibrary", "OrlandPkLibrary")</f>
        <v>OrlandPkLibrary</v>
      </c>
      <c r="B16139" s="65" t="s">
        <v>8733</v>
      </c>
    </row>
    <row r="16140" spans="1:2" x14ac:dyDescent="0.25">
      <c r="A16140" s="64" t="str">
        <f>HYPERLINK("http://www.twitter.com/imterradactyl", "imterradactyl")</f>
        <v>imterradactyl</v>
      </c>
      <c r="B16140" s="65" t="s">
        <v>3979</v>
      </c>
    </row>
    <row r="16141" spans="1:2" x14ac:dyDescent="0.25">
      <c r="A16141" s="64" t="str">
        <f>HYPERLINK("http://www.twitter.com/MauryCoLibrary", "MauryCoLibrary")</f>
        <v>MauryCoLibrary</v>
      </c>
      <c r="B16141" s="65" t="s">
        <v>8734</v>
      </c>
    </row>
    <row r="16142" spans="1:2" x14ac:dyDescent="0.25">
      <c r="A16142" s="64" t="str">
        <f>HYPERLINK("http://www.twitter.com/aliaskippa", "aliaskippa")</f>
        <v>aliaskippa</v>
      </c>
      <c r="B16142" s="65" t="s">
        <v>711</v>
      </c>
    </row>
    <row r="16143" spans="1:2" x14ac:dyDescent="0.25">
      <c r="A16143" s="64" t="str">
        <f>HYPERLINK("http://www.twitter.com/markwsrichards", "markwsrichards")</f>
        <v>markwsrichards</v>
      </c>
      <c r="B16143" s="65"/>
    </row>
    <row r="16144" spans="1:2" x14ac:dyDescent="0.25">
      <c r="A16144" s="64" t="str">
        <f>HYPERLINK("http://www.twitter.com/Deb1234u", "Deb1234u")</f>
        <v>Deb1234u</v>
      </c>
      <c r="B16144" s="65"/>
    </row>
    <row r="16145" spans="1:2" x14ac:dyDescent="0.25">
      <c r="A16145" s="64" t="str">
        <f>HYPERLINK("http://www.twitter.com/Larns___", "Larns___")</f>
        <v>Larns___</v>
      </c>
      <c r="B16145" s="65" t="s">
        <v>5045</v>
      </c>
    </row>
    <row r="16146" spans="1:2" x14ac:dyDescent="0.25">
      <c r="A16146" s="64" t="str">
        <f>HYPERLINK("http://www.twitter.com/ZombieHotrod", "ZombieHotrod")</f>
        <v>ZombieHotrod</v>
      </c>
      <c r="B16146" s="65" t="s">
        <v>8735</v>
      </c>
    </row>
    <row r="16147" spans="1:2" x14ac:dyDescent="0.25">
      <c r="A16147" s="64" t="str">
        <f>HYPERLINK("http://www.twitter.com/orkneyfisheries", "orkneyfisheries")</f>
        <v>orkneyfisheries</v>
      </c>
      <c r="B16147" s="65" t="s">
        <v>20</v>
      </c>
    </row>
    <row r="16148" spans="1:2" x14ac:dyDescent="0.25">
      <c r="A16148" s="64" t="str">
        <f>HYPERLINK("http://www.twitter.com/crhinesmith", "crhinesmith")</f>
        <v>crhinesmith</v>
      </c>
      <c r="B16148" s="65" t="s">
        <v>4632</v>
      </c>
    </row>
    <row r="16149" spans="1:2" x14ac:dyDescent="0.25">
      <c r="A16149" s="64" t="str">
        <f>HYPERLINK("http://www.twitter.com/elecglen", "elecglen")</f>
        <v>elecglen</v>
      </c>
      <c r="B16149" s="65" t="s">
        <v>8736</v>
      </c>
    </row>
    <row r="16150" spans="1:2" x14ac:dyDescent="0.25">
      <c r="A16150" s="64" t="str">
        <f>HYPERLINK("http://www.twitter.com/GorlestonLib", "GorlestonLib")</f>
        <v>GorlestonLib</v>
      </c>
      <c r="B16150" s="65" t="s">
        <v>1577</v>
      </c>
    </row>
    <row r="16151" spans="1:2" x14ac:dyDescent="0.25">
      <c r="A16151" s="64" t="str">
        <f>HYPERLINK("http://www.twitter.com/Clarafoyers", "Clarafoyers")</f>
        <v>Clarafoyers</v>
      </c>
      <c r="B16151" s="65" t="s">
        <v>8737</v>
      </c>
    </row>
    <row r="16152" spans="1:2" x14ac:dyDescent="0.25">
      <c r="A16152" s="64" t="str">
        <f>HYPERLINK("http://www.twitter.com/faisalk71738029", "faisalk71738029")</f>
        <v>faisalk71738029</v>
      </c>
      <c r="B16152" s="65"/>
    </row>
    <row r="16153" spans="1:2" x14ac:dyDescent="0.25">
      <c r="A16153" s="64" t="str">
        <f>HYPERLINK("http://www.twitter.com/monavalelibrary", "monavalelibrary")</f>
        <v>monavalelibrary</v>
      </c>
      <c r="B16153" s="65"/>
    </row>
    <row r="16154" spans="1:2" x14ac:dyDescent="0.25">
      <c r="A16154" s="64" t="str">
        <f>HYPERLINK("http://www.twitter.com/RSmith1244", "RSmith1244")</f>
        <v>RSmith1244</v>
      </c>
      <c r="B16154" s="65" t="s">
        <v>4497</v>
      </c>
    </row>
    <row r="16155" spans="1:2" x14ac:dyDescent="0.25">
      <c r="A16155" s="64" t="str">
        <f>HYPERLINK("http://www.twitter.com/AmusedNonQueen", "AmusedNonQueen")</f>
        <v>AmusedNonQueen</v>
      </c>
      <c r="B16155" s="65" t="s">
        <v>1739</v>
      </c>
    </row>
    <row r="16156" spans="1:2" x14ac:dyDescent="0.25">
      <c r="A16156" s="64" t="str">
        <f>HYPERLINK("http://www.twitter.com/colmackin", "colmackin")</f>
        <v>colmackin</v>
      </c>
      <c r="B16156" s="65" t="s">
        <v>8738</v>
      </c>
    </row>
    <row r="16157" spans="1:2" x14ac:dyDescent="0.25">
      <c r="A16157" s="64" t="str">
        <f>HYPERLINK("http://www.twitter.com/poetry_upload", "poetry_upload")</f>
        <v>poetry_upload</v>
      </c>
      <c r="B16157" s="65"/>
    </row>
    <row r="16158" spans="1:2" x14ac:dyDescent="0.25">
      <c r="A16158" s="64" t="str">
        <f>HYPERLINK("http://www.twitter.com/watson_mione", "watson_mione")</f>
        <v>watson_mione</v>
      </c>
      <c r="B16158" s="65"/>
    </row>
    <row r="16159" spans="1:2" x14ac:dyDescent="0.25">
      <c r="A16159" s="64" t="str">
        <f>HYPERLINK("http://www.twitter.com/tamsinkitson", "tamsinkitson")</f>
        <v>tamsinkitson</v>
      </c>
      <c r="B16159" s="65" t="s">
        <v>36</v>
      </c>
    </row>
    <row r="16160" spans="1:2" x14ac:dyDescent="0.25">
      <c r="A16160" s="64" t="str">
        <f>HYPERLINK("http://www.twitter.com/MergentIndustry", "MergentIndustry")</f>
        <v>MergentIndustry</v>
      </c>
      <c r="B16160" s="65" t="s">
        <v>8739</v>
      </c>
    </row>
    <row r="16161" spans="1:2" x14ac:dyDescent="0.25">
      <c r="A16161" s="64" t="str">
        <f>HYPERLINK("http://www.twitter.com/KimberlyBryce", "KimberlyBryce")</f>
        <v>KimberlyBryce</v>
      </c>
      <c r="B16161" s="65" t="s">
        <v>318</v>
      </c>
    </row>
    <row r="16162" spans="1:2" x14ac:dyDescent="0.25">
      <c r="A16162" s="64" t="str">
        <f>HYPERLINK("http://www.twitter.com/LeonieJune", "LeonieJune")</f>
        <v>LeonieJune</v>
      </c>
      <c r="B16162" s="65" t="s">
        <v>8740</v>
      </c>
    </row>
    <row r="16163" spans="1:2" x14ac:dyDescent="0.25">
      <c r="A16163" s="64" t="str">
        <f>HYPERLINK("http://www.twitter.com/isaa824", "isaa824")</f>
        <v>isaa824</v>
      </c>
      <c r="B16163" s="65"/>
    </row>
    <row r="16164" spans="1:2" x14ac:dyDescent="0.25">
      <c r="A16164" s="64" t="str">
        <f>HYPERLINK("http://www.twitter.com/curiousfable", "curiousfable")</f>
        <v>curiousfable</v>
      </c>
      <c r="B16164" s="65"/>
    </row>
    <row r="16165" spans="1:2" x14ac:dyDescent="0.25">
      <c r="A16165" s="64" t="str">
        <f>HYPERLINK("http://www.twitter.com/jj_gall", "jj_gall")</f>
        <v>jj_gall</v>
      </c>
      <c r="B16165" s="65" t="s">
        <v>4049</v>
      </c>
    </row>
    <row r="16166" spans="1:2" x14ac:dyDescent="0.25">
      <c r="A16166" s="64" t="str">
        <f>HYPERLINK("http://www.twitter.com/BruceEMcWilliam", "BruceEMcWilliam")</f>
        <v>BruceEMcWilliam</v>
      </c>
      <c r="B16166" s="65" t="s">
        <v>5313</v>
      </c>
    </row>
    <row r="16167" spans="1:2" x14ac:dyDescent="0.25">
      <c r="A16167" s="64" t="str">
        <f>HYPERLINK("http://www.twitter.com/d_mac_kay", "d_mac_kay")</f>
        <v>d_mac_kay</v>
      </c>
      <c r="B16167" s="65"/>
    </row>
    <row r="16168" spans="1:2" x14ac:dyDescent="0.25">
      <c r="A16168" s="64" t="str">
        <f>HYPERLINK("http://www.twitter.com/ravencrime", "ravencrime")</f>
        <v>ravencrime</v>
      </c>
      <c r="B16168" s="65" t="s">
        <v>296</v>
      </c>
    </row>
    <row r="16169" spans="1:2" x14ac:dyDescent="0.25">
      <c r="A16169" s="64" t="str">
        <f>HYPERLINK("http://www.twitter.com/taminator40", "taminator40")</f>
        <v>taminator40</v>
      </c>
      <c r="B16169" s="65" t="s">
        <v>5139</v>
      </c>
    </row>
    <row r="16170" spans="1:2" x14ac:dyDescent="0.25">
      <c r="A16170" s="64" t="str">
        <f>HYPERLINK("http://www.twitter.com/AliceFerrebe", "AliceFerrebe")</f>
        <v>AliceFerrebe</v>
      </c>
      <c r="B16170" s="65"/>
    </row>
    <row r="16171" spans="1:2" x14ac:dyDescent="0.25">
      <c r="A16171" s="64" t="str">
        <f>HYPERLINK("http://www.twitter.com/B40Maxi", "B40Maxi")</f>
        <v>B40Maxi</v>
      </c>
      <c r="B16171" s="65" t="s">
        <v>8741</v>
      </c>
    </row>
    <row r="16172" spans="1:2" x14ac:dyDescent="0.25">
      <c r="A16172" s="64" t="str">
        <f>HYPERLINK("http://www.twitter.com/Daniel9975", "Daniel9975")</f>
        <v>Daniel9975</v>
      </c>
      <c r="B16172" s="65"/>
    </row>
    <row r="16173" spans="1:2" x14ac:dyDescent="0.25">
      <c r="A16173" s="64" t="str">
        <f>HYPERLINK("http://www.twitter.com/Graeme_Horsfall", "Graeme_Horsfall")</f>
        <v>Graeme_Horsfall</v>
      </c>
      <c r="B16173" s="65" t="s">
        <v>296</v>
      </c>
    </row>
    <row r="16174" spans="1:2" x14ac:dyDescent="0.25">
      <c r="A16174" s="64" t="str">
        <f>HYPERLINK("http://www.twitter.com/charm972", "charm972")</f>
        <v>charm972</v>
      </c>
      <c r="B16174" s="65" t="s">
        <v>8742</v>
      </c>
    </row>
    <row r="16175" spans="1:2" x14ac:dyDescent="0.25">
      <c r="A16175" s="64" t="str">
        <f>HYPERLINK("http://www.twitter.com/Carey0807", "Carey0807")</f>
        <v>Carey0807</v>
      </c>
      <c r="B16175" s="65"/>
    </row>
    <row r="16176" spans="1:2" x14ac:dyDescent="0.25">
      <c r="A16176" s="64" t="str">
        <f>HYPERLINK("http://www.twitter.com/SomeTuesday", "SomeTuesday")</f>
        <v>SomeTuesday</v>
      </c>
      <c r="B16176" s="65" t="s">
        <v>8743</v>
      </c>
    </row>
    <row r="16177" spans="1:2" x14ac:dyDescent="0.25">
      <c r="A16177" s="64" t="str">
        <f>HYPERLINK("http://www.twitter.com/1msgiven", "1msgiven")</f>
        <v>1msgiven</v>
      </c>
      <c r="B16177" s="65" t="s">
        <v>4247</v>
      </c>
    </row>
    <row r="16178" spans="1:2" x14ac:dyDescent="0.25">
      <c r="A16178" s="64" t="str">
        <f>HYPERLINK("http://www.twitter.com/dave_mains", "dave_mains")</f>
        <v>dave_mains</v>
      </c>
      <c r="B16178" s="65" t="s">
        <v>8744</v>
      </c>
    </row>
    <row r="16179" spans="1:2" x14ac:dyDescent="0.25">
      <c r="A16179" s="64" t="str">
        <f>HYPERLINK("http://www.twitter.com/Moonbootica", "Moonbootica")</f>
        <v>Moonbootica</v>
      </c>
      <c r="B16179" s="65" t="s">
        <v>8745</v>
      </c>
    </row>
    <row r="16180" spans="1:2" x14ac:dyDescent="0.25">
      <c r="A16180" s="64" t="str">
        <f>HYPERLINK("http://www.twitter.com/SmallStonesTall", "SmallStonesTall")</f>
        <v>SmallStonesTall</v>
      </c>
      <c r="B16180" s="65"/>
    </row>
    <row r="16181" spans="1:2" x14ac:dyDescent="0.25">
      <c r="A16181" s="64" t="str">
        <f>HYPERLINK("http://www.twitter.com/Capezzone", "Capezzone")</f>
        <v>Capezzone</v>
      </c>
      <c r="B16181" s="65"/>
    </row>
    <row r="16182" spans="1:2" x14ac:dyDescent="0.25">
      <c r="A16182" s="64" t="str">
        <f>HYPERLINK("http://www.twitter.com/MoForgan", "MoForgan")</f>
        <v>MoForgan</v>
      </c>
      <c r="B16182" s="65"/>
    </row>
    <row r="16183" spans="1:2" x14ac:dyDescent="0.25">
      <c r="A16183" s="64" t="str">
        <f>HYPERLINK("http://www.twitter.com/zoemayenglish", "zoemayenglish")</f>
        <v>zoemayenglish</v>
      </c>
      <c r="B16183" s="65" t="s">
        <v>110</v>
      </c>
    </row>
    <row r="16184" spans="1:2" x14ac:dyDescent="0.25">
      <c r="A16184" s="64" t="str">
        <f>HYPERLINK("http://www.twitter.com/WSYherbarium", "WSYherbarium")</f>
        <v>WSYherbarium</v>
      </c>
      <c r="B16184" s="65" t="s">
        <v>8746</v>
      </c>
    </row>
    <row r="16185" spans="1:2" x14ac:dyDescent="0.25">
      <c r="A16185" s="64" t="str">
        <f>HYPERLINK("http://www.twitter.com/HfdshireLive", "HfdshireLive")</f>
        <v>HfdshireLive</v>
      </c>
      <c r="B16185" s="65" t="s">
        <v>369</v>
      </c>
    </row>
    <row r="16186" spans="1:2" x14ac:dyDescent="0.25">
      <c r="A16186" s="64" t="str">
        <f>HYPERLINK("http://www.twitter.com/OPS_Orkney", "OPS_Orkney")</f>
        <v>OPS_Orkney</v>
      </c>
      <c r="B16186" s="65" t="s">
        <v>20</v>
      </c>
    </row>
    <row r="16187" spans="1:2" x14ac:dyDescent="0.25">
      <c r="A16187" s="64" t="str">
        <f>HYPERLINK("http://www.twitter.com/bellebellehill", "bellebellehill")</f>
        <v>bellebellehill</v>
      </c>
      <c r="B16187" s="65" t="s">
        <v>8747</v>
      </c>
    </row>
    <row r="16188" spans="1:2" x14ac:dyDescent="0.25">
      <c r="A16188" s="64" t="str">
        <f>HYPERLINK("http://www.twitter.com/londonsymphony", "londonsymphony")</f>
        <v>londonsymphony</v>
      </c>
      <c r="B16188" s="65" t="s">
        <v>110</v>
      </c>
    </row>
    <row r="16189" spans="1:2" x14ac:dyDescent="0.25">
      <c r="A16189" s="64" t="str">
        <f>HYPERLINK("http://www.twitter.com/Luuuuuuuupins", "Luuuuuuuupins")</f>
        <v>Luuuuuuuupins</v>
      </c>
      <c r="B16189" s="65"/>
    </row>
    <row r="16190" spans="1:2" x14ac:dyDescent="0.25">
      <c r="A16190" s="64" t="str">
        <f>HYPERLINK("http://www.twitter.com/anniecross1", "anniecross1")</f>
        <v>anniecross1</v>
      </c>
      <c r="B16190" s="65" t="s">
        <v>296</v>
      </c>
    </row>
    <row r="16191" spans="1:2" x14ac:dyDescent="0.25">
      <c r="A16191" s="64" t="str">
        <f>HYPERLINK("http://www.twitter.com/Dickinson_Matt", "Dickinson_Matt")</f>
        <v>Dickinson_Matt</v>
      </c>
      <c r="B16191" s="65" t="s">
        <v>8748</v>
      </c>
    </row>
    <row r="16192" spans="1:2" x14ac:dyDescent="0.25">
      <c r="A16192" s="64" t="str">
        <f>HYPERLINK("http://www.twitter.com/mulyani_me", "mulyani_me")</f>
        <v>mulyani_me</v>
      </c>
      <c r="B16192" s="65"/>
    </row>
    <row r="16193" spans="1:2" x14ac:dyDescent="0.25">
      <c r="A16193" s="64" t="str">
        <f>HYPERLINK("http://www.twitter.com/seiji1089", "seiji1089")</f>
        <v>seiji1089</v>
      </c>
      <c r="B16193" s="65"/>
    </row>
    <row r="16194" spans="1:2" x14ac:dyDescent="0.25">
      <c r="A16194" s="64" t="str">
        <f>HYPERLINK("http://www.twitter.com/ryo10401", "ryo10401")</f>
        <v>ryo10401</v>
      </c>
      <c r="B16194" s="65" t="s">
        <v>8749</v>
      </c>
    </row>
    <row r="16195" spans="1:2" x14ac:dyDescent="0.25">
      <c r="A16195" s="64" t="str">
        <f>HYPERLINK("http://www.twitter.com/Dunedin123", "Dunedin123")</f>
        <v>Dunedin123</v>
      </c>
      <c r="B16195" s="65" t="s">
        <v>4634</v>
      </c>
    </row>
    <row r="16196" spans="1:2" x14ac:dyDescent="0.25">
      <c r="A16196" s="64" t="str">
        <f>HYPERLINK("http://www.twitter.com/MsDawnIrvine", "MsDawnIrvine")</f>
        <v>MsDawnIrvine</v>
      </c>
      <c r="B16196" s="65" t="s">
        <v>1482</v>
      </c>
    </row>
    <row r="16197" spans="1:2" x14ac:dyDescent="0.25">
      <c r="A16197" s="64" t="str">
        <f>HYPERLINK("http://www.twitter.com/RacineZackula", "RacineZackula")</f>
        <v>RacineZackula</v>
      </c>
      <c r="B16197" s="65" t="s">
        <v>4643</v>
      </c>
    </row>
    <row r="16198" spans="1:2" x14ac:dyDescent="0.25">
      <c r="A16198" s="64" t="str">
        <f>HYPERLINK("http://www.twitter.com/kirstyjo71", "kirstyjo71")</f>
        <v>kirstyjo71</v>
      </c>
      <c r="B16198" s="65"/>
    </row>
    <row r="16199" spans="1:2" x14ac:dyDescent="0.25">
      <c r="A16199" s="64" t="str">
        <f>HYPERLINK("http://www.twitter.com/RAJordanAuthor", "RAJordanAuthor")</f>
        <v>RAJordanAuthor</v>
      </c>
      <c r="B16199" s="65" t="s">
        <v>8750</v>
      </c>
    </row>
    <row r="16200" spans="1:2" x14ac:dyDescent="0.25">
      <c r="A16200" s="64" t="str">
        <f>HYPERLINK("http://www.twitter.com/Obadiah22", "Obadiah22")</f>
        <v>Obadiah22</v>
      </c>
      <c r="B16200" s="65" t="s">
        <v>1537</v>
      </c>
    </row>
    <row r="16201" spans="1:2" x14ac:dyDescent="0.25">
      <c r="A16201" s="64" t="str">
        <f>HYPERLINK("http://www.twitter.com/LibraryWVL", "LibraryWVL")</f>
        <v>LibraryWVL</v>
      </c>
      <c r="B16201" s="65" t="s">
        <v>2385</v>
      </c>
    </row>
    <row r="16202" spans="1:2" x14ac:dyDescent="0.25">
      <c r="A16202" s="64" t="str">
        <f>HYPERLINK("http://www.twitter.com/StoryGiles", "StoryGiles")</f>
        <v>StoryGiles</v>
      </c>
      <c r="B16202" s="65" t="s">
        <v>110</v>
      </c>
    </row>
    <row r="16203" spans="1:2" x14ac:dyDescent="0.25">
      <c r="A16203" s="64" t="str">
        <f>HYPERLINK("http://www.twitter.com/HaIbnkhaldoun4", "HaIbnkhaldoun4")</f>
        <v>HaIbnkhaldoun4</v>
      </c>
      <c r="B16203" s="65"/>
    </row>
    <row r="16204" spans="1:2" x14ac:dyDescent="0.25">
      <c r="A16204" s="64" t="str">
        <f>HYPERLINK("http://www.twitter.com/39mat1", "39mat1")</f>
        <v>39mat1</v>
      </c>
      <c r="B16204" s="65"/>
    </row>
    <row r="16205" spans="1:2" x14ac:dyDescent="0.25">
      <c r="A16205" s="64" t="str">
        <f>HYPERLINK("http://www.twitter.com/Bairdtravels", "Bairdtravels")</f>
        <v>Bairdtravels</v>
      </c>
      <c r="B16205" s="65" t="s">
        <v>8751</v>
      </c>
    </row>
    <row r="16206" spans="1:2" x14ac:dyDescent="0.25">
      <c r="A16206" s="64" t="str">
        <f>HYPERLINK("http://www.twitter.com/Crispynoodle24", "Crispynoodle24")</f>
        <v>Crispynoodle24</v>
      </c>
      <c r="B16206" s="65" t="s">
        <v>8752</v>
      </c>
    </row>
    <row r="16207" spans="1:2" x14ac:dyDescent="0.25">
      <c r="A16207" s="64" t="str">
        <f>HYPERLINK("http://www.twitter.com/ordinaryinsan", "ordinaryinsan")</f>
        <v>ordinaryinsan</v>
      </c>
      <c r="B16207" s="65"/>
    </row>
    <row r="16208" spans="1:2" x14ac:dyDescent="0.25">
      <c r="A16208" s="64" t="str">
        <f>HYPERLINK("http://www.twitter.com/lewisgbrown", "lewisgbrown")</f>
        <v>lewisgbrown</v>
      </c>
      <c r="B16208" s="65" t="s">
        <v>24</v>
      </c>
    </row>
    <row r="16209" spans="1:2" x14ac:dyDescent="0.25">
      <c r="A16209" s="64" t="str">
        <f>HYPERLINK("http://www.twitter.com/twiceydrinker", "twiceydrinker")</f>
        <v>twiceydrinker</v>
      </c>
      <c r="B16209" s="65" t="s">
        <v>8753</v>
      </c>
    </row>
    <row r="16210" spans="1:2" x14ac:dyDescent="0.25">
      <c r="A16210" s="64" t="str">
        <f>HYPERLINK("http://www.twitter.com/Kathrin1977", "Kathrin1977")</f>
        <v>Kathrin1977</v>
      </c>
      <c r="B16210" s="65"/>
    </row>
    <row r="16211" spans="1:2" x14ac:dyDescent="0.25">
      <c r="A16211" s="64" t="str">
        <f>HYPERLINK("http://www.twitter.com/Mynameisnotfifi", "Mynameisnotfifi")</f>
        <v>Mynameisnotfifi</v>
      </c>
      <c r="B16211" s="65" t="s">
        <v>8754</v>
      </c>
    </row>
    <row r="16212" spans="1:2" x14ac:dyDescent="0.25">
      <c r="A16212" s="64" t="str">
        <f>HYPERLINK("http://www.twitter.com/BoycePauline", "BoycePauline")</f>
        <v>BoycePauline</v>
      </c>
      <c r="B16212" s="65"/>
    </row>
    <row r="16213" spans="1:2" x14ac:dyDescent="0.25">
      <c r="A16213" s="64" t="str">
        <f>HYPERLINK("http://www.twitter.com/CSG_stairs", "CSG_stairs")</f>
        <v>CSG_stairs</v>
      </c>
      <c r="B16213" s="65" t="s">
        <v>8755</v>
      </c>
    </row>
    <row r="16214" spans="1:2" x14ac:dyDescent="0.25">
      <c r="A16214" s="64" t="str">
        <f>HYPERLINK("http://www.twitter.com/CraigUoS", "CraigUoS")</f>
        <v>CraigUoS</v>
      </c>
      <c r="B16214" s="65" t="s">
        <v>6731</v>
      </c>
    </row>
    <row r="16215" spans="1:2" x14ac:dyDescent="0.25">
      <c r="A16215" s="64" t="str">
        <f>HYPERLINK("http://www.twitter.com/mariagluc", "mariagluc")</f>
        <v>mariagluc</v>
      </c>
      <c r="B16215" s="65" t="s">
        <v>36</v>
      </c>
    </row>
    <row r="16216" spans="1:2" x14ac:dyDescent="0.25">
      <c r="A16216" s="64" t="str">
        <f>HYPERLINK("http://www.twitter.com/ingiemac42", "ingiemac42")</f>
        <v>ingiemac42</v>
      </c>
      <c r="B16216" s="65"/>
    </row>
    <row r="16217" spans="1:2" x14ac:dyDescent="0.25">
      <c r="A16217" s="64" t="str">
        <f>HYPERLINK("http://www.twitter.com/EvaBKids", "EvaBKids")</f>
        <v>EvaBKids</v>
      </c>
      <c r="B16217" s="65"/>
    </row>
    <row r="16218" spans="1:2" x14ac:dyDescent="0.25">
      <c r="A16218" s="64" t="str">
        <f>HYPERLINK("http://www.twitter.com/Cedarwood15", "Cedarwood15")</f>
        <v>Cedarwood15</v>
      </c>
      <c r="B16218" s="65"/>
    </row>
    <row r="16219" spans="1:2" x14ac:dyDescent="0.25">
      <c r="A16219" s="64" t="str">
        <f>HYPERLINK("http://www.twitter.com/SarahIhsann", "SarahIhsann")</f>
        <v>SarahIhsann</v>
      </c>
      <c r="B16219" s="65" t="s">
        <v>8756</v>
      </c>
    </row>
    <row r="16220" spans="1:2" x14ac:dyDescent="0.25">
      <c r="A16220" s="64" t="str">
        <f>HYPERLINK("http://www.twitter.com/RashkooStylle", "RashkooStylle")</f>
        <v>RashkooStylle</v>
      </c>
      <c r="B16220" s="65"/>
    </row>
    <row r="16221" spans="1:2" x14ac:dyDescent="0.25">
      <c r="A16221" s="64" t="str">
        <f>HYPERLINK("http://www.twitter.com/LindaaaBS", "LindaaaBS")</f>
        <v>LindaaaBS</v>
      </c>
      <c r="B16221" s="65"/>
    </row>
    <row r="16222" spans="1:2" x14ac:dyDescent="0.25">
      <c r="A16222" s="64" t="str">
        <f>HYPERLINK("http://www.twitter.com/icon_scotland", "icon_scotland")</f>
        <v>icon_scotland</v>
      </c>
      <c r="B16222" s="65" t="s">
        <v>517</v>
      </c>
    </row>
    <row r="16223" spans="1:2" x14ac:dyDescent="0.25">
      <c r="A16223" s="64" t="str">
        <f>HYPERLINK("http://www.twitter.com/ob_wav", "ob_wav")</f>
        <v>ob_wav</v>
      </c>
      <c r="B16223" s="65" t="s">
        <v>8757</v>
      </c>
    </row>
    <row r="16224" spans="1:2" x14ac:dyDescent="0.25">
      <c r="A16224" s="64" t="str">
        <f>HYPERLINK("http://www.twitter.com/MsMcKeown2", "MsMcKeown2")</f>
        <v>MsMcKeown2</v>
      </c>
      <c r="B16224" s="65" t="s">
        <v>8758</v>
      </c>
    </row>
    <row r="16225" spans="1:2" x14ac:dyDescent="0.25">
      <c r="A16225" s="64" t="str">
        <f>HYPERLINK("http://www.twitter.com/ddalgy", "ddalgy")</f>
        <v>ddalgy</v>
      </c>
      <c r="B16225" s="65"/>
    </row>
    <row r="16226" spans="1:2" x14ac:dyDescent="0.25">
      <c r="A16226" s="64" t="str">
        <f>HYPERLINK("http://www.twitter.com/drsmagadla", "drsmagadla")</f>
        <v>drsmagadla</v>
      </c>
      <c r="B16226" s="65" t="s">
        <v>8759</v>
      </c>
    </row>
    <row r="16227" spans="1:2" x14ac:dyDescent="0.25">
      <c r="A16227" s="64" t="str">
        <f>HYPERLINK("http://www.twitter.com/bookstothesky", "bookstothesky")</f>
        <v>bookstothesky</v>
      </c>
      <c r="B16227" s="65" t="s">
        <v>1790</v>
      </c>
    </row>
    <row r="16228" spans="1:2" x14ac:dyDescent="0.25">
      <c r="A16228" s="64" t="str">
        <f>HYPERLINK("http://www.twitter.com/adrianamijaiche", "adrianamijaiche")</f>
        <v>adrianamijaiche</v>
      </c>
      <c r="B16228" s="65" t="s">
        <v>8760</v>
      </c>
    </row>
    <row r="16229" spans="1:2" x14ac:dyDescent="0.25">
      <c r="A16229" s="64" t="str">
        <f>HYPERLINK("http://www.twitter.com/crackling", "crackling")</f>
        <v>crackling</v>
      </c>
      <c r="B16229" s="65" t="s">
        <v>8761</v>
      </c>
    </row>
    <row r="16230" spans="1:2" x14ac:dyDescent="0.25">
      <c r="A16230" s="64" t="str">
        <f>HYPERLINK("http://www.twitter.com/Raindroprhyme4", "Raindroprhyme4")</f>
        <v>Raindroprhyme4</v>
      </c>
      <c r="B16230" s="65"/>
    </row>
    <row r="16231" spans="1:2" x14ac:dyDescent="0.25">
      <c r="A16231" s="64" t="str">
        <f>HYPERLINK("http://www.twitter.com/DebbieTaylor1", "DebbieTaylor1")</f>
        <v>DebbieTaylor1</v>
      </c>
      <c r="B16231" s="65" t="s">
        <v>4050</v>
      </c>
    </row>
    <row r="16232" spans="1:2" x14ac:dyDescent="0.25">
      <c r="A16232" s="64" t="str">
        <f>HYPERLINK("http://www.twitter.com/paulwpickering", "paulwpickering")</f>
        <v>paulwpickering</v>
      </c>
      <c r="B16232" s="65" t="s">
        <v>8762</v>
      </c>
    </row>
    <row r="16233" spans="1:2" x14ac:dyDescent="0.25">
      <c r="A16233" s="64" t="str">
        <f>HYPERLINK("http://www.twitter.com/jok8shipp", "jok8shipp")</f>
        <v>jok8shipp</v>
      </c>
      <c r="B16233" s="65" t="s">
        <v>8763</v>
      </c>
    </row>
    <row r="16234" spans="1:2" x14ac:dyDescent="0.25">
      <c r="A16234" s="64" t="str">
        <f>HYPERLINK("http://www.twitter.com/matsudayusaku88", "matsudayusaku88")</f>
        <v>matsudayusaku88</v>
      </c>
      <c r="B16234" s="65"/>
    </row>
    <row r="16235" spans="1:2" x14ac:dyDescent="0.25">
      <c r="A16235" s="64" t="str">
        <f>HYPERLINK("http://www.twitter.com/KNethe", "KNethe")</f>
        <v>KNethe</v>
      </c>
      <c r="B16235" s="65" t="s">
        <v>8764</v>
      </c>
    </row>
    <row r="16236" spans="1:2" x14ac:dyDescent="0.25">
      <c r="A16236" s="64" t="str">
        <f>HYPERLINK("http://www.twitter.com/eileencusi", "eileencusi")</f>
        <v>eileencusi</v>
      </c>
      <c r="B16236" s="65" t="s">
        <v>8765</v>
      </c>
    </row>
    <row r="16237" spans="1:2" x14ac:dyDescent="0.25">
      <c r="A16237" s="64" t="str">
        <f>HYPERLINK("http://www.twitter.com/sylphde_ombre", "sylphde_ombre")</f>
        <v>sylphde_ombre</v>
      </c>
      <c r="B16237" s="65"/>
    </row>
    <row r="16238" spans="1:2" x14ac:dyDescent="0.25">
      <c r="A16238" s="64" t="str">
        <f>HYPERLINK("http://www.twitter.com/LibCharleen", "LibCharleen")</f>
        <v>LibCharleen</v>
      </c>
      <c r="B16238" s="65" t="s">
        <v>8766</v>
      </c>
    </row>
    <row r="16239" spans="1:2" x14ac:dyDescent="0.25">
      <c r="A16239" s="64" t="str">
        <f>HYPERLINK("http://www.twitter.com/whatcest", "whatcest")</f>
        <v>whatcest</v>
      </c>
      <c r="B16239" s="65"/>
    </row>
    <row r="16240" spans="1:2" x14ac:dyDescent="0.25">
      <c r="A16240" s="64" t="str">
        <f>HYPERLINK("http://www.twitter.com/butriq", "butriq")</f>
        <v>butriq</v>
      </c>
      <c r="B16240" s="65"/>
    </row>
    <row r="16241" spans="1:2" x14ac:dyDescent="0.25">
      <c r="A16241" s="64" t="str">
        <f>HYPERLINK("http://www.twitter.com/andrewlinton83", "andrewlinton83")</f>
        <v>andrewlinton83</v>
      </c>
      <c r="B16241" s="65"/>
    </row>
    <row r="16242" spans="1:2" x14ac:dyDescent="0.25">
      <c r="A16242" s="64" t="str">
        <f>HYPERLINK("http://www.twitter.com/_JRMoore_", "_JRMoore_")</f>
        <v>_JRMoore_</v>
      </c>
      <c r="B16242" s="65" t="s">
        <v>4771</v>
      </c>
    </row>
    <row r="16243" spans="1:2" x14ac:dyDescent="0.25">
      <c r="A16243" s="64" t="str">
        <f>HYPERLINK("http://www.twitter.com/tweetmethat", "tweetmethat")</f>
        <v>tweetmethat</v>
      </c>
      <c r="B16243" s="65"/>
    </row>
    <row r="16244" spans="1:2" x14ac:dyDescent="0.25">
      <c r="A16244" s="64" t="str">
        <f>HYPERLINK("http://www.twitter.com/ClaireCoia", "ClaireCoia")</f>
        <v>ClaireCoia</v>
      </c>
      <c r="B16244" s="65"/>
    </row>
    <row r="16245" spans="1:2" x14ac:dyDescent="0.25">
      <c r="A16245" s="64" t="str">
        <f>HYPERLINK("http://www.twitter.com/JewelOfScotland", "JewelOfScotland")</f>
        <v>JewelOfScotland</v>
      </c>
      <c r="B16245" s="65" t="s">
        <v>487</v>
      </c>
    </row>
    <row r="16246" spans="1:2" x14ac:dyDescent="0.25">
      <c r="A16246" s="64" t="str">
        <f>HYPERLINK("http://www.twitter.com/HolidayHouseBks", "HolidayHouseBks")</f>
        <v>HolidayHouseBks</v>
      </c>
      <c r="B16246" s="65" t="s">
        <v>4145</v>
      </c>
    </row>
    <row r="16247" spans="1:2" x14ac:dyDescent="0.25">
      <c r="A16247" s="64" t="str">
        <f>HYPERLINK("http://www.twitter.com/elizabeth_welsh", "elizabeth_welsh")</f>
        <v>elizabeth_welsh</v>
      </c>
      <c r="B16247" s="65" t="s">
        <v>24</v>
      </c>
    </row>
    <row r="16248" spans="1:2" x14ac:dyDescent="0.25">
      <c r="A16248" s="64" t="str">
        <f>HYPERLINK("http://www.twitter.com/wherezz", "wherezz")</f>
        <v>wherezz</v>
      </c>
      <c r="B16248" s="65"/>
    </row>
    <row r="16249" spans="1:2" x14ac:dyDescent="0.25">
      <c r="A16249" s="64" t="str">
        <f>HYPERLINK("http://www.twitter.com/radonscotland", "radonscotland")</f>
        <v>radonscotland</v>
      </c>
      <c r="B16249" s="65" t="s">
        <v>5000</v>
      </c>
    </row>
    <row r="16250" spans="1:2" x14ac:dyDescent="0.25">
      <c r="A16250" s="64" t="str">
        <f>HYPERLINK("http://www.twitter.com/MattHolt76", "MattHolt76")</f>
        <v>MattHolt76</v>
      </c>
      <c r="B16250" s="65" t="s">
        <v>7304</v>
      </c>
    </row>
    <row r="16251" spans="1:2" x14ac:dyDescent="0.25">
      <c r="A16251" s="64" t="str">
        <f>HYPERLINK("http://www.twitter.com/nikolamanners", "nikolamanners")</f>
        <v>nikolamanners</v>
      </c>
      <c r="B16251" s="65"/>
    </row>
    <row r="16252" spans="1:2" x14ac:dyDescent="0.25">
      <c r="A16252" s="64" t="str">
        <f>HYPERLINK("http://www.twitter.com/writingquietly", "writingquietly")</f>
        <v>writingquietly</v>
      </c>
      <c r="B16252" s="65" t="s">
        <v>3817</v>
      </c>
    </row>
    <row r="16253" spans="1:2" x14ac:dyDescent="0.25">
      <c r="A16253" s="64" t="str">
        <f>HYPERLINK("http://www.twitter.com/Flipparo", "Flipparo")</f>
        <v>Flipparo</v>
      </c>
      <c r="B16253" s="65"/>
    </row>
    <row r="16254" spans="1:2" x14ac:dyDescent="0.25">
      <c r="A16254" s="64" t="str">
        <f>HYPERLINK("http://www.twitter.com/angelajaap", "angelajaap")</f>
        <v>angelajaap</v>
      </c>
      <c r="B16254" s="65" t="s">
        <v>2007</v>
      </c>
    </row>
    <row r="16255" spans="1:2" x14ac:dyDescent="0.25">
      <c r="A16255" s="64" t="str">
        <f>HYPERLINK("http://www.twitter.com/lo76776128", "lo76776128")</f>
        <v>lo76776128</v>
      </c>
      <c r="B16255" s="65"/>
    </row>
    <row r="16256" spans="1:2" x14ac:dyDescent="0.25">
      <c r="A16256" s="64" t="str">
        <f>HYPERLINK("http://www.twitter.com/kdmcsw", "kdmcsw")</f>
        <v>kdmcsw</v>
      </c>
      <c r="B16256" s="65"/>
    </row>
    <row r="16257" spans="1:2" x14ac:dyDescent="0.25">
      <c r="A16257" s="64" t="str">
        <f>HYPERLINK("http://www.twitter.com/robcatt", "robcatt")</f>
        <v>robcatt</v>
      </c>
      <c r="B16257" s="65" t="s">
        <v>318</v>
      </c>
    </row>
    <row r="16258" spans="1:2" x14ac:dyDescent="0.25">
      <c r="A16258" s="64" t="str">
        <f>HYPERLINK("http://www.twitter.com/thepandoramen", "thepandoramen")</f>
        <v>thepandoramen</v>
      </c>
      <c r="B16258" s="65" t="s">
        <v>4901</v>
      </c>
    </row>
    <row r="16259" spans="1:2" x14ac:dyDescent="0.25">
      <c r="A16259" s="64" t="str">
        <f>HYPERLINK("http://www.twitter.com/taffygweilo", "taffygweilo")</f>
        <v>taffygweilo</v>
      </c>
      <c r="B16259" s="65" t="s">
        <v>8767</v>
      </c>
    </row>
    <row r="16260" spans="1:2" x14ac:dyDescent="0.25">
      <c r="A16260" s="64" t="str">
        <f>HYPERLINK("http://www.twitter.com/libraryatkings", "libraryatkings")</f>
        <v>libraryatkings</v>
      </c>
      <c r="B16260" s="65" t="s">
        <v>1622</v>
      </c>
    </row>
    <row r="16261" spans="1:2" x14ac:dyDescent="0.25">
      <c r="A16261" s="64" t="str">
        <f>HYPERLINK("http://www.twitter.com/OurAncestry", "OurAncestry")</f>
        <v>OurAncestry</v>
      </c>
      <c r="B16261" s="65" t="s">
        <v>7574</v>
      </c>
    </row>
    <row r="16262" spans="1:2" x14ac:dyDescent="0.25">
      <c r="A16262" s="64" t="str">
        <f>HYPERLINK("http://www.twitter.com/SeatGiant_Sask", "SeatGiant_Sask")</f>
        <v>SeatGiant_Sask</v>
      </c>
      <c r="B16262" s="65" t="s">
        <v>8768</v>
      </c>
    </row>
    <row r="16263" spans="1:2" x14ac:dyDescent="0.25">
      <c r="A16263" s="64" t="str">
        <f>HYPERLINK("http://www.twitter.com/pollaklibrary", "pollaklibrary")</f>
        <v>pollaklibrary</v>
      </c>
      <c r="B16263" s="65" t="s">
        <v>8769</v>
      </c>
    </row>
    <row r="16264" spans="1:2" x14ac:dyDescent="0.25">
      <c r="A16264" s="64" t="str">
        <f>HYPERLINK("http://www.twitter.com/nickastbury", "nickastbury")</f>
        <v>nickastbury</v>
      </c>
      <c r="B16264" s="65" t="s">
        <v>8770</v>
      </c>
    </row>
    <row r="16265" spans="1:2" x14ac:dyDescent="0.25">
      <c r="A16265" s="64" t="str">
        <f>HYPERLINK("http://www.twitter.com/StIvesLibrary", "StIvesLibrary")</f>
        <v>StIvesLibrary</v>
      </c>
      <c r="B16265" s="65" t="s">
        <v>8771</v>
      </c>
    </row>
    <row r="16266" spans="1:2" x14ac:dyDescent="0.25">
      <c r="A16266" s="64" t="str">
        <f>HYPERLINK("http://www.twitter.com/jordynhtaylor", "jordynhtaylor")</f>
        <v>jordynhtaylor</v>
      </c>
      <c r="B16266" s="65" t="s">
        <v>4145</v>
      </c>
    </row>
    <row r="16267" spans="1:2" x14ac:dyDescent="0.25">
      <c r="A16267" s="64" t="str">
        <f>HYPERLINK("http://www.twitter.com/CT4BB8", "CT4BB8")</f>
        <v>CT4BB8</v>
      </c>
      <c r="B16267" s="65" t="s">
        <v>4019</v>
      </c>
    </row>
    <row r="16268" spans="1:2" x14ac:dyDescent="0.25">
      <c r="A16268" s="64" t="str">
        <f>HYPERLINK("http://www.twitter.com/onfifemuseums", "onfifemuseums")</f>
        <v>onfifemuseums</v>
      </c>
      <c r="B16268" s="65" t="s">
        <v>421</v>
      </c>
    </row>
    <row r="16269" spans="1:2" x14ac:dyDescent="0.25">
      <c r="A16269" s="64" t="str">
        <f>HYPERLINK("http://www.twitter.com/KathyHerridge", "KathyHerridge")</f>
        <v>KathyHerridge</v>
      </c>
      <c r="B16269" s="65" t="s">
        <v>8772</v>
      </c>
    </row>
    <row r="16270" spans="1:2" x14ac:dyDescent="0.25">
      <c r="A16270" s="64" t="str">
        <f>HYPERLINK("http://www.twitter.com/SarahStanley123", "SarahStanley123")</f>
        <v>SarahStanley123</v>
      </c>
      <c r="B16270" s="65"/>
    </row>
    <row r="16271" spans="1:2" x14ac:dyDescent="0.25">
      <c r="A16271" s="64" t="str">
        <f>HYPERLINK("http://www.twitter.com/jastokes89", "jastokes89")</f>
        <v>jastokes89</v>
      </c>
      <c r="B16271" s="65" t="s">
        <v>477</v>
      </c>
    </row>
    <row r="16272" spans="1:2" x14ac:dyDescent="0.25">
      <c r="A16272" s="64" t="str">
        <f>HYPERLINK("http://www.twitter.com/ratbanjos", "ratbanjos")</f>
        <v>ratbanjos</v>
      </c>
      <c r="B16272" s="65" t="s">
        <v>36</v>
      </c>
    </row>
    <row r="16273" spans="1:2" x14ac:dyDescent="0.25">
      <c r="A16273" s="64" t="str">
        <f>HYPERLINK("http://www.twitter.com/gtinebike", "gtinebike")</f>
        <v>gtinebike</v>
      </c>
      <c r="B16273" s="65" t="s">
        <v>8773</v>
      </c>
    </row>
    <row r="16274" spans="1:2" x14ac:dyDescent="0.25">
      <c r="A16274" s="64" t="str">
        <f>HYPERLINK("http://www.twitter.com/DevMcHugh", "DevMcHugh")</f>
        <v>DevMcHugh</v>
      </c>
      <c r="B16274" s="65" t="s">
        <v>24</v>
      </c>
    </row>
    <row r="16275" spans="1:2" x14ac:dyDescent="0.25">
      <c r="A16275" s="64" t="str">
        <f>HYPERLINK("http://www.twitter.com/BexFaux", "BexFaux")</f>
        <v>BexFaux</v>
      </c>
      <c r="B16275" s="65" t="s">
        <v>8774</v>
      </c>
    </row>
    <row r="16276" spans="1:2" x14ac:dyDescent="0.25">
      <c r="A16276" s="64" t="str">
        <f>HYPERLINK("http://www.twitter.com/mag_pi", "mag_pi")</f>
        <v>mag_pi</v>
      </c>
      <c r="B16276" s="65" t="s">
        <v>4436</v>
      </c>
    </row>
    <row r="16277" spans="1:2" x14ac:dyDescent="0.25">
      <c r="A16277" s="64" t="str">
        <f>HYPERLINK("http://www.twitter.com/lyncs", "lyncs")</f>
        <v>lyncs</v>
      </c>
      <c r="B16277" s="65" t="s">
        <v>296</v>
      </c>
    </row>
    <row r="16278" spans="1:2" x14ac:dyDescent="0.25">
      <c r="A16278" s="64" t="str">
        <f>HYPERLINK("http://www.twitter.com/tlukejones", "tlukejones")</f>
        <v>tlukejones</v>
      </c>
      <c r="B16278" s="65" t="s">
        <v>4716</v>
      </c>
    </row>
    <row r="16279" spans="1:2" x14ac:dyDescent="0.25">
      <c r="A16279" s="64" t="str">
        <f>HYPERLINK("http://www.twitter.com/antibecs", "antibecs")</f>
        <v>antibecs</v>
      </c>
      <c r="B16279" s="65"/>
    </row>
    <row r="16280" spans="1:2" x14ac:dyDescent="0.25">
      <c r="A16280" s="64" t="str">
        <f>HYPERLINK("http://www.twitter.com/ooohlalaorlagh", "ooohlalaorlagh")</f>
        <v>ooohlalaorlagh</v>
      </c>
      <c r="B16280" s="65" t="s">
        <v>8775</v>
      </c>
    </row>
    <row r="16281" spans="1:2" x14ac:dyDescent="0.25">
      <c r="A16281" s="64" t="str">
        <f>HYPERLINK("http://www.twitter.com/Helenesvendsrud", "Helenesvendsrud")</f>
        <v>Helenesvendsrud</v>
      </c>
      <c r="B16281" s="65"/>
    </row>
    <row r="16282" spans="1:2" x14ac:dyDescent="0.25">
      <c r="A16282" s="64" t="str">
        <f>HYPERLINK("http://www.twitter.com/BfHappilyhere", "BfHappilyhere")</f>
        <v>BfHappilyhere</v>
      </c>
      <c r="B16282" s="65" t="s">
        <v>5027</v>
      </c>
    </row>
    <row r="16283" spans="1:2" x14ac:dyDescent="0.25">
      <c r="A16283" s="64" t="str">
        <f>HYPERLINK("http://www.twitter.com/emmagafielding", "emmagafielding")</f>
        <v>emmagafielding</v>
      </c>
      <c r="B16283" s="65"/>
    </row>
    <row r="16284" spans="1:2" x14ac:dyDescent="0.25">
      <c r="A16284" s="64" t="str">
        <f>HYPERLINK("http://www.twitter.com/petecollard", "petecollard")</f>
        <v>petecollard</v>
      </c>
      <c r="B16284" s="65" t="s">
        <v>36</v>
      </c>
    </row>
    <row r="16285" spans="1:2" x14ac:dyDescent="0.25">
      <c r="A16285" s="64" t="str">
        <f>HYPERLINK("http://www.twitter.com/alice", "alice")</f>
        <v>alice</v>
      </c>
      <c r="B16285" s="65" t="s">
        <v>36</v>
      </c>
    </row>
    <row r="16286" spans="1:2" x14ac:dyDescent="0.25">
      <c r="A16286" s="64" t="str">
        <f>HYPERLINK("http://www.twitter.com/jeremyhotpepper", "jeremyhotpepper")</f>
        <v>jeremyhotpepper</v>
      </c>
      <c r="B16286" s="65" t="s">
        <v>8776</v>
      </c>
    </row>
    <row r="16287" spans="1:2" x14ac:dyDescent="0.25">
      <c r="A16287" s="64" t="str">
        <f>HYPERLINK("http://www.twitter.com/LondonBookBoy", "LondonBookBoy")</f>
        <v>LondonBookBoy</v>
      </c>
      <c r="B16287" s="65" t="s">
        <v>36</v>
      </c>
    </row>
    <row r="16288" spans="1:2" x14ac:dyDescent="0.25">
      <c r="A16288" s="64" t="str">
        <f>HYPERLINK("http://www.twitter.com/keeFS", "keeFS")</f>
        <v>keeFS</v>
      </c>
      <c r="B16288" s="65" t="s">
        <v>8777</v>
      </c>
    </row>
    <row r="16289" spans="1:2" x14ac:dyDescent="0.25">
      <c r="A16289" s="64" t="str">
        <f>HYPERLINK("http://www.twitter.com/LindsayMerrony", "LindsayMerrony")</f>
        <v>LindsayMerrony</v>
      </c>
      <c r="B16289" s="65" t="s">
        <v>70</v>
      </c>
    </row>
    <row r="16290" spans="1:2" x14ac:dyDescent="0.25">
      <c r="A16290" s="64" t="str">
        <f>HYPERLINK("http://www.twitter.com/TomEdwardWright", "TomEdwardWright")</f>
        <v>TomEdwardWright</v>
      </c>
      <c r="B16290" s="65" t="s">
        <v>3978</v>
      </c>
    </row>
    <row r="16291" spans="1:2" x14ac:dyDescent="0.25">
      <c r="A16291" s="64" t="str">
        <f>HYPERLINK("http://www.twitter.com/BAJDixon", "BAJDixon")</f>
        <v>BAJDixon</v>
      </c>
      <c r="B16291" s="65" t="s">
        <v>8778</v>
      </c>
    </row>
    <row r="16292" spans="1:2" x14ac:dyDescent="0.25">
      <c r="A16292" s="64" t="str">
        <f>HYPERLINK("http://www.twitter.com/Acanthephyra", "Acanthephyra")</f>
        <v>Acanthephyra</v>
      </c>
      <c r="B16292" s="65" t="s">
        <v>8779</v>
      </c>
    </row>
    <row r="16293" spans="1:2" x14ac:dyDescent="0.25">
      <c r="A16293" s="64" t="str">
        <f>HYPERLINK("http://www.twitter.com/I_am_Rojo", "I_am_Rojo")</f>
        <v>I_am_Rojo</v>
      </c>
      <c r="B16293" s="65" t="s">
        <v>8780</v>
      </c>
    </row>
    <row r="16294" spans="1:2" x14ac:dyDescent="0.25">
      <c r="A16294" s="64" t="str">
        <f>HYPERLINK("http://www.twitter.com/OttBkMobileBus", "OttBkMobileBus")</f>
        <v>OttBkMobileBus</v>
      </c>
      <c r="B16294" s="65" t="s">
        <v>3894</v>
      </c>
    </row>
    <row r="16295" spans="1:2" x14ac:dyDescent="0.25">
      <c r="A16295" s="64" t="str">
        <f>HYPERLINK("http://www.twitter.com/indiana_joanna", "indiana_joanna")</f>
        <v>indiana_joanna</v>
      </c>
      <c r="B16295" s="65" t="s">
        <v>36</v>
      </c>
    </row>
    <row r="16296" spans="1:2" x14ac:dyDescent="0.25">
      <c r="A16296" s="64" t="str">
        <f>HYPERLINK("http://www.twitter.com/HandKnics", "HandKnics")</f>
        <v>HandKnics</v>
      </c>
      <c r="B16296" s="65" t="s">
        <v>5341</v>
      </c>
    </row>
    <row r="16297" spans="1:2" x14ac:dyDescent="0.25">
      <c r="A16297" s="64" t="str">
        <f>HYPERLINK("http://www.twitter.com/mrsfobo", "mrsfobo")</f>
        <v>mrsfobo</v>
      </c>
      <c r="B16297" s="65"/>
    </row>
    <row r="16298" spans="1:2" x14ac:dyDescent="0.25">
      <c r="A16298" s="64" t="str">
        <f>HYPERLINK("http://www.twitter.com/DreamNotebooks", "DreamNotebooks")</f>
        <v>DreamNotebooks</v>
      </c>
      <c r="B16298" s="65"/>
    </row>
    <row r="16299" spans="1:2" x14ac:dyDescent="0.25">
      <c r="A16299" s="64" t="str">
        <f>HYPERLINK("http://www.twitter.com/Lemonosity", "Lemonosity")</f>
        <v>Lemonosity</v>
      </c>
      <c r="B16299" s="65" t="s">
        <v>477</v>
      </c>
    </row>
    <row r="16300" spans="1:2" x14ac:dyDescent="0.25">
      <c r="A16300" s="64" t="str">
        <f>HYPERLINK("http://www.twitter.com/Vessel_Project", "Vessel_Project")</f>
        <v>Vessel_Project</v>
      </c>
      <c r="B16300" s="65"/>
    </row>
    <row r="16301" spans="1:2" x14ac:dyDescent="0.25">
      <c r="A16301" s="64" t="str">
        <f>HYPERLINK("http://www.twitter.com/batulsalibrary", "batulsalibrary")</f>
        <v>batulsalibrary</v>
      </c>
      <c r="B16301" s="65" t="s">
        <v>8781</v>
      </c>
    </row>
    <row r="16302" spans="1:2" x14ac:dyDescent="0.25">
      <c r="A16302" s="64" t="str">
        <f>HYPERLINK("http://www.twitter.com/HelenLisowski", "HelenLisowski")</f>
        <v>HelenLisowski</v>
      </c>
      <c r="B16302" s="65" t="s">
        <v>8782</v>
      </c>
    </row>
    <row r="16303" spans="1:2" x14ac:dyDescent="0.25">
      <c r="A16303" s="64" t="str">
        <f>HYPERLINK("http://www.twitter.com/BIC_LCF", "BIC_LCF")</f>
        <v>BIC_LCF</v>
      </c>
      <c r="B16303" s="65" t="s">
        <v>477</v>
      </c>
    </row>
    <row r="16304" spans="1:2" x14ac:dyDescent="0.25">
      <c r="A16304" s="64" t="str">
        <f>HYPERLINK("http://www.twitter.com/ankit2167778", "ankit2167778")</f>
        <v>ankit2167778</v>
      </c>
      <c r="B16304" s="65"/>
    </row>
    <row r="16305" spans="1:2" x14ac:dyDescent="0.25">
      <c r="A16305" s="64" t="str">
        <f>HYPERLINK("http://www.twitter.com/beckygwillis", "beckygwillis")</f>
        <v>beckygwillis</v>
      </c>
      <c r="B16305" s="65"/>
    </row>
    <row r="16306" spans="1:2" x14ac:dyDescent="0.25">
      <c r="A16306" s="64" t="str">
        <f>HYPERLINK("http://www.twitter.com/TallPauly", "TallPauly")</f>
        <v>TallPauly</v>
      </c>
      <c r="B16306" s="65" t="s">
        <v>526</v>
      </c>
    </row>
    <row r="16307" spans="1:2" x14ac:dyDescent="0.25">
      <c r="A16307" s="64" t="str">
        <f>HYPERLINK("http://www.twitter.com/mununky", "mununky")</f>
        <v>mununky</v>
      </c>
      <c r="B16307" s="65"/>
    </row>
    <row r="16308" spans="1:2" x14ac:dyDescent="0.25">
      <c r="A16308" s="64" t="str">
        <f>HYPERLINK("http://www.twitter.com/simonchris1", "simonchris1")</f>
        <v>simonchris1</v>
      </c>
      <c r="B16308" s="65"/>
    </row>
    <row r="16309" spans="1:2" x14ac:dyDescent="0.25">
      <c r="A16309" s="64" t="str">
        <f>HYPERLINK("http://www.twitter.com/colmodinson", "colmodinson")</f>
        <v>colmodinson</v>
      </c>
      <c r="B16309" s="65" t="s">
        <v>8783</v>
      </c>
    </row>
    <row r="16310" spans="1:2" x14ac:dyDescent="0.25">
      <c r="A16310" s="64" t="str">
        <f>HYPERLINK("http://www.twitter.com/TheLouis92_", "TheLouis92_")</f>
        <v>TheLouis92_</v>
      </c>
      <c r="B16310" s="65" t="s">
        <v>24</v>
      </c>
    </row>
    <row r="16311" spans="1:2" x14ac:dyDescent="0.25">
      <c r="A16311" s="64" t="str">
        <f>HYPERLINK("http://www.twitter.com/aesrijnokmp", "aesrijnokmp")</f>
        <v>aesrijnokmp</v>
      </c>
      <c r="B16311" s="65"/>
    </row>
    <row r="16312" spans="1:2" x14ac:dyDescent="0.25">
      <c r="A16312" s="64" t="str">
        <f>HYPERLINK("http://www.twitter.com/thinkbanned", "thinkbanned")</f>
        <v>thinkbanned</v>
      </c>
      <c r="B16312" s="65"/>
    </row>
    <row r="16313" spans="1:2" x14ac:dyDescent="0.25">
      <c r="A16313" s="64" t="str">
        <f>HYPERLINK("http://www.twitter.com/djwesto", "djwesto")</f>
        <v>djwesto</v>
      </c>
      <c r="B16313" s="65" t="s">
        <v>8784</v>
      </c>
    </row>
    <row r="16314" spans="1:2" x14ac:dyDescent="0.25">
      <c r="A16314" s="64" t="str">
        <f>HYPERLINK("http://www.twitter.com/georginalibrary", "georginalibrary")</f>
        <v>georginalibrary</v>
      </c>
      <c r="B16314" s="65" t="s">
        <v>8785</v>
      </c>
    </row>
    <row r="16315" spans="1:2" x14ac:dyDescent="0.25">
      <c r="A16315" s="64" t="str">
        <f>HYPERLINK("http://www.twitter.com/outlanderpod", "outlanderpod")</f>
        <v>outlanderpod</v>
      </c>
      <c r="B16315" s="65" t="s">
        <v>5110</v>
      </c>
    </row>
    <row r="16316" spans="1:2" x14ac:dyDescent="0.25">
      <c r="A16316" s="64" t="str">
        <f>HYPERLINK("http://www.twitter.com/felixstowebook", "felixstowebook")</f>
        <v>felixstowebook</v>
      </c>
      <c r="B16316" s="65" t="s">
        <v>8786</v>
      </c>
    </row>
    <row r="16317" spans="1:2" x14ac:dyDescent="0.25">
      <c r="A16317" s="64" t="str">
        <f>HYPERLINK("http://www.twitter.com/PinchandScrimp", "PinchandScrimp")</f>
        <v>PinchandScrimp</v>
      </c>
      <c r="B16317" s="65" t="s">
        <v>8142</v>
      </c>
    </row>
    <row r="16318" spans="1:2" x14ac:dyDescent="0.25">
      <c r="A16318" s="64" t="str">
        <f>HYPERLINK("http://www.twitter.com/pgrayove", "pgrayove")</f>
        <v>pgrayove</v>
      </c>
      <c r="B16318" s="65" t="s">
        <v>4209</v>
      </c>
    </row>
    <row r="16319" spans="1:2" x14ac:dyDescent="0.25">
      <c r="A16319" s="64" t="str">
        <f>HYPERLINK("http://www.twitter.com/kruthinagaraja", "kruthinagaraja")</f>
        <v>kruthinagaraja</v>
      </c>
      <c r="B16319" s="65" t="s">
        <v>4628</v>
      </c>
    </row>
    <row r="16320" spans="1:2" x14ac:dyDescent="0.25">
      <c r="A16320" s="64" t="str">
        <f>HYPERLINK("http://www.twitter.com/mcplindiana", "mcplindiana")</f>
        <v>mcplindiana</v>
      </c>
      <c r="B16320" s="65" t="s">
        <v>8787</v>
      </c>
    </row>
    <row r="16321" spans="1:2" x14ac:dyDescent="0.25">
      <c r="A16321" s="64" t="str">
        <f>HYPERLINK("http://www.twitter.com/HolyroodJenni", "HolyroodJenni")</f>
        <v>HolyroodJenni</v>
      </c>
      <c r="B16321" s="65" t="s">
        <v>24</v>
      </c>
    </row>
    <row r="16322" spans="1:2" x14ac:dyDescent="0.25">
      <c r="A16322" s="64" t="str">
        <f>HYPERLINK("http://www.twitter.com/ArchiveGnome", "ArchiveGnome")</f>
        <v>ArchiveGnome</v>
      </c>
      <c r="B16322" s="65" t="s">
        <v>487</v>
      </c>
    </row>
    <row r="16323" spans="1:2" x14ac:dyDescent="0.25">
      <c r="A16323" s="64" t="str">
        <f>HYPERLINK("http://www.twitter.com/LizzieMastersUK", "LizzieMastersUK")</f>
        <v>LizzieMastersUK</v>
      </c>
      <c r="B16323" s="65" t="s">
        <v>36</v>
      </c>
    </row>
    <row r="16324" spans="1:2" x14ac:dyDescent="0.25">
      <c r="A16324" s="64" t="str">
        <f>HYPERLINK("http://www.twitter.com/UkashatAlhassa1", "UkashatAlhassa1")</f>
        <v>UkashatAlhassa1</v>
      </c>
      <c r="B16324" s="65"/>
    </row>
    <row r="16325" spans="1:2" x14ac:dyDescent="0.25">
      <c r="A16325" s="64" t="str">
        <f>HYPERLINK("http://www.twitter.com/mhoragwilkie", "mhoragwilkie")</f>
        <v>mhoragwilkie</v>
      </c>
      <c r="B16325" s="65"/>
    </row>
    <row r="16326" spans="1:2" x14ac:dyDescent="0.25">
      <c r="A16326" s="64" t="str">
        <f>HYPERLINK("http://www.twitter.com/SinclairOffice", "SinclairOffice")</f>
        <v>SinclairOffice</v>
      </c>
      <c r="B16326" s="65" t="s">
        <v>8788</v>
      </c>
    </row>
    <row r="16327" spans="1:2" x14ac:dyDescent="0.25">
      <c r="A16327" s="64" t="str">
        <f>HYPERLINK("http://www.twitter.com/ja_pascoe", "ja_pascoe")</f>
        <v>ja_pascoe</v>
      </c>
      <c r="B16327" s="65" t="s">
        <v>2583</v>
      </c>
    </row>
    <row r="16328" spans="1:2" x14ac:dyDescent="0.25">
      <c r="A16328" s="64" t="str">
        <f>HYPERLINK("http://www.twitter.com/techforevil", "techforevil")</f>
        <v>techforevil</v>
      </c>
      <c r="B16328" s="65"/>
    </row>
    <row r="16329" spans="1:2" x14ac:dyDescent="0.25">
      <c r="A16329" s="64" t="str">
        <f>HYPERLINK("http://www.twitter.com/Bex74bbB", "Bex74bbB")</f>
        <v>Bex74bbB</v>
      </c>
      <c r="B16329" s="65" t="s">
        <v>8789</v>
      </c>
    </row>
    <row r="16330" spans="1:2" x14ac:dyDescent="0.25">
      <c r="A16330" s="64" t="str">
        <f>HYPERLINK("http://www.twitter.com/jane_snowden", "jane_snowden")</f>
        <v>jane_snowden</v>
      </c>
      <c r="B16330" s="65"/>
    </row>
    <row r="16331" spans="1:2" x14ac:dyDescent="0.25">
      <c r="A16331" s="64" t="str">
        <f>HYPERLINK("http://www.twitter.com/callanjd", "callanjd")</f>
        <v>callanjd</v>
      </c>
      <c r="B16331" s="65" t="s">
        <v>36</v>
      </c>
    </row>
    <row r="16332" spans="1:2" x14ac:dyDescent="0.25">
      <c r="A16332" s="64" t="str">
        <f>HYPERLINK("http://www.twitter.com/Geo_Souz99", "Geo_Souz99")</f>
        <v>Geo_Souz99</v>
      </c>
      <c r="B16332" s="65" t="s">
        <v>8790</v>
      </c>
    </row>
    <row r="16333" spans="1:2" x14ac:dyDescent="0.25">
      <c r="A16333" s="64" t="str">
        <f>HYPERLINK("http://www.twitter.com/TheDianeScott", "TheDianeScott")</f>
        <v>TheDianeScott</v>
      </c>
      <c r="B16333" s="65" t="s">
        <v>5807</v>
      </c>
    </row>
    <row r="16334" spans="1:2" x14ac:dyDescent="0.25">
      <c r="A16334" s="64" t="str">
        <f>HYPERLINK("http://www.twitter.com/macraekatie1", "macraekatie1")</f>
        <v>macraekatie1</v>
      </c>
      <c r="B16334" s="65" t="s">
        <v>8791</v>
      </c>
    </row>
    <row r="16335" spans="1:2" x14ac:dyDescent="0.25">
      <c r="A16335" s="64" t="str">
        <f>HYPERLINK("http://www.twitter.com/heyheymaimai", "heyheymaimai")</f>
        <v>heyheymaimai</v>
      </c>
      <c r="B16335" s="65" t="s">
        <v>1295</v>
      </c>
    </row>
    <row r="16336" spans="1:2" x14ac:dyDescent="0.25">
      <c r="A16336" s="64" t="str">
        <f>HYPERLINK("http://www.twitter.com/KenFutch5", "KenFutch5")</f>
        <v>KenFutch5</v>
      </c>
      <c r="B16336" s="65" t="s">
        <v>8792</v>
      </c>
    </row>
    <row r="16337" spans="1:2" x14ac:dyDescent="0.25">
      <c r="A16337" s="64" t="str">
        <f>HYPERLINK("http://www.twitter.com/jengilvear", "jengilvear")</f>
        <v>jengilvear</v>
      </c>
      <c r="B16337" s="65" t="s">
        <v>318</v>
      </c>
    </row>
    <row r="16338" spans="1:2" x14ac:dyDescent="0.25">
      <c r="A16338" s="64" t="str">
        <f>HYPERLINK("http://www.twitter.com/Stinamelina", "Stinamelina")</f>
        <v>Stinamelina</v>
      </c>
      <c r="B16338" s="65"/>
    </row>
    <row r="16339" spans="1:2" x14ac:dyDescent="0.25">
      <c r="A16339" s="64" t="str">
        <f>HYPERLINK("http://www.twitter.com/mpcsmith", "mpcsmith")</f>
        <v>mpcsmith</v>
      </c>
      <c r="B16339" s="65" t="s">
        <v>138</v>
      </c>
    </row>
    <row r="16340" spans="1:2" x14ac:dyDescent="0.25">
      <c r="A16340" s="64" t="str">
        <f>HYPERLINK("http://www.twitter.com/stadebates", "stadebates")</f>
        <v>stadebates</v>
      </c>
      <c r="B16340" s="65" t="s">
        <v>8793</v>
      </c>
    </row>
    <row r="16341" spans="1:2" x14ac:dyDescent="0.25">
      <c r="A16341" s="64" t="str">
        <f>HYPERLINK("http://www.twitter.com/titanic289", "titanic289")</f>
        <v>titanic289</v>
      </c>
      <c r="B16341" s="65" t="s">
        <v>8794</v>
      </c>
    </row>
    <row r="16342" spans="1:2" x14ac:dyDescent="0.25">
      <c r="A16342" s="64" t="str">
        <f>HYPERLINK("http://www.twitter.com/Books_Pieces", "Books_Pieces")</f>
        <v>Books_Pieces</v>
      </c>
      <c r="B16342" s="65" t="s">
        <v>749</v>
      </c>
    </row>
    <row r="16343" spans="1:2" x14ac:dyDescent="0.25">
      <c r="A16343" s="64" t="str">
        <f>HYPERLINK("http://www.twitter.com/lucy_lemon", "lucy_lemon")</f>
        <v>lucy_lemon</v>
      </c>
      <c r="B16343" s="65" t="s">
        <v>1221</v>
      </c>
    </row>
    <row r="16344" spans="1:2" x14ac:dyDescent="0.25">
      <c r="A16344" s="64" t="str">
        <f>HYPERLINK("http://www.twitter.com/five15design", "five15design")</f>
        <v>five15design</v>
      </c>
      <c r="B16344" s="65" t="s">
        <v>8795</v>
      </c>
    </row>
    <row r="16345" spans="1:2" x14ac:dyDescent="0.25">
      <c r="A16345" s="64" t="str">
        <f>HYPERLINK("http://www.twitter.com/GrovesSusie", "GrovesSusie")</f>
        <v>GrovesSusie</v>
      </c>
      <c r="B16345" s="65" t="s">
        <v>8796</v>
      </c>
    </row>
    <row r="16346" spans="1:2" x14ac:dyDescent="0.25">
      <c r="A16346" s="64" t="str">
        <f>HYPERLINK("http://www.twitter.com/sublimelatchup", "sublimelatchup")</f>
        <v>sublimelatchup</v>
      </c>
      <c r="B16346" s="65"/>
    </row>
    <row r="16347" spans="1:2" x14ac:dyDescent="0.25">
      <c r="A16347" s="64" t="str">
        <f>HYPERLINK("http://www.twitter.com/EducationTony", "EducationTony")</f>
        <v>EducationTony</v>
      </c>
      <c r="B16347" s="65" t="s">
        <v>8797</v>
      </c>
    </row>
    <row r="16348" spans="1:2" x14ac:dyDescent="0.25">
      <c r="A16348" s="64" t="str">
        <f>HYPERLINK("http://www.twitter.com/paulxr", "paulxr")</f>
        <v>paulxr</v>
      </c>
      <c r="B16348" s="65" t="s">
        <v>8798</v>
      </c>
    </row>
    <row r="16349" spans="1:2" x14ac:dyDescent="0.25">
      <c r="A16349" s="64" t="str">
        <f>HYPERLINK("http://www.twitter.com/markyptweets", "markyptweets")</f>
        <v>markyptweets</v>
      </c>
      <c r="B16349" s="65"/>
    </row>
    <row r="16350" spans="1:2" x14ac:dyDescent="0.25">
      <c r="A16350" s="64" t="str">
        <f>HYPERLINK("http://www.twitter.com/linda_l_lowe", "linda_l_lowe")</f>
        <v>linda_l_lowe</v>
      </c>
      <c r="B16350" s="65" t="s">
        <v>4616</v>
      </c>
    </row>
    <row r="16351" spans="1:2" x14ac:dyDescent="0.25">
      <c r="A16351" s="64" t="str">
        <f>HYPERLINK("http://www.twitter.com/JackChaddock", "JackChaddock")</f>
        <v>JackChaddock</v>
      </c>
      <c r="B16351" s="65" t="s">
        <v>36</v>
      </c>
    </row>
    <row r="16352" spans="1:2" x14ac:dyDescent="0.25">
      <c r="A16352" s="64" t="str">
        <f>HYPERLINK("http://www.twitter.com/Mann1Charles", "Mann1Charles")</f>
        <v>Mann1Charles</v>
      </c>
      <c r="B16352" s="65" t="s">
        <v>6752</v>
      </c>
    </row>
    <row r="16353" spans="1:2" x14ac:dyDescent="0.25">
      <c r="A16353" s="64" t="str">
        <f>HYPERLINK("http://www.twitter.com/MALIKWA078M", "MALIKWA078M")</f>
        <v>MALIKWA078M</v>
      </c>
      <c r="B16353" s="65"/>
    </row>
    <row r="16354" spans="1:2" x14ac:dyDescent="0.25">
      <c r="A16354" s="64" t="str">
        <f>HYPERLINK("http://www.twitter.com/elizabethfoy13", "elizabethfoy13")</f>
        <v>elizabethfoy13</v>
      </c>
      <c r="B16354" s="65" t="s">
        <v>36</v>
      </c>
    </row>
    <row r="16355" spans="1:2" x14ac:dyDescent="0.25">
      <c r="A16355" s="64" t="str">
        <f>HYPERLINK("http://www.twitter.com/mahamamago", "mahamamago")</f>
        <v>mahamamago</v>
      </c>
      <c r="B16355" s="65"/>
    </row>
    <row r="16356" spans="1:2" x14ac:dyDescent="0.25">
      <c r="A16356" s="64" t="str">
        <f>HYPERLINK("http://www.twitter.com/pozzatively", "pozzatively")</f>
        <v>pozzatively</v>
      </c>
      <c r="B16356" s="65" t="s">
        <v>8799</v>
      </c>
    </row>
    <row r="16357" spans="1:2" x14ac:dyDescent="0.25">
      <c r="A16357" s="64" t="str">
        <f>HYPERLINK("http://www.twitter.com/heatheremacleod", "heatheremacleod")</f>
        <v>heatheremacleod</v>
      </c>
      <c r="B16357" s="65"/>
    </row>
    <row r="16358" spans="1:2" x14ac:dyDescent="0.25">
      <c r="A16358" s="64" t="str">
        <f>HYPERLINK("http://www.twitter.com/PAliceVeasey", "PAliceVeasey")</f>
        <v>PAliceVeasey</v>
      </c>
      <c r="B16358" s="65"/>
    </row>
    <row r="16359" spans="1:2" x14ac:dyDescent="0.25">
      <c r="A16359" s="64" t="str">
        <f>HYPERLINK("http://www.twitter.com/SteveKaton", "SteveKaton")</f>
        <v>SteveKaton</v>
      </c>
      <c r="B16359" s="65"/>
    </row>
    <row r="16360" spans="1:2" x14ac:dyDescent="0.25">
      <c r="A16360" s="64" t="str">
        <f>HYPERLINK("http://www.twitter.com/WhiskyGuru", "WhiskyGuru")</f>
        <v>WhiskyGuru</v>
      </c>
      <c r="B16360" s="65" t="s">
        <v>2007</v>
      </c>
    </row>
    <row r="16361" spans="1:2" x14ac:dyDescent="0.25">
      <c r="A16361" s="64" t="str">
        <f>HYPERLINK("http://www.twitter.com/Ruthiebubbles", "Ruthiebubbles")</f>
        <v>Ruthiebubbles</v>
      </c>
      <c r="B16361" s="65" t="s">
        <v>569</v>
      </c>
    </row>
    <row r="16362" spans="1:2" x14ac:dyDescent="0.25">
      <c r="A16362" s="64" t="str">
        <f>HYPERLINK("http://www.twitter.com/EMEC_Orkney", "EMEC_Orkney")</f>
        <v>EMEC_Orkney</v>
      </c>
      <c r="B16362" s="65" t="s">
        <v>4901</v>
      </c>
    </row>
    <row r="16363" spans="1:2" x14ac:dyDescent="0.25">
      <c r="A16363" s="64" t="str">
        <f>HYPERLINK("http://www.twitter.com/DawlishLibrary", "DawlishLibrary")</f>
        <v>DawlishLibrary</v>
      </c>
      <c r="B16363" s="65" t="s">
        <v>2605</v>
      </c>
    </row>
    <row r="16364" spans="1:2" x14ac:dyDescent="0.25">
      <c r="A16364" s="64" t="str">
        <f>HYPERLINK("http://www.twitter.com/MikaMetsarinne", "MikaMetsarinne")</f>
        <v>MikaMetsarinne</v>
      </c>
      <c r="B16364" s="65" t="s">
        <v>4152</v>
      </c>
    </row>
    <row r="16365" spans="1:2" x14ac:dyDescent="0.25">
      <c r="A16365" s="64" t="str">
        <f>HYPERLINK("http://www.twitter.com/SayedNajibi", "SayedNajibi")</f>
        <v>SayedNajibi</v>
      </c>
      <c r="B16365" s="65"/>
    </row>
    <row r="16366" spans="1:2" x14ac:dyDescent="0.25">
      <c r="A16366" s="64" t="str">
        <f>HYPERLINK("http://www.twitter.com/emmaric2247", "emmaric2247")</f>
        <v>emmaric2247</v>
      </c>
      <c r="B16366" s="65" t="s">
        <v>4236</v>
      </c>
    </row>
    <row r="16367" spans="1:2" x14ac:dyDescent="0.25">
      <c r="A16367" s="64" t="str">
        <f>HYPERLINK("http://www.twitter.com/FinchamGray", "FinchamGray")</f>
        <v>FinchamGray</v>
      </c>
      <c r="B16367" s="65" t="s">
        <v>3804</v>
      </c>
    </row>
    <row r="16368" spans="1:2" x14ac:dyDescent="0.25">
      <c r="A16368" s="64" t="str">
        <f>HYPERLINK("http://www.twitter.com/skropochkina", "skropochkina")</f>
        <v>skropochkina</v>
      </c>
      <c r="B16368" s="65"/>
    </row>
    <row r="16369" spans="1:2" x14ac:dyDescent="0.25">
      <c r="A16369" s="64" t="str">
        <f>HYPERLINK("http://www.twitter.com/aggiekoump", "aggiekoump")</f>
        <v>aggiekoump</v>
      </c>
      <c r="B16369" s="65"/>
    </row>
    <row r="16370" spans="1:2" x14ac:dyDescent="0.25">
      <c r="A16370" s="64" t="str">
        <f>HYPERLINK("http://www.twitter.com/shellyg2725", "shellyg2725")</f>
        <v>shellyg2725</v>
      </c>
      <c r="B16370" s="65"/>
    </row>
    <row r="16371" spans="1:2" x14ac:dyDescent="0.25">
      <c r="A16371" s="64" t="str">
        <f>HYPERLINK("http://www.twitter.com/trishteachermum", "trishteachermum")</f>
        <v>trishteachermum</v>
      </c>
      <c r="B16371" s="65" t="s">
        <v>8800</v>
      </c>
    </row>
    <row r="16372" spans="1:2" x14ac:dyDescent="0.25">
      <c r="A16372" s="64" t="str">
        <f>HYPERLINK("http://www.twitter.com/library_sphinx", "library_sphinx")</f>
        <v>library_sphinx</v>
      </c>
      <c r="B16372" s="65" t="s">
        <v>61</v>
      </c>
    </row>
    <row r="16373" spans="1:2" x14ac:dyDescent="0.25">
      <c r="A16373" s="64" t="str">
        <f>HYPERLINK("http://www.twitter.com/Brookieknits", "Brookieknits")</f>
        <v>Brookieknits</v>
      </c>
      <c r="B16373" s="65" t="s">
        <v>8801</v>
      </c>
    </row>
    <row r="16374" spans="1:2" x14ac:dyDescent="0.25">
      <c r="A16374" s="64" t="str">
        <f>HYPERLINK("http://www.twitter.com/ELaughton", "ELaughton")</f>
        <v>ELaughton</v>
      </c>
      <c r="B16374" s="65"/>
    </row>
    <row r="16375" spans="1:2" x14ac:dyDescent="0.25">
      <c r="A16375" s="64" t="str">
        <f>HYPERLINK("http://www.twitter.com/GMomcinovic", "GMomcinovic")</f>
        <v>GMomcinovic</v>
      </c>
      <c r="B16375" s="65"/>
    </row>
    <row r="16376" spans="1:2" x14ac:dyDescent="0.25">
      <c r="A16376" s="64" t="str">
        <f>HYPERLINK("http://www.twitter.com/murrinholi", "murrinholi")</f>
        <v>murrinholi</v>
      </c>
      <c r="B16376" s="65" t="s">
        <v>8802</v>
      </c>
    </row>
    <row r="16377" spans="1:2" x14ac:dyDescent="0.25">
      <c r="A16377" s="64" t="str">
        <f>HYPERLINK("http://www.twitter.com/collettefrances", "collettefrances")</f>
        <v>collettefrances</v>
      </c>
      <c r="B16377" s="65"/>
    </row>
    <row r="16378" spans="1:2" x14ac:dyDescent="0.25">
      <c r="A16378" s="64" t="str">
        <f>HYPERLINK("http://www.twitter.com/Shipon2000", "Shipon2000")</f>
        <v>Shipon2000</v>
      </c>
      <c r="B16378" s="65"/>
    </row>
    <row r="16379" spans="1:2" x14ac:dyDescent="0.25">
      <c r="A16379" s="64" t="str">
        <f>HYPERLINK("http://www.twitter.com/DebRedmore", "DebRedmore")</f>
        <v>DebRedmore</v>
      </c>
      <c r="B16379" s="65"/>
    </row>
    <row r="16380" spans="1:2" x14ac:dyDescent="0.25">
      <c r="A16380" s="64" t="str">
        <f>HYPERLINK("http://www.twitter.com/TreuxTrueTrew", "TreuxTrueTrew")</f>
        <v>TreuxTrueTrew</v>
      </c>
      <c r="B16380" s="65"/>
    </row>
    <row r="16381" spans="1:2" x14ac:dyDescent="0.25">
      <c r="A16381" s="64" t="str">
        <f>HYPERLINK("http://www.twitter.com/phillipbreeno", "phillipbreeno")</f>
        <v>phillipbreeno</v>
      </c>
      <c r="B16381" s="65" t="s">
        <v>296</v>
      </c>
    </row>
    <row r="16382" spans="1:2" x14ac:dyDescent="0.25">
      <c r="A16382" s="64" t="str">
        <f>HYPERLINK("http://www.twitter.com/ke1thallan", "ke1thallan")</f>
        <v>ke1thallan</v>
      </c>
      <c r="B16382" s="65" t="s">
        <v>8803</v>
      </c>
    </row>
    <row r="16383" spans="1:2" x14ac:dyDescent="0.25">
      <c r="A16383" s="64" t="str">
        <f>HYPERLINK("http://www.twitter.com/JuampeMoscaTeje", "JuampeMoscaTeje")</f>
        <v>JuampeMoscaTeje</v>
      </c>
      <c r="B16383" s="65"/>
    </row>
    <row r="16384" spans="1:2" x14ac:dyDescent="0.25">
      <c r="A16384" s="64" t="str">
        <f>HYPERLINK("http://www.twitter.com/_ailsa", "_ailsa")</f>
        <v>_ailsa</v>
      </c>
      <c r="B16384" s="65"/>
    </row>
    <row r="16385" spans="1:2" x14ac:dyDescent="0.25">
      <c r="A16385" s="64" t="str">
        <f>HYPERLINK("http://www.twitter.com/smartieplum", "smartieplum")</f>
        <v>smartieplum</v>
      </c>
      <c r="B16385" s="65" t="s">
        <v>318</v>
      </c>
    </row>
    <row r="16386" spans="1:2" x14ac:dyDescent="0.25">
      <c r="A16386" s="64" t="str">
        <f>HYPERLINK("http://www.twitter.com/skyy1239", "skyy1239")</f>
        <v>skyy1239</v>
      </c>
      <c r="B16386" s="65" t="s">
        <v>3839</v>
      </c>
    </row>
    <row r="16387" spans="1:2" x14ac:dyDescent="0.25">
      <c r="A16387" s="64" t="str">
        <f>HYPERLINK("http://www.twitter.com/diarmuidlloyd", "diarmuidlloyd")</f>
        <v>diarmuidlloyd</v>
      </c>
      <c r="B16387" s="65" t="s">
        <v>24</v>
      </c>
    </row>
    <row r="16388" spans="1:2" x14ac:dyDescent="0.25">
      <c r="A16388" s="64" t="str">
        <f>HYPERLINK("http://www.twitter.com/hebegee_bee", "hebegee_bee")</f>
        <v>hebegee_bee</v>
      </c>
      <c r="B16388" s="65"/>
    </row>
    <row r="16389" spans="1:2" x14ac:dyDescent="0.25">
      <c r="A16389" s="64" t="str">
        <f>HYPERLINK("http://www.twitter.com/Cameronskin2", "Cameronskin2")</f>
        <v>Cameronskin2</v>
      </c>
      <c r="B16389" s="65"/>
    </row>
    <row r="16390" spans="1:2" x14ac:dyDescent="0.25">
      <c r="A16390" s="64" t="str">
        <f>HYPERLINK("http://www.twitter.com/Super_Noodle", "Super_Noodle")</f>
        <v>Super_Noodle</v>
      </c>
      <c r="B16390" s="65"/>
    </row>
    <row r="16391" spans="1:2" x14ac:dyDescent="0.25">
      <c r="A16391" s="64" t="str">
        <f>HYPERLINK("http://www.twitter.com/t45Lvmk8fR0vVIv", "t45Lvmk8fR0vVIv")</f>
        <v>t45Lvmk8fR0vVIv</v>
      </c>
      <c r="B16391" s="65"/>
    </row>
    <row r="16392" spans="1:2" x14ac:dyDescent="0.25">
      <c r="A16392" s="64" t="str">
        <f>HYPERLINK("http://www.twitter.com/lucy_drever", "lucy_drever")</f>
        <v>lucy_drever</v>
      </c>
      <c r="B16392" s="65" t="s">
        <v>477</v>
      </c>
    </row>
    <row r="16393" spans="1:2" x14ac:dyDescent="0.25">
      <c r="A16393" s="64" t="str">
        <f>HYPERLINK("http://www.twitter.com/etsetara", "etsetara")</f>
        <v>etsetara</v>
      </c>
      <c r="B16393" s="65" t="s">
        <v>8804</v>
      </c>
    </row>
    <row r="16394" spans="1:2" x14ac:dyDescent="0.25">
      <c r="A16394" s="64" t="str">
        <f>HYPERLINK("http://www.twitter.com/eanneg", "eanneg")</f>
        <v>eanneg</v>
      </c>
      <c r="B16394" s="65" t="s">
        <v>4129</v>
      </c>
    </row>
    <row r="16395" spans="1:2" x14ac:dyDescent="0.25">
      <c r="A16395" s="64" t="str">
        <f>HYPERLINK("http://www.twitter.com/jude_stevenson", "jude_stevenson")</f>
        <v>jude_stevenson</v>
      </c>
      <c r="B16395" s="65"/>
    </row>
    <row r="16396" spans="1:2" x14ac:dyDescent="0.25">
      <c r="A16396" s="64" t="str">
        <f>HYPERLINK("http://www.twitter.com/poppysmicluv", "poppysmicluv")</f>
        <v>poppysmicluv</v>
      </c>
      <c r="B16396" s="65" t="s">
        <v>8805</v>
      </c>
    </row>
    <row r="16397" spans="1:2" x14ac:dyDescent="0.25">
      <c r="A16397" s="64" t="str">
        <f>HYPERLINK("http://www.twitter.com/marion_jeanjean", "marion_jeanjean")</f>
        <v>marion_jeanjean</v>
      </c>
      <c r="B16397" s="65" t="s">
        <v>8806</v>
      </c>
    </row>
    <row r="16398" spans="1:2" x14ac:dyDescent="0.25">
      <c r="A16398" s="64" t="str">
        <f>HYPERLINK("http://www.twitter.com/pauldaveevans", "pauldaveevans")</f>
        <v>pauldaveevans</v>
      </c>
      <c r="B16398" s="65"/>
    </row>
    <row r="16399" spans="1:2" x14ac:dyDescent="0.25">
      <c r="A16399" s="64" t="str">
        <f>HYPERLINK("http://www.twitter.com/RyanKCone", "RyanKCone")</f>
        <v>RyanKCone</v>
      </c>
      <c r="B16399" s="65"/>
    </row>
    <row r="16400" spans="1:2" x14ac:dyDescent="0.25">
      <c r="A16400" s="64" t="str">
        <f>HYPERLINK("http://www.twitter.com/JLeuwen", "JLeuwen")</f>
        <v>JLeuwen</v>
      </c>
      <c r="B16400" s="65"/>
    </row>
    <row r="16401" spans="1:2" x14ac:dyDescent="0.25">
      <c r="A16401" s="64" t="str">
        <f>HYPERLINK("http://www.twitter.com/Ponderinglif", "Ponderinglif")</f>
        <v>Ponderinglif</v>
      </c>
      <c r="B16401" s="65" t="s">
        <v>296</v>
      </c>
    </row>
    <row r="16402" spans="1:2" x14ac:dyDescent="0.25">
      <c r="A16402" s="64" t="str">
        <f>HYPERLINK("http://www.twitter.com/janeGGH", "janeGGH")</f>
        <v>janeGGH</v>
      </c>
      <c r="B16402" s="65"/>
    </row>
    <row r="16403" spans="1:2" x14ac:dyDescent="0.25">
      <c r="A16403" s="64" t="str">
        <f>HYPERLINK("http://www.twitter.com/GKnollington", "GKnollington")</f>
        <v>GKnollington</v>
      </c>
      <c r="B16403" s="65"/>
    </row>
    <row r="16404" spans="1:2" x14ac:dyDescent="0.25">
      <c r="A16404" s="64" t="str">
        <f>HYPERLINK("http://www.twitter.com/professleader", "professleader")</f>
        <v>professleader</v>
      </c>
      <c r="B16404" s="65" t="s">
        <v>8807</v>
      </c>
    </row>
    <row r="16405" spans="1:2" x14ac:dyDescent="0.25">
      <c r="A16405" s="64" t="str">
        <f>HYPERLINK("http://www.twitter.com/StaceyTait89", "StaceyTait89")</f>
        <v>StaceyTait89</v>
      </c>
      <c r="B16405" s="65" t="s">
        <v>3762</v>
      </c>
    </row>
    <row r="16406" spans="1:2" x14ac:dyDescent="0.25">
      <c r="A16406" s="64" t="str">
        <f>HYPERLINK("http://www.twitter.com/rgbirdsall", "rgbirdsall")</f>
        <v>rgbirdsall</v>
      </c>
      <c r="B16406" s="65" t="s">
        <v>487</v>
      </c>
    </row>
    <row r="16407" spans="1:2" x14ac:dyDescent="0.25">
      <c r="A16407" s="64" t="str">
        <f>HYPERLINK("http://www.twitter.com/nicholashill", "nicholashill")</f>
        <v>nicholashill</v>
      </c>
      <c r="B16407" s="65" t="s">
        <v>8807</v>
      </c>
    </row>
    <row r="16408" spans="1:2" x14ac:dyDescent="0.25">
      <c r="A16408" s="64" t="str">
        <f>HYPERLINK("http://www.twitter.com/TheAlma_N1", "TheAlma_N1")</f>
        <v>TheAlma_N1</v>
      </c>
      <c r="B16408" s="65" t="s">
        <v>8808</v>
      </c>
    </row>
    <row r="16409" spans="1:2" x14ac:dyDescent="0.25">
      <c r="A16409" s="64" t="str">
        <f>HYPERLINK("http://www.twitter.com/MorrisWannabe", "MorrisWannabe")</f>
        <v>MorrisWannabe</v>
      </c>
      <c r="B16409" s="65" t="s">
        <v>5667</v>
      </c>
    </row>
    <row r="16410" spans="1:2" x14ac:dyDescent="0.25">
      <c r="A16410" s="64" t="str">
        <f>HYPERLINK("http://www.twitter.com/Sam_GnTx", "Sam_GnTx")</f>
        <v>Sam_GnTx</v>
      </c>
      <c r="B16410" s="65" t="s">
        <v>8809</v>
      </c>
    </row>
    <row r="16411" spans="1:2" x14ac:dyDescent="0.25">
      <c r="A16411" s="64" t="str">
        <f>HYPERLINK("http://www.twitter.com/ch5606", "ch5606")</f>
        <v>ch5606</v>
      </c>
      <c r="B16411" s="65" t="s">
        <v>8810</v>
      </c>
    </row>
    <row r="16412" spans="1:2" x14ac:dyDescent="0.25">
      <c r="A16412" s="64" t="str">
        <f>HYPERLINK("http://www.twitter.com/annavalley", "annavalley")</f>
        <v>annavalley</v>
      </c>
      <c r="B16412" s="65" t="s">
        <v>8482</v>
      </c>
    </row>
    <row r="16413" spans="1:2" x14ac:dyDescent="0.25">
      <c r="A16413" s="64" t="str">
        <f>HYPERLINK("http://www.twitter.com/lecoq0210", "lecoq0210")</f>
        <v>lecoq0210</v>
      </c>
      <c r="B16413" s="65"/>
    </row>
    <row r="16414" spans="1:2" x14ac:dyDescent="0.25">
      <c r="A16414" s="64" t="str">
        <f>HYPERLINK("http://www.twitter.com/alisonbianchi", "alisonbianchi")</f>
        <v>alisonbianchi</v>
      </c>
      <c r="B16414" s="65" t="s">
        <v>110</v>
      </c>
    </row>
    <row r="16415" spans="1:2" x14ac:dyDescent="0.25">
      <c r="A16415" s="64" t="str">
        <f>HYPERLINK("http://www.twitter.com/McKennaVT", "McKennaVT")</f>
        <v>McKennaVT</v>
      </c>
      <c r="B16415" s="65"/>
    </row>
    <row r="16416" spans="1:2" x14ac:dyDescent="0.25">
      <c r="A16416" s="64" t="str">
        <f>HYPERLINK("http://www.twitter.com/davidsheldon95", "davidsheldon95")</f>
        <v>davidsheldon95</v>
      </c>
      <c r="B16416" s="65"/>
    </row>
    <row r="16417" spans="1:2" x14ac:dyDescent="0.25">
      <c r="A16417" s="64" t="str">
        <f>HYPERLINK("http://www.twitter.com/mellyhome1", "mellyhome1")</f>
        <v>mellyhome1</v>
      </c>
      <c r="B16417" s="65" t="s">
        <v>6149</v>
      </c>
    </row>
    <row r="16418" spans="1:2" x14ac:dyDescent="0.25">
      <c r="A16418" s="64" t="str">
        <f>HYPERLINK("http://www.twitter.com/theactualemma", "theactualemma")</f>
        <v>theactualemma</v>
      </c>
      <c r="B16418" s="65" t="s">
        <v>8811</v>
      </c>
    </row>
    <row r="16419" spans="1:2" x14ac:dyDescent="0.25">
      <c r="A16419" s="64" t="str">
        <f>HYPERLINK("http://www.twitter.com/clairecreek", "clairecreek")</f>
        <v>clairecreek</v>
      </c>
      <c r="B16419" s="65"/>
    </row>
    <row r="16420" spans="1:2" x14ac:dyDescent="0.25">
      <c r="A16420" s="64" t="str">
        <f>HYPERLINK("http://www.twitter.com/zeta4mobile", "zeta4mobile")</f>
        <v>zeta4mobile</v>
      </c>
      <c r="B16420" s="65"/>
    </row>
    <row r="16421" spans="1:2" x14ac:dyDescent="0.25">
      <c r="A16421" s="64" t="str">
        <f>HYPERLINK("http://www.twitter.com/statkinfo", "statkinfo")</f>
        <v>statkinfo</v>
      </c>
      <c r="B16421" s="65"/>
    </row>
    <row r="16422" spans="1:2" x14ac:dyDescent="0.25">
      <c r="A16422" s="64" t="str">
        <f>HYPERLINK("http://www.twitter.com/janecpacker", "janecpacker")</f>
        <v>janecpacker</v>
      </c>
      <c r="B16422" s="65" t="s">
        <v>2592</v>
      </c>
    </row>
    <row r="16423" spans="1:2" x14ac:dyDescent="0.25">
      <c r="A16423" s="64" t="str">
        <f>HYPERLINK("http://www.twitter.com/elmwarren", "elmwarren")</f>
        <v>elmwarren</v>
      </c>
      <c r="B16423" s="65" t="s">
        <v>180</v>
      </c>
    </row>
    <row r="16424" spans="1:2" x14ac:dyDescent="0.25">
      <c r="A16424" s="64" t="str">
        <f>HYPERLINK("http://www.twitter.com/P3kha", "P3kha")</f>
        <v>P3kha</v>
      </c>
      <c r="B16424" s="65"/>
    </row>
    <row r="16425" spans="1:2" x14ac:dyDescent="0.25">
      <c r="A16425" s="64" t="str">
        <f>HYPERLINK("http://www.twitter.com/nessroad", "nessroad")</f>
        <v>nessroad</v>
      </c>
      <c r="B16425" s="65"/>
    </row>
    <row r="16426" spans="1:2" x14ac:dyDescent="0.25">
      <c r="A16426" s="64" t="str">
        <f>HYPERLINK("http://www.twitter.com/malcolm_mackay", "malcolm_mackay")</f>
        <v>malcolm_mackay</v>
      </c>
      <c r="B16426" s="65"/>
    </row>
    <row r="16427" spans="1:2" x14ac:dyDescent="0.25">
      <c r="A16427" s="64" t="str">
        <f>HYPERLINK("http://www.twitter.com/RobJefferson", "RobJefferson")</f>
        <v>RobJefferson</v>
      </c>
      <c r="B16427" s="65" t="s">
        <v>8812</v>
      </c>
    </row>
    <row r="16428" spans="1:2" x14ac:dyDescent="0.25">
      <c r="A16428" s="64" t="str">
        <f>HYPERLINK("http://www.twitter.com/lauravarnam", "lauravarnam")</f>
        <v>lauravarnam</v>
      </c>
      <c r="B16428" s="65" t="s">
        <v>505</v>
      </c>
    </row>
    <row r="16429" spans="1:2" x14ac:dyDescent="0.25">
      <c r="A16429" s="64" t="str">
        <f>HYPERLINK("http://www.twitter.com/IpsoBooks", "IpsoBooks")</f>
        <v>IpsoBooks</v>
      </c>
      <c r="B16429" s="65" t="s">
        <v>477</v>
      </c>
    </row>
    <row r="16430" spans="1:2" x14ac:dyDescent="0.25">
      <c r="A16430" s="64" t="str">
        <f>HYPERLINK("http://www.twitter.com/craigang", "craigang")</f>
        <v>craigang</v>
      </c>
      <c r="B16430" s="65" t="s">
        <v>2007</v>
      </c>
    </row>
    <row r="16431" spans="1:2" x14ac:dyDescent="0.25">
      <c r="A16431" s="64" t="str">
        <f>HYPERLINK("http://www.twitter.com/byAIRFORCE", "byAIRFORCE")</f>
        <v>byAIRFORCE</v>
      </c>
      <c r="B16431" s="65"/>
    </row>
    <row r="16432" spans="1:2" x14ac:dyDescent="0.25">
      <c r="A16432" s="64" t="str">
        <f>HYPERLINK("http://www.twitter.com/M3G4N_99", "M3G4N_99")</f>
        <v>M3G4N_99</v>
      </c>
      <c r="B16432" s="65"/>
    </row>
    <row r="16433" spans="1:2" x14ac:dyDescent="0.25">
      <c r="A16433" s="64" t="str">
        <f>HYPERLINK("http://www.twitter.com/akdj4i", "akdj4i")</f>
        <v>akdj4i</v>
      </c>
      <c r="B16433" s="65"/>
    </row>
    <row r="16434" spans="1:2" x14ac:dyDescent="0.25">
      <c r="A16434" s="64" t="str">
        <f>HYPERLINK("http://www.twitter.com/NicNelsonBooks", "NicNelsonBooks")</f>
        <v>NicNelsonBooks</v>
      </c>
      <c r="B16434" s="65" t="s">
        <v>3797</v>
      </c>
    </row>
    <row r="16435" spans="1:2" x14ac:dyDescent="0.25">
      <c r="A16435" s="64" t="str">
        <f>HYPERLINK("http://www.twitter.com/rogerwebb1", "rogerwebb1")</f>
        <v>rogerwebb1</v>
      </c>
      <c r="B16435" s="65" t="s">
        <v>8813</v>
      </c>
    </row>
    <row r="16436" spans="1:2" x14ac:dyDescent="0.25">
      <c r="A16436" s="64" t="str">
        <f>HYPERLINK("http://www.twitter.com/westrayheritage", "westrayheritage")</f>
        <v>westrayheritage</v>
      </c>
      <c r="B16436" s="65" t="s">
        <v>8814</v>
      </c>
    </row>
    <row r="16437" spans="1:2" x14ac:dyDescent="0.25">
      <c r="A16437" s="64" t="str">
        <f>HYPERLINK("http://www.twitter.com/russell_kennedy", "russell_kennedy")</f>
        <v>russell_kennedy</v>
      </c>
      <c r="B16437" s="65" t="s">
        <v>36</v>
      </c>
    </row>
    <row r="16438" spans="1:2" x14ac:dyDescent="0.25">
      <c r="A16438" s="64" t="str">
        <f>HYPERLINK("http://www.twitter.com/joannepott", "joannepott")</f>
        <v>joannepott</v>
      </c>
      <c r="B16438" s="65"/>
    </row>
    <row r="16439" spans="1:2" x14ac:dyDescent="0.25">
      <c r="A16439" s="64" t="str">
        <f>HYPERLINK("http://www.twitter.com/YoungWritersCW", "YoungWritersCW")</f>
        <v>YoungWritersCW</v>
      </c>
      <c r="B16439" s="65" t="s">
        <v>1078</v>
      </c>
    </row>
    <row r="16440" spans="1:2" x14ac:dyDescent="0.25">
      <c r="A16440" s="64" t="str">
        <f>HYPERLINK("http://www.twitter.com/sharda_dulal", "sharda_dulal")</f>
        <v>sharda_dulal</v>
      </c>
      <c r="B16440" s="65" t="s">
        <v>5658</v>
      </c>
    </row>
    <row r="16441" spans="1:2" x14ac:dyDescent="0.25">
      <c r="A16441" s="64" t="str">
        <f>HYPERLINK("http://www.twitter.com/PhayexaSaiyed", "PhayexaSaiyed")</f>
        <v>PhayexaSaiyed</v>
      </c>
      <c r="B16441" s="65"/>
    </row>
    <row r="16442" spans="1:2" x14ac:dyDescent="0.25">
      <c r="A16442" s="64" t="str">
        <f>HYPERLINK("http://www.twitter.com/1accidentalpoet", "1accidentalpoet")</f>
        <v>1accidentalpoet</v>
      </c>
      <c r="B16442" s="65" t="s">
        <v>8815</v>
      </c>
    </row>
    <row r="16443" spans="1:2" x14ac:dyDescent="0.25">
      <c r="A16443" s="64" t="str">
        <f>HYPERLINK("http://www.twitter.com/cosmofountain", "cosmofountain")</f>
        <v>cosmofountain</v>
      </c>
      <c r="B16443" s="65" t="s">
        <v>8816</v>
      </c>
    </row>
    <row r="16444" spans="1:2" x14ac:dyDescent="0.25">
      <c r="A16444" s="64" t="str">
        <f>HYPERLINK("http://www.twitter.com/gunn75", "gunn75")</f>
        <v>gunn75</v>
      </c>
      <c r="B16444" s="65"/>
    </row>
    <row r="16445" spans="1:2" x14ac:dyDescent="0.25">
      <c r="A16445" s="64" t="str">
        <f>HYPERLINK("http://www.twitter.com/_kelly_victoria", "_kelly_victoria")</f>
        <v>_kelly_victoria</v>
      </c>
      <c r="B16445" s="65" t="s">
        <v>36</v>
      </c>
    </row>
    <row r="16446" spans="1:2" x14ac:dyDescent="0.25">
      <c r="A16446" s="64" t="str">
        <f>HYPERLINK("http://www.twitter.com/harriet_tyce", "harriet_tyce")</f>
        <v>harriet_tyce</v>
      </c>
      <c r="B16446" s="65" t="s">
        <v>8817</v>
      </c>
    </row>
    <row r="16447" spans="1:2" x14ac:dyDescent="0.25">
      <c r="A16447" s="64" t="str">
        <f>HYPERLINK("http://www.twitter.com/opl_bpo", "opl_bpo")</f>
        <v>opl_bpo</v>
      </c>
      <c r="B16447" s="65" t="s">
        <v>3894</v>
      </c>
    </row>
    <row r="16448" spans="1:2" x14ac:dyDescent="0.25">
      <c r="A16448" s="64" t="str">
        <f>HYPERLINK("http://www.twitter.com/doublegonedod", "doublegonedod")</f>
        <v>doublegonedod</v>
      </c>
      <c r="B16448" s="65" t="s">
        <v>4537</v>
      </c>
    </row>
    <row r="16449" spans="1:2" x14ac:dyDescent="0.25">
      <c r="A16449" s="64" t="str">
        <f>HYPERLINK("http://www.twitter.com/Juliettekenny", "Juliettekenny")</f>
        <v>Juliettekenny</v>
      </c>
      <c r="B16449" s="65" t="s">
        <v>3838</v>
      </c>
    </row>
    <row r="16450" spans="1:2" x14ac:dyDescent="0.25">
      <c r="A16450" s="64" t="str">
        <f>HYPERLINK("http://www.twitter.com/brevitybelle", "brevitybelle")</f>
        <v>brevitybelle</v>
      </c>
      <c r="B16450" s="65"/>
    </row>
    <row r="16451" spans="1:2" x14ac:dyDescent="0.25">
      <c r="A16451" s="64" t="str">
        <f>HYPERLINK("http://www.twitter.com/CWGC", "CWGC")</f>
        <v>CWGC</v>
      </c>
      <c r="B16451" s="65" t="s">
        <v>442</v>
      </c>
    </row>
    <row r="16452" spans="1:2" x14ac:dyDescent="0.25">
      <c r="A16452" s="64" t="str">
        <f>HYPERLINK("http://www.twitter.com/FrancesScott", "FrancesScott")</f>
        <v>FrancesScott</v>
      </c>
      <c r="B16452" s="65" t="s">
        <v>8818</v>
      </c>
    </row>
    <row r="16453" spans="1:2" x14ac:dyDescent="0.25">
      <c r="A16453" s="64" t="str">
        <f>HYPERLINK("http://www.twitter.com/RonanPMadden", "RonanPMadden")</f>
        <v>RonanPMadden</v>
      </c>
      <c r="B16453" s="65" t="s">
        <v>8819</v>
      </c>
    </row>
    <row r="16454" spans="1:2" x14ac:dyDescent="0.25">
      <c r="A16454" s="64" t="str">
        <f>HYPERLINK("http://www.twitter.com/poetryrivals", "poetryrivals")</f>
        <v>poetryrivals</v>
      </c>
      <c r="B16454" s="65" t="s">
        <v>1078</v>
      </c>
    </row>
    <row r="16455" spans="1:2" x14ac:dyDescent="0.25">
      <c r="A16455" s="64" t="str">
        <f>HYPERLINK("http://www.twitter.com/poetryrivalsU18", "poetryrivalsU18")</f>
        <v>poetryrivalsU18</v>
      </c>
      <c r="B16455" s="65" t="s">
        <v>8820</v>
      </c>
    </row>
    <row r="16456" spans="1:2" x14ac:dyDescent="0.25">
      <c r="A16456" s="64" t="str">
        <f>HYPERLINK("http://www.twitter.com/Edna331", "Edna331")</f>
        <v>Edna331</v>
      </c>
      <c r="B16456" s="65" t="s">
        <v>3802</v>
      </c>
    </row>
    <row r="16457" spans="1:2" x14ac:dyDescent="0.25">
      <c r="A16457" s="64" t="str">
        <f>HYPERLINK("http://www.twitter.com/AsterGill07", "AsterGill07")</f>
        <v>AsterGill07</v>
      </c>
      <c r="B16457" s="65" t="s">
        <v>8821</v>
      </c>
    </row>
    <row r="16458" spans="1:2" x14ac:dyDescent="0.25">
      <c r="A16458" s="64" t="str">
        <f>HYPERLINK("http://www.twitter.com/RobinsManher1", "RobinsManher1")</f>
        <v>RobinsManher1</v>
      </c>
      <c r="B16458" s="65" t="s">
        <v>8822</v>
      </c>
    </row>
    <row r="16459" spans="1:2" x14ac:dyDescent="0.25">
      <c r="A16459" s="64" t="str">
        <f>HYPERLINK("http://www.twitter.com/crazyrodders1", "crazyrodders1")</f>
        <v>crazyrodders1</v>
      </c>
      <c r="B16459" s="65" t="s">
        <v>8823</v>
      </c>
    </row>
    <row r="16460" spans="1:2" x14ac:dyDescent="0.25">
      <c r="A16460" s="64" t="str">
        <f>HYPERLINK("http://www.twitter.com/LuckleyLibrary", "LuckleyLibrary")</f>
        <v>LuckleyLibrary</v>
      </c>
      <c r="B16460" s="65" t="s">
        <v>970</v>
      </c>
    </row>
    <row r="16461" spans="1:2" x14ac:dyDescent="0.25">
      <c r="A16461" s="64" t="str">
        <f>HYPERLINK("http://www.twitter.com/MissHughes9699", "MissHughes9699")</f>
        <v>MissHughes9699</v>
      </c>
      <c r="B16461" s="65"/>
    </row>
    <row r="16462" spans="1:2" x14ac:dyDescent="0.25">
      <c r="A16462" s="64" t="str">
        <f>HYPERLINK("http://www.twitter.com/booksellercrow", "booksellercrow")</f>
        <v>booksellercrow</v>
      </c>
      <c r="B16462" s="65" t="s">
        <v>8824</v>
      </c>
    </row>
    <row r="16463" spans="1:2" x14ac:dyDescent="0.25">
      <c r="A16463" s="64" t="str">
        <f>HYPERLINK("http://www.twitter.com/rc_bradyleather", "rc_bradyleather")</f>
        <v>rc_bradyleather</v>
      </c>
      <c r="B16463" s="65" t="s">
        <v>4215</v>
      </c>
    </row>
    <row r="16464" spans="1:2" x14ac:dyDescent="0.25">
      <c r="A16464" s="64" t="str">
        <f>HYPERLINK("http://www.twitter.com/HansonHistorica", "HansonHistorica")</f>
        <v>HansonHistorica</v>
      </c>
      <c r="B16464" s="65" t="s">
        <v>8825</v>
      </c>
    </row>
    <row r="16465" spans="1:2" x14ac:dyDescent="0.25">
      <c r="A16465" s="64" t="str">
        <f>HYPERLINK("http://www.twitter.com/NAUClineLibrary", "NAUClineLibrary")</f>
        <v>NAUClineLibrary</v>
      </c>
      <c r="B16465" s="65" t="s">
        <v>8826</v>
      </c>
    </row>
    <row r="16466" spans="1:2" x14ac:dyDescent="0.25">
      <c r="A16466" s="64" t="str">
        <f>HYPERLINK("http://www.twitter.com/OrkneySheepFdn", "OrkneySheepFdn")</f>
        <v>OrkneySheepFdn</v>
      </c>
      <c r="B16466" s="65" t="s">
        <v>8827</v>
      </c>
    </row>
    <row r="16467" spans="1:2" x14ac:dyDescent="0.25">
      <c r="A16467" s="64" t="str">
        <f>HYPERLINK("http://www.twitter.com/capellavanryan", "capellavanryan")</f>
        <v>capellavanryan</v>
      </c>
      <c r="B16467" s="65" t="s">
        <v>8828</v>
      </c>
    </row>
    <row r="16468" spans="1:2" x14ac:dyDescent="0.25">
      <c r="A16468" s="64" t="str">
        <f>HYPERLINK("http://www.twitter.com/DrTommyT25", "DrTommyT25")</f>
        <v>DrTommyT25</v>
      </c>
      <c r="B16468" s="65"/>
    </row>
    <row r="16469" spans="1:2" x14ac:dyDescent="0.25">
      <c r="A16469" s="64" t="str">
        <f>HYPERLINK("http://www.twitter.com/JemmaGardner", "JemmaGardner")</f>
        <v>JemmaGardner</v>
      </c>
      <c r="B16469" s="65" t="s">
        <v>2270</v>
      </c>
    </row>
    <row r="16470" spans="1:2" x14ac:dyDescent="0.25">
      <c r="A16470" s="64" t="str">
        <f>HYPERLINK("http://www.twitter.com/cesmith70", "cesmith70")</f>
        <v>cesmith70</v>
      </c>
      <c r="B16470" s="65" t="s">
        <v>1189</v>
      </c>
    </row>
    <row r="16471" spans="1:2" x14ac:dyDescent="0.25">
      <c r="A16471" s="64" t="str">
        <f>HYPERLINK("http://www.twitter.com/UCD_iSchool", "UCD_iSchool")</f>
        <v>UCD_iSchool</v>
      </c>
      <c r="B16471" s="65" t="s">
        <v>3760</v>
      </c>
    </row>
    <row r="16472" spans="1:2" x14ac:dyDescent="0.25">
      <c r="A16472" s="64" t="str">
        <f>HYPERLINK("http://www.twitter.com/SABefriending", "SABefriending")</f>
        <v>SABefriending</v>
      </c>
      <c r="B16472" s="65" t="s">
        <v>8829</v>
      </c>
    </row>
    <row r="16473" spans="1:2" x14ac:dyDescent="0.25">
      <c r="A16473" s="64" t="str">
        <f>HYPERLINK("http://www.twitter.com/letterboxbooks", "letterboxbooks")</f>
        <v>letterboxbooks</v>
      </c>
      <c r="B16473" s="65" t="s">
        <v>487</v>
      </c>
    </row>
    <row r="16474" spans="1:2" x14ac:dyDescent="0.25">
      <c r="A16474" s="64" t="str">
        <f>HYPERLINK("http://www.twitter.com/flonicoll", "flonicoll")</f>
        <v>flonicoll</v>
      </c>
      <c r="B16474" s="65"/>
    </row>
    <row r="16475" spans="1:2" x14ac:dyDescent="0.25">
      <c r="A16475" s="64" t="str">
        <f>HYPERLINK("http://www.twitter.com/KJSoar", "KJSoar")</f>
        <v>KJSoar</v>
      </c>
      <c r="B16475" s="65"/>
    </row>
    <row r="16476" spans="1:2" x14ac:dyDescent="0.25">
      <c r="A16476" s="64" t="str">
        <f>HYPERLINK("http://www.twitter.com/MaggieKneen", "MaggieKneen")</f>
        <v>MaggieKneen</v>
      </c>
      <c r="B16476" s="65" t="s">
        <v>8528</v>
      </c>
    </row>
    <row r="16477" spans="1:2" x14ac:dyDescent="0.25">
      <c r="A16477" s="64" t="str">
        <f>HYPERLINK("http://www.twitter.com/claystuart", "claystuart")</f>
        <v>claystuart</v>
      </c>
      <c r="B16477" s="65" t="s">
        <v>138</v>
      </c>
    </row>
    <row r="16478" spans="1:2" x14ac:dyDescent="0.25">
      <c r="A16478" s="64" t="str">
        <f>HYPERLINK("http://www.twitter.com/Lucinda_Keith", "Lucinda_Keith")</f>
        <v>Lucinda_Keith</v>
      </c>
      <c r="B16478" s="65"/>
    </row>
    <row r="16479" spans="1:2" x14ac:dyDescent="0.25">
      <c r="A16479" s="64" t="str">
        <f>HYPERLINK("http://www.twitter.com/KateOfHysteria", "KateOfHysteria")</f>
        <v>KateOfHysteria</v>
      </c>
      <c r="B16479" s="65" t="s">
        <v>1810</v>
      </c>
    </row>
    <row r="16480" spans="1:2" x14ac:dyDescent="0.25">
      <c r="A16480" s="64" t="str">
        <f>HYPERLINK("http://www.twitter.com/VintageHazey", "VintageHazey")</f>
        <v>VintageHazey</v>
      </c>
      <c r="B16480" s="65" t="s">
        <v>8830</v>
      </c>
    </row>
    <row r="16481" spans="1:2" x14ac:dyDescent="0.25">
      <c r="A16481" s="64" t="str">
        <f>HYPERLINK("http://www.twitter.com/ajocobb", "ajocobb")</f>
        <v>ajocobb</v>
      </c>
      <c r="B16481" s="65"/>
    </row>
    <row r="16482" spans="1:2" x14ac:dyDescent="0.25">
      <c r="A16482" s="64" t="str">
        <f>HYPERLINK("http://www.twitter.com/Crocker83", "Crocker83")</f>
        <v>Crocker83</v>
      </c>
      <c r="B16482" s="65"/>
    </row>
    <row r="16483" spans="1:2" x14ac:dyDescent="0.25">
      <c r="A16483" s="64" t="str">
        <f>HYPERLINK("http://www.twitter.com/JayneDow", "JayneDow")</f>
        <v>JayneDow</v>
      </c>
      <c r="B16483" s="65" t="s">
        <v>4040</v>
      </c>
    </row>
    <row r="16484" spans="1:2" x14ac:dyDescent="0.25">
      <c r="A16484" s="64" t="str">
        <f>HYPERLINK("http://www.twitter.com/erasmios", "erasmios")</f>
        <v>erasmios</v>
      </c>
      <c r="B16484" s="65" t="s">
        <v>8831</v>
      </c>
    </row>
    <row r="16485" spans="1:2" x14ac:dyDescent="0.25">
      <c r="A16485" s="64" t="str">
        <f>HYPERLINK("http://www.twitter.com/AnTallaSolais", "AnTallaSolais")</f>
        <v>AnTallaSolais</v>
      </c>
      <c r="B16485" s="65" t="s">
        <v>5636</v>
      </c>
    </row>
    <row r="16486" spans="1:2" x14ac:dyDescent="0.25">
      <c r="A16486" s="64" t="str">
        <f>HYPERLINK("http://www.twitter.com/MissMissgerry", "MissMissgerry")</f>
        <v>MissMissgerry</v>
      </c>
      <c r="B16486" s="65" t="s">
        <v>8832</v>
      </c>
    </row>
    <row r="16487" spans="1:2" x14ac:dyDescent="0.25">
      <c r="A16487" s="64" t="str">
        <f>HYPERLINK("http://www.twitter.com/JocelynStrickl6", "JocelynStrickl6")</f>
        <v>JocelynStrickl6</v>
      </c>
      <c r="B16487" s="65" t="s">
        <v>4227</v>
      </c>
    </row>
    <row r="16488" spans="1:2" x14ac:dyDescent="0.25">
      <c r="A16488" s="64" t="str">
        <f>HYPERLINK("http://www.twitter.com/TheJudderbar", "TheJudderbar")</f>
        <v>TheJudderbar</v>
      </c>
      <c r="B16488" s="65" t="s">
        <v>36</v>
      </c>
    </row>
    <row r="16489" spans="1:2" x14ac:dyDescent="0.25">
      <c r="A16489" s="64" t="str">
        <f>HYPERLINK("http://www.twitter.com/themessyhairmom", "themessyhairmom")</f>
        <v>themessyhairmom</v>
      </c>
      <c r="B16489" s="65"/>
    </row>
    <row r="16490" spans="1:2" x14ac:dyDescent="0.25">
      <c r="A16490" s="64" t="str">
        <f>HYPERLINK("http://www.twitter.com/mvonschantz", "mvonschantz")</f>
        <v>mvonschantz</v>
      </c>
      <c r="B16490" s="65" t="s">
        <v>8833</v>
      </c>
    </row>
    <row r="16491" spans="1:2" x14ac:dyDescent="0.25">
      <c r="A16491" s="64" t="str">
        <f>HYPERLINK("http://www.twitter.com/medalto", "medalto")</f>
        <v>medalto</v>
      </c>
      <c r="B16491" s="65"/>
    </row>
    <row r="16492" spans="1:2" x14ac:dyDescent="0.25">
      <c r="A16492" s="64" t="str">
        <f>HYPERLINK("http://www.twitter.com/Liturgy", "Liturgy")</f>
        <v>Liturgy</v>
      </c>
      <c r="B16492" s="65" t="s">
        <v>4436</v>
      </c>
    </row>
    <row r="16493" spans="1:2" x14ac:dyDescent="0.25">
      <c r="A16493" s="64" t="str">
        <f>HYPERLINK("http://www.twitter.com/jordana_king", "jordana_king")</f>
        <v>jordana_king</v>
      </c>
      <c r="B16493" s="65" t="s">
        <v>6972</v>
      </c>
    </row>
    <row r="16494" spans="1:2" x14ac:dyDescent="0.25">
      <c r="A16494" s="64" t="str">
        <f>HYPERLINK("http://www.twitter.com/Scott1Lynda", "Scott1Lynda")</f>
        <v>Scott1Lynda</v>
      </c>
      <c r="B16494" s="65" t="s">
        <v>8834</v>
      </c>
    </row>
    <row r="16495" spans="1:2" x14ac:dyDescent="0.25">
      <c r="A16495" s="64" t="str">
        <f>HYPERLINK("http://www.twitter.com/ThingsThingswh", "ThingsThingswh")</f>
        <v>ThingsThingswh</v>
      </c>
      <c r="B16495" s="65" t="s">
        <v>8835</v>
      </c>
    </row>
    <row r="16496" spans="1:2" x14ac:dyDescent="0.25">
      <c r="A16496" s="64" t="str">
        <f>HYPERLINK("http://www.twitter.com/f515abe8193a4af", "f515abe8193a4af")</f>
        <v>f515abe8193a4af</v>
      </c>
      <c r="B16496" s="65"/>
    </row>
    <row r="16497" spans="1:2" x14ac:dyDescent="0.25">
      <c r="A16497" s="64" t="str">
        <f>HYPERLINK("http://www.twitter.com/JoePeckhamRye", "JoePeckhamRye")</f>
        <v>JoePeckhamRye</v>
      </c>
      <c r="B16497" s="65" t="s">
        <v>8836</v>
      </c>
    </row>
    <row r="16498" spans="1:2" x14ac:dyDescent="0.25">
      <c r="A16498" s="64" t="str">
        <f>HYPERLINK("http://www.twitter.com/Katkil87", "Katkil87")</f>
        <v>Katkil87</v>
      </c>
      <c r="B16498" s="65"/>
    </row>
    <row r="16499" spans="1:2" x14ac:dyDescent="0.25">
      <c r="A16499" s="64" t="str">
        <f>HYPERLINK("http://www.twitter.com/ASimpleDan", "ASimpleDan")</f>
        <v>ASimpleDan</v>
      </c>
      <c r="B16499" s="65" t="s">
        <v>24</v>
      </c>
    </row>
    <row r="16500" spans="1:2" x14ac:dyDescent="0.25">
      <c r="A16500" s="64" t="str">
        <f>HYPERLINK("http://www.twitter.com/pirie_george", "pirie_george")</f>
        <v>pirie_george</v>
      </c>
      <c r="B16500" s="65"/>
    </row>
    <row r="16501" spans="1:2" x14ac:dyDescent="0.25">
      <c r="A16501" s="64" t="str">
        <f>HYPERLINK("http://www.twitter.com/charliecasey608", "charliecasey608")</f>
        <v>charliecasey608</v>
      </c>
      <c r="B16501" s="65"/>
    </row>
    <row r="16502" spans="1:2" x14ac:dyDescent="0.25">
      <c r="A16502" s="64" t="str">
        <f>HYPERLINK("http://www.twitter.com/ConstantStars", "ConstantStars")</f>
        <v>ConstantStars</v>
      </c>
      <c r="B16502" s="65" t="s">
        <v>8837</v>
      </c>
    </row>
    <row r="16503" spans="1:2" x14ac:dyDescent="0.25">
      <c r="A16503" s="64" t="str">
        <f>HYPERLINK("http://www.twitter.com/ashtominey", "ashtominey")</f>
        <v>ashtominey</v>
      </c>
      <c r="B16503" s="65" t="s">
        <v>8838</v>
      </c>
    </row>
    <row r="16504" spans="1:2" x14ac:dyDescent="0.25">
      <c r="A16504" s="64" t="str">
        <f>HYPERLINK("http://www.twitter.com/llroomtempl", "llroomtempl")</f>
        <v>llroomtempl</v>
      </c>
      <c r="B16504" s="65" t="s">
        <v>517</v>
      </c>
    </row>
    <row r="16505" spans="1:2" x14ac:dyDescent="0.25">
      <c r="A16505" s="64" t="str">
        <f>HYPERLINK("http://www.twitter.com/rooksoup", "rooksoup")</f>
        <v>rooksoup</v>
      </c>
      <c r="B16505" s="65" t="s">
        <v>6801</v>
      </c>
    </row>
    <row r="16506" spans="1:2" x14ac:dyDescent="0.25">
      <c r="A16506" s="64" t="str">
        <f>HYPERLINK("http://www.twitter.com/oor_marge", "oor_marge")</f>
        <v>oor_marge</v>
      </c>
      <c r="B16506" s="65" t="s">
        <v>2325</v>
      </c>
    </row>
    <row r="16507" spans="1:2" x14ac:dyDescent="0.25">
      <c r="A16507" s="64" t="str">
        <f>HYPERLINK("http://www.twitter.com/grajcarswell1", "grajcarswell1")</f>
        <v>grajcarswell1</v>
      </c>
      <c r="B16507" s="65"/>
    </row>
    <row r="16508" spans="1:2" x14ac:dyDescent="0.25">
      <c r="A16508" s="64" t="str">
        <f>HYPERLINK("http://www.twitter.com/bilaljahangir14", "bilaljahangir14")</f>
        <v>bilaljahangir14</v>
      </c>
      <c r="B16508" s="65"/>
    </row>
    <row r="16509" spans="1:2" x14ac:dyDescent="0.25">
      <c r="A16509" s="64" t="str">
        <f>HYPERLINK("http://www.twitter.com/JALIAjournal", "JALIAjournal")</f>
        <v>JALIAjournal</v>
      </c>
      <c r="B16509" s="65" t="s">
        <v>3988</v>
      </c>
    </row>
    <row r="16510" spans="1:2" x14ac:dyDescent="0.25">
      <c r="A16510" s="64" t="str">
        <f>HYPERLINK("http://www.twitter.com/ellsay", "ellsay")</f>
        <v>ellsay</v>
      </c>
      <c r="B16510" s="65" t="s">
        <v>5389</v>
      </c>
    </row>
    <row r="16511" spans="1:2" x14ac:dyDescent="0.25">
      <c r="A16511" s="64" t="str">
        <f>HYPERLINK("http://www.twitter.com/mrs_mcdowall", "mrs_mcdowall")</f>
        <v>mrs_mcdowall</v>
      </c>
      <c r="B16511" s="65"/>
    </row>
    <row r="16512" spans="1:2" x14ac:dyDescent="0.25">
      <c r="A16512" s="64" t="str">
        <f>HYPERLINK("http://www.twitter.com/RadLibsIreland", "RadLibsIreland")</f>
        <v>RadLibsIreland</v>
      </c>
      <c r="B16512" s="65" t="s">
        <v>4062</v>
      </c>
    </row>
    <row r="16513" spans="1:2" x14ac:dyDescent="0.25">
      <c r="A16513" s="64" t="str">
        <f>HYPERLINK("http://www.twitter.com/seevlad2089zxcx", "seevlad2089zxcx")</f>
        <v>seevlad2089zxcx</v>
      </c>
      <c r="B16513" s="65"/>
    </row>
    <row r="16514" spans="1:2" x14ac:dyDescent="0.25">
      <c r="A16514" s="64" t="str">
        <f>HYPERLINK("http://www.twitter.com/RachelMaskelyne", "RachelMaskelyne")</f>
        <v>RachelMaskelyne</v>
      </c>
      <c r="B16514" s="65" t="s">
        <v>5989</v>
      </c>
    </row>
    <row r="16515" spans="1:2" x14ac:dyDescent="0.25">
      <c r="A16515" s="64" t="str">
        <f>HYPERLINK("http://www.twitter.com/sangsta71", "sangsta71")</f>
        <v>sangsta71</v>
      </c>
      <c r="B16515" s="65" t="s">
        <v>2007</v>
      </c>
    </row>
    <row r="16516" spans="1:2" x14ac:dyDescent="0.25">
      <c r="A16516" s="64" t="str">
        <f>HYPERLINK("http://www.twitter.com/WokkaSmidge", "WokkaSmidge")</f>
        <v>WokkaSmidge</v>
      </c>
      <c r="B16516" s="65" t="s">
        <v>8839</v>
      </c>
    </row>
    <row r="16517" spans="1:2" x14ac:dyDescent="0.25">
      <c r="A16517" s="64" t="str">
        <f>HYPERLINK("http://www.twitter.com/DTCSwansea", "DTCSwansea")</f>
        <v>DTCSwansea</v>
      </c>
      <c r="B16517" s="65" t="s">
        <v>3890</v>
      </c>
    </row>
    <row r="16518" spans="1:2" x14ac:dyDescent="0.25">
      <c r="A16518" s="64" t="str">
        <f>HYPERLINK("http://www.twitter.com/Biblio_Therapie", "Biblio_Therapie")</f>
        <v>Biblio_Therapie</v>
      </c>
      <c r="B16518" s="65"/>
    </row>
    <row r="16519" spans="1:2" x14ac:dyDescent="0.25">
      <c r="A16519" s="64" t="str">
        <f>HYPERLINK("http://www.twitter.com/OnePlanetPicnic", "OnePlanetPicnic")</f>
        <v>OnePlanetPicnic</v>
      </c>
      <c r="B16519" s="65" t="s">
        <v>3875</v>
      </c>
    </row>
    <row r="16520" spans="1:2" x14ac:dyDescent="0.25">
      <c r="A16520" s="64" t="str">
        <f>HYPERLINK("http://www.twitter.com/UKCLibraryIT", "UKCLibraryIT")</f>
        <v>UKCLibraryIT</v>
      </c>
      <c r="B16520" s="65" t="s">
        <v>480</v>
      </c>
    </row>
    <row r="16521" spans="1:2" x14ac:dyDescent="0.25">
      <c r="A16521" s="64" t="str">
        <f>HYPERLINK("http://www.twitter.com/talkaboutcntry", "talkaboutcntry")</f>
        <v>talkaboutcntry</v>
      </c>
      <c r="B16521" s="65" t="s">
        <v>8840</v>
      </c>
    </row>
    <row r="16522" spans="1:2" x14ac:dyDescent="0.25">
      <c r="A16522" s="64" t="str">
        <f>HYPERLINK("http://www.twitter.com/cybernategg", "cybernategg")</f>
        <v>cybernategg</v>
      </c>
      <c r="B16522" s="65"/>
    </row>
    <row r="16523" spans="1:2" x14ac:dyDescent="0.25">
      <c r="A16523" s="64" t="str">
        <f>HYPERLINK("http://www.twitter.com/_charlotte_lane", "_charlotte_lane")</f>
        <v>_charlotte_lane</v>
      </c>
      <c r="B16523" s="65" t="s">
        <v>36</v>
      </c>
    </row>
    <row r="16524" spans="1:2" x14ac:dyDescent="0.25">
      <c r="A16524" s="64" t="str">
        <f>HYPERLINK("http://www.twitter.com/Sibyl_Adam", "Sibyl_Adam")</f>
        <v>Sibyl_Adam</v>
      </c>
      <c r="B16524" s="65" t="s">
        <v>24</v>
      </c>
    </row>
    <row r="16525" spans="1:2" x14ac:dyDescent="0.25">
      <c r="A16525" s="64" t="str">
        <f>HYPERLINK("http://www.twitter.com/DundeeComicsCS", "DundeeComicsCS")</f>
        <v>DundeeComicsCS</v>
      </c>
      <c r="B16525" s="65"/>
    </row>
    <row r="16526" spans="1:2" x14ac:dyDescent="0.25">
      <c r="A16526" s="64" t="str">
        <f>HYPERLINK("http://www.twitter.com/Sushmitha_m", "Sushmitha_m")</f>
        <v>Sushmitha_m</v>
      </c>
      <c r="B16526" s="65" t="s">
        <v>4601</v>
      </c>
    </row>
    <row r="16527" spans="1:2" x14ac:dyDescent="0.25">
      <c r="A16527" s="64" t="str">
        <f>HYPERLINK("http://www.twitter.com/Anneandbooks", "Anneandbooks")</f>
        <v>Anneandbooks</v>
      </c>
      <c r="B16527" s="65" t="s">
        <v>459</v>
      </c>
    </row>
    <row r="16528" spans="1:2" x14ac:dyDescent="0.25">
      <c r="A16528" s="64" t="str">
        <f>HYPERLINK("http://www.twitter.com/KennettTaylor", "KennettTaylor")</f>
        <v>KennettTaylor</v>
      </c>
      <c r="B16528" s="65"/>
    </row>
    <row r="16529" spans="1:2" x14ac:dyDescent="0.25">
      <c r="A16529" s="64" t="str">
        <f>HYPERLINK("http://www.twitter.com/littlemiche", "littlemiche")</f>
        <v>littlemiche</v>
      </c>
      <c r="B16529" s="65" t="s">
        <v>5047</v>
      </c>
    </row>
    <row r="16530" spans="1:2" x14ac:dyDescent="0.25">
      <c r="A16530" s="64" t="str">
        <f>HYPERLINK("http://www.twitter.com/PPerdikou", "PPerdikou")</f>
        <v>PPerdikou</v>
      </c>
      <c r="B16530" s="65"/>
    </row>
    <row r="16531" spans="1:2" x14ac:dyDescent="0.25">
      <c r="A16531" s="64" t="str">
        <f>HYPERLINK("http://www.twitter.com/Scriblit", "Scriblit")</f>
        <v>Scriblit</v>
      </c>
      <c r="B16531" s="65" t="s">
        <v>296</v>
      </c>
    </row>
    <row r="16532" spans="1:2" x14ac:dyDescent="0.25">
      <c r="A16532" s="64" t="str">
        <f>HYPERLINK("http://www.twitter.com/CensHCCLibrary", "CensHCCLibrary")</f>
        <v>CensHCCLibrary</v>
      </c>
      <c r="B16532" s="65" t="s">
        <v>8841</v>
      </c>
    </row>
    <row r="16533" spans="1:2" x14ac:dyDescent="0.25">
      <c r="A16533" s="64" t="str">
        <f>HYPERLINK("http://www.twitter.com/traceylyon79", "traceylyon79")</f>
        <v>traceylyon79</v>
      </c>
      <c r="B16533" s="65"/>
    </row>
    <row r="16534" spans="1:2" x14ac:dyDescent="0.25">
      <c r="A16534" s="64" t="str">
        <f>HYPERLINK("http://www.twitter.com/KerryReads", "KerryReads")</f>
        <v>KerryReads</v>
      </c>
      <c r="B16534" s="65" t="s">
        <v>3778</v>
      </c>
    </row>
    <row r="16535" spans="1:2" x14ac:dyDescent="0.25">
      <c r="A16535" s="64" t="str">
        <f>HYPERLINK("http://www.twitter.com/karengreeners", "karengreeners")</f>
        <v>karengreeners</v>
      </c>
      <c r="B16535" s="65" t="s">
        <v>8842</v>
      </c>
    </row>
    <row r="16536" spans="1:2" x14ac:dyDescent="0.25">
      <c r="A16536" s="64" t="str">
        <f>HYPERLINK("http://www.twitter.com/somewhatcivil", "somewhatcivil")</f>
        <v>somewhatcivil</v>
      </c>
      <c r="B16536" s="65" t="s">
        <v>4516</v>
      </c>
    </row>
    <row r="16537" spans="1:2" x14ac:dyDescent="0.25">
      <c r="A16537" s="64" t="str">
        <f>HYPERLINK("http://www.twitter.com/nrdejong", "nrdejong")</f>
        <v>nrdejong</v>
      </c>
      <c r="B16537" s="65" t="s">
        <v>4551</v>
      </c>
    </row>
    <row r="16538" spans="1:2" x14ac:dyDescent="0.25">
      <c r="A16538" s="64" t="str">
        <f>HYPERLINK("http://www.twitter.com/TyneEskWriters", "TyneEskWriters")</f>
        <v>TyneEskWriters</v>
      </c>
      <c r="B16538" s="65" t="s">
        <v>2007</v>
      </c>
    </row>
    <row r="16539" spans="1:2" x14ac:dyDescent="0.25">
      <c r="A16539" s="64" t="str">
        <f>HYPERLINK("http://www.twitter.com/JeanneCBC", "JeanneCBC")</f>
        <v>JeanneCBC</v>
      </c>
      <c r="B16539" s="65" t="s">
        <v>4118</v>
      </c>
    </row>
    <row r="16540" spans="1:2" x14ac:dyDescent="0.25">
      <c r="A16540" s="64" t="str">
        <f>HYPERLINK("http://www.twitter.com/PloughArts", "PloughArts")</f>
        <v>PloughArts</v>
      </c>
      <c r="B16540" s="65" t="s">
        <v>8843</v>
      </c>
    </row>
    <row r="16541" spans="1:2" x14ac:dyDescent="0.25">
      <c r="A16541" s="64" t="str">
        <f>HYPERLINK("http://www.twitter.com/notici0so", "notici0so")</f>
        <v>notici0so</v>
      </c>
      <c r="B16541" s="65"/>
    </row>
    <row r="16542" spans="1:2" x14ac:dyDescent="0.25">
      <c r="A16542" s="64" t="str">
        <f>HYPERLINK("http://www.twitter.com/special_zine", "special_zine")</f>
        <v>special_zine</v>
      </c>
      <c r="B16542" s="65" t="s">
        <v>8844</v>
      </c>
    </row>
    <row r="16543" spans="1:2" x14ac:dyDescent="0.25">
      <c r="A16543" s="64" t="str">
        <f>HYPERLINK("http://www.twitter.com/basilebrush", "basilebrush")</f>
        <v>basilebrush</v>
      </c>
      <c r="B16543" s="65" t="s">
        <v>24</v>
      </c>
    </row>
    <row r="16544" spans="1:2" x14ac:dyDescent="0.25">
      <c r="A16544" s="64" t="str">
        <f>HYPERLINK("http://www.twitter.com/CallumJBooks", "CallumJBooks")</f>
        <v>CallumJBooks</v>
      </c>
      <c r="B16544" s="65" t="s">
        <v>708</v>
      </c>
    </row>
    <row r="16545" spans="1:2" x14ac:dyDescent="0.25">
      <c r="A16545" s="64" t="str">
        <f>HYPERLINK("http://www.twitter.com/songbirdbristol", "songbirdbristol")</f>
        <v>songbirdbristol</v>
      </c>
      <c r="B16545" s="65"/>
    </row>
    <row r="16546" spans="1:2" x14ac:dyDescent="0.25">
      <c r="A16546" s="64" t="str">
        <f>HYPERLINK("http://www.twitter.com/minicooper888", "minicooper888")</f>
        <v>minicooper888</v>
      </c>
      <c r="B16546" s="65" t="s">
        <v>773</v>
      </c>
    </row>
    <row r="16547" spans="1:2" x14ac:dyDescent="0.25">
      <c r="A16547" s="64" t="str">
        <f>HYPERLINK("http://www.twitter.com/Eleanormorgan_", "Eleanormorgan_")</f>
        <v>Eleanormorgan_</v>
      </c>
      <c r="B16547" s="65" t="s">
        <v>36</v>
      </c>
    </row>
    <row r="16548" spans="1:2" x14ac:dyDescent="0.25">
      <c r="A16548" s="64" t="str">
        <f>HYPERLINK("http://www.twitter.com/jackedin", "jackedin")</f>
        <v>jackedin</v>
      </c>
      <c r="B16548" s="65" t="s">
        <v>4537</v>
      </c>
    </row>
    <row r="16549" spans="1:2" x14ac:dyDescent="0.25">
      <c r="A16549" s="64" t="str">
        <f>HYPERLINK("http://www.twitter.com/lahboyle", "lahboyle")</f>
        <v>lahboyle</v>
      </c>
      <c r="B16549" s="65" t="s">
        <v>8845</v>
      </c>
    </row>
    <row r="16550" spans="1:2" x14ac:dyDescent="0.25">
      <c r="A16550" s="64" t="str">
        <f>HYPERLINK("http://www.twitter.com/plusthebooks", "plusthebooks")</f>
        <v>plusthebooks</v>
      </c>
      <c r="B16550" s="65"/>
    </row>
    <row r="16551" spans="1:2" x14ac:dyDescent="0.25">
      <c r="A16551" s="64" t="str">
        <f>HYPERLINK("http://www.twitter.com/CeciBunney", "CeciBunney")</f>
        <v>CeciBunney</v>
      </c>
      <c r="B16551" s="65" t="s">
        <v>8846</v>
      </c>
    </row>
    <row r="16552" spans="1:2" x14ac:dyDescent="0.25">
      <c r="A16552" s="64" t="str">
        <f>HYPERLINK("http://www.twitter.com/RE_StOnge", "RE_StOnge")</f>
        <v>RE_StOnge</v>
      </c>
      <c r="B16552" s="65"/>
    </row>
    <row r="16553" spans="1:2" x14ac:dyDescent="0.25">
      <c r="A16553" s="64" t="str">
        <f>HYPERLINK("http://www.twitter.com/Beth_driscoll", "Beth_driscoll")</f>
        <v>Beth_driscoll</v>
      </c>
      <c r="B16553" s="65" t="s">
        <v>4147</v>
      </c>
    </row>
    <row r="16554" spans="1:2" x14ac:dyDescent="0.25">
      <c r="A16554" s="64" t="str">
        <f>HYPERLINK("http://www.twitter.com/David_M_Walsh", "David_M_Walsh")</f>
        <v>David_M_Walsh</v>
      </c>
      <c r="B16554" s="65" t="s">
        <v>5007</v>
      </c>
    </row>
    <row r="16555" spans="1:2" x14ac:dyDescent="0.25">
      <c r="A16555" s="64" t="str">
        <f>HYPERLINK("http://www.twitter.com/HelinGucer", "HelinGucer")</f>
        <v>HelinGucer</v>
      </c>
      <c r="B16555" s="65"/>
    </row>
    <row r="16556" spans="1:2" x14ac:dyDescent="0.25">
      <c r="A16556" s="64" t="str">
        <f>HYPERLINK("http://www.twitter.com/thebrainofspock", "thebrainofspock")</f>
        <v>thebrainofspock</v>
      </c>
      <c r="B16556" s="65" t="s">
        <v>8847</v>
      </c>
    </row>
    <row r="16557" spans="1:2" x14ac:dyDescent="0.25">
      <c r="A16557" s="64" t="str">
        <f>HYPERLINK("http://www.twitter.com/alidevnz", "alidevnz")</f>
        <v>alidevnz</v>
      </c>
      <c r="B16557" s="65" t="s">
        <v>3816</v>
      </c>
    </row>
    <row r="16558" spans="1:2" x14ac:dyDescent="0.25">
      <c r="A16558" s="64" t="str">
        <f>HYPERLINK("http://www.twitter.com/TheHausElf", "TheHausElf")</f>
        <v>TheHausElf</v>
      </c>
      <c r="B16558" s="65" t="s">
        <v>8848</v>
      </c>
    </row>
    <row r="16559" spans="1:2" x14ac:dyDescent="0.25">
      <c r="A16559" s="64" t="str">
        <f>HYPERLINK("http://www.twitter.com/CBarnacles", "CBarnacles")</f>
        <v>CBarnacles</v>
      </c>
      <c r="B16559" s="65" t="s">
        <v>8849</v>
      </c>
    </row>
    <row r="16560" spans="1:2" x14ac:dyDescent="0.25">
      <c r="A16560" s="64" t="str">
        <f>HYPERLINK("http://www.twitter.com/Rabijtje", "Rabijtje")</f>
        <v>Rabijtje</v>
      </c>
      <c r="B16560" s="65"/>
    </row>
    <row r="16561" spans="1:2" x14ac:dyDescent="0.25">
      <c r="A16561" s="64" t="str">
        <f>HYPERLINK("http://www.twitter.com/WaterstonesBD1", "WaterstonesBD1")</f>
        <v>WaterstonesBD1</v>
      </c>
      <c r="B16561" s="65" t="s">
        <v>8850</v>
      </c>
    </row>
    <row r="16562" spans="1:2" x14ac:dyDescent="0.25">
      <c r="A16562" s="64" t="str">
        <f>HYPERLINK("http://www.twitter.com/JennyinRome", "JennyinRome")</f>
        <v>JennyinRome</v>
      </c>
      <c r="B16562" s="65" t="s">
        <v>5293</v>
      </c>
    </row>
    <row r="16563" spans="1:2" x14ac:dyDescent="0.25">
      <c r="A16563" s="64" t="str">
        <f>HYPERLINK("http://www.twitter.com/susinnielsen", "susinnielsen")</f>
        <v>susinnielsen</v>
      </c>
      <c r="B16563" s="65" t="s">
        <v>3866</v>
      </c>
    </row>
    <row r="16564" spans="1:2" x14ac:dyDescent="0.25">
      <c r="A16564" s="64" t="str">
        <f>HYPERLINK("http://www.twitter.com/sfdilke", "sfdilke")</f>
        <v>sfdilke</v>
      </c>
      <c r="B16564" s="65" t="s">
        <v>36</v>
      </c>
    </row>
    <row r="16565" spans="1:2" x14ac:dyDescent="0.25">
      <c r="A16565" s="64" t="str">
        <f>HYPERLINK("http://www.twitter.com/emilythecat", "emilythecat")</f>
        <v>emilythecat</v>
      </c>
      <c r="B16565" s="65" t="s">
        <v>8851</v>
      </c>
    </row>
    <row r="16566" spans="1:2" x14ac:dyDescent="0.25">
      <c r="A16566" s="64" t="str">
        <f>HYPERLINK("http://www.twitter.com/RoryRob", "RoryRob")</f>
        <v>RoryRob</v>
      </c>
      <c r="B16566" s="65"/>
    </row>
    <row r="16567" spans="1:2" x14ac:dyDescent="0.25">
      <c r="A16567" s="64" t="str">
        <f>HYPERLINK("http://www.twitter.com/eiramlevi", "eiramlevi")</f>
        <v>eiramlevi</v>
      </c>
      <c r="B16567" s="65"/>
    </row>
    <row r="16568" spans="1:2" x14ac:dyDescent="0.25">
      <c r="A16568" s="64" t="str">
        <f>HYPERLINK("http://www.twitter.com/loobeyloobey", "loobeyloobey")</f>
        <v>loobeyloobey</v>
      </c>
      <c r="B16568" s="65" t="s">
        <v>8852</v>
      </c>
    </row>
    <row r="16569" spans="1:2" x14ac:dyDescent="0.25">
      <c r="A16569" s="64" t="str">
        <f>HYPERLINK("http://www.twitter.com/curexcomplex", "curexcomplex")</f>
        <v>curexcomplex</v>
      </c>
      <c r="B16569" s="65" t="s">
        <v>517</v>
      </c>
    </row>
    <row r="16570" spans="1:2" x14ac:dyDescent="0.25">
      <c r="A16570" s="64" t="str">
        <f>HYPERLINK("http://www.twitter.com/eyebrowsofpower", "eyebrowsofpower")</f>
        <v>eyebrowsofpower</v>
      </c>
      <c r="B16570" s="65"/>
    </row>
    <row r="16571" spans="1:2" x14ac:dyDescent="0.25">
      <c r="A16571" s="64" t="str">
        <f>HYPERLINK("http://www.twitter.com/helen_wailoo", "helen_wailoo")</f>
        <v>helen_wailoo</v>
      </c>
      <c r="B16571" s="65"/>
    </row>
    <row r="16572" spans="1:2" x14ac:dyDescent="0.25">
      <c r="A16572" s="64" t="str">
        <f>HYPERLINK("http://www.twitter.com/jo_prior", "jo_prior")</f>
        <v>jo_prior</v>
      </c>
      <c r="B16572" s="65" t="s">
        <v>8853</v>
      </c>
    </row>
    <row r="16573" spans="1:2" x14ac:dyDescent="0.25">
      <c r="A16573" s="64" t="str">
        <f>HYPERLINK("http://www.twitter.com/iowct", "iowct")</f>
        <v>iowct</v>
      </c>
      <c r="B16573" s="65" t="s">
        <v>3662</v>
      </c>
    </row>
    <row r="16574" spans="1:2" x14ac:dyDescent="0.25">
      <c r="A16574" s="64" t="str">
        <f>HYPERLINK("http://www.twitter.com/raineinthebrain", "raineinthebrain")</f>
        <v>raineinthebrain</v>
      </c>
      <c r="B16574" s="65" t="s">
        <v>138</v>
      </c>
    </row>
    <row r="16575" spans="1:2" x14ac:dyDescent="0.25">
      <c r="A16575" s="64" t="str">
        <f>HYPERLINK("http://www.twitter.com/balisally", "balisally")</f>
        <v>balisally</v>
      </c>
      <c r="B16575" s="65" t="s">
        <v>4780</v>
      </c>
    </row>
    <row r="16576" spans="1:2" x14ac:dyDescent="0.25">
      <c r="A16576" s="64" t="str">
        <f>HYPERLINK("http://www.twitter.com/AndyjHM", "AndyjHM")</f>
        <v>AndyjHM</v>
      </c>
      <c r="B16576" s="65" t="s">
        <v>70</v>
      </c>
    </row>
    <row r="16577" spans="1:2" x14ac:dyDescent="0.25">
      <c r="A16577" s="64" t="str">
        <f>HYPERLINK("http://www.twitter.com/jordvarelse", "jordvarelse")</f>
        <v>jordvarelse</v>
      </c>
      <c r="B16577" s="65" t="s">
        <v>8854</v>
      </c>
    </row>
    <row r="16578" spans="1:2" x14ac:dyDescent="0.25">
      <c r="A16578" s="64" t="str">
        <f>HYPERLINK("http://www.twitter.com/Lady_PGD", "Lady_PGD")</f>
        <v>Lady_PGD</v>
      </c>
      <c r="B16578" s="65" t="s">
        <v>4501</v>
      </c>
    </row>
    <row r="16579" spans="1:2" x14ac:dyDescent="0.25">
      <c r="A16579" s="64" t="str">
        <f>HYPERLINK("http://www.twitter.com/zaffrekolinsky", "zaffrekolinsky")</f>
        <v>zaffrekolinsky</v>
      </c>
      <c r="B16579" s="65" t="s">
        <v>3119</v>
      </c>
    </row>
    <row r="16580" spans="1:2" x14ac:dyDescent="0.25">
      <c r="A16580" s="64" t="str">
        <f>HYPERLINK("http://www.twitter.com/BarryMc1984", "BarryMc1984")</f>
        <v>BarryMc1984</v>
      </c>
      <c r="B16580" s="65" t="s">
        <v>8855</v>
      </c>
    </row>
    <row r="16581" spans="1:2" x14ac:dyDescent="0.25">
      <c r="A16581" s="64" t="str">
        <f>HYPERLINK("http://www.twitter.com/botanising", "botanising")</f>
        <v>botanising</v>
      </c>
      <c r="B16581" s="65" t="s">
        <v>3948</v>
      </c>
    </row>
    <row r="16582" spans="1:2" x14ac:dyDescent="0.25">
      <c r="A16582" s="64" t="str">
        <f>HYPERLINK("http://www.twitter.com/AultbeaHotel", "AultbeaHotel")</f>
        <v>AultbeaHotel</v>
      </c>
      <c r="B16582" s="65" t="s">
        <v>8856</v>
      </c>
    </row>
    <row r="16583" spans="1:2" x14ac:dyDescent="0.25">
      <c r="A16583" s="64" t="str">
        <f>HYPERLINK("http://www.twitter.com/FolioRecruit", "FolioRecruit")</f>
        <v>FolioRecruit</v>
      </c>
      <c r="B16583" s="65" t="s">
        <v>110</v>
      </c>
    </row>
    <row r="16584" spans="1:2" x14ac:dyDescent="0.25">
      <c r="A16584" s="64" t="str">
        <f>HYPERLINK("http://www.twitter.com/rpobeirne", "rpobeirne")</f>
        <v>rpobeirne</v>
      </c>
      <c r="B16584" s="65" t="s">
        <v>3688</v>
      </c>
    </row>
    <row r="16585" spans="1:2" x14ac:dyDescent="0.25">
      <c r="A16585" s="64" t="str">
        <f>HYPERLINK("http://www.twitter.com/FubsyShabaroon", "FubsyShabaroon")</f>
        <v>FubsyShabaroon</v>
      </c>
      <c r="B16585" s="65"/>
    </row>
    <row r="16586" spans="1:2" x14ac:dyDescent="0.25">
      <c r="A16586" s="64" t="str">
        <f>HYPERLINK("http://www.twitter.com/kathyyeung9", "kathyyeung9")</f>
        <v>kathyyeung9</v>
      </c>
      <c r="B16586" s="65"/>
    </row>
    <row r="16587" spans="1:2" x14ac:dyDescent="0.25">
      <c r="A16587" s="64" t="str">
        <f>HYPERLINK("http://www.twitter.com/MegToogood", "MegToogood")</f>
        <v>MegToogood</v>
      </c>
      <c r="B16587" s="65" t="s">
        <v>44</v>
      </c>
    </row>
    <row r="16588" spans="1:2" x14ac:dyDescent="0.25">
      <c r="A16588" s="64" t="str">
        <f>HYPERLINK("http://www.twitter.com/CRRHathaway", "CRRHathaway")</f>
        <v>CRRHathaway</v>
      </c>
      <c r="B16588" s="65" t="s">
        <v>8857</v>
      </c>
    </row>
    <row r="16589" spans="1:2" x14ac:dyDescent="0.25">
      <c r="A16589" s="64" t="str">
        <f>HYPERLINK("http://www.twitter.com/livingst9stuart", "livingst9stuart")</f>
        <v>livingst9stuart</v>
      </c>
      <c r="B16589" s="65"/>
    </row>
    <row r="16590" spans="1:2" x14ac:dyDescent="0.25">
      <c r="A16590" s="64" t="str">
        <f>HYPERLINK("http://www.twitter.com/JenStansfield1", "JenStansfield1")</f>
        <v>JenStansfield1</v>
      </c>
      <c r="B16590" s="65" t="s">
        <v>601</v>
      </c>
    </row>
    <row r="16591" spans="1:2" x14ac:dyDescent="0.25">
      <c r="A16591" s="64" t="str">
        <f>HYPERLINK("http://www.twitter.com/HarrowLibs", "HarrowLibs")</f>
        <v>HarrowLibs</v>
      </c>
      <c r="B16591" s="65" t="s">
        <v>1985</v>
      </c>
    </row>
    <row r="16592" spans="1:2" x14ac:dyDescent="0.25">
      <c r="A16592" s="64" t="str">
        <f>HYPERLINK("http://www.twitter.com/DwdDave", "DwdDave")</f>
        <v>DwdDave</v>
      </c>
      <c r="B16592" s="65" t="s">
        <v>883</v>
      </c>
    </row>
    <row r="16593" spans="1:2" x14ac:dyDescent="0.25">
      <c r="A16593" s="64" t="str">
        <f>HYPERLINK("http://www.twitter.com/SocMed_txt", "SocMed_txt")</f>
        <v>SocMed_txt</v>
      </c>
      <c r="B16593" s="65" t="s">
        <v>4519</v>
      </c>
    </row>
    <row r="16594" spans="1:2" x14ac:dyDescent="0.25">
      <c r="A16594" s="64" t="str">
        <f>HYPERLINK("http://www.twitter.com/Jen_Bur", "Jen_Bur")</f>
        <v>Jen_Bur</v>
      </c>
      <c r="B16594" s="65" t="s">
        <v>6171</v>
      </c>
    </row>
    <row r="16595" spans="1:2" x14ac:dyDescent="0.25">
      <c r="A16595" s="64" t="str">
        <f>HYPERLINK("http://www.twitter.com/minimcgill", "minimcgill")</f>
        <v>minimcgill</v>
      </c>
      <c r="B16595" s="65"/>
    </row>
    <row r="16596" spans="1:2" x14ac:dyDescent="0.25">
      <c r="A16596" s="64" t="str">
        <f>HYPERLINK("http://www.twitter.com/gordiemorrison", "gordiemorrison")</f>
        <v>gordiemorrison</v>
      </c>
      <c r="B16596" s="65" t="s">
        <v>4167</v>
      </c>
    </row>
    <row r="16597" spans="1:2" x14ac:dyDescent="0.25">
      <c r="A16597" s="64" t="str">
        <f>HYPERLINK("http://www.twitter.com/MsADelaCruzINQ", "MsADelaCruzINQ")</f>
        <v>MsADelaCruzINQ</v>
      </c>
      <c r="B16597" s="65" t="s">
        <v>8858</v>
      </c>
    </row>
    <row r="16598" spans="1:2" x14ac:dyDescent="0.25">
      <c r="A16598" s="64" t="str">
        <f>HYPERLINK("http://www.twitter.com/GraemeReid10", "GraemeReid10")</f>
        <v>GraemeReid10</v>
      </c>
      <c r="B16598" s="65" t="s">
        <v>24</v>
      </c>
    </row>
    <row r="16599" spans="1:2" x14ac:dyDescent="0.25">
      <c r="A16599" s="64" t="str">
        <f>HYPERLINK("http://www.twitter.com/rosecumming29", "rosecumming29")</f>
        <v>rosecumming29</v>
      </c>
      <c r="B16599" s="65"/>
    </row>
    <row r="16600" spans="1:2" x14ac:dyDescent="0.25">
      <c r="A16600" s="64" t="str">
        <f>HYPERLINK("http://www.twitter.com/ameerock", "ameerock")</f>
        <v>ameerock</v>
      </c>
      <c r="B16600" s="65" t="s">
        <v>4492</v>
      </c>
    </row>
    <row r="16601" spans="1:2" x14ac:dyDescent="0.25">
      <c r="A16601" s="64" t="str">
        <f>HYPERLINK("http://www.twitter.com/PeterNimmo1", "PeterNimmo1")</f>
        <v>PeterNimmo1</v>
      </c>
      <c r="B16601" s="65" t="s">
        <v>4447</v>
      </c>
    </row>
    <row r="16602" spans="1:2" x14ac:dyDescent="0.25">
      <c r="A16602" s="64" t="str">
        <f>HYPERLINK("http://www.twitter.com/HerringSarah", "HerringSarah")</f>
        <v>HerringSarah</v>
      </c>
      <c r="B16602" s="65" t="s">
        <v>1295</v>
      </c>
    </row>
    <row r="16603" spans="1:2" x14ac:dyDescent="0.25">
      <c r="A16603" s="64" t="str">
        <f>HYPERLINK("http://www.twitter.com/Librarianforu", "Librarianforu")</f>
        <v>Librarianforu</v>
      </c>
      <c r="B16603" s="65"/>
    </row>
    <row r="16604" spans="1:2" x14ac:dyDescent="0.25">
      <c r="A16604" s="64" t="str">
        <f>HYPERLINK("http://www.twitter.com/rachel_priest", "rachel_priest")</f>
        <v>rachel_priest</v>
      </c>
      <c r="B16604" s="65"/>
    </row>
    <row r="16605" spans="1:2" x14ac:dyDescent="0.25">
      <c r="A16605" s="64" t="str">
        <f>HYPERLINK("http://www.twitter.com/lauren_heavner", "lauren_heavner")</f>
        <v>lauren_heavner</v>
      </c>
      <c r="B16605" s="65" t="s">
        <v>3871</v>
      </c>
    </row>
    <row r="16606" spans="1:2" x14ac:dyDescent="0.25">
      <c r="A16606" s="64" t="str">
        <f>HYPERLINK("http://www.twitter.com/citymovesdance", "citymovesdance")</f>
        <v>citymovesdance</v>
      </c>
      <c r="B16606" s="65" t="s">
        <v>8859</v>
      </c>
    </row>
    <row r="16607" spans="1:2" x14ac:dyDescent="0.25">
      <c r="A16607" s="64" t="str">
        <f>HYPERLINK("http://www.twitter.com/EmilyMMilnes", "EmilyMMilnes")</f>
        <v>EmilyMMilnes</v>
      </c>
      <c r="B16607" s="65"/>
    </row>
    <row r="16608" spans="1:2" x14ac:dyDescent="0.25">
      <c r="A16608" s="64" t="str">
        <f>HYPERLINK("http://www.twitter.com/RhiannonBurney", "RhiannonBurney")</f>
        <v>RhiannonBurney</v>
      </c>
      <c r="B16608" s="65"/>
    </row>
    <row r="16609" spans="1:2" x14ac:dyDescent="0.25">
      <c r="A16609" s="64" t="str">
        <f>HYPERLINK("http://www.twitter.com/pamelajacobs", "pamelajacobs")</f>
        <v>pamelajacobs</v>
      </c>
      <c r="B16609" s="65"/>
    </row>
    <row r="16610" spans="1:2" x14ac:dyDescent="0.25">
      <c r="A16610" s="64" t="str">
        <f>HYPERLINK("http://www.twitter.com/KirstyElston", "KirstyElston")</f>
        <v>KirstyElston</v>
      </c>
      <c r="B16610" s="65"/>
    </row>
    <row r="16611" spans="1:2" x14ac:dyDescent="0.25">
      <c r="A16611" s="64" t="str">
        <f>HYPERLINK("http://www.twitter.com/Darth_Villan", "Darth_Villan")</f>
        <v>Darth_Villan</v>
      </c>
      <c r="B16611" s="65"/>
    </row>
    <row r="16612" spans="1:2" x14ac:dyDescent="0.25">
      <c r="A16612" s="64" t="str">
        <f>HYPERLINK("http://www.twitter.com/AuberonWaugh_PE", "AuberonWaugh_PE")</f>
        <v>AuberonWaugh_PE</v>
      </c>
      <c r="B16612" s="65"/>
    </row>
    <row r="16613" spans="1:2" x14ac:dyDescent="0.25">
      <c r="A16613" s="64" t="str">
        <f>HYPERLINK("http://www.twitter.com/MarySco55309663", "MarySco55309663")</f>
        <v>MarySco55309663</v>
      </c>
      <c r="B16613" s="65"/>
    </row>
    <row r="16614" spans="1:2" x14ac:dyDescent="0.25">
      <c r="A16614" s="64" t="str">
        <f>HYPERLINK("http://www.twitter.com/Diddymagic", "Diddymagic")</f>
        <v>Diddymagic</v>
      </c>
      <c r="B16614" s="65" t="s">
        <v>5942</v>
      </c>
    </row>
    <row r="16615" spans="1:2" x14ac:dyDescent="0.25">
      <c r="A16615" s="64" t="str">
        <f>HYPERLINK("http://www.twitter.com/Bluemopitz", "Bluemopitz")</f>
        <v>Bluemopitz</v>
      </c>
      <c r="B16615" s="65" t="s">
        <v>8860</v>
      </c>
    </row>
    <row r="16616" spans="1:2" x14ac:dyDescent="0.25">
      <c r="A16616" s="64" t="str">
        <f>HYPERLINK("http://www.twitter.com/RobThomson2528", "RobThomson2528")</f>
        <v>RobThomson2528</v>
      </c>
      <c r="B16616" s="65" t="s">
        <v>8861</v>
      </c>
    </row>
    <row r="16617" spans="1:2" x14ac:dyDescent="0.25">
      <c r="A16617" s="64" t="str">
        <f>HYPERLINK("http://www.twitter.com/rosybee1", "rosybee1")</f>
        <v>rosybee1</v>
      </c>
      <c r="B16617" s="65" t="s">
        <v>24</v>
      </c>
    </row>
    <row r="16618" spans="1:2" x14ac:dyDescent="0.25">
      <c r="A16618" s="64" t="str">
        <f>HYPERLINK("http://www.twitter.com/VeronicaR70", "VeronicaR70")</f>
        <v>VeronicaR70</v>
      </c>
      <c r="B16618" s="65" t="s">
        <v>1537</v>
      </c>
    </row>
    <row r="16619" spans="1:2" x14ac:dyDescent="0.25">
      <c r="A16619" s="64" t="str">
        <f>HYPERLINK("http://www.twitter.com/CarrieAnn_XOXO", "CarrieAnn_XOXO")</f>
        <v>CarrieAnn_XOXO</v>
      </c>
      <c r="B16619" s="65" t="s">
        <v>2951</v>
      </c>
    </row>
    <row r="16620" spans="1:2" x14ac:dyDescent="0.25">
      <c r="A16620" s="64" t="str">
        <f>HYPERLINK("http://www.twitter.com/BrianRN12", "BrianRN12")</f>
        <v>BrianRN12</v>
      </c>
      <c r="B16620" s="65" t="s">
        <v>4310</v>
      </c>
    </row>
    <row r="16621" spans="1:2" x14ac:dyDescent="0.25">
      <c r="A16621" s="64" t="str">
        <f>HYPERLINK("http://www.twitter.com/QMUeResearch", "QMUeResearch")</f>
        <v>QMUeResearch</v>
      </c>
      <c r="B16621" s="65" t="s">
        <v>24</v>
      </c>
    </row>
    <row r="16622" spans="1:2" x14ac:dyDescent="0.25">
      <c r="A16622" s="64" t="str">
        <f>HYPERLINK("http://www.twitter.com/stringthepast", "stringthepast")</f>
        <v>stringthepast</v>
      </c>
      <c r="B16622" s="65" t="s">
        <v>318</v>
      </c>
    </row>
    <row r="16623" spans="1:2" x14ac:dyDescent="0.25">
      <c r="A16623" s="64" t="str">
        <f>HYPERLINK("http://www.twitter.com/nplpoetry", "nplpoetry")</f>
        <v>nplpoetry</v>
      </c>
      <c r="B16623" s="65" t="s">
        <v>8862</v>
      </c>
    </row>
    <row r="16624" spans="1:2" x14ac:dyDescent="0.25">
      <c r="A16624" s="64" t="str">
        <f>HYPERLINK("http://www.twitter.com/TheGreenHotel", "TheGreenHotel")</f>
        <v>TheGreenHotel</v>
      </c>
      <c r="B16624" s="65" t="s">
        <v>8863</v>
      </c>
    </row>
    <row r="16625" spans="1:2" x14ac:dyDescent="0.25">
      <c r="A16625" s="64" t="str">
        <f>HYPERLINK("http://www.twitter.com/hannahrshelley", "hannahrshelley")</f>
        <v>hannahrshelley</v>
      </c>
      <c r="B16625" s="65" t="s">
        <v>3817</v>
      </c>
    </row>
    <row r="16626" spans="1:2" x14ac:dyDescent="0.25">
      <c r="A16626" s="64" t="str">
        <f>HYPERLINK("http://www.twitter.com/NATHomand", "NATHomand")</f>
        <v>NATHomand</v>
      </c>
      <c r="B16626" s="65"/>
    </row>
    <row r="16627" spans="1:2" x14ac:dyDescent="0.25">
      <c r="A16627" s="64" t="str">
        <f>HYPERLINK("http://www.twitter.com/kris_188", "kris_188")</f>
        <v>kris_188</v>
      </c>
      <c r="B16627" s="65"/>
    </row>
    <row r="16628" spans="1:2" x14ac:dyDescent="0.25">
      <c r="A16628" s="64" t="str">
        <f>HYPERLINK("http://www.twitter.com/mags2070", "mags2070")</f>
        <v>mags2070</v>
      </c>
      <c r="B16628" s="65"/>
    </row>
    <row r="16629" spans="1:2" x14ac:dyDescent="0.25">
      <c r="A16629" s="64" t="str">
        <f>HYPERLINK("http://www.twitter.com/lucywozniak", "lucywozniak")</f>
        <v>lucywozniak</v>
      </c>
      <c r="B16629" s="65"/>
    </row>
    <row r="16630" spans="1:2" x14ac:dyDescent="0.25">
      <c r="A16630" s="64" t="str">
        <f>HYPERLINK("http://www.twitter.com/HelenArmet", "HelenArmet")</f>
        <v>HelenArmet</v>
      </c>
      <c r="B16630" s="65" t="s">
        <v>3762</v>
      </c>
    </row>
    <row r="16631" spans="1:2" x14ac:dyDescent="0.25">
      <c r="A16631" s="64" t="str">
        <f>HYPERLINK("http://www.twitter.com/dustybinlad", "dustybinlad")</f>
        <v>dustybinlad</v>
      </c>
      <c r="B16631" s="65"/>
    </row>
    <row r="16632" spans="1:2" x14ac:dyDescent="0.25">
      <c r="A16632" s="64" t="str">
        <f>HYPERLINK("http://www.twitter.com/alisonfogg", "alisonfogg")</f>
        <v>alisonfogg</v>
      </c>
      <c r="B16632" s="65" t="s">
        <v>5466</v>
      </c>
    </row>
    <row r="16633" spans="1:2" x14ac:dyDescent="0.25">
      <c r="A16633" s="64" t="str">
        <f>HYPERLINK("http://www.twitter.com/jb2476", "jb2476")</f>
        <v>jb2476</v>
      </c>
      <c r="B16633" s="65" t="s">
        <v>517</v>
      </c>
    </row>
    <row r="16634" spans="1:2" x14ac:dyDescent="0.25">
      <c r="A16634" s="64" t="str">
        <f>HYPERLINK("http://www.twitter.com/mammyam", "mammyam")</f>
        <v>mammyam</v>
      </c>
      <c r="B16634" s="65"/>
    </row>
    <row r="16635" spans="1:2" x14ac:dyDescent="0.25">
      <c r="A16635" s="64" t="str">
        <f>HYPERLINK("http://www.twitter.com/guetfam", "guetfam")</f>
        <v>guetfam</v>
      </c>
      <c r="B16635" s="65"/>
    </row>
    <row r="16636" spans="1:2" x14ac:dyDescent="0.25">
      <c r="A16636" s="64" t="str">
        <f>HYPERLINK("http://www.twitter.com/makkakilla", "makkakilla")</f>
        <v>makkakilla</v>
      </c>
      <c r="B16636" s="65"/>
    </row>
    <row r="16637" spans="1:2" x14ac:dyDescent="0.25">
      <c r="A16637" s="64" t="str">
        <f>HYPERLINK("http://www.twitter.com/jan_boustead", "jan_boustead")</f>
        <v>jan_boustead</v>
      </c>
      <c r="B16637" s="65" t="s">
        <v>3802</v>
      </c>
    </row>
    <row r="16638" spans="1:2" x14ac:dyDescent="0.25">
      <c r="A16638" s="64" t="str">
        <f>HYPERLINK("http://www.twitter.com/slimeybogs", "slimeybogs")</f>
        <v>slimeybogs</v>
      </c>
      <c r="B16638" s="65"/>
    </row>
    <row r="16639" spans="1:2" x14ac:dyDescent="0.25">
      <c r="A16639" s="64" t="str">
        <f>HYPERLINK("http://www.twitter.com/SuperMudgie", "SuperMudgie")</f>
        <v>SuperMudgie</v>
      </c>
      <c r="B16639" s="65" t="s">
        <v>8864</v>
      </c>
    </row>
    <row r="16640" spans="1:2" x14ac:dyDescent="0.25">
      <c r="A16640" s="64" t="str">
        <f>HYPERLINK("http://www.twitter.com/SBeattieSmith", "SBeattieSmith")</f>
        <v>SBeattieSmith</v>
      </c>
      <c r="B16640" s="65" t="s">
        <v>8865</v>
      </c>
    </row>
    <row r="16641" spans="1:2" x14ac:dyDescent="0.25">
      <c r="A16641" s="64" t="str">
        <f>HYPERLINK("http://www.twitter.com/garymarshall", "garymarshall")</f>
        <v>garymarshall</v>
      </c>
      <c r="B16641" s="65" t="s">
        <v>138</v>
      </c>
    </row>
    <row r="16642" spans="1:2" x14ac:dyDescent="0.25">
      <c r="A16642" s="64" t="str">
        <f>HYPERLINK("http://www.twitter.com/BethEmilyWiley", "BethEmilyWiley")</f>
        <v>BethEmilyWiley</v>
      </c>
      <c r="B16642" s="65" t="s">
        <v>102</v>
      </c>
    </row>
    <row r="16643" spans="1:2" x14ac:dyDescent="0.25">
      <c r="A16643" s="64" t="str">
        <f>HYPERLINK("http://www.twitter.com/the_big_guns", "the_big_guns")</f>
        <v>the_big_guns</v>
      </c>
      <c r="B16643" s="65"/>
    </row>
    <row r="16644" spans="1:2" x14ac:dyDescent="0.25">
      <c r="A16644" s="64" t="str">
        <f>HYPERLINK("http://www.twitter.com/jzgarnett", "jzgarnett")</f>
        <v>jzgarnett</v>
      </c>
      <c r="B16644" s="65" t="s">
        <v>8866</v>
      </c>
    </row>
    <row r="16645" spans="1:2" x14ac:dyDescent="0.25">
      <c r="A16645" s="64" t="str">
        <f>HYPERLINK("http://www.twitter.com/lisamoogirl", "lisamoogirl")</f>
        <v>lisamoogirl</v>
      </c>
      <c r="B16645" s="65"/>
    </row>
    <row r="16646" spans="1:2" x14ac:dyDescent="0.25">
      <c r="A16646" s="64" t="str">
        <f>HYPERLINK("http://www.twitter.com/PLHSLibrary", "PLHSLibrary")</f>
        <v>PLHSLibrary</v>
      </c>
      <c r="B16646" s="65" t="s">
        <v>1264</v>
      </c>
    </row>
    <row r="16647" spans="1:2" x14ac:dyDescent="0.25">
      <c r="A16647" s="64" t="str">
        <f>HYPERLINK("http://www.twitter.com/ZDouglasWrites", "ZDouglasWrites")</f>
        <v>ZDouglasWrites</v>
      </c>
      <c r="B16647" s="65" t="s">
        <v>3985</v>
      </c>
    </row>
    <row r="16648" spans="1:2" x14ac:dyDescent="0.25">
      <c r="A16648" s="64" t="str">
        <f>HYPERLINK("http://www.twitter.com/giloscope", "giloscope")</f>
        <v>giloscope</v>
      </c>
      <c r="B16648" s="65" t="s">
        <v>477</v>
      </c>
    </row>
    <row r="16649" spans="1:2" x14ac:dyDescent="0.25">
      <c r="A16649" s="64" t="str">
        <f>HYPERLINK("http://www.twitter.com/Strega76", "Strega76")</f>
        <v>Strega76</v>
      </c>
      <c r="B16649" s="65"/>
    </row>
    <row r="16650" spans="1:2" x14ac:dyDescent="0.25">
      <c r="A16650" s="64" t="str">
        <f>HYPERLINK("http://www.twitter.com/GarethBaglow", "GarethBaglow")</f>
        <v>GarethBaglow</v>
      </c>
      <c r="B16650" s="65" t="s">
        <v>1218</v>
      </c>
    </row>
    <row r="16651" spans="1:2" x14ac:dyDescent="0.25">
      <c r="A16651" s="64" t="str">
        <f>HYPERLINK("http://www.twitter.com/curtis3250692", "curtis3250692")</f>
        <v>curtis3250692</v>
      </c>
      <c r="B16651" s="65" t="s">
        <v>1980</v>
      </c>
    </row>
    <row r="16652" spans="1:2" x14ac:dyDescent="0.25">
      <c r="A16652" s="64" t="str">
        <f>HYPERLINK("http://www.twitter.com/SilinCyf", "SilinCyf")</f>
        <v>SilinCyf</v>
      </c>
      <c r="B16652" s="65" t="s">
        <v>8867</v>
      </c>
    </row>
    <row r="16653" spans="1:2" x14ac:dyDescent="0.25">
      <c r="A16653" s="64" t="str">
        <f>HYPERLINK("http://www.twitter.com/k2theiely", "k2theiely")</f>
        <v>k2theiely</v>
      </c>
      <c r="B16653" s="65" t="s">
        <v>8868</v>
      </c>
    </row>
    <row r="16654" spans="1:2" x14ac:dyDescent="0.25">
      <c r="A16654" s="64" t="str">
        <f>HYPERLINK("http://www.twitter.com/mrsmjriley", "mrsmjriley")</f>
        <v>mrsmjriley</v>
      </c>
      <c r="B16654" s="65" t="s">
        <v>4409</v>
      </c>
    </row>
    <row r="16655" spans="1:2" x14ac:dyDescent="0.25">
      <c r="A16655" s="64" t="str">
        <f>HYPERLINK("http://www.twitter.com/unholymedicine", "unholymedicine")</f>
        <v>unholymedicine</v>
      </c>
      <c r="B16655" s="65" t="s">
        <v>4537</v>
      </c>
    </row>
    <row r="16656" spans="1:2" x14ac:dyDescent="0.25">
      <c r="A16656" s="64" t="str">
        <f>HYPERLINK("http://www.twitter.com/tuhfatulhind", "tuhfatulhind")</f>
        <v>tuhfatulhind</v>
      </c>
      <c r="B16656" s="65" t="s">
        <v>110</v>
      </c>
    </row>
    <row r="16657" spans="1:2" x14ac:dyDescent="0.25">
      <c r="A16657" s="64" t="str">
        <f>HYPERLINK("http://www.twitter.com/victoriajcox", "victoriajcox")</f>
        <v>victoriajcox</v>
      </c>
      <c r="B16657" s="65" t="s">
        <v>8869</v>
      </c>
    </row>
    <row r="16658" spans="1:2" x14ac:dyDescent="0.25">
      <c r="A16658" s="64" t="str">
        <f>HYPERLINK("http://www.twitter.com/carlyharper", "carlyharper")</f>
        <v>carlyharper</v>
      </c>
      <c r="B16658" s="65" t="s">
        <v>6989</v>
      </c>
    </row>
    <row r="16659" spans="1:2" x14ac:dyDescent="0.25">
      <c r="A16659" s="64" t="str">
        <f>HYPERLINK("http://www.twitter.com/clmwrites", "clmwrites")</f>
        <v>clmwrites</v>
      </c>
      <c r="B16659" s="65" t="s">
        <v>2041</v>
      </c>
    </row>
    <row r="16660" spans="1:2" x14ac:dyDescent="0.25">
      <c r="A16660" s="64" t="str">
        <f>HYPERLINK("http://www.twitter.com/doriangrayskull", "doriangrayskull")</f>
        <v>doriangrayskull</v>
      </c>
      <c r="B16660" s="65" t="s">
        <v>138</v>
      </c>
    </row>
    <row r="16661" spans="1:2" x14ac:dyDescent="0.25">
      <c r="A16661" s="64" t="str">
        <f>HYPERLINK("http://www.twitter.com/ZakTuck", "ZakTuck")</f>
        <v>ZakTuck</v>
      </c>
      <c r="B16661" s="65" t="s">
        <v>487</v>
      </c>
    </row>
    <row r="16662" spans="1:2" x14ac:dyDescent="0.25">
      <c r="A16662" s="64" t="str">
        <f>HYPERLINK("http://www.twitter.com/JTDurrani", "JTDurrani")</f>
        <v>JTDurrani</v>
      </c>
      <c r="B16662" s="65" t="s">
        <v>517</v>
      </c>
    </row>
    <row r="16663" spans="1:2" x14ac:dyDescent="0.25">
      <c r="A16663" s="64" t="str">
        <f>HYPERLINK("http://www.twitter.com/mazchisholm", "mazchisholm")</f>
        <v>mazchisholm</v>
      </c>
      <c r="B16663" s="65"/>
    </row>
    <row r="16664" spans="1:2" x14ac:dyDescent="0.25">
      <c r="A16664" s="64" t="str">
        <f>HYPERLINK("http://www.twitter.com/philipkelly29", "philipkelly29")</f>
        <v>philipkelly29</v>
      </c>
      <c r="B16664" s="65" t="s">
        <v>36</v>
      </c>
    </row>
    <row r="16665" spans="1:2" x14ac:dyDescent="0.25">
      <c r="A16665" s="64" t="str">
        <f>HYPERLINK("http://www.twitter.com/_annaosbourne", "_annaosbourne")</f>
        <v>_annaosbourne</v>
      </c>
      <c r="B16665" s="65" t="s">
        <v>2774</v>
      </c>
    </row>
    <row r="16666" spans="1:2" x14ac:dyDescent="0.25">
      <c r="A16666" s="64" t="str">
        <f>HYPERLINK("http://www.twitter.com/jamseyd", "jamseyd")</f>
        <v>jamseyd</v>
      </c>
      <c r="B16666" s="65" t="s">
        <v>3821</v>
      </c>
    </row>
    <row r="16667" spans="1:2" x14ac:dyDescent="0.25">
      <c r="A16667" s="64" t="str">
        <f>HYPERLINK("http://www.twitter.com/TrudyCaira", "TrudyCaira")</f>
        <v>TrudyCaira</v>
      </c>
      <c r="B16667" s="65" t="s">
        <v>4530</v>
      </c>
    </row>
    <row r="16668" spans="1:2" x14ac:dyDescent="0.25">
      <c r="A16668" s="64" t="str">
        <f>HYPERLINK("http://www.twitter.com/PapaMacGregor", "PapaMacGregor")</f>
        <v>PapaMacGregor</v>
      </c>
      <c r="B16668" s="65" t="s">
        <v>8870</v>
      </c>
    </row>
    <row r="16669" spans="1:2" x14ac:dyDescent="0.25">
      <c r="A16669" s="64" t="str">
        <f>HYPERLINK("http://www.twitter.com/KittyVickers", "KittyVickers")</f>
        <v>KittyVickers</v>
      </c>
      <c r="B16669" s="65" t="s">
        <v>138</v>
      </c>
    </row>
    <row r="16670" spans="1:2" x14ac:dyDescent="0.25">
      <c r="A16670" s="64" t="str">
        <f>HYPERLINK("http://www.twitter.com/djmihai2", "djmihai2")</f>
        <v>djmihai2</v>
      </c>
      <c r="B16670" s="65" t="s">
        <v>8871</v>
      </c>
    </row>
    <row r="16671" spans="1:2" x14ac:dyDescent="0.25">
      <c r="A16671" s="64" t="str">
        <f>HYPERLINK("http://www.twitter.com/daisyglaisy", "daisyglaisy")</f>
        <v>daisyglaisy</v>
      </c>
      <c r="B16671" s="65" t="s">
        <v>8872</v>
      </c>
    </row>
    <row r="16672" spans="1:2" x14ac:dyDescent="0.25">
      <c r="A16672" s="64" t="str">
        <f>HYPERLINK("http://www.twitter.com/Rosie86468774", "Rosie86468774")</f>
        <v>Rosie86468774</v>
      </c>
      <c r="B16672" s="65"/>
    </row>
    <row r="16673" spans="1:2" x14ac:dyDescent="0.25">
      <c r="A16673" s="64" t="str">
        <f>HYPERLINK("http://www.twitter.com/CrusePat", "CrusePat")</f>
        <v>CrusePat</v>
      </c>
      <c r="B16673" s="65" t="s">
        <v>8873</v>
      </c>
    </row>
    <row r="16674" spans="1:2" x14ac:dyDescent="0.25">
      <c r="A16674" s="64" t="str">
        <f>HYPERLINK("http://www.twitter.com/NorfolkJops", "NorfolkJops")</f>
        <v>NorfolkJops</v>
      </c>
      <c r="B16674" s="65" t="s">
        <v>36</v>
      </c>
    </row>
    <row r="16675" spans="1:2" x14ac:dyDescent="0.25">
      <c r="A16675" s="64" t="str">
        <f>HYPERLINK("http://www.twitter.com/branaby", "branaby")</f>
        <v>branaby</v>
      </c>
      <c r="B16675" s="65" t="s">
        <v>8874</v>
      </c>
    </row>
    <row r="16676" spans="1:2" x14ac:dyDescent="0.25">
      <c r="A16676" s="64" t="str">
        <f>HYPERLINK("http://www.twitter.com/mahargrolyat", "mahargrolyat")</f>
        <v>mahargrolyat</v>
      </c>
      <c r="B16676" s="65"/>
    </row>
    <row r="16677" spans="1:2" x14ac:dyDescent="0.25">
      <c r="A16677" s="64" t="str">
        <f>HYPERLINK("http://www.twitter.com/jamesbisset", "jamesbisset")</f>
        <v>jamesbisset</v>
      </c>
      <c r="B16677" s="65" t="s">
        <v>70</v>
      </c>
    </row>
    <row r="16678" spans="1:2" x14ac:dyDescent="0.25">
      <c r="A16678" s="64" t="str">
        <f>HYPERLINK("http://www.twitter.com/kerenlou", "kerenlou")</f>
        <v>kerenlou</v>
      </c>
      <c r="B16678" s="65" t="s">
        <v>8875</v>
      </c>
    </row>
    <row r="16679" spans="1:2" x14ac:dyDescent="0.25">
      <c r="A16679" s="64" t="str">
        <f>HYPERLINK("http://www.twitter.com/picklishsleep", "picklishsleep")</f>
        <v>picklishsleep</v>
      </c>
      <c r="B16679" s="65" t="s">
        <v>8876</v>
      </c>
    </row>
    <row r="16680" spans="1:2" x14ac:dyDescent="0.25">
      <c r="A16680" s="64" t="str">
        <f>HYPERLINK("http://www.twitter.com/msalisonprince", "msalisonprince")</f>
        <v>msalisonprince</v>
      </c>
      <c r="B16680" s="65" t="s">
        <v>8877</v>
      </c>
    </row>
    <row r="16681" spans="1:2" x14ac:dyDescent="0.25">
      <c r="A16681" s="64" t="str">
        <f>HYPERLINK("http://www.twitter.com/TheLlamaGod", "TheLlamaGod")</f>
        <v>TheLlamaGod</v>
      </c>
      <c r="B16681" s="65" t="s">
        <v>8878</v>
      </c>
    </row>
    <row r="16682" spans="1:2" x14ac:dyDescent="0.25">
      <c r="A16682" s="64" t="str">
        <f>HYPERLINK("http://www.twitter.com/aa_miller", "aa_miller")</f>
        <v>aa_miller</v>
      </c>
      <c r="B16682" s="65" t="s">
        <v>8879</v>
      </c>
    </row>
    <row r="16683" spans="1:2" x14ac:dyDescent="0.25">
      <c r="A16683" s="64" t="str">
        <f>HYPERLINK("http://www.twitter.com/whiskygirl2", "whiskygirl2")</f>
        <v>whiskygirl2</v>
      </c>
      <c r="B16683" s="65" t="s">
        <v>8880</v>
      </c>
    </row>
    <row r="16684" spans="1:2" x14ac:dyDescent="0.25">
      <c r="A16684" s="64" t="str">
        <f>HYPERLINK("http://www.twitter.com/LangMette", "LangMette")</f>
        <v>LangMette</v>
      </c>
      <c r="B16684" s="65"/>
    </row>
    <row r="16685" spans="1:2" x14ac:dyDescent="0.25">
      <c r="A16685" s="64" t="str">
        <f>HYPERLINK("http://www.twitter.com/StuartForbes1", "StuartForbes1")</f>
        <v>StuartForbes1</v>
      </c>
      <c r="B16685" s="65" t="s">
        <v>24</v>
      </c>
    </row>
    <row r="16686" spans="1:2" x14ac:dyDescent="0.25">
      <c r="A16686" s="64" t="str">
        <f>HYPERLINK("http://www.twitter.com/lithgaelark", "lithgaelark")</f>
        <v>lithgaelark</v>
      </c>
      <c r="B16686" s="65" t="s">
        <v>3773</v>
      </c>
    </row>
    <row r="16687" spans="1:2" x14ac:dyDescent="0.25">
      <c r="A16687" s="64" t="str">
        <f>HYPERLINK("http://www.twitter.com/martinjflett", "martinjflett")</f>
        <v>martinjflett</v>
      </c>
      <c r="B16687" s="65" t="s">
        <v>318</v>
      </c>
    </row>
    <row r="16688" spans="1:2" x14ac:dyDescent="0.25">
      <c r="A16688" s="64" t="str">
        <f>HYPERLINK("http://www.twitter.com/loftymonkey", "loftymonkey")</f>
        <v>loftymonkey</v>
      </c>
      <c r="B16688" s="65" t="s">
        <v>36</v>
      </c>
    </row>
    <row r="16689" spans="1:2" x14ac:dyDescent="0.25">
      <c r="A16689" s="64" t="str">
        <f>HYPERLINK("http://www.twitter.com/dixewills", "dixewills")</f>
        <v>dixewills</v>
      </c>
      <c r="B16689" s="65" t="s">
        <v>8881</v>
      </c>
    </row>
    <row r="16690" spans="1:2" x14ac:dyDescent="0.25">
      <c r="A16690" s="64" t="str">
        <f>HYPERLINK("http://www.twitter.com/ruth_yates", "ruth_yates")</f>
        <v>ruth_yates</v>
      </c>
      <c r="B16690" s="65" t="s">
        <v>296</v>
      </c>
    </row>
    <row r="16691" spans="1:2" x14ac:dyDescent="0.25">
      <c r="A16691" s="64" t="str">
        <f>HYPERLINK("http://www.twitter.com/ewanhemingway", "ewanhemingway")</f>
        <v>ewanhemingway</v>
      </c>
      <c r="B16691" s="65" t="s">
        <v>296</v>
      </c>
    </row>
    <row r="16692" spans="1:2" x14ac:dyDescent="0.25">
      <c r="A16692" s="64" t="str">
        <f>HYPERLINK("http://www.twitter.com/lgscotland", "lgscotland")</f>
        <v>lgscotland</v>
      </c>
      <c r="B16692" s="65" t="s">
        <v>4111</v>
      </c>
    </row>
    <row r="16693" spans="1:2" x14ac:dyDescent="0.25">
      <c r="A16693" s="64" t="str">
        <f>HYPERLINK("http://www.twitter.com/briever1", "briever1")</f>
        <v>briever1</v>
      </c>
      <c r="B16693" s="65"/>
    </row>
    <row r="16694" spans="1:2" x14ac:dyDescent="0.25">
      <c r="A16694" s="64" t="str">
        <f>HYPERLINK("http://www.twitter.com/ncsmiff", "ncsmiff")</f>
        <v>ncsmiff</v>
      </c>
      <c r="B16694" s="65" t="s">
        <v>8882</v>
      </c>
    </row>
    <row r="16695" spans="1:2" x14ac:dyDescent="0.25">
      <c r="A16695" s="64" t="str">
        <f>HYPERLINK("http://www.twitter.com/wsctb", "wsctb")</f>
        <v>wsctb</v>
      </c>
      <c r="B16695" s="65"/>
    </row>
    <row r="16696" spans="1:2" x14ac:dyDescent="0.25">
      <c r="A16696" s="64" t="str">
        <f>HYPERLINK("http://www.twitter.com/TwomeyCatherine", "TwomeyCatherine")</f>
        <v>TwomeyCatherine</v>
      </c>
      <c r="B16696" s="65"/>
    </row>
    <row r="16697" spans="1:2" x14ac:dyDescent="0.25">
      <c r="A16697" s="64" t="str">
        <f>HYPERLINK("http://www.twitter.com/scottcrussell", "scottcrussell")</f>
        <v>scottcrussell</v>
      </c>
      <c r="B16697" s="65" t="s">
        <v>8883</v>
      </c>
    </row>
    <row r="16698" spans="1:2" x14ac:dyDescent="0.25">
      <c r="A16698" s="64" t="str">
        <f>HYPERLINK("http://www.twitter.com/article29", "article29")</f>
        <v>article29</v>
      </c>
      <c r="B16698" s="65"/>
    </row>
    <row r="16699" spans="1:2" x14ac:dyDescent="0.25">
      <c r="A16699" s="64" t="str">
        <f>HYPERLINK("http://www.twitter.com/ShonaMcFarty", "ShonaMcFarty")</f>
        <v>ShonaMcFarty</v>
      </c>
      <c r="B16699" s="65" t="s">
        <v>808</v>
      </c>
    </row>
    <row r="16700" spans="1:2" x14ac:dyDescent="0.25">
      <c r="A16700" s="64" t="str">
        <f>HYPERLINK("http://www.twitter.com/hsigreens", "hsigreens")</f>
        <v>hsigreens</v>
      </c>
      <c r="B16700" s="65" t="s">
        <v>5001</v>
      </c>
    </row>
    <row r="16701" spans="1:2" x14ac:dyDescent="0.25">
      <c r="A16701" s="64" t="str">
        <f>HYPERLINK("http://www.twitter.com/Broty1", "Broty1")</f>
        <v>Broty1</v>
      </c>
      <c r="B16701" s="65" t="s">
        <v>1482</v>
      </c>
    </row>
    <row r="16702" spans="1:2" x14ac:dyDescent="0.25">
      <c r="A16702" s="64" t="str">
        <f>HYPERLINK("http://www.twitter.com/iamgeddes", "iamgeddes")</f>
        <v>iamgeddes</v>
      </c>
      <c r="B16702" s="65" t="s">
        <v>2289</v>
      </c>
    </row>
    <row r="16703" spans="1:2" x14ac:dyDescent="0.25">
      <c r="A16703" s="64" t="str">
        <f>HYPERLINK("http://www.twitter.com/Bilateral_divsn", "Bilateral_divsn")</f>
        <v>Bilateral_divsn</v>
      </c>
      <c r="B16703" s="65" t="s">
        <v>8884</v>
      </c>
    </row>
    <row r="16704" spans="1:2" x14ac:dyDescent="0.25">
      <c r="A16704" s="64" t="str">
        <f>HYPERLINK("http://www.twitter.com/RhiannonV", "RhiannonV")</f>
        <v>RhiannonV</v>
      </c>
      <c r="B16704" s="65" t="s">
        <v>2007</v>
      </c>
    </row>
    <row r="16705" spans="1:2" x14ac:dyDescent="0.25">
      <c r="A16705" s="64" t="str">
        <f>HYPERLINK("http://www.twitter.com/thisiscatmajor", "thisiscatmajor")</f>
        <v>thisiscatmajor</v>
      </c>
      <c r="B16705" s="65" t="s">
        <v>8885</v>
      </c>
    </row>
    <row r="16706" spans="1:2" x14ac:dyDescent="0.25">
      <c r="A16706" s="64" t="str">
        <f>HYPERLINK("http://www.twitter.com/unfortunatalie", "unfortunatalie")</f>
        <v>unfortunatalie</v>
      </c>
      <c r="B16706" s="65" t="s">
        <v>8886</v>
      </c>
    </row>
    <row r="16707" spans="1:2" x14ac:dyDescent="0.25">
      <c r="A16707" s="64" t="str">
        <f>HYPERLINK("http://www.twitter.com/davidgalletly", "davidgalletly")</f>
        <v>davidgalletly</v>
      </c>
      <c r="B16707" s="65" t="s">
        <v>318</v>
      </c>
    </row>
    <row r="16708" spans="1:2" x14ac:dyDescent="0.25">
      <c r="A16708" s="64" t="str">
        <f>HYPERLINK("http://www.twitter.com/blissity_74", "blissity_74")</f>
        <v>blissity_74</v>
      </c>
      <c r="B16708" s="65"/>
    </row>
    <row r="16709" spans="1:2" x14ac:dyDescent="0.25">
      <c r="A16709" s="64" t="str">
        <f>HYPERLINK("http://www.twitter.com/megandnz", "megandnz")</f>
        <v>megandnz</v>
      </c>
      <c r="B16709" s="65" t="s">
        <v>4436</v>
      </c>
    </row>
    <row r="16710" spans="1:2" x14ac:dyDescent="0.25">
      <c r="A16710" s="64" t="str">
        <f>HYPERLINK("http://www.twitter.com/Ravna_H", "Ravna_H")</f>
        <v>Ravna_H</v>
      </c>
      <c r="B16710" s="65" t="s">
        <v>8887</v>
      </c>
    </row>
    <row r="16711" spans="1:2" x14ac:dyDescent="0.25">
      <c r="A16711" s="64" t="str">
        <f>HYPERLINK("http://www.twitter.com/_librarylady", "_librarylady")</f>
        <v>_librarylady</v>
      </c>
      <c r="B16711" s="65" t="s">
        <v>8888</v>
      </c>
    </row>
    <row r="16712" spans="1:2" x14ac:dyDescent="0.25">
      <c r="A16712" s="64" t="str">
        <f>HYPERLINK("http://www.twitter.com/Briar_Elyse", "Briar_Elyse")</f>
        <v>Briar_Elyse</v>
      </c>
      <c r="B16712" s="65" t="s">
        <v>8889</v>
      </c>
    </row>
    <row r="16713" spans="1:2" x14ac:dyDescent="0.25">
      <c r="A16713" s="64" t="str">
        <f>HYPERLINK("http://www.twitter.com/scottasisyphus", "scottasisyphus")</f>
        <v>scottasisyphus</v>
      </c>
      <c r="B16713" s="65" t="s">
        <v>6337</v>
      </c>
    </row>
    <row r="16714" spans="1:2" x14ac:dyDescent="0.25">
      <c r="A16714" s="64" t="str">
        <f>HYPERLINK("http://www.twitter.com/thewritertype", "thewritertype")</f>
        <v>thewritertype</v>
      </c>
      <c r="B16714" s="65" t="s">
        <v>8890</v>
      </c>
    </row>
    <row r="16715" spans="1:2" x14ac:dyDescent="0.25">
      <c r="A16715" s="64" t="str">
        <f>HYPERLINK("http://www.twitter.com/jo_foub", "jo_foub")</f>
        <v>jo_foub</v>
      </c>
      <c r="B16715" s="65" t="s">
        <v>569</v>
      </c>
    </row>
    <row r="16716" spans="1:2" x14ac:dyDescent="0.25">
      <c r="A16716" s="64" t="str">
        <f>HYPERLINK("http://www.twitter.com/Caledonia_Aus", "Caledonia_Aus")</f>
        <v>Caledonia_Aus</v>
      </c>
      <c r="B16716" s="65" t="s">
        <v>3988</v>
      </c>
    </row>
    <row r="16717" spans="1:2" x14ac:dyDescent="0.25">
      <c r="A16717" s="64" t="str">
        <f>HYPERLINK("http://www.twitter.com/bethlemmuseum", "bethlemmuseum")</f>
        <v>bethlemmuseum</v>
      </c>
      <c r="B16717" s="65" t="s">
        <v>8891</v>
      </c>
    </row>
    <row r="16718" spans="1:2" x14ac:dyDescent="0.25">
      <c r="A16718" s="64" t="str">
        <f>HYPERLINK("http://www.twitter.com/wrathofgod", "wrathofgod")</f>
        <v>wrathofgod</v>
      </c>
      <c r="B16718" s="65" t="s">
        <v>8892</v>
      </c>
    </row>
    <row r="16719" spans="1:2" x14ac:dyDescent="0.25">
      <c r="A16719" s="64" t="str">
        <f>HYPERLINK("http://www.twitter.com/freyatown", "freyatown")</f>
        <v>freyatown</v>
      </c>
      <c r="B16719" s="65" t="s">
        <v>8893</v>
      </c>
    </row>
    <row r="16720" spans="1:2" x14ac:dyDescent="0.25">
      <c r="A16720" s="64" t="str">
        <f>HYPERLINK("http://www.twitter.com/OBAIDMASHWANI", "OBAIDMASHWANI")</f>
        <v>OBAIDMASHWANI</v>
      </c>
      <c r="B16720" s="65" t="s">
        <v>8894</v>
      </c>
    </row>
    <row r="16721" spans="1:2" x14ac:dyDescent="0.25">
      <c r="A16721" s="64" t="str">
        <f>HYPERLINK("http://www.twitter.com/Sebbert1", "Sebbert1")</f>
        <v>Sebbert1</v>
      </c>
      <c r="B16721" s="65"/>
    </row>
    <row r="16722" spans="1:2" x14ac:dyDescent="0.25">
      <c r="A16722" s="64" t="str">
        <f>HYPERLINK("http://www.twitter.com/brokenbottleboy", "brokenbottleboy")</f>
        <v>brokenbottleboy</v>
      </c>
      <c r="B16722" s="65"/>
    </row>
    <row r="16723" spans="1:2" x14ac:dyDescent="0.25">
      <c r="A16723" s="64" t="str">
        <f>HYPERLINK("http://www.twitter.com/sandskeith", "sandskeith")</f>
        <v>sandskeith</v>
      </c>
      <c r="B16723" s="65" t="s">
        <v>61</v>
      </c>
    </row>
    <row r="16724" spans="1:2" x14ac:dyDescent="0.25">
      <c r="A16724" s="64" t="str">
        <f>HYPERLINK("http://www.twitter.com/librariangravy", "librariangravy")</f>
        <v>librariangravy</v>
      </c>
      <c r="B16724" s="65"/>
    </row>
    <row r="16725" spans="1:2" x14ac:dyDescent="0.25">
      <c r="A16725" s="64" t="str">
        <f>HYPERLINK("http://www.twitter.com/suzwilson", "suzwilson")</f>
        <v>suzwilson</v>
      </c>
      <c r="B16725" s="65"/>
    </row>
    <row r="16726" spans="1:2" x14ac:dyDescent="0.25">
      <c r="A16726" s="64" t="str">
        <f>HYPERLINK("http://www.twitter.com/dgcouncil", "dgcouncil")</f>
        <v>dgcouncil</v>
      </c>
      <c r="B16726" s="65" t="s">
        <v>8895</v>
      </c>
    </row>
    <row r="16727" spans="1:2" x14ac:dyDescent="0.25">
      <c r="A16727" s="64" t="str">
        <f>HYPERLINK("http://www.twitter.com/warringtonmus", "warringtonmus")</f>
        <v>warringtonmus</v>
      </c>
      <c r="B16727" s="65" t="s">
        <v>8896</v>
      </c>
    </row>
    <row r="16728" spans="1:2" x14ac:dyDescent="0.25">
      <c r="A16728" s="64" t="str">
        <f>HYPERLINK("http://www.twitter.com/wallace13232837", "wallace13232837")</f>
        <v>wallace13232837</v>
      </c>
      <c r="B16728" s="65"/>
    </row>
    <row r="16729" spans="1:2" x14ac:dyDescent="0.25">
      <c r="A16729" s="64" t="str">
        <f>HYPERLINK("http://www.twitter.com/AberdeenFests", "AberdeenFests")</f>
        <v>AberdeenFests</v>
      </c>
      <c r="B16729" s="65" t="s">
        <v>8897</v>
      </c>
    </row>
    <row r="16730" spans="1:2" x14ac:dyDescent="0.25">
      <c r="A16730" s="64" t="str">
        <f>HYPERLINK("http://www.twitter.com/ArbroathHS_Lib", "ArbroathHS_Lib")</f>
        <v>ArbroathHS_Lib</v>
      </c>
      <c r="B16730" s="65" t="s">
        <v>3256</v>
      </c>
    </row>
    <row r="16731" spans="1:2" x14ac:dyDescent="0.25">
      <c r="A16731" s="64" t="str">
        <f>HYPERLINK("http://www.twitter.com/janetmaccuish", "janetmaccuish")</f>
        <v>janetmaccuish</v>
      </c>
      <c r="B16731" s="65"/>
    </row>
    <row r="16732" spans="1:2" x14ac:dyDescent="0.25">
      <c r="A16732" s="64" t="str">
        <f>HYPERLINK("http://www.twitter.com/MareeSilver", "MareeSilver")</f>
        <v>MareeSilver</v>
      </c>
      <c r="B16732" s="65" t="s">
        <v>5355</v>
      </c>
    </row>
    <row r="16733" spans="1:2" x14ac:dyDescent="0.25">
      <c r="A16733" s="64" t="str">
        <f>HYPERLINK("http://www.twitter.com/jenimhc53", "jenimhc53")</f>
        <v>jenimhc53</v>
      </c>
      <c r="B16733" s="65" t="s">
        <v>4039</v>
      </c>
    </row>
    <row r="16734" spans="1:2" x14ac:dyDescent="0.25">
      <c r="A16734" s="64" t="str">
        <f>HYPERLINK("http://www.twitter.com/sabistonnikki", "sabistonnikki")</f>
        <v>sabistonnikki</v>
      </c>
      <c r="B16734" s="65" t="s">
        <v>20</v>
      </c>
    </row>
    <row r="16735" spans="1:2" x14ac:dyDescent="0.25">
      <c r="A16735" s="64" t="str">
        <f>HYPERLINK("http://www.twitter.com/Alexlilyjeanne", "Alexlilyjeanne")</f>
        <v>Alexlilyjeanne</v>
      </c>
      <c r="B16735" s="65" t="s">
        <v>36</v>
      </c>
    </row>
    <row r="16736" spans="1:2" x14ac:dyDescent="0.25">
      <c r="A16736" s="64" t="str">
        <f>HYPERLINK("http://www.twitter.com/Nawandi2", "Nawandi2")</f>
        <v>Nawandi2</v>
      </c>
      <c r="B16736" s="65" t="s">
        <v>2864</v>
      </c>
    </row>
    <row r="16737" spans="1:2" x14ac:dyDescent="0.25">
      <c r="A16737" s="64" t="str">
        <f>HYPERLINK("http://www.twitter.com/LainaDeneigh", "LainaDeneigh")</f>
        <v>LainaDeneigh</v>
      </c>
      <c r="B16737" s="65"/>
    </row>
    <row r="16738" spans="1:2" x14ac:dyDescent="0.25">
      <c r="A16738" s="64" t="str">
        <f>HYPERLINK("http://www.twitter.com/AlexusGabriel", "AlexusGabriel")</f>
        <v>AlexusGabriel</v>
      </c>
      <c r="B16738" s="65" t="s">
        <v>8898</v>
      </c>
    </row>
    <row r="16739" spans="1:2" x14ac:dyDescent="0.25">
      <c r="A16739" s="64" t="str">
        <f>HYPERLINK("http://www.twitter.com/alexyarrow", "alexyarrow")</f>
        <v>alexyarrow</v>
      </c>
      <c r="B16739" s="65" t="s">
        <v>3894</v>
      </c>
    </row>
    <row r="16740" spans="1:2" x14ac:dyDescent="0.25">
      <c r="A16740" s="64" t="str">
        <f>HYPERLINK("http://www.twitter.com/1873teddybear", "1873teddybear")</f>
        <v>1873teddybear</v>
      </c>
      <c r="B16740" s="65" t="s">
        <v>8899</v>
      </c>
    </row>
    <row r="16741" spans="1:2" x14ac:dyDescent="0.25">
      <c r="A16741" s="64" t="str">
        <f>HYPERLINK("http://www.twitter.com/Orkanna", "Orkanna")</f>
        <v>Orkanna</v>
      </c>
      <c r="B16741" s="65" t="s">
        <v>3762</v>
      </c>
    </row>
    <row r="16742" spans="1:2" x14ac:dyDescent="0.25">
      <c r="A16742" s="64" t="str">
        <f>HYPERLINK("http://www.twitter.com/theArtBagger", "theArtBagger")</f>
        <v>theArtBagger</v>
      </c>
      <c r="B16742" s="65"/>
    </row>
    <row r="16743" spans="1:2" x14ac:dyDescent="0.25">
      <c r="A16743" s="64" t="str">
        <f>HYPERLINK("http://www.twitter.com/marksmobile", "marksmobile")</f>
        <v>marksmobile</v>
      </c>
      <c r="B16743" s="65"/>
    </row>
    <row r="16744" spans="1:2" x14ac:dyDescent="0.25">
      <c r="A16744" s="64" t="str">
        <f>HYPERLINK("http://www.twitter.com/StephyCollier", "StephyCollier")</f>
        <v>StephyCollier</v>
      </c>
      <c r="B16744" s="65" t="s">
        <v>36</v>
      </c>
    </row>
    <row r="16745" spans="1:2" x14ac:dyDescent="0.25">
      <c r="A16745" s="64" t="str">
        <f>HYPERLINK("http://www.twitter.com/craigmacwatson", "craigmacwatson")</f>
        <v>craigmacwatson</v>
      </c>
      <c r="B16745" s="65"/>
    </row>
    <row r="16746" spans="1:2" x14ac:dyDescent="0.25">
      <c r="A16746" s="64" t="str">
        <f>HYPERLINK("http://www.twitter.com/bcosford", "bcosford")</f>
        <v>bcosford</v>
      </c>
      <c r="B16746" s="65" t="s">
        <v>517</v>
      </c>
    </row>
    <row r="16747" spans="1:2" x14ac:dyDescent="0.25">
      <c r="A16747" s="64" t="str">
        <f>HYPERLINK("http://www.twitter.com/annejolly7", "annejolly7")</f>
        <v>annejolly7</v>
      </c>
      <c r="B16747" s="65"/>
    </row>
    <row r="16748" spans="1:2" x14ac:dyDescent="0.25">
      <c r="A16748" s="64" t="str">
        <f>HYPERLINK("http://www.twitter.com/PetersonKolb", "PetersonKolb")</f>
        <v>PetersonKolb</v>
      </c>
      <c r="B16748" s="65"/>
    </row>
    <row r="16749" spans="1:2" x14ac:dyDescent="0.25">
      <c r="A16749" s="64" t="str">
        <f>HYPERLINK("http://www.twitter.com/susaniwhyte", "susaniwhyte")</f>
        <v>susaniwhyte</v>
      </c>
      <c r="B16749" s="65" t="s">
        <v>517</v>
      </c>
    </row>
    <row r="16750" spans="1:2" x14ac:dyDescent="0.25">
      <c r="A16750" s="64" t="str">
        <f>HYPERLINK("http://www.twitter.com/AngelaMichael00", "AngelaMichael00")</f>
        <v>AngelaMichael00</v>
      </c>
      <c r="B16750" s="65" t="s">
        <v>808</v>
      </c>
    </row>
    <row r="16751" spans="1:2" x14ac:dyDescent="0.25">
      <c r="A16751" s="64" t="str">
        <f>HYPERLINK("http://www.twitter.com/lennerbot", "lennerbot")</f>
        <v>lennerbot</v>
      </c>
      <c r="B16751" s="65"/>
    </row>
    <row r="16752" spans="1:2" x14ac:dyDescent="0.25">
      <c r="A16752" s="64" t="str">
        <f>HYPERLINK("http://www.twitter.com/LuCCastle", "LuCCastle")</f>
        <v>LuCCastle</v>
      </c>
      <c r="B16752" s="65" t="s">
        <v>183</v>
      </c>
    </row>
    <row r="16753" spans="1:2" x14ac:dyDescent="0.25">
      <c r="A16753" s="64" t="str">
        <f>HYPERLINK("http://www.twitter.com/sookio", "sookio")</f>
        <v>sookio</v>
      </c>
      <c r="B16753" s="65" t="s">
        <v>508</v>
      </c>
    </row>
    <row r="16754" spans="1:2" x14ac:dyDescent="0.25">
      <c r="A16754" s="64" t="str">
        <f>HYPERLINK("http://www.twitter.com/St3llacmt", "St3llacmt")</f>
        <v>St3llacmt</v>
      </c>
      <c r="B16754" s="65"/>
    </row>
    <row r="16755" spans="1:2" x14ac:dyDescent="0.25">
      <c r="A16755" s="64" t="str">
        <f>HYPERLINK("http://www.twitter.com/spellingbee16", "spellingbee16")</f>
        <v>spellingbee16</v>
      </c>
      <c r="B16755" s="65" t="s">
        <v>487</v>
      </c>
    </row>
    <row r="16756" spans="1:2" x14ac:dyDescent="0.25">
      <c r="A16756" s="64" t="str">
        <f>HYPERLINK("http://www.twitter.com/LRCManagerJMS", "LRCManagerJMS")</f>
        <v>LRCManagerJMS</v>
      </c>
      <c r="B16756" s="65" t="s">
        <v>2325</v>
      </c>
    </row>
    <row r="16757" spans="1:2" x14ac:dyDescent="0.25">
      <c r="A16757" s="64" t="str">
        <f>HYPERLINK("http://www.twitter.com/eliothill", "eliothill")</f>
        <v>eliothill</v>
      </c>
      <c r="B16757" s="65" t="s">
        <v>477</v>
      </c>
    </row>
    <row r="16758" spans="1:2" x14ac:dyDescent="0.25">
      <c r="A16758" s="64" t="str">
        <f>HYPERLINK("http://www.twitter.com/ajkjkakaak", "ajkjkakaak")</f>
        <v>ajkjkakaak</v>
      </c>
      <c r="B16758" s="65" t="s">
        <v>8900</v>
      </c>
    </row>
    <row r="16759" spans="1:2" x14ac:dyDescent="0.25">
      <c r="A16759" s="64" t="str">
        <f>HYPERLINK("http://www.twitter.com/kaydweeks", "kaydweeks")</f>
        <v>kaydweeks</v>
      </c>
      <c r="B16759" s="65" t="s">
        <v>8901</v>
      </c>
    </row>
    <row r="16760" spans="1:2" x14ac:dyDescent="0.25">
      <c r="A16760" s="64" t="str">
        <f>HYPERLINK("http://www.twitter.com/JulieFeminist", "JulieFeminist")</f>
        <v>JulieFeminist</v>
      </c>
      <c r="B16760" s="65"/>
    </row>
    <row r="16761" spans="1:2" x14ac:dyDescent="0.25">
      <c r="A16761" s="64" t="str">
        <f>HYPERLINK("http://www.twitter.com/jjmart90", "jjmart90")</f>
        <v>jjmart90</v>
      </c>
      <c r="B16761" s="65"/>
    </row>
    <row r="16762" spans="1:2" x14ac:dyDescent="0.25">
      <c r="A16762" s="64" t="str">
        <f>HYPERLINK("http://www.twitter.com/Shingle_beach", "Shingle_beach")</f>
        <v>Shingle_beach</v>
      </c>
      <c r="B16762" s="65" t="s">
        <v>8902</v>
      </c>
    </row>
    <row r="16763" spans="1:2" x14ac:dyDescent="0.25">
      <c r="A16763" s="64" t="str">
        <f>HYPERLINK("http://www.twitter.com/KateSutherland4", "KateSutherland4")</f>
        <v>KateSutherland4</v>
      </c>
      <c r="B16763" s="65"/>
    </row>
    <row r="16764" spans="1:2" x14ac:dyDescent="0.25">
      <c r="A16764" s="64" t="str">
        <f>HYPERLINK("http://www.twitter.com/bealouisacruz", "bealouisacruz")</f>
        <v>bealouisacruz</v>
      </c>
      <c r="B16764" s="65" t="s">
        <v>4702</v>
      </c>
    </row>
    <row r="16765" spans="1:2" x14ac:dyDescent="0.25">
      <c r="A16765" s="64" t="str">
        <f>HYPERLINK("http://www.twitter.com/swiftlaura", "swiftlaura")</f>
        <v>swiftlaura</v>
      </c>
      <c r="B16765" s="65"/>
    </row>
    <row r="16766" spans="1:2" x14ac:dyDescent="0.25">
      <c r="A16766" s="64" t="str">
        <f>HYPERLINK("http://www.twitter.com/durinsdaylight", "durinsdaylight")</f>
        <v>durinsdaylight</v>
      </c>
      <c r="B16766" s="65" t="s">
        <v>8903</v>
      </c>
    </row>
    <row r="16767" spans="1:2" x14ac:dyDescent="0.25">
      <c r="A16767" s="64" t="str">
        <f>HYPERLINK("http://www.twitter.com/robertfjones1", "robertfjones1")</f>
        <v>robertfjones1</v>
      </c>
      <c r="B16767" s="65"/>
    </row>
    <row r="16768" spans="1:2" x14ac:dyDescent="0.25">
      <c r="A16768" s="64" t="str">
        <f>HYPERLINK("http://www.twitter.com/mlmfd", "mlmfd")</f>
        <v>mlmfd</v>
      </c>
      <c r="B16768" s="65"/>
    </row>
    <row r="16769" spans="1:2" x14ac:dyDescent="0.25">
      <c r="A16769" s="64" t="str">
        <f>HYPERLINK("http://www.twitter.com/Biebbats", "Biebbats")</f>
        <v>Biebbats</v>
      </c>
      <c r="B16769" s="65" t="s">
        <v>8904</v>
      </c>
    </row>
    <row r="16770" spans="1:2" x14ac:dyDescent="0.25">
      <c r="A16770" s="64" t="str">
        <f>HYPERLINK("http://www.twitter.com/TheOtherSamara", "TheOtherSamara")</f>
        <v>TheOtherSamara</v>
      </c>
      <c r="B16770" s="65" t="s">
        <v>138</v>
      </c>
    </row>
    <row r="16771" spans="1:2" x14ac:dyDescent="0.25">
      <c r="A16771" s="64" t="str">
        <f>HYPERLINK("http://www.twitter.com/jobowandarrow", "jobowandarrow")</f>
        <v>jobowandarrow</v>
      </c>
      <c r="B16771" s="65"/>
    </row>
    <row r="16772" spans="1:2" x14ac:dyDescent="0.25">
      <c r="A16772" s="64" t="str">
        <f>HYPERLINK("http://www.twitter.com/wordnerdgames", "wordnerdgames")</f>
        <v>wordnerdgames</v>
      </c>
      <c r="B16772" s="65" t="s">
        <v>1377</v>
      </c>
    </row>
    <row r="16773" spans="1:2" x14ac:dyDescent="0.25">
      <c r="A16773" s="64" t="str">
        <f>HYPERLINK("http://www.twitter.com/fuscowriting", "fuscowriting")</f>
        <v>fuscowriting</v>
      </c>
      <c r="B16773" s="65" t="s">
        <v>138</v>
      </c>
    </row>
    <row r="16774" spans="1:2" x14ac:dyDescent="0.25">
      <c r="A16774" s="64" t="str">
        <f>HYPERLINK("http://www.twitter.com/ampersandetand", "ampersandetand")</f>
        <v>ampersandetand</v>
      </c>
      <c r="B16774" s="65" t="s">
        <v>138</v>
      </c>
    </row>
    <row r="16775" spans="1:2" x14ac:dyDescent="0.25">
      <c r="A16775" s="64" t="str">
        <f>HYPERLINK("http://www.twitter.com/Sherecita", "Sherecita")</f>
        <v>Sherecita</v>
      </c>
      <c r="B16775" s="65" t="s">
        <v>6267</v>
      </c>
    </row>
    <row r="16776" spans="1:2" x14ac:dyDescent="0.25">
      <c r="A16776" s="64" t="str">
        <f>HYPERLINK("http://www.twitter.com/ohjeezitsangus", "ohjeezitsangus")</f>
        <v>ohjeezitsangus</v>
      </c>
      <c r="B16776" s="65" t="s">
        <v>517</v>
      </c>
    </row>
    <row r="16777" spans="1:2" x14ac:dyDescent="0.25">
      <c r="A16777" s="64" t="str">
        <f>HYPERLINK("http://www.twitter.com/NewieArtSchooLi", "NewieArtSchooLi")</f>
        <v>NewieArtSchooLi</v>
      </c>
      <c r="B16777" s="65"/>
    </row>
    <row r="16778" spans="1:2" x14ac:dyDescent="0.25">
      <c r="A16778" s="64" t="str">
        <f>HYPERLINK("http://www.twitter.com/rarirurerov", "rarirurerov")</f>
        <v>rarirurerov</v>
      </c>
      <c r="B16778" s="65"/>
    </row>
    <row r="16779" spans="1:2" x14ac:dyDescent="0.25">
      <c r="A16779" s="64" t="str">
        <f>HYPERLINK("http://www.twitter.com/marishan2", "marishan2")</f>
        <v>marishan2</v>
      </c>
      <c r="B16779" s="65"/>
    </row>
    <row r="16780" spans="1:2" x14ac:dyDescent="0.25">
      <c r="A16780" s="64" t="str">
        <f>HYPERLINK("http://www.twitter.com/Rendalls1", "Rendalls1")</f>
        <v>Rendalls1</v>
      </c>
      <c r="B16780" s="65" t="s">
        <v>3875</v>
      </c>
    </row>
    <row r="16781" spans="1:2" x14ac:dyDescent="0.25">
      <c r="A16781" s="64" t="str">
        <f>HYPERLINK("http://www.twitter.com/mojostdennis", "mojostdennis")</f>
        <v>mojostdennis</v>
      </c>
      <c r="B16781" s="65" t="s">
        <v>7617</v>
      </c>
    </row>
    <row r="16782" spans="1:2" x14ac:dyDescent="0.25">
      <c r="A16782" s="64" t="str">
        <f>HYPERLINK("http://www.twitter.com/northernsoul03", "northernsoul03")</f>
        <v>northernsoul03</v>
      </c>
      <c r="B16782" s="65"/>
    </row>
    <row r="16783" spans="1:2" x14ac:dyDescent="0.25">
      <c r="A16783" s="64" t="str">
        <f>HYPERLINK("http://www.twitter.com/hs3098hy", "hs3098hy")</f>
        <v>hs3098hy</v>
      </c>
      <c r="B16783" s="65"/>
    </row>
    <row r="16784" spans="1:2" x14ac:dyDescent="0.25">
      <c r="A16784" s="64" t="str">
        <f>HYPERLINK("http://www.twitter.com/akitakataka", "akitakataka")</f>
        <v>akitakataka</v>
      </c>
      <c r="B16784" s="65"/>
    </row>
    <row r="16785" spans="1:2" x14ac:dyDescent="0.25">
      <c r="A16785" s="64" t="str">
        <f>HYPERLINK("http://www.twitter.com/beitaaaxdwefff", "beitaaaxdwefff")</f>
        <v>beitaaaxdwefff</v>
      </c>
      <c r="B16785" s="65"/>
    </row>
    <row r="16786" spans="1:2" x14ac:dyDescent="0.25">
      <c r="A16786" s="64" t="str">
        <f>HYPERLINK("http://www.twitter.com/t11mi022", "t11mi022")</f>
        <v>t11mi022</v>
      </c>
      <c r="B16786" s="65" t="s">
        <v>8905</v>
      </c>
    </row>
    <row r="16787" spans="1:2" x14ac:dyDescent="0.25">
      <c r="A16787" s="64" t="str">
        <f>HYPERLINK("http://www.twitter.com/karafitzpatrick", "karafitzpatrick")</f>
        <v>karafitzpatrick</v>
      </c>
      <c r="B16787" s="65"/>
    </row>
    <row r="16788" spans="1:2" x14ac:dyDescent="0.25">
      <c r="A16788" s="64" t="str">
        <f>HYPERLINK("http://www.twitter.com/katetorney", "katetorney")</f>
        <v>katetorney</v>
      </c>
      <c r="B16788" s="65" t="s">
        <v>8906</v>
      </c>
    </row>
    <row r="16789" spans="1:2" x14ac:dyDescent="0.25">
      <c r="A16789" s="64" t="str">
        <f>HYPERLINK("http://www.twitter.com/shunlolshun", "shunlolshun")</f>
        <v>shunlolshun</v>
      </c>
      <c r="B16789" s="65" t="s">
        <v>8907</v>
      </c>
    </row>
    <row r="16790" spans="1:2" x14ac:dyDescent="0.25">
      <c r="A16790" s="64" t="str">
        <f>HYPERLINK("http://www.twitter.com/dorisgyp", "dorisgyp")</f>
        <v>dorisgyp</v>
      </c>
      <c r="B16790" s="65"/>
    </row>
    <row r="16791" spans="1:2" x14ac:dyDescent="0.25">
      <c r="A16791" s="64" t="str">
        <f>HYPERLINK("http://www.twitter.com/senbeimoyasi", "senbeimoyasi")</f>
        <v>senbeimoyasi</v>
      </c>
      <c r="B16791" s="65"/>
    </row>
    <row r="16792" spans="1:2" x14ac:dyDescent="0.25">
      <c r="A16792" s="64" t="str">
        <f>HYPERLINK("http://www.twitter.com/umyongjoo", "umyongjoo")</f>
        <v>umyongjoo</v>
      </c>
      <c r="B16792" s="65"/>
    </row>
    <row r="16793" spans="1:2" x14ac:dyDescent="0.25">
      <c r="A16793" s="64" t="str">
        <f>HYPERLINK("http://www.twitter.com/aomoriyoon", "aomoriyoon")</f>
        <v>aomoriyoon</v>
      </c>
      <c r="B16793" s="65"/>
    </row>
    <row r="16794" spans="1:2" x14ac:dyDescent="0.25">
      <c r="A16794" s="64" t="str">
        <f>HYPERLINK("http://www.twitter.com/panch0117", "panch0117")</f>
        <v>panch0117</v>
      </c>
      <c r="B16794" s="65"/>
    </row>
    <row r="16795" spans="1:2" x14ac:dyDescent="0.25">
      <c r="A16795" s="64" t="str">
        <f>HYPERLINK("http://www.twitter.com/papanoanal", "papanoanal")</f>
        <v>papanoanal</v>
      </c>
      <c r="B16795" s="65"/>
    </row>
    <row r="16796" spans="1:2" x14ac:dyDescent="0.25">
      <c r="A16796" s="64" t="str">
        <f>HYPERLINK("http://www.twitter.com/yu198208", "yu198208")</f>
        <v>yu198208</v>
      </c>
      <c r="B16796" s="65"/>
    </row>
    <row r="16797" spans="1:2" x14ac:dyDescent="0.25">
      <c r="A16797" s="64" t="str">
        <f>HYPERLINK("http://www.twitter.com/vcepedal", "vcepedal")</f>
        <v>vcepedal</v>
      </c>
      <c r="B16797" s="65"/>
    </row>
    <row r="16798" spans="1:2" x14ac:dyDescent="0.25">
      <c r="A16798" s="64" t="str">
        <f>HYPERLINK("http://www.twitter.com/kari_moff", "kari_moff")</f>
        <v>kari_moff</v>
      </c>
      <c r="B16798" s="65"/>
    </row>
    <row r="16799" spans="1:2" x14ac:dyDescent="0.25">
      <c r="A16799" s="64" t="str">
        <f>HYPERLINK("http://www.twitter.com/vet_1192", "vet_1192")</f>
        <v>vet_1192</v>
      </c>
      <c r="B16799" s="65"/>
    </row>
    <row r="16800" spans="1:2" x14ac:dyDescent="0.25">
      <c r="A16800" s="64" t="str">
        <f>HYPERLINK("http://www.twitter.com/naoya19", "naoya19")</f>
        <v>naoya19</v>
      </c>
      <c r="B16800" s="65"/>
    </row>
    <row r="16801" spans="1:2" x14ac:dyDescent="0.25">
      <c r="A16801" s="64" t="str">
        <f>HYPERLINK("http://www.twitter.com/andrea_meszaros", "andrea_meszaros")</f>
        <v>andrea_meszaros</v>
      </c>
      <c r="B16801" s="65"/>
    </row>
    <row r="16802" spans="1:2" x14ac:dyDescent="0.25">
      <c r="A16802" s="64" t="str">
        <f>HYPERLINK("http://www.twitter.com/tosizaemon", "tosizaemon")</f>
        <v>tosizaemon</v>
      </c>
      <c r="B16802" s="65"/>
    </row>
    <row r="16803" spans="1:2" x14ac:dyDescent="0.25">
      <c r="A16803" s="64" t="str">
        <f>HYPERLINK("http://www.twitter.com/yanyankitsune", "yanyankitsune")</f>
        <v>yanyankitsune</v>
      </c>
      <c r="B16803" s="65"/>
    </row>
    <row r="16804" spans="1:2" x14ac:dyDescent="0.25">
      <c r="A16804" s="64" t="str">
        <f>HYPERLINK("http://www.twitter.com/Night04", "Night04")</f>
        <v>Night04</v>
      </c>
      <c r="B16804" s="65"/>
    </row>
    <row r="16805" spans="1:2" x14ac:dyDescent="0.25">
      <c r="A16805" s="64" t="str">
        <f>HYPERLINK("http://www.twitter.com/VobSap", "VobSap")</f>
        <v>VobSap</v>
      </c>
      <c r="B16805" s="65"/>
    </row>
    <row r="16806" spans="1:2" x14ac:dyDescent="0.25">
      <c r="A16806" s="64" t="str">
        <f>HYPERLINK("http://www.twitter.com/yamachandesse", "yamachandesse")</f>
        <v>yamachandesse</v>
      </c>
      <c r="B16806" s="65"/>
    </row>
    <row r="16807" spans="1:2" x14ac:dyDescent="0.25">
      <c r="A16807" s="64" t="str">
        <f>HYPERLINK("http://www.twitter.com/toshi8979", "toshi8979")</f>
        <v>toshi8979</v>
      </c>
      <c r="B16807" s="65"/>
    </row>
    <row r="16808" spans="1:2" x14ac:dyDescent="0.25">
      <c r="A16808" s="64" t="str">
        <f>HYPERLINK("http://www.twitter.com/teacher3696", "teacher3696")</f>
        <v>teacher3696</v>
      </c>
      <c r="B16808" s="65"/>
    </row>
    <row r="16809" spans="1:2" x14ac:dyDescent="0.25">
      <c r="A16809" s="64" t="str">
        <f>HYPERLINK("http://www.twitter.com/ryoichi_master", "ryoichi_master")</f>
        <v>ryoichi_master</v>
      </c>
      <c r="B16809" s="65"/>
    </row>
    <row r="16810" spans="1:2" x14ac:dyDescent="0.25">
      <c r="A16810" s="64" t="str">
        <f>HYPERLINK("http://www.twitter.com/patagonia_world", "patagonia_world")</f>
        <v>patagonia_world</v>
      </c>
      <c r="B16810" s="65"/>
    </row>
    <row r="16811" spans="1:2" x14ac:dyDescent="0.25">
      <c r="A16811" s="64" t="str">
        <f>HYPERLINK("http://www.twitter.com/hanemi_crie", "hanemi_crie")</f>
        <v>hanemi_crie</v>
      </c>
      <c r="B16811" s="65"/>
    </row>
    <row r="16812" spans="1:2" x14ac:dyDescent="0.25">
      <c r="A16812" s="64" t="str">
        <f>HYPERLINK("http://www.twitter.com/kinkan666", "kinkan666")</f>
        <v>kinkan666</v>
      </c>
      <c r="B16812" s="65"/>
    </row>
    <row r="16813" spans="1:2" x14ac:dyDescent="0.25">
      <c r="A16813" s="64" t="str">
        <f>HYPERLINK("http://www.twitter.com/soma_guestn", "soma_guestn")</f>
        <v>soma_guestn</v>
      </c>
      <c r="B16813" s="65" t="s">
        <v>8908</v>
      </c>
    </row>
    <row r="16814" spans="1:2" x14ac:dyDescent="0.25">
      <c r="A16814" s="64" t="str">
        <f>HYPERLINK("http://www.twitter.com/der8aadh", "der8aadh")</f>
        <v>der8aadh</v>
      </c>
      <c r="B16814" s="65"/>
    </row>
    <row r="16815" spans="1:2" x14ac:dyDescent="0.25">
      <c r="A16815" s="64" t="str">
        <f>HYPERLINK("http://www.twitter.com/slothetaotoko", "slothetaotoko")</f>
        <v>slothetaotoko</v>
      </c>
      <c r="B16815" s="65"/>
    </row>
    <row r="16816" spans="1:2" x14ac:dyDescent="0.25">
      <c r="A16816" s="64" t="str">
        <f>HYPERLINK("http://www.twitter.com/hair_egg", "hair_egg")</f>
        <v>hair_egg</v>
      </c>
      <c r="B16816" s="65"/>
    </row>
    <row r="16817" spans="1:2" x14ac:dyDescent="0.25">
      <c r="A16817" s="64" t="str">
        <f>HYPERLINK("http://www.twitter.com/tigerdai", "tigerdai")</f>
        <v>tigerdai</v>
      </c>
      <c r="B16817" s="65"/>
    </row>
    <row r="16818" spans="1:2" x14ac:dyDescent="0.25">
      <c r="A16818" s="64" t="str">
        <f>HYPERLINK("http://www.twitter.com/wdm69423", "wdm69423")</f>
        <v>wdm69423</v>
      </c>
      <c r="B16818" s="65"/>
    </row>
    <row r="16819" spans="1:2" x14ac:dyDescent="0.25">
      <c r="A16819" s="64" t="str">
        <f>HYPERLINK("http://www.twitter.com/Sarasa_make", "Sarasa_make")</f>
        <v>Sarasa_make</v>
      </c>
      <c r="B16819" s="65"/>
    </row>
    <row r="16820" spans="1:2" x14ac:dyDescent="0.25">
      <c r="A16820" s="64" t="str">
        <f>HYPERLINK("http://www.twitter.com/seinasanta", "seinasanta")</f>
        <v>seinasanta</v>
      </c>
      <c r="B16820" s="65"/>
    </row>
    <row r="16821" spans="1:2" x14ac:dyDescent="0.25">
      <c r="A16821" s="64" t="str">
        <f>HYPERLINK("http://www.twitter.com/samurai2009", "samurai2009")</f>
        <v>samurai2009</v>
      </c>
      <c r="B16821" s="65"/>
    </row>
    <row r="16822" spans="1:2" x14ac:dyDescent="0.25">
      <c r="A16822" s="64" t="str">
        <f>HYPERLINK("http://www.twitter.com/cyaromaru", "cyaromaru")</f>
        <v>cyaromaru</v>
      </c>
      <c r="B16822" s="65"/>
    </row>
    <row r="16823" spans="1:2" x14ac:dyDescent="0.25">
      <c r="A16823" s="64" t="str">
        <f>HYPERLINK("http://www.twitter.com/peary7b", "peary7b")</f>
        <v>peary7b</v>
      </c>
      <c r="B16823" s="65" t="s">
        <v>8909</v>
      </c>
    </row>
    <row r="16824" spans="1:2" x14ac:dyDescent="0.25">
      <c r="A16824" s="64" t="str">
        <f>HYPERLINK("http://www.twitter.com/hosyu1", "hosyu1")</f>
        <v>hosyu1</v>
      </c>
      <c r="B16824" s="65"/>
    </row>
    <row r="16825" spans="1:2" x14ac:dyDescent="0.25">
      <c r="A16825" s="64" t="str">
        <f>HYPERLINK("http://www.twitter.com/sugachaan1", "sugachaan1")</f>
        <v>sugachaan1</v>
      </c>
      <c r="B16825" s="65"/>
    </row>
    <row r="16826" spans="1:2" x14ac:dyDescent="0.25">
      <c r="A16826" s="64" t="str">
        <f>HYPERLINK("http://www.twitter.com/Netaro0429", "Netaro0429")</f>
        <v>Netaro0429</v>
      </c>
      <c r="B16826" s="65" t="s">
        <v>8910</v>
      </c>
    </row>
    <row r="16827" spans="1:2" x14ac:dyDescent="0.25">
      <c r="A16827" s="64" t="str">
        <f>HYPERLINK("http://www.twitter.com/rabittojyonn", "rabittojyonn")</f>
        <v>rabittojyonn</v>
      </c>
      <c r="B16827" s="65"/>
    </row>
    <row r="16828" spans="1:2" x14ac:dyDescent="0.25">
      <c r="A16828" s="64" t="str">
        <f>HYPERLINK("http://www.twitter.com/marimo_modoki", "marimo_modoki")</f>
        <v>marimo_modoki</v>
      </c>
      <c r="B16828" s="65"/>
    </row>
    <row r="16829" spans="1:2" x14ac:dyDescent="0.25">
      <c r="A16829" s="64" t="str">
        <f>HYPERLINK("http://www.twitter.com/purofia", "purofia")</f>
        <v>purofia</v>
      </c>
      <c r="B16829" s="65"/>
    </row>
    <row r="16830" spans="1:2" x14ac:dyDescent="0.25">
      <c r="A16830" s="64" t="str">
        <f>HYPERLINK("http://www.twitter.com/amiba46", "amiba46")</f>
        <v>amiba46</v>
      </c>
      <c r="B16830" s="65"/>
    </row>
    <row r="16831" spans="1:2" x14ac:dyDescent="0.25">
      <c r="A16831" s="64" t="str">
        <f>HYPERLINK("http://www.twitter.com/suukako", "suukako")</f>
        <v>suukako</v>
      </c>
      <c r="B16831" s="65"/>
    </row>
    <row r="16832" spans="1:2" x14ac:dyDescent="0.25">
      <c r="A16832" s="64" t="str">
        <f>HYPERLINK("http://www.twitter.com/Sgkljy", "Sgkljy")</f>
        <v>Sgkljy</v>
      </c>
      <c r="B16832" s="65"/>
    </row>
    <row r="16833" spans="1:2" x14ac:dyDescent="0.25">
      <c r="A16833" s="64" t="str">
        <f>HYPERLINK("http://www.twitter.com/Assembles", "Assembles")</f>
        <v>Assembles</v>
      </c>
      <c r="B16833" s="65"/>
    </row>
    <row r="16834" spans="1:2" x14ac:dyDescent="0.25">
      <c r="A16834" s="64" t="str">
        <f>HYPERLINK("http://www.twitter.com/6fq", "6fq")</f>
        <v>6fq</v>
      </c>
      <c r="B16834" s="65"/>
    </row>
    <row r="16835" spans="1:2" x14ac:dyDescent="0.25">
      <c r="A16835" s="64" t="str">
        <f>HYPERLINK("http://www.twitter.com/THENGFX", "THENGFX")</f>
        <v>THENGFX</v>
      </c>
      <c r="B16835" s="65"/>
    </row>
    <row r="16836" spans="1:2" x14ac:dyDescent="0.25">
      <c r="A16836" s="64" t="str">
        <f>HYPERLINK("http://www.twitter.com/touku_bot", "touku_bot")</f>
        <v>touku_bot</v>
      </c>
      <c r="B16836" s="65"/>
    </row>
    <row r="16837" spans="1:2" x14ac:dyDescent="0.25">
      <c r="A16837" s="64" t="str">
        <f>HYPERLINK("http://www.twitter.com/xxxlespaulxxx", "xxxlespaulxxx")</f>
        <v>xxxlespaulxxx</v>
      </c>
      <c r="B16837" s="65"/>
    </row>
    <row r="16838" spans="1:2" x14ac:dyDescent="0.25">
      <c r="A16838" s="64" t="str">
        <f>HYPERLINK("http://www.twitter.com/gilkmo1", "gilkmo1")</f>
        <v>gilkmo1</v>
      </c>
      <c r="B16838" s="65"/>
    </row>
    <row r="16839" spans="1:2" x14ac:dyDescent="0.25">
      <c r="A16839" s="64" t="str">
        <f>HYPERLINK("http://www.twitter.com/yuru1980", "yuru1980")</f>
        <v>yuru1980</v>
      </c>
      <c r="B16839" s="65"/>
    </row>
    <row r="16840" spans="1:2" x14ac:dyDescent="0.25">
      <c r="A16840" s="64" t="str">
        <f>HYPERLINK("http://www.twitter.com/pokapokahontas", "pokapokahontas")</f>
        <v>pokapokahontas</v>
      </c>
      <c r="B16840" s="65"/>
    </row>
    <row r="16841" spans="1:2" x14ac:dyDescent="0.25">
      <c r="A16841" s="64" t="str">
        <f>HYPERLINK("http://www.twitter.com/hutami16", "hutami16")</f>
        <v>hutami16</v>
      </c>
      <c r="B16841" s="65"/>
    </row>
    <row r="16842" spans="1:2" x14ac:dyDescent="0.25">
      <c r="A16842" s="64" t="str">
        <f>HYPERLINK("http://www.twitter.com/fepl", "fepl")</f>
        <v>fepl</v>
      </c>
      <c r="B16842" s="65" t="s">
        <v>8911</v>
      </c>
    </row>
    <row r="16843" spans="1:2" x14ac:dyDescent="0.25">
      <c r="A16843" s="64" t="str">
        <f>HYPERLINK("http://www.twitter.com/gamimax", "gamimax")</f>
        <v>gamimax</v>
      </c>
      <c r="B16843" s="65"/>
    </row>
    <row r="16844" spans="1:2" x14ac:dyDescent="0.25">
      <c r="A16844" s="64" t="str">
        <f>HYPERLINK("http://www.twitter.com/TKKA2U", "TKKA2U")</f>
        <v>TKKA2U</v>
      </c>
      <c r="B16844" s="65"/>
    </row>
    <row r="16845" spans="1:2" x14ac:dyDescent="0.25">
      <c r="A16845" s="64" t="str">
        <f>HYPERLINK("http://www.twitter.com/seturenn", "seturenn")</f>
        <v>seturenn</v>
      </c>
      <c r="B16845" s="65"/>
    </row>
    <row r="16846" spans="1:2" x14ac:dyDescent="0.25">
      <c r="A16846" s="64" t="str">
        <f>HYPERLINK("http://www.twitter.com/pip_pip_rick", "pip_pip_rick")</f>
        <v>pip_pip_rick</v>
      </c>
      <c r="B16846" s="65" t="s">
        <v>8912</v>
      </c>
    </row>
    <row r="16847" spans="1:2" x14ac:dyDescent="0.25">
      <c r="A16847" s="64" t="str">
        <f>HYPERLINK("http://www.twitter.com/KIM_Yunalol", "KIM_Yunalol")</f>
        <v>KIM_Yunalol</v>
      </c>
      <c r="B16847" s="65"/>
    </row>
    <row r="16848" spans="1:2" x14ac:dyDescent="0.25">
      <c r="A16848" s="64" t="str">
        <f>HYPERLINK("http://www.twitter.com/enokorograss", "enokorograss")</f>
        <v>enokorograss</v>
      </c>
      <c r="B16848" s="65"/>
    </row>
    <row r="16849" spans="1:2" x14ac:dyDescent="0.25">
      <c r="A16849" s="64" t="str">
        <f>HYPERLINK("http://www.twitter.com/modjo33", "modjo33")</f>
        <v>modjo33</v>
      </c>
      <c r="B16849" s="65"/>
    </row>
    <row r="16850" spans="1:2" x14ac:dyDescent="0.25">
      <c r="A16850" s="64" t="str">
        <f>HYPERLINK("http://www.twitter.com/naoki1234", "naoki1234")</f>
        <v>naoki1234</v>
      </c>
      <c r="B16850" s="65"/>
    </row>
    <row r="16851" spans="1:2" x14ac:dyDescent="0.25">
      <c r="A16851" s="64" t="str">
        <f>HYPERLINK("http://www.twitter.com/doully53", "doully53")</f>
        <v>doully53</v>
      </c>
      <c r="B16851" s="65"/>
    </row>
    <row r="16852" spans="1:2" x14ac:dyDescent="0.25">
      <c r="A16852" s="64" t="str">
        <f>HYPERLINK("http://www.twitter.com/supershochannnn", "supershochannnn")</f>
        <v>supershochannnn</v>
      </c>
      <c r="B16852" s="65"/>
    </row>
    <row r="16853" spans="1:2" x14ac:dyDescent="0.25">
      <c r="A16853" s="64" t="str">
        <f>HYPERLINK("http://www.twitter.com/dhnboa", "dhnboa")</f>
        <v>dhnboa</v>
      </c>
      <c r="B16853" s="65"/>
    </row>
    <row r="16854" spans="1:2" x14ac:dyDescent="0.25">
      <c r="A16854" s="64" t="str">
        <f>HYPERLINK("http://www.twitter.com/kilhyun01", "kilhyun01")</f>
        <v>kilhyun01</v>
      </c>
      <c r="B16854" s="65"/>
    </row>
    <row r="16855" spans="1:2" x14ac:dyDescent="0.25">
      <c r="A16855" s="64" t="str">
        <f>HYPERLINK("http://www.twitter.com/rachelriding", "rachelriding")</f>
        <v>rachelriding</v>
      </c>
      <c r="B16855" s="65" t="s">
        <v>102</v>
      </c>
    </row>
    <row r="16856" spans="1:2" x14ac:dyDescent="0.25">
      <c r="A16856" s="64" t="str">
        <f>HYPERLINK("http://www.twitter.com/busplan13", "busplan13")</f>
        <v>busplan13</v>
      </c>
      <c r="B16856" s="65"/>
    </row>
    <row r="16857" spans="1:2" x14ac:dyDescent="0.25">
      <c r="A16857" s="64" t="str">
        <f>HYPERLINK("http://www.twitter.com/NorseintheNorth", "NorseintheNorth")</f>
        <v>NorseintheNorth</v>
      </c>
      <c r="B16857" s="65" t="s">
        <v>5339</v>
      </c>
    </row>
    <row r="16858" spans="1:2" x14ac:dyDescent="0.25">
      <c r="A16858" s="64" t="str">
        <f>HYPERLINK("http://www.twitter.com/GeordieOuseness", "GeordieOuseness")</f>
        <v>GeordieOuseness</v>
      </c>
      <c r="B16858" s="65"/>
    </row>
    <row r="16859" spans="1:2" x14ac:dyDescent="0.25">
      <c r="A16859" s="64" t="str">
        <f>HYPERLINK("http://www.twitter.com/heilman1982", "heilman1982")</f>
        <v>heilman1982</v>
      </c>
      <c r="B16859" s="65"/>
    </row>
    <row r="16860" spans="1:2" x14ac:dyDescent="0.25">
      <c r="A16860" s="64" t="str">
        <f>HYPERLINK("http://www.twitter.com/lucy_scanlon", "lucy_scanlon")</f>
        <v>lucy_scanlon</v>
      </c>
      <c r="B16860" s="65" t="s">
        <v>36</v>
      </c>
    </row>
    <row r="16861" spans="1:2" x14ac:dyDescent="0.25">
      <c r="A16861" s="64" t="str">
        <f>HYPERLINK("http://www.twitter.com/DouglaMacArthur", "DouglaMacArthur")</f>
        <v>DouglaMacArthur</v>
      </c>
      <c r="B16861" s="65"/>
    </row>
    <row r="16862" spans="1:2" x14ac:dyDescent="0.25">
      <c r="A16862" s="64" t="str">
        <f>HYPERLINK("http://www.twitter.com/asahi625", "asahi625")</f>
        <v>asahi625</v>
      </c>
      <c r="B16862" s="65"/>
    </row>
    <row r="16863" spans="1:2" x14ac:dyDescent="0.25">
      <c r="A16863" s="64" t="str">
        <f>HYPERLINK("http://www.twitter.com/cisco543361", "cisco543361")</f>
        <v>cisco543361</v>
      </c>
      <c r="B16863" s="65"/>
    </row>
    <row r="16864" spans="1:2" x14ac:dyDescent="0.25">
      <c r="A16864" s="64" t="str">
        <f>HYPERLINK("http://www.twitter.com/chuneriver", "chuneriver")</f>
        <v>chuneriver</v>
      </c>
      <c r="B16864" s="65"/>
    </row>
    <row r="16865" spans="1:2" x14ac:dyDescent="0.25">
      <c r="A16865" s="64" t="str">
        <f>HYPERLINK("http://www.twitter.com/cyon14", "cyon14")</f>
        <v>cyon14</v>
      </c>
      <c r="B16865" s="65"/>
    </row>
    <row r="16866" spans="1:2" x14ac:dyDescent="0.25">
      <c r="A16866" s="64" t="str">
        <f>HYPERLINK("http://www.twitter.com/dvd_jouhou", "dvd_jouhou")</f>
        <v>dvd_jouhou</v>
      </c>
      <c r="B16866" s="65"/>
    </row>
    <row r="16867" spans="1:2" x14ac:dyDescent="0.25">
      <c r="A16867" s="64" t="str">
        <f>HYPERLINK("http://www.twitter.com/aaaaaaaaaaacded", "aaaaaaaaaaacded")</f>
        <v>aaaaaaaaaaacded</v>
      </c>
      <c r="B16867" s="65"/>
    </row>
    <row r="16868" spans="1:2" x14ac:dyDescent="0.25">
      <c r="A16868" s="64" t="str">
        <f>HYPERLINK("http://www.twitter.com/NDXZ", "NDXZ")</f>
        <v>NDXZ</v>
      </c>
      <c r="B16868" s="65"/>
    </row>
    <row r="16869" spans="1:2" x14ac:dyDescent="0.25">
      <c r="A16869" s="64" t="str">
        <f>HYPERLINK("http://www.twitter.com/bigjamp1", "bigjamp1")</f>
        <v>bigjamp1</v>
      </c>
      <c r="B16869" s="65"/>
    </row>
    <row r="16870" spans="1:2" x14ac:dyDescent="0.25">
      <c r="A16870" s="64" t="str">
        <f>HYPERLINK("http://www.twitter.com/kigchan", "kigchan")</f>
        <v>kigchan</v>
      </c>
      <c r="B16870" s="65"/>
    </row>
    <row r="16871" spans="1:2" x14ac:dyDescent="0.25">
      <c r="A16871" s="64" t="str">
        <f>HYPERLINK("http://www.twitter.com/bbtoms", "bbtoms")</f>
        <v>bbtoms</v>
      </c>
      <c r="B16871" s="65"/>
    </row>
    <row r="16872" spans="1:2" x14ac:dyDescent="0.25">
      <c r="A16872" s="64" t="str">
        <f>HYPERLINK("http://www.twitter.com/HablerFett", "HablerFett")</f>
        <v>HablerFett</v>
      </c>
      <c r="B16872" s="65" t="s">
        <v>8913</v>
      </c>
    </row>
    <row r="16873" spans="1:2" x14ac:dyDescent="0.25">
      <c r="A16873" s="64" t="str">
        <f>HYPERLINK("http://www.twitter.com/baw9111", "baw9111")</f>
        <v>baw9111</v>
      </c>
      <c r="B16873" s="65"/>
    </row>
    <row r="16874" spans="1:2" x14ac:dyDescent="0.25">
      <c r="A16874" s="64" t="str">
        <f>HYPERLINK("http://www.twitter.com/TanakaAZrael", "TanakaAZrael")</f>
        <v>TanakaAZrael</v>
      </c>
      <c r="B16874" s="65"/>
    </row>
    <row r="16875" spans="1:2" x14ac:dyDescent="0.25">
      <c r="A16875" s="64" t="str">
        <f>HYPERLINK("http://www.twitter.com/atarimaenisiawa", "atarimaenisiawa")</f>
        <v>atarimaenisiawa</v>
      </c>
      <c r="B16875" s="65"/>
    </row>
    <row r="16876" spans="1:2" x14ac:dyDescent="0.25">
      <c r="A16876" s="64" t="str">
        <f>HYPERLINK("http://www.twitter.com/asd2554", "asd2554")</f>
        <v>asd2554</v>
      </c>
      <c r="B16876" s="65"/>
    </row>
    <row r="16877" spans="1:2" x14ac:dyDescent="0.25">
      <c r="A16877" s="64" t="str">
        <f>HYPERLINK("http://www.twitter.com/cinkel999", "cinkel999")</f>
        <v>cinkel999</v>
      </c>
      <c r="B16877" s="65" t="s">
        <v>8914</v>
      </c>
    </row>
    <row r="16878" spans="1:2" x14ac:dyDescent="0.25">
      <c r="A16878" s="64" t="str">
        <f>HYPERLINK("http://www.twitter.com/rennko17", "rennko17")</f>
        <v>rennko17</v>
      </c>
      <c r="B16878" s="65"/>
    </row>
    <row r="16879" spans="1:2" x14ac:dyDescent="0.25">
      <c r="A16879" s="64" t="str">
        <f>HYPERLINK("http://www.twitter.com/hamasan8", "hamasan8")</f>
        <v>hamasan8</v>
      </c>
      <c r="B16879" s="65"/>
    </row>
    <row r="16880" spans="1:2" x14ac:dyDescent="0.25">
      <c r="A16880" s="64" t="str">
        <f>HYPERLINK("http://www.twitter.com/tktkbbP", "tktkbbP")</f>
        <v>tktkbbP</v>
      </c>
      <c r="B16880" s="65"/>
    </row>
    <row r="16881" spans="1:2" x14ac:dyDescent="0.25">
      <c r="A16881" s="64" t="str">
        <f>HYPERLINK("http://www.twitter.com/eminkyung", "eminkyung")</f>
        <v>eminkyung</v>
      </c>
      <c r="B16881" s="65"/>
    </row>
    <row r="16882" spans="1:2" x14ac:dyDescent="0.25">
      <c r="A16882" s="64" t="str">
        <f>HYPERLINK("http://www.twitter.com/The_Beggers", "The_Beggers")</f>
        <v>The_Beggers</v>
      </c>
      <c r="B16882" s="65"/>
    </row>
    <row r="16883" spans="1:2" x14ac:dyDescent="0.25">
      <c r="A16883" s="64" t="str">
        <f>HYPERLINK("http://www.twitter.com/Na4i", "Na4i")</f>
        <v>Na4i</v>
      </c>
      <c r="B16883" s="65"/>
    </row>
    <row r="16884" spans="1:2" x14ac:dyDescent="0.25">
      <c r="A16884" s="64" t="str">
        <f>HYPERLINK("http://www.twitter.com/yongjaim", "yongjaim")</f>
        <v>yongjaim</v>
      </c>
      <c r="B16884" s="65"/>
    </row>
    <row r="16885" spans="1:2" x14ac:dyDescent="0.25">
      <c r="A16885" s="64" t="str">
        <f>HYPERLINK("http://www.twitter.com/SpikeDonkey", "SpikeDonkey")</f>
        <v>SpikeDonkey</v>
      </c>
      <c r="B16885" s="65"/>
    </row>
    <row r="16886" spans="1:2" x14ac:dyDescent="0.25">
      <c r="A16886" s="64" t="str">
        <f>HYPERLINK("http://www.twitter.com/bskyoshiki", "bskyoshiki")</f>
        <v>bskyoshiki</v>
      </c>
      <c r="B16886" s="65"/>
    </row>
    <row r="16887" spans="1:2" x14ac:dyDescent="0.25">
      <c r="A16887" s="64" t="str">
        <f>HYPERLINK("http://www.twitter.com/jugagaga1", "jugagaga1")</f>
        <v>jugagaga1</v>
      </c>
      <c r="B16887" s="65"/>
    </row>
    <row r="16888" spans="1:2" x14ac:dyDescent="0.25">
      <c r="A16888" s="64" t="str">
        <f>HYPERLINK("http://www.twitter.com/mst9865", "mst9865")</f>
        <v>mst9865</v>
      </c>
      <c r="B16888" s="65"/>
    </row>
    <row r="16889" spans="1:2" x14ac:dyDescent="0.25">
      <c r="A16889" s="64" t="str">
        <f>HYPERLINK("http://www.twitter.com/ume7533jp", "ume7533jp")</f>
        <v>ume7533jp</v>
      </c>
      <c r="B16889" s="65"/>
    </row>
    <row r="16890" spans="1:2" x14ac:dyDescent="0.25">
      <c r="A16890" s="64" t="str">
        <f>HYPERLINK("http://www.twitter.com/uuuuuuuuunko", "uuuuuuuuunko")</f>
        <v>uuuuuuuuunko</v>
      </c>
      <c r="B16890" s="65"/>
    </row>
    <row r="16891" spans="1:2" x14ac:dyDescent="0.25">
      <c r="A16891" s="64" t="str">
        <f>HYPERLINK("http://www.twitter.com/saorin46", "saorin46")</f>
        <v>saorin46</v>
      </c>
      <c r="B16891" s="65"/>
    </row>
    <row r="16892" spans="1:2" x14ac:dyDescent="0.25">
      <c r="A16892" s="64" t="str">
        <f>HYPERLINK("http://www.twitter.com/t0mo513", "t0mo513")</f>
        <v>t0mo513</v>
      </c>
      <c r="B16892" s="65" t="s">
        <v>8915</v>
      </c>
    </row>
    <row r="16893" spans="1:2" x14ac:dyDescent="0.25">
      <c r="A16893" s="64" t="str">
        <f>HYPERLINK("http://www.twitter.com/natsupi94", "natsupi94")</f>
        <v>natsupi94</v>
      </c>
      <c r="B16893" s="65"/>
    </row>
    <row r="16894" spans="1:2" x14ac:dyDescent="0.25">
      <c r="A16894" s="64" t="str">
        <f>HYPERLINK("http://www.twitter.com/ericahartmann", "ericahartmann")</f>
        <v>ericahartmann</v>
      </c>
      <c r="B16894" s="65"/>
    </row>
    <row r="16895" spans="1:2" x14ac:dyDescent="0.25">
      <c r="A16895" s="64" t="str">
        <f>HYPERLINK("http://www.twitter.com/meable2", "meable2")</f>
        <v>meable2</v>
      </c>
      <c r="B16895" s="65"/>
    </row>
    <row r="16896" spans="1:2" x14ac:dyDescent="0.25">
      <c r="A16896" s="64" t="str">
        <f>HYPERLINK("http://www.twitter.com/m3meter", "m3meter")</f>
        <v>m3meter</v>
      </c>
      <c r="B16896" s="65"/>
    </row>
    <row r="16897" spans="1:2" x14ac:dyDescent="0.25">
      <c r="A16897" s="64" t="str">
        <f>HYPERLINK("http://www.twitter.com/yuncha6", "yuncha6")</f>
        <v>yuncha6</v>
      </c>
      <c r="B16897" s="65"/>
    </row>
    <row r="16898" spans="1:2" x14ac:dyDescent="0.25">
      <c r="A16898" s="64" t="str">
        <f>HYPERLINK("http://www.twitter.com/yasu1170", "yasu1170")</f>
        <v>yasu1170</v>
      </c>
      <c r="B16898" s="65" t="s">
        <v>3754</v>
      </c>
    </row>
    <row r="16899" spans="1:2" x14ac:dyDescent="0.25">
      <c r="A16899" s="64" t="str">
        <f>HYPERLINK("http://www.twitter.com/ryuta_FOX", "ryuta_FOX")</f>
        <v>ryuta_FOX</v>
      </c>
      <c r="B16899" s="65" t="s">
        <v>8916</v>
      </c>
    </row>
    <row r="16900" spans="1:2" x14ac:dyDescent="0.25">
      <c r="A16900" s="64" t="str">
        <f>HYPERLINK("http://www.twitter.com/003_030", "003_030")</f>
        <v>003_030</v>
      </c>
      <c r="B16900" s="65"/>
    </row>
    <row r="16901" spans="1:2" x14ac:dyDescent="0.25">
      <c r="A16901" s="64" t="str">
        <f>HYPERLINK("http://www.twitter.com/ukich6", "ukich6")</f>
        <v>ukich6</v>
      </c>
      <c r="B16901" s="65"/>
    </row>
    <row r="16902" spans="1:2" x14ac:dyDescent="0.25">
      <c r="A16902" s="64" t="str">
        <f>HYPERLINK("http://www.twitter.com/tintinkaikai", "tintinkaikai")</f>
        <v>tintinkaikai</v>
      </c>
      <c r="B16902" s="65"/>
    </row>
    <row r="16903" spans="1:2" x14ac:dyDescent="0.25">
      <c r="A16903" s="64" t="str">
        <f>HYPERLINK("http://www.twitter.com/tttacr", "tttacr")</f>
        <v>tttacr</v>
      </c>
      <c r="B16903" s="65"/>
    </row>
    <row r="16904" spans="1:2" x14ac:dyDescent="0.25">
      <c r="A16904" s="64" t="str">
        <f>HYPERLINK("http://www.twitter.com/Buchooon", "Buchooon")</f>
        <v>Buchooon</v>
      </c>
      <c r="B16904" s="65"/>
    </row>
    <row r="16905" spans="1:2" x14ac:dyDescent="0.25">
      <c r="A16905" s="64" t="str">
        <f>HYPERLINK("http://www.twitter.com/miiyu1319", "miiyu1319")</f>
        <v>miiyu1319</v>
      </c>
      <c r="B16905" s="65"/>
    </row>
    <row r="16906" spans="1:2" x14ac:dyDescent="0.25">
      <c r="A16906" s="64" t="str">
        <f>HYPERLINK("http://www.twitter.com/furumitukame", "furumitukame")</f>
        <v>furumitukame</v>
      </c>
      <c r="B16906" s="65"/>
    </row>
    <row r="16907" spans="1:2" x14ac:dyDescent="0.25">
      <c r="A16907" s="64" t="str">
        <f>HYPERLINK("http://www.twitter.com/garagegge", "garagegge")</f>
        <v>garagegge</v>
      </c>
      <c r="B16907" s="65"/>
    </row>
    <row r="16908" spans="1:2" x14ac:dyDescent="0.25">
      <c r="A16908" s="64" t="str">
        <f>HYPERLINK("http://www.twitter.com/mikeneco777", "mikeneco777")</f>
        <v>mikeneco777</v>
      </c>
      <c r="B16908" s="65"/>
    </row>
    <row r="16909" spans="1:2" x14ac:dyDescent="0.25">
      <c r="A16909" s="64" t="str">
        <f>HYPERLINK("http://www.twitter.com/setakotinda", "setakotinda")</f>
        <v>setakotinda</v>
      </c>
      <c r="B16909" s="65"/>
    </row>
    <row r="16910" spans="1:2" x14ac:dyDescent="0.25">
      <c r="A16910" s="64" t="str">
        <f>HYPERLINK("http://www.twitter.com/Keroro_ni", "Keroro_ni")</f>
        <v>Keroro_ni</v>
      </c>
      <c r="B16910" s="65" t="s">
        <v>8917</v>
      </c>
    </row>
    <row r="16911" spans="1:2" x14ac:dyDescent="0.25">
      <c r="A16911" s="64" t="str">
        <f>HYPERLINK("http://www.twitter.com/momorol", "momorol")</f>
        <v>momorol</v>
      </c>
      <c r="B16911" s="65"/>
    </row>
    <row r="16912" spans="1:2" x14ac:dyDescent="0.25">
      <c r="A16912" s="64" t="str">
        <f>HYPERLINK("http://www.twitter.com/kaz_kk", "kaz_kk")</f>
        <v>kaz_kk</v>
      </c>
      <c r="B16912" s="65" t="s">
        <v>8918</v>
      </c>
    </row>
    <row r="16913" spans="1:2" x14ac:dyDescent="0.25">
      <c r="A16913" s="64" t="str">
        <f>HYPERLINK("http://www.twitter.com/mitonyan18", "mitonyan18")</f>
        <v>mitonyan18</v>
      </c>
      <c r="B16913" s="65" t="s">
        <v>8919</v>
      </c>
    </row>
    <row r="16914" spans="1:2" x14ac:dyDescent="0.25">
      <c r="A16914" s="64" t="str">
        <f>HYPERLINK("http://www.twitter.com/deirahi", "deirahi")</f>
        <v>deirahi</v>
      </c>
      <c r="B16914" s="65"/>
    </row>
    <row r="16915" spans="1:2" x14ac:dyDescent="0.25">
      <c r="A16915" s="64" t="str">
        <f>HYPERLINK("http://www.twitter.com/ikki117", "ikki117")</f>
        <v>ikki117</v>
      </c>
      <c r="B16915" s="65"/>
    </row>
    <row r="16916" spans="1:2" x14ac:dyDescent="0.25">
      <c r="A16916" s="64" t="str">
        <f>HYPERLINK("http://www.twitter.com/blidra", "blidra")</f>
        <v>blidra</v>
      </c>
      <c r="B16916" s="65"/>
    </row>
    <row r="16917" spans="1:2" x14ac:dyDescent="0.25">
      <c r="A16917" s="64" t="str">
        <f>HYPERLINK("http://www.twitter.com/dorasuke919cas", "dorasuke919cas")</f>
        <v>dorasuke919cas</v>
      </c>
      <c r="B16917" s="65"/>
    </row>
    <row r="16918" spans="1:2" x14ac:dyDescent="0.25">
      <c r="A16918" s="64" t="str">
        <f>HYPERLINK("http://www.twitter.com/_tmp_tmp", "_tmp_tmp")</f>
        <v>_tmp_tmp</v>
      </c>
      <c r="B16918" s="65"/>
    </row>
    <row r="16919" spans="1:2" x14ac:dyDescent="0.25">
      <c r="A16919" s="64" t="str">
        <f>HYPERLINK("http://www.twitter.com/rara_69", "rara_69")</f>
        <v>rara_69</v>
      </c>
      <c r="B16919" s="65"/>
    </row>
    <row r="16920" spans="1:2" x14ac:dyDescent="0.25">
      <c r="A16920" s="64" t="str">
        <f>HYPERLINK("http://www.twitter.com/Takeda11Chiharu", "Takeda11Chiharu")</f>
        <v>Takeda11Chiharu</v>
      </c>
      <c r="B16920" s="65"/>
    </row>
    <row r="16921" spans="1:2" x14ac:dyDescent="0.25">
      <c r="A16921" s="64" t="str">
        <f>HYPERLINK("http://www.twitter.com/HarryOzBoon", "HarryOzBoon")</f>
        <v>HarryOzBoon</v>
      </c>
      <c r="B16921" s="65" t="s">
        <v>8920</v>
      </c>
    </row>
    <row r="16922" spans="1:2" x14ac:dyDescent="0.25">
      <c r="A16922" s="64" t="str">
        <f>HYPERLINK("http://www.twitter.com/zvmax38", "zvmax38")</f>
        <v>zvmax38</v>
      </c>
      <c r="B16922" s="65"/>
    </row>
    <row r="16923" spans="1:2" x14ac:dyDescent="0.25">
      <c r="A16923" s="64" t="str">
        <f>HYPERLINK("http://www.twitter.com/mansa555", "mansa555")</f>
        <v>mansa555</v>
      </c>
      <c r="B16923" s="65"/>
    </row>
    <row r="16924" spans="1:2" x14ac:dyDescent="0.25">
      <c r="A16924" s="64" t="str">
        <f>HYPERLINK("http://www.twitter.com/evava0622", "evava0622")</f>
        <v>evava0622</v>
      </c>
      <c r="B16924" s="65"/>
    </row>
    <row r="16925" spans="1:2" x14ac:dyDescent="0.25">
      <c r="A16925" s="64" t="str">
        <f>HYPERLINK("http://www.twitter.com/slo1031", "slo1031")</f>
        <v>slo1031</v>
      </c>
      <c r="B16925" s="65"/>
    </row>
    <row r="16926" spans="1:2" x14ac:dyDescent="0.25">
      <c r="A16926" s="64" t="str">
        <f>HYPERLINK("http://www.twitter.com/bl801bl801bl", "bl801bl801bl")</f>
        <v>bl801bl801bl</v>
      </c>
      <c r="B16926" s="65"/>
    </row>
    <row r="16927" spans="1:2" x14ac:dyDescent="0.25">
      <c r="A16927" s="64" t="str">
        <f>HYPERLINK("http://www.twitter.com/mayomayo1118", "mayomayo1118")</f>
        <v>mayomayo1118</v>
      </c>
      <c r="B16927" s="65"/>
    </row>
    <row r="16928" spans="1:2" x14ac:dyDescent="0.25">
      <c r="A16928" s="64" t="str">
        <f>HYPERLINK("http://www.twitter.com/Xoxomami", "Xoxomami")</f>
        <v>Xoxomami</v>
      </c>
      <c r="B16928" s="65"/>
    </row>
    <row r="16929" spans="1:2" x14ac:dyDescent="0.25">
      <c r="A16929" s="64" t="str">
        <f>HYPERLINK("http://www.twitter.com/chiekonguu", "chiekonguu")</f>
        <v>chiekonguu</v>
      </c>
      <c r="B16929" s="65"/>
    </row>
    <row r="16930" spans="1:2" x14ac:dyDescent="0.25">
      <c r="A16930" s="64" t="str">
        <f>HYPERLINK("http://www.twitter.com/yuiyui_yuri", "yuiyui_yuri")</f>
        <v>yuiyui_yuri</v>
      </c>
      <c r="B16930" s="65"/>
    </row>
    <row r="16931" spans="1:2" x14ac:dyDescent="0.25">
      <c r="A16931" s="64" t="str">
        <f>HYPERLINK("http://www.twitter.com/piroline1", "piroline1")</f>
        <v>piroline1</v>
      </c>
      <c r="B16931" s="65"/>
    </row>
    <row r="16932" spans="1:2" x14ac:dyDescent="0.25">
      <c r="A16932" s="64" t="str">
        <f>HYPERLINK("http://www.twitter.com/nasuko2", "nasuko2")</f>
        <v>nasuko2</v>
      </c>
      <c r="B16932" s="65" t="s">
        <v>8919</v>
      </c>
    </row>
    <row r="16933" spans="1:2" x14ac:dyDescent="0.25">
      <c r="A16933" s="64" t="str">
        <f>HYPERLINK("http://www.twitter.com/Happiness115", "Happiness115")</f>
        <v>Happiness115</v>
      </c>
      <c r="B16933" s="65"/>
    </row>
    <row r="16934" spans="1:2" x14ac:dyDescent="0.25">
      <c r="A16934" s="64" t="str">
        <f>HYPERLINK("http://www.twitter.com/pipisama2", "pipisama2")</f>
        <v>pipisama2</v>
      </c>
      <c r="B16934" s="65"/>
    </row>
    <row r="16935" spans="1:2" x14ac:dyDescent="0.25">
      <c r="A16935" s="64" t="str">
        <f>HYPERLINK("http://www.twitter.com/namiha422", "namiha422")</f>
        <v>namiha422</v>
      </c>
      <c r="B16935" s="65"/>
    </row>
    <row r="16936" spans="1:2" x14ac:dyDescent="0.25">
      <c r="A16936" s="64" t="str">
        <f>HYPERLINK("http://www.twitter.com/longcoulage", "longcoulage")</f>
        <v>longcoulage</v>
      </c>
      <c r="B16936" s="65"/>
    </row>
    <row r="16937" spans="1:2" x14ac:dyDescent="0.25">
      <c r="A16937" s="64" t="str">
        <f>HYPERLINK("http://www.twitter.com/forestttt", "forestttt")</f>
        <v>forestttt</v>
      </c>
      <c r="B16937" s="65"/>
    </row>
    <row r="16938" spans="1:2" x14ac:dyDescent="0.25">
      <c r="A16938" s="64" t="str">
        <f>HYPERLINK("http://www.twitter.com/Samanth_Fox", "Samanth_Fox")</f>
        <v>Samanth_Fox</v>
      </c>
      <c r="B16938" s="65"/>
    </row>
    <row r="16939" spans="1:2" x14ac:dyDescent="0.25">
      <c r="A16939" s="64" t="str">
        <f>HYPERLINK("http://www.twitter.com/kumagai11", "kumagai11")</f>
        <v>kumagai11</v>
      </c>
      <c r="B16939" s="65"/>
    </row>
    <row r="16940" spans="1:2" x14ac:dyDescent="0.25">
      <c r="A16940" s="64" t="str">
        <f>HYPERLINK("http://www.twitter.com/mtmtkmk", "mtmtkmk")</f>
        <v>mtmtkmk</v>
      </c>
      <c r="B16940" s="65"/>
    </row>
    <row r="16941" spans="1:2" x14ac:dyDescent="0.25">
      <c r="A16941" s="64" t="str">
        <f>HYPERLINK("http://www.twitter.com/pegopegomaru", "pegopegomaru")</f>
        <v>pegopegomaru</v>
      </c>
      <c r="B16941" s="65" t="s">
        <v>8921</v>
      </c>
    </row>
    <row r="16942" spans="1:2" x14ac:dyDescent="0.25">
      <c r="A16942" s="64" t="str">
        <f>HYPERLINK("http://www.twitter.com/kwnysts", "kwnysts")</f>
        <v>kwnysts</v>
      </c>
      <c r="B16942" s="65"/>
    </row>
    <row r="16943" spans="1:2" x14ac:dyDescent="0.25">
      <c r="A16943" s="64" t="str">
        <f>HYPERLINK("http://www.twitter.com/kirin436", "kirin436")</f>
        <v>kirin436</v>
      </c>
      <c r="B16943" s="65"/>
    </row>
    <row r="16944" spans="1:2" x14ac:dyDescent="0.25">
      <c r="A16944" s="64" t="str">
        <f>HYPERLINK("http://www.twitter.com/KatrinasTales", "KatrinasTales")</f>
        <v>KatrinasTales</v>
      </c>
      <c r="B16944" s="65" t="s">
        <v>6775</v>
      </c>
    </row>
    <row r="16945" spans="1:2" x14ac:dyDescent="0.25">
      <c r="A16945" s="64" t="str">
        <f>HYPERLINK("http://www.twitter.com/tomi0509", "tomi0509")</f>
        <v>tomi0509</v>
      </c>
      <c r="B16945" s="65"/>
    </row>
    <row r="16946" spans="1:2" x14ac:dyDescent="0.25">
      <c r="A16946" s="64" t="str">
        <f>HYPERLINK("http://www.twitter.com/karuno05", "karuno05")</f>
        <v>karuno05</v>
      </c>
      <c r="B16946" s="65" t="s">
        <v>8910</v>
      </c>
    </row>
    <row r="16947" spans="1:2" x14ac:dyDescent="0.25">
      <c r="A16947" s="64" t="str">
        <f>HYPERLINK("http://www.twitter.com/pinkhimemi", "pinkhimemi")</f>
        <v>pinkhimemi</v>
      </c>
      <c r="B16947" s="65" t="s">
        <v>8922</v>
      </c>
    </row>
    <row r="16948" spans="1:2" x14ac:dyDescent="0.25">
      <c r="A16948" s="64" t="str">
        <f>HYPERLINK("http://www.twitter.com/Yo_oYzz", "Yo_oYzz")</f>
        <v>Yo_oYzz</v>
      </c>
      <c r="B16948" s="65"/>
    </row>
    <row r="16949" spans="1:2" x14ac:dyDescent="0.25">
      <c r="A16949" s="64" t="str">
        <f>HYPERLINK("http://www.twitter.com/haduki_0881_", "haduki_0881_")</f>
        <v>haduki_0881_</v>
      </c>
      <c r="B16949" s="65"/>
    </row>
    <row r="16950" spans="1:2" x14ac:dyDescent="0.25">
      <c r="A16950" s="64" t="str">
        <f>HYPERLINK("http://www.twitter.com/camon4", "camon4")</f>
        <v>camon4</v>
      </c>
      <c r="B16950" s="65"/>
    </row>
    <row r="16951" spans="1:2" x14ac:dyDescent="0.25">
      <c r="A16951" s="64" t="str">
        <f>HYPERLINK("http://www.twitter.com/keigo0204", "keigo0204")</f>
        <v>keigo0204</v>
      </c>
      <c r="B16951" s="65"/>
    </row>
    <row r="16952" spans="1:2" x14ac:dyDescent="0.25">
      <c r="A16952" s="64" t="str">
        <f>HYPERLINK("http://www.twitter.com/norazo0807", "norazo0807")</f>
        <v>norazo0807</v>
      </c>
      <c r="B16952" s="65"/>
    </row>
    <row r="16953" spans="1:2" x14ac:dyDescent="0.25">
      <c r="A16953" s="64" t="str">
        <f>HYPERLINK("http://www.twitter.com/masashimarco", "masashimarco")</f>
        <v>masashimarco</v>
      </c>
      <c r="B16953" s="65"/>
    </row>
    <row r="16954" spans="1:2" x14ac:dyDescent="0.25">
      <c r="A16954" s="64" t="str">
        <f>HYPERLINK("http://www.twitter.com/dateotokoT_T", "dateotokoT_T")</f>
        <v>dateotokoT_T</v>
      </c>
      <c r="B16954" s="65"/>
    </row>
    <row r="16955" spans="1:2" x14ac:dyDescent="0.25">
      <c r="A16955" s="64" t="str">
        <f>HYPERLINK("http://www.twitter.com/ceadela", "ceadela")</f>
        <v>ceadela</v>
      </c>
      <c r="B16955" s="65" t="s">
        <v>505</v>
      </c>
    </row>
    <row r="16956" spans="1:2" x14ac:dyDescent="0.25">
      <c r="A16956" s="64" t="str">
        <f>HYPERLINK("http://www.twitter.com/fli_cla", "fli_cla")</f>
        <v>fli_cla</v>
      </c>
      <c r="B16956" s="65"/>
    </row>
    <row r="16957" spans="1:2" x14ac:dyDescent="0.25">
      <c r="A16957" s="64" t="str">
        <f>HYPERLINK("http://www.twitter.com/boakouu", "boakouu")</f>
        <v>boakouu</v>
      </c>
      <c r="B16957" s="65"/>
    </row>
    <row r="16958" spans="1:2" x14ac:dyDescent="0.25">
      <c r="A16958" s="64" t="str">
        <f>HYPERLINK("http://www.twitter.com/satomasa_chain", "satomasa_chain")</f>
        <v>satomasa_chain</v>
      </c>
      <c r="B16958" s="65" t="s">
        <v>8923</v>
      </c>
    </row>
    <row r="16959" spans="1:2" x14ac:dyDescent="0.25">
      <c r="A16959" s="64" t="str">
        <f>HYPERLINK("http://www.twitter.com/w_______w", "w_______w")</f>
        <v>w_______w</v>
      </c>
      <c r="B16959" s="65"/>
    </row>
    <row r="16960" spans="1:2" x14ac:dyDescent="0.25">
      <c r="A16960" s="64" t="str">
        <f>HYPERLINK("http://www.twitter.com/vernus777", "vernus777")</f>
        <v>vernus777</v>
      </c>
      <c r="B16960" s="65"/>
    </row>
    <row r="16961" spans="1:2" x14ac:dyDescent="0.25">
      <c r="A16961" s="64" t="str">
        <f>HYPERLINK("http://www.twitter.com/nozawapen", "nozawapen")</f>
        <v>nozawapen</v>
      </c>
      <c r="B16961" s="65"/>
    </row>
    <row r="16962" spans="1:2" x14ac:dyDescent="0.25">
      <c r="A16962" s="64" t="str">
        <f>HYPERLINK("http://www.twitter.com/GoldingRita", "GoldingRita")</f>
        <v>GoldingRita</v>
      </c>
      <c r="B16962" s="65"/>
    </row>
    <row r="16963" spans="1:2" x14ac:dyDescent="0.25">
      <c r="A16963" s="64" t="str">
        <f>HYPERLINK("http://www.twitter.com/oa3a", "oa3a")</f>
        <v>oa3a</v>
      </c>
      <c r="B16963" s="65"/>
    </row>
    <row r="16964" spans="1:2" x14ac:dyDescent="0.25">
      <c r="A16964" s="64" t="str">
        <f>HYPERLINK("http://www.twitter.com/LINE_FREAK", "LINE_FREAK")</f>
        <v>LINE_FREAK</v>
      </c>
      <c r="B16964" s="65"/>
    </row>
    <row r="16965" spans="1:2" x14ac:dyDescent="0.25">
      <c r="A16965" s="64" t="str">
        <f>HYPERLINK("http://www.twitter.com/jokikari", "jokikari")</f>
        <v>jokikari</v>
      </c>
      <c r="B16965" s="65"/>
    </row>
    <row r="16966" spans="1:2" x14ac:dyDescent="0.25">
      <c r="A16966" s="64" t="str">
        <f>HYPERLINK("http://www.twitter.com/dk3331", "dk3331")</f>
        <v>dk3331</v>
      </c>
      <c r="B16966" s="65"/>
    </row>
    <row r="16967" spans="1:2" x14ac:dyDescent="0.25">
      <c r="A16967" s="64" t="str">
        <f>HYPERLINK("http://www.twitter.com/kazu2968", "kazu2968")</f>
        <v>kazu2968</v>
      </c>
      <c r="B16967" s="65"/>
    </row>
    <row r="16968" spans="1:2" x14ac:dyDescent="0.25">
      <c r="A16968" s="64" t="str">
        <f>HYPERLINK("http://www.twitter.com/kikujirous", "kikujirous")</f>
        <v>kikujirous</v>
      </c>
      <c r="B16968" s="65"/>
    </row>
    <row r="16969" spans="1:2" x14ac:dyDescent="0.25">
      <c r="A16969" s="64" t="str">
        <f>HYPERLINK("http://www.twitter.com/kogkog1", "kogkog1")</f>
        <v>kogkog1</v>
      </c>
      <c r="B16969" s="65"/>
    </row>
    <row r="16970" spans="1:2" x14ac:dyDescent="0.25">
      <c r="A16970" s="64" t="str">
        <f>HYPERLINK("http://www.twitter.com/specialk1206", "specialk1206")</f>
        <v>specialk1206</v>
      </c>
      <c r="B16970" s="65"/>
    </row>
    <row r="16971" spans="1:2" x14ac:dyDescent="0.25">
      <c r="A16971" s="64" t="str">
        <f>HYPERLINK("http://www.twitter.com/Rarurunkit", "Rarurunkit")</f>
        <v>Rarurunkit</v>
      </c>
      <c r="B16971" s="65"/>
    </row>
    <row r="16972" spans="1:2" x14ac:dyDescent="0.25">
      <c r="A16972" s="64" t="str">
        <f>HYPERLINK("http://www.twitter.com/hamasei", "hamasei")</f>
        <v>hamasei</v>
      </c>
      <c r="B16972" s="65" t="s">
        <v>8924</v>
      </c>
    </row>
    <row r="16973" spans="1:2" x14ac:dyDescent="0.25">
      <c r="A16973" s="64" t="str">
        <f>HYPERLINK("http://www.twitter.com/dent123456", "dent123456")</f>
        <v>dent123456</v>
      </c>
      <c r="B16973" s="65"/>
    </row>
    <row r="16974" spans="1:2" x14ac:dyDescent="0.25">
      <c r="A16974" s="64" t="str">
        <f>HYPERLINK("http://www.twitter.com/umineko926", "umineko926")</f>
        <v>umineko926</v>
      </c>
      <c r="B16974" s="65"/>
    </row>
    <row r="16975" spans="1:2" x14ac:dyDescent="0.25">
      <c r="A16975" s="64" t="str">
        <f>HYPERLINK("http://www.twitter.com/shoku_kai", "shoku_kai")</f>
        <v>shoku_kai</v>
      </c>
      <c r="B16975" s="65"/>
    </row>
    <row r="16976" spans="1:2" x14ac:dyDescent="0.25">
      <c r="A16976" s="64" t="str">
        <f>HYPERLINK("http://www.twitter.com/8_Cafe_8", "8_Cafe_8")</f>
        <v>8_Cafe_8</v>
      </c>
      <c r="B16976" s="65"/>
    </row>
    <row r="16977" spans="1:2" x14ac:dyDescent="0.25">
      <c r="A16977" s="64" t="str">
        <f>HYPERLINK("http://www.twitter.com/konoero", "konoero")</f>
        <v>konoero</v>
      </c>
      <c r="B16977" s="65"/>
    </row>
    <row r="16978" spans="1:2" x14ac:dyDescent="0.25">
      <c r="A16978" s="64" t="str">
        <f>HYPERLINK("http://www.twitter.com/GTX670", "GTX670")</f>
        <v>GTX670</v>
      </c>
      <c r="B16978" s="65"/>
    </row>
    <row r="16979" spans="1:2" x14ac:dyDescent="0.25">
      <c r="A16979" s="64" t="str">
        <f>HYPERLINK("http://www.twitter.com/sharp_carolyn", "sharp_carolyn")</f>
        <v>sharp_carolyn</v>
      </c>
      <c r="B16979" s="65"/>
    </row>
    <row r="16980" spans="1:2" x14ac:dyDescent="0.25">
      <c r="A16980" s="64" t="str">
        <f>HYPERLINK("http://www.twitter.com/Thoth_n", "Thoth_n")</f>
        <v>Thoth_n</v>
      </c>
      <c r="B16980" s="65"/>
    </row>
    <row r="16981" spans="1:2" x14ac:dyDescent="0.25">
      <c r="A16981" s="64" t="str">
        <f>HYPERLINK("http://www.twitter.com/bokudorayakiiii", "bokudorayakiiii")</f>
        <v>bokudorayakiiii</v>
      </c>
      <c r="B16981" s="65"/>
    </row>
    <row r="16982" spans="1:2" x14ac:dyDescent="0.25">
      <c r="A16982" s="64" t="str">
        <f>HYPERLINK("http://www.twitter.com/hiroshi250", "hiroshi250")</f>
        <v>hiroshi250</v>
      </c>
      <c r="B16982" s="65"/>
    </row>
    <row r="16983" spans="1:2" x14ac:dyDescent="0.25">
      <c r="A16983" s="64" t="str">
        <f>HYPERLINK("http://www.twitter.com/makubota1", "makubota1")</f>
        <v>makubota1</v>
      </c>
      <c r="B16983" s="65"/>
    </row>
    <row r="16984" spans="1:2" x14ac:dyDescent="0.25">
      <c r="A16984" s="64" t="str">
        <f>HYPERLINK("http://www.twitter.com/yuki_rin_saki", "yuki_rin_saki")</f>
        <v>yuki_rin_saki</v>
      </c>
      <c r="B16984" s="65"/>
    </row>
    <row r="16985" spans="1:2" x14ac:dyDescent="0.25">
      <c r="A16985" s="64" t="str">
        <f>HYPERLINK("http://www.twitter.com/examk", "examk")</f>
        <v>examk</v>
      </c>
      <c r="B16985" s="65"/>
    </row>
    <row r="16986" spans="1:2" x14ac:dyDescent="0.25">
      <c r="A16986" s="64" t="str">
        <f>HYPERLINK("http://www.twitter.com/gandamsan", "gandamsan")</f>
        <v>gandamsan</v>
      </c>
      <c r="B16986" s="65"/>
    </row>
    <row r="16987" spans="1:2" x14ac:dyDescent="0.25">
      <c r="A16987" s="64" t="str">
        <f>HYPERLINK("http://www.twitter.com/ta_ka4", "ta_ka4")</f>
        <v>ta_ka4</v>
      </c>
      <c r="B16987" s="65"/>
    </row>
    <row r="16988" spans="1:2" x14ac:dyDescent="0.25">
      <c r="A16988" s="64" t="str">
        <f>HYPERLINK("http://www.twitter.com/tataitititi", "tataitititi")</f>
        <v>tataitititi</v>
      </c>
      <c r="B16988" s="65"/>
    </row>
    <row r="16989" spans="1:2" x14ac:dyDescent="0.25">
      <c r="A16989" s="64" t="str">
        <f>HYPERLINK("http://www.twitter.com/nukesan2", "nukesan2")</f>
        <v>nukesan2</v>
      </c>
      <c r="B16989" s="65"/>
    </row>
    <row r="16990" spans="1:2" x14ac:dyDescent="0.25">
      <c r="A16990" s="64" t="str">
        <f>HYPERLINK("http://www.twitter.com/falpublibteens", "falpublibteens")</f>
        <v>falpublibteens</v>
      </c>
      <c r="B16990" s="65" t="s">
        <v>8925</v>
      </c>
    </row>
    <row r="16991" spans="1:2" x14ac:dyDescent="0.25">
      <c r="A16991" s="64" t="str">
        <f>HYPERLINK("http://www.twitter.com/hachihachiro", "hachihachiro")</f>
        <v>hachihachiro</v>
      </c>
      <c r="B16991" s="65"/>
    </row>
    <row r="16992" spans="1:2" x14ac:dyDescent="0.25">
      <c r="A16992" s="64" t="str">
        <f>HYPERLINK("http://www.twitter.com/murmillo9", "murmillo9")</f>
        <v>murmillo9</v>
      </c>
      <c r="B16992" s="65" t="s">
        <v>7072</v>
      </c>
    </row>
    <row r="16993" spans="1:2" x14ac:dyDescent="0.25">
      <c r="A16993" s="64" t="str">
        <f>HYPERLINK("http://www.twitter.com/hinohito12", "hinohito12")</f>
        <v>hinohito12</v>
      </c>
      <c r="B16993" s="65"/>
    </row>
    <row r="16994" spans="1:2" x14ac:dyDescent="0.25">
      <c r="A16994" s="64" t="str">
        <f>HYPERLINK("http://www.twitter.com/ikorun", "ikorun")</f>
        <v>ikorun</v>
      </c>
      <c r="B16994" s="65"/>
    </row>
    <row r="16995" spans="1:2" x14ac:dyDescent="0.25">
      <c r="A16995" s="64" t="str">
        <f>HYPERLINK("http://www.twitter.com/RachelBallance1", "RachelBallance1")</f>
        <v>RachelBallance1</v>
      </c>
      <c r="B16995" s="65"/>
    </row>
    <row r="16996" spans="1:2" x14ac:dyDescent="0.25">
      <c r="A16996" s="64" t="str">
        <f>HYPERLINK("http://www.twitter.com/OLSNBrianA", "OLSNBrianA")</f>
        <v>OLSNBrianA</v>
      </c>
      <c r="B16996" s="65" t="s">
        <v>8926</v>
      </c>
    </row>
    <row r="16997" spans="1:2" x14ac:dyDescent="0.25">
      <c r="A16997" s="64" t="str">
        <f>HYPERLINK("http://www.twitter.com/hollyringland", "hollyringland")</f>
        <v>hollyringland</v>
      </c>
      <c r="B16997" s="65" t="s">
        <v>8927</v>
      </c>
    </row>
    <row r="16998" spans="1:2" x14ac:dyDescent="0.25">
      <c r="A16998" s="64" t="str">
        <f>HYPERLINK("http://www.twitter.com/Natasha__Walls", "Natasha__Walls")</f>
        <v>Natasha__Walls</v>
      </c>
      <c r="B16998" s="65" t="s">
        <v>24</v>
      </c>
    </row>
    <row r="16999" spans="1:2" x14ac:dyDescent="0.25">
      <c r="A16999" s="64" t="str">
        <f>HYPERLINK("http://www.twitter.com/McKinlayKidd", "McKinlayKidd")</f>
        <v>McKinlayKidd</v>
      </c>
      <c r="B16999" s="65" t="s">
        <v>138</v>
      </c>
    </row>
    <row r="17000" spans="1:2" x14ac:dyDescent="0.25">
      <c r="A17000" s="64" t="str">
        <f>HYPERLINK("http://www.twitter.com/aging_phoenix", "aging_phoenix")</f>
        <v>aging_phoenix</v>
      </c>
      <c r="B17000" s="65" t="s">
        <v>4077</v>
      </c>
    </row>
    <row r="17001" spans="1:2" x14ac:dyDescent="0.25">
      <c r="A17001" s="64" t="str">
        <f>HYPERLINK("http://www.twitter.com/almokhllati", "almokhllati")</f>
        <v>almokhllati</v>
      </c>
      <c r="B17001" s="65"/>
    </row>
    <row r="17002" spans="1:2" x14ac:dyDescent="0.25">
      <c r="A17002" s="64" t="str">
        <f>HYPERLINK("http://www.twitter.com/Fordyboy75", "Fordyboy75")</f>
        <v>Fordyboy75</v>
      </c>
      <c r="B17002" s="65"/>
    </row>
    <row r="17003" spans="1:2" x14ac:dyDescent="0.25">
      <c r="A17003" s="64" t="str">
        <f>HYPERLINK("http://www.twitter.com/walkthefells", "walkthefells")</f>
        <v>walkthefells</v>
      </c>
      <c r="B17003" s="65"/>
    </row>
    <row r="17004" spans="1:2" x14ac:dyDescent="0.25">
      <c r="A17004" s="64" t="str">
        <f>HYPERLINK("http://www.twitter.com/BlackwellLeeds", "BlackwellLeeds")</f>
        <v>BlackwellLeeds</v>
      </c>
      <c r="B17004" s="65" t="s">
        <v>180</v>
      </c>
    </row>
    <row r="17005" spans="1:2" x14ac:dyDescent="0.25">
      <c r="A17005" s="64" t="str">
        <f>HYPERLINK("http://www.twitter.com/orionbooks", "orionbooks")</f>
        <v>orionbooks</v>
      </c>
      <c r="B17005" s="65" t="s">
        <v>110</v>
      </c>
    </row>
    <row r="17006" spans="1:2" x14ac:dyDescent="0.25">
      <c r="A17006" s="64" t="str">
        <f>HYPERLINK("http://www.twitter.com/goosearoundtown", "goosearoundtown")</f>
        <v>goosearoundtown</v>
      </c>
      <c r="B17006" s="65" t="s">
        <v>24</v>
      </c>
    </row>
    <row r="17007" spans="1:2" x14ac:dyDescent="0.25">
      <c r="A17007" s="64" t="str">
        <f>HYPERLINK("http://www.twitter.com/e_chaplin", "e_chaplin")</f>
        <v>e_chaplin</v>
      </c>
      <c r="B17007" s="65" t="s">
        <v>3850</v>
      </c>
    </row>
    <row r="17008" spans="1:2" x14ac:dyDescent="0.25">
      <c r="A17008" s="64" t="str">
        <f>HYPERLINK("http://www.twitter.com/FRIEDinburgh", "FRIEDinburgh")</f>
        <v>FRIEDinburgh</v>
      </c>
      <c r="B17008" s="65" t="s">
        <v>517</v>
      </c>
    </row>
    <row r="17009" spans="1:2" x14ac:dyDescent="0.25">
      <c r="A17009" s="64" t="str">
        <f>HYPERLINK("http://www.twitter.com/DiA52s", "DiA52s")</f>
        <v>DiA52s</v>
      </c>
      <c r="B17009" s="65"/>
    </row>
    <row r="17010" spans="1:2" x14ac:dyDescent="0.25">
      <c r="A17010" s="64" t="str">
        <f>HYPERLINK("http://www.twitter.com/helenebells", "helenebells")</f>
        <v>helenebells</v>
      </c>
      <c r="B17010" s="65"/>
    </row>
    <row r="17011" spans="1:2" x14ac:dyDescent="0.25">
      <c r="A17011" s="64" t="str">
        <f>HYPERLINK("http://www.twitter.com/joe90kane", "joe90kane")</f>
        <v>joe90kane</v>
      </c>
      <c r="B17011" s="65" t="s">
        <v>517</v>
      </c>
    </row>
    <row r="17012" spans="1:2" x14ac:dyDescent="0.25">
      <c r="A17012" s="64" t="str">
        <f>HYPERLINK("http://www.twitter.com/homelesshorse", "homelesshorse")</f>
        <v>homelesshorse</v>
      </c>
      <c r="B17012" s="65" t="s">
        <v>138</v>
      </c>
    </row>
    <row r="17013" spans="1:2" x14ac:dyDescent="0.25">
      <c r="A17013" s="64" t="str">
        <f>HYPERLINK("http://www.twitter.com/vaughndavis", "vaughndavis")</f>
        <v>vaughndavis</v>
      </c>
      <c r="B17013" s="65" t="s">
        <v>8928</v>
      </c>
    </row>
    <row r="17014" spans="1:2" x14ac:dyDescent="0.25">
      <c r="A17014" s="64" t="str">
        <f>HYPERLINK("http://www.twitter.com/Norwichbooks", "Norwichbooks")</f>
        <v>Norwichbooks</v>
      </c>
      <c r="B17014" s="65" t="s">
        <v>1511</v>
      </c>
    </row>
    <row r="17015" spans="1:2" x14ac:dyDescent="0.25">
      <c r="A17015" s="64" t="str">
        <f>HYPERLINK("http://www.twitter.com/ash7310", "ash7310")</f>
        <v>ash7310</v>
      </c>
      <c r="B17015" s="65"/>
    </row>
    <row r="17016" spans="1:2" x14ac:dyDescent="0.25">
      <c r="A17016" s="64" t="str">
        <f>HYPERLINK("http://www.twitter.com/minagi2525", "minagi2525")</f>
        <v>minagi2525</v>
      </c>
      <c r="B17016" s="65"/>
    </row>
    <row r="17017" spans="1:2" x14ac:dyDescent="0.25">
      <c r="A17017" s="64" t="str">
        <f>HYPERLINK("http://www.twitter.com/FleegleJason", "FleegleJason")</f>
        <v>FleegleJason</v>
      </c>
      <c r="B17017" s="65"/>
    </row>
    <row r="17018" spans="1:2" x14ac:dyDescent="0.25">
      <c r="A17018" s="64" t="str">
        <f>HYPERLINK("http://www.twitter.com/mikisakuran", "mikisakuran")</f>
        <v>mikisakuran</v>
      </c>
      <c r="B17018" s="65"/>
    </row>
    <row r="17019" spans="1:2" x14ac:dyDescent="0.25">
      <c r="A17019" s="64" t="str">
        <f>HYPERLINK("http://www.twitter.com/woper001", "woper001")</f>
        <v>woper001</v>
      </c>
      <c r="B17019" s="65"/>
    </row>
    <row r="17020" spans="1:2" x14ac:dyDescent="0.25">
      <c r="A17020" s="64" t="str">
        <f>HYPERLINK("http://www.twitter.com/rijyu128", "rijyu128")</f>
        <v>rijyu128</v>
      </c>
      <c r="B17020" s="65"/>
    </row>
    <row r="17021" spans="1:2" x14ac:dyDescent="0.25">
      <c r="A17021" s="64" t="str">
        <f>HYPERLINK("http://www.twitter.com/somuril", "somuril")</f>
        <v>somuril</v>
      </c>
      <c r="B17021" s="65"/>
    </row>
    <row r="17022" spans="1:2" x14ac:dyDescent="0.25">
      <c r="A17022" s="64" t="str">
        <f>HYPERLINK("http://www.twitter.com/SWBHLibrary", "SWBHLibrary")</f>
        <v>SWBHLibrary</v>
      </c>
      <c r="B17022" s="65" t="s">
        <v>2557</v>
      </c>
    </row>
    <row r="17023" spans="1:2" x14ac:dyDescent="0.25">
      <c r="A17023" s="64" t="str">
        <f>HYPERLINK("http://www.twitter.com/sugimaru04", "sugimaru04")</f>
        <v>sugimaru04</v>
      </c>
      <c r="B17023" s="65"/>
    </row>
    <row r="17024" spans="1:2" x14ac:dyDescent="0.25">
      <c r="A17024" s="64" t="str">
        <f>HYPERLINK("http://www.twitter.com/ryoya827", "ryoya827")</f>
        <v>ryoya827</v>
      </c>
      <c r="B17024" s="65"/>
    </row>
    <row r="17025" spans="1:2" x14ac:dyDescent="0.25">
      <c r="A17025" s="64" t="str">
        <f>HYPERLINK("http://www.twitter.com/aokcookie", "aokcookie")</f>
        <v>aokcookie</v>
      </c>
      <c r="B17025" s="65"/>
    </row>
    <row r="17026" spans="1:2" x14ac:dyDescent="0.25">
      <c r="A17026" s="64" t="str">
        <f>HYPERLINK("http://www.twitter.com/dangomaruzou", "dangomaruzou")</f>
        <v>dangomaruzou</v>
      </c>
      <c r="B17026" s="65"/>
    </row>
    <row r="17027" spans="1:2" x14ac:dyDescent="0.25">
      <c r="A17027" s="64" t="str">
        <f>HYPERLINK("http://www.twitter.com/charliepipb", "charliepipb")</f>
        <v>charliepipb</v>
      </c>
      <c r="B17027" s="65" t="s">
        <v>8929</v>
      </c>
    </row>
    <row r="17028" spans="1:2" x14ac:dyDescent="0.25">
      <c r="A17028" s="64" t="str">
        <f>HYPERLINK("http://www.twitter.com/dartacus", "dartacus")</f>
        <v>dartacus</v>
      </c>
      <c r="B17028" s="65" t="s">
        <v>7951</v>
      </c>
    </row>
    <row r="17029" spans="1:2" x14ac:dyDescent="0.25">
      <c r="A17029" s="64" t="str">
        <f>HYPERLINK("http://www.twitter.com/MarianneCam", "MarianneCam")</f>
        <v>MarianneCam</v>
      </c>
      <c r="B17029" s="65" t="s">
        <v>138</v>
      </c>
    </row>
    <row r="17030" spans="1:2" x14ac:dyDescent="0.25">
      <c r="A17030" s="64" t="str">
        <f>HYPERLINK("http://www.twitter.com/nabegasuki", "nabegasuki")</f>
        <v>nabegasuki</v>
      </c>
      <c r="B17030" s="65" t="s">
        <v>8930</v>
      </c>
    </row>
    <row r="17031" spans="1:2" x14ac:dyDescent="0.25">
      <c r="A17031" s="64" t="str">
        <f>HYPERLINK("http://www.twitter.com/sekuharahitman", "sekuharahitman")</f>
        <v>sekuharahitman</v>
      </c>
      <c r="B17031" s="65"/>
    </row>
    <row r="17032" spans="1:2" x14ac:dyDescent="0.25">
      <c r="A17032" s="64" t="str">
        <f>HYPERLINK("http://www.twitter.com/_3910938023721", "_3910938023721")</f>
        <v>_3910938023721</v>
      </c>
      <c r="B17032" s="65"/>
    </row>
    <row r="17033" spans="1:2" x14ac:dyDescent="0.25">
      <c r="A17033" s="64" t="str">
        <f>HYPERLINK("http://www.twitter.com/Lattermild", "Lattermild")</f>
        <v>Lattermild</v>
      </c>
      <c r="B17033" s="65" t="s">
        <v>8931</v>
      </c>
    </row>
    <row r="17034" spans="1:2" x14ac:dyDescent="0.25">
      <c r="A17034" s="64" t="str">
        <f>HYPERLINK("http://www.twitter.com/MsSMuffett", "MsSMuffett")</f>
        <v>MsSMuffett</v>
      </c>
      <c r="B17034" s="65" t="s">
        <v>8932</v>
      </c>
    </row>
    <row r="17035" spans="1:2" x14ac:dyDescent="0.25">
      <c r="A17035" s="64" t="str">
        <f>HYPERLINK("http://www.twitter.com/katanaka2000", "katanaka2000")</f>
        <v>katanaka2000</v>
      </c>
      <c r="B17035" s="65"/>
    </row>
    <row r="17036" spans="1:2" x14ac:dyDescent="0.25">
      <c r="A17036" s="64" t="str">
        <f>HYPERLINK("http://www.twitter.com/hdekym", "hdekym")</f>
        <v>hdekym</v>
      </c>
      <c r="B17036" s="65"/>
    </row>
    <row r="17037" spans="1:2" x14ac:dyDescent="0.25">
      <c r="A17037" s="64" t="str">
        <f>HYPERLINK("http://www.twitter.com/Nik_Gunn", "Nik_Gunn")</f>
        <v>Nik_Gunn</v>
      </c>
      <c r="B17037" s="65" t="s">
        <v>257</v>
      </c>
    </row>
    <row r="17038" spans="1:2" x14ac:dyDescent="0.25">
      <c r="A17038" s="64" t="str">
        <f>HYPERLINK("http://www.twitter.com/gptjd27", "gptjd27")</f>
        <v>gptjd27</v>
      </c>
      <c r="B17038" s="65" t="s">
        <v>8933</v>
      </c>
    </row>
    <row r="17039" spans="1:2" x14ac:dyDescent="0.25">
      <c r="A17039" s="64" t="str">
        <f>HYPERLINK("http://www.twitter.com/allaboutlightuk", "allaboutlightuk")</f>
        <v>allaboutlightuk</v>
      </c>
      <c r="B17039" s="65" t="s">
        <v>3483</v>
      </c>
    </row>
    <row r="17040" spans="1:2" x14ac:dyDescent="0.25">
      <c r="A17040" s="64" t="str">
        <f>HYPERLINK("http://www.twitter.com/tatebg", "tatebg")</f>
        <v>tatebg</v>
      </c>
      <c r="B17040" s="65"/>
    </row>
    <row r="17041" spans="1:2" x14ac:dyDescent="0.25">
      <c r="A17041" s="64" t="str">
        <f>HYPERLINK("http://www.twitter.com/EducatingDonna", "EducatingDonna")</f>
        <v>EducatingDonna</v>
      </c>
      <c r="B17041" s="65" t="s">
        <v>8934</v>
      </c>
    </row>
    <row r="17042" spans="1:2" x14ac:dyDescent="0.25">
      <c r="A17042" s="64" t="str">
        <f>HYPERLINK("http://www.twitter.com/tty_sno", "tty_sno")</f>
        <v>tty_sno</v>
      </c>
      <c r="B17042" s="65"/>
    </row>
    <row r="17043" spans="1:2" x14ac:dyDescent="0.25">
      <c r="A17043" s="64" t="str">
        <f>HYPERLINK("http://www.twitter.com/allpastmidnight", "allpastmidnight")</f>
        <v>allpastmidnight</v>
      </c>
      <c r="B17043" s="65" t="s">
        <v>7836</v>
      </c>
    </row>
    <row r="17044" spans="1:2" x14ac:dyDescent="0.25">
      <c r="A17044" s="64" t="str">
        <f>HYPERLINK("http://www.twitter.com/andrew_poho", "andrew_poho")</f>
        <v>andrew_poho</v>
      </c>
      <c r="B17044" s="65" t="s">
        <v>8935</v>
      </c>
    </row>
    <row r="17045" spans="1:2" x14ac:dyDescent="0.25">
      <c r="A17045" s="64" t="str">
        <f>HYPERLINK("http://www.twitter.com/MinxMarple", "MinxMarple")</f>
        <v>MinxMarple</v>
      </c>
      <c r="B17045" s="65" t="s">
        <v>8936</v>
      </c>
    </row>
    <row r="17046" spans="1:2" x14ac:dyDescent="0.25">
      <c r="A17046" s="64" t="str">
        <f>HYPERLINK("http://www.twitter.com/harwichsoup", "harwichsoup")</f>
        <v>harwichsoup</v>
      </c>
      <c r="B17046" s="65" t="s">
        <v>8937</v>
      </c>
    </row>
    <row r="17047" spans="1:2" x14ac:dyDescent="0.25">
      <c r="A17047" s="64" t="str">
        <f>HYPERLINK("http://www.twitter.com/bringthebow", "bringthebow")</f>
        <v>bringthebow</v>
      </c>
      <c r="B17047" s="65"/>
    </row>
    <row r="17048" spans="1:2" x14ac:dyDescent="0.25">
      <c r="A17048" s="64" t="str">
        <f>HYPERLINK("http://www.twitter.com/Toshi_ZEKE", "Toshi_ZEKE")</f>
        <v>Toshi_ZEKE</v>
      </c>
      <c r="B17048" s="65" t="s">
        <v>8938</v>
      </c>
    </row>
    <row r="17049" spans="1:2" x14ac:dyDescent="0.25">
      <c r="A17049" s="64" t="str">
        <f>HYPERLINK("http://www.twitter.com/aethelflaed", "aethelflaed")</f>
        <v>aethelflaed</v>
      </c>
      <c r="B17049" s="65"/>
    </row>
    <row r="17050" spans="1:2" x14ac:dyDescent="0.25">
      <c r="A17050" s="64" t="str">
        <f>HYPERLINK("http://www.twitter.com/equ1ne", "equ1ne")</f>
        <v>equ1ne</v>
      </c>
      <c r="B17050" s="65"/>
    </row>
    <row r="17051" spans="1:2" x14ac:dyDescent="0.25">
      <c r="A17051" s="64" t="str">
        <f>HYPERLINK("http://www.twitter.com/edwardthjones", "edwardthjones")</f>
        <v>edwardthjones</v>
      </c>
      <c r="B17051" s="65" t="s">
        <v>8939</v>
      </c>
    </row>
    <row r="17052" spans="1:2" x14ac:dyDescent="0.25">
      <c r="A17052" s="64" t="str">
        <f>HYPERLINK("http://www.twitter.com/xylish999", "xylish999")</f>
        <v>xylish999</v>
      </c>
      <c r="B17052" s="65"/>
    </row>
    <row r="17053" spans="1:2" x14ac:dyDescent="0.25">
      <c r="A17053" s="64" t="str">
        <f>HYPERLINK("http://www.twitter.com/benjaminlocke92", "benjaminlocke92")</f>
        <v>benjaminlocke92</v>
      </c>
      <c r="B17053" s="65" t="s">
        <v>1490</v>
      </c>
    </row>
    <row r="17054" spans="1:2" x14ac:dyDescent="0.25">
      <c r="A17054" s="64" t="str">
        <f>HYPERLINK("http://www.twitter.com/chrislewisCOL", "chrislewisCOL")</f>
        <v>chrislewisCOL</v>
      </c>
      <c r="B17054" s="65" t="s">
        <v>8940</v>
      </c>
    </row>
    <row r="17055" spans="1:2" x14ac:dyDescent="0.25">
      <c r="A17055" s="64" t="str">
        <f>HYPERLINK("http://www.twitter.com/theOfficeRabbit", "theOfficeRabbit")</f>
        <v>theOfficeRabbit</v>
      </c>
      <c r="B17055" s="65" t="s">
        <v>8941</v>
      </c>
    </row>
    <row r="17056" spans="1:2" x14ac:dyDescent="0.25">
      <c r="A17056" s="64" t="str">
        <f>HYPERLINK("http://www.twitter.com/Scragend", "Scragend")</f>
        <v>Scragend</v>
      </c>
      <c r="B17056" s="65" t="s">
        <v>4289</v>
      </c>
    </row>
    <row r="17057" spans="1:2" x14ac:dyDescent="0.25">
      <c r="A17057" s="64" t="str">
        <f>HYPERLINK("http://www.twitter.com/woody58000", "woody58000")</f>
        <v>woody58000</v>
      </c>
      <c r="B17057" s="65" t="s">
        <v>8942</v>
      </c>
    </row>
    <row r="17058" spans="1:2" x14ac:dyDescent="0.25">
      <c r="A17058" s="64" t="str">
        <f>HYPERLINK("http://www.twitter.com/tatsutintin", "tatsutintin")</f>
        <v>tatsutintin</v>
      </c>
      <c r="B17058" s="65"/>
    </row>
    <row r="17059" spans="1:2" x14ac:dyDescent="0.25">
      <c r="A17059" s="64" t="str">
        <f>HYPERLINK("http://www.twitter.com/CParkinson535", "CParkinson535")</f>
        <v>CParkinson535</v>
      </c>
      <c r="B17059" s="65" t="s">
        <v>8943</v>
      </c>
    </row>
    <row r="17060" spans="1:2" x14ac:dyDescent="0.25">
      <c r="A17060" s="64" t="str">
        <f>HYPERLINK("http://www.twitter.com/Tenjiku1201", "Tenjiku1201")</f>
        <v>Tenjiku1201</v>
      </c>
      <c r="B17060" s="65" t="s">
        <v>8944</v>
      </c>
    </row>
    <row r="17061" spans="1:2" x14ac:dyDescent="0.25">
      <c r="A17061" s="64" t="str">
        <f>HYPERLINK("http://www.twitter.com/neumann24562833", "neumann24562833")</f>
        <v>neumann24562833</v>
      </c>
      <c r="B17061" s="65"/>
    </row>
    <row r="17062" spans="1:2" x14ac:dyDescent="0.25">
      <c r="A17062" s="64" t="str">
        <f>HYPERLINK("http://www.twitter.com/noroi_mk17", "noroi_mk17")</f>
        <v>noroi_mk17</v>
      </c>
      <c r="B17062" s="65" t="s">
        <v>8945</v>
      </c>
    </row>
    <row r="17063" spans="1:2" x14ac:dyDescent="0.25">
      <c r="A17063" s="64" t="str">
        <f>HYPERLINK("http://www.twitter.com/kamiya2551", "kamiya2551")</f>
        <v>kamiya2551</v>
      </c>
      <c r="B17063" s="65"/>
    </row>
    <row r="17064" spans="1:2" x14ac:dyDescent="0.25">
      <c r="A17064" s="64" t="str">
        <f>HYPERLINK("http://www.twitter.com/misamisa0531", "misamisa0531")</f>
        <v>misamisa0531</v>
      </c>
      <c r="B17064" s="65"/>
    </row>
    <row r="17065" spans="1:2" x14ac:dyDescent="0.25">
      <c r="A17065" s="64" t="str">
        <f>HYPERLINK("http://www.twitter.com/waifu2", "waifu2")</f>
        <v>waifu2</v>
      </c>
      <c r="B17065" s="65" t="s">
        <v>8946</v>
      </c>
    </row>
    <row r="17066" spans="1:2" x14ac:dyDescent="0.25">
      <c r="A17066" s="64" t="str">
        <f>HYPERLINK("http://www.twitter.com/momimomi15", "momimomi15")</f>
        <v>momimomi15</v>
      </c>
      <c r="B17066" s="65"/>
    </row>
    <row r="17067" spans="1:2" x14ac:dyDescent="0.25">
      <c r="A17067" s="64" t="str">
        <f>HYPERLINK("http://www.twitter.com/buledolphins", "buledolphins")</f>
        <v>buledolphins</v>
      </c>
      <c r="B17067" s="65"/>
    </row>
    <row r="17068" spans="1:2" x14ac:dyDescent="0.25">
      <c r="A17068" s="64" t="str">
        <f>HYPERLINK("http://www.twitter.com/xvxvxxvvxx", "xvxvxxvvxx")</f>
        <v>xvxvxxvvxx</v>
      </c>
      <c r="B17068" s="65"/>
    </row>
    <row r="17069" spans="1:2" x14ac:dyDescent="0.25">
      <c r="A17069" s="64" t="str">
        <f>HYPERLINK("http://www.twitter.com/losra", "losra")</f>
        <v>losra</v>
      </c>
      <c r="B17069" s="65" t="s">
        <v>8947</v>
      </c>
    </row>
    <row r="17070" spans="1:2" x14ac:dyDescent="0.25">
      <c r="A17070" s="64" t="str">
        <f>HYPERLINK("http://www.twitter.com/nomo_wata", "nomo_wata")</f>
        <v>nomo_wata</v>
      </c>
      <c r="B17070" s="65" t="s">
        <v>8948</v>
      </c>
    </row>
    <row r="17071" spans="1:2" x14ac:dyDescent="0.25">
      <c r="A17071" s="64" t="str">
        <f>HYPERLINK("http://www.twitter.com/shianvO_Ov", "shianvO_Ov")</f>
        <v>shianvO_Ov</v>
      </c>
      <c r="B17071" s="65" t="s">
        <v>8949</v>
      </c>
    </row>
    <row r="17072" spans="1:2" x14ac:dyDescent="0.25">
      <c r="A17072" s="64" t="str">
        <f>HYPERLINK("http://www.twitter.com/majyo0", "majyo0")</f>
        <v>majyo0</v>
      </c>
      <c r="B17072" s="65"/>
    </row>
    <row r="17073" spans="1:2" x14ac:dyDescent="0.25">
      <c r="A17073" s="64" t="str">
        <f>HYPERLINK("http://www.twitter.com/shi3osi", "shi3osi")</f>
        <v>shi3osi</v>
      </c>
      <c r="B17073" s="65"/>
    </row>
    <row r="17074" spans="1:2" x14ac:dyDescent="0.25">
      <c r="A17074" s="64" t="str">
        <f>HYPERLINK("http://www.twitter.com/Chocomoco15", "Chocomoco15")</f>
        <v>Chocomoco15</v>
      </c>
      <c r="B17074" s="65" t="s">
        <v>5617</v>
      </c>
    </row>
    <row r="17075" spans="1:2" x14ac:dyDescent="0.25">
      <c r="A17075" s="64" t="str">
        <f>HYPERLINK("http://www.twitter.com/Tadatoki", "Tadatoki")</f>
        <v>Tadatoki</v>
      </c>
      <c r="B17075" s="65" t="s">
        <v>8950</v>
      </c>
    </row>
    <row r="17076" spans="1:2" x14ac:dyDescent="0.25">
      <c r="A17076" s="64" t="str">
        <f>HYPERLINK("http://www.twitter.com/tubasa0817", "tubasa0817")</f>
        <v>tubasa0817</v>
      </c>
      <c r="B17076" s="65"/>
    </row>
    <row r="17077" spans="1:2" x14ac:dyDescent="0.25">
      <c r="A17077" s="64" t="str">
        <f>HYPERLINK("http://www.twitter.com/ILpicccolo", "ILpicccolo")</f>
        <v>ILpicccolo</v>
      </c>
      <c r="B17077" s="65"/>
    </row>
    <row r="17078" spans="1:2" x14ac:dyDescent="0.25">
      <c r="A17078" s="64" t="str">
        <f>HYPERLINK("http://www.twitter.com/shigemasahatake", "shigemasahatake")</f>
        <v>shigemasahatake</v>
      </c>
      <c r="B17078" s="65"/>
    </row>
    <row r="17079" spans="1:2" x14ac:dyDescent="0.25">
      <c r="A17079" s="64" t="str">
        <f>HYPERLINK("http://www.twitter.com/70386", "70386")</f>
        <v>70386</v>
      </c>
      <c r="B17079" s="65"/>
    </row>
    <row r="17080" spans="1:2" x14ac:dyDescent="0.25">
      <c r="A17080" s="64" t="str">
        <f>HYPERLINK("http://www.twitter.com/Nataru_0", "Nataru_0")</f>
        <v>Nataru_0</v>
      </c>
      <c r="B17080" s="65"/>
    </row>
    <row r="17081" spans="1:2" x14ac:dyDescent="0.25">
      <c r="A17081" s="64" t="str">
        <f>HYPERLINK("http://www.twitter.com/nuno2992", "nuno2992")</f>
        <v>nuno2992</v>
      </c>
      <c r="B17081" s="65"/>
    </row>
    <row r="17082" spans="1:2" x14ac:dyDescent="0.25">
      <c r="A17082" s="64" t="str">
        <f>HYPERLINK("http://www.twitter.com/miyabi_O2", "miyabi_O2")</f>
        <v>miyabi_O2</v>
      </c>
      <c r="B17082" s="65"/>
    </row>
    <row r="17083" spans="1:2" x14ac:dyDescent="0.25">
      <c r="A17083" s="64" t="str">
        <f>HYPERLINK("http://www.twitter.com/mituna05", "mituna05")</f>
        <v>mituna05</v>
      </c>
      <c r="B17083" s="65" t="s">
        <v>8951</v>
      </c>
    </row>
    <row r="17084" spans="1:2" x14ac:dyDescent="0.25">
      <c r="A17084" s="64" t="str">
        <f>HYPERLINK("http://www.twitter.com/momomomomontan", "momomomomontan")</f>
        <v>momomomomontan</v>
      </c>
      <c r="B17084" s="65"/>
    </row>
    <row r="17085" spans="1:2" x14ac:dyDescent="0.25">
      <c r="A17085" s="64" t="str">
        <f>HYPERLINK("http://www.twitter.com/king5pooh", "king5pooh")</f>
        <v>king5pooh</v>
      </c>
      <c r="B17085" s="65"/>
    </row>
    <row r="17086" spans="1:2" x14ac:dyDescent="0.25">
      <c r="A17086" s="64" t="str">
        <f>HYPERLINK("http://www.twitter.com/Beryl_MIst", "Beryl_MIst")</f>
        <v>Beryl_MIst</v>
      </c>
      <c r="B17086" s="65"/>
    </row>
    <row r="17087" spans="1:2" x14ac:dyDescent="0.25">
      <c r="A17087" s="64" t="str">
        <f>HYPERLINK("http://www.twitter.com/takkun139", "takkun139")</f>
        <v>takkun139</v>
      </c>
      <c r="B17087" s="65"/>
    </row>
    <row r="17088" spans="1:2" x14ac:dyDescent="0.25">
      <c r="A17088" s="64" t="str">
        <f>HYPERLINK("http://www.twitter.com/Antiwolf1", "Antiwolf1")</f>
        <v>Antiwolf1</v>
      </c>
      <c r="B17088" s="65"/>
    </row>
    <row r="17089" spans="1:2" x14ac:dyDescent="0.25">
      <c r="A17089" s="64" t="str">
        <f>HYPERLINK("http://www.twitter.com/uma1bou", "uma1bou")</f>
        <v>uma1bou</v>
      </c>
      <c r="B17089" s="65" t="s">
        <v>8952</v>
      </c>
    </row>
    <row r="17090" spans="1:2" x14ac:dyDescent="0.25">
      <c r="A17090" s="64" t="str">
        <f>HYPERLINK("http://www.twitter.com/motunabe0725", "motunabe0725")</f>
        <v>motunabe0725</v>
      </c>
      <c r="B17090" s="65"/>
    </row>
    <row r="17091" spans="1:2" x14ac:dyDescent="0.25">
      <c r="A17091" s="64" t="str">
        <f>HYPERLINK("http://www.twitter.com/rokusukerider", "rokusukerider")</f>
        <v>rokusukerider</v>
      </c>
      <c r="B17091" s="65"/>
    </row>
    <row r="17092" spans="1:2" x14ac:dyDescent="0.25">
      <c r="A17092" s="64" t="str">
        <f>HYPERLINK("http://www.twitter.com/kurako91", "kurako91")</f>
        <v>kurako91</v>
      </c>
      <c r="B17092" s="65"/>
    </row>
    <row r="17093" spans="1:2" x14ac:dyDescent="0.25">
      <c r="A17093" s="64" t="str">
        <f>HYPERLINK("http://www.twitter.com/oriku2", "oriku2")</f>
        <v>oriku2</v>
      </c>
      <c r="B17093" s="65"/>
    </row>
    <row r="17094" spans="1:2" x14ac:dyDescent="0.25">
      <c r="A17094" s="64" t="str">
        <f>HYPERLINK("http://www.twitter.com/gucchi_m", "gucchi_m")</f>
        <v>gucchi_m</v>
      </c>
      <c r="B17094" s="65"/>
    </row>
    <row r="17095" spans="1:2" x14ac:dyDescent="0.25">
      <c r="A17095" s="64" t="str">
        <f>HYPERLINK("http://www.twitter.com/hllLryshe", "hllLryshe")</f>
        <v>hllLryshe</v>
      </c>
      <c r="B17095" s="65"/>
    </row>
    <row r="17096" spans="1:2" x14ac:dyDescent="0.25">
      <c r="A17096" s="64" t="str">
        <f>HYPERLINK("http://www.twitter.com/ItokinMitchell", "ItokinMitchell")</f>
        <v>ItokinMitchell</v>
      </c>
      <c r="B17096" s="65" t="s">
        <v>8953</v>
      </c>
    </row>
    <row r="17097" spans="1:2" x14ac:dyDescent="0.25">
      <c r="A17097" s="64" t="str">
        <f>HYPERLINK("http://www.twitter.com/Coco_FLAT", "Coco_FLAT")</f>
        <v>Coco_FLAT</v>
      </c>
      <c r="B17097" s="65"/>
    </row>
    <row r="17098" spans="1:2" x14ac:dyDescent="0.25">
      <c r="A17098" s="64" t="str">
        <f>HYPERLINK("http://www.twitter.com/ooyuyuko", "ooyuyuko")</f>
        <v>ooyuyuko</v>
      </c>
      <c r="B17098" s="65"/>
    </row>
    <row r="17099" spans="1:2" x14ac:dyDescent="0.25">
      <c r="A17099" s="64" t="str">
        <f>HYPERLINK("http://www.twitter.com/hero_1213", "hero_1213")</f>
        <v>hero_1213</v>
      </c>
      <c r="B17099" s="65"/>
    </row>
    <row r="17100" spans="1:2" x14ac:dyDescent="0.25">
      <c r="A17100" s="64" t="str">
        <f>HYPERLINK("http://www.twitter.com/sieglinde33", "sieglinde33")</f>
        <v>sieglinde33</v>
      </c>
      <c r="B17100" s="65"/>
    </row>
    <row r="17101" spans="1:2" x14ac:dyDescent="0.25">
      <c r="A17101" s="64" t="str">
        <f>HYPERLINK("http://www.twitter.com/teketekedaiku", "teketekedaiku")</f>
        <v>teketekedaiku</v>
      </c>
      <c r="B17101" s="65"/>
    </row>
    <row r="17102" spans="1:2" x14ac:dyDescent="0.25">
      <c r="A17102" s="64" t="str">
        <f>HYPERLINK("http://www.twitter.com/treeclassic", "treeclassic")</f>
        <v>treeclassic</v>
      </c>
      <c r="B17102" s="65"/>
    </row>
    <row r="17103" spans="1:2" x14ac:dyDescent="0.25">
      <c r="A17103" s="64" t="str">
        <f>HYPERLINK("http://www.twitter.com/seruro111", "seruro111")</f>
        <v>seruro111</v>
      </c>
      <c r="B17103" s="65"/>
    </row>
    <row r="17104" spans="1:2" x14ac:dyDescent="0.25">
      <c r="A17104" s="64" t="str">
        <f>HYPERLINK("http://www.twitter.com/OnlyNippon", "OnlyNippon")</f>
        <v>OnlyNippon</v>
      </c>
      <c r="B17104" s="65"/>
    </row>
    <row r="17105" spans="1:2" x14ac:dyDescent="0.25">
      <c r="A17105" s="64" t="str">
        <f>HYPERLINK("http://www.twitter.com/GIGAPATA", "GIGAPATA")</f>
        <v>GIGAPATA</v>
      </c>
      <c r="B17105" s="65" t="s">
        <v>8954</v>
      </c>
    </row>
    <row r="17106" spans="1:2" x14ac:dyDescent="0.25">
      <c r="A17106" s="64" t="str">
        <f>HYPERLINK("http://www.twitter.com/matto0829", "matto0829")</f>
        <v>matto0829</v>
      </c>
      <c r="B17106" s="65"/>
    </row>
    <row r="17107" spans="1:2" x14ac:dyDescent="0.25">
      <c r="A17107" s="64" t="str">
        <f>HYPERLINK("http://www.twitter.com/DRAGON_FANTASY", "DRAGON_FANTASY")</f>
        <v>DRAGON_FANTASY</v>
      </c>
      <c r="B17107" s="65"/>
    </row>
    <row r="17108" spans="1:2" x14ac:dyDescent="0.25">
      <c r="A17108" s="64" t="str">
        <f>HYPERLINK("http://www.twitter.com/_RTRL", "_RTRL")</f>
        <v>_RTRL</v>
      </c>
      <c r="B17108" s="65" t="s">
        <v>8955</v>
      </c>
    </row>
    <row r="17109" spans="1:2" x14ac:dyDescent="0.25">
      <c r="A17109" s="64" t="str">
        <f>HYPERLINK("http://www.twitter.com/Guran0000", "Guran0000")</f>
        <v>Guran0000</v>
      </c>
      <c r="B17109" s="65"/>
    </row>
    <row r="17110" spans="1:2" x14ac:dyDescent="0.25">
      <c r="A17110" s="64" t="str">
        <f>HYPERLINK("http://www.twitter.com/resuku0915", "resuku0915")</f>
        <v>resuku0915</v>
      </c>
      <c r="B17110" s="65" t="s">
        <v>8956</v>
      </c>
    </row>
    <row r="17111" spans="1:2" x14ac:dyDescent="0.25">
      <c r="A17111" s="64" t="str">
        <f>HYPERLINK("http://www.twitter.com/norio300", "norio300")</f>
        <v>norio300</v>
      </c>
      <c r="B17111" s="65"/>
    </row>
    <row r="17112" spans="1:2" x14ac:dyDescent="0.25">
      <c r="A17112" s="64" t="str">
        <f>HYPERLINK("http://www.twitter.com/osamuagri", "osamuagri")</f>
        <v>osamuagri</v>
      </c>
      <c r="B17112" s="65"/>
    </row>
    <row r="17113" spans="1:2" x14ac:dyDescent="0.25">
      <c r="A17113" s="64" t="str">
        <f>HYPERLINK("http://www.twitter.com/freedomxray", "freedomxray")</f>
        <v>freedomxray</v>
      </c>
      <c r="B17113" s="65"/>
    </row>
    <row r="17114" spans="1:2" x14ac:dyDescent="0.25">
      <c r="A17114" s="64" t="str">
        <f>HYPERLINK("http://www.twitter.com/Zerostyle01", "Zerostyle01")</f>
        <v>Zerostyle01</v>
      </c>
      <c r="B17114" s="65"/>
    </row>
    <row r="17115" spans="1:2" x14ac:dyDescent="0.25">
      <c r="A17115" s="64" t="str">
        <f>HYPERLINK("http://www.twitter.com/takashi1009", "takashi1009")</f>
        <v>takashi1009</v>
      </c>
      <c r="B17115" s="65"/>
    </row>
    <row r="17116" spans="1:2" x14ac:dyDescent="0.25">
      <c r="A17116" s="64" t="str">
        <f>HYPERLINK("http://www.twitter.com/hiro81180000", "hiro81180000")</f>
        <v>hiro81180000</v>
      </c>
      <c r="B17116" s="65"/>
    </row>
    <row r="17117" spans="1:2" x14ac:dyDescent="0.25">
      <c r="A17117" s="64" t="str">
        <f>HYPERLINK("http://www.twitter.com/naosan1123", "naosan1123")</f>
        <v>naosan1123</v>
      </c>
      <c r="B17117" s="65"/>
    </row>
    <row r="17118" spans="1:2" x14ac:dyDescent="0.25">
      <c r="A17118" s="64" t="str">
        <f>HYPERLINK("http://www.twitter.com/McD_bot", "McD_bot")</f>
        <v>McD_bot</v>
      </c>
      <c r="B17118" s="65" t="s">
        <v>8957</v>
      </c>
    </row>
    <row r="17119" spans="1:2" x14ac:dyDescent="0.25">
      <c r="A17119" s="64" t="str">
        <f>HYPERLINK("http://www.twitter.com/pyu5", "pyu5")</f>
        <v>pyu5</v>
      </c>
      <c r="B17119" s="65"/>
    </row>
    <row r="17120" spans="1:2" x14ac:dyDescent="0.25">
      <c r="A17120" s="64" t="str">
        <f>HYPERLINK("http://www.twitter.com/mahuyu6617", "mahuyu6617")</f>
        <v>mahuyu6617</v>
      </c>
      <c r="B17120" s="65"/>
    </row>
    <row r="17121" spans="1:2" x14ac:dyDescent="0.25">
      <c r="A17121" s="64" t="str">
        <f>HYPERLINK("http://www.twitter.com/siweruwe", "siweruwe")</f>
        <v>siweruwe</v>
      </c>
      <c r="B17121" s="65"/>
    </row>
    <row r="17122" spans="1:2" x14ac:dyDescent="0.25">
      <c r="A17122" s="64" t="str">
        <f>HYPERLINK("http://www.twitter.com/marketing731", "marketing731")</f>
        <v>marketing731</v>
      </c>
      <c r="B17122" s="65"/>
    </row>
    <row r="17123" spans="1:2" x14ac:dyDescent="0.25">
      <c r="A17123" s="64" t="str">
        <f>HYPERLINK("http://www.twitter.com/unknown2943", "unknown2943")</f>
        <v>unknown2943</v>
      </c>
      <c r="B17123" s="65"/>
    </row>
    <row r="17124" spans="1:2" x14ac:dyDescent="0.25">
      <c r="A17124" s="64" t="str">
        <f>HYPERLINK("http://www.twitter.com/mio_yuto_papa", "mio_yuto_papa")</f>
        <v>mio_yuto_papa</v>
      </c>
      <c r="B17124" s="65"/>
    </row>
    <row r="17125" spans="1:2" x14ac:dyDescent="0.25">
      <c r="A17125" s="64" t="str">
        <f>HYPERLINK("http://www.twitter.com/take50391621", "take50391621")</f>
        <v>take50391621</v>
      </c>
      <c r="B17125" s="65"/>
    </row>
    <row r="17126" spans="1:2" x14ac:dyDescent="0.25">
      <c r="A17126" s="64" t="str">
        <f>HYPERLINK("http://www.twitter.com/whitelove234", "whitelove234")</f>
        <v>whitelove234</v>
      </c>
      <c r="B17126" s="65"/>
    </row>
    <row r="17127" spans="1:2" x14ac:dyDescent="0.25">
      <c r="A17127" s="64" t="str">
        <f>HYPERLINK("http://www.twitter.com/hurusatoda", "hurusatoda")</f>
        <v>hurusatoda</v>
      </c>
      <c r="B17127" s="65"/>
    </row>
    <row r="17128" spans="1:2" x14ac:dyDescent="0.25">
      <c r="A17128" s="64" t="str">
        <f>HYPERLINK("http://www.twitter.com/smallsmall3", "smallsmall3")</f>
        <v>smallsmall3</v>
      </c>
      <c r="B17128" s="65"/>
    </row>
    <row r="17129" spans="1:2" x14ac:dyDescent="0.25">
      <c r="A17129" s="64" t="str">
        <f>HYPERLINK("http://www.twitter.com/ippei_entotu", "ippei_entotu")</f>
        <v>ippei_entotu</v>
      </c>
      <c r="B17129" s="65"/>
    </row>
    <row r="17130" spans="1:2" x14ac:dyDescent="0.25">
      <c r="A17130" s="64" t="str">
        <f>HYPERLINK("http://www.twitter.com/headtherapy", "headtherapy")</f>
        <v>headtherapy</v>
      </c>
      <c r="B17130" s="65"/>
    </row>
    <row r="17131" spans="1:2" x14ac:dyDescent="0.25">
      <c r="A17131" s="64" t="str">
        <f>HYPERLINK("http://www.twitter.com/C0h1i2k2aaaaaaa", "C0h1i2k2aaaaaaa")</f>
        <v>C0h1i2k2aaaaaaa</v>
      </c>
      <c r="B17131" s="65"/>
    </row>
    <row r="17132" spans="1:2" x14ac:dyDescent="0.25">
      <c r="A17132" s="64" t="str">
        <f>HYPERLINK("http://www.twitter.com/mnnargtu5jc", "mnnargtu5jc")</f>
        <v>mnnargtu5jc</v>
      </c>
      <c r="B17132" s="65"/>
    </row>
    <row r="17133" spans="1:2" x14ac:dyDescent="0.25">
      <c r="A17133" s="64" t="str">
        <f>HYPERLINK("http://www.twitter.com/KeiM72", "KeiM72")</f>
        <v>KeiM72</v>
      </c>
      <c r="B17133" s="65"/>
    </row>
    <row r="17134" spans="1:2" x14ac:dyDescent="0.25">
      <c r="A17134" s="64" t="str">
        <f>HYPERLINK("http://www.twitter.com/AileenMcHarg", "AileenMcHarg")</f>
        <v>AileenMcHarg</v>
      </c>
      <c r="B17134" s="65" t="s">
        <v>517</v>
      </c>
    </row>
    <row r="17135" spans="1:2" x14ac:dyDescent="0.25">
      <c r="A17135" s="64" t="str">
        <f>HYPERLINK("http://www.twitter.com/Armpit2525", "Armpit2525")</f>
        <v>Armpit2525</v>
      </c>
      <c r="B17135" s="65" t="s">
        <v>8958</v>
      </c>
    </row>
    <row r="17136" spans="1:2" x14ac:dyDescent="0.25">
      <c r="A17136" s="64" t="str">
        <f>HYPERLINK("http://www.twitter.com/a_chantherapist", "a_chantherapist")</f>
        <v>a_chantherapist</v>
      </c>
      <c r="B17136" s="65" t="s">
        <v>8959</v>
      </c>
    </row>
    <row r="17137" spans="1:2" x14ac:dyDescent="0.25">
      <c r="A17137" s="64" t="str">
        <f>HYPERLINK("http://www.twitter.com/sell_fish_kyoto", "sell_fish_kyoto")</f>
        <v>sell_fish_kyoto</v>
      </c>
      <c r="B17137" s="65"/>
    </row>
    <row r="17138" spans="1:2" x14ac:dyDescent="0.25">
      <c r="A17138" s="64" t="str">
        <f>HYPERLINK("http://www.twitter.com/crash_me101", "crash_me101")</f>
        <v>crash_me101</v>
      </c>
      <c r="B17138" s="65"/>
    </row>
    <row r="17139" spans="1:2" x14ac:dyDescent="0.25">
      <c r="A17139" s="64" t="str">
        <f>HYPERLINK("http://www.twitter.com/dokumo_tv_kana", "dokumo_tv_kana")</f>
        <v>dokumo_tv_kana</v>
      </c>
      <c r="B17139" s="65"/>
    </row>
    <row r="17140" spans="1:2" x14ac:dyDescent="0.25">
      <c r="A17140" s="64" t="str">
        <f>HYPERLINK("http://www.twitter.com/mimN5hZz1GhbH8A", "mimN5hZz1GhbH8A")</f>
        <v>mimN5hZz1GhbH8A</v>
      </c>
      <c r="B17140" s="65"/>
    </row>
    <row r="17141" spans="1:2" x14ac:dyDescent="0.25">
      <c r="A17141" s="64" t="str">
        <f>HYPERLINK("http://www.twitter.com/ugi0818", "ugi0818")</f>
        <v>ugi0818</v>
      </c>
      <c r="B17141" s="65"/>
    </row>
    <row r="17142" spans="1:2" x14ac:dyDescent="0.25">
      <c r="A17142" s="64" t="str">
        <f>HYPERLINK("http://www.twitter.com/nobumu", "nobumu")</f>
        <v>nobumu</v>
      </c>
      <c r="B17142" s="65"/>
    </row>
    <row r="17143" spans="1:2" x14ac:dyDescent="0.25">
      <c r="A17143" s="64" t="str">
        <f>HYPERLINK("http://www.twitter.com/pinko0318", "pinko0318")</f>
        <v>pinko0318</v>
      </c>
      <c r="B17143" s="65"/>
    </row>
    <row r="17144" spans="1:2" x14ac:dyDescent="0.25">
      <c r="A17144" s="64" t="str">
        <f>HYPERLINK("http://www.twitter.com/yoyo_000000", "yoyo_000000")</f>
        <v>yoyo_000000</v>
      </c>
      <c r="B17144" s="65"/>
    </row>
    <row r="17145" spans="1:2" x14ac:dyDescent="0.25">
      <c r="A17145" s="64" t="str">
        <f>HYPERLINK("http://www.twitter.com/MarkAlmond5", "MarkAlmond5")</f>
        <v>MarkAlmond5</v>
      </c>
      <c r="B17145" s="65" t="s">
        <v>6157</v>
      </c>
    </row>
    <row r="17146" spans="1:2" x14ac:dyDescent="0.25">
      <c r="A17146" s="64" t="str">
        <f>HYPERLINK("http://www.twitter.com/ttt13go", "ttt13go")</f>
        <v>ttt13go</v>
      </c>
      <c r="B17146" s="65"/>
    </row>
    <row r="17147" spans="1:2" x14ac:dyDescent="0.25">
      <c r="A17147" s="64" t="str">
        <f>HYPERLINK("http://www.twitter.com/trendrank1", "trendrank1")</f>
        <v>trendrank1</v>
      </c>
      <c r="B17147" s="65"/>
    </row>
    <row r="17148" spans="1:2" x14ac:dyDescent="0.25">
      <c r="A17148" s="64" t="str">
        <f>HYPERLINK("http://www.twitter.com/blackimok", "blackimok")</f>
        <v>blackimok</v>
      </c>
      <c r="B17148" s="65"/>
    </row>
    <row r="17149" spans="1:2" x14ac:dyDescent="0.25">
      <c r="A17149" s="64" t="str">
        <f>HYPERLINK("http://www.twitter.com/punchperm01", "punchperm01")</f>
        <v>punchperm01</v>
      </c>
      <c r="B17149" s="65"/>
    </row>
    <row r="17150" spans="1:2" x14ac:dyDescent="0.25">
      <c r="A17150" s="64" t="str">
        <f>HYPERLINK("http://www.twitter.com/mjkhgflk11", "mjkhgflk11")</f>
        <v>mjkhgflk11</v>
      </c>
      <c r="B17150" s="65"/>
    </row>
    <row r="17151" spans="1:2" x14ac:dyDescent="0.25">
      <c r="A17151" s="64" t="str">
        <f>HYPERLINK("http://www.twitter.com/exdchg", "exdchg")</f>
        <v>exdchg</v>
      </c>
      <c r="B17151" s="65"/>
    </row>
    <row r="17152" spans="1:2" x14ac:dyDescent="0.25">
      <c r="A17152" s="64" t="str">
        <f>HYPERLINK("http://www.twitter.com/seven_1023", "seven_1023")</f>
        <v>seven_1023</v>
      </c>
      <c r="B17152" s="65"/>
    </row>
    <row r="17153" spans="1:2" x14ac:dyDescent="0.25">
      <c r="A17153" s="64" t="str">
        <f>HYPERLINK("http://www.twitter.com/konekobuta", "konekobuta")</f>
        <v>konekobuta</v>
      </c>
      <c r="B17153" s="65"/>
    </row>
    <row r="17154" spans="1:2" x14ac:dyDescent="0.25">
      <c r="A17154" s="64" t="str">
        <f>HYPERLINK("http://www.twitter.com/gtgtgt66h6y", "gtgtgt66h6y")</f>
        <v>gtgtgt66h6y</v>
      </c>
      <c r="B17154" s="65"/>
    </row>
    <row r="17155" spans="1:2" x14ac:dyDescent="0.25">
      <c r="A17155" s="64" t="str">
        <f>HYPERLINK("http://www.twitter.com/meto5ba", "meto5ba")</f>
        <v>meto5ba</v>
      </c>
      <c r="B17155" s="65"/>
    </row>
    <row r="17156" spans="1:2" x14ac:dyDescent="0.25">
      <c r="A17156" s="64" t="str">
        <f>HYPERLINK("http://www.twitter.com/english0813", "english0813")</f>
        <v>english0813</v>
      </c>
      <c r="B17156" s="65" t="s">
        <v>8960</v>
      </c>
    </row>
    <row r="17157" spans="1:2" x14ac:dyDescent="0.25">
      <c r="A17157" s="64" t="str">
        <f>HYPERLINK("http://www.twitter.com/cdfvbdf111", "cdfvbdf111")</f>
        <v>cdfvbdf111</v>
      </c>
      <c r="B17157" s="65"/>
    </row>
    <row r="17158" spans="1:2" x14ac:dyDescent="0.25">
      <c r="A17158" s="64" t="str">
        <f>HYPERLINK("http://www.twitter.com/JUNKOFUJIEDA", "JUNKOFUJIEDA")</f>
        <v>JUNKOFUJIEDA</v>
      </c>
      <c r="B17158" s="65" t="s">
        <v>8961</v>
      </c>
    </row>
    <row r="17159" spans="1:2" x14ac:dyDescent="0.25">
      <c r="A17159" s="64" t="str">
        <f>HYPERLINK("http://www.twitter.com/saoritoko", "saoritoko")</f>
        <v>saoritoko</v>
      </c>
      <c r="B17159" s="65"/>
    </row>
    <row r="17160" spans="1:2" x14ac:dyDescent="0.25">
      <c r="A17160" s="64" t="str">
        <f>HYPERLINK("http://www.twitter.com/hanryuaffiri", "hanryuaffiri")</f>
        <v>hanryuaffiri</v>
      </c>
      <c r="B17160" s="65" t="s">
        <v>8962</v>
      </c>
    </row>
    <row r="17161" spans="1:2" x14ac:dyDescent="0.25">
      <c r="A17161" s="64" t="str">
        <f>HYPERLINK("http://www.twitter.com/hmazine", "hmazine")</f>
        <v>hmazine</v>
      </c>
      <c r="B17161" s="65"/>
    </row>
    <row r="17162" spans="1:2" x14ac:dyDescent="0.25">
      <c r="A17162" s="64" t="str">
        <f>HYPERLINK("http://www.twitter.com/inastro77", "inastro77")</f>
        <v>inastro77</v>
      </c>
      <c r="B17162" s="65" t="s">
        <v>8963</v>
      </c>
    </row>
    <row r="17163" spans="1:2" x14ac:dyDescent="0.25">
      <c r="A17163" s="64" t="str">
        <f>HYPERLINK("http://www.twitter.com/tkg__s", "tkg__s")</f>
        <v>tkg__s</v>
      </c>
      <c r="B17163" s="65"/>
    </row>
    <row r="17164" spans="1:2" x14ac:dyDescent="0.25">
      <c r="A17164" s="64" t="str">
        <f>HYPERLINK("http://www.twitter.com/mikoi49", "mikoi49")</f>
        <v>mikoi49</v>
      </c>
      <c r="B17164" s="65"/>
    </row>
    <row r="17165" spans="1:2" x14ac:dyDescent="0.25">
      <c r="A17165" s="64" t="str">
        <f>HYPERLINK("http://www.twitter.com/aaaball222", "aaaball222")</f>
        <v>aaaball222</v>
      </c>
      <c r="B17165" s="65"/>
    </row>
    <row r="17166" spans="1:2" x14ac:dyDescent="0.25">
      <c r="A17166" s="64" t="str">
        <f>HYPERLINK("http://www.twitter.com/kimmib1989", "kimmib1989")</f>
        <v>kimmib1989</v>
      </c>
      <c r="B17166" s="65"/>
    </row>
    <row r="17167" spans="1:2" x14ac:dyDescent="0.25">
      <c r="A17167" s="64" t="str">
        <f>HYPERLINK("http://www.twitter.com/sugar310t", "sugar310t")</f>
        <v>sugar310t</v>
      </c>
      <c r="B17167" s="65" t="s">
        <v>8964</v>
      </c>
    </row>
    <row r="17168" spans="1:2" x14ac:dyDescent="0.25">
      <c r="A17168" s="64" t="str">
        <f>HYPERLINK("http://www.twitter.com/u7t5c5vd", "u7t5c5vd")</f>
        <v>u7t5c5vd</v>
      </c>
      <c r="B17168" s="65"/>
    </row>
    <row r="17169" spans="1:2" x14ac:dyDescent="0.25">
      <c r="A17169" s="64" t="str">
        <f>HYPERLINK("http://www.twitter.com/sakusakku", "sakusakku")</f>
        <v>sakusakku</v>
      </c>
      <c r="B17169" s="65"/>
    </row>
    <row r="17170" spans="1:2" x14ac:dyDescent="0.25">
      <c r="A17170" s="64" t="str">
        <f>HYPERLINK("http://www.twitter.com/sasa33asia", "sasa33asia")</f>
        <v>sasa33asia</v>
      </c>
      <c r="B17170" s="65"/>
    </row>
    <row r="17171" spans="1:2" x14ac:dyDescent="0.25">
      <c r="A17171" s="64" t="str">
        <f>HYPERLINK("http://www.twitter.com/Bookworm_one", "Bookworm_one")</f>
        <v>Bookworm_one</v>
      </c>
      <c r="B17171" s="65"/>
    </row>
    <row r="17172" spans="1:2" x14ac:dyDescent="0.25">
      <c r="A17172" s="64" t="str">
        <f>HYPERLINK("http://www.twitter.com/chiari0121", "chiari0121")</f>
        <v>chiari0121</v>
      </c>
      <c r="B17172" s="65" t="s">
        <v>8965</v>
      </c>
    </row>
    <row r="17173" spans="1:2" x14ac:dyDescent="0.25">
      <c r="A17173" s="64" t="str">
        <f>HYPERLINK("http://www.twitter.com/yoshimicoffee", "yoshimicoffee")</f>
        <v>yoshimicoffee</v>
      </c>
      <c r="B17173" s="65" t="s">
        <v>8966</v>
      </c>
    </row>
    <row r="17174" spans="1:2" x14ac:dyDescent="0.25">
      <c r="A17174" s="64" t="str">
        <f>HYPERLINK("http://www.twitter.com/aneri0528", "aneri0528")</f>
        <v>aneri0528</v>
      </c>
      <c r="B17174" s="65"/>
    </row>
    <row r="17175" spans="1:2" x14ac:dyDescent="0.25">
      <c r="A17175" s="64" t="str">
        <f>HYPERLINK("http://www.twitter.com/minitaminita", "minitaminita")</f>
        <v>minitaminita</v>
      </c>
      <c r="B17175" s="65"/>
    </row>
    <row r="17176" spans="1:2" x14ac:dyDescent="0.25">
      <c r="A17176" s="64" t="str">
        <f>HYPERLINK("http://www.twitter.com/kimunamujinn", "kimunamujinn")</f>
        <v>kimunamujinn</v>
      </c>
      <c r="B17176" s="65" t="s">
        <v>8967</v>
      </c>
    </row>
    <row r="17177" spans="1:2" x14ac:dyDescent="0.25">
      <c r="A17177" s="64" t="str">
        <f>HYPERLINK("http://www.twitter.com/minnstop", "minnstop")</f>
        <v>minnstop</v>
      </c>
      <c r="B17177" s="65"/>
    </row>
    <row r="17178" spans="1:2" x14ac:dyDescent="0.25">
      <c r="A17178" s="64" t="str">
        <f>HYPERLINK("http://www.twitter.com/hitotsunokokoro", "hitotsunokokoro")</f>
        <v>hitotsunokokoro</v>
      </c>
      <c r="B17178" s="65" t="s">
        <v>8968</v>
      </c>
    </row>
    <row r="17179" spans="1:2" x14ac:dyDescent="0.25">
      <c r="A17179" s="64" t="str">
        <f>HYPERLINK("http://www.twitter.com/mitsukin24", "mitsukin24")</f>
        <v>mitsukin24</v>
      </c>
      <c r="B17179" s="65"/>
    </row>
    <row r="17180" spans="1:2" x14ac:dyDescent="0.25">
      <c r="A17180" s="64" t="str">
        <f>HYPERLINK("http://www.twitter.com/shellbule", "shellbule")</f>
        <v>shellbule</v>
      </c>
      <c r="B17180" s="65"/>
    </row>
    <row r="17181" spans="1:2" x14ac:dyDescent="0.25">
      <c r="A17181" s="64" t="str">
        <f>HYPERLINK("http://www.twitter.com/yopix22", "yopix22")</f>
        <v>yopix22</v>
      </c>
      <c r="B17181" s="65"/>
    </row>
    <row r="17182" spans="1:2" x14ac:dyDescent="0.25">
      <c r="A17182" s="64" t="str">
        <f>HYPERLINK("http://www.twitter.com/ReNa916", "ReNa916")</f>
        <v>ReNa916</v>
      </c>
      <c r="B17182" s="65"/>
    </row>
    <row r="17183" spans="1:2" x14ac:dyDescent="0.25">
      <c r="A17183" s="64" t="str">
        <f>HYPERLINK("http://www.twitter.com/takumi4151", "takumi4151")</f>
        <v>takumi4151</v>
      </c>
      <c r="B17183" s="65"/>
    </row>
    <row r="17184" spans="1:2" x14ac:dyDescent="0.25">
      <c r="A17184" s="64" t="str">
        <f>HYPERLINK("http://www.twitter.com/manahi0925", "manahi0925")</f>
        <v>manahi0925</v>
      </c>
      <c r="B17184" s="65"/>
    </row>
    <row r="17185" spans="1:2" x14ac:dyDescent="0.25">
      <c r="A17185" s="64" t="str">
        <f>HYPERLINK("http://www.twitter.com/GillespieRobbie", "GillespieRobbie")</f>
        <v>GillespieRobbie</v>
      </c>
      <c r="B17185" s="65" t="s">
        <v>20</v>
      </c>
    </row>
    <row r="17186" spans="1:2" x14ac:dyDescent="0.25">
      <c r="A17186" s="64" t="str">
        <f>HYPERLINK("http://www.twitter.com/taiyougenki", "taiyougenki")</f>
        <v>taiyougenki</v>
      </c>
      <c r="B17186" s="65"/>
    </row>
    <row r="17187" spans="1:2" x14ac:dyDescent="0.25">
      <c r="A17187" s="64" t="str">
        <f>HYPERLINK("http://www.twitter.com/cosmos_endress", "cosmos_endress")</f>
        <v>cosmos_endress</v>
      </c>
      <c r="B17187" s="65" t="s">
        <v>8969</v>
      </c>
    </row>
    <row r="17188" spans="1:2" x14ac:dyDescent="0.25">
      <c r="A17188" s="64" t="str">
        <f>HYPERLINK("http://www.twitter.com/aiam29", "aiam29")</f>
        <v>aiam29</v>
      </c>
      <c r="B17188" s="65"/>
    </row>
    <row r="17189" spans="1:2" x14ac:dyDescent="0.25">
      <c r="A17189" s="64" t="str">
        <f>HYPERLINK("http://www.twitter.com/mity0319", "mity0319")</f>
        <v>mity0319</v>
      </c>
      <c r="B17189" s="65"/>
    </row>
    <row r="17190" spans="1:2" x14ac:dyDescent="0.25">
      <c r="A17190" s="64" t="str">
        <f>HYPERLINK("http://www.twitter.com/satonyan3104", "satonyan3104")</f>
        <v>satonyan3104</v>
      </c>
      <c r="B17190" s="65"/>
    </row>
    <row r="17191" spans="1:2" x14ac:dyDescent="0.25">
      <c r="A17191" s="64" t="str">
        <f>HYPERLINK("http://www.twitter.com/momoxoxonico", "momoxoxonico")</f>
        <v>momoxoxonico</v>
      </c>
      <c r="B17191" s="65"/>
    </row>
    <row r="17192" spans="1:2" x14ac:dyDescent="0.25">
      <c r="A17192" s="64" t="str">
        <f>HYPERLINK("http://www.twitter.com/x15256", "x15256")</f>
        <v>x15256</v>
      </c>
      <c r="B17192" s="65"/>
    </row>
    <row r="17193" spans="1:2" x14ac:dyDescent="0.25">
      <c r="A17193" s="64" t="str">
        <f>HYPERLINK("http://www.twitter.com/ElenaMorrison1", "ElenaMorrison1")</f>
        <v>ElenaMorrison1</v>
      </c>
      <c r="B17193" s="65"/>
    </row>
    <row r="17194" spans="1:2" x14ac:dyDescent="0.25">
      <c r="A17194" s="64" t="str">
        <f>HYPERLINK("http://www.twitter.com/nickem_", "nickem_")</f>
        <v>nickem_</v>
      </c>
      <c r="B17194" s="65" t="s">
        <v>8970</v>
      </c>
    </row>
    <row r="17195" spans="1:2" x14ac:dyDescent="0.25">
      <c r="A17195" s="64" t="str">
        <f>HYPERLINK("http://www.twitter.com/maltesechoco", "maltesechoco")</f>
        <v>maltesechoco</v>
      </c>
      <c r="B17195" s="65"/>
    </row>
    <row r="17196" spans="1:2" x14ac:dyDescent="0.25">
      <c r="A17196" s="64" t="str">
        <f>HYPERLINK("http://www.twitter.com/RyHawkinsWrites", "RyHawkinsWrites")</f>
        <v>RyHawkinsWrites</v>
      </c>
      <c r="B17196" s="65" t="s">
        <v>8971</v>
      </c>
    </row>
    <row r="17197" spans="1:2" x14ac:dyDescent="0.25">
      <c r="A17197" s="64" t="str">
        <f>HYPERLINK("http://www.twitter.com/DrydenElLibrary", "DrydenElLibrary")</f>
        <v>DrydenElLibrary</v>
      </c>
      <c r="B17197" s="65" t="s">
        <v>8972</v>
      </c>
    </row>
    <row r="17198" spans="1:2" x14ac:dyDescent="0.25">
      <c r="A17198" s="64" t="str">
        <f>HYPERLINK("http://www.twitter.com/infoinfoinfo1", "infoinfoinfo1")</f>
        <v>infoinfoinfo1</v>
      </c>
      <c r="B17198" s="65"/>
    </row>
    <row r="17199" spans="1:2" x14ac:dyDescent="0.25">
      <c r="A17199" s="64" t="str">
        <f>HYPERLINK("http://www.twitter.com/TheBookFarmInc", "TheBookFarmInc")</f>
        <v>TheBookFarmInc</v>
      </c>
      <c r="B17199" s="65" t="s">
        <v>8973</v>
      </c>
    </row>
    <row r="17200" spans="1:2" x14ac:dyDescent="0.25">
      <c r="A17200" s="64" t="str">
        <f>HYPERLINK("http://www.twitter.com/age051019", "age051019")</f>
        <v>age051019</v>
      </c>
      <c r="B17200" s="65"/>
    </row>
    <row r="17201" spans="1:2" x14ac:dyDescent="0.25">
      <c r="A17201" s="64" t="str">
        <f>HYPERLINK("http://www.twitter.com/yosikazu2691", "yosikazu2691")</f>
        <v>yosikazu2691</v>
      </c>
      <c r="B17201" s="65"/>
    </row>
    <row r="17202" spans="1:2" x14ac:dyDescent="0.25">
      <c r="A17202" s="64" t="str">
        <f>HYPERLINK("http://www.twitter.com/ryomama10310713", "ryomama10310713")</f>
        <v>ryomama10310713</v>
      </c>
      <c r="B17202" s="65" t="s">
        <v>8967</v>
      </c>
    </row>
    <row r="17203" spans="1:2" x14ac:dyDescent="0.25">
      <c r="A17203" s="64" t="str">
        <f>HYPERLINK("http://www.twitter.com/gurihulon_matud", "gurihulon_matud")</f>
        <v>gurihulon_matud</v>
      </c>
      <c r="B17203" s="65"/>
    </row>
    <row r="17204" spans="1:2" x14ac:dyDescent="0.25">
      <c r="A17204" s="64" t="str">
        <f>HYPERLINK("http://www.twitter.com/uran56478", "uran56478")</f>
        <v>uran56478</v>
      </c>
      <c r="B17204" s="65"/>
    </row>
    <row r="17205" spans="1:2" x14ac:dyDescent="0.25">
      <c r="A17205" s="64" t="str">
        <f>HYPERLINK("http://www.twitter.com/fmryo", "fmryo")</f>
        <v>fmryo</v>
      </c>
      <c r="B17205" s="65" t="s">
        <v>8950</v>
      </c>
    </row>
    <row r="17206" spans="1:2" x14ac:dyDescent="0.25">
      <c r="A17206" s="64" t="str">
        <f>HYPERLINK("http://www.twitter.com/digiscot", "digiscot")</f>
        <v>digiscot</v>
      </c>
      <c r="B17206" s="65" t="s">
        <v>517</v>
      </c>
    </row>
    <row r="17207" spans="1:2" x14ac:dyDescent="0.25">
      <c r="A17207" s="64" t="str">
        <f>HYPERLINK("http://www.twitter.com/LibraryBusUK", "LibraryBusUK")</f>
        <v>LibraryBusUK</v>
      </c>
      <c r="B17207" s="65" t="s">
        <v>296</v>
      </c>
    </row>
    <row r="17208" spans="1:2" x14ac:dyDescent="0.25">
      <c r="A17208" s="64" t="str">
        <f>HYPERLINK("http://www.twitter.com/ntcyc377", "ntcyc377")</f>
        <v>ntcyc377</v>
      </c>
      <c r="B17208" s="65"/>
    </row>
    <row r="17209" spans="1:2" x14ac:dyDescent="0.25">
      <c r="A17209" s="64" t="str">
        <f>HYPERLINK("http://www.twitter.com/priscillanlan", "priscillanlan")</f>
        <v>priscillanlan</v>
      </c>
      <c r="B17209" s="65" t="s">
        <v>8974</v>
      </c>
    </row>
    <row r="17210" spans="1:2" x14ac:dyDescent="0.25">
      <c r="A17210" s="64" t="str">
        <f>HYPERLINK("http://www.twitter.com/tagat4", "tagat4")</f>
        <v>tagat4</v>
      </c>
      <c r="B17210" s="65"/>
    </row>
    <row r="17211" spans="1:2" x14ac:dyDescent="0.25">
      <c r="A17211" s="64" t="str">
        <f>HYPERLINK("http://www.twitter.com/heaven2525", "heaven2525")</f>
        <v>heaven2525</v>
      </c>
      <c r="B17211" s="65"/>
    </row>
    <row r="17212" spans="1:2" x14ac:dyDescent="0.25">
      <c r="A17212" s="64" t="str">
        <f>HYPERLINK("http://www.twitter.com/konettosann", "konettosann")</f>
        <v>konettosann</v>
      </c>
      <c r="B17212" s="65"/>
    </row>
    <row r="17213" spans="1:2" x14ac:dyDescent="0.25">
      <c r="A17213" s="64" t="str">
        <f>HYPERLINK("http://www.twitter.com/happyniiko", "happyniiko")</f>
        <v>happyniiko</v>
      </c>
      <c r="B17213" s="65"/>
    </row>
    <row r="17214" spans="1:2" x14ac:dyDescent="0.25">
      <c r="A17214" s="64" t="str">
        <f>HYPERLINK("http://www.twitter.com/texasnog", "texasnog")</f>
        <v>texasnog</v>
      </c>
      <c r="B17214" s="65"/>
    </row>
    <row r="17215" spans="1:2" x14ac:dyDescent="0.25">
      <c r="A17215" s="64" t="str">
        <f>HYPERLINK("http://www.twitter.com/shikikai", "shikikai")</f>
        <v>shikikai</v>
      </c>
      <c r="B17215" s="65"/>
    </row>
    <row r="17216" spans="1:2" x14ac:dyDescent="0.25">
      <c r="A17216" s="64" t="str">
        <f>HYPERLINK("http://www.twitter.com/teru1192", "teru1192")</f>
        <v>teru1192</v>
      </c>
      <c r="B17216" s="65"/>
    </row>
    <row r="17217" spans="1:2" x14ac:dyDescent="0.25">
      <c r="A17217" s="64" t="str">
        <f>HYPERLINK("http://www.twitter.com/000dewey", "000dewey")</f>
        <v>000dewey</v>
      </c>
      <c r="B17217" s="65"/>
    </row>
    <row r="17218" spans="1:2" x14ac:dyDescent="0.25">
      <c r="A17218" s="64" t="str">
        <f>HYPERLINK("http://www.twitter.com/nagae7iku", "nagae7iku")</f>
        <v>nagae7iku</v>
      </c>
      <c r="B17218" s="65"/>
    </row>
    <row r="17219" spans="1:2" x14ac:dyDescent="0.25">
      <c r="A17219" s="64" t="str">
        <f>HYPERLINK("http://www.twitter.com/aokagekun", "aokagekun")</f>
        <v>aokagekun</v>
      </c>
      <c r="B17219" s="65"/>
    </row>
    <row r="17220" spans="1:2" x14ac:dyDescent="0.25">
      <c r="A17220" s="64" t="str">
        <f>HYPERLINK("http://www.twitter.com/livmuses", "livmuses")</f>
        <v>livmuses</v>
      </c>
      <c r="B17220" s="65"/>
    </row>
    <row r="17221" spans="1:2" x14ac:dyDescent="0.25">
      <c r="A17221" s="64" t="str">
        <f>HYPERLINK("http://www.twitter.com/sei_yuri", "sei_yuri")</f>
        <v>sei_yuri</v>
      </c>
      <c r="B17221" s="65"/>
    </row>
    <row r="17222" spans="1:2" x14ac:dyDescent="0.25">
      <c r="A17222" s="64" t="str">
        <f>HYPERLINK("http://www.twitter.com/gundampiyo", "gundampiyo")</f>
        <v>gundampiyo</v>
      </c>
      <c r="B17222" s="65"/>
    </row>
    <row r="17223" spans="1:2" x14ac:dyDescent="0.25">
      <c r="A17223" s="64" t="str">
        <f>HYPERLINK("http://www.twitter.com/yachiroh", "yachiroh")</f>
        <v>yachiroh</v>
      </c>
      <c r="B17223" s="65"/>
    </row>
    <row r="17224" spans="1:2" x14ac:dyDescent="0.25">
      <c r="A17224" s="64" t="str">
        <f>HYPERLINK("http://www.twitter.com/ohchem", "ohchem")</f>
        <v>ohchem</v>
      </c>
      <c r="B17224" s="65"/>
    </row>
    <row r="17225" spans="1:2" x14ac:dyDescent="0.25">
      <c r="A17225" s="64" t="str">
        <f>HYPERLINK("http://www.twitter.com/tuitatata", "tuitatata")</f>
        <v>tuitatata</v>
      </c>
      <c r="B17225" s="65"/>
    </row>
    <row r="17226" spans="1:2" x14ac:dyDescent="0.25">
      <c r="A17226" s="64" t="str">
        <f>HYPERLINK("http://www.twitter.com/ABF_Souya", "ABF_Souya")</f>
        <v>ABF_Souya</v>
      </c>
      <c r="B17226" s="65" t="s">
        <v>8962</v>
      </c>
    </row>
    <row r="17227" spans="1:2" x14ac:dyDescent="0.25">
      <c r="A17227" s="64" t="str">
        <f>HYPERLINK("http://www.twitter.com/A_Nasus", "A_Nasus")</f>
        <v>A_Nasus</v>
      </c>
      <c r="B17227" s="65"/>
    </row>
    <row r="17228" spans="1:2" x14ac:dyDescent="0.25">
      <c r="A17228" s="64" t="str">
        <f>HYPERLINK("http://www.twitter.com/a121311", "a121311")</f>
        <v>a121311</v>
      </c>
      <c r="B17228" s="65"/>
    </row>
    <row r="17229" spans="1:2" x14ac:dyDescent="0.25">
      <c r="A17229" s="64" t="str">
        <f>HYPERLINK("http://www.twitter.com/Orkginger", "Orkginger")</f>
        <v>Orkginger</v>
      </c>
      <c r="B17229" s="65" t="s">
        <v>20</v>
      </c>
    </row>
    <row r="17230" spans="1:2" x14ac:dyDescent="0.25">
      <c r="A17230" s="64" t="str">
        <f>HYPERLINK("http://www.twitter.com/Seferis12A", "Seferis12A")</f>
        <v>Seferis12A</v>
      </c>
      <c r="B17230" s="65" t="s">
        <v>8975</v>
      </c>
    </row>
    <row r="17231" spans="1:2" x14ac:dyDescent="0.25">
      <c r="A17231" s="64" t="str">
        <f>HYPERLINK("http://www.twitter.com/blackmask781", "blackmask781")</f>
        <v>blackmask781</v>
      </c>
      <c r="B17231" s="65"/>
    </row>
    <row r="17232" spans="1:2" x14ac:dyDescent="0.25">
      <c r="A17232" s="64" t="str">
        <f>HYPERLINK("http://www.twitter.com/nicotwi", "nicotwi")</f>
        <v>nicotwi</v>
      </c>
      <c r="B17232" s="65"/>
    </row>
    <row r="17233" spans="1:2" x14ac:dyDescent="0.25">
      <c r="A17233" s="64" t="str">
        <f>HYPERLINK("http://www.twitter.com/yasumura432", "yasumura432")</f>
        <v>yasumura432</v>
      </c>
      <c r="B17233" s="65"/>
    </row>
    <row r="17234" spans="1:2" x14ac:dyDescent="0.25">
      <c r="A17234" s="64" t="str">
        <f>HYPERLINK("http://www.twitter.com/sansirou01", "sansirou01")</f>
        <v>sansirou01</v>
      </c>
      <c r="B17234" s="65"/>
    </row>
    <row r="17235" spans="1:2" x14ac:dyDescent="0.25">
      <c r="A17235" s="64" t="str">
        <f>HYPERLINK("http://www.twitter.com/mainland_james", "mainland_james")</f>
        <v>mainland_james</v>
      </c>
      <c r="B17235" s="65"/>
    </row>
    <row r="17236" spans="1:2" x14ac:dyDescent="0.25">
      <c r="A17236" s="64" t="str">
        <f>HYPERLINK("http://www.twitter.com/hanamogeranobuo", "hanamogeranobuo")</f>
        <v>hanamogeranobuo</v>
      </c>
      <c r="B17236" s="65"/>
    </row>
    <row r="17237" spans="1:2" x14ac:dyDescent="0.25">
      <c r="A17237" s="64" t="str">
        <f>HYPERLINK("http://www.twitter.com/maudrockerfella", "maudrockerfella")</f>
        <v>maudrockerfella</v>
      </c>
      <c r="B17237" s="65" t="s">
        <v>477</v>
      </c>
    </row>
    <row r="17238" spans="1:2" x14ac:dyDescent="0.25">
      <c r="A17238" s="64" t="str">
        <f>HYPERLINK("http://www.twitter.com/newlanarkwhs", "newlanarkwhs")</f>
        <v>newlanarkwhs</v>
      </c>
      <c r="B17238" s="65" t="s">
        <v>3690</v>
      </c>
    </row>
    <row r="17239" spans="1:2" x14ac:dyDescent="0.25">
      <c r="A17239" s="64" t="str">
        <f>HYPERLINK("http://www.twitter.com/LucyH_15", "LucyH_15")</f>
        <v>LucyH_15</v>
      </c>
      <c r="B17239" s="65"/>
    </row>
    <row r="17240" spans="1:2" x14ac:dyDescent="0.25">
      <c r="A17240" s="64" t="str">
        <f>HYPERLINK("http://www.twitter.com/ZozoMonica", "ZozoMonica")</f>
        <v>ZozoMonica</v>
      </c>
      <c r="B17240" s="65"/>
    </row>
    <row r="17241" spans="1:2" x14ac:dyDescent="0.25">
      <c r="A17241" s="64" t="str">
        <f>HYPERLINK("http://www.twitter.com/fairlynuts", "fairlynuts")</f>
        <v>fairlynuts</v>
      </c>
      <c r="B17241" s="65" t="s">
        <v>8976</v>
      </c>
    </row>
    <row r="17242" spans="1:2" x14ac:dyDescent="0.25">
      <c r="A17242" s="64" t="str">
        <f>HYPERLINK("http://www.twitter.com/syuta_t", "syuta_t")</f>
        <v>syuta_t</v>
      </c>
      <c r="B17242" s="65" t="s">
        <v>8918</v>
      </c>
    </row>
    <row r="17243" spans="1:2" x14ac:dyDescent="0.25">
      <c r="A17243" s="64" t="str">
        <f>HYPERLINK("http://www.twitter.com/yuramasaruaieru", "yuramasaruaieru")</f>
        <v>yuramasaruaieru</v>
      </c>
      <c r="B17243" s="65"/>
    </row>
    <row r="17244" spans="1:2" x14ac:dyDescent="0.25">
      <c r="A17244" s="64" t="str">
        <f>HYPERLINK("http://www.twitter.com/minntimaguro", "minntimaguro")</f>
        <v>minntimaguro</v>
      </c>
      <c r="B17244" s="65"/>
    </row>
    <row r="17245" spans="1:2" x14ac:dyDescent="0.25">
      <c r="A17245" s="64" t="str">
        <f>HYPERLINK("http://www.twitter.com/ayaaki_UD", "ayaaki_UD")</f>
        <v>ayaaki_UD</v>
      </c>
      <c r="B17245" s="65"/>
    </row>
    <row r="17246" spans="1:2" x14ac:dyDescent="0.25">
      <c r="A17246" s="64" t="str">
        <f>HYPERLINK("http://www.twitter.com/tyurararara", "tyurararara")</f>
        <v>tyurararara</v>
      </c>
      <c r="B17246" s="65"/>
    </row>
    <row r="17247" spans="1:2" x14ac:dyDescent="0.25">
      <c r="A17247" s="64" t="str">
        <f>HYPERLINK("http://www.twitter.com/tatemikazuti", "tatemikazuti")</f>
        <v>tatemikazuti</v>
      </c>
      <c r="B17247" s="65"/>
    </row>
    <row r="17248" spans="1:2" x14ac:dyDescent="0.25">
      <c r="A17248" s="64" t="str">
        <f>HYPERLINK("http://www.twitter.com/feel_heavy", "feel_heavy")</f>
        <v>feel_heavy</v>
      </c>
      <c r="B17248" s="65"/>
    </row>
    <row r="17249" spans="1:2" x14ac:dyDescent="0.25">
      <c r="A17249" s="64" t="str">
        <f>HYPERLINK("http://www.twitter.com/aaaaa24620237", "aaaaa24620237")</f>
        <v>aaaaa24620237</v>
      </c>
      <c r="B17249" s="65"/>
    </row>
    <row r="17250" spans="1:2" x14ac:dyDescent="0.25">
      <c r="A17250" s="64" t="str">
        <f>HYPERLINK("http://www.twitter.com/rikugunntaii", "rikugunntaii")</f>
        <v>rikugunntaii</v>
      </c>
      <c r="B17250" s="65"/>
    </row>
    <row r="17251" spans="1:2" x14ac:dyDescent="0.25">
      <c r="A17251" s="64" t="str">
        <f>HYPERLINK("http://www.twitter.com/kazumahosi", "kazumahosi")</f>
        <v>kazumahosi</v>
      </c>
      <c r="B17251" s="65"/>
    </row>
    <row r="17252" spans="1:2" x14ac:dyDescent="0.25">
      <c r="A17252" s="64" t="str">
        <f>HYPERLINK("http://www.twitter.com/_828931542415", "_828931542415")</f>
        <v>_828931542415</v>
      </c>
      <c r="B17252" s="65"/>
    </row>
    <row r="17253" spans="1:2" x14ac:dyDescent="0.25">
      <c r="A17253" s="64" t="str">
        <f>HYPERLINK("http://www.twitter.com/rokusisu000", "rokusisu000")</f>
        <v>rokusisu000</v>
      </c>
      <c r="B17253" s="65"/>
    </row>
    <row r="17254" spans="1:2" x14ac:dyDescent="0.25">
      <c r="A17254" s="64" t="str">
        <f>HYPERLINK("http://www.twitter.com/kakouiwa", "kakouiwa")</f>
        <v>kakouiwa</v>
      </c>
      <c r="B17254" s="65"/>
    </row>
    <row r="17255" spans="1:2" x14ac:dyDescent="0.25">
      <c r="A17255" s="64" t="str">
        <f>HYPERLINK("http://www.twitter.com/Kiyoooo0911", "Kiyoooo0911")</f>
        <v>Kiyoooo0911</v>
      </c>
      <c r="B17255" s="65" t="s">
        <v>8962</v>
      </c>
    </row>
    <row r="17256" spans="1:2" x14ac:dyDescent="0.25">
      <c r="A17256" s="64" t="str">
        <f>HYPERLINK("http://www.twitter.com/beroria", "beroria")</f>
        <v>beroria</v>
      </c>
      <c r="B17256" s="65"/>
    </row>
    <row r="17257" spans="1:2" x14ac:dyDescent="0.25">
      <c r="A17257" s="64" t="str">
        <f>HYPERLINK("http://www.twitter.com/mituki31", "mituki31")</f>
        <v>mituki31</v>
      </c>
      <c r="B17257" s="65"/>
    </row>
    <row r="17258" spans="1:2" x14ac:dyDescent="0.25">
      <c r="A17258" s="64" t="str">
        <f>HYPERLINK("http://www.twitter.com/shimuhu", "shimuhu")</f>
        <v>shimuhu</v>
      </c>
      <c r="B17258" s="65"/>
    </row>
    <row r="17259" spans="1:2" x14ac:dyDescent="0.25">
      <c r="A17259" s="64" t="str">
        <f>HYPERLINK("http://www.twitter.com/tatuya729", "tatuya729")</f>
        <v>tatuya729</v>
      </c>
      <c r="B17259" s="65" t="s">
        <v>8965</v>
      </c>
    </row>
    <row r="17260" spans="1:2" x14ac:dyDescent="0.25">
      <c r="A17260" s="64" t="str">
        <f>HYPERLINK("http://www.twitter.com/TvxqandArasi", "TvxqandArasi")</f>
        <v>TvxqandArasi</v>
      </c>
      <c r="B17260" s="65"/>
    </row>
    <row r="17261" spans="1:2" x14ac:dyDescent="0.25">
      <c r="A17261" s="64" t="str">
        <f>HYPERLINK("http://www.twitter.com/ToshiMane", "ToshiMane")</f>
        <v>ToshiMane</v>
      </c>
      <c r="B17261" s="65" t="s">
        <v>8977</v>
      </c>
    </row>
    <row r="17262" spans="1:2" x14ac:dyDescent="0.25">
      <c r="A17262" s="64" t="str">
        <f>HYPERLINK("http://www.twitter.com/YudedakoT", "YudedakoT")</f>
        <v>YudedakoT</v>
      </c>
      <c r="B17262" s="65" t="s">
        <v>8978</v>
      </c>
    </row>
    <row r="17263" spans="1:2" x14ac:dyDescent="0.25">
      <c r="A17263" s="64" t="str">
        <f>HYPERLINK("http://www.twitter.com/naosi2465", "naosi2465")</f>
        <v>naosi2465</v>
      </c>
      <c r="B17263" s="65"/>
    </row>
    <row r="17264" spans="1:2" x14ac:dyDescent="0.25">
      <c r="A17264" s="64" t="str">
        <f>HYPERLINK("http://www.twitter.com/nisizyounanami", "nisizyounanami")</f>
        <v>nisizyounanami</v>
      </c>
      <c r="B17264" s="65"/>
    </row>
    <row r="17265" spans="1:2" x14ac:dyDescent="0.25">
      <c r="A17265" s="64" t="str">
        <f>HYPERLINK("http://www.twitter.com/soobn", "soobn")</f>
        <v>soobn</v>
      </c>
      <c r="B17265" s="65"/>
    </row>
    <row r="17266" spans="1:2" x14ac:dyDescent="0.25">
      <c r="A17266" s="64" t="str">
        <f>HYPERLINK("http://www.twitter.com/exile_tera", "exile_tera")</f>
        <v>exile_tera</v>
      </c>
      <c r="B17266" s="65"/>
    </row>
    <row r="17267" spans="1:2" x14ac:dyDescent="0.25">
      <c r="A17267" s="64" t="str">
        <f>HYPERLINK("http://www.twitter.com/REN_000_P", "REN_000_P")</f>
        <v>REN_000_P</v>
      </c>
      <c r="B17267" s="65"/>
    </row>
    <row r="17268" spans="1:2" x14ac:dyDescent="0.25">
      <c r="A17268" s="64" t="str">
        <f>HYPERLINK("http://www.twitter.com/kkkazu05", "kkkazu05")</f>
        <v>kkkazu05</v>
      </c>
      <c r="B17268" s="65"/>
    </row>
    <row r="17269" spans="1:2" x14ac:dyDescent="0.25">
      <c r="A17269" s="64" t="str">
        <f>HYPERLINK("http://www.twitter.com/xxarinnkoxx", "xxarinnkoxx")</f>
        <v>xxarinnkoxx</v>
      </c>
      <c r="B17269" s="65"/>
    </row>
    <row r="17270" spans="1:2" x14ac:dyDescent="0.25">
      <c r="A17270" s="64" t="str">
        <f>HYPERLINK("http://www.twitter.com/la_sophista", "la_sophista")</f>
        <v>la_sophista</v>
      </c>
      <c r="B17270" s="65" t="s">
        <v>6501</v>
      </c>
    </row>
    <row r="17271" spans="1:2" x14ac:dyDescent="0.25">
      <c r="A17271" s="64" t="str">
        <f>HYPERLINK("http://www.twitter.com/nskw0522", "nskw0522")</f>
        <v>nskw0522</v>
      </c>
      <c r="B17271" s="65"/>
    </row>
    <row r="17272" spans="1:2" x14ac:dyDescent="0.25">
      <c r="A17272" s="64" t="str">
        <f>HYPERLINK("http://www.twitter.com/Uzimaki_Kiiro", "Uzimaki_Kiiro")</f>
        <v>Uzimaki_Kiiro</v>
      </c>
      <c r="B17272" s="65"/>
    </row>
    <row r="17273" spans="1:2" x14ac:dyDescent="0.25">
      <c r="A17273" s="64" t="str">
        <f>HYPERLINK("http://www.twitter.com/CarwynEW", "CarwynEW")</f>
        <v>CarwynEW</v>
      </c>
      <c r="B17273" s="65"/>
    </row>
    <row r="17274" spans="1:2" x14ac:dyDescent="0.25">
      <c r="A17274" s="64" t="str">
        <f>HYPERLINK("http://www.twitter.com/felixsang87", "felixsang87")</f>
        <v>felixsang87</v>
      </c>
      <c r="B17274" s="65" t="s">
        <v>5804</v>
      </c>
    </row>
    <row r="17275" spans="1:2" x14ac:dyDescent="0.25">
      <c r="A17275" s="64" t="str">
        <f>HYPERLINK("http://www.twitter.com/MBM_Designs", "MBM_Designs")</f>
        <v>MBM_Designs</v>
      </c>
      <c r="B17275" s="65" t="s">
        <v>8979</v>
      </c>
    </row>
    <row r="17276" spans="1:2" x14ac:dyDescent="0.25">
      <c r="A17276" s="64" t="str">
        <f>HYPERLINK("http://www.twitter.com/VictorvilleLib", "VictorvilleLib")</f>
        <v>VictorvilleLib</v>
      </c>
      <c r="B17276" s="65" t="s">
        <v>8980</v>
      </c>
    </row>
    <row r="17277" spans="1:2" x14ac:dyDescent="0.25">
      <c r="A17277" s="64" t="str">
        <f>HYPERLINK("http://www.twitter.com/jamieszymko", "jamieszymko")</f>
        <v>jamieszymko</v>
      </c>
      <c r="B17277" s="65" t="s">
        <v>8981</v>
      </c>
    </row>
    <row r="17278" spans="1:2" x14ac:dyDescent="0.25">
      <c r="A17278" s="64" t="str">
        <f>HYPERLINK("http://www.twitter.com/fizzyfish998", "fizzyfish998")</f>
        <v>fizzyfish998</v>
      </c>
      <c r="B17278" s="65" t="s">
        <v>36</v>
      </c>
    </row>
    <row r="17279" spans="1:2" x14ac:dyDescent="0.25">
      <c r="A17279" s="64" t="str">
        <f>HYPERLINK("http://www.twitter.com/ggrks108", "ggrks108")</f>
        <v>ggrks108</v>
      </c>
      <c r="B17279" s="65"/>
    </row>
    <row r="17280" spans="1:2" x14ac:dyDescent="0.25">
      <c r="A17280" s="64" t="str">
        <f>HYPERLINK("http://www.twitter.com/tyoukibunya", "tyoukibunya")</f>
        <v>tyoukibunya</v>
      </c>
      <c r="B17280" s="65"/>
    </row>
    <row r="17281" spans="1:2" x14ac:dyDescent="0.25">
      <c r="A17281" s="64" t="str">
        <f>HYPERLINK("http://www.twitter.com/syou_syou_syou_", "syou_syou_syou_")</f>
        <v>syou_syou_syou_</v>
      </c>
      <c r="B17281" s="65"/>
    </row>
    <row r="17282" spans="1:2" x14ac:dyDescent="0.25">
      <c r="A17282" s="64" t="str">
        <f>HYPERLINK("http://www.twitter.com/SandraAshton3", "SandraAshton3")</f>
        <v>SandraAshton3</v>
      </c>
      <c r="B17282" s="65"/>
    </row>
    <row r="17283" spans="1:2" x14ac:dyDescent="0.25">
      <c r="A17283" s="64" t="str">
        <f>HYPERLINK("http://www.twitter.com/ViewpointHA", "ViewpointHA")</f>
        <v>ViewpointHA</v>
      </c>
      <c r="B17283" s="65"/>
    </row>
    <row r="17284" spans="1:2" x14ac:dyDescent="0.25">
      <c r="A17284" s="64" t="str">
        <f>HYPERLINK("http://www.twitter.com/lirioka", "lirioka")</f>
        <v>lirioka</v>
      </c>
      <c r="B17284" s="65"/>
    </row>
    <row r="17285" spans="1:2" x14ac:dyDescent="0.25">
      <c r="A17285" s="64" t="str">
        <f>HYPERLINK("http://www.twitter.com/dorry12367", "dorry12367")</f>
        <v>dorry12367</v>
      </c>
      <c r="B17285" s="65"/>
    </row>
    <row r="17286" spans="1:2" x14ac:dyDescent="0.25">
      <c r="A17286" s="64" t="str">
        <f>HYPERLINK("http://www.twitter.com/bozic_anna", "bozic_anna")</f>
        <v>bozic_anna</v>
      </c>
      <c r="B17286" s="65"/>
    </row>
    <row r="17287" spans="1:2" x14ac:dyDescent="0.25">
      <c r="A17287" s="64" t="str">
        <f>HYPERLINK("http://www.twitter.com/raion_37", "raion_37")</f>
        <v>raion_37</v>
      </c>
      <c r="B17287" s="65"/>
    </row>
    <row r="17288" spans="1:2" x14ac:dyDescent="0.25">
      <c r="A17288" s="64" t="str">
        <f>HYPERLINK("http://www.twitter.com/ut5342", "ut5342")</f>
        <v>ut5342</v>
      </c>
      <c r="B17288" s="65"/>
    </row>
    <row r="17289" spans="1:2" x14ac:dyDescent="0.25">
      <c r="A17289" s="64" t="str">
        <f>HYPERLINK("http://www.twitter.com/yusaku0416", "yusaku0416")</f>
        <v>yusaku0416</v>
      </c>
      <c r="B17289" s="65"/>
    </row>
    <row r="17290" spans="1:2" x14ac:dyDescent="0.25">
      <c r="A17290" s="64" t="str">
        <f>HYPERLINK("http://www.twitter.com/ryuji123", "ryuji123")</f>
        <v>ryuji123</v>
      </c>
      <c r="B17290" s="65"/>
    </row>
    <row r="17291" spans="1:2" x14ac:dyDescent="0.25">
      <c r="A17291" s="64" t="str">
        <f>HYPERLINK("http://www.twitter.com/Minidax_Tak", "Minidax_Tak")</f>
        <v>Minidax_Tak</v>
      </c>
      <c r="B17291" s="65"/>
    </row>
    <row r="17292" spans="1:2" x14ac:dyDescent="0.25">
      <c r="A17292" s="64" t="str">
        <f>HYPERLINK("http://www.twitter.com/hegeshi", "hegeshi")</f>
        <v>hegeshi</v>
      </c>
      <c r="B17292" s="65"/>
    </row>
    <row r="17293" spans="1:2" x14ac:dyDescent="0.25">
      <c r="A17293" s="64" t="str">
        <f>HYPERLINK("http://www.twitter.com/AnitaPouroulis", "AnitaPouroulis")</f>
        <v>AnitaPouroulis</v>
      </c>
      <c r="B17293" s="65"/>
    </row>
    <row r="17294" spans="1:2" x14ac:dyDescent="0.25">
      <c r="A17294" s="64" t="str">
        <f>HYPERLINK("http://www.twitter.com/Paigekirkness", "Paigekirkness")</f>
        <v>Paigekirkness</v>
      </c>
      <c r="B17294" s="65" t="s">
        <v>20</v>
      </c>
    </row>
    <row r="17295" spans="1:2" x14ac:dyDescent="0.25">
      <c r="A17295" s="64" t="str">
        <f>HYPERLINK("http://www.twitter.com/nakano_gamePG", "nakano_gamePG")</f>
        <v>nakano_gamePG</v>
      </c>
      <c r="B17295" s="65"/>
    </row>
    <row r="17296" spans="1:2" x14ac:dyDescent="0.25">
      <c r="A17296" s="64" t="str">
        <f>HYPERLINK("http://www.twitter.com/loconnor2", "loconnor2")</f>
        <v>loconnor2</v>
      </c>
      <c r="B17296" s="65"/>
    </row>
    <row r="17297" spans="1:2" x14ac:dyDescent="0.25">
      <c r="A17297" s="64" t="str">
        <f>HYPERLINK("http://www.twitter.com/MartyKnutsen", "MartyKnutsen")</f>
        <v>MartyKnutsen</v>
      </c>
      <c r="B17297" s="65" t="s">
        <v>8982</v>
      </c>
    </row>
    <row r="17298" spans="1:2" x14ac:dyDescent="0.25">
      <c r="A17298" s="64" t="str">
        <f>HYPERLINK("http://www.twitter.com/SHM5", "SHM5")</f>
        <v>SHM5</v>
      </c>
      <c r="B17298" s="65" t="s">
        <v>6748</v>
      </c>
    </row>
    <row r="17299" spans="1:2" x14ac:dyDescent="0.25">
      <c r="A17299" s="64" t="str">
        <f>HYPERLINK("http://www.twitter.com/BL_Publishing", "BL_Publishing")</f>
        <v>BL_Publishing</v>
      </c>
      <c r="B17299" s="65" t="s">
        <v>8983</v>
      </c>
    </row>
    <row r="17300" spans="1:2" x14ac:dyDescent="0.25">
      <c r="A17300" s="64" t="str">
        <f>HYPERLINK("http://www.twitter.com/mcclibcentral", "mcclibcentral")</f>
        <v>mcclibcentral</v>
      </c>
      <c r="B17300" s="65" t="s">
        <v>2988</v>
      </c>
    </row>
    <row r="17301" spans="1:2" x14ac:dyDescent="0.25">
      <c r="A17301" s="64" t="str">
        <f>HYPERLINK("http://www.twitter.com/OyelolaWriter", "OyelolaWriter")</f>
        <v>OyelolaWriter</v>
      </c>
      <c r="B17301" s="65" t="s">
        <v>6254</v>
      </c>
    </row>
    <row r="17302" spans="1:2" x14ac:dyDescent="0.25">
      <c r="A17302" s="64" t="str">
        <f>HYPERLINK("http://www.twitter.com/stevebruce99", "stevebruce99")</f>
        <v>stevebruce99</v>
      </c>
      <c r="B17302" s="65" t="s">
        <v>1490</v>
      </c>
    </row>
    <row r="17303" spans="1:2" x14ac:dyDescent="0.25">
      <c r="A17303" s="64" t="str">
        <f>HYPERLINK("http://www.twitter.com/leebeattie", "leebeattie")</f>
        <v>leebeattie</v>
      </c>
      <c r="B17303" s="65" t="s">
        <v>8984</v>
      </c>
    </row>
    <row r="17304" spans="1:2" x14ac:dyDescent="0.25">
      <c r="A17304" s="64" t="str">
        <f>HYPERLINK("http://www.twitter.com/mattcashen17", "mattcashen17")</f>
        <v>mattcashen17</v>
      </c>
      <c r="B17304" s="65"/>
    </row>
    <row r="17305" spans="1:2" x14ac:dyDescent="0.25">
      <c r="A17305" s="64" t="str">
        <f>HYPERLINK("http://www.twitter.com/TheSkyStrikers", "TheSkyStrikers")</f>
        <v>TheSkyStrikers</v>
      </c>
      <c r="B17305" s="65" t="s">
        <v>8985</v>
      </c>
    </row>
    <row r="17306" spans="1:2" x14ac:dyDescent="0.25">
      <c r="A17306" s="64" t="str">
        <f>HYPERLINK("http://www.twitter.com/simonfurnivall", "simonfurnivall")</f>
        <v>simonfurnivall</v>
      </c>
      <c r="B17306" s="65"/>
    </row>
    <row r="17307" spans="1:2" x14ac:dyDescent="0.25">
      <c r="A17307" s="64" t="str">
        <f>HYPERLINK("http://www.twitter.com/MrNMJackson", "MrNMJackson")</f>
        <v>MrNMJackson</v>
      </c>
      <c r="B17307" s="65" t="s">
        <v>5436</v>
      </c>
    </row>
    <row r="17308" spans="1:2" x14ac:dyDescent="0.25">
      <c r="A17308" s="64" t="str">
        <f>HYPERLINK("http://www.twitter.com/SeanMacAnRi", "SeanMacAnRi")</f>
        <v>SeanMacAnRi</v>
      </c>
      <c r="B17308" s="65" t="s">
        <v>8986</v>
      </c>
    </row>
    <row r="17309" spans="1:2" x14ac:dyDescent="0.25">
      <c r="A17309" s="64" t="str">
        <f>HYPERLINK("http://www.twitter.com/AnnaESmaill", "AnnaESmaill")</f>
        <v>AnnaESmaill</v>
      </c>
      <c r="B17309" s="65"/>
    </row>
    <row r="17310" spans="1:2" x14ac:dyDescent="0.25">
      <c r="A17310" s="64" t="str">
        <f>HYPERLINK("http://www.twitter.com/IslandBayGirl", "IslandBayGirl")</f>
        <v>IslandBayGirl</v>
      </c>
      <c r="B17310" s="65" t="s">
        <v>4436</v>
      </c>
    </row>
    <row r="17311" spans="1:2" x14ac:dyDescent="0.25">
      <c r="A17311" s="64" t="str">
        <f>HYPERLINK("http://www.twitter.com/arvethli", "arvethli")</f>
        <v>arvethli</v>
      </c>
      <c r="B17311" s="65" t="s">
        <v>8987</v>
      </c>
    </row>
    <row r="17312" spans="1:2" x14ac:dyDescent="0.25">
      <c r="A17312" s="64" t="str">
        <f>HYPERLINK("http://www.twitter.com/gemzina", "gemzina")</f>
        <v>gemzina</v>
      </c>
      <c r="B17312" s="65" t="s">
        <v>4117</v>
      </c>
    </row>
    <row r="17313" spans="1:2" x14ac:dyDescent="0.25">
      <c r="A17313" s="64" t="str">
        <f>HYPERLINK("http://www.twitter.com/beekaynz", "beekaynz")</f>
        <v>beekaynz</v>
      </c>
      <c r="B17313" s="65" t="s">
        <v>4436</v>
      </c>
    </row>
    <row r="17314" spans="1:2" x14ac:dyDescent="0.25">
      <c r="A17314" s="64" t="str">
        <f>HYPERLINK("http://www.twitter.com/GrumpyYetAmusin", "GrumpyYetAmusin")</f>
        <v>GrumpyYetAmusin</v>
      </c>
      <c r="B17314" s="65" t="s">
        <v>4247</v>
      </c>
    </row>
    <row r="17315" spans="1:2" x14ac:dyDescent="0.25">
      <c r="A17315" s="64" t="str">
        <f>HYPERLINK("http://www.twitter.com/SkyNamal", "SkyNamal")</f>
        <v>SkyNamal</v>
      </c>
      <c r="B17315" s="65"/>
    </row>
    <row r="17316" spans="1:2" x14ac:dyDescent="0.25">
      <c r="A17316" s="64" t="str">
        <f>HYPERLINK("http://www.twitter.com/imouhousaku", "imouhousaku")</f>
        <v>imouhousaku</v>
      </c>
      <c r="B17316" s="65"/>
    </row>
    <row r="17317" spans="1:2" x14ac:dyDescent="0.25">
      <c r="A17317" s="64" t="str">
        <f>HYPERLINK("http://www.twitter.com/saito12345", "saito12345")</f>
        <v>saito12345</v>
      </c>
      <c r="B17317" s="65"/>
    </row>
    <row r="17318" spans="1:2" x14ac:dyDescent="0.25">
      <c r="A17318" s="64" t="str">
        <f>HYPERLINK("http://www.twitter.com/amymoyrapeters", "amymoyrapeters")</f>
        <v>amymoyrapeters</v>
      </c>
      <c r="B17318" s="65" t="s">
        <v>4447</v>
      </c>
    </row>
    <row r="17319" spans="1:2" x14ac:dyDescent="0.25">
      <c r="A17319" s="64" t="str">
        <f>HYPERLINK("http://www.twitter.com/SaSaSharp", "SaSaSharp")</f>
        <v>SaSaSharp</v>
      </c>
      <c r="B17319" s="65"/>
    </row>
    <row r="17320" spans="1:2" x14ac:dyDescent="0.25">
      <c r="A17320" s="64" t="str">
        <f>HYPERLINK("http://www.twitter.com/DMcCheyne", "DMcCheyne")</f>
        <v>DMcCheyne</v>
      </c>
      <c r="B17320" s="65" t="s">
        <v>318</v>
      </c>
    </row>
    <row r="17321" spans="1:2" x14ac:dyDescent="0.25">
      <c r="A17321" s="64" t="str">
        <f>HYPERLINK("http://www.twitter.com/KateMcCheyne", "KateMcCheyne")</f>
        <v>KateMcCheyne</v>
      </c>
      <c r="B17321" s="65" t="s">
        <v>138</v>
      </c>
    </row>
    <row r="17322" spans="1:2" x14ac:dyDescent="0.25">
      <c r="A17322" s="64" t="str">
        <f>HYPERLINK("http://www.twitter.com/hd_hickman", "hd_hickman")</f>
        <v>hd_hickman</v>
      </c>
      <c r="B17322" s="65" t="s">
        <v>1862</v>
      </c>
    </row>
    <row r="17323" spans="1:2" x14ac:dyDescent="0.25">
      <c r="A17323" s="64" t="str">
        <f>HYPERLINK("http://www.twitter.com/babajianavkar", "babajianavkar")</f>
        <v>babajianavkar</v>
      </c>
      <c r="B17323" s="65"/>
    </row>
    <row r="17324" spans="1:2" x14ac:dyDescent="0.25">
      <c r="A17324" s="64" t="str">
        <f>HYPERLINK("http://www.twitter.com/btdavies", "btdavies")</f>
        <v>btdavies</v>
      </c>
      <c r="B17324" s="65" t="s">
        <v>8988</v>
      </c>
    </row>
    <row r="17325" spans="1:2" x14ac:dyDescent="0.25">
      <c r="A17325" s="64" t="str">
        <f>HYPERLINK("http://www.twitter.com/CSNight", "CSNight")</f>
        <v>CSNight</v>
      </c>
      <c r="B17325" s="65"/>
    </row>
    <row r="17326" spans="1:2" x14ac:dyDescent="0.25">
      <c r="A17326" s="64" t="str">
        <f>HYPERLINK("http://www.twitter.com/picadorbooks", "picadorbooks")</f>
        <v>picadorbooks</v>
      </c>
      <c r="B17326" s="65" t="s">
        <v>36</v>
      </c>
    </row>
    <row r="17327" spans="1:2" x14ac:dyDescent="0.25">
      <c r="A17327" s="64" t="str">
        <f>HYPERLINK("http://www.twitter.com/johnfarrell90", "johnfarrell90")</f>
        <v>johnfarrell90</v>
      </c>
      <c r="B17327" s="65" t="s">
        <v>318</v>
      </c>
    </row>
    <row r="17328" spans="1:2" x14ac:dyDescent="0.25">
      <c r="A17328" s="64" t="str">
        <f>HYPERLINK("http://www.twitter.com/AnnmccannAnn", "AnnmccannAnn")</f>
        <v>AnnmccannAnn</v>
      </c>
      <c r="B17328" s="65"/>
    </row>
    <row r="17329" spans="1:2" x14ac:dyDescent="0.25">
      <c r="A17329" s="64" t="str">
        <f>HYPERLINK("http://www.twitter.com/thebooklarder", "thebooklarder")</f>
        <v>thebooklarder</v>
      </c>
      <c r="B17329" s="65"/>
    </row>
    <row r="17330" spans="1:2" x14ac:dyDescent="0.25">
      <c r="A17330" s="64" t="str">
        <f>HYPERLINK("http://www.twitter.com/cityreads", "cityreads")</f>
        <v>cityreads</v>
      </c>
      <c r="B17330" s="65" t="s">
        <v>4360</v>
      </c>
    </row>
    <row r="17331" spans="1:2" x14ac:dyDescent="0.25">
      <c r="A17331" s="64" t="str">
        <f>HYPERLINK("http://www.twitter.com/MaterialTexts", "MaterialTexts")</f>
        <v>MaterialTexts</v>
      </c>
      <c r="B17331" s="65" t="s">
        <v>8989</v>
      </c>
    </row>
    <row r="17332" spans="1:2" x14ac:dyDescent="0.25">
      <c r="A17332" s="64" t="str">
        <f>HYPERLINK("http://www.twitter.com/sestory", "sestory")</f>
        <v>sestory</v>
      </c>
      <c r="B17332" s="65"/>
    </row>
    <row r="17333" spans="1:2" x14ac:dyDescent="0.25">
      <c r="A17333" s="64" t="str">
        <f>HYPERLINK("http://www.twitter.com/Emanuelapozzi", "Emanuelapozzi")</f>
        <v>Emanuelapozzi</v>
      </c>
      <c r="B17333" s="65"/>
    </row>
    <row r="17334" spans="1:2" x14ac:dyDescent="0.25">
      <c r="A17334" s="64" t="str">
        <f>HYPERLINK("http://www.twitter.com/illyria_brant", "illyria_brant")</f>
        <v>illyria_brant</v>
      </c>
      <c r="B17334" s="65" t="s">
        <v>5819</v>
      </c>
    </row>
    <row r="17335" spans="1:2" x14ac:dyDescent="0.25">
      <c r="A17335" s="64" t="str">
        <f>HYPERLINK("http://www.twitter.com/colchestersoup", "colchestersoup")</f>
        <v>colchestersoup</v>
      </c>
      <c r="B17335" s="65" t="s">
        <v>5466</v>
      </c>
    </row>
    <row r="17336" spans="1:2" x14ac:dyDescent="0.25">
      <c r="A17336" s="64" t="str">
        <f>HYPERLINK("http://www.twitter.com/OxBooksByresRd", "OxBooksByresRd")</f>
        <v>OxBooksByresRd</v>
      </c>
      <c r="B17336" s="65" t="s">
        <v>1508</v>
      </c>
    </row>
    <row r="17337" spans="1:2" x14ac:dyDescent="0.25">
      <c r="A17337" s="64" t="str">
        <f>HYPERLINK("http://www.twitter.com/xeafra", "xeafra")</f>
        <v>xeafra</v>
      </c>
      <c r="B17337" s="65"/>
    </row>
    <row r="17338" spans="1:2" x14ac:dyDescent="0.25">
      <c r="A17338" s="64" t="str">
        <f>HYPERLINK("http://www.twitter.com/ColinWHutch", "ColinWHutch")</f>
        <v>ColinWHutch</v>
      </c>
      <c r="B17338" s="65" t="s">
        <v>1905</v>
      </c>
    </row>
    <row r="17339" spans="1:2" x14ac:dyDescent="0.25">
      <c r="A17339" s="64" t="str">
        <f>HYPERLINK("http://www.twitter.com/nojunkjustjane", "nojunkjustjane")</f>
        <v>nojunkjustjane</v>
      </c>
      <c r="B17339" s="65"/>
    </row>
    <row r="17340" spans="1:2" x14ac:dyDescent="0.25">
      <c r="A17340" s="64" t="str">
        <f>HYPERLINK("http://www.twitter.com/Powells", "Powells")</f>
        <v>Powells</v>
      </c>
      <c r="B17340" s="65" t="s">
        <v>3872</v>
      </c>
    </row>
    <row r="17341" spans="1:2" x14ac:dyDescent="0.25">
      <c r="A17341" s="64" t="str">
        <f>HYPERLINK("http://www.twitter.com/AlisonMoulding", "AlisonMoulding")</f>
        <v>AlisonMoulding</v>
      </c>
      <c r="B17341" s="65" t="s">
        <v>8990</v>
      </c>
    </row>
    <row r="17342" spans="1:2" x14ac:dyDescent="0.25">
      <c r="A17342" s="64" t="str">
        <f>HYPERLINK("http://www.twitter.com/ALLIANCEScot", "ALLIANCEScot")</f>
        <v>ALLIANCEScot</v>
      </c>
      <c r="B17342" s="65" t="s">
        <v>517</v>
      </c>
    </row>
    <row r="17343" spans="1:2" x14ac:dyDescent="0.25">
      <c r="A17343" s="64" t="str">
        <f>HYPERLINK("http://www.twitter.com/carolinejmolloy", "carolinejmolloy")</f>
        <v>carolinejmolloy</v>
      </c>
      <c r="B17343" s="65" t="s">
        <v>8991</v>
      </c>
    </row>
    <row r="17344" spans="1:2" x14ac:dyDescent="0.25">
      <c r="A17344" s="64" t="str">
        <f>HYPERLINK("http://www.twitter.com/antsybee", "antsybee")</f>
        <v>antsybee</v>
      </c>
      <c r="B17344" s="65" t="s">
        <v>8992</v>
      </c>
    </row>
    <row r="17345" spans="1:2" x14ac:dyDescent="0.25">
      <c r="A17345" s="64" t="str">
        <f>HYPERLINK("http://www.twitter.com/TouroLibraries", "TouroLibraries")</f>
        <v>TouroLibraries</v>
      </c>
      <c r="B17345" s="65" t="s">
        <v>4145</v>
      </c>
    </row>
    <row r="17346" spans="1:2" x14ac:dyDescent="0.25">
      <c r="A17346" s="64" t="str">
        <f>HYPERLINK("http://www.twitter.com/WFHowes", "WFHowes")</f>
        <v>WFHowes</v>
      </c>
      <c r="B17346" s="65" t="s">
        <v>8993</v>
      </c>
    </row>
    <row r="17347" spans="1:2" x14ac:dyDescent="0.25">
      <c r="A17347" s="64" t="str">
        <f>HYPERLINK("http://www.twitter.com/LinguaFrancis", "LinguaFrancis")</f>
        <v>LinguaFrancis</v>
      </c>
      <c r="B17347" s="65"/>
    </row>
    <row r="17348" spans="1:2" x14ac:dyDescent="0.25">
      <c r="A17348" s="64" t="str">
        <f>HYPERLINK("http://www.twitter.com/SleepyVole", "SleepyVole")</f>
        <v>SleepyVole</v>
      </c>
      <c r="B17348" s="65" t="s">
        <v>8994</v>
      </c>
    </row>
    <row r="17349" spans="1:2" x14ac:dyDescent="0.25">
      <c r="A17349" s="64" t="str">
        <f>HYPERLINK("http://www.twitter.com/rosamund371", "rosamund371")</f>
        <v>rosamund371</v>
      </c>
      <c r="B17349" s="65"/>
    </row>
    <row r="17350" spans="1:2" x14ac:dyDescent="0.25">
      <c r="A17350" s="64" t="str">
        <f>HYPERLINK("http://www.twitter.com/dvdtknsn", "dvdtknsn")</f>
        <v>dvdtknsn</v>
      </c>
      <c r="B17350" s="65"/>
    </row>
    <row r="17351" spans="1:2" x14ac:dyDescent="0.25">
      <c r="A17351" s="64" t="str">
        <f>HYPERLINK("http://www.twitter.com/PoacherGirl", "PoacherGirl")</f>
        <v>PoacherGirl</v>
      </c>
      <c r="B17351" s="65" t="s">
        <v>2518</v>
      </c>
    </row>
    <row r="17352" spans="1:2" x14ac:dyDescent="0.25">
      <c r="A17352" s="64" t="str">
        <f>HYPERLINK("http://www.twitter.com/Bl0ndeValkyrie", "Bl0ndeValkyrie")</f>
        <v>Bl0ndeValkyrie</v>
      </c>
      <c r="B17352" s="65"/>
    </row>
    <row r="17353" spans="1:2" x14ac:dyDescent="0.25">
      <c r="A17353" s="64" t="str">
        <f>HYPERLINK("http://www.twitter.com/kitpatlecter", "kitpatlecter")</f>
        <v>kitpatlecter</v>
      </c>
      <c r="B17353" s="65" t="s">
        <v>8995</v>
      </c>
    </row>
    <row r="17354" spans="1:2" x14ac:dyDescent="0.25">
      <c r="A17354" s="64" t="str">
        <f>HYPERLINK("http://www.twitter.com/kerriganagain", "kerriganagain")</f>
        <v>kerriganagain</v>
      </c>
      <c r="B17354" s="65"/>
    </row>
    <row r="17355" spans="1:2" x14ac:dyDescent="0.25">
      <c r="A17355" s="64" t="str">
        <f>HYPERLINK("http://www.twitter.com/HelenBye", "HelenBye")</f>
        <v>HelenBye</v>
      </c>
      <c r="B17355" s="65" t="s">
        <v>6073</v>
      </c>
    </row>
    <row r="17356" spans="1:2" x14ac:dyDescent="0.25">
      <c r="A17356" s="64" t="str">
        <f>HYPERLINK("http://www.twitter.com/SeeMeGB", "SeeMeGB")</f>
        <v>SeeMeGB</v>
      </c>
      <c r="B17356" s="65" t="s">
        <v>8996</v>
      </c>
    </row>
    <row r="17357" spans="1:2" x14ac:dyDescent="0.25">
      <c r="A17357" s="64" t="str">
        <f>HYPERLINK("http://www.twitter.com/davidkempdotnet", "davidkempdotnet")</f>
        <v>davidkempdotnet</v>
      </c>
      <c r="B17357" s="65" t="s">
        <v>8997</v>
      </c>
    </row>
    <row r="17358" spans="1:2" x14ac:dyDescent="0.25">
      <c r="A17358" s="64" t="str">
        <f>HYPERLINK("http://www.twitter.com/photolikeness", "photolikeness")</f>
        <v>photolikeness</v>
      </c>
      <c r="B17358" s="65"/>
    </row>
    <row r="17359" spans="1:2" x14ac:dyDescent="0.25">
      <c r="A17359" s="64" t="str">
        <f>HYPERLINK("http://www.twitter.com/mbaileywrites", "mbaileywrites")</f>
        <v>mbaileywrites</v>
      </c>
      <c r="B17359" s="65" t="s">
        <v>36</v>
      </c>
    </row>
    <row r="17360" spans="1:2" x14ac:dyDescent="0.25">
      <c r="A17360" s="64" t="str">
        <f>HYPERLINK("http://www.twitter.com/alamatwirl", "alamatwirl")</f>
        <v>alamatwirl</v>
      </c>
      <c r="B17360" s="65"/>
    </row>
    <row r="17361" spans="1:2" x14ac:dyDescent="0.25">
      <c r="A17361" s="64" t="str">
        <f>HYPERLINK("http://www.twitter.com/librarydurham", "librarydurham")</f>
        <v>librarydurham</v>
      </c>
      <c r="B17361" s="65" t="s">
        <v>8998</v>
      </c>
    </row>
    <row r="17362" spans="1:2" x14ac:dyDescent="0.25">
      <c r="A17362" s="64" t="str">
        <f>HYPERLINK("http://www.twitter.com/Schalmer", "Schalmer")</f>
        <v>Schalmer</v>
      </c>
      <c r="B17362" s="65" t="s">
        <v>8999</v>
      </c>
    </row>
    <row r="17363" spans="1:2" x14ac:dyDescent="0.25">
      <c r="A17363" s="64" t="str">
        <f>HYPERLINK("http://www.twitter.com/itxaaro", "itxaaro")</f>
        <v>itxaaro</v>
      </c>
      <c r="B17363" s="65"/>
    </row>
    <row r="17364" spans="1:2" x14ac:dyDescent="0.25">
      <c r="A17364" s="64" t="str">
        <f>HYPERLINK("http://www.twitter.com/mdtareck249", "mdtareck249")</f>
        <v>mdtareck249</v>
      </c>
      <c r="B17364" s="65"/>
    </row>
    <row r="17365" spans="1:2" x14ac:dyDescent="0.25">
      <c r="A17365" s="64" t="str">
        <f>HYPERLINK("http://www.twitter.com/wasasavage", "wasasavage")</f>
        <v>wasasavage</v>
      </c>
      <c r="B17365" s="65"/>
    </row>
    <row r="17366" spans="1:2" x14ac:dyDescent="0.25">
      <c r="A17366" s="64" t="str">
        <f>HYPERLINK("http://www.twitter.com/DaveyEvans66", "DaveyEvans66")</f>
        <v>DaveyEvans66</v>
      </c>
      <c r="B17366" s="65" t="s">
        <v>9000</v>
      </c>
    </row>
    <row r="17367" spans="1:2" x14ac:dyDescent="0.25">
      <c r="A17367" s="64" t="str">
        <f>HYPERLINK("http://www.twitter.com/kwocontext", "kwocontext")</f>
        <v>kwocontext</v>
      </c>
      <c r="B17367" s="65"/>
    </row>
    <row r="17368" spans="1:2" x14ac:dyDescent="0.25">
      <c r="A17368" s="64" t="str">
        <f>HYPERLINK("http://www.twitter.com/victortothe", "victortothe")</f>
        <v>victortothe</v>
      </c>
      <c r="B17368" s="65"/>
    </row>
    <row r="17369" spans="1:2" x14ac:dyDescent="0.25">
      <c r="A17369" s="64" t="str">
        <f>HYPERLINK("http://www.twitter.com/waughietalkie", "waughietalkie")</f>
        <v>waughietalkie</v>
      </c>
      <c r="B17369" s="65" t="s">
        <v>2007</v>
      </c>
    </row>
    <row r="17370" spans="1:2" x14ac:dyDescent="0.25">
      <c r="A17370" s="64" t="str">
        <f>HYPERLINK("http://www.twitter.com/phxhd", "phxhd")</f>
        <v>phxhd</v>
      </c>
      <c r="B17370" s="65" t="s">
        <v>9001</v>
      </c>
    </row>
    <row r="17371" spans="1:2" x14ac:dyDescent="0.25">
      <c r="A17371" s="64" t="str">
        <f>HYPERLINK("http://www.twitter.com/ruthsdownie", "ruthsdownie")</f>
        <v>ruthsdownie</v>
      </c>
      <c r="B17371" s="65" t="s">
        <v>9002</v>
      </c>
    </row>
    <row r="17372" spans="1:2" x14ac:dyDescent="0.25">
      <c r="A17372" s="64" t="str">
        <f>HYPERLINK("http://www.twitter.com/brendaC73698825", "brendaC73698825")</f>
        <v>brendaC73698825</v>
      </c>
      <c r="B17372" s="65"/>
    </row>
    <row r="17373" spans="1:2" x14ac:dyDescent="0.25">
      <c r="A17373" s="64" t="str">
        <f>HYPERLINK("http://www.twitter.com/CJMacBeathW", "CJMacBeathW")</f>
        <v>CJMacBeathW</v>
      </c>
      <c r="B17373" s="65" t="s">
        <v>24</v>
      </c>
    </row>
    <row r="17374" spans="1:2" x14ac:dyDescent="0.25">
      <c r="A17374" s="64" t="str">
        <f>HYPERLINK("http://www.twitter.com/MarthaHowell2", "MarthaHowell2")</f>
        <v>MarthaHowell2</v>
      </c>
      <c r="B17374" s="65" t="s">
        <v>9003</v>
      </c>
    </row>
    <row r="17375" spans="1:2" x14ac:dyDescent="0.25">
      <c r="A17375" s="64" t="str">
        <f>HYPERLINK("http://www.twitter.com/SDEForum", "SDEForum")</f>
        <v>SDEForum</v>
      </c>
      <c r="B17375" s="65"/>
    </row>
    <row r="17376" spans="1:2" x14ac:dyDescent="0.25">
      <c r="A17376" s="64" t="str">
        <f>HYPERLINK("http://www.twitter.com/u21jab", "u21jab")</f>
        <v>u21jab</v>
      </c>
      <c r="B17376" s="65"/>
    </row>
    <row r="17377" spans="1:2" x14ac:dyDescent="0.25">
      <c r="A17377" s="64" t="str">
        <f>HYPERLINK("http://www.twitter.com/1Law4TheRich", "1Law4TheRich")</f>
        <v>1Law4TheRich</v>
      </c>
      <c r="B17377" s="65" t="s">
        <v>477</v>
      </c>
    </row>
    <row r="17378" spans="1:2" x14ac:dyDescent="0.25">
      <c r="A17378" s="64" t="str">
        <f>HYPERLINK("http://www.twitter.com/lee_m_watkins", "lee_m_watkins")</f>
        <v>lee_m_watkins</v>
      </c>
      <c r="B17378" s="65" t="s">
        <v>110</v>
      </c>
    </row>
    <row r="17379" spans="1:2" x14ac:dyDescent="0.25">
      <c r="A17379" s="64" t="str">
        <f>HYPERLINK("http://www.twitter.com/brotherfrancis1", "brotherfrancis1")</f>
        <v>brotherfrancis1</v>
      </c>
      <c r="B17379" s="65"/>
    </row>
    <row r="17380" spans="1:2" x14ac:dyDescent="0.25">
      <c r="A17380" s="64" t="str">
        <f>HYPERLINK("http://www.twitter.com/1barguest", "1barguest")</f>
        <v>1barguest</v>
      </c>
      <c r="B17380" s="65" t="s">
        <v>517</v>
      </c>
    </row>
    <row r="17381" spans="1:2" x14ac:dyDescent="0.25">
      <c r="A17381" s="64" t="str">
        <f>HYPERLINK("http://www.twitter.com/ProfJMitchell", "ProfJMitchell")</f>
        <v>ProfJMitchell</v>
      </c>
      <c r="B17381" s="65"/>
    </row>
    <row r="17382" spans="1:2" x14ac:dyDescent="0.25">
      <c r="A17382" s="64" t="str">
        <f>HYPERLINK("http://www.twitter.com/humanistscot", "humanistscot")</f>
        <v>humanistscot</v>
      </c>
      <c r="B17382" s="65" t="s">
        <v>517</v>
      </c>
    </row>
    <row r="17383" spans="1:2" x14ac:dyDescent="0.25">
      <c r="A17383" s="64" t="str">
        <f>HYPERLINK("http://www.twitter.com/edinchiara", "edinchiara")</f>
        <v>edinchiara</v>
      </c>
      <c r="B17383" s="65" t="s">
        <v>24</v>
      </c>
    </row>
    <row r="17384" spans="1:2" x14ac:dyDescent="0.25">
      <c r="A17384" s="64" t="str">
        <f>HYPERLINK("http://www.twitter.com/BillShaw8", "BillShaw8")</f>
        <v>BillShaw8</v>
      </c>
      <c r="B17384" s="65"/>
    </row>
    <row r="17385" spans="1:2" x14ac:dyDescent="0.25">
      <c r="A17385" s="64" t="str">
        <f>HYPERLINK("http://www.twitter.com/jennyniv", "jennyniv")</f>
        <v>jennyniv</v>
      </c>
      <c r="B17385" s="65" t="s">
        <v>601</v>
      </c>
    </row>
    <row r="17386" spans="1:2" x14ac:dyDescent="0.25">
      <c r="A17386" s="64" t="str">
        <f>HYPERLINK("http://www.twitter.com/AshleyRoberts59", "AshleyRoberts59")</f>
        <v>AshleyRoberts59</v>
      </c>
      <c r="B17386" s="65" t="s">
        <v>4415</v>
      </c>
    </row>
    <row r="17387" spans="1:2" x14ac:dyDescent="0.25">
      <c r="A17387" s="64" t="str">
        <f>HYPERLINK("http://www.twitter.com/Stem_Cell_Hist", "Stem_Cell_Hist")</f>
        <v>Stem_Cell_Hist</v>
      </c>
      <c r="B17387" s="65"/>
    </row>
    <row r="17388" spans="1:2" x14ac:dyDescent="0.25">
      <c r="A17388" s="64" t="str">
        <f>HYPERLINK("http://www.twitter.com/1990Mattd", "1990Mattd")</f>
        <v>1990Mattd</v>
      </c>
      <c r="B17388" s="65"/>
    </row>
    <row r="17389" spans="1:2" x14ac:dyDescent="0.25">
      <c r="A17389" s="64" t="str">
        <f>HYPERLINK("http://www.twitter.com/MCFeneley", "MCFeneley")</f>
        <v>MCFeneley</v>
      </c>
      <c r="B17389" s="65" t="s">
        <v>3988</v>
      </c>
    </row>
    <row r="17390" spans="1:2" x14ac:dyDescent="0.25">
      <c r="A17390" s="64" t="str">
        <f>HYPERLINK("http://www.twitter.com/uttley", "uttley")</f>
        <v>uttley</v>
      </c>
      <c r="B17390" s="65"/>
    </row>
    <row r="17391" spans="1:2" x14ac:dyDescent="0.25">
      <c r="A17391" s="64" t="str">
        <f>HYPERLINK("http://www.twitter.com/rachelabramley", "rachelabramley")</f>
        <v>rachelabramley</v>
      </c>
      <c r="B17391" s="65" t="s">
        <v>5270</v>
      </c>
    </row>
    <row r="17392" spans="1:2" x14ac:dyDescent="0.25">
      <c r="A17392" s="64" t="str">
        <f>HYPERLINK("http://www.twitter.com/marb1es", "marb1es")</f>
        <v>marb1es</v>
      </c>
      <c r="B17392" s="65" t="s">
        <v>296</v>
      </c>
    </row>
    <row r="17393" spans="1:2" x14ac:dyDescent="0.25">
      <c r="A17393" s="64" t="str">
        <f>HYPERLINK("http://www.twitter.com/alistairbuster", "alistairbuster")</f>
        <v>alistairbuster</v>
      </c>
      <c r="B17393" s="65" t="s">
        <v>9004</v>
      </c>
    </row>
    <row r="17394" spans="1:2" x14ac:dyDescent="0.25">
      <c r="A17394" s="64" t="str">
        <f>HYPERLINK("http://www.twitter.com/razscot", "razscot")</f>
        <v>razscot</v>
      </c>
      <c r="B17394" s="65" t="s">
        <v>4720</v>
      </c>
    </row>
    <row r="17395" spans="1:2" x14ac:dyDescent="0.25">
      <c r="A17395" s="64" t="str">
        <f>HYPERLINK("http://www.twitter.com/kenwhatimean", "kenwhatimean")</f>
        <v>kenwhatimean</v>
      </c>
      <c r="B17395" s="65"/>
    </row>
    <row r="17396" spans="1:2" x14ac:dyDescent="0.25">
      <c r="A17396" s="64" t="str">
        <f>HYPERLINK("http://www.twitter.com/LichfieldLore", "LichfieldLore")</f>
        <v>LichfieldLore</v>
      </c>
      <c r="B17396" s="65" t="s">
        <v>9005</v>
      </c>
    </row>
    <row r="17397" spans="1:2" x14ac:dyDescent="0.25">
      <c r="A17397" s="64" t="str">
        <f>HYPERLINK("http://www.twitter.com/TanyaEfthymiou", "TanyaEfthymiou")</f>
        <v>TanyaEfthymiou</v>
      </c>
      <c r="B17397" s="65" t="s">
        <v>6644</v>
      </c>
    </row>
    <row r="17398" spans="1:2" x14ac:dyDescent="0.25">
      <c r="A17398" s="64" t="str">
        <f>HYPERLINK("http://www.twitter.com/KensalRLibrary", "KensalRLibrary")</f>
        <v>KensalRLibrary</v>
      </c>
      <c r="B17398" s="65" t="s">
        <v>9006</v>
      </c>
    </row>
    <row r="17399" spans="1:2" x14ac:dyDescent="0.25">
      <c r="A17399" s="64" t="str">
        <f>HYPERLINK("http://www.twitter.com/keneastwood", "keneastwood")</f>
        <v>keneastwood</v>
      </c>
      <c r="B17399" s="65" t="s">
        <v>773</v>
      </c>
    </row>
    <row r="17400" spans="1:2" x14ac:dyDescent="0.25">
      <c r="A17400" s="64" t="str">
        <f>HYPERLINK("http://www.twitter.com/IMcLaughlan", "IMcLaughlan")</f>
        <v>IMcLaughlan</v>
      </c>
      <c r="B17400" s="65"/>
    </row>
    <row r="17401" spans="1:2" x14ac:dyDescent="0.25">
      <c r="A17401" s="64" t="str">
        <f>HYPERLINK("http://www.twitter.com/DigoryKirkeBA", "DigoryKirkeBA")</f>
        <v>DigoryKirkeBA</v>
      </c>
      <c r="B17401" s="65"/>
    </row>
    <row r="17402" spans="1:2" x14ac:dyDescent="0.25">
      <c r="A17402" s="64" t="str">
        <f>HYPERLINK("http://www.twitter.com/wisbottle", "wisbottle")</f>
        <v>wisbottle</v>
      </c>
      <c r="B17402" s="65" t="s">
        <v>9007</v>
      </c>
    </row>
    <row r="17403" spans="1:2" x14ac:dyDescent="0.25">
      <c r="A17403" s="64" t="str">
        <f>HYPERLINK("http://www.twitter.com/cathrynfraser", "cathrynfraser")</f>
        <v>cathrynfraser</v>
      </c>
      <c r="B17403" s="65" t="s">
        <v>9008</v>
      </c>
    </row>
    <row r="17404" spans="1:2" x14ac:dyDescent="0.25">
      <c r="A17404" s="64" t="str">
        <f>HYPERLINK("http://www.twitter.com/RCampbell_Music", "RCampbell_Music")</f>
        <v>RCampbell_Music</v>
      </c>
      <c r="B17404" s="65"/>
    </row>
    <row r="17405" spans="1:2" x14ac:dyDescent="0.25">
      <c r="A17405" s="64" t="str">
        <f>HYPERLINK("http://www.twitter.com/mrdouglasbell", "mrdouglasbell")</f>
        <v>mrdouglasbell</v>
      </c>
      <c r="B17405" s="65" t="s">
        <v>9009</v>
      </c>
    </row>
    <row r="17406" spans="1:2" x14ac:dyDescent="0.25">
      <c r="A17406" s="64" t="str">
        <f>HYPERLINK("http://www.twitter.com/resolutereader", "resolutereader")</f>
        <v>resolutereader</v>
      </c>
      <c r="B17406" s="65" t="s">
        <v>321</v>
      </c>
    </row>
    <row r="17407" spans="1:2" x14ac:dyDescent="0.25">
      <c r="A17407" s="64" t="str">
        <f>HYPERLINK("http://www.twitter.com/susannahmitche2", "susannahmitche2")</f>
        <v>susannahmitche2</v>
      </c>
      <c r="B17407" s="65" t="s">
        <v>5777</v>
      </c>
    </row>
    <row r="17408" spans="1:2" x14ac:dyDescent="0.25">
      <c r="A17408" s="64" t="str">
        <f>HYPERLINK("http://www.twitter.com/CE_Browne", "CE_Browne")</f>
        <v>CE_Browne</v>
      </c>
      <c r="B17408" s="65" t="s">
        <v>8667</v>
      </c>
    </row>
    <row r="17409" spans="1:2" x14ac:dyDescent="0.25">
      <c r="A17409" s="64" t="str">
        <f>HYPERLINK("http://www.twitter.com/30sixdegrees", "30sixdegrees")</f>
        <v>30sixdegrees</v>
      </c>
      <c r="B17409" s="65" t="s">
        <v>3875</v>
      </c>
    </row>
    <row r="17410" spans="1:2" x14ac:dyDescent="0.25">
      <c r="A17410" s="64" t="str">
        <f>HYPERLINK("http://www.twitter.com/KTsmithyman", "KTsmithyman")</f>
        <v>KTsmithyman</v>
      </c>
      <c r="B17410" s="65" t="s">
        <v>24</v>
      </c>
    </row>
    <row r="17411" spans="1:2" x14ac:dyDescent="0.25">
      <c r="A17411" s="64" t="str">
        <f>HYPERLINK("http://www.twitter.com/Hermionespantry", "Hermionespantry")</f>
        <v>Hermionespantry</v>
      </c>
      <c r="B17411" s="65" t="s">
        <v>4484</v>
      </c>
    </row>
    <row r="17412" spans="1:2" x14ac:dyDescent="0.25">
      <c r="A17412" s="64" t="str">
        <f>HYPERLINK("http://www.twitter.com/DerbyCathedral", "DerbyCathedral")</f>
        <v>DerbyCathedral</v>
      </c>
      <c r="B17412" s="65" t="s">
        <v>3670</v>
      </c>
    </row>
    <row r="17413" spans="1:2" x14ac:dyDescent="0.25">
      <c r="A17413" s="64" t="str">
        <f>HYPERLINK("http://www.twitter.com/madgeatihi", "madgeatihi")</f>
        <v>madgeatihi</v>
      </c>
      <c r="B17413" s="65"/>
    </row>
    <row r="17414" spans="1:2" x14ac:dyDescent="0.25">
      <c r="A17414" s="64" t="str">
        <f>HYPERLINK("http://www.twitter.com/downey_kathryn", "downey_kathryn")</f>
        <v>downey_kathryn</v>
      </c>
      <c r="B17414" s="65"/>
    </row>
    <row r="17415" spans="1:2" x14ac:dyDescent="0.25">
      <c r="A17415" s="64" t="str">
        <f>HYPERLINK("http://www.twitter.com/winklepin", "winklepin")</f>
        <v>winklepin</v>
      </c>
      <c r="B17415" s="65" t="s">
        <v>3233</v>
      </c>
    </row>
    <row r="17416" spans="1:2" x14ac:dyDescent="0.25">
      <c r="A17416" s="64" t="str">
        <f>HYPERLINK("http://www.twitter.com/Colcloughtweets", "Colcloughtweets")</f>
        <v>Colcloughtweets</v>
      </c>
      <c r="B17416" s="65"/>
    </row>
    <row r="17417" spans="1:2" x14ac:dyDescent="0.25">
      <c r="A17417" s="64" t="str">
        <f>HYPERLINK("http://www.twitter.com/KulaBeth", "KulaBeth")</f>
        <v>KulaBeth</v>
      </c>
      <c r="B17417" s="65" t="s">
        <v>9010</v>
      </c>
    </row>
    <row r="17418" spans="1:2" x14ac:dyDescent="0.25">
      <c r="A17418" s="64" t="str">
        <f>HYPERLINK("http://www.twitter.com/chanale", "chanale")</f>
        <v>chanale</v>
      </c>
      <c r="B17418" s="65" t="s">
        <v>7852</v>
      </c>
    </row>
    <row r="17419" spans="1:2" x14ac:dyDescent="0.25">
      <c r="A17419" s="64" t="str">
        <f>HYPERLINK("http://www.twitter.com/Plannnna", "Plannnna")</f>
        <v>Plannnna</v>
      </c>
      <c r="B17419" s="65"/>
    </row>
    <row r="17420" spans="1:2" x14ac:dyDescent="0.25">
      <c r="A17420" s="64" t="str">
        <f>HYPERLINK("http://www.twitter.com/Dekay1974", "Dekay1974")</f>
        <v>Dekay1974</v>
      </c>
      <c r="B17420" s="65"/>
    </row>
    <row r="17421" spans="1:2" x14ac:dyDescent="0.25">
      <c r="A17421" s="64" t="str">
        <f>HYPERLINK("http://www.twitter.com/PAG1962", "PAG1962")</f>
        <v>PAG1962</v>
      </c>
      <c r="B17421" s="65" t="s">
        <v>24</v>
      </c>
    </row>
    <row r="17422" spans="1:2" x14ac:dyDescent="0.25">
      <c r="A17422" s="64" t="str">
        <f>HYPERLINK("http://www.twitter.com/TangletownsEdge", "TangletownsEdge")</f>
        <v>TangletownsEdge</v>
      </c>
      <c r="B17422" s="65" t="s">
        <v>4309</v>
      </c>
    </row>
    <row r="17423" spans="1:2" x14ac:dyDescent="0.25">
      <c r="A17423" s="64" t="str">
        <f>HYPERLINK("http://www.twitter.com/rachelheath", "rachelheath")</f>
        <v>rachelheath</v>
      </c>
      <c r="B17423" s="65" t="s">
        <v>3483</v>
      </c>
    </row>
    <row r="17424" spans="1:2" x14ac:dyDescent="0.25">
      <c r="A17424" s="64" t="str">
        <f>HYPERLINK("http://www.twitter.com/thingumy_bob", "thingumy_bob")</f>
        <v>thingumy_bob</v>
      </c>
      <c r="B17424" s="65" t="s">
        <v>517</v>
      </c>
    </row>
    <row r="17425" spans="1:2" x14ac:dyDescent="0.25">
      <c r="A17425" s="64" t="str">
        <f>HYPERLINK("http://www.twitter.com/anne_agullane", "anne_agullane")</f>
        <v>anne_agullane</v>
      </c>
      <c r="B17425" s="65"/>
    </row>
    <row r="17426" spans="1:2" x14ac:dyDescent="0.25">
      <c r="A17426" s="64" t="str">
        <f>HYPERLINK("http://www.twitter.com/Meg_and_Midge", "Meg_and_Midge")</f>
        <v>Meg_and_Midge</v>
      </c>
      <c r="B17426" s="65"/>
    </row>
    <row r="17427" spans="1:2" x14ac:dyDescent="0.25">
      <c r="A17427" s="64" t="str">
        <f>HYPERLINK("http://www.twitter.com/CaptainLibrary", "CaptainLibrary")</f>
        <v>CaptainLibrary</v>
      </c>
      <c r="B17427" s="65" t="s">
        <v>9011</v>
      </c>
    </row>
    <row r="17428" spans="1:2" x14ac:dyDescent="0.25">
      <c r="A17428" s="64" t="str">
        <f>HYPERLINK("http://www.twitter.com/martinus_cz", "martinus_cz")</f>
        <v>martinus_cz</v>
      </c>
      <c r="B17428" s="65"/>
    </row>
    <row r="17429" spans="1:2" x14ac:dyDescent="0.25">
      <c r="A17429" s="64" t="str">
        <f>HYPERLINK("http://www.twitter.com/Frieda_M", "Frieda_M")</f>
        <v>Frieda_M</v>
      </c>
      <c r="B17429" s="65" t="s">
        <v>788</v>
      </c>
    </row>
    <row r="17430" spans="1:2" x14ac:dyDescent="0.25">
      <c r="A17430" s="64" t="str">
        <f>HYPERLINK("http://www.twitter.com/pollianicus", "pollianicus")</f>
        <v>pollianicus</v>
      </c>
      <c r="B17430" s="65" t="s">
        <v>487</v>
      </c>
    </row>
    <row r="17431" spans="1:2" x14ac:dyDescent="0.25">
      <c r="A17431" s="64" t="str">
        <f>HYPERLINK("http://www.twitter.com/jennimuir", "jennimuir")</f>
        <v>jennimuir</v>
      </c>
      <c r="B17431" s="65" t="s">
        <v>9012</v>
      </c>
    </row>
    <row r="17432" spans="1:2" x14ac:dyDescent="0.25">
      <c r="A17432" s="64" t="str">
        <f>HYPERLINK("http://www.twitter.com/Hakerfelt", "Hakerfelt")</f>
        <v>Hakerfelt</v>
      </c>
      <c r="B17432" s="65" t="s">
        <v>5417</v>
      </c>
    </row>
    <row r="17433" spans="1:2" x14ac:dyDescent="0.25">
      <c r="A17433" s="64" t="str">
        <f>HYPERLINK("http://www.twitter.com/IrmaRissa", "IrmaRissa")</f>
        <v>IrmaRissa</v>
      </c>
      <c r="B17433" s="65"/>
    </row>
    <row r="17434" spans="1:2" x14ac:dyDescent="0.25">
      <c r="A17434" s="64" t="str">
        <f>HYPERLINK("http://www.twitter.com/rj_nielsen", "rj_nielsen")</f>
        <v>rj_nielsen</v>
      </c>
      <c r="B17434" s="65" t="s">
        <v>487</v>
      </c>
    </row>
    <row r="17435" spans="1:2" x14ac:dyDescent="0.25">
      <c r="A17435" s="64" t="str">
        <f>HYPERLINK("http://www.twitter.com/BiblHogskolVast", "BiblHogskolVast")</f>
        <v>BiblHogskolVast</v>
      </c>
      <c r="B17435" s="65" t="s">
        <v>9013</v>
      </c>
    </row>
    <row r="17436" spans="1:2" x14ac:dyDescent="0.25">
      <c r="A17436" s="64" t="str">
        <f>HYPERLINK("http://www.twitter.com/davidmb73", "davidmb73")</f>
        <v>davidmb73</v>
      </c>
      <c r="B17436" s="65" t="s">
        <v>5398</v>
      </c>
    </row>
    <row r="17437" spans="1:2" x14ac:dyDescent="0.25">
      <c r="A17437" s="64" t="str">
        <f>HYPERLINK("http://www.twitter.com/robertjnth", "robertjnth")</f>
        <v>robertjnth</v>
      </c>
      <c r="B17437" s="65"/>
    </row>
    <row r="17438" spans="1:2" x14ac:dyDescent="0.25">
      <c r="A17438" s="64" t="str">
        <f>HYPERLINK("http://www.twitter.com/JMcFrederick", "JMcFrederick")</f>
        <v>JMcFrederick</v>
      </c>
      <c r="B17438" s="65" t="s">
        <v>2595</v>
      </c>
    </row>
    <row r="17439" spans="1:2" x14ac:dyDescent="0.25">
      <c r="A17439" s="64" t="str">
        <f>HYPERLINK("http://www.twitter.com/Library_Val", "Library_Val")</f>
        <v>Library_Val</v>
      </c>
      <c r="B17439" s="65" t="s">
        <v>102</v>
      </c>
    </row>
    <row r="17440" spans="1:2" x14ac:dyDescent="0.25">
      <c r="A17440" s="64" t="str">
        <f>HYPERLINK("http://www.twitter.com/weloveallthat", "weloveallthat")</f>
        <v>weloveallthat</v>
      </c>
      <c r="B17440" s="65" t="s">
        <v>9014</v>
      </c>
    </row>
    <row r="17441" spans="1:2" x14ac:dyDescent="0.25">
      <c r="A17441" s="64" t="str">
        <f>HYPERLINK("http://www.twitter.com/Kelli_Shannon", "Kelli_Shannon")</f>
        <v>Kelli_Shannon</v>
      </c>
      <c r="B17441" s="65" t="s">
        <v>9015</v>
      </c>
    </row>
    <row r="17442" spans="1:2" x14ac:dyDescent="0.25">
      <c r="A17442" s="64" t="str">
        <f>HYPERLINK("http://www.twitter.com/Alterapter", "Alterapter")</f>
        <v>Alterapter</v>
      </c>
      <c r="B17442" s="65"/>
    </row>
    <row r="17443" spans="1:2" x14ac:dyDescent="0.25">
      <c r="A17443" s="64" t="str">
        <f>HYPERLINK("http://www.twitter.com/Boxyshistory", "Boxyshistory")</f>
        <v>Boxyshistory</v>
      </c>
      <c r="B17443" s="65" t="s">
        <v>9016</v>
      </c>
    </row>
    <row r="17444" spans="1:2" x14ac:dyDescent="0.25">
      <c r="A17444" s="64" t="str">
        <f>HYPERLINK("http://www.twitter.com/LIANZAPresident", "LIANZAPresident")</f>
        <v>LIANZAPresident</v>
      </c>
      <c r="B17444" s="65" t="s">
        <v>9017</v>
      </c>
    </row>
    <row r="17445" spans="1:2" x14ac:dyDescent="0.25">
      <c r="A17445" s="64" t="str">
        <f>HYPERLINK("http://www.twitter.com/Ellen27", "Ellen27")</f>
        <v>Ellen27</v>
      </c>
      <c r="B17445" s="65" t="s">
        <v>517</v>
      </c>
    </row>
    <row r="17446" spans="1:2" x14ac:dyDescent="0.25">
      <c r="A17446" s="64" t="str">
        <f>HYPERLINK("http://www.twitter.com/Hobbyforskaren", "Hobbyforskaren")</f>
        <v>Hobbyforskaren</v>
      </c>
      <c r="B17446" s="65"/>
    </row>
    <row r="17447" spans="1:2" x14ac:dyDescent="0.25">
      <c r="A17447" s="64" t="str">
        <f>HYPERLINK("http://www.twitter.com/gveducate", "gveducate")</f>
        <v>gveducate</v>
      </c>
      <c r="B17447" s="65"/>
    </row>
    <row r="17448" spans="1:2" x14ac:dyDescent="0.25">
      <c r="A17448" s="64" t="str">
        <f>HYPERLINK("http://www.twitter.com/annika_n", "annika_n")</f>
        <v>annika_n</v>
      </c>
      <c r="B17448" s="65" t="s">
        <v>9018</v>
      </c>
    </row>
    <row r="17449" spans="1:2" x14ac:dyDescent="0.25">
      <c r="A17449" s="64" t="str">
        <f>HYPERLINK("http://www.twitter.com/Johsen", "Johsen")</f>
        <v>Johsen</v>
      </c>
      <c r="B17449" s="65"/>
    </row>
    <row r="17450" spans="1:2" x14ac:dyDescent="0.25">
      <c r="A17450" s="64" t="str">
        <f>HYPERLINK("http://www.twitter.com/otsi", "otsi")</f>
        <v>otsi</v>
      </c>
      <c r="B17450" s="65"/>
    </row>
    <row r="17451" spans="1:2" x14ac:dyDescent="0.25">
      <c r="A17451" s="64" t="str">
        <f>HYPERLINK("http://www.twitter.com/nelbroon", "nelbroon")</f>
        <v>nelbroon</v>
      </c>
      <c r="B17451" s="65"/>
    </row>
    <row r="17452" spans="1:2" x14ac:dyDescent="0.25">
      <c r="A17452" s="64" t="str">
        <f>HYPERLINK("http://www.twitter.com/rowancoleman", "rowancoleman")</f>
        <v>rowancoleman</v>
      </c>
      <c r="B17452" s="65" t="s">
        <v>2580</v>
      </c>
    </row>
    <row r="17453" spans="1:2" x14ac:dyDescent="0.25">
      <c r="A17453" s="64" t="str">
        <f>HYPERLINK("http://www.twitter.com/MayaraA1998", "MayaraA1998")</f>
        <v>MayaraA1998</v>
      </c>
      <c r="B17453" s="65" t="s">
        <v>9019</v>
      </c>
    </row>
    <row r="17454" spans="1:2" x14ac:dyDescent="0.25">
      <c r="A17454" s="64" t="str">
        <f>HYPERLINK("http://www.twitter.com/AardvarkEthel", "AardvarkEthel")</f>
        <v>AardvarkEthel</v>
      </c>
      <c r="B17454" s="65" t="s">
        <v>9020</v>
      </c>
    </row>
    <row r="17455" spans="1:2" x14ac:dyDescent="0.25">
      <c r="A17455" s="64" t="str">
        <f>HYPERLINK("http://www.twitter.com/HubertCrumble", "HubertCrumble")</f>
        <v>HubertCrumble</v>
      </c>
      <c r="B17455" s="65" t="s">
        <v>2507</v>
      </c>
    </row>
    <row r="17456" spans="1:2" x14ac:dyDescent="0.25">
      <c r="A17456" s="64" t="str">
        <f>HYPERLINK("http://www.twitter.com/cheesecoleslaw", "cheesecoleslaw")</f>
        <v>cheesecoleslaw</v>
      </c>
      <c r="B17456" s="65"/>
    </row>
    <row r="17457" spans="1:2" x14ac:dyDescent="0.25">
      <c r="A17457" s="64" t="str">
        <f>HYPERLINK("http://www.twitter.com/jintymcginty22", "jintymcginty22")</f>
        <v>jintymcginty22</v>
      </c>
      <c r="B17457" s="65" t="s">
        <v>5284</v>
      </c>
    </row>
    <row r="17458" spans="1:2" x14ac:dyDescent="0.25">
      <c r="A17458" s="64" t="str">
        <f>HYPERLINK("http://www.twitter.com/FreeBirdAAS", "FreeBirdAAS")</f>
        <v>FreeBirdAAS</v>
      </c>
      <c r="B17458" s="65" t="s">
        <v>4452</v>
      </c>
    </row>
    <row r="17459" spans="1:2" x14ac:dyDescent="0.25">
      <c r="A17459" s="64" t="str">
        <f>HYPERLINK("http://www.twitter.com/Renocs07", "Renocs07")</f>
        <v>Renocs07</v>
      </c>
      <c r="B17459" s="65" t="s">
        <v>9021</v>
      </c>
    </row>
    <row r="17460" spans="1:2" x14ac:dyDescent="0.25">
      <c r="A17460" s="64" t="str">
        <f>HYPERLINK("http://www.twitter.com/arson1966", "arson1966")</f>
        <v>arson1966</v>
      </c>
      <c r="B17460" s="65"/>
    </row>
    <row r="17461" spans="1:2" x14ac:dyDescent="0.25">
      <c r="A17461" s="64" t="str">
        <f>HYPERLINK("http://www.twitter.com/isla_tait13", "isla_tait13")</f>
        <v>isla_tait13</v>
      </c>
      <c r="B17461" s="65" t="s">
        <v>20</v>
      </c>
    </row>
    <row r="17462" spans="1:2" x14ac:dyDescent="0.25">
      <c r="A17462" s="64" t="str">
        <f>HYPERLINK("http://www.twitter.com/IslaMacLeodCook", "IslaMacLeodCook")</f>
        <v>IslaMacLeodCook</v>
      </c>
      <c r="B17462" s="65" t="s">
        <v>487</v>
      </c>
    </row>
    <row r="17463" spans="1:2" x14ac:dyDescent="0.25">
      <c r="A17463" s="64" t="str">
        <f>HYPERLINK("http://www.twitter.com/noodlepie", "noodlepie")</f>
        <v>noodlepie</v>
      </c>
      <c r="B17463" s="65" t="s">
        <v>9022</v>
      </c>
    </row>
    <row r="17464" spans="1:2" x14ac:dyDescent="0.25">
      <c r="A17464" s="64" t="str">
        <f>HYPERLINK("http://www.twitter.com/goodgirlgoneblg", "goodgirlgoneblg")</f>
        <v>goodgirlgoneblg</v>
      </c>
      <c r="B17464" s="65" t="s">
        <v>318</v>
      </c>
    </row>
    <row r="17465" spans="1:2" x14ac:dyDescent="0.25">
      <c r="A17465" s="64" t="str">
        <f>HYPERLINK("http://www.twitter.com/wanderlustlaul", "wanderlustlaul")</f>
        <v>wanderlustlaul</v>
      </c>
      <c r="B17465" s="65"/>
    </row>
    <row r="17466" spans="1:2" x14ac:dyDescent="0.25">
      <c r="A17466" s="64" t="str">
        <f>HYPERLINK("http://www.twitter.com/typecooke", "typecooke")</f>
        <v>typecooke</v>
      </c>
      <c r="B17466" s="65" t="s">
        <v>9023</v>
      </c>
    </row>
    <row r="17467" spans="1:2" x14ac:dyDescent="0.25">
      <c r="A17467" s="64" t="str">
        <f>HYPERLINK("http://www.twitter.com/eaglebookshop", "eaglebookshop")</f>
        <v>eaglebookshop</v>
      </c>
      <c r="B17467" s="65"/>
    </row>
    <row r="17468" spans="1:2" x14ac:dyDescent="0.25">
      <c r="A17468" s="64" t="str">
        <f>HYPERLINK("http://www.twitter.com/hplatts", "hplatts")</f>
        <v>hplatts</v>
      </c>
      <c r="B17468" s="65"/>
    </row>
    <row r="17469" spans="1:2" x14ac:dyDescent="0.25">
      <c r="A17469" s="64" t="str">
        <f>HYPERLINK("http://www.twitter.com/P_B_Wee", "P_B_Wee")</f>
        <v>P_B_Wee</v>
      </c>
      <c r="B17469" s="65"/>
    </row>
    <row r="17470" spans="1:2" x14ac:dyDescent="0.25">
      <c r="A17470" s="64" t="str">
        <f>HYPERLINK("http://www.twitter.com/_anne_an", "_anne_an")</f>
        <v>_anne_an</v>
      </c>
      <c r="B17470" s="65" t="s">
        <v>9024</v>
      </c>
    </row>
    <row r="17471" spans="1:2" x14ac:dyDescent="0.25">
      <c r="A17471" s="64" t="str">
        <f>HYPERLINK("http://www.twitter.com/manwithbooks", "manwithbooks")</f>
        <v>manwithbooks</v>
      </c>
      <c r="B17471" s="65" t="s">
        <v>2679</v>
      </c>
    </row>
    <row r="17472" spans="1:2" x14ac:dyDescent="0.25">
      <c r="A17472" s="64" t="str">
        <f>HYPERLINK("http://www.twitter.com/themeels", "themeels")</f>
        <v>themeels</v>
      </c>
      <c r="B17472" s="65" t="s">
        <v>9015</v>
      </c>
    </row>
    <row r="17473" spans="1:2" x14ac:dyDescent="0.25">
      <c r="A17473" s="64" t="str">
        <f>HYPERLINK("http://www.twitter.com/ChrisWoodRadio", "ChrisWoodRadio")</f>
        <v>ChrisWoodRadio</v>
      </c>
      <c r="B17473" s="65"/>
    </row>
    <row r="17474" spans="1:2" x14ac:dyDescent="0.25">
      <c r="A17474" s="64" t="str">
        <f>HYPERLINK("http://www.twitter.com/Man_in_Black666", "Man_in_Black666")</f>
        <v>Man_in_Black666</v>
      </c>
      <c r="B17474" s="65" t="s">
        <v>9025</v>
      </c>
    </row>
    <row r="17475" spans="1:2" x14ac:dyDescent="0.25">
      <c r="A17475" s="64" t="str">
        <f>HYPERLINK("http://www.twitter.com/rutherfordcraze", "rutherfordcraze")</f>
        <v>rutherfordcraze</v>
      </c>
      <c r="B17475" s="65" t="s">
        <v>9026</v>
      </c>
    </row>
    <row r="17476" spans="1:2" x14ac:dyDescent="0.25">
      <c r="A17476" s="64" t="str">
        <f>HYPERLINK("http://www.twitter.com/GrillCosby", "GrillCosby")</f>
        <v>GrillCosby</v>
      </c>
      <c r="B17476" s="65" t="s">
        <v>808</v>
      </c>
    </row>
    <row r="17477" spans="1:2" x14ac:dyDescent="0.25">
      <c r="A17477" s="64" t="str">
        <f>HYPERLINK("http://www.twitter.com/petetheox", "petetheox")</f>
        <v>petetheox</v>
      </c>
      <c r="B17477" s="65" t="s">
        <v>9027</v>
      </c>
    </row>
    <row r="17478" spans="1:2" x14ac:dyDescent="0.25">
      <c r="A17478" s="64" t="str">
        <f>HYPERLINK("http://www.twitter.com/JossMurdoch", "JossMurdoch")</f>
        <v>JossMurdoch</v>
      </c>
      <c r="B17478" s="65" t="s">
        <v>24</v>
      </c>
    </row>
    <row r="17479" spans="1:2" x14ac:dyDescent="0.25">
      <c r="A17479" s="64" t="str">
        <f>HYPERLINK("http://www.twitter.com/MysteryMacRae", "MysteryMacRae")</f>
        <v>MysteryMacRae</v>
      </c>
      <c r="B17479" s="65" t="s">
        <v>6566</v>
      </c>
    </row>
    <row r="17480" spans="1:2" x14ac:dyDescent="0.25">
      <c r="A17480" s="64" t="str">
        <f>HYPERLINK("http://www.twitter.com/floke9", "floke9")</f>
        <v>floke9</v>
      </c>
      <c r="B17480" s="65" t="s">
        <v>9028</v>
      </c>
    </row>
    <row r="17481" spans="1:2" x14ac:dyDescent="0.25">
      <c r="A17481" s="64" t="str">
        <f>HYPERLINK("http://www.twitter.com/SiobhanSynnot", "SiobhanSynnot")</f>
        <v>SiobhanSynnot</v>
      </c>
      <c r="B17481" s="65" t="s">
        <v>9029</v>
      </c>
    </row>
    <row r="17482" spans="1:2" x14ac:dyDescent="0.25">
      <c r="A17482" s="64" t="str">
        <f>HYPERLINK("http://www.twitter.com/cardi_claire", "cardi_claire")</f>
        <v>cardi_claire</v>
      </c>
      <c r="B17482" s="65" t="s">
        <v>926</v>
      </c>
    </row>
    <row r="17483" spans="1:2" x14ac:dyDescent="0.25">
      <c r="A17483" s="64" t="str">
        <f>HYPERLINK("http://www.twitter.com/MsABurnside", "MsABurnside")</f>
        <v>MsABurnside</v>
      </c>
      <c r="B17483" s="65" t="s">
        <v>138</v>
      </c>
    </row>
    <row r="17484" spans="1:2" x14ac:dyDescent="0.25">
      <c r="A17484" s="64" t="str">
        <f>HYPERLINK("http://www.twitter.com/Muniswaran", "Muniswaran")</f>
        <v>Muniswaran</v>
      </c>
      <c r="B17484" s="65"/>
    </row>
    <row r="17485" spans="1:2" x14ac:dyDescent="0.25">
      <c r="A17485" s="64" t="str">
        <f>HYPERLINK("http://www.twitter.com/himp", "himp")</f>
        <v>himp</v>
      </c>
      <c r="B17485" s="65" t="s">
        <v>138</v>
      </c>
    </row>
    <row r="17486" spans="1:2" x14ac:dyDescent="0.25">
      <c r="A17486" s="64" t="str">
        <f>HYPERLINK("http://www.twitter.com/HelsS19", "HelsS19")</f>
        <v>HelsS19</v>
      </c>
      <c r="B17486" s="65" t="s">
        <v>517</v>
      </c>
    </row>
    <row r="17487" spans="1:2" x14ac:dyDescent="0.25">
      <c r="A17487" s="64" t="str">
        <f>HYPERLINK("http://www.twitter.com/AlloaAcademyLib", "AlloaAcademyLib")</f>
        <v>AlloaAcademyLib</v>
      </c>
      <c r="B17487" s="65" t="s">
        <v>3213</v>
      </c>
    </row>
    <row r="17488" spans="1:2" x14ac:dyDescent="0.25">
      <c r="A17488" s="64" t="str">
        <f>HYPERLINK("http://www.twitter.com/PetraPichler1", "PetraPichler1")</f>
        <v>PetraPichler1</v>
      </c>
      <c r="B17488" s="65" t="s">
        <v>6097</v>
      </c>
    </row>
    <row r="17489" spans="1:2" x14ac:dyDescent="0.25">
      <c r="A17489" s="64" t="str">
        <f>HYPERLINK("http://www.twitter.com/Vilinthril", "Vilinthril")</f>
        <v>Vilinthril</v>
      </c>
      <c r="B17489" s="65" t="s">
        <v>7160</v>
      </c>
    </row>
    <row r="17490" spans="1:2" x14ac:dyDescent="0.25">
      <c r="A17490" s="64" t="str">
        <f>HYPERLINK("http://www.twitter.com/EddaKatrin", "EddaKatrin")</f>
        <v>EddaKatrin</v>
      </c>
      <c r="B17490" s="65"/>
    </row>
    <row r="17491" spans="1:2" x14ac:dyDescent="0.25">
      <c r="A17491" s="64" t="str">
        <f>HYPERLINK("http://www.twitter.com/gfelge", "gfelge")</f>
        <v>gfelge</v>
      </c>
      <c r="B17491" s="65" t="s">
        <v>9030</v>
      </c>
    </row>
    <row r="17492" spans="1:2" x14ac:dyDescent="0.25">
      <c r="A17492" s="64" t="str">
        <f>HYPERLINK("http://www.twitter.com/nanpatt47", "nanpatt47")</f>
        <v>nanpatt47</v>
      </c>
      <c r="B17492" s="65"/>
    </row>
    <row r="17493" spans="1:2" x14ac:dyDescent="0.25">
      <c r="A17493" s="64" t="str">
        <f>HYPERLINK("http://www.twitter.com/nikcster", "nikcster")</f>
        <v>nikcster</v>
      </c>
      <c r="B17493" s="65"/>
    </row>
    <row r="17494" spans="1:2" x14ac:dyDescent="0.25">
      <c r="A17494" s="64" t="str">
        <f>HYPERLINK("http://www.twitter.com/maesyfro", "maesyfro")</f>
        <v>maesyfro</v>
      </c>
      <c r="B17494" s="65"/>
    </row>
    <row r="17495" spans="1:2" x14ac:dyDescent="0.25">
      <c r="A17495" s="64" t="str">
        <f>HYPERLINK("http://www.twitter.com/ScottishLit", "ScottishLit")</f>
        <v>ScottishLit</v>
      </c>
      <c r="B17495" s="65" t="s">
        <v>487</v>
      </c>
    </row>
    <row r="17496" spans="1:2" x14ac:dyDescent="0.25">
      <c r="A17496" s="64" t="str">
        <f>HYPERLINK("http://www.twitter.com/DaveMurchison83", "DaveMurchison83")</f>
        <v>DaveMurchison83</v>
      </c>
      <c r="B17496" s="65" t="s">
        <v>2007</v>
      </c>
    </row>
    <row r="17497" spans="1:2" x14ac:dyDescent="0.25">
      <c r="A17497" s="64" t="str">
        <f>HYPERLINK("http://www.twitter.com/MelenieNZ", "MelenieNZ")</f>
        <v>MelenieNZ</v>
      </c>
      <c r="B17497" s="65" t="s">
        <v>3816</v>
      </c>
    </row>
    <row r="17498" spans="1:2" x14ac:dyDescent="0.25">
      <c r="A17498" s="64" t="str">
        <f>HYPERLINK("http://www.twitter.com/thezestyunicorn", "thezestyunicorn")</f>
        <v>thezestyunicorn</v>
      </c>
      <c r="B17498" s="65" t="s">
        <v>2007</v>
      </c>
    </row>
    <row r="17499" spans="1:2" x14ac:dyDescent="0.25">
      <c r="A17499" s="64" t="str">
        <f>HYPERLINK("http://www.twitter.com/HaidiLun", "HaidiLun")</f>
        <v>HaidiLun</v>
      </c>
      <c r="B17499" s="65" t="s">
        <v>4275</v>
      </c>
    </row>
    <row r="17500" spans="1:2" x14ac:dyDescent="0.25">
      <c r="A17500" s="64" t="str">
        <f>HYPERLINK("http://www.twitter.com/hernandeshomunc", "hernandeshomunc")</f>
        <v>hernandeshomunc</v>
      </c>
      <c r="B17500" s="65"/>
    </row>
    <row r="17501" spans="1:2" x14ac:dyDescent="0.25">
      <c r="A17501" s="64" t="str">
        <f>HYPERLINK("http://www.twitter.com/1PatrickHogan", "1PatrickHogan")</f>
        <v>1PatrickHogan</v>
      </c>
      <c r="B17501" s="65" t="s">
        <v>487</v>
      </c>
    </row>
    <row r="17502" spans="1:2" x14ac:dyDescent="0.25">
      <c r="A17502" s="64" t="str">
        <f>HYPERLINK("http://www.twitter.com/andrewpunton", "andrewpunton")</f>
        <v>andrewpunton</v>
      </c>
      <c r="B17502" s="65" t="s">
        <v>9031</v>
      </c>
    </row>
    <row r="17503" spans="1:2" x14ac:dyDescent="0.25">
      <c r="A17503" s="64" t="str">
        <f>HYPERLINK("http://www.twitter.com/RobbJ999", "RobbJ999")</f>
        <v>RobbJ999</v>
      </c>
      <c r="B17503" s="65" t="s">
        <v>1218</v>
      </c>
    </row>
    <row r="17504" spans="1:2" x14ac:dyDescent="0.25">
      <c r="A17504" s="64" t="str">
        <f>HYPERLINK("http://www.twitter.com/Ned_Donovan", "Ned_Donovan")</f>
        <v>Ned_Donovan</v>
      </c>
      <c r="B17504" s="65" t="s">
        <v>9032</v>
      </c>
    </row>
    <row r="17505" spans="1:2" x14ac:dyDescent="0.25">
      <c r="A17505" s="64" t="str">
        <f>HYPERLINK("http://www.twitter.com/grumpybirb", "grumpybirb")</f>
        <v>grumpybirb</v>
      </c>
      <c r="B17505" s="65" t="s">
        <v>3816</v>
      </c>
    </row>
    <row r="17506" spans="1:2" x14ac:dyDescent="0.25">
      <c r="A17506" s="64" t="str">
        <f>HYPERLINK("http://www.twitter.com/ST_Television", "ST_Television")</f>
        <v>ST_Television</v>
      </c>
      <c r="B17506" s="65" t="s">
        <v>9033</v>
      </c>
    </row>
    <row r="17507" spans="1:2" x14ac:dyDescent="0.25">
      <c r="A17507" s="64" t="str">
        <f>HYPERLINK("http://www.twitter.com/BBCDouglasF", "BBCDouglasF")</f>
        <v>BBCDouglasF</v>
      </c>
      <c r="B17507" s="65"/>
    </row>
    <row r="17508" spans="1:2" x14ac:dyDescent="0.25">
      <c r="A17508" s="64" t="str">
        <f>HYPERLINK("http://www.twitter.com/jamieriddell", "jamieriddell")</f>
        <v>jamieriddell</v>
      </c>
      <c r="B17508" s="65" t="s">
        <v>9034</v>
      </c>
    </row>
    <row r="17509" spans="1:2" x14ac:dyDescent="0.25">
      <c r="A17509" s="64" t="str">
        <f>HYPERLINK("http://www.twitter.com/nataliwindsor", "nataliwindsor")</f>
        <v>nataliwindsor</v>
      </c>
      <c r="B17509" s="65" t="s">
        <v>9035</v>
      </c>
    </row>
    <row r="17510" spans="1:2" x14ac:dyDescent="0.25">
      <c r="A17510" s="64" t="str">
        <f>HYPERLINK("http://www.twitter.com/bethygabriel", "bethygabriel")</f>
        <v>bethygabriel</v>
      </c>
      <c r="B17510" s="65" t="s">
        <v>6962</v>
      </c>
    </row>
    <row r="17511" spans="1:2" x14ac:dyDescent="0.25">
      <c r="A17511" s="64" t="str">
        <f>HYPERLINK("http://www.twitter.com/RosiesOf", "RosiesOf")</f>
        <v>RosiesOf</v>
      </c>
      <c r="B17511" s="65" t="s">
        <v>9036</v>
      </c>
    </row>
    <row r="17512" spans="1:2" x14ac:dyDescent="0.25">
      <c r="A17512" s="64" t="str">
        <f>HYPERLINK("http://www.twitter.com/tickingboy", "tickingboy")</f>
        <v>tickingboy</v>
      </c>
      <c r="B17512" s="65"/>
    </row>
    <row r="17513" spans="1:2" x14ac:dyDescent="0.25">
      <c r="A17513" s="64" t="str">
        <f>HYPERLINK("http://www.twitter.com/danrboothby", "danrboothby")</f>
        <v>danrboothby</v>
      </c>
      <c r="B17513" s="65" t="s">
        <v>4394</v>
      </c>
    </row>
    <row r="17514" spans="1:2" x14ac:dyDescent="0.25">
      <c r="A17514" s="64" t="str">
        <f>HYPERLINK("http://www.twitter.com/PaulGregory", "PaulGregory")</f>
        <v>PaulGregory</v>
      </c>
      <c r="B17514" s="65" t="s">
        <v>920</v>
      </c>
    </row>
    <row r="17515" spans="1:2" x14ac:dyDescent="0.25">
      <c r="A17515" s="64" t="str">
        <f>HYPERLINK("http://www.twitter.com/NewClassic14", "NewClassic14")</f>
        <v>NewClassic14</v>
      </c>
      <c r="B17515" s="65"/>
    </row>
    <row r="17516" spans="1:2" x14ac:dyDescent="0.25">
      <c r="A17516" s="64" t="str">
        <f>HYPERLINK("http://www.twitter.com/lindawhitson1", "lindawhitson1")</f>
        <v>lindawhitson1</v>
      </c>
      <c r="B17516" s="65" t="s">
        <v>4019</v>
      </c>
    </row>
    <row r="17517" spans="1:2" x14ac:dyDescent="0.25">
      <c r="A17517" s="64" t="str">
        <f>HYPERLINK("http://www.twitter.com/onthecliffedge", "onthecliffedge")</f>
        <v>onthecliffedge</v>
      </c>
      <c r="B17517" s="65" t="s">
        <v>6612</v>
      </c>
    </row>
    <row r="17518" spans="1:2" x14ac:dyDescent="0.25">
      <c r="A17518" s="64" t="str">
        <f>HYPERLINK("http://www.twitter.com/loganwriter", "loganwriter")</f>
        <v>loganwriter</v>
      </c>
      <c r="B17518" s="65" t="s">
        <v>9037</v>
      </c>
    </row>
    <row r="17519" spans="1:2" x14ac:dyDescent="0.25">
      <c r="A17519" s="64" t="str">
        <f>HYPERLINK("http://www.twitter.com/zandydavo", "zandydavo")</f>
        <v>zandydavo</v>
      </c>
      <c r="B17519" s="65" t="s">
        <v>9038</v>
      </c>
    </row>
    <row r="17520" spans="1:2" x14ac:dyDescent="0.25">
      <c r="A17520" s="64" t="str">
        <f>HYPERLINK("http://www.twitter.com/Lotusinhove", "Lotusinhove")</f>
        <v>Lotusinhove</v>
      </c>
      <c r="B17520" s="65"/>
    </row>
    <row r="17521" spans="1:2" x14ac:dyDescent="0.25">
      <c r="A17521" s="64" t="str">
        <f>HYPERLINK("http://www.twitter.com/esthervalent", "esthervalent")</f>
        <v>esthervalent</v>
      </c>
      <c r="B17521" s="65" t="s">
        <v>9039</v>
      </c>
    </row>
    <row r="17522" spans="1:2" x14ac:dyDescent="0.25">
      <c r="A17522" s="64" t="str">
        <f>HYPERLINK("http://www.twitter.com/the_workoutlife", "the_workoutlife")</f>
        <v>the_workoutlife</v>
      </c>
      <c r="B17522" s="65" t="s">
        <v>110</v>
      </c>
    </row>
    <row r="17523" spans="1:2" x14ac:dyDescent="0.25">
      <c r="A17523" s="64" t="str">
        <f>HYPERLINK("http://www.twitter.com/greenfingers183", "greenfingers183")</f>
        <v>greenfingers183</v>
      </c>
      <c r="B17523" s="65"/>
    </row>
    <row r="17524" spans="1:2" x14ac:dyDescent="0.25">
      <c r="A17524" s="64" t="str">
        <f>HYPERLINK("http://www.twitter.com/trabasack", "trabasack")</f>
        <v>trabasack</v>
      </c>
      <c r="B17524" s="65" t="s">
        <v>9040</v>
      </c>
    </row>
    <row r="17525" spans="1:2" x14ac:dyDescent="0.25">
      <c r="A17525" s="64" t="str">
        <f>HYPERLINK("http://www.twitter.com/coleen_sc", "coleen_sc")</f>
        <v>coleen_sc</v>
      </c>
      <c r="B17525" s="65" t="s">
        <v>138</v>
      </c>
    </row>
    <row r="17526" spans="1:2" x14ac:dyDescent="0.25">
      <c r="A17526" s="64" t="str">
        <f>HYPERLINK("http://www.twitter.com/Littlegingerbud", "Littlegingerbud")</f>
        <v>Littlegingerbud</v>
      </c>
      <c r="B17526" s="65"/>
    </row>
    <row r="17527" spans="1:2" x14ac:dyDescent="0.25">
      <c r="A17527" s="64" t="str">
        <f>HYPERLINK("http://www.twitter.com/LittleRedHenHen", "LittleRedHenHen")</f>
        <v>LittleRedHenHen</v>
      </c>
      <c r="B17527" s="65" t="s">
        <v>9041</v>
      </c>
    </row>
    <row r="17528" spans="1:2" x14ac:dyDescent="0.25">
      <c r="A17528" s="64" t="str">
        <f>HYPERLINK("http://www.twitter.com/mirka_borek", "mirka_borek")</f>
        <v>mirka_borek</v>
      </c>
      <c r="B17528" s="65"/>
    </row>
    <row r="17529" spans="1:2" x14ac:dyDescent="0.25">
      <c r="A17529" s="64" t="str">
        <f>HYPERLINK("http://www.twitter.com/Manmoha753060", "Manmoha753060")</f>
        <v>Manmoha753060</v>
      </c>
      <c r="B17529" s="65" t="s">
        <v>9042</v>
      </c>
    </row>
    <row r="17530" spans="1:2" x14ac:dyDescent="0.25">
      <c r="A17530" s="64" t="str">
        <f>HYPERLINK("http://www.twitter.com/OkotoksLibrary", "OkotoksLibrary")</f>
        <v>OkotoksLibrary</v>
      </c>
      <c r="B17530" s="65" t="s">
        <v>9043</v>
      </c>
    </row>
    <row r="17531" spans="1:2" x14ac:dyDescent="0.25">
      <c r="A17531" s="64" t="str">
        <f>HYPERLINK("http://www.twitter.com/Coffee_Monsterz", "Coffee_Monsterz")</f>
        <v>Coffee_Monsterz</v>
      </c>
      <c r="B17531" s="65" t="s">
        <v>4710</v>
      </c>
    </row>
    <row r="17532" spans="1:2" x14ac:dyDescent="0.25">
      <c r="A17532" s="64" t="str">
        <f>HYPERLINK("http://www.twitter.com/fw10000", "fw10000")</f>
        <v>fw10000</v>
      </c>
      <c r="B17532" s="65" t="s">
        <v>9044</v>
      </c>
    </row>
    <row r="17533" spans="1:2" x14ac:dyDescent="0.25">
      <c r="A17533" s="64" t="str">
        <f>HYPERLINK("http://www.twitter.com/hall_am", "hall_am")</f>
        <v>hall_am</v>
      </c>
      <c r="B17533" s="65"/>
    </row>
    <row r="17534" spans="1:2" x14ac:dyDescent="0.25">
      <c r="A17534" s="64" t="str">
        <f>HYPERLINK("http://www.twitter.com/LizStanley16", "LizStanley16")</f>
        <v>LizStanley16</v>
      </c>
      <c r="B17534" s="65"/>
    </row>
    <row r="17535" spans="1:2" x14ac:dyDescent="0.25">
      <c r="A17535" s="64" t="str">
        <f>HYPERLINK("http://www.twitter.com/oldmaidenaunt", "oldmaidenaunt")</f>
        <v>oldmaidenaunt</v>
      </c>
      <c r="B17535" s="65" t="s">
        <v>4167</v>
      </c>
    </row>
    <row r="17536" spans="1:2" x14ac:dyDescent="0.25">
      <c r="A17536" s="64" t="str">
        <f>HYPERLINK("http://www.twitter.com/ipswich_library", "ipswich_library")</f>
        <v>ipswich_library</v>
      </c>
      <c r="B17536" s="65" t="s">
        <v>1431</v>
      </c>
    </row>
    <row r="17537" spans="1:2" x14ac:dyDescent="0.25">
      <c r="A17537" s="64" t="str">
        <f>HYPERLINK("http://www.twitter.com/TAFELibearian", "TAFELibearian")</f>
        <v>TAFELibearian</v>
      </c>
      <c r="B17537" s="65"/>
    </row>
    <row r="17538" spans="1:2" x14ac:dyDescent="0.25">
      <c r="A17538" s="64" t="str">
        <f>HYPERLINK("http://www.twitter.com/TS_Selfstore", "TS_Selfstore")</f>
        <v>TS_Selfstore</v>
      </c>
      <c r="B17538" s="65" t="s">
        <v>24</v>
      </c>
    </row>
    <row r="17539" spans="1:2" x14ac:dyDescent="0.25">
      <c r="A17539" s="64" t="str">
        <f>HYPERLINK("http://www.twitter.com/gerrywarner", "gerrywarner")</f>
        <v>gerrywarner</v>
      </c>
      <c r="B17539" s="65" t="s">
        <v>5965</v>
      </c>
    </row>
    <row r="17540" spans="1:2" x14ac:dyDescent="0.25">
      <c r="A17540" s="64" t="str">
        <f>HYPERLINK("http://www.twitter.com/theMaggieAyre", "theMaggieAyre")</f>
        <v>theMaggieAyre</v>
      </c>
      <c r="B17540" s="65" t="s">
        <v>1295</v>
      </c>
    </row>
    <row r="17541" spans="1:2" x14ac:dyDescent="0.25">
      <c r="A17541" s="64" t="str">
        <f>HYPERLINK("http://www.twitter.com/fulham2020", "fulham2020")</f>
        <v>fulham2020</v>
      </c>
      <c r="B17541" s="65"/>
    </row>
    <row r="17542" spans="1:2" x14ac:dyDescent="0.25">
      <c r="A17542" s="64" t="str">
        <f>HYPERLINK("http://www.twitter.com/JoanneMCarlin", "JoanneMCarlin")</f>
        <v>JoanneMCarlin</v>
      </c>
      <c r="B17542" s="65" t="s">
        <v>318</v>
      </c>
    </row>
    <row r="17543" spans="1:2" x14ac:dyDescent="0.25">
      <c r="A17543" s="64" t="str">
        <f>HYPERLINK("http://www.twitter.com/KathrynLynch3", "KathrynLynch3")</f>
        <v>KathrynLynch3</v>
      </c>
      <c r="B17543" s="65" t="s">
        <v>9045</v>
      </c>
    </row>
    <row r="17544" spans="1:2" x14ac:dyDescent="0.25">
      <c r="A17544" s="64" t="str">
        <f>HYPERLINK("http://www.twitter.com/AliBeetle1", "AliBeetle1")</f>
        <v>AliBeetle1</v>
      </c>
      <c r="B17544" s="65"/>
    </row>
    <row r="17545" spans="1:2" x14ac:dyDescent="0.25">
      <c r="A17545" s="64" t="str">
        <f>HYPERLINK("http://www.twitter.com/otorts", "otorts")</f>
        <v>otorts</v>
      </c>
      <c r="B17545" s="65"/>
    </row>
    <row r="17546" spans="1:2" x14ac:dyDescent="0.25">
      <c r="A17546" s="64" t="str">
        <f>HYPERLINK("http://www.twitter.com/amlee26", "amlee26")</f>
        <v>amlee26</v>
      </c>
      <c r="B17546" s="65" t="s">
        <v>926</v>
      </c>
    </row>
    <row r="17547" spans="1:2" x14ac:dyDescent="0.25">
      <c r="A17547" s="64" t="str">
        <f>HYPERLINK("http://www.twitter.com/porschespider", "porschespider")</f>
        <v>porschespider</v>
      </c>
      <c r="B17547" s="65" t="s">
        <v>663</v>
      </c>
    </row>
    <row r="17548" spans="1:2" x14ac:dyDescent="0.25">
      <c r="A17548" s="64" t="str">
        <f>HYPERLINK("http://www.twitter.com/danieljowen", "danieljowen")</f>
        <v>danieljowen</v>
      </c>
      <c r="B17548" s="65" t="s">
        <v>9046</v>
      </c>
    </row>
    <row r="17549" spans="1:2" x14ac:dyDescent="0.25">
      <c r="A17549" s="64" t="str">
        <f>HYPERLINK("http://www.twitter.com/TimeForAGin", "TimeForAGin")</f>
        <v>TimeForAGin</v>
      </c>
      <c r="B17549" s="65" t="s">
        <v>517</v>
      </c>
    </row>
    <row r="17550" spans="1:2" x14ac:dyDescent="0.25">
      <c r="A17550" s="64" t="str">
        <f>HYPERLINK("http://www.twitter.com/hellsylobster", "hellsylobster")</f>
        <v>hellsylobster</v>
      </c>
      <c r="B17550" s="65" t="s">
        <v>477</v>
      </c>
    </row>
    <row r="17551" spans="1:2" x14ac:dyDescent="0.25">
      <c r="A17551" s="64" t="str">
        <f>HYPERLINK("http://www.twitter.com/vladimir____m", "vladimir____m")</f>
        <v>vladimir____m</v>
      </c>
      <c r="B17551" s="65" t="s">
        <v>5456</v>
      </c>
    </row>
    <row r="17552" spans="1:2" x14ac:dyDescent="0.25">
      <c r="A17552" s="64" t="str">
        <f>HYPERLINK("http://www.twitter.com/rosie_christine", "rosie_christine")</f>
        <v>rosie_christine</v>
      </c>
      <c r="B17552" s="65"/>
    </row>
    <row r="17553" spans="1:2" x14ac:dyDescent="0.25">
      <c r="A17553" s="64" t="str">
        <f>HYPERLINK("http://www.twitter.com/sally_warrell", "sally_warrell")</f>
        <v>sally_warrell</v>
      </c>
      <c r="B17553" s="65"/>
    </row>
    <row r="17554" spans="1:2" x14ac:dyDescent="0.25">
      <c r="A17554" s="64" t="str">
        <f>HYPERLINK("http://www.twitter.com/DawdlingPoet", "DawdlingPoet")</f>
        <v>DawdlingPoet</v>
      </c>
      <c r="B17554" s="65" t="s">
        <v>2007</v>
      </c>
    </row>
    <row r="17555" spans="1:2" x14ac:dyDescent="0.25">
      <c r="A17555" s="64" t="str">
        <f>HYPERLINK("http://www.twitter.com/silverarcher", "silverarcher")</f>
        <v>silverarcher</v>
      </c>
      <c r="B17555" s="65" t="s">
        <v>2580</v>
      </c>
    </row>
    <row r="17556" spans="1:2" x14ac:dyDescent="0.25">
      <c r="A17556" s="64" t="str">
        <f>HYPERLINK("http://www.twitter.com/fionagreenhill1", "fionagreenhill1")</f>
        <v>fionagreenhill1</v>
      </c>
      <c r="B17556" s="65"/>
    </row>
    <row r="17557" spans="1:2" x14ac:dyDescent="0.25">
      <c r="A17557" s="64" t="str">
        <f>HYPERLINK("http://www.twitter.com/SirBenfro", "SirBenfro")</f>
        <v>SirBenfro</v>
      </c>
      <c r="B17557" s="65" t="s">
        <v>517</v>
      </c>
    </row>
    <row r="17558" spans="1:2" x14ac:dyDescent="0.25">
      <c r="A17558" s="64" t="str">
        <f>HYPERLINK("http://www.twitter.com/Senglibrary", "Senglibrary")</f>
        <v>Senglibrary</v>
      </c>
      <c r="B17558" s="65" t="s">
        <v>1770</v>
      </c>
    </row>
    <row r="17559" spans="1:2" x14ac:dyDescent="0.25">
      <c r="A17559" s="64" t="str">
        <f>HYPERLINK("http://www.twitter.com/jocknroll", "jocknroll")</f>
        <v>jocknroll</v>
      </c>
      <c r="B17559" s="65" t="s">
        <v>9047</v>
      </c>
    </row>
    <row r="17560" spans="1:2" x14ac:dyDescent="0.25">
      <c r="A17560" s="64" t="str">
        <f>HYPERLINK("http://www.twitter.com/MrMHines", "MrMHines")</f>
        <v>MrMHines</v>
      </c>
      <c r="B17560" s="65"/>
    </row>
    <row r="17561" spans="1:2" x14ac:dyDescent="0.25">
      <c r="A17561" s="64" t="str">
        <f>HYPERLINK("http://www.twitter.com/CapitalDocSol", "CapitalDocSol")</f>
        <v>CapitalDocSol</v>
      </c>
      <c r="B17561" s="65" t="s">
        <v>9048</v>
      </c>
    </row>
    <row r="17562" spans="1:2" x14ac:dyDescent="0.25">
      <c r="A17562" s="64" t="str">
        <f>HYPERLINK("http://www.twitter.com/LibraryDroog", "LibraryDroog")</f>
        <v>LibraryDroog</v>
      </c>
      <c r="B17562" s="65" t="s">
        <v>9049</v>
      </c>
    </row>
    <row r="17563" spans="1:2" x14ac:dyDescent="0.25">
      <c r="A17563" s="64" t="str">
        <f>HYPERLINK("http://www.twitter.com/MissBecsBell", "MissBecsBell")</f>
        <v>MissBecsBell</v>
      </c>
      <c r="B17563" s="65" t="s">
        <v>487</v>
      </c>
    </row>
    <row r="17564" spans="1:2" x14ac:dyDescent="0.25">
      <c r="A17564" s="64" t="str">
        <f>HYPERLINK("http://www.twitter.com/TorSpurgeon", "TorSpurgeon")</f>
        <v>TorSpurgeon</v>
      </c>
      <c r="B17564" s="65"/>
    </row>
    <row r="17565" spans="1:2" x14ac:dyDescent="0.25">
      <c r="A17565" s="64" t="str">
        <f>HYPERLINK("http://www.twitter.com/littleblogbooks", "littleblogbooks")</f>
        <v>littleblogbooks</v>
      </c>
      <c r="B17565" s="65" t="s">
        <v>1377</v>
      </c>
    </row>
    <row r="17566" spans="1:2" x14ac:dyDescent="0.25">
      <c r="A17566" s="64" t="str">
        <f>HYPERLINK("http://www.twitter.com/AlisonStevensn", "AlisonStevensn")</f>
        <v>AlisonStevensn</v>
      </c>
      <c r="B17566" s="65"/>
    </row>
    <row r="17567" spans="1:2" x14ac:dyDescent="0.25">
      <c r="A17567" s="64" t="str">
        <f>HYPERLINK("http://www.twitter.com/merovingean", "merovingean")</f>
        <v>merovingean</v>
      </c>
      <c r="B17567" s="65" t="s">
        <v>9050</v>
      </c>
    </row>
    <row r="17568" spans="1:2" x14ac:dyDescent="0.25">
      <c r="A17568" s="64" t="str">
        <f>HYPERLINK("http://www.twitter.com/KirstyMForsyth", "KirstyMForsyth")</f>
        <v>KirstyMForsyth</v>
      </c>
      <c r="B17568" s="65" t="s">
        <v>4215</v>
      </c>
    </row>
    <row r="17569" spans="1:2" x14ac:dyDescent="0.25">
      <c r="A17569" s="64" t="str">
        <f>HYPERLINK("http://www.twitter.com/EmmalouisePEEK", "EmmalouisePEEK")</f>
        <v>EmmalouisePEEK</v>
      </c>
      <c r="B17569" s="65" t="s">
        <v>138</v>
      </c>
    </row>
    <row r="17570" spans="1:2" x14ac:dyDescent="0.25">
      <c r="A17570" s="64" t="str">
        <f>HYPERLINK("http://www.twitter.com/PEEK_Project", "PEEK_Project")</f>
        <v>PEEK_Project</v>
      </c>
      <c r="B17570" s="65" t="s">
        <v>138</v>
      </c>
    </row>
    <row r="17571" spans="1:2" x14ac:dyDescent="0.25">
      <c r="A17571" s="64" t="str">
        <f>HYPERLINK("http://www.twitter.com/staceybe1881", "staceybe1881")</f>
        <v>staceybe1881</v>
      </c>
      <c r="B17571" s="65" t="s">
        <v>318</v>
      </c>
    </row>
    <row r="17572" spans="1:2" x14ac:dyDescent="0.25">
      <c r="A17572" s="64" t="str">
        <f>HYPERLINK("http://www.twitter.com/LizziePEEK", "LizziePEEK")</f>
        <v>LizziePEEK</v>
      </c>
      <c r="B17572" s="65" t="s">
        <v>318</v>
      </c>
    </row>
    <row r="17573" spans="1:2" x14ac:dyDescent="0.25">
      <c r="A17573" s="64" t="str">
        <f>HYPERLINK("http://www.twitter.com/HelenMillPEEK", "HelenMillPEEK")</f>
        <v>HelenMillPEEK</v>
      </c>
      <c r="B17573" s="65" t="s">
        <v>138</v>
      </c>
    </row>
    <row r="17574" spans="1:2" x14ac:dyDescent="0.25">
      <c r="A17574" s="64" t="str">
        <f>HYPERLINK("http://www.twitter.com/BangorLib", "BangorLib")</f>
        <v>BangorLib</v>
      </c>
      <c r="B17574" s="65" t="s">
        <v>2170</v>
      </c>
    </row>
    <row r="17575" spans="1:2" x14ac:dyDescent="0.25">
      <c r="A17575" s="64" t="str">
        <f>HYPERLINK("http://www.twitter.com/jazzt1", "jazzt1")</f>
        <v>jazzt1</v>
      </c>
      <c r="B17575" s="65" t="s">
        <v>9051</v>
      </c>
    </row>
    <row r="17576" spans="1:2" x14ac:dyDescent="0.25">
      <c r="A17576" s="64" t="str">
        <f>HYPERLINK("http://www.twitter.com/almightyted", "almightyted")</f>
        <v>almightyted</v>
      </c>
      <c r="B17576" s="65" t="s">
        <v>517</v>
      </c>
    </row>
    <row r="17577" spans="1:2" x14ac:dyDescent="0.25">
      <c r="A17577" s="64" t="str">
        <f>HYPERLINK("http://www.twitter.com/learnwestray", "learnwestray")</f>
        <v>learnwestray</v>
      </c>
      <c r="B17577" s="65"/>
    </row>
    <row r="17578" spans="1:2" x14ac:dyDescent="0.25">
      <c r="A17578" s="64" t="str">
        <f>HYPERLINK("http://www.twitter.com/SamsterSB", "SamsterSB")</f>
        <v>SamsterSB</v>
      </c>
      <c r="B17578" s="65" t="s">
        <v>9052</v>
      </c>
    </row>
    <row r="17579" spans="1:2" x14ac:dyDescent="0.25">
      <c r="A17579" s="64" t="str">
        <f>HYPERLINK("http://www.twitter.com/TerribleTumbles", "TerribleTumbles")</f>
        <v>TerribleTumbles</v>
      </c>
      <c r="B17579" s="65" t="s">
        <v>4501</v>
      </c>
    </row>
    <row r="17580" spans="1:2" x14ac:dyDescent="0.25">
      <c r="A17580" s="64" t="str">
        <f>HYPERLINK("http://www.twitter.com/hopkinsusan1", "hopkinsusan1")</f>
        <v>hopkinsusan1</v>
      </c>
      <c r="B17580" s="65"/>
    </row>
    <row r="17581" spans="1:2" x14ac:dyDescent="0.25">
      <c r="A17581" s="64" t="str">
        <f>HYPERLINK("http://www.twitter.com/DigitisMedia", "DigitisMedia")</f>
        <v>DigitisMedia</v>
      </c>
      <c r="B17581" s="65" t="s">
        <v>5267</v>
      </c>
    </row>
    <row r="17582" spans="1:2" x14ac:dyDescent="0.25">
      <c r="A17582" s="64" t="str">
        <f>HYPERLINK("http://www.twitter.com/maxthedog44", "maxthedog44")</f>
        <v>maxthedog44</v>
      </c>
      <c r="B17582" s="65" t="s">
        <v>9053</v>
      </c>
    </row>
    <row r="17583" spans="1:2" x14ac:dyDescent="0.25">
      <c r="A17583" s="64" t="str">
        <f>HYPERLINK("http://www.twitter.com/ChosenLawyers", "ChosenLawyers")</f>
        <v>ChosenLawyers</v>
      </c>
      <c r="B17583" s="65" t="s">
        <v>3797</v>
      </c>
    </row>
    <row r="17584" spans="1:2" x14ac:dyDescent="0.25">
      <c r="A17584" s="64" t="str">
        <f>HYPERLINK("http://www.twitter.com/SueLlanMuseum", "SueLlanMuseum")</f>
        <v>SueLlanMuseum</v>
      </c>
      <c r="B17584" s="65"/>
    </row>
    <row r="17585" spans="1:2" x14ac:dyDescent="0.25">
      <c r="A17585" s="64" t="str">
        <f>HYPERLINK("http://www.twitter.com/livingScottish", "livingScottish")</f>
        <v>livingScottish</v>
      </c>
      <c r="B17585" s="65" t="s">
        <v>517</v>
      </c>
    </row>
    <row r="17586" spans="1:2" x14ac:dyDescent="0.25">
      <c r="A17586" s="64" t="str">
        <f>HYPERLINK("http://www.twitter.com/PaulHerbert8", "PaulHerbert8")</f>
        <v>PaulHerbert8</v>
      </c>
      <c r="B17586" s="65" t="s">
        <v>138</v>
      </c>
    </row>
    <row r="17587" spans="1:2" x14ac:dyDescent="0.25">
      <c r="A17587" s="64" t="str">
        <f>HYPERLINK("http://www.twitter.com/keara_donnachie", "keara_donnachie")</f>
        <v>keara_donnachie</v>
      </c>
      <c r="B17587" s="65" t="s">
        <v>318</v>
      </c>
    </row>
    <row r="17588" spans="1:2" x14ac:dyDescent="0.25">
      <c r="A17588" s="64" t="str">
        <f>HYPERLINK("http://www.twitter.com/omerali1233", "omerali1233")</f>
        <v>omerali1233</v>
      </c>
      <c r="B17588" s="65"/>
    </row>
    <row r="17589" spans="1:2" x14ac:dyDescent="0.25">
      <c r="A17589" s="64" t="str">
        <f>HYPERLINK("http://www.twitter.com/JayneGGalloway", "JayneGGalloway")</f>
        <v>JayneGGalloway</v>
      </c>
      <c r="B17589" s="65"/>
    </row>
    <row r="17590" spans="1:2" x14ac:dyDescent="0.25">
      <c r="A17590" s="64" t="str">
        <f>HYPERLINK("http://www.twitter.com/TrailsandTales1", "TrailsandTales1")</f>
        <v>TrailsandTales1</v>
      </c>
      <c r="B17590" s="65" t="s">
        <v>9054</v>
      </c>
    </row>
    <row r="17591" spans="1:2" x14ac:dyDescent="0.25">
      <c r="A17591" s="64" t="str">
        <f>HYPERLINK("http://www.twitter.com/foodie_ma", "foodie_ma")</f>
        <v>foodie_ma</v>
      </c>
      <c r="B17591" s="65" t="s">
        <v>24</v>
      </c>
    </row>
    <row r="17592" spans="1:2" x14ac:dyDescent="0.25">
      <c r="A17592" s="64" t="str">
        <f>HYPERLINK("http://www.twitter.com/MelisLester", "MelisLester")</f>
        <v>MelisLester</v>
      </c>
      <c r="B17592" s="65" t="s">
        <v>3988</v>
      </c>
    </row>
    <row r="17593" spans="1:2" x14ac:dyDescent="0.25">
      <c r="A17593" s="64" t="str">
        <f>HYPERLINK("http://www.twitter.com/AMHeesters", "AMHeesters")</f>
        <v>AMHeesters</v>
      </c>
      <c r="B17593" s="65"/>
    </row>
    <row r="17594" spans="1:2" x14ac:dyDescent="0.25">
      <c r="A17594" s="64" t="str">
        <f>HYPERLINK("http://www.twitter.com/heddebie60", "heddebie60")</f>
        <v>heddebie60</v>
      </c>
      <c r="B17594" s="65"/>
    </row>
    <row r="17595" spans="1:2" x14ac:dyDescent="0.25">
      <c r="A17595" s="64" t="str">
        <f>HYPERLINK("http://www.twitter.com/mungobrick", "mungobrick")</f>
        <v>mungobrick</v>
      </c>
      <c r="B17595" s="65"/>
    </row>
    <row r="17596" spans="1:2" x14ac:dyDescent="0.25">
      <c r="A17596" s="64" t="str">
        <f>HYPERLINK("http://www.twitter.com/alresfordlibra2", "alresfordlibra2")</f>
        <v>alresfordlibra2</v>
      </c>
      <c r="B17596" s="65" t="s">
        <v>2777</v>
      </c>
    </row>
    <row r="17597" spans="1:2" x14ac:dyDescent="0.25">
      <c r="A17597" s="64" t="str">
        <f>HYPERLINK("http://www.twitter.com/playedoutscenes", "playedoutscenes")</f>
        <v>playedoutscenes</v>
      </c>
      <c r="B17597" s="65" t="s">
        <v>9055</v>
      </c>
    </row>
    <row r="17598" spans="1:2" x14ac:dyDescent="0.25">
      <c r="A17598" s="64" t="str">
        <f>HYPERLINK("http://www.twitter.com/Sianib", "Sianib")</f>
        <v>Sianib</v>
      </c>
      <c r="B17598" s="65" t="s">
        <v>6127</v>
      </c>
    </row>
    <row r="17599" spans="1:2" x14ac:dyDescent="0.25">
      <c r="A17599" s="64" t="str">
        <f>HYPERLINK("http://www.twitter.com/ceri_williams_", "ceri_williams_")</f>
        <v>ceri_williams_</v>
      </c>
      <c r="B17599" s="65"/>
    </row>
    <row r="17600" spans="1:2" x14ac:dyDescent="0.25">
      <c r="A17600" s="64" t="str">
        <f>HYPERLINK("http://www.twitter.com/ranj_taher", "ranj_taher")</f>
        <v>ranj_taher</v>
      </c>
      <c r="B17600" s="65"/>
    </row>
    <row r="17601" spans="1:2" x14ac:dyDescent="0.25">
      <c r="A17601" s="64" t="str">
        <f>HYPERLINK("http://www.twitter.com/hieronimorose", "hieronimorose")</f>
        <v>hieronimorose</v>
      </c>
      <c r="B17601" s="65" t="s">
        <v>9056</v>
      </c>
    </row>
    <row r="17602" spans="1:2" x14ac:dyDescent="0.25">
      <c r="A17602" s="64" t="str">
        <f>HYPERLINK("http://www.twitter.com/WAOrkney", "WAOrkney")</f>
        <v>WAOrkney</v>
      </c>
      <c r="B17602" s="65"/>
    </row>
    <row r="17603" spans="1:2" x14ac:dyDescent="0.25">
      <c r="A17603" s="64" t="str">
        <f>HYPERLINK("http://www.twitter.com/Rude_Newz", "Rude_Newz")</f>
        <v>Rude_Newz</v>
      </c>
      <c r="B17603" s="65"/>
    </row>
    <row r="17604" spans="1:2" x14ac:dyDescent="0.25">
      <c r="A17604" s="64" t="str">
        <f>HYPERLINK("http://www.twitter.com/funtakad", "funtakad")</f>
        <v>funtakad</v>
      </c>
      <c r="B17604" s="65"/>
    </row>
    <row r="17605" spans="1:2" x14ac:dyDescent="0.25">
      <c r="A17605" s="64" t="str">
        <f>HYPERLINK("http://www.twitter.com/Mark_Music_", "Mark_Music_")</f>
        <v>Mark_Music_</v>
      </c>
      <c r="B17605" s="65" t="s">
        <v>9057</v>
      </c>
    </row>
    <row r="17606" spans="1:2" x14ac:dyDescent="0.25">
      <c r="A17606" s="64" t="str">
        <f>HYPERLINK("http://www.twitter.com/EleanoreBlack", "EleanoreBlack")</f>
        <v>EleanoreBlack</v>
      </c>
      <c r="B17606" s="65" t="s">
        <v>3797</v>
      </c>
    </row>
    <row r="17607" spans="1:2" x14ac:dyDescent="0.25">
      <c r="A17607" s="64" t="str">
        <f>HYPERLINK("http://www.twitter.com/Metropolisrki", "Metropolisrki")</f>
        <v>Metropolisrki</v>
      </c>
      <c r="B17607" s="65" t="s">
        <v>9058</v>
      </c>
    </row>
    <row r="17608" spans="1:2" x14ac:dyDescent="0.25">
      <c r="A17608" s="64" t="str">
        <f>HYPERLINK("http://www.twitter.com/JmmeliaPR", "JmmeliaPR")</f>
        <v>JmmeliaPR</v>
      </c>
      <c r="B17608" s="65" t="s">
        <v>93</v>
      </c>
    </row>
    <row r="17609" spans="1:2" x14ac:dyDescent="0.25">
      <c r="A17609" s="64" t="str">
        <f>HYPERLINK("http://www.twitter.com/strickpick", "strickpick")</f>
        <v>strickpick</v>
      </c>
      <c r="B17609" s="65"/>
    </row>
    <row r="17610" spans="1:2" x14ac:dyDescent="0.25">
      <c r="A17610" s="64" t="str">
        <f>HYPERLINK("http://www.twitter.com/Chickenwifie", "Chickenwifie")</f>
        <v>Chickenwifie</v>
      </c>
      <c r="B17610" s="65"/>
    </row>
    <row r="17611" spans="1:2" x14ac:dyDescent="0.25">
      <c r="A17611" s="64" t="str">
        <f>HYPERLINK("http://www.twitter.com/alexreyard1979", "alexreyard1979")</f>
        <v>alexreyard1979</v>
      </c>
      <c r="B17611" s="65"/>
    </row>
    <row r="17612" spans="1:2" x14ac:dyDescent="0.25">
      <c r="A17612" s="64" t="str">
        <f>HYPERLINK("http://www.twitter.com/MemsFict", "MemsFict")</f>
        <v>MemsFict</v>
      </c>
      <c r="B17612" s="65" t="s">
        <v>9059</v>
      </c>
    </row>
    <row r="17613" spans="1:2" x14ac:dyDescent="0.25">
      <c r="A17613" s="64" t="str">
        <f>HYPERLINK("http://www.twitter.com/JohnsonITSOrk", "JohnsonITSOrk")</f>
        <v>JohnsonITSOrk</v>
      </c>
      <c r="B17613" s="65" t="s">
        <v>4227</v>
      </c>
    </row>
    <row r="17614" spans="1:2" x14ac:dyDescent="0.25">
      <c r="A17614" s="64" t="str">
        <f>HYPERLINK("http://www.twitter.com/Lyra1810", "Lyra1810")</f>
        <v>Lyra1810</v>
      </c>
      <c r="B17614" s="65"/>
    </row>
    <row r="17615" spans="1:2" x14ac:dyDescent="0.25">
      <c r="A17615" s="64" t="str">
        <f>HYPERLINK("http://www.twitter.com/Shellyann7755", "Shellyann7755")</f>
        <v>Shellyann7755</v>
      </c>
      <c r="B17615" s="65" t="s">
        <v>9060</v>
      </c>
    </row>
    <row r="17616" spans="1:2" x14ac:dyDescent="0.25">
      <c r="A17616" s="64" t="str">
        <f>HYPERLINK("http://www.twitter.com/HalesworthLib", "HalesworthLib")</f>
        <v>HalesworthLib</v>
      </c>
      <c r="B17616" s="65" t="s">
        <v>1825</v>
      </c>
    </row>
    <row r="17617" spans="1:2" x14ac:dyDescent="0.25">
      <c r="A17617" s="64" t="str">
        <f>HYPERLINK("http://www.twitter.com/klslibrary", "klslibrary")</f>
        <v>klslibrary</v>
      </c>
      <c r="B17617" s="65" t="s">
        <v>2334</v>
      </c>
    </row>
    <row r="17618" spans="1:2" x14ac:dyDescent="0.25">
      <c r="A17618" s="64" t="str">
        <f>HYPERLINK("http://www.twitter.com/GedBoydell", "GedBoydell")</f>
        <v>GedBoydell</v>
      </c>
      <c r="B17618" s="65"/>
    </row>
    <row r="17619" spans="1:2" x14ac:dyDescent="0.25">
      <c r="A17619" s="64" t="str">
        <f>HYPERLINK("http://www.twitter.com/RushgardKeeper", "RushgardKeeper")</f>
        <v>RushgardKeeper</v>
      </c>
      <c r="B17619" s="65" t="s">
        <v>871</v>
      </c>
    </row>
    <row r="17620" spans="1:2" x14ac:dyDescent="0.25">
      <c r="A17620" s="64" t="str">
        <f>HYPERLINK("http://www.twitter.com/Charlotte_Amy", "Charlotte_Amy")</f>
        <v>Charlotte_Amy</v>
      </c>
      <c r="B17620" s="65" t="s">
        <v>514</v>
      </c>
    </row>
    <row r="17621" spans="1:2" x14ac:dyDescent="0.25">
      <c r="A17621" s="64" t="str">
        <f>HYPERLINK("http://www.twitter.com/ChristinaSNP", "ChristinaSNP")</f>
        <v>ChristinaSNP</v>
      </c>
      <c r="B17621" s="65" t="s">
        <v>4019</v>
      </c>
    </row>
    <row r="17622" spans="1:2" x14ac:dyDescent="0.25">
      <c r="A17622" s="64" t="str">
        <f>HYPERLINK("http://www.twitter.com/westvirginia_pi", "westvirginia_pi")</f>
        <v>westvirginia_pi</v>
      </c>
      <c r="B17622" s="65" t="s">
        <v>9061</v>
      </c>
    </row>
    <row r="17623" spans="1:2" x14ac:dyDescent="0.25">
      <c r="A17623" s="64" t="str">
        <f>HYPERLINK("http://www.twitter.com/AshLWaters", "AshLWaters")</f>
        <v>AshLWaters</v>
      </c>
      <c r="B17623" s="65"/>
    </row>
    <row r="17624" spans="1:2" x14ac:dyDescent="0.25">
      <c r="A17624" s="64" t="str">
        <f>HYPERLINK("http://www.twitter.com/AlexNyeWriter", "AlexNyeWriter")</f>
        <v>AlexNyeWriter</v>
      </c>
      <c r="B17624" s="65" t="s">
        <v>7338</v>
      </c>
    </row>
    <row r="17625" spans="1:2" x14ac:dyDescent="0.25">
      <c r="A17625" s="64" t="str">
        <f>HYPERLINK("http://www.twitter.com/amyjlines", "amyjlines")</f>
        <v>amyjlines</v>
      </c>
      <c r="B17625" s="65" t="s">
        <v>36</v>
      </c>
    </row>
    <row r="17626" spans="1:2" x14ac:dyDescent="0.25">
      <c r="A17626" s="64" t="str">
        <f>HYPERLINK("http://www.twitter.com/DaisyJoel", "DaisyJoel")</f>
        <v>DaisyJoel</v>
      </c>
      <c r="B17626" s="65" t="s">
        <v>36</v>
      </c>
    </row>
    <row r="17627" spans="1:2" x14ac:dyDescent="0.25">
      <c r="A17627" s="64" t="str">
        <f>HYPERLINK("http://www.twitter.com/Jn28Tsjn", "Jn28Tsjn")</f>
        <v>Jn28Tsjn</v>
      </c>
      <c r="B17627" s="65" t="s">
        <v>3839</v>
      </c>
    </row>
    <row r="17628" spans="1:2" x14ac:dyDescent="0.25">
      <c r="A17628" s="64" t="str">
        <f>HYPERLINK("http://www.twitter.com/swtic", "swtic")</f>
        <v>swtic</v>
      </c>
      <c r="B17628" s="65" t="s">
        <v>9062</v>
      </c>
    </row>
    <row r="17629" spans="1:2" x14ac:dyDescent="0.25">
      <c r="A17629" s="64" t="str">
        <f>HYPERLINK("http://www.twitter.com/the___hawk", "the___hawk")</f>
        <v>the___hawk</v>
      </c>
      <c r="B17629" s="65" t="s">
        <v>9063</v>
      </c>
    </row>
    <row r="17630" spans="1:2" x14ac:dyDescent="0.25">
      <c r="A17630" s="64" t="str">
        <f>HYPERLINK("http://www.twitter.com/MattHawkins85", "MattHawkins85")</f>
        <v>MattHawkins85</v>
      </c>
      <c r="B17630" s="65" t="s">
        <v>3781</v>
      </c>
    </row>
    <row r="17631" spans="1:2" x14ac:dyDescent="0.25">
      <c r="A17631" s="64" t="str">
        <f>HYPERLINK("http://www.twitter.com/EastMidlandsYLG", "EastMidlandsYLG")</f>
        <v>EastMidlandsYLG</v>
      </c>
      <c r="B17631" s="65" t="s">
        <v>2592</v>
      </c>
    </row>
    <row r="17632" spans="1:2" x14ac:dyDescent="0.25">
      <c r="A17632" s="64" t="str">
        <f>HYPERLINK("http://www.twitter.com/jkcjohnson", "jkcjohnson")</f>
        <v>jkcjohnson</v>
      </c>
      <c r="B17632" s="65" t="s">
        <v>477</v>
      </c>
    </row>
    <row r="17633" spans="1:2" x14ac:dyDescent="0.25">
      <c r="A17633" s="64" t="str">
        <f>HYPERLINK("http://www.twitter.com/RadioSLAB", "RadioSLAB")</f>
        <v>RadioSLAB</v>
      </c>
      <c r="B17633" s="65"/>
    </row>
    <row r="17634" spans="1:2" x14ac:dyDescent="0.25">
      <c r="A17634" s="64" t="str">
        <f>HYPERLINK("http://www.twitter.com/ReaderJusta", "ReaderJusta")</f>
        <v>ReaderJusta</v>
      </c>
      <c r="B17634" s="65" t="s">
        <v>1490</v>
      </c>
    </row>
    <row r="17635" spans="1:2" x14ac:dyDescent="0.25">
      <c r="A17635" s="64" t="str">
        <f>HYPERLINK("http://www.twitter.com/Psychonaut99", "Psychonaut99")</f>
        <v>Psychonaut99</v>
      </c>
      <c r="B17635" s="65" t="s">
        <v>3677</v>
      </c>
    </row>
    <row r="17636" spans="1:2" x14ac:dyDescent="0.25">
      <c r="A17636" s="64" t="str">
        <f>HYPERLINK("http://www.twitter.com/74_torres", "74_torres")</f>
        <v>74_torres</v>
      </c>
      <c r="B17636" s="65" t="s">
        <v>3798</v>
      </c>
    </row>
    <row r="17637" spans="1:2" x14ac:dyDescent="0.25">
      <c r="A17637" s="64" t="str">
        <f>HYPERLINK("http://www.twitter.com/RobtotheOag", "RobtotheOag")</f>
        <v>RobtotheOag</v>
      </c>
      <c r="B17637" s="65"/>
    </row>
    <row r="17638" spans="1:2" x14ac:dyDescent="0.25">
      <c r="A17638" s="64" t="str">
        <f>HYPERLINK("http://www.twitter.com/SDCClibraries", "SDCClibraries")</f>
        <v>SDCClibraries</v>
      </c>
      <c r="B17638" s="65" t="s">
        <v>9064</v>
      </c>
    </row>
    <row r="17639" spans="1:2" x14ac:dyDescent="0.25">
      <c r="A17639" s="64" t="str">
        <f>HYPERLINK("http://www.twitter.com/emma_sbt", "emma_sbt")</f>
        <v>emma_sbt</v>
      </c>
      <c r="B17639" s="65"/>
    </row>
    <row r="17640" spans="1:2" x14ac:dyDescent="0.25">
      <c r="A17640" s="64" t="str">
        <f>HYPERLINK("http://www.twitter.com/KC_LRC", "KC_LRC")</f>
        <v>KC_LRC</v>
      </c>
      <c r="B17640" s="65" t="s">
        <v>2267</v>
      </c>
    </row>
    <row r="17641" spans="1:2" x14ac:dyDescent="0.25">
      <c r="A17641" s="64" t="str">
        <f>HYPERLINK("http://www.twitter.com/LibraryatEA", "LibraryatEA")</f>
        <v>LibraryatEA</v>
      </c>
      <c r="B17641" s="65"/>
    </row>
    <row r="17642" spans="1:2" x14ac:dyDescent="0.25">
      <c r="A17642" s="64" t="str">
        <f>HYPERLINK("http://www.twitter.com/eleanor_wale", "eleanor_wale")</f>
        <v>eleanor_wale</v>
      </c>
      <c r="B17642" s="65"/>
    </row>
    <row r="17643" spans="1:2" x14ac:dyDescent="0.25">
      <c r="A17643" s="64" t="str">
        <f>HYPERLINK("http://www.twitter.com/JSea_LIS", "JSea_LIS")</f>
        <v>JSea_LIS</v>
      </c>
      <c r="B17643" s="65"/>
    </row>
    <row r="17644" spans="1:2" x14ac:dyDescent="0.25">
      <c r="A17644" s="64" t="str">
        <f>HYPERLINK("http://www.twitter.com/Abook4you4ever", "Abook4you4ever")</f>
        <v>Abook4you4ever</v>
      </c>
      <c r="B17644" s="65"/>
    </row>
    <row r="17645" spans="1:2" x14ac:dyDescent="0.25">
      <c r="A17645" s="64" t="str">
        <f>HYPERLINK("http://www.twitter.com/CasimirEileen", "CasimirEileen")</f>
        <v>CasimirEileen</v>
      </c>
      <c r="B17645" s="65"/>
    </row>
    <row r="17646" spans="1:2" x14ac:dyDescent="0.25">
      <c r="A17646" s="64" t="str">
        <f>HYPERLINK("http://www.twitter.com/andyjhardie", "andyjhardie")</f>
        <v>andyjhardie</v>
      </c>
      <c r="B17646" s="65" t="s">
        <v>296</v>
      </c>
    </row>
    <row r="17647" spans="1:2" x14ac:dyDescent="0.25">
      <c r="A17647" s="64" t="str">
        <f>HYPERLINK("http://www.twitter.com/DissentersN16", "DissentersN16")</f>
        <v>DissentersN16</v>
      </c>
      <c r="B17647" s="65" t="s">
        <v>9065</v>
      </c>
    </row>
    <row r="17648" spans="1:2" x14ac:dyDescent="0.25">
      <c r="A17648" s="64" t="str">
        <f>HYPERLINK("http://www.twitter.com/lago_dasbrisas", "lago_dasbrisas")</f>
        <v>lago_dasbrisas</v>
      </c>
      <c r="B17648" s="65" t="s">
        <v>9066</v>
      </c>
    </row>
    <row r="17649" spans="1:2" x14ac:dyDescent="0.25">
      <c r="A17649" s="64" t="str">
        <f>HYPERLINK("http://www.twitter.com/jorochka_2001", "jorochka_2001")</f>
        <v>jorochka_2001</v>
      </c>
      <c r="B17649" s="65"/>
    </row>
    <row r="17650" spans="1:2" x14ac:dyDescent="0.25">
      <c r="A17650" s="64" t="str">
        <f>HYPERLINK("http://www.twitter.com/eamonngriffin", "eamonngriffin")</f>
        <v>eamonngriffin</v>
      </c>
      <c r="B17650" s="65" t="s">
        <v>9067</v>
      </c>
    </row>
    <row r="17651" spans="1:2" x14ac:dyDescent="0.25">
      <c r="A17651" s="64" t="str">
        <f>HYPERLINK("http://www.twitter.com/cigscot", "cigscot")</f>
        <v>cigscot</v>
      </c>
      <c r="B17651" s="65" t="s">
        <v>2007</v>
      </c>
    </row>
    <row r="17652" spans="1:2" x14ac:dyDescent="0.25">
      <c r="A17652" s="64" t="str">
        <f>HYPERLINK("http://www.twitter.com/doug493", "doug493")</f>
        <v>doug493</v>
      </c>
      <c r="B17652" s="65" t="s">
        <v>9068</v>
      </c>
    </row>
    <row r="17653" spans="1:2" x14ac:dyDescent="0.25">
      <c r="A17653" s="64" t="str">
        <f>HYPERLINK("http://www.twitter.com/artlookcam", "artlookcam")</f>
        <v>artlookcam</v>
      </c>
      <c r="B17653" s="65"/>
    </row>
    <row r="17654" spans="1:2" x14ac:dyDescent="0.25">
      <c r="A17654" s="64" t="str">
        <f>HYPERLINK("http://www.twitter.com/rajurid", "rajurid")</f>
        <v>rajurid</v>
      </c>
      <c r="B17654" s="65" t="s">
        <v>5585</v>
      </c>
    </row>
    <row r="17655" spans="1:2" x14ac:dyDescent="0.25">
      <c r="A17655" s="64" t="str">
        <f>HYPERLINK("http://www.twitter.com/Vasudha_A", "Vasudha_A")</f>
        <v>Vasudha_A</v>
      </c>
      <c r="B17655" s="65"/>
    </row>
    <row r="17656" spans="1:2" x14ac:dyDescent="0.25">
      <c r="A17656" s="64" t="str">
        <f>HYPERLINK("http://www.twitter.com/CubaWanderer", "CubaWanderer")</f>
        <v>CubaWanderer</v>
      </c>
      <c r="B17656" s="65" t="s">
        <v>9069</v>
      </c>
    </row>
    <row r="17657" spans="1:2" x14ac:dyDescent="0.25">
      <c r="A17657" s="64" t="str">
        <f>HYPERLINK("http://www.twitter.com/artinorkney", "artinorkney")</f>
        <v>artinorkney</v>
      </c>
      <c r="B17657" s="65" t="s">
        <v>4519</v>
      </c>
    </row>
    <row r="17658" spans="1:2" x14ac:dyDescent="0.25">
      <c r="A17658" s="64" t="str">
        <f>HYPERLINK("http://www.twitter.com/HL_Caldwell", "HL_Caldwell")</f>
        <v>HL_Caldwell</v>
      </c>
      <c r="B17658" s="65" t="s">
        <v>5110</v>
      </c>
    </row>
    <row r="17659" spans="1:2" x14ac:dyDescent="0.25">
      <c r="A17659" s="64" t="str">
        <f>HYPERLINK("http://www.twitter.com/Ohmygossip", "Ohmygossip")</f>
        <v>Ohmygossip</v>
      </c>
      <c r="B17659" s="65"/>
    </row>
    <row r="17660" spans="1:2" x14ac:dyDescent="0.25">
      <c r="A17660" s="64" t="str">
        <f>HYPERLINK("http://www.twitter.com/CallieLooze", "CallieLooze")</f>
        <v>CallieLooze</v>
      </c>
      <c r="B17660" s="65"/>
    </row>
    <row r="17661" spans="1:2" x14ac:dyDescent="0.25">
      <c r="A17661" s="64" t="str">
        <f>HYPERLINK("http://www.twitter.com/kimberliemilton", "kimberliemilton")</f>
        <v>kimberliemilton</v>
      </c>
      <c r="B17661" s="65"/>
    </row>
    <row r="17662" spans="1:2" x14ac:dyDescent="0.25">
      <c r="A17662" s="64" t="str">
        <f>HYPERLINK("http://www.twitter.com/LauraCY1", "LauraCY1")</f>
        <v>LauraCY1</v>
      </c>
      <c r="B17662" s="65" t="s">
        <v>102</v>
      </c>
    </row>
    <row r="17663" spans="1:2" x14ac:dyDescent="0.25">
      <c r="A17663" s="64" t="str">
        <f>HYPERLINK("http://www.twitter.com/AnimeGirlSachie", "AnimeGirlSachie")</f>
        <v>AnimeGirlSachie</v>
      </c>
      <c r="B17663" s="65"/>
    </row>
    <row r="17664" spans="1:2" x14ac:dyDescent="0.25">
      <c r="A17664" s="64" t="str">
        <f>HYPERLINK("http://www.twitter.com/Jasabrod", "Jasabrod")</f>
        <v>Jasabrod</v>
      </c>
      <c r="B17664" s="65"/>
    </row>
    <row r="17665" spans="1:2" x14ac:dyDescent="0.25">
      <c r="A17665" s="64" t="str">
        <f>HYPERLINK("http://www.twitter.com/SeonaidS", "SeonaidS")</f>
        <v>SeonaidS</v>
      </c>
      <c r="B17665" s="65"/>
    </row>
    <row r="17666" spans="1:2" x14ac:dyDescent="0.25">
      <c r="A17666" s="64" t="str">
        <f>HYPERLINK("http://www.twitter.com/p9691", "p9691")</f>
        <v>p9691</v>
      </c>
      <c r="B17666" s="65"/>
    </row>
    <row r="17667" spans="1:2" x14ac:dyDescent="0.25">
      <c r="A17667" s="64" t="str">
        <f>HYPERLINK("http://www.twitter.com/AzuriteEnigma", "AzuriteEnigma")</f>
        <v>AzuriteEnigma</v>
      </c>
      <c r="B17667" s="65"/>
    </row>
    <row r="17668" spans="1:2" x14ac:dyDescent="0.25">
      <c r="A17668" s="64" t="str">
        <f>HYPERLINK("http://www.twitter.com/cribbagebored", "cribbagebored")</f>
        <v>cribbagebored</v>
      </c>
      <c r="B17668" s="65" t="s">
        <v>9070</v>
      </c>
    </row>
    <row r="17669" spans="1:2" x14ac:dyDescent="0.25">
      <c r="A17669" s="64" t="str">
        <f>HYPERLINK("http://www.twitter.com/GBurndred", "GBurndred")</f>
        <v>GBurndred</v>
      </c>
      <c r="B17669" s="65" t="s">
        <v>5413</v>
      </c>
    </row>
    <row r="17670" spans="1:2" x14ac:dyDescent="0.25">
      <c r="A17670" s="64" t="str">
        <f>HYPERLINK("http://www.twitter.com/BeicioGwenda", "BeicioGwenda")</f>
        <v>BeicioGwenda</v>
      </c>
      <c r="B17670" s="65" t="s">
        <v>1221</v>
      </c>
    </row>
    <row r="17671" spans="1:2" x14ac:dyDescent="0.25">
      <c r="A17671" s="64" t="str">
        <f>HYPERLINK("http://www.twitter.com/CraigBroadbent1", "CraigBroadbent1")</f>
        <v>CraigBroadbent1</v>
      </c>
      <c r="B17671" s="65" t="s">
        <v>9071</v>
      </c>
    </row>
    <row r="17672" spans="1:2" x14ac:dyDescent="0.25">
      <c r="A17672" s="64" t="str">
        <f>HYPERLINK("http://www.twitter.com/FlashForman", "FlashForman")</f>
        <v>FlashForman</v>
      </c>
      <c r="B17672" s="65"/>
    </row>
    <row r="17673" spans="1:2" x14ac:dyDescent="0.25">
      <c r="A17673" s="64" t="str">
        <f>HYPERLINK("http://www.twitter.com/rhys_evans", "rhys_evans")</f>
        <v>rhys_evans</v>
      </c>
      <c r="B17673" s="65" t="s">
        <v>1218</v>
      </c>
    </row>
    <row r="17674" spans="1:2" x14ac:dyDescent="0.25">
      <c r="A17674" s="64" t="str">
        <f>HYPERLINK("http://www.twitter.com/oldscotbooks", "oldscotbooks")</f>
        <v>oldscotbooks</v>
      </c>
      <c r="B17674" s="65" t="s">
        <v>24</v>
      </c>
    </row>
    <row r="17675" spans="1:2" x14ac:dyDescent="0.25">
      <c r="A17675" s="64" t="str">
        <f>HYPERLINK("http://www.twitter.com/88patrafferty", "88patrafferty")</f>
        <v>88patrafferty</v>
      </c>
      <c r="B17675" s="65" t="s">
        <v>517</v>
      </c>
    </row>
    <row r="17676" spans="1:2" x14ac:dyDescent="0.25">
      <c r="A17676" s="64" t="str">
        <f>HYPERLINK("http://www.twitter.com/Kragos80", "Kragos80")</f>
        <v>Kragos80</v>
      </c>
      <c r="B17676" s="65" t="s">
        <v>232</v>
      </c>
    </row>
    <row r="17677" spans="1:2" x14ac:dyDescent="0.25">
      <c r="A17677" s="64" t="str">
        <f>HYPERLINK("http://www.twitter.com/theo_craig", "theo_craig")</f>
        <v>theo_craig</v>
      </c>
      <c r="B17677" s="65"/>
    </row>
    <row r="17678" spans="1:2" x14ac:dyDescent="0.25">
      <c r="A17678" s="64" t="str">
        <f>HYPERLINK("http://www.twitter.com/CalmTheBeans", "CalmTheBeans")</f>
        <v>CalmTheBeans</v>
      </c>
      <c r="B17678" s="65" t="s">
        <v>9072</v>
      </c>
    </row>
    <row r="17679" spans="1:2" x14ac:dyDescent="0.25">
      <c r="A17679" s="64" t="str">
        <f>HYPERLINK("http://www.twitter.com/EilidhRoss_", "EilidhRoss_")</f>
        <v>EilidhRoss_</v>
      </c>
      <c r="B17679" s="65" t="s">
        <v>4092</v>
      </c>
    </row>
    <row r="17680" spans="1:2" x14ac:dyDescent="0.25">
      <c r="A17680" s="64" t="str">
        <f>HYPERLINK("http://www.twitter.com/StacyGray45", "StacyGray45")</f>
        <v>StacyGray45</v>
      </c>
      <c r="B17680" s="65" t="s">
        <v>318</v>
      </c>
    </row>
    <row r="17681" spans="1:2" x14ac:dyDescent="0.25">
      <c r="A17681" s="64" t="str">
        <f>HYPERLINK("http://www.twitter.com/jreilly21", "jreilly21")</f>
        <v>jreilly21</v>
      </c>
      <c r="B17681" s="65"/>
    </row>
    <row r="17682" spans="1:2" x14ac:dyDescent="0.25">
      <c r="A17682" s="64" t="str">
        <f>HYPERLINK("http://www.twitter.com/stuartcard", "stuartcard")</f>
        <v>stuartcard</v>
      </c>
      <c r="B17682" s="65" t="s">
        <v>9074</v>
      </c>
    </row>
    <row r="17683" spans="1:2" x14ac:dyDescent="0.25">
      <c r="A17683" s="64" t="str">
        <f>HYPERLINK("http://www.twitter.com/constantdarknes", "constantdarknes")</f>
        <v>constantdarknes</v>
      </c>
      <c r="B17683" s="65" t="s">
        <v>6571</v>
      </c>
    </row>
    <row r="17684" spans="1:2" x14ac:dyDescent="0.25">
      <c r="A17684" s="64" t="str">
        <f>HYPERLINK("http://www.twitter.com/LindaGilroy", "LindaGilroy")</f>
        <v>LindaGilroy</v>
      </c>
      <c r="B17684" s="65" t="s">
        <v>186</v>
      </c>
    </row>
    <row r="17685" spans="1:2" x14ac:dyDescent="0.25">
      <c r="A17685" s="64" t="str">
        <f>HYPERLINK("http://www.twitter.com/MikeGrocott", "MikeGrocott")</f>
        <v>MikeGrocott</v>
      </c>
      <c r="B17685" s="65" t="s">
        <v>569</v>
      </c>
    </row>
    <row r="17686" spans="1:2" x14ac:dyDescent="0.25">
      <c r="A17686" s="64" t="str">
        <f>HYPERLINK("http://www.twitter.com/EverettDominic", "EverettDominic")</f>
        <v>EverettDominic</v>
      </c>
      <c r="B17686" s="65"/>
    </row>
    <row r="17687" spans="1:2" x14ac:dyDescent="0.25">
      <c r="A17687" s="64" t="str">
        <f>HYPERLINK("http://www.twitter.com/mbrown839", "mbrown839")</f>
        <v>mbrown839</v>
      </c>
      <c r="B17687" s="65" t="s">
        <v>9075</v>
      </c>
    </row>
    <row r="17688" spans="1:2" x14ac:dyDescent="0.25">
      <c r="A17688" s="64" t="str">
        <f>HYPERLINK("http://www.twitter.com/kphoekman", "kphoekman")</f>
        <v>kphoekman</v>
      </c>
      <c r="B17688" s="65" t="s">
        <v>3988</v>
      </c>
    </row>
    <row r="17689" spans="1:2" x14ac:dyDescent="0.25">
      <c r="A17689" s="64" t="str">
        <f>HYPERLINK("http://www.twitter.com/Scootmacg", "Scootmacg")</f>
        <v>Scootmacg</v>
      </c>
      <c r="B17689" s="65"/>
    </row>
    <row r="17690" spans="1:2" x14ac:dyDescent="0.25">
      <c r="A17690" s="64" t="str">
        <f>HYPERLINK("http://www.twitter.com/Clawed_balls", "Clawed_balls")</f>
        <v>Clawed_balls</v>
      </c>
      <c r="B17690" s="65" t="s">
        <v>4366</v>
      </c>
    </row>
    <row r="17691" spans="1:2" x14ac:dyDescent="0.25">
      <c r="A17691" s="64" t="str">
        <f>HYPERLINK("http://www.twitter.com/foxnose", "foxnose")</f>
        <v>foxnose</v>
      </c>
      <c r="B17691" s="65" t="s">
        <v>318</v>
      </c>
    </row>
    <row r="17692" spans="1:2" x14ac:dyDescent="0.25">
      <c r="A17692" s="64" t="str">
        <f>HYPERLINK("http://www.twitter.com/Southsidegrrrl", "Southsidegrrrl")</f>
        <v>Southsidegrrrl</v>
      </c>
      <c r="B17692" s="65"/>
    </row>
    <row r="17693" spans="1:2" x14ac:dyDescent="0.25">
      <c r="A17693" s="64" t="str">
        <f>HYPERLINK("http://www.twitter.com/politicalhackuk", "politicalhackuk")</f>
        <v>politicalhackuk</v>
      </c>
      <c r="B17693" s="65" t="s">
        <v>310</v>
      </c>
    </row>
    <row r="17694" spans="1:2" x14ac:dyDescent="0.25">
      <c r="A17694" s="64" t="str">
        <f>HYPERLINK("http://www.twitter.com/hahoangcao", "hahoangcao")</f>
        <v>hahoangcao</v>
      </c>
      <c r="B17694" s="65" t="s">
        <v>4291</v>
      </c>
    </row>
    <row r="17695" spans="1:2" x14ac:dyDescent="0.25">
      <c r="A17695" s="64" t="str">
        <f>HYPERLINK("http://www.twitter.com/thememoryparade", "thememoryparade")</f>
        <v>thememoryparade</v>
      </c>
      <c r="B17695" s="65"/>
    </row>
    <row r="17696" spans="1:2" x14ac:dyDescent="0.25">
      <c r="A17696" s="64" t="str">
        <f>HYPERLINK("http://www.twitter.com/nickh1877", "nickh1877")</f>
        <v>nickh1877</v>
      </c>
      <c r="B17696" s="65" t="s">
        <v>9076</v>
      </c>
    </row>
    <row r="17697" spans="1:2" x14ac:dyDescent="0.25">
      <c r="A17697" s="64" t="str">
        <f>HYPERLINK("http://www.twitter.com/manjur_raj", "manjur_raj")</f>
        <v>manjur_raj</v>
      </c>
      <c r="B17697" s="65" t="s">
        <v>9077</v>
      </c>
    </row>
    <row r="17698" spans="1:2" x14ac:dyDescent="0.25">
      <c r="A17698" s="64" t="str">
        <f>HYPERLINK("http://www.twitter.com/oldmachar", "oldmachar")</f>
        <v>oldmachar</v>
      </c>
      <c r="B17698" s="65" t="s">
        <v>9078</v>
      </c>
    </row>
    <row r="17699" spans="1:2" x14ac:dyDescent="0.25">
      <c r="A17699" s="64" t="str">
        <f>HYPERLINK("http://www.twitter.com/lbschool", "lbschool")</f>
        <v>lbschool</v>
      </c>
      <c r="B17699" s="65" t="s">
        <v>4145</v>
      </c>
    </row>
    <row r="17700" spans="1:2" x14ac:dyDescent="0.25">
      <c r="A17700" s="64" t="str">
        <f>HYPERLINK("http://www.twitter.com/librarystory3", "librarystory3")</f>
        <v>librarystory3</v>
      </c>
      <c r="B17700" s="65"/>
    </row>
    <row r="17701" spans="1:2" x14ac:dyDescent="0.25">
      <c r="A17701" s="64" t="str">
        <f>HYPERLINK("http://www.twitter.com/JuliaJarman", "JuliaJarman")</f>
        <v>JuliaJarman</v>
      </c>
      <c r="B17701" s="65" t="s">
        <v>9079</v>
      </c>
    </row>
    <row r="17702" spans="1:2" x14ac:dyDescent="0.25">
      <c r="A17702" s="64" t="str">
        <f>HYPERLINK("http://www.twitter.com/MrsPrankard", "MrsPrankard")</f>
        <v>MrsPrankard</v>
      </c>
      <c r="B17702" s="65" t="s">
        <v>4394</v>
      </c>
    </row>
    <row r="17703" spans="1:2" x14ac:dyDescent="0.25">
      <c r="A17703" s="64" t="str">
        <f>HYPERLINK("http://www.twitter.com/yaylibraries", "yaylibraries")</f>
        <v>yaylibraries</v>
      </c>
      <c r="B17703" s="65"/>
    </row>
    <row r="17704" spans="1:2" x14ac:dyDescent="0.25">
      <c r="A17704" s="64" t="str">
        <f>HYPERLINK("http://www.twitter.com/Tourismintell", "Tourismintell")</f>
        <v>Tourismintell</v>
      </c>
      <c r="B17704" s="65" t="s">
        <v>517</v>
      </c>
    </row>
    <row r="17705" spans="1:2" x14ac:dyDescent="0.25">
      <c r="A17705" s="64" t="str">
        <f>HYPERLINK("http://www.twitter.com/SaveChildrenSCO", "SaveChildrenSCO")</f>
        <v>SaveChildrenSCO</v>
      </c>
      <c r="B17705" s="65" t="s">
        <v>517</v>
      </c>
    </row>
    <row r="17706" spans="1:2" x14ac:dyDescent="0.25">
      <c r="A17706" s="64" t="str">
        <f>HYPERLINK("http://www.twitter.com/KateRLTB", "KateRLTB")</f>
        <v>KateRLTB</v>
      </c>
      <c r="B17706" s="65" t="s">
        <v>70</v>
      </c>
    </row>
    <row r="17707" spans="1:2" x14ac:dyDescent="0.25">
      <c r="A17707" s="64" t="str">
        <f>HYPERLINK("http://www.twitter.com/CathAubergine", "CathAubergine")</f>
        <v>CathAubergine</v>
      </c>
      <c r="B17707" s="65" t="s">
        <v>33</v>
      </c>
    </row>
    <row r="17708" spans="1:2" x14ac:dyDescent="0.25">
      <c r="A17708" s="64" t="str">
        <f>HYPERLINK("http://www.twitter.com/LeaBenne", "LeaBenne")</f>
        <v>LeaBenne</v>
      </c>
      <c r="B17708" s="65" t="s">
        <v>9080</v>
      </c>
    </row>
    <row r="17709" spans="1:2" x14ac:dyDescent="0.25">
      <c r="A17709" s="64" t="str">
        <f>HYPERLINK("http://www.twitter.com/NivenRennie", "NivenRennie")</f>
        <v>NivenRennie</v>
      </c>
      <c r="B17709" s="65"/>
    </row>
    <row r="17710" spans="1:2" x14ac:dyDescent="0.25">
      <c r="A17710" s="64" t="str">
        <f>HYPERLINK("http://www.twitter.com/RothReaders", "RothReaders")</f>
        <v>RothReaders</v>
      </c>
      <c r="B17710" s="65" t="s">
        <v>1698</v>
      </c>
    </row>
    <row r="17711" spans="1:2" x14ac:dyDescent="0.25">
      <c r="A17711" s="64" t="str">
        <f>HYPERLINK("http://www.twitter.com/MrMichaelSpicer", "MrMichaelSpicer")</f>
        <v>MrMichaelSpicer</v>
      </c>
      <c r="B17711" s="65" t="s">
        <v>9081</v>
      </c>
    </row>
    <row r="17712" spans="1:2" x14ac:dyDescent="0.25">
      <c r="A17712" s="64" t="str">
        <f>HYPERLINK("http://www.twitter.com/phylliesilk", "phylliesilk")</f>
        <v>phylliesilk</v>
      </c>
      <c r="B17712" s="65"/>
    </row>
    <row r="17713" spans="1:2" x14ac:dyDescent="0.25">
      <c r="A17713" s="64" t="str">
        <f>HYPERLINK("http://www.twitter.com/princemeowmers", "princemeowmers")</f>
        <v>princemeowmers</v>
      </c>
      <c r="B17713" s="65" t="s">
        <v>9082</v>
      </c>
    </row>
    <row r="17714" spans="1:2" x14ac:dyDescent="0.25">
      <c r="A17714" s="64" t="str">
        <f>HYPERLINK("http://www.twitter.com/martygreer", "martygreer")</f>
        <v>martygreer</v>
      </c>
      <c r="B17714" s="65" t="s">
        <v>3871</v>
      </c>
    </row>
    <row r="17715" spans="1:2" x14ac:dyDescent="0.25">
      <c r="A17715" s="64" t="str">
        <f>HYPERLINK("http://www.twitter.com/TheShrub", "TheShrub")</f>
        <v>TheShrub</v>
      </c>
      <c r="B17715" s="65"/>
    </row>
    <row r="17716" spans="1:2" x14ac:dyDescent="0.25">
      <c r="A17716" s="64" t="str">
        <f>HYPERLINK("http://www.twitter.com/mollyhay22", "mollyhay22")</f>
        <v>mollyhay22</v>
      </c>
      <c r="B17716" s="65"/>
    </row>
    <row r="17717" spans="1:2" x14ac:dyDescent="0.25">
      <c r="A17717" s="64" t="str">
        <f>HYPERLINK("http://www.twitter.com/GroveLibrary", "GroveLibrary")</f>
        <v>GroveLibrary</v>
      </c>
      <c r="B17717" s="65" t="s">
        <v>232</v>
      </c>
    </row>
    <row r="17718" spans="1:2" x14ac:dyDescent="0.25">
      <c r="A17718" s="64" t="str">
        <f>HYPERLINK("http://www.twitter.com/MissELCarter", "MissELCarter")</f>
        <v>MissELCarter</v>
      </c>
      <c r="B17718" s="65"/>
    </row>
    <row r="17719" spans="1:2" x14ac:dyDescent="0.25">
      <c r="A17719" s="64" t="str">
        <f>HYPERLINK("http://www.twitter.com/Angelina_bee", "Angelina_bee")</f>
        <v>Angelina_bee</v>
      </c>
      <c r="B17719" s="65" t="s">
        <v>36</v>
      </c>
    </row>
    <row r="17720" spans="1:2" x14ac:dyDescent="0.25">
      <c r="A17720" s="64" t="str">
        <f>HYPERLINK("http://www.twitter.com/ANDREAREADSBOOK", "ANDREAREADSBOOK")</f>
        <v>ANDREAREADSBOOK</v>
      </c>
      <c r="B17720" s="65"/>
    </row>
    <row r="17721" spans="1:2" x14ac:dyDescent="0.25">
      <c r="A17721" s="64" t="str">
        <f>HYPERLINK("http://www.twitter.com/corkcitylibrary", "corkcitylibrary")</f>
        <v>corkcitylibrary</v>
      </c>
      <c r="B17721" s="65" t="s">
        <v>3842</v>
      </c>
    </row>
    <row r="17722" spans="1:2" x14ac:dyDescent="0.25">
      <c r="A17722" s="64" t="str">
        <f>HYPERLINK("http://www.twitter.com/taraskrynepg", "taraskrynepg")</f>
        <v>taraskrynepg</v>
      </c>
      <c r="B17722" s="65" t="s">
        <v>9083</v>
      </c>
    </row>
    <row r="17723" spans="1:2" x14ac:dyDescent="0.25">
      <c r="A17723" s="64" t="str">
        <f>HYPERLINK("http://www.twitter.com/raynemay12", "raynemay12")</f>
        <v>raynemay12</v>
      </c>
      <c r="B17723" s="65" t="s">
        <v>3948</v>
      </c>
    </row>
    <row r="17724" spans="1:2" x14ac:dyDescent="0.25">
      <c r="A17724" s="64" t="str">
        <f>HYPERLINK("http://www.twitter.com/tripleteer", "tripleteer")</f>
        <v>tripleteer</v>
      </c>
      <c r="B17724" s="65"/>
    </row>
    <row r="17725" spans="1:2" x14ac:dyDescent="0.25">
      <c r="A17725" s="64" t="str">
        <f>HYPERLINK("http://www.twitter.com/hurricane_dj", "hurricane_dj")</f>
        <v>hurricane_dj</v>
      </c>
      <c r="B17725" s="65" t="s">
        <v>318</v>
      </c>
    </row>
    <row r="17726" spans="1:2" x14ac:dyDescent="0.25">
      <c r="A17726" s="64" t="str">
        <f>HYPERLINK("http://www.twitter.com/ntlibrarygirl", "ntlibrarygirl")</f>
        <v>ntlibrarygirl</v>
      </c>
      <c r="B17726" s="65"/>
    </row>
    <row r="17727" spans="1:2" x14ac:dyDescent="0.25">
      <c r="A17727" s="64" t="str">
        <f>HYPERLINK("http://www.twitter.com/Crunchers", "Crunchers")</f>
        <v>Crunchers</v>
      </c>
      <c r="B17727" s="65" t="s">
        <v>9084</v>
      </c>
    </row>
    <row r="17728" spans="1:2" x14ac:dyDescent="0.25">
      <c r="A17728" s="64" t="str">
        <f>HYPERLINK("http://www.twitter.com/Miketreacy1", "Miketreacy1")</f>
        <v>Miketreacy1</v>
      </c>
      <c r="B17728" s="65" t="s">
        <v>477</v>
      </c>
    </row>
    <row r="17729" spans="1:2" x14ac:dyDescent="0.25">
      <c r="A17729" s="64" t="str">
        <f>HYPERLINK("http://www.twitter.com/pinkham12", "pinkham12")</f>
        <v>pinkham12</v>
      </c>
      <c r="B17729" s="65"/>
    </row>
    <row r="17730" spans="1:2" x14ac:dyDescent="0.25">
      <c r="A17730" s="64" t="str">
        <f>HYPERLINK("http://www.twitter.com/SaraRosett", "SaraRosett")</f>
        <v>SaraRosett</v>
      </c>
      <c r="B17730" s="65"/>
    </row>
    <row r="17731" spans="1:2" x14ac:dyDescent="0.25">
      <c r="A17731" s="64" t="str">
        <f>HYPERLINK("http://www.twitter.com/bob_ross", "bob_ross")</f>
        <v>bob_ross</v>
      </c>
      <c r="B17731" s="65" t="s">
        <v>4366</v>
      </c>
    </row>
    <row r="17732" spans="1:2" x14ac:dyDescent="0.25">
      <c r="A17732" s="64" t="str">
        <f>HYPERLINK("http://www.twitter.com/uneasyblond", "uneasyblond")</f>
        <v>uneasyblond</v>
      </c>
      <c r="B17732" s="65"/>
    </row>
    <row r="17733" spans="1:2" x14ac:dyDescent="0.25">
      <c r="A17733" s="64" t="str">
        <f>HYPERLINK("http://www.twitter.com/_AriadneBarros", "_AriadneBarros")</f>
        <v>_AriadneBarros</v>
      </c>
      <c r="B17733" s="65"/>
    </row>
    <row r="17734" spans="1:2" x14ac:dyDescent="0.25">
      <c r="A17734" s="64" t="str">
        <f>HYPERLINK("http://www.twitter.com/StormKathleen", "StormKathleen")</f>
        <v>StormKathleen</v>
      </c>
      <c r="B17734" s="65" t="s">
        <v>9085</v>
      </c>
    </row>
    <row r="17735" spans="1:2" x14ac:dyDescent="0.25">
      <c r="A17735" s="64" t="str">
        <f>HYPERLINK("http://www.twitter.com/SJohnAustin", "SJohnAustin")</f>
        <v>SJohnAustin</v>
      </c>
      <c r="B17735" s="65"/>
    </row>
    <row r="17736" spans="1:2" x14ac:dyDescent="0.25">
      <c r="A17736" s="64" t="str">
        <f>HYPERLINK("http://www.twitter.com/shreejagadde", "shreejagadde")</f>
        <v>shreejagadde</v>
      </c>
      <c r="B17736" s="65" t="s">
        <v>9086</v>
      </c>
    </row>
    <row r="17737" spans="1:2" x14ac:dyDescent="0.25">
      <c r="A17737" s="64" t="str">
        <f>HYPERLINK("http://www.twitter.com/embilbie", "embilbie")</f>
        <v>embilbie</v>
      </c>
      <c r="B17737" s="65" t="s">
        <v>4147</v>
      </c>
    </row>
    <row r="17738" spans="1:2" x14ac:dyDescent="0.25">
      <c r="A17738" s="64" t="str">
        <f>HYPERLINK("http://www.twitter.com/olofum", "olofum")</f>
        <v>olofum</v>
      </c>
      <c r="B17738" s="65" t="s">
        <v>9087</v>
      </c>
    </row>
    <row r="17739" spans="1:2" x14ac:dyDescent="0.25">
      <c r="A17739" s="64" t="str">
        <f>HYPERLINK("http://www.twitter.com/helent13", "helent13")</f>
        <v>helent13</v>
      </c>
      <c r="B17739" s="65" t="s">
        <v>5355</v>
      </c>
    </row>
    <row r="17740" spans="1:2" x14ac:dyDescent="0.25">
      <c r="A17740" s="64" t="str">
        <f>HYPERLINK("http://www.twitter.com/carolsllvn", "carolsllvn")</f>
        <v>carolsllvn</v>
      </c>
      <c r="B17740" s="65" t="s">
        <v>5171</v>
      </c>
    </row>
    <row r="17741" spans="1:2" x14ac:dyDescent="0.25">
      <c r="A17741" s="64" t="str">
        <f>HYPERLINK("http://www.twitter.com/Francesca2ooo", "Francesca2ooo")</f>
        <v>Francesca2ooo</v>
      </c>
      <c r="B17741" s="65" t="s">
        <v>4213</v>
      </c>
    </row>
    <row r="17742" spans="1:2" x14ac:dyDescent="0.25">
      <c r="A17742" s="64" t="str">
        <f>HYPERLINK("http://www.twitter.com/URLinksPOT", "URLinksPOT")</f>
        <v>URLinksPOT</v>
      </c>
      <c r="B17742" s="65" t="s">
        <v>4492</v>
      </c>
    </row>
    <row r="17743" spans="1:2" x14ac:dyDescent="0.25">
      <c r="A17743" s="64" t="str">
        <f>HYPERLINK("http://www.twitter.com/annelawrence86", "annelawrence86")</f>
        <v>annelawrence86</v>
      </c>
      <c r="B17743" s="65" t="s">
        <v>5721</v>
      </c>
    </row>
    <row r="17744" spans="1:2" x14ac:dyDescent="0.25">
      <c r="A17744" s="64" t="str">
        <f>HYPERLINK("http://www.twitter.com/happyathogwarts", "happyathogwarts")</f>
        <v>happyathogwarts</v>
      </c>
      <c r="B17744" s="65"/>
    </row>
    <row r="17745" spans="1:2" x14ac:dyDescent="0.25">
      <c r="A17745" s="64" t="str">
        <f>HYPERLINK("http://www.twitter.com/KerryLibME", "KerryLibME")</f>
        <v>KerryLibME</v>
      </c>
      <c r="B17745" s="65"/>
    </row>
    <row r="17746" spans="1:2" x14ac:dyDescent="0.25">
      <c r="A17746" s="64" t="str">
        <f>HYPERLINK("http://www.twitter.com/_JohnnyWest", "_JohnnyWest")</f>
        <v>_JohnnyWest</v>
      </c>
      <c r="B17746" s="65" t="s">
        <v>9088</v>
      </c>
    </row>
    <row r="17747" spans="1:2" x14ac:dyDescent="0.25">
      <c r="A17747" s="64" t="str">
        <f>HYPERLINK("http://www.twitter.com/Carrjack", "Carrjack")</f>
        <v>Carrjack</v>
      </c>
      <c r="B17747" s="65"/>
    </row>
    <row r="17748" spans="1:2" x14ac:dyDescent="0.25">
      <c r="A17748" s="64" t="str">
        <f>HYPERLINK("http://www.twitter.com/sprat72", "sprat72")</f>
        <v>sprat72</v>
      </c>
      <c r="B17748" s="65"/>
    </row>
    <row r="17749" spans="1:2" x14ac:dyDescent="0.25">
      <c r="A17749" s="64" t="str">
        <f>HYPERLINK("http://www.twitter.com/twoodle_05", "twoodle_05")</f>
        <v>twoodle_05</v>
      </c>
      <c r="B17749" s="65" t="s">
        <v>232</v>
      </c>
    </row>
    <row r="17750" spans="1:2" x14ac:dyDescent="0.25">
      <c r="A17750" s="64" t="str">
        <f>HYPERLINK("http://www.twitter.com/HMEF", "HMEF")</f>
        <v>HMEF</v>
      </c>
      <c r="B17750" s="65" t="s">
        <v>4587</v>
      </c>
    </row>
    <row r="17751" spans="1:2" x14ac:dyDescent="0.25">
      <c r="A17751" s="64" t="str">
        <f>HYPERLINK("http://www.twitter.com/Alison1611", "Alison1611")</f>
        <v>Alison1611</v>
      </c>
      <c r="B17751" s="65" t="s">
        <v>9089</v>
      </c>
    </row>
    <row r="17752" spans="1:2" x14ac:dyDescent="0.25">
      <c r="A17752" s="64" t="str">
        <f>HYPERLINK("http://www.twitter.com/Sparklyboy1", "Sparklyboy1")</f>
        <v>Sparklyboy1</v>
      </c>
      <c r="B17752" s="65"/>
    </row>
    <row r="17753" spans="1:2" x14ac:dyDescent="0.25">
      <c r="A17753" s="64" t="str">
        <f>HYPERLINK("http://www.twitter.com/NanaQuevedo", "NanaQuevedo")</f>
        <v>NanaQuevedo</v>
      </c>
      <c r="B17753" s="65"/>
    </row>
    <row r="17754" spans="1:2" x14ac:dyDescent="0.25">
      <c r="A17754" s="64" t="str">
        <f>HYPERLINK("http://www.twitter.com/ChrisPetrusev", "ChrisPetrusev")</f>
        <v>ChrisPetrusev</v>
      </c>
      <c r="B17754" s="65"/>
    </row>
    <row r="17755" spans="1:2" x14ac:dyDescent="0.25">
      <c r="A17755" s="64" t="str">
        <f>HYPERLINK("http://www.twitter.com/PaoloViscardi", "PaoloViscardi")</f>
        <v>PaoloViscardi</v>
      </c>
      <c r="B17755" s="65" t="s">
        <v>4291</v>
      </c>
    </row>
    <row r="17756" spans="1:2" x14ac:dyDescent="0.25">
      <c r="A17756" s="64" t="str">
        <f>HYPERLINK("http://www.twitter.com/ClaireErinBell", "ClaireErinBell")</f>
        <v>ClaireErinBell</v>
      </c>
      <c r="B17756" s="65" t="s">
        <v>9090</v>
      </c>
    </row>
    <row r="17757" spans="1:2" x14ac:dyDescent="0.25">
      <c r="A17757" s="64" t="str">
        <f>HYPERLINK("http://www.twitter.com/AllisonNTurner", "AllisonNTurner")</f>
        <v>AllisonNTurner</v>
      </c>
      <c r="B17757" s="65" t="s">
        <v>4940</v>
      </c>
    </row>
    <row r="17758" spans="1:2" x14ac:dyDescent="0.25">
      <c r="A17758" s="64" t="str">
        <f>HYPERLINK("http://www.twitter.com/craftpaintings", "craftpaintings")</f>
        <v>craftpaintings</v>
      </c>
      <c r="B17758" s="65" t="s">
        <v>9091</v>
      </c>
    </row>
    <row r="17759" spans="1:2" x14ac:dyDescent="0.25">
      <c r="A17759" s="64" t="str">
        <f>HYPERLINK("http://www.twitter.com/jordanmurphy91", "jordanmurphy91")</f>
        <v>jordanmurphy91</v>
      </c>
      <c r="B17759" s="65" t="s">
        <v>36</v>
      </c>
    </row>
    <row r="17760" spans="1:2" x14ac:dyDescent="0.25">
      <c r="A17760" s="64" t="str">
        <f>HYPERLINK("http://www.twitter.com/lidabetz", "lidabetz")</f>
        <v>lidabetz</v>
      </c>
      <c r="B17760" s="65" t="s">
        <v>296</v>
      </c>
    </row>
    <row r="17761" spans="1:2" x14ac:dyDescent="0.25">
      <c r="A17761" s="64" t="str">
        <f>HYPERLINK("http://www.twitter.com/PureTimRobinson", "PureTimRobinson")</f>
        <v>PureTimRobinson</v>
      </c>
      <c r="B17761" s="65" t="s">
        <v>9092</v>
      </c>
    </row>
    <row r="17762" spans="1:2" x14ac:dyDescent="0.25">
      <c r="A17762" s="64" t="str">
        <f>HYPERLINK("http://www.twitter.com/fluerrr", "fluerrr")</f>
        <v>fluerrr</v>
      </c>
      <c r="B17762" s="65" t="s">
        <v>9093</v>
      </c>
    </row>
    <row r="17763" spans="1:2" x14ac:dyDescent="0.25">
      <c r="A17763" s="64" t="str">
        <f>HYPERLINK("http://www.twitter.com/MrsGerryAdams", "MrsGerryAdams")</f>
        <v>MrsGerryAdams</v>
      </c>
      <c r="B17763" s="65" t="s">
        <v>318</v>
      </c>
    </row>
    <row r="17764" spans="1:2" x14ac:dyDescent="0.25">
      <c r="A17764" s="64" t="str">
        <f>HYPERLINK("http://www.twitter.com/huwwilford", "huwwilford")</f>
        <v>huwwilford</v>
      </c>
      <c r="B17764" s="65"/>
    </row>
    <row r="17765" spans="1:2" x14ac:dyDescent="0.25">
      <c r="A17765" s="64" t="str">
        <f>HYPERLINK("http://www.twitter.com/libquest", "libquest")</f>
        <v>libquest</v>
      </c>
      <c r="B17765" s="65"/>
    </row>
    <row r="17766" spans="1:2" x14ac:dyDescent="0.25">
      <c r="A17766" s="64" t="str">
        <f>HYPERLINK("http://www.twitter.com/deng_mir", "deng_mir")</f>
        <v>deng_mir</v>
      </c>
      <c r="B17766" s="65" t="s">
        <v>6639</v>
      </c>
    </row>
    <row r="17767" spans="1:2" x14ac:dyDescent="0.25">
      <c r="A17767" s="64" t="str">
        <f>HYPERLINK("http://www.twitter.com/CAMgr8fulTL", "CAMgr8fulTL")</f>
        <v>CAMgr8fulTL</v>
      </c>
      <c r="B17767" s="65" t="s">
        <v>9094</v>
      </c>
    </row>
    <row r="17768" spans="1:2" x14ac:dyDescent="0.25">
      <c r="A17768" s="64" t="str">
        <f>HYPERLINK("http://www.twitter.com/DadsRockAcademy", "DadsRockAcademy")</f>
        <v>DadsRockAcademy</v>
      </c>
      <c r="B17768" s="65" t="s">
        <v>24</v>
      </c>
    </row>
    <row r="17769" spans="1:2" x14ac:dyDescent="0.25">
      <c r="A17769" s="64" t="str">
        <f>HYPERLINK("http://www.twitter.com/leahpean1019", "leahpean1019")</f>
        <v>leahpean1019</v>
      </c>
      <c r="B17769" s="65"/>
    </row>
    <row r="17770" spans="1:2" x14ac:dyDescent="0.25">
      <c r="A17770" s="64" t="str">
        <f>HYPERLINK("http://www.twitter.com/GibsonAlistair", "GibsonAlistair")</f>
        <v>GibsonAlistair</v>
      </c>
      <c r="B17770" s="65"/>
    </row>
    <row r="17771" spans="1:2" x14ac:dyDescent="0.25">
      <c r="A17771" s="64" t="str">
        <f>HYPERLINK("http://www.twitter.com/fyodor85", "fyodor85")</f>
        <v>fyodor85</v>
      </c>
      <c r="B17771" s="65" t="s">
        <v>110</v>
      </c>
    </row>
    <row r="17772" spans="1:2" x14ac:dyDescent="0.25">
      <c r="A17772" s="64" t="str">
        <f>HYPERLINK("http://www.twitter.com/IanIanrussell10", "IanIanrussell10")</f>
        <v>IanIanrussell10</v>
      </c>
      <c r="B17772" s="65"/>
    </row>
    <row r="17773" spans="1:2" x14ac:dyDescent="0.25">
      <c r="A17773" s="64" t="str">
        <f>HYPERLINK("http://www.twitter.com/BritannicaLearn", "BritannicaLearn")</f>
        <v>BritannicaLearn</v>
      </c>
      <c r="B17773" s="65" t="s">
        <v>3863</v>
      </c>
    </row>
    <row r="17774" spans="1:2" x14ac:dyDescent="0.25">
      <c r="A17774" s="64" t="str">
        <f>HYPERLINK("http://www.twitter.com/lizmac307", "lizmac307")</f>
        <v>lizmac307</v>
      </c>
      <c r="B17774" s="65" t="s">
        <v>9095</v>
      </c>
    </row>
    <row r="17775" spans="1:2" x14ac:dyDescent="0.25">
      <c r="A17775" s="64" t="str">
        <f>HYPERLINK("http://www.twitter.com/yammthelamb", "yammthelamb")</f>
        <v>yammthelamb</v>
      </c>
      <c r="B17775" s="65" t="s">
        <v>5267</v>
      </c>
    </row>
    <row r="17776" spans="1:2" x14ac:dyDescent="0.25">
      <c r="A17776" s="64" t="str">
        <f>HYPERLINK("http://www.twitter.com/EdinburghCat", "EdinburghCat")</f>
        <v>EdinburghCat</v>
      </c>
      <c r="B17776" s="65" t="s">
        <v>24</v>
      </c>
    </row>
    <row r="17777" spans="1:2" x14ac:dyDescent="0.25">
      <c r="A17777" s="64" t="str">
        <f>HYPERLINK("http://www.twitter.com/zen959", "zen959")</f>
        <v>zen959</v>
      </c>
      <c r="B17777" s="65"/>
    </row>
    <row r="17778" spans="1:2" x14ac:dyDescent="0.25">
      <c r="A17778" s="64" t="str">
        <f>HYPERLINK("http://www.twitter.com/JGaul1", "JGaul1")</f>
        <v>JGaul1</v>
      </c>
      <c r="B17778" s="65" t="s">
        <v>9096</v>
      </c>
    </row>
    <row r="17779" spans="1:2" x14ac:dyDescent="0.25">
      <c r="A17779" s="64" t="str">
        <f>HYPERLINK("http://www.twitter.com/oskario123", "oskario123")</f>
        <v>oskario123</v>
      </c>
      <c r="B17779" s="65" t="s">
        <v>70</v>
      </c>
    </row>
    <row r="17780" spans="1:2" x14ac:dyDescent="0.25">
      <c r="A17780" s="64" t="str">
        <f>HYPERLINK("http://www.twitter.com/NikkiWylie95", "NikkiWylie95")</f>
        <v>NikkiWylie95</v>
      </c>
      <c r="B17780" s="65"/>
    </row>
    <row r="17781" spans="1:2" x14ac:dyDescent="0.25">
      <c r="A17781" s="64" t="str">
        <f>HYPERLINK("http://www.twitter.com/PFDAgents", "PFDAgents")</f>
        <v>PFDAgents</v>
      </c>
      <c r="B17781" s="65" t="s">
        <v>110</v>
      </c>
    </row>
    <row r="17782" spans="1:2" x14ac:dyDescent="0.25">
      <c r="A17782" s="64" t="str">
        <f>HYPERLINK("http://www.twitter.com/barbaramerriman", "barbaramerriman")</f>
        <v>barbaramerriman</v>
      </c>
      <c r="B17782" s="65"/>
    </row>
    <row r="17783" spans="1:2" x14ac:dyDescent="0.25">
      <c r="A17783" s="64" t="str">
        <f>HYPERLINK("http://www.twitter.com/ChristineMatch1", "ChristineMatch1")</f>
        <v>ChristineMatch1</v>
      </c>
      <c r="B17783" s="65" t="s">
        <v>4394</v>
      </c>
    </row>
    <row r="17784" spans="1:2" x14ac:dyDescent="0.25">
      <c r="A17784" s="64" t="str">
        <f>HYPERLINK("http://www.twitter.com/JasonIJSmith", "JasonIJSmith")</f>
        <v>JasonIJSmith</v>
      </c>
      <c r="B17784" s="65"/>
    </row>
    <row r="17785" spans="1:2" x14ac:dyDescent="0.25">
      <c r="A17785" s="64" t="str">
        <f>HYPERLINK("http://www.twitter.com/vipas_amnuay", "vipas_amnuay")</f>
        <v>vipas_amnuay</v>
      </c>
      <c r="B17785" s="65"/>
    </row>
    <row r="17786" spans="1:2" x14ac:dyDescent="0.25">
      <c r="A17786" s="64" t="str">
        <f>HYPERLINK("http://www.twitter.com/rotherhythe", "rotherhythe")</f>
        <v>rotherhythe</v>
      </c>
      <c r="B17786" s="65"/>
    </row>
    <row r="17787" spans="1:2" x14ac:dyDescent="0.25">
      <c r="A17787" s="64" t="str">
        <f>HYPERLINK("http://www.twitter.com/kitallen", "kitallen")</f>
        <v>kitallen</v>
      </c>
      <c r="B17787" s="65" t="s">
        <v>2007</v>
      </c>
    </row>
    <row r="17788" spans="1:2" x14ac:dyDescent="0.25">
      <c r="A17788" s="64" t="str">
        <f>HYPERLINK("http://www.twitter.com/dohoodle", "dohoodle")</f>
        <v>dohoodle</v>
      </c>
      <c r="B17788" s="65" t="s">
        <v>3956</v>
      </c>
    </row>
    <row r="17789" spans="1:2" x14ac:dyDescent="0.25">
      <c r="A17789" s="64" t="str">
        <f>HYPERLINK("http://www.twitter.com/LSluaP", "LSluaP")</f>
        <v>LSluaP</v>
      </c>
      <c r="B17789" s="65" t="s">
        <v>9097</v>
      </c>
    </row>
    <row r="17790" spans="1:2" x14ac:dyDescent="0.25">
      <c r="A17790" s="64" t="str">
        <f>HYPERLINK("http://www.twitter.com/dvahj", "dvahj")</f>
        <v>dvahj</v>
      </c>
      <c r="B17790" s="65"/>
    </row>
    <row r="17791" spans="1:2" x14ac:dyDescent="0.25">
      <c r="A17791" s="64" t="str">
        <f>HYPERLINK("http://www.twitter.com/TheForestDeliCo", "TheForestDeliCo")</f>
        <v>TheForestDeliCo</v>
      </c>
      <c r="B17791" s="65" t="s">
        <v>8625</v>
      </c>
    </row>
    <row r="17792" spans="1:2" x14ac:dyDescent="0.25">
      <c r="A17792" s="64" t="str">
        <f>HYPERLINK("http://www.twitter.com/themarklittle", "themarklittle")</f>
        <v>themarklittle</v>
      </c>
      <c r="B17792" s="65" t="s">
        <v>9098</v>
      </c>
    </row>
    <row r="17793" spans="1:2" x14ac:dyDescent="0.25">
      <c r="A17793" s="64" t="str">
        <f>HYPERLINK("http://www.twitter.com/PeedieDonna", "PeedieDonna")</f>
        <v>PeedieDonna</v>
      </c>
      <c r="B17793" s="65"/>
    </row>
    <row r="17794" spans="1:2" x14ac:dyDescent="0.25">
      <c r="A17794" s="64" t="str">
        <f>HYPERLINK("http://www.twitter.com/indentleft", "indentleft")</f>
        <v>indentleft</v>
      </c>
      <c r="B17794" s="65" t="s">
        <v>9099</v>
      </c>
    </row>
    <row r="17795" spans="1:2" x14ac:dyDescent="0.25">
      <c r="A17795" s="64" t="str">
        <f>HYPERLINK("http://www.twitter.com/AmyMaye_s", "AmyMaye_s")</f>
        <v>AmyMaye_s</v>
      </c>
      <c r="B17795" s="65" t="s">
        <v>9100</v>
      </c>
    </row>
    <row r="17796" spans="1:2" x14ac:dyDescent="0.25">
      <c r="A17796" s="64" t="str">
        <f>HYPERLINK("http://www.twitter.com/chagedorn84", "chagedorn84")</f>
        <v>chagedorn84</v>
      </c>
      <c r="B17796" s="65"/>
    </row>
    <row r="17797" spans="1:2" x14ac:dyDescent="0.25">
      <c r="A17797" s="64" t="str">
        <f>HYPERLINK("http://www.twitter.com/Country_Watch", "Country_Watch")</f>
        <v>Country_Watch</v>
      </c>
      <c r="B17797" s="65" t="s">
        <v>9101</v>
      </c>
    </row>
    <row r="17798" spans="1:2" x14ac:dyDescent="0.25">
      <c r="A17798" s="64" t="str">
        <f>HYPERLINK("http://www.twitter.com/debbiayr", "debbiayr")</f>
        <v>debbiayr</v>
      </c>
      <c r="B17798" s="65" t="s">
        <v>9102</v>
      </c>
    </row>
    <row r="17799" spans="1:2" x14ac:dyDescent="0.25">
      <c r="A17799" s="64" t="str">
        <f>HYPERLINK("http://www.twitter.com/Alamaireh99", "Alamaireh99")</f>
        <v>Alamaireh99</v>
      </c>
      <c r="B17799" s="65" t="s">
        <v>9103</v>
      </c>
    </row>
    <row r="17800" spans="1:2" x14ac:dyDescent="0.25">
      <c r="A17800" s="64" t="str">
        <f>HYPERLINK("http://www.twitter.com/LoveArchaeology", "LoveArchaeology")</f>
        <v>LoveArchaeology</v>
      </c>
      <c r="B17800" s="65"/>
    </row>
    <row r="17801" spans="1:2" x14ac:dyDescent="0.25">
      <c r="A17801" s="64" t="str">
        <f>HYPERLINK("http://www.twitter.com/ChrisStewart_93", "ChrisStewart_93")</f>
        <v>ChrisStewart_93</v>
      </c>
      <c r="B17801" s="65"/>
    </row>
    <row r="17802" spans="1:2" x14ac:dyDescent="0.25">
      <c r="A17802" s="64" t="str">
        <f>HYPERLINK("http://www.twitter.com/MatthewCap", "MatthewCap")</f>
        <v>MatthewCap</v>
      </c>
      <c r="B17802" s="65"/>
    </row>
    <row r="17803" spans="1:2" x14ac:dyDescent="0.25">
      <c r="A17803" s="64" t="str">
        <f>HYPERLINK("http://www.twitter.com/caitlinwenz", "caitlinwenz")</f>
        <v>caitlinwenz</v>
      </c>
      <c r="B17803" s="65" t="s">
        <v>4209</v>
      </c>
    </row>
    <row r="17804" spans="1:2" x14ac:dyDescent="0.25">
      <c r="A17804" s="64" t="str">
        <f>HYPERLINK("http://www.twitter.com/iatiad", "iatiad")</f>
        <v>iatiad</v>
      </c>
      <c r="B17804" s="65" t="s">
        <v>477</v>
      </c>
    </row>
    <row r="17805" spans="1:2" x14ac:dyDescent="0.25">
      <c r="A17805" s="64" t="str">
        <f>HYPERLINK("http://www.twitter.com/ever_hunter", "ever_hunter")</f>
        <v>ever_hunter</v>
      </c>
      <c r="B17805" s="65"/>
    </row>
    <row r="17806" spans="1:2" x14ac:dyDescent="0.25">
      <c r="A17806" s="64" t="str">
        <f>HYPERLINK("http://www.twitter.com/aab3d0b6477748d", "aab3d0b6477748d")</f>
        <v>aab3d0b6477748d</v>
      </c>
      <c r="B17806" s="65"/>
    </row>
    <row r="17807" spans="1:2" x14ac:dyDescent="0.25">
      <c r="A17807" s="64" t="str">
        <f>HYPERLINK("http://www.twitter.com/kieranfalconer", "kieranfalconer")</f>
        <v>kieranfalconer</v>
      </c>
      <c r="B17807" s="65" t="s">
        <v>5208</v>
      </c>
    </row>
    <row r="17808" spans="1:2" x14ac:dyDescent="0.25">
      <c r="A17808" s="64" t="str">
        <f>HYPERLINK("http://www.twitter.com/swarthakdas", "swarthakdas")</f>
        <v>swarthakdas</v>
      </c>
      <c r="B17808" s="65" t="s">
        <v>4326</v>
      </c>
    </row>
    <row r="17809" spans="1:2" x14ac:dyDescent="0.25">
      <c r="A17809" s="64" t="str">
        <f>HYPERLINK("http://www.twitter.com/cmotconnell", "cmotconnell")</f>
        <v>cmotconnell</v>
      </c>
      <c r="B17809" s="65"/>
    </row>
    <row r="17810" spans="1:2" x14ac:dyDescent="0.25">
      <c r="A17810" s="64" t="str">
        <f>HYPERLINK("http://www.twitter.com/ShanonRaeCliche", "ShanonRaeCliche")</f>
        <v>ShanonRaeCliche</v>
      </c>
      <c r="B17810" s="65" t="s">
        <v>9104</v>
      </c>
    </row>
    <row r="17811" spans="1:2" x14ac:dyDescent="0.25">
      <c r="A17811" s="64" t="str">
        <f>HYPERLINK("http://www.twitter.com/gkfloyd", "gkfloyd")</f>
        <v>gkfloyd</v>
      </c>
      <c r="B17811" s="65"/>
    </row>
    <row r="17812" spans="1:2" x14ac:dyDescent="0.25">
      <c r="A17812" s="64" t="str">
        <f>HYPERLINK("http://www.twitter.com/dandyhouseboy", "dandyhouseboy")</f>
        <v>dandyhouseboy</v>
      </c>
      <c r="B17812" s="65" t="s">
        <v>180</v>
      </c>
    </row>
    <row r="17813" spans="1:2" x14ac:dyDescent="0.25">
      <c r="A17813" s="64" t="str">
        <f>HYPERLINK("http://www.twitter.com/JamesJoys", "JamesJoys")</f>
        <v>JamesJoys</v>
      </c>
      <c r="B17813" s="65" t="s">
        <v>9105</v>
      </c>
    </row>
    <row r="17814" spans="1:2" x14ac:dyDescent="0.25">
      <c r="A17814" s="64" t="str">
        <f>HYPERLINK("http://www.twitter.com/AuntieDad", "AuntieDad")</f>
        <v>AuntieDad</v>
      </c>
      <c r="B17814" s="65"/>
    </row>
    <row r="17815" spans="1:2" x14ac:dyDescent="0.25">
      <c r="A17815" s="64" t="str">
        <f>HYPERLINK("http://www.twitter.com/anna_e_bond", "anna_e_bond")</f>
        <v>anna_e_bond</v>
      </c>
      <c r="B17815" s="65"/>
    </row>
    <row r="17816" spans="1:2" x14ac:dyDescent="0.25">
      <c r="A17816" s="64" t="str">
        <f>HYPERLINK("http://www.twitter.com/Summersdale", "Summersdale")</f>
        <v>Summersdale</v>
      </c>
      <c r="B17816" s="65" t="s">
        <v>1654</v>
      </c>
    </row>
    <row r="17817" spans="1:2" x14ac:dyDescent="0.25">
      <c r="A17817" s="64" t="str">
        <f>HYPERLINK("http://www.twitter.com/HighlandWriter", "HighlandWriter")</f>
        <v>HighlandWriter</v>
      </c>
      <c r="B17817" s="65" t="s">
        <v>4447</v>
      </c>
    </row>
    <row r="17818" spans="1:2" x14ac:dyDescent="0.25">
      <c r="A17818" s="64" t="str">
        <f>HYPERLINK("http://www.twitter.com/PJGreystoke", "PJGreystoke")</f>
        <v>PJGreystoke</v>
      </c>
      <c r="B17818" s="65" t="s">
        <v>9106</v>
      </c>
    </row>
    <row r="17819" spans="1:2" x14ac:dyDescent="0.25">
      <c r="A17819" s="64" t="str">
        <f>HYPERLINK("http://www.twitter.com/abbigail777", "abbigail777")</f>
        <v>abbigail777</v>
      </c>
      <c r="B17819" s="65" t="s">
        <v>20</v>
      </c>
    </row>
    <row r="17820" spans="1:2" x14ac:dyDescent="0.25">
      <c r="A17820" s="64" t="str">
        <f>HYPERLINK("http://www.twitter.com/jon_molyneux", "jon_molyneux")</f>
        <v>jon_molyneux</v>
      </c>
      <c r="B17820" s="65" t="s">
        <v>138</v>
      </c>
    </row>
    <row r="17821" spans="1:2" x14ac:dyDescent="0.25">
      <c r="A17821" s="64" t="str">
        <f>HYPERLINK("http://www.twitter.com/benjamta", "benjamta")</f>
        <v>benjamta</v>
      </c>
      <c r="B17821" s="65" t="s">
        <v>1511</v>
      </c>
    </row>
    <row r="17822" spans="1:2" x14ac:dyDescent="0.25">
      <c r="A17822" s="64" t="str">
        <f>HYPERLINK("http://www.twitter.com/StAndrewsOVW", "StAndrewsOVW")</f>
        <v>StAndrewsOVW</v>
      </c>
      <c r="B17822" s="65" t="s">
        <v>9107</v>
      </c>
    </row>
    <row r="17823" spans="1:2" x14ac:dyDescent="0.25">
      <c r="A17823" s="64" t="str">
        <f>HYPERLINK("http://www.twitter.com/rhondaponders", "rhondaponders")</f>
        <v>rhondaponders</v>
      </c>
      <c r="B17823" s="65" t="s">
        <v>517</v>
      </c>
    </row>
    <row r="17824" spans="1:2" x14ac:dyDescent="0.25">
      <c r="A17824" s="64" t="str">
        <f>HYPERLINK("http://www.twitter.com/JohnstonJules", "JohnstonJules")</f>
        <v>JohnstonJules</v>
      </c>
      <c r="B17824" s="65" t="s">
        <v>6093</v>
      </c>
    </row>
    <row r="17825" spans="1:2" x14ac:dyDescent="0.25">
      <c r="A17825" s="64" t="str">
        <f>HYPERLINK("http://www.twitter.com/Tidfara", "Tidfara")</f>
        <v>Tidfara</v>
      </c>
      <c r="B17825" s="65"/>
    </row>
    <row r="17826" spans="1:2" x14ac:dyDescent="0.25">
      <c r="A17826" s="64" t="str">
        <f>HYPERLINK("http://www.twitter.com/scarinishstudio", "scarinishstudio")</f>
        <v>scarinishstudio</v>
      </c>
      <c r="B17826" s="65" t="s">
        <v>318</v>
      </c>
    </row>
    <row r="17827" spans="1:2" x14ac:dyDescent="0.25">
      <c r="A17827" s="64" t="str">
        <f>HYPERLINK("http://www.twitter.com/Spangles29", "Spangles29")</f>
        <v>Spangles29</v>
      </c>
      <c r="B17827" s="65"/>
    </row>
    <row r="17828" spans="1:2" x14ac:dyDescent="0.25">
      <c r="A17828" s="64" t="str">
        <f>HYPERLINK("http://www.twitter.com/rugbysoxy7", "rugbysoxy7")</f>
        <v>rugbysoxy7</v>
      </c>
      <c r="B17828" s="65"/>
    </row>
    <row r="17829" spans="1:2" x14ac:dyDescent="0.25">
      <c r="A17829" s="64" t="str">
        <f>HYPERLINK("http://www.twitter.com/richardspence34", "richardspence34")</f>
        <v>richardspence34</v>
      </c>
      <c r="B17829" s="65" t="s">
        <v>24</v>
      </c>
    </row>
    <row r="17830" spans="1:2" x14ac:dyDescent="0.25">
      <c r="A17830" s="64" t="str">
        <f>HYPERLINK("http://www.twitter.com/ETMcINTOSH", "ETMcINTOSH")</f>
        <v>ETMcINTOSH</v>
      </c>
      <c r="B17830" s="65" t="s">
        <v>926</v>
      </c>
    </row>
    <row r="17831" spans="1:2" x14ac:dyDescent="0.25">
      <c r="A17831" s="64" t="str">
        <f>HYPERLINK("http://www.twitter.com/Vixie84", "Vixie84")</f>
        <v>Vixie84</v>
      </c>
      <c r="B17831" s="65" t="s">
        <v>9108</v>
      </c>
    </row>
    <row r="17832" spans="1:2" x14ac:dyDescent="0.25">
      <c r="A17832" s="64" t="str">
        <f>HYPERLINK("http://www.twitter.com/BourneJoanne", "BourneJoanne")</f>
        <v>BourneJoanne</v>
      </c>
      <c r="B17832" s="65" t="s">
        <v>4394</v>
      </c>
    </row>
    <row r="17833" spans="1:2" x14ac:dyDescent="0.25">
      <c r="A17833" s="64" t="str">
        <f>HYPERLINK("http://www.twitter.com/RussellMackay", "RussellMackay")</f>
        <v>RussellMackay</v>
      </c>
      <c r="B17833" s="65" t="s">
        <v>3762</v>
      </c>
    </row>
    <row r="17834" spans="1:2" x14ac:dyDescent="0.25">
      <c r="A17834" s="64" t="str">
        <f>HYPERLINK("http://www.twitter.com/SIRISHA_VARMA", "SIRISHA_VARMA")</f>
        <v>SIRISHA_VARMA</v>
      </c>
      <c r="B17834" s="65"/>
    </row>
    <row r="17835" spans="1:2" x14ac:dyDescent="0.25">
      <c r="A17835" s="64" t="str">
        <f>HYPERLINK("http://www.twitter.com/mmmalika", "mmmalika")</f>
        <v>mmmalika</v>
      </c>
      <c r="B17835" s="65" t="s">
        <v>9109</v>
      </c>
    </row>
    <row r="17836" spans="1:2" x14ac:dyDescent="0.25">
      <c r="A17836" s="64" t="str">
        <f>HYPERLINK("http://www.twitter.com/CanonetteWriter", "CanonetteWriter")</f>
        <v>CanonetteWriter</v>
      </c>
      <c r="B17836" s="65" t="s">
        <v>9110</v>
      </c>
    </row>
    <row r="17837" spans="1:2" x14ac:dyDescent="0.25">
      <c r="A17837" s="64" t="str">
        <f>HYPERLINK("http://www.twitter.com/lucasjmaxwell", "lucasjmaxwell")</f>
        <v>lucasjmaxwell</v>
      </c>
      <c r="B17837" s="65" t="s">
        <v>477</v>
      </c>
    </row>
    <row r="17838" spans="1:2" x14ac:dyDescent="0.25">
      <c r="A17838" s="64" t="str">
        <f>HYPERLINK("http://www.twitter.com/AMPWatt", "AMPWatt")</f>
        <v>AMPWatt</v>
      </c>
      <c r="B17838" s="65"/>
    </row>
    <row r="17839" spans="1:2" x14ac:dyDescent="0.25">
      <c r="A17839" s="64" t="str">
        <f>HYPERLINK("http://www.twitter.com/CheltAnthology", "CheltAnthology")</f>
        <v>CheltAnthology</v>
      </c>
      <c r="B17839" s="65" t="s">
        <v>9111</v>
      </c>
    </row>
    <row r="17840" spans="1:2" x14ac:dyDescent="0.25">
      <c r="A17840" s="64" t="str">
        <f>HYPERLINK("http://www.twitter.com/Alokalok00", "Alokalok00")</f>
        <v>Alokalok00</v>
      </c>
      <c r="B17840" s="65" t="s">
        <v>4924</v>
      </c>
    </row>
    <row r="17841" spans="1:2" x14ac:dyDescent="0.25">
      <c r="A17841" s="64" t="str">
        <f>HYPERLINK("http://www.twitter.com/ErnaErl", "ErnaErl")</f>
        <v>ErnaErl</v>
      </c>
      <c r="B17841" s="65"/>
    </row>
    <row r="17842" spans="1:2" x14ac:dyDescent="0.25">
      <c r="A17842" s="64" t="str">
        <f>HYPERLINK("http://www.twitter.com/quickfiresport", "quickfiresport")</f>
        <v>quickfiresport</v>
      </c>
      <c r="B17842" s="65" t="s">
        <v>4840</v>
      </c>
    </row>
    <row r="17843" spans="1:2" x14ac:dyDescent="0.25">
      <c r="A17843" s="64" t="str">
        <f>HYPERLINK("http://www.twitter.com/donnelly_sharon", "donnelly_sharon")</f>
        <v>donnelly_sharon</v>
      </c>
      <c r="B17843" s="65"/>
    </row>
    <row r="17844" spans="1:2" x14ac:dyDescent="0.25">
      <c r="A17844" s="64" t="str">
        <f>HYPERLINK("http://www.twitter.com/FloodEffie", "FloodEffie")</f>
        <v>FloodEffie</v>
      </c>
      <c r="B17844" s="65"/>
    </row>
    <row r="17845" spans="1:2" x14ac:dyDescent="0.25">
      <c r="A17845" s="64" t="str">
        <f>HYPERLINK("http://www.twitter.com/jezconolly", "jezconolly")</f>
        <v>jezconolly</v>
      </c>
      <c r="B17845" s="65" t="s">
        <v>3483</v>
      </c>
    </row>
    <row r="17846" spans="1:2" x14ac:dyDescent="0.25">
      <c r="A17846" s="64" t="str">
        <f>HYPERLINK("http://www.twitter.com/Alisoncaller", "Alisoncaller")</f>
        <v>Alisoncaller</v>
      </c>
      <c r="B17846" s="65" t="s">
        <v>511</v>
      </c>
    </row>
    <row r="17847" spans="1:2" x14ac:dyDescent="0.25">
      <c r="A17847" s="64" t="str">
        <f>HYPERLINK("http://www.twitter.com/kj_packer", "kj_packer")</f>
        <v>kj_packer</v>
      </c>
      <c r="B17847" s="65" t="s">
        <v>9112</v>
      </c>
    </row>
    <row r="17848" spans="1:2" x14ac:dyDescent="0.25">
      <c r="A17848" s="64" t="str">
        <f>HYPERLINK("http://www.twitter.com/ROCHI182", "ROCHI182")</f>
        <v>ROCHI182</v>
      </c>
      <c r="B17848" s="65" t="s">
        <v>3762</v>
      </c>
    </row>
    <row r="17849" spans="1:2" x14ac:dyDescent="0.25">
      <c r="A17849" s="64" t="str">
        <f>HYPERLINK("http://www.twitter.com/LucyRDawson", "LucyRDawson")</f>
        <v>LucyRDawson</v>
      </c>
      <c r="B17849" s="65"/>
    </row>
    <row r="17850" spans="1:2" x14ac:dyDescent="0.25">
      <c r="A17850" s="64" t="str">
        <f>HYPERLINK("http://www.twitter.com/hamletrabbit", "hamletrabbit")</f>
        <v>hamletrabbit</v>
      </c>
      <c r="B17850" s="65" t="s">
        <v>9113</v>
      </c>
    </row>
    <row r="17851" spans="1:2" x14ac:dyDescent="0.25">
      <c r="A17851" s="64" t="str">
        <f>HYPERLINK("http://www.twitter.com/SLarke7", "SLarke7")</f>
        <v>SLarke7</v>
      </c>
      <c r="B17851" s="65"/>
    </row>
    <row r="17852" spans="1:2" x14ac:dyDescent="0.25">
      <c r="A17852" s="64" t="str">
        <f>HYPERLINK("http://www.twitter.com/KirklandCiccone", "KirklandCiccone")</f>
        <v>KirklandCiccone</v>
      </c>
      <c r="B17852" s="65" t="s">
        <v>517</v>
      </c>
    </row>
    <row r="17853" spans="1:2" x14ac:dyDescent="0.25">
      <c r="A17853" s="64" t="str">
        <f>HYPERLINK("http://www.twitter.com/TouristScottish", "TouristScottish")</f>
        <v>TouristScottish</v>
      </c>
      <c r="B17853" s="65" t="s">
        <v>2007</v>
      </c>
    </row>
    <row r="17854" spans="1:2" x14ac:dyDescent="0.25">
      <c r="A17854" s="64" t="str">
        <f>HYPERLINK("http://www.twitter.com/MisterM150", "MisterM150")</f>
        <v>MisterM150</v>
      </c>
      <c r="B17854" s="65"/>
    </row>
    <row r="17855" spans="1:2" x14ac:dyDescent="0.25">
      <c r="A17855" s="64" t="str">
        <f>HYPERLINK("http://www.twitter.com/TaksNz", "TaksNz")</f>
        <v>TaksNz</v>
      </c>
      <c r="B17855" s="65" t="s">
        <v>4147</v>
      </c>
    </row>
    <row r="17856" spans="1:2" x14ac:dyDescent="0.25">
      <c r="A17856" s="64" t="str">
        <f>HYPERLINK("http://www.twitter.com/bjudesinc", "bjudesinc")</f>
        <v>bjudesinc</v>
      </c>
      <c r="B17856" s="65"/>
    </row>
    <row r="17857" spans="1:2" x14ac:dyDescent="0.25">
      <c r="A17857" s="64" t="str">
        <f>HYPERLINK("http://www.twitter.com/sarcasminasuit", "sarcasminasuit")</f>
        <v>sarcasminasuit</v>
      </c>
      <c r="B17857" s="65" t="s">
        <v>2270</v>
      </c>
    </row>
    <row r="17858" spans="1:2" x14ac:dyDescent="0.25">
      <c r="A17858" s="64" t="str">
        <f>HYPERLINK("http://www.twitter.com/Hevabean", "Hevabean")</f>
        <v>Hevabean</v>
      </c>
      <c r="B17858" s="65"/>
    </row>
    <row r="17859" spans="1:2" x14ac:dyDescent="0.25">
      <c r="A17859" s="64" t="str">
        <f>HYPERLINK("http://www.twitter.com/Tanyy94", "Tanyy94")</f>
        <v>Tanyy94</v>
      </c>
      <c r="B17859" s="65" t="s">
        <v>4628</v>
      </c>
    </row>
    <row r="17860" spans="1:2" x14ac:dyDescent="0.25">
      <c r="A17860" s="64" t="str">
        <f>HYPERLINK("http://www.twitter.com/Gutter_Magazine", "Gutter_Magazine")</f>
        <v>Gutter_Magazine</v>
      </c>
      <c r="B17860" s="65"/>
    </row>
    <row r="17861" spans="1:2" x14ac:dyDescent="0.25">
      <c r="A17861" s="64" t="str">
        <f>HYPERLINK("http://www.twitter.com/Bwade2234", "Bwade2234")</f>
        <v>Bwade2234</v>
      </c>
      <c r="B17861" s="65" t="s">
        <v>9114</v>
      </c>
    </row>
    <row r="17862" spans="1:2" x14ac:dyDescent="0.25">
      <c r="A17862" s="64" t="str">
        <f>HYPERLINK("http://www.twitter.com/vanot", "vanot")</f>
        <v>vanot</v>
      </c>
      <c r="B17862" s="65"/>
    </row>
    <row r="17863" spans="1:2" x14ac:dyDescent="0.25">
      <c r="A17863" s="64" t="str">
        <f>HYPERLINK("http://www.twitter.com/portsmouthpl", "portsmouthpl")</f>
        <v>portsmouthpl</v>
      </c>
      <c r="B17863" s="65" t="s">
        <v>9115</v>
      </c>
    </row>
    <row r="17864" spans="1:2" x14ac:dyDescent="0.25">
      <c r="A17864" s="64" t="str">
        <f>HYPERLINK("http://www.twitter.com/beecheesey", "beecheesey")</f>
        <v>beecheesey</v>
      </c>
      <c r="B17864" s="65"/>
    </row>
    <row r="17865" spans="1:2" x14ac:dyDescent="0.25">
      <c r="A17865" s="64" t="str">
        <f>HYPERLINK("http://www.twitter.com/CarfaxClose", "CarfaxClose")</f>
        <v>CarfaxClose</v>
      </c>
      <c r="B17865" s="65" t="s">
        <v>487</v>
      </c>
    </row>
    <row r="17866" spans="1:2" x14ac:dyDescent="0.25">
      <c r="A17866" s="64" t="str">
        <f>HYPERLINK("http://www.twitter.com/cupofT", "cupofT")</f>
        <v>cupofT</v>
      </c>
      <c r="B17866" s="65"/>
    </row>
    <row r="17867" spans="1:2" x14ac:dyDescent="0.25">
      <c r="A17867" s="64" t="str">
        <f>HYPERLINK("http://www.twitter.com/SophieHawkey76", "SophieHawkey76")</f>
        <v>SophieHawkey76</v>
      </c>
      <c r="B17867" s="65" t="s">
        <v>138</v>
      </c>
    </row>
    <row r="17868" spans="1:2" x14ac:dyDescent="0.25">
      <c r="A17868" s="64" t="str">
        <f>HYPERLINK("http://www.twitter.com/RNCMLibrary", "RNCMLibrary")</f>
        <v>RNCMLibrary</v>
      </c>
      <c r="B17868" s="65" t="s">
        <v>33</v>
      </c>
    </row>
    <row r="17869" spans="1:2" x14ac:dyDescent="0.25">
      <c r="A17869" s="64" t="str">
        <f>HYPERLINK("http://www.twitter.com/Sarah_Jane_Artt", "Sarah_Jane_Artt")</f>
        <v>Sarah_Jane_Artt</v>
      </c>
      <c r="B17869" s="65" t="s">
        <v>24</v>
      </c>
    </row>
    <row r="17870" spans="1:2" x14ac:dyDescent="0.25">
      <c r="A17870" s="64" t="str">
        <f>HYPERLINK("http://www.twitter.com/ajpickering", "ajpickering")</f>
        <v>ajpickering</v>
      </c>
      <c r="B17870" s="65" t="s">
        <v>5048</v>
      </c>
    </row>
    <row r="17871" spans="1:2" x14ac:dyDescent="0.25">
      <c r="A17871" s="64" t="str">
        <f>HYPERLINK("http://www.twitter.com/Oceanoldgirl", "Oceanoldgirl")</f>
        <v>Oceanoldgirl</v>
      </c>
      <c r="B17871" s="65"/>
    </row>
    <row r="17872" spans="1:2" x14ac:dyDescent="0.25">
      <c r="A17872" s="64" t="str">
        <f>HYPERLINK("http://www.twitter.com/yinsreymeas", "yinsreymeas")</f>
        <v>yinsreymeas</v>
      </c>
      <c r="B17872" s="65" t="s">
        <v>8810</v>
      </c>
    </row>
    <row r="17873" spans="1:2" x14ac:dyDescent="0.25">
      <c r="A17873" s="64" t="str">
        <f>HYPERLINK("http://www.twitter.com/Jeemsie", "Jeemsie")</f>
        <v>Jeemsie</v>
      </c>
      <c r="B17873" s="65"/>
    </row>
    <row r="17874" spans="1:2" x14ac:dyDescent="0.25">
      <c r="A17874" s="64" t="str">
        <f>HYPERLINK("http://www.twitter.com/QEHKLlib", "QEHKLlib")</f>
        <v>QEHKLlib</v>
      </c>
      <c r="B17874" s="65" t="s">
        <v>2180</v>
      </c>
    </row>
    <row r="17875" spans="1:2" x14ac:dyDescent="0.25">
      <c r="A17875" s="64" t="str">
        <f>HYPERLINK("http://www.twitter.com/hapaxton", "hapaxton")</f>
        <v>hapaxton</v>
      </c>
      <c r="B17875" s="65"/>
    </row>
    <row r="17876" spans="1:2" x14ac:dyDescent="0.25">
      <c r="A17876" s="64" t="str">
        <f>HYPERLINK("http://www.twitter.com/clarescarroll", "clarescarroll")</f>
        <v>clarescarroll</v>
      </c>
      <c r="B17876" s="65"/>
    </row>
    <row r="17877" spans="1:2" x14ac:dyDescent="0.25">
      <c r="A17877" s="64" t="str">
        <f>HYPERLINK("http://www.twitter.com/JuliaWard1", "JuliaWard1")</f>
        <v>JuliaWard1</v>
      </c>
      <c r="B17877" s="65"/>
    </row>
    <row r="17878" spans="1:2" x14ac:dyDescent="0.25">
      <c r="A17878" s="64" t="str">
        <f>HYPERLINK("http://www.twitter.com/ClaireSillick", "ClaireSillick")</f>
        <v>ClaireSillick</v>
      </c>
      <c r="B17878" s="65"/>
    </row>
    <row r="17879" spans="1:2" x14ac:dyDescent="0.25">
      <c r="A17879" s="64" t="str">
        <f>HYPERLINK("http://www.twitter.com/WIKI_NLW", "WIKI_NLW")</f>
        <v>WIKI_NLW</v>
      </c>
      <c r="B17879" s="65" t="s">
        <v>9116</v>
      </c>
    </row>
    <row r="17880" spans="1:2" x14ac:dyDescent="0.25">
      <c r="A17880" s="64" t="str">
        <f>HYPERLINK("http://www.twitter.com/McLeodSkinner", "McLeodSkinner")</f>
        <v>McLeodSkinner</v>
      </c>
      <c r="B17880" s="65"/>
    </row>
    <row r="17881" spans="1:2" x14ac:dyDescent="0.25">
      <c r="A17881" s="64" t="str">
        <f>HYPERLINK("http://www.twitter.com/PhylMeyer", "PhylMeyer")</f>
        <v>PhylMeyer</v>
      </c>
      <c r="B17881" s="65" t="s">
        <v>487</v>
      </c>
    </row>
    <row r="17882" spans="1:2" x14ac:dyDescent="0.25">
      <c r="A17882" s="64" t="str">
        <f>HYPERLINK("http://www.twitter.com/InclusionScot", "InclusionScot")</f>
        <v>InclusionScot</v>
      </c>
      <c r="B17882" s="65" t="s">
        <v>9117</v>
      </c>
    </row>
    <row r="17883" spans="1:2" x14ac:dyDescent="0.25">
      <c r="A17883" s="64" t="str">
        <f>HYPERLINK("http://www.twitter.com/singsongsue", "singsongsue")</f>
        <v>singsongsue</v>
      </c>
      <c r="B17883" s="65"/>
    </row>
    <row r="17884" spans="1:2" x14ac:dyDescent="0.25">
      <c r="A17884" s="64" t="str">
        <f>HYPERLINK("http://www.twitter.com/louisa_preston", "louisa_preston")</f>
        <v>louisa_preston</v>
      </c>
      <c r="B17884" s="65" t="s">
        <v>9118</v>
      </c>
    </row>
    <row r="17885" spans="1:2" x14ac:dyDescent="0.25">
      <c r="A17885" s="64" t="str">
        <f>HYPERLINK("http://www.twitter.com/mgdennis", "mgdennis")</f>
        <v>mgdennis</v>
      </c>
      <c r="B17885" s="65" t="s">
        <v>8563</v>
      </c>
    </row>
    <row r="17886" spans="1:2" x14ac:dyDescent="0.25">
      <c r="A17886" s="64" t="str">
        <f>HYPERLINK("http://www.twitter.com/Book_Aid", "Book_Aid")</f>
        <v>Book_Aid</v>
      </c>
      <c r="B17886" s="65" t="s">
        <v>110</v>
      </c>
    </row>
    <row r="17887" spans="1:2" x14ac:dyDescent="0.25">
      <c r="A17887" s="64" t="str">
        <f>HYPERLINK("http://www.twitter.com/HCoppinger", "HCoppinger")</f>
        <v>HCoppinger</v>
      </c>
      <c r="B17887" s="65" t="s">
        <v>4792</v>
      </c>
    </row>
    <row r="17888" spans="1:2" x14ac:dyDescent="0.25">
      <c r="A17888" s="64" t="str">
        <f>HYPERLINK("http://www.twitter.com/richgwilym", "richgwilym")</f>
        <v>richgwilym</v>
      </c>
      <c r="B17888" s="65"/>
    </row>
    <row r="17889" spans="1:2" x14ac:dyDescent="0.25">
      <c r="A17889" s="64" t="str">
        <f>HYPERLINK("http://www.twitter.com/digibecca", "digibecca")</f>
        <v>digibecca</v>
      </c>
      <c r="B17889" s="65" t="s">
        <v>24</v>
      </c>
    </row>
    <row r="17890" spans="1:2" x14ac:dyDescent="0.25">
      <c r="A17890" s="64" t="str">
        <f>HYPERLINK("http://www.twitter.com/grouffles", "grouffles")</f>
        <v>grouffles</v>
      </c>
      <c r="B17890" s="65" t="s">
        <v>3816</v>
      </c>
    </row>
    <row r="17891" spans="1:2" x14ac:dyDescent="0.25">
      <c r="A17891" s="64" t="str">
        <f>HYPERLINK("http://www.twitter.com/Muzzy_ie", "Muzzy_ie")</f>
        <v>Muzzy_ie</v>
      </c>
      <c r="B17891" s="65" t="s">
        <v>3760</v>
      </c>
    </row>
    <row r="17892" spans="1:2" x14ac:dyDescent="0.25">
      <c r="A17892" s="64" t="str">
        <f>HYPERLINK("http://www.twitter.com/CWAgencyUK", "CWAgencyUK")</f>
        <v>CWAgencyUK</v>
      </c>
      <c r="B17892" s="65" t="s">
        <v>36</v>
      </c>
    </row>
    <row r="17893" spans="1:2" x14ac:dyDescent="0.25">
      <c r="A17893" s="64" t="str">
        <f>HYPERLINK("http://www.twitter.com/BSF_Intl", "BSF_Intl")</f>
        <v>BSF_Intl</v>
      </c>
      <c r="B17893" s="65" t="s">
        <v>9119</v>
      </c>
    </row>
    <row r="17894" spans="1:2" x14ac:dyDescent="0.25">
      <c r="A17894" s="64" t="str">
        <f>HYPERLINK("http://www.twitter.com/AJMonmouthshire", "AJMonmouthshire")</f>
        <v>AJMonmouthshire</v>
      </c>
      <c r="B17894" s="65" t="s">
        <v>749</v>
      </c>
    </row>
    <row r="17895" spans="1:2" x14ac:dyDescent="0.25">
      <c r="A17895" s="64" t="str">
        <f>HYPERLINK("http://www.twitter.com/lisa_richardson", "lisa_richardson")</f>
        <v>lisa_richardson</v>
      </c>
      <c r="B17895" s="65" t="s">
        <v>9120</v>
      </c>
    </row>
    <row r="17896" spans="1:2" x14ac:dyDescent="0.25">
      <c r="A17896" s="64" t="str">
        <f>HYPERLINK("http://www.twitter.com/cavanagh_jean", "cavanagh_jean")</f>
        <v>cavanagh_jean</v>
      </c>
      <c r="B17896" s="65"/>
    </row>
    <row r="17897" spans="1:2" x14ac:dyDescent="0.25">
      <c r="A17897" s="64" t="str">
        <f>HYPERLINK("http://www.twitter.com/Debs_Lew3", "Debs_Lew3")</f>
        <v>Debs_Lew3</v>
      </c>
      <c r="B17897" s="65" t="s">
        <v>3040</v>
      </c>
    </row>
    <row r="17898" spans="1:2" x14ac:dyDescent="0.25">
      <c r="A17898" s="64" t="str">
        <f>HYPERLINK("http://www.twitter.com/rosegibson21", "rosegibson21")</f>
        <v>rosegibson21</v>
      </c>
      <c r="B17898" s="65" t="s">
        <v>93</v>
      </c>
    </row>
    <row r="17899" spans="1:2" x14ac:dyDescent="0.25">
      <c r="A17899" s="64" t="str">
        <f>HYPERLINK("http://www.twitter.com/NettyH", "NettyH")</f>
        <v>NettyH</v>
      </c>
      <c r="B17899" s="65"/>
    </row>
    <row r="17900" spans="1:2" x14ac:dyDescent="0.25">
      <c r="A17900" s="64" t="str">
        <f>HYPERLINK("http://www.twitter.com/RamblingReader", "RamblingReader")</f>
        <v>RamblingReader</v>
      </c>
      <c r="B17900" s="65" t="s">
        <v>9121</v>
      </c>
    </row>
    <row r="17901" spans="1:2" x14ac:dyDescent="0.25">
      <c r="A17901" s="64" t="str">
        <f>HYPERLINK("http://www.twitter.com/TremendaoNeil", "TremendaoNeil")</f>
        <v>TremendaoNeil</v>
      </c>
      <c r="B17901" s="65" t="s">
        <v>5117</v>
      </c>
    </row>
    <row r="17902" spans="1:2" x14ac:dyDescent="0.25">
      <c r="A17902" s="64" t="str">
        <f>HYPERLINK("http://www.twitter.com/crowleydani", "crowleydani")</f>
        <v>crowleydani</v>
      </c>
      <c r="B17902" s="65"/>
    </row>
    <row r="17903" spans="1:2" x14ac:dyDescent="0.25">
      <c r="A17903" s="64" t="str">
        <f>HYPERLINK("http://www.twitter.com/rjones3097", "rjones3097")</f>
        <v>rjones3097</v>
      </c>
      <c r="B17903" s="65"/>
    </row>
    <row r="17904" spans="1:2" x14ac:dyDescent="0.25">
      <c r="A17904" s="64" t="str">
        <f>HYPERLINK("http://www.twitter.com/CarolynHedley", "CarolynHedley")</f>
        <v>CarolynHedley</v>
      </c>
      <c r="B17904" s="65" t="s">
        <v>24</v>
      </c>
    </row>
    <row r="17905" spans="1:2" x14ac:dyDescent="0.25">
      <c r="A17905" s="64" t="str">
        <f>HYPERLINK("http://www.twitter.com/aoifecraigie", "aoifecraigie")</f>
        <v>aoifecraigie</v>
      </c>
      <c r="B17905" s="65" t="s">
        <v>9122</v>
      </c>
    </row>
    <row r="17906" spans="1:2" x14ac:dyDescent="0.25">
      <c r="A17906" s="64" t="str">
        <f>HYPERLINK("http://www.twitter.com/back_the_BBC", "back_the_BBC")</f>
        <v>back_the_BBC</v>
      </c>
      <c r="B17906" s="65"/>
    </row>
    <row r="17907" spans="1:2" x14ac:dyDescent="0.25">
      <c r="A17907" s="64" t="str">
        <f>HYPERLINK("http://www.twitter.com/belliesimpson", "belliesimpson")</f>
        <v>belliesimpson</v>
      </c>
      <c r="B17907" s="65"/>
    </row>
    <row r="17908" spans="1:2" x14ac:dyDescent="0.25">
      <c r="A17908" s="64" t="str">
        <f>HYPERLINK("http://www.twitter.com/diane_smithyman", "diane_smithyman")</f>
        <v>diane_smithyman</v>
      </c>
      <c r="B17908" s="65" t="s">
        <v>9123</v>
      </c>
    </row>
    <row r="17909" spans="1:2" x14ac:dyDescent="0.25">
      <c r="A17909" s="64" t="str">
        <f>HYPERLINK("http://www.twitter.com/MannMikkismeeta", "MannMikkismeeta")</f>
        <v>MannMikkismeeta</v>
      </c>
      <c r="B17909" s="65" t="s">
        <v>9124</v>
      </c>
    </row>
    <row r="17910" spans="1:2" x14ac:dyDescent="0.25">
      <c r="A17910" s="64" t="str">
        <f>HYPERLINK("http://www.twitter.com/mamamallon", "mamamallon")</f>
        <v>mamamallon</v>
      </c>
      <c r="B17910" s="65" t="s">
        <v>1377</v>
      </c>
    </row>
    <row r="17911" spans="1:2" x14ac:dyDescent="0.25">
      <c r="A17911" s="64" t="str">
        <f>HYPERLINK("http://www.twitter.com/spindyeknitlove", "spindyeknitlove")</f>
        <v>spindyeknitlove</v>
      </c>
      <c r="B17911" s="65" t="s">
        <v>6278</v>
      </c>
    </row>
    <row r="17912" spans="1:2" x14ac:dyDescent="0.25">
      <c r="A17912" s="64" t="str">
        <f>HYPERLINK("http://www.twitter.com/GaleEMEAtech", "GaleEMEAtech")</f>
        <v>GaleEMEAtech</v>
      </c>
      <c r="B17912" s="65" t="s">
        <v>70</v>
      </c>
    </row>
    <row r="17913" spans="1:2" x14ac:dyDescent="0.25">
      <c r="A17913" s="64" t="str">
        <f>HYPERLINK("http://www.twitter.com/thetellingroom", "thetellingroom")</f>
        <v>thetellingroom</v>
      </c>
      <c r="B17913" s="65" t="s">
        <v>4939</v>
      </c>
    </row>
    <row r="17914" spans="1:2" x14ac:dyDescent="0.25">
      <c r="A17914" s="64" t="str">
        <f>HYPERLINK("http://www.twitter.com/feedbooks", "feedbooks")</f>
        <v>feedbooks</v>
      </c>
      <c r="B17914" s="65" t="s">
        <v>4015</v>
      </c>
    </row>
    <row r="17915" spans="1:2" x14ac:dyDescent="0.25">
      <c r="A17915" s="64" t="str">
        <f>HYPERLINK("http://www.twitter.com/stucodesign", "stucodesign")</f>
        <v>stucodesign</v>
      </c>
      <c r="B17915" s="65" t="s">
        <v>318</v>
      </c>
    </row>
    <row r="17916" spans="1:2" x14ac:dyDescent="0.25">
      <c r="A17916" s="64" t="str">
        <f>HYPERLINK("http://www.twitter.com/Liam4Orkney", "Liam4Orkney")</f>
        <v>Liam4Orkney</v>
      </c>
      <c r="B17916" s="65" t="s">
        <v>3961</v>
      </c>
    </row>
    <row r="17917" spans="1:2" x14ac:dyDescent="0.25">
      <c r="A17917" s="64" t="str">
        <f>HYPERLINK("http://www.twitter.com/msjostafford", "msjostafford")</f>
        <v>msjostafford</v>
      </c>
      <c r="B17917" s="65" t="s">
        <v>4040</v>
      </c>
    </row>
    <row r="17918" spans="1:2" x14ac:dyDescent="0.25">
      <c r="A17918" s="64" t="str">
        <f>HYPERLINK("http://www.twitter.com/EquineAcademic", "EquineAcademic")</f>
        <v>EquineAcademic</v>
      </c>
      <c r="B17918" s="65"/>
    </row>
    <row r="17919" spans="1:2" x14ac:dyDescent="0.25">
      <c r="A17919" s="64" t="str">
        <f>HYPERLINK("http://www.twitter.com/deborahedwards", "deborahedwards")</f>
        <v>deborahedwards</v>
      </c>
      <c r="B17919" s="65" t="s">
        <v>9125</v>
      </c>
    </row>
    <row r="17920" spans="1:2" x14ac:dyDescent="0.25">
      <c r="A17920" s="64" t="str">
        <f>HYPERLINK("http://www.twitter.com/katicastro34", "katicastro34")</f>
        <v>katicastro34</v>
      </c>
      <c r="B17920" s="65"/>
    </row>
    <row r="17921" spans="1:2" x14ac:dyDescent="0.25">
      <c r="A17921" s="64" t="str">
        <f>HYPERLINK("http://www.twitter.com/florayfaunas", "florayfaunas")</f>
        <v>florayfaunas</v>
      </c>
      <c r="B17921" s="65" t="s">
        <v>6529</v>
      </c>
    </row>
    <row r="17922" spans="1:2" x14ac:dyDescent="0.25">
      <c r="A17922" s="64" t="str">
        <f>HYPERLINK("http://www.twitter.com/DrDanielTravers", "DrDanielTravers")</f>
        <v>DrDanielTravers</v>
      </c>
      <c r="B17922" s="65"/>
    </row>
    <row r="17923" spans="1:2" x14ac:dyDescent="0.25">
      <c r="A17923" s="64" t="str">
        <f>HYPERLINK("http://www.twitter.com/KeithSpiro", "KeithSpiro")</f>
        <v>KeithSpiro</v>
      </c>
      <c r="B17923" s="65" t="s">
        <v>9126</v>
      </c>
    </row>
    <row r="17924" spans="1:2" x14ac:dyDescent="0.25">
      <c r="A17924" s="64" t="str">
        <f>HYPERLINK("http://www.twitter.com/loosemyth", "loosemyth")</f>
        <v>loosemyth</v>
      </c>
      <c r="B17924" s="65" t="s">
        <v>4236</v>
      </c>
    </row>
    <row r="17925" spans="1:2" x14ac:dyDescent="0.25">
      <c r="A17925" s="64" t="str">
        <f>HYPERLINK("http://www.twitter.com/SuzeMcNair", "SuzeMcNair")</f>
        <v>SuzeMcNair</v>
      </c>
      <c r="B17925" s="65" t="s">
        <v>9127</v>
      </c>
    </row>
    <row r="17926" spans="1:2" x14ac:dyDescent="0.25">
      <c r="A17926" s="64" t="str">
        <f>HYPERLINK("http://www.twitter.com/friscolibrary", "friscolibrary")</f>
        <v>friscolibrary</v>
      </c>
      <c r="B17926" s="65" t="s">
        <v>9128</v>
      </c>
    </row>
    <row r="17927" spans="1:2" x14ac:dyDescent="0.25">
      <c r="A17927" s="64" t="str">
        <f>HYPERLINK("http://www.twitter.com/SofiRemus19", "SofiRemus19")</f>
        <v>SofiRemus19</v>
      </c>
      <c r="B17927" s="65"/>
    </row>
    <row r="17928" spans="1:2" x14ac:dyDescent="0.25">
      <c r="A17928" s="64" t="str">
        <f>HYPERLINK("http://www.twitter.com/klara_lou", "klara_lou")</f>
        <v>klara_lou</v>
      </c>
      <c r="B17928" s="65"/>
    </row>
    <row r="17929" spans="1:2" x14ac:dyDescent="0.25">
      <c r="A17929" s="64" t="str">
        <f>HYPERLINK("http://www.twitter.com/ImproveAccent", "ImproveAccent")</f>
        <v>ImproveAccent</v>
      </c>
      <c r="B17929" s="65" t="s">
        <v>36</v>
      </c>
    </row>
    <row r="17930" spans="1:2" x14ac:dyDescent="0.25">
      <c r="A17930" s="64" t="str">
        <f>HYPERLINK("http://www.twitter.com/oliagent", "oliagent")</f>
        <v>oliagent</v>
      </c>
      <c r="B17930" s="65" t="s">
        <v>36</v>
      </c>
    </row>
    <row r="17931" spans="1:2" x14ac:dyDescent="0.25">
      <c r="A17931" s="64" t="str">
        <f>HYPERLINK("http://www.twitter.com/KingsclrLibrary", "KingsclrLibrary")</f>
        <v>KingsclrLibrary</v>
      </c>
      <c r="B17931" s="65" t="s">
        <v>2738</v>
      </c>
    </row>
    <row r="17932" spans="1:2" x14ac:dyDescent="0.25">
      <c r="A17932" s="64" t="str">
        <f>HYPERLINK("http://www.twitter.com/julie_meale", "julie_meale")</f>
        <v>julie_meale</v>
      </c>
      <c r="B17932" s="65" t="s">
        <v>9129</v>
      </c>
    </row>
    <row r="17933" spans="1:2" x14ac:dyDescent="0.25">
      <c r="A17933" s="64" t="str">
        <f>HYPERLINK("http://www.twitter.com/AmandaGitzel", "AmandaGitzel")</f>
        <v>AmandaGitzel</v>
      </c>
      <c r="B17933" s="65"/>
    </row>
    <row r="17934" spans="1:2" x14ac:dyDescent="0.25">
      <c r="A17934" s="64" t="str">
        <f>HYPERLINK("http://www.twitter.com/Louiseema77", "Louiseema77")</f>
        <v>Louiseema77</v>
      </c>
      <c r="B17934" s="65" t="s">
        <v>296</v>
      </c>
    </row>
    <row r="17935" spans="1:2" x14ac:dyDescent="0.25">
      <c r="A17935" s="64" t="str">
        <f>HYPERLINK("http://www.twitter.com/craftygirl176", "craftygirl176")</f>
        <v>craftygirl176</v>
      </c>
      <c r="B17935" s="65"/>
    </row>
    <row r="17936" spans="1:2" x14ac:dyDescent="0.25">
      <c r="A17936" s="64" t="str">
        <f>HYPERLINK("http://www.twitter.com/BargoedLib", "BargoedLib")</f>
        <v>BargoedLib</v>
      </c>
      <c r="B17936" s="65"/>
    </row>
    <row r="17937" spans="1:2" x14ac:dyDescent="0.25">
      <c r="A17937" s="64" t="str">
        <f>HYPERLINK("http://www.twitter.com/CAStateLibrary", "CAStateLibrary")</f>
        <v>CAStateLibrary</v>
      </c>
      <c r="B17937" s="65" t="s">
        <v>4208</v>
      </c>
    </row>
    <row r="17938" spans="1:2" x14ac:dyDescent="0.25">
      <c r="A17938" s="64" t="str">
        <f>HYPERLINK("http://www.twitter.com/markp2007", "markp2007")</f>
        <v>markp2007</v>
      </c>
      <c r="B17938" s="65"/>
    </row>
    <row r="17939" spans="1:2" x14ac:dyDescent="0.25">
      <c r="A17939" s="64" t="str">
        <f>HYPERLINK("http://www.twitter.com/pipbourke", "pipbourke")</f>
        <v>pipbourke</v>
      </c>
      <c r="B17939" s="65"/>
    </row>
    <row r="17940" spans="1:2" x14ac:dyDescent="0.25">
      <c r="A17940" s="64" t="str">
        <f>HYPERLINK("http://www.twitter.com/piper_simon", "piper_simon")</f>
        <v>piper_simon</v>
      </c>
      <c r="B17940" s="65"/>
    </row>
    <row r="17941" spans="1:2" x14ac:dyDescent="0.25">
      <c r="A17941" s="64" t="str">
        <f>HYPERLINK("http://www.twitter.com/ajp_9", "ajp_9")</f>
        <v>ajp_9</v>
      </c>
      <c r="B17941" s="65" t="s">
        <v>4039</v>
      </c>
    </row>
    <row r="17942" spans="1:2" x14ac:dyDescent="0.25">
      <c r="A17942" s="64" t="str">
        <f>HYPERLINK("http://www.twitter.com/BenMoshinsky", "BenMoshinsky")</f>
        <v>BenMoshinsky</v>
      </c>
      <c r="B17942" s="65" t="s">
        <v>36</v>
      </c>
    </row>
    <row r="17943" spans="1:2" x14ac:dyDescent="0.25">
      <c r="A17943" s="64" t="str">
        <f>HYPERLINK("http://www.twitter.com/snibbers", "snibbers")</f>
        <v>snibbers</v>
      </c>
      <c r="B17943" s="65" t="s">
        <v>36</v>
      </c>
    </row>
    <row r="17944" spans="1:2" x14ac:dyDescent="0.25">
      <c r="A17944" s="64" t="str">
        <f>HYPERLINK("http://www.twitter.com/RWFlett", "RWFlett")</f>
        <v>RWFlett</v>
      </c>
      <c r="B17944" s="65" t="s">
        <v>4519</v>
      </c>
    </row>
    <row r="17945" spans="1:2" x14ac:dyDescent="0.25">
      <c r="A17945" s="64" t="str">
        <f>HYPERLINK("http://www.twitter.com/GordonMilne", "GordonMilne")</f>
        <v>GordonMilne</v>
      </c>
      <c r="B17945" s="65"/>
    </row>
    <row r="17946" spans="1:2" x14ac:dyDescent="0.25">
      <c r="A17946" s="64" t="str">
        <f>HYPERLINK("http://www.twitter.com/almabooks", "almabooks")</f>
        <v>almabooks</v>
      </c>
      <c r="B17946" s="65" t="s">
        <v>36</v>
      </c>
    </row>
    <row r="17947" spans="1:2" x14ac:dyDescent="0.25">
      <c r="A17947" s="64" t="str">
        <f>HYPERLINK("http://www.twitter.com/lindseyoutloud", "lindseyoutloud")</f>
        <v>lindseyoutloud</v>
      </c>
      <c r="B17947" s="65" t="s">
        <v>4436</v>
      </c>
    </row>
    <row r="17948" spans="1:2" x14ac:dyDescent="0.25">
      <c r="A17948" s="64" t="str">
        <f>HYPERLINK("http://www.twitter.com/burntcopper", "burntcopper")</f>
        <v>burntcopper</v>
      </c>
      <c r="B17948" s="65"/>
    </row>
    <row r="17949" spans="1:2" x14ac:dyDescent="0.25">
      <c r="A17949" s="64" t="str">
        <f>HYPERLINK("http://www.twitter.com/helenmslevin", "helenmslevin")</f>
        <v>helenmslevin</v>
      </c>
      <c r="B17949" s="65"/>
    </row>
    <row r="17950" spans="1:2" x14ac:dyDescent="0.25">
      <c r="A17950" s="64" t="str">
        <f>HYPERLINK("http://www.twitter.com/NicholasPegg", "NicholasPegg")</f>
        <v>NicholasPegg</v>
      </c>
      <c r="B17950" s="65" t="s">
        <v>9130</v>
      </c>
    </row>
    <row r="17951" spans="1:2" x14ac:dyDescent="0.25">
      <c r="A17951" s="64" t="str">
        <f>HYPERLINK("http://www.twitter.com/The_5th_Column_", "The_5th_Column_")</f>
        <v>The_5th_Column_</v>
      </c>
      <c r="B17951" s="65" t="s">
        <v>138</v>
      </c>
    </row>
    <row r="17952" spans="1:2" x14ac:dyDescent="0.25">
      <c r="A17952" s="64" t="str">
        <f>HYPERLINK("http://www.twitter.com/annasuebenson1", "annasuebenson1")</f>
        <v>annasuebenson1</v>
      </c>
      <c r="B17952" s="65"/>
    </row>
    <row r="17953" spans="1:2" x14ac:dyDescent="0.25">
      <c r="A17953" s="64" t="str">
        <f>HYPERLINK("http://www.twitter.com/fletch32", "fletch32")</f>
        <v>fletch32</v>
      </c>
      <c r="B17953" s="65" t="s">
        <v>517</v>
      </c>
    </row>
    <row r="17954" spans="1:2" x14ac:dyDescent="0.25">
      <c r="A17954" s="64" t="str">
        <f>HYPERLINK("http://www.twitter.com/lerdson96", "lerdson96")</f>
        <v>lerdson96</v>
      </c>
      <c r="B17954" s="65"/>
    </row>
    <row r="17955" spans="1:2" x14ac:dyDescent="0.25">
      <c r="A17955" s="64" t="str">
        <f>HYPERLINK("http://www.twitter.com/IUmphers", "IUmphers")</f>
        <v>IUmphers</v>
      </c>
      <c r="B17955" s="65"/>
    </row>
    <row r="17956" spans="1:2" x14ac:dyDescent="0.25">
      <c r="A17956" s="64" t="str">
        <f>HYPERLINK("http://www.twitter.com/Haidee__Bee", "Haidee__Bee")</f>
        <v>Haidee__Bee</v>
      </c>
      <c r="B17956" s="65"/>
    </row>
    <row r="17957" spans="1:2" x14ac:dyDescent="0.25">
      <c r="A17957" s="64" t="str">
        <f>HYPERLINK("http://www.twitter.com/Sandyco27011331", "Sandyco27011331")</f>
        <v>Sandyco27011331</v>
      </c>
      <c r="B17957" s="65"/>
    </row>
    <row r="17958" spans="1:2" x14ac:dyDescent="0.25">
      <c r="A17958" s="64" t="str">
        <f>HYPERLINK("http://www.twitter.com/EleriTudor", "EleriTudor")</f>
        <v>EleriTudor</v>
      </c>
      <c r="B17958" s="65"/>
    </row>
    <row r="17959" spans="1:2" x14ac:dyDescent="0.25">
      <c r="A17959" s="64" t="str">
        <f>HYPERLINK("http://www.twitter.com/widewallclucky", "widewallclucky")</f>
        <v>widewallclucky</v>
      </c>
      <c r="B17959" s="65"/>
    </row>
    <row r="17960" spans="1:2" x14ac:dyDescent="0.25">
      <c r="A17960" s="64" t="str">
        <f>HYPERLINK("http://www.twitter.com/KarenGallagher8", "KarenGallagher8")</f>
        <v>KarenGallagher8</v>
      </c>
      <c r="B17960" s="65" t="s">
        <v>5436</v>
      </c>
    </row>
    <row r="17961" spans="1:2" x14ac:dyDescent="0.25">
      <c r="A17961" s="64" t="str">
        <f>HYPERLINK("http://www.twitter.com/johnrdolan", "johnrdolan")</f>
        <v>johnrdolan</v>
      </c>
      <c r="B17961" s="65" t="s">
        <v>310</v>
      </c>
    </row>
    <row r="17962" spans="1:2" x14ac:dyDescent="0.25">
      <c r="A17962" s="64" t="str">
        <f>HYPERLINK("http://www.twitter.com/S_T_U_5", "S_T_U_5")</f>
        <v>S_T_U_5</v>
      </c>
      <c r="B17962" s="65" t="s">
        <v>4721</v>
      </c>
    </row>
    <row r="17963" spans="1:2" x14ac:dyDescent="0.25">
      <c r="A17963" s="64" t="str">
        <f>HYPERLINK("http://www.twitter.com/waterstonesex", "waterstonesex")</f>
        <v>waterstonesex</v>
      </c>
      <c r="B17963" s="65" t="s">
        <v>9131</v>
      </c>
    </row>
    <row r="17964" spans="1:2" x14ac:dyDescent="0.25">
      <c r="A17964" s="64" t="str">
        <f>HYPERLINK("http://www.twitter.com/lebeccar", "lebeccar")</f>
        <v>lebeccar</v>
      </c>
      <c r="B17964" s="65" t="s">
        <v>1189</v>
      </c>
    </row>
    <row r="17965" spans="1:2" x14ac:dyDescent="0.25">
      <c r="A17965" s="64" t="str">
        <f>HYPERLINK("http://www.twitter.com/RachJElliott", "RachJElliott")</f>
        <v>RachJElliott</v>
      </c>
      <c r="B17965" s="65" t="s">
        <v>3779</v>
      </c>
    </row>
    <row r="17966" spans="1:2" x14ac:dyDescent="0.25">
      <c r="A17966" s="64" t="str">
        <f>HYPERLINK("http://www.twitter.com/emmagraney", "emmagraney")</f>
        <v>emmagraney</v>
      </c>
      <c r="B17966" s="65" t="s">
        <v>3682</v>
      </c>
    </row>
    <row r="17967" spans="1:2" x14ac:dyDescent="0.25">
      <c r="A17967" s="64" t="str">
        <f>HYPERLINK("http://www.twitter.com/PaulettePeake", "PaulettePeake")</f>
        <v>PaulettePeake</v>
      </c>
      <c r="B17967" s="65"/>
    </row>
    <row r="17968" spans="1:2" x14ac:dyDescent="0.25">
      <c r="A17968" s="64" t="str">
        <f>HYPERLINK("http://www.twitter.com/orkneypool", "orkneypool")</f>
        <v>orkneypool</v>
      </c>
      <c r="B17968" s="65"/>
    </row>
    <row r="17969" spans="1:2" x14ac:dyDescent="0.25">
      <c r="A17969" s="64" t="str">
        <f>HYPERLINK("http://www.twitter.com/bhsykes", "bhsykes")</f>
        <v>bhsykes</v>
      </c>
      <c r="B17969" s="65"/>
    </row>
    <row r="17970" spans="1:2" x14ac:dyDescent="0.25">
      <c r="A17970" s="64" t="str">
        <f>HYPERLINK("http://www.twitter.com/jfpolak", "jfpolak")</f>
        <v>jfpolak</v>
      </c>
      <c r="B17970" s="65" t="s">
        <v>9132</v>
      </c>
    </row>
    <row r="17971" spans="1:2" x14ac:dyDescent="0.25">
      <c r="A17971" s="64" t="str">
        <f>HYPERLINK("http://www.twitter.com/TheCornishBird", "TheCornishBird")</f>
        <v>TheCornishBird</v>
      </c>
      <c r="B17971" s="65"/>
    </row>
    <row r="17972" spans="1:2" x14ac:dyDescent="0.25">
      <c r="A17972" s="64" t="str">
        <f>HYPERLINK("http://www.twitter.com/NLPubLibraries", "NLPubLibraries")</f>
        <v>NLPubLibraries</v>
      </c>
      <c r="B17972" s="65" t="s">
        <v>9133</v>
      </c>
    </row>
    <row r="17973" spans="1:2" x14ac:dyDescent="0.25">
      <c r="A17973" s="64" t="str">
        <f>HYPERLINK("http://www.twitter.com/the_drama_box", "the_drama_box")</f>
        <v>the_drama_box</v>
      </c>
      <c r="B17973" s="65" t="s">
        <v>2007</v>
      </c>
    </row>
    <row r="17974" spans="1:2" x14ac:dyDescent="0.25">
      <c r="A17974" s="64" t="str">
        <f>HYPERLINK("http://www.twitter.com/slewisimpson", "slewisimpson")</f>
        <v>slewisimpson</v>
      </c>
      <c r="B17974" s="65" t="s">
        <v>9134</v>
      </c>
    </row>
    <row r="17975" spans="1:2" x14ac:dyDescent="0.25">
      <c r="A17975" s="64" t="str">
        <f>HYPERLINK("http://www.twitter.com/Berserkjablogg", "Berserkjablogg")</f>
        <v>Berserkjablogg</v>
      </c>
      <c r="B17975" s="65" t="s">
        <v>2107</v>
      </c>
    </row>
    <row r="17976" spans="1:2" x14ac:dyDescent="0.25">
      <c r="A17976" s="64" t="str">
        <f>HYPERLINK("http://www.twitter.com/RYbaldini", "RYbaldini")</f>
        <v>RYbaldini</v>
      </c>
      <c r="B17976" s="65"/>
    </row>
    <row r="17977" spans="1:2" x14ac:dyDescent="0.25">
      <c r="A17977" s="64" t="str">
        <f>HYPERLINK("http://www.twitter.com/_iLikeJuice", "_iLikeJuice")</f>
        <v>_iLikeJuice</v>
      </c>
      <c r="B17977" s="65"/>
    </row>
    <row r="17978" spans="1:2" x14ac:dyDescent="0.25">
      <c r="A17978" s="64" t="str">
        <f>HYPERLINK("http://www.twitter.com/cremeanglaiseUK", "cremeanglaiseUK")</f>
        <v>cremeanglaiseUK</v>
      </c>
      <c r="B17978" s="65" t="s">
        <v>6667</v>
      </c>
    </row>
    <row r="17979" spans="1:2" x14ac:dyDescent="0.25">
      <c r="A17979" s="64" t="str">
        <f>HYPERLINK("http://www.twitter.com/HAmerikos", "HAmerikos")</f>
        <v>HAmerikos</v>
      </c>
      <c r="B17979" s="65"/>
    </row>
    <row r="17980" spans="1:2" x14ac:dyDescent="0.25">
      <c r="A17980" s="64" t="str">
        <f>HYPERLINK("http://www.twitter.com/camargo_ft", "camargo_ft")</f>
        <v>camargo_ft</v>
      </c>
      <c r="B17980" s="65"/>
    </row>
    <row r="17981" spans="1:2" x14ac:dyDescent="0.25">
      <c r="A17981" s="64" t="str">
        <f>HYPERLINK("http://www.twitter.com/BFHouse", "BFHouse")</f>
        <v>BFHouse</v>
      </c>
      <c r="B17981" s="65" t="s">
        <v>9135</v>
      </c>
    </row>
    <row r="17982" spans="1:2" x14ac:dyDescent="0.25">
      <c r="A17982" s="64" t="str">
        <f>HYPERLINK("http://www.twitter.com/HammondKathyl", "HammondKathyl")</f>
        <v>HammondKathyl</v>
      </c>
      <c r="B17982" s="65"/>
    </row>
    <row r="17983" spans="1:2" x14ac:dyDescent="0.25">
      <c r="A17983" s="64" t="str">
        <f>HYPERLINK("http://www.twitter.com/MGaming911", "MGaming911")</f>
        <v>MGaming911</v>
      </c>
      <c r="B17983" s="65" t="s">
        <v>477</v>
      </c>
    </row>
    <row r="17984" spans="1:2" x14ac:dyDescent="0.25">
      <c r="A17984" s="64" t="str">
        <f>HYPERLINK("http://www.twitter.com/bonitaalma81", "bonitaalma81")</f>
        <v>bonitaalma81</v>
      </c>
      <c r="B17984" s="65"/>
    </row>
    <row r="17985" spans="1:2" x14ac:dyDescent="0.25">
      <c r="A17985" s="64" t="str">
        <f>HYPERLINK("http://www.twitter.com/_yaya_unique", "_yaya_unique")</f>
        <v>_yaya_unique</v>
      </c>
      <c r="B17985" s="65"/>
    </row>
    <row r="17986" spans="1:2" x14ac:dyDescent="0.25">
      <c r="A17986" s="64" t="str">
        <f>HYPERLINK("http://www.twitter.com/UKIPStatistics", "UKIPStatistics")</f>
        <v>UKIPStatistics</v>
      </c>
      <c r="B17986" s="65"/>
    </row>
    <row r="17987" spans="1:2" x14ac:dyDescent="0.25">
      <c r="A17987" s="64" t="str">
        <f>HYPERLINK("http://www.twitter.com/OooPooLooMooZoo", "OooPooLooMooZoo")</f>
        <v>OooPooLooMooZoo</v>
      </c>
      <c r="B17987" s="65" t="s">
        <v>9136</v>
      </c>
    </row>
    <row r="17988" spans="1:2" x14ac:dyDescent="0.25">
      <c r="A17988" s="64" t="str">
        <f>HYPERLINK("http://www.twitter.com/Middltonion", "Middltonion")</f>
        <v>Middltonion</v>
      </c>
      <c r="B17988" s="65"/>
    </row>
    <row r="17989" spans="1:2" x14ac:dyDescent="0.25">
      <c r="A17989" s="64" t="str">
        <f>HYPERLINK("http://www.twitter.com/mkjm", "mkjm")</f>
        <v>mkjm</v>
      </c>
      <c r="B17989" s="65" t="s">
        <v>3779</v>
      </c>
    </row>
    <row r="17990" spans="1:2" x14ac:dyDescent="0.25">
      <c r="A17990" s="64" t="str">
        <f>HYPERLINK("http://www.twitter.com/LGiU", "LGiU")</f>
        <v>LGiU</v>
      </c>
      <c r="B17990" s="65" t="s">
        <v>36</v>
      </c>
    </row>
    <row r="17991" spans="1:2" x14ac:dyDescent="0.25">
      <c r="A17991" s="64" t="str">
        <f>HYPERLINK("http://www.twitter.com/parralibrary", "parralibrary")</f>
        <v>parralibrary</v>
      </c>
      <c r="B17991" s="65" t="s">
        <v>9137</v>
      </c>
    </row>
    <row r="17992" spans="1:2" x14ac:dyDescent="0.25">
      <c r="A17992" s="64" t="str">
        <f>HYPERLINK("http://www.twitter.com/DaveKarikas", "DaveKarikas")</f>
        <v>DaveKarikas</v>
      </c>
      <c r="B17992" s="65" t="s">
        <v>70</v>
      </c>
    </row>
    <row r="17993" spans="1:2" x14ac:dyDescent="0.25">
      <c r="A17993" s="64" t="str">
        <f>HYPERLINK("http://www.twitter.com/KernCntyLibrary", "KernCntyLibrary")</f>
        <v>KernCntyLibrary</v>
      </c>
      <c r="B17993" s="65" t="s">
        <v>9138</v>
      </c>
    </row>
    <row r="17994" spans="1:2" x14ac:dyDescent="0.25">
      <c r="A17994" s="64" t="str">
        <f>HYPERLINK("http://www.twitter.com/maireaad_", "maireaad_")</f>
        <v>maireaad_</v>
      </c>
      <c r="B17994" s="65"/>
    </row>
    <row r="17995" spans="1:2" x14ac:dyDescent="0.25">
      <c r="A17995" s="64" t="str">
        <f>HYPERLINK("http://www.twitter.com/WestmorlandHill", "WestmorlandHill")</f>
        <v>WestmorlandHill</v>
      </c>
      <c r="B17995" s="65" t="s">
        <v>5777</v>
      </c>
    </row>
    <row r="17996" spans="1:2" x14ac:dyDescent="0.25">
      <c r="A17996" s="64" t="str">
        <f>HYPERLINK("http://www.twitter.com/EmilyRosie3", "EmilyRosie3")</f>
        <v>EmilyRosie3</v>
      </c>
      <c r="B17996" s="65"/>
    </row>
    <row r="17997" spans="1:2" x14ac:dyDescent="0.25">
      <c r="A17997" s="64" t="str">
        <f>HYPERLINK("http://www.twitter.com/BaronyMill", "BaronyMill")</f>
        <v>BaronyMill</v>
      </c>
      <c r="B17997" s="65" t="s">
        <v>4519</v>
      </c>
    </row>
    <row r="17998" spans="1:2" x14ac:dyDescent="0.25">
      <c r="A17998" s="64" t="str">
        <f>HYPERLINK("http://www.twitter.com/allison__gibbs", "allison__gibbs")</f>
        <v>allison__gibbs</v>
      </c>
      <c r="B17998" s="65"/>
    </row>
    <row r="17999" spans="1:2" x14ac:dyDescent="0.25">
      <c r="A17999" s="64" t="str">
        <f>HYPERLINK("http://www.twitter.com/MeetTubeDogs", "MeetTubeDogs")</f>
        <v>MeetTubeDogs</v>
      </c>
      <c r="B17999" s="65"/>
    </row>
    <row r="18000" spans="1:2" x14ac:dyDescent="0.25">
      <c r="A18000" s="64" t="str">
        <f>HYPERLINK("http://www.twitter.com/annakime", "annakime")</f>
        <v>annakime</v>
      </c>
      <c r="B18000" s="65" t="s">
        <v>459</v>
      </c>
    </row>
    <row r="18001" spans="1:2" x14ac:dyDescent="0.25">
      <c r="A18001" s="64" t="str">
        <f>HYPERLINK("http://www.twitter.com/zelda_bradley", "zelda_bradley")</f>
        <v>zelda_bradley</v>
      </c>
      <c r="B18001" s="65" t="s">
        <v>4019</v>
      </c>
    </row>
    <row r="18002" spans="1:2" x14ac:dyDescent="0.25">
      <c r="A18002" s="64" t="str">
        <f>HYPERLINK("http://www.twitter.com/chitti482", "chitti482")</f>
        <v>chitti482</v>
      </c>
      <c r="B18002" s="65" t="s">
        <v>9139</v>
      </c>
    </row>
    <row r="18003" spans="1:2" x14ac:dyDescent="0.25">
      <c r="A18003" s="64" t="str">
        <f>HYPERLINK("http://www.twitter.com/IWM_Centenary", "IWM_Centenary")</f>
        <v>IWM_Centenary</v>
      </c>
      <c r="B18003" s="65" t="s">
        <v>36</v>
      </c>
    </row>
    <row r="18004" spans="1:2" x14ac:dyDescent="0.25">
      <c r="A18004" s="64" t="str">
        <f>HYPERLINK("http://www.twitter.com/gaylemeikle", "gaylemeikle")</f>
        <v>gaylemeikle</v>
      </c>
      <c r="B18004" s="65" t="s">
        <v>9140</v>
      </c>
    </row>
    <row r="18005" spans="1:2" x14ac:dyDescent="0.25">
      <c r="A18005" s="64" t="str">
        <f>HYPERLINK("http://www.twitter.com/designecosse", "designecosse")</f>
        <v>designecosse</v>
      </c>
      <c r="B18005" s="65"/>
    </row>
    <row r="18006" spans="1:2" x14ac:dyDescent="0.25">
      <c r="A18006" s="64" t="str">
        <f>HYPERLINK("http://www.twitter.com/HelenMcClory", "HelenMcClory")</f>
        <v>HelenMcClory</v>
      </c>
      <c r="B18006" s="65" t="s">
        <v>487</v>
      </c>
    </row>
    <row r="18007" spans="1:2" x14ac:dyDescent="0.25">
      <c r="A18007" s="64" t="str">
        <f>HYPERLINK("http://www.twitter.com/chaircollective", "chaircollective")</f>
        <v>chaircollective</v>
      </c>
      <c r="B18007" s="65" t="s">
        <v>477</v>
      </c>
    </row>
    <row r="18008" spans="1:2" x14ac:dyDescent="0.25">
      <c r="A18008" s="64" t="str">
        <f>HYPERLINK("http://www.twitter.com/innesg", "innesg")</f>
        <v>innesg</v>
      </c>
      <c r="B18008" s="65" t="s">
        <v>9141</v>
      </c>
    </row>
    <row r="18009" spans="1:2" x14ac:dyDescent="0.25">
      <c r="A18009" s="64" t="str">
        <f>HYPERLINK("http://www.twitter.com/marianayhobi", "marianayhobi")</f>
        <v>marianayhobi</v>
      </c>
      <c r="B18009" s="65" t="s">
        <v>9142</v>
      </c>
    </row>
    <row r="18010" spans="1:2" x14ac:dyDescent="0.25">
      <c r="A18010" s="64" t="str">
        <f>HYPERLINK("http://www.twitter.com/nessachops", "nessachops")</f>
        <v>nessachops</v>
      </c>
      <c r="B18010" s="65"/>
    </row>
    <row r="18011" spans="1:2" x14ac:dyDescent="0.25">
      <c r="A18011" s="64" t="str">
        <f>HYPERLINK("http://www.twitter.com/clairemacd280", "clairemacd280")</f>
        <v>clairemacd280</v>
      </c>
      <c r="B18011" s="65"/>
    </row>
    <row r="18012" spans="1:2" x14ac:dyDescent="0.25">
      <c r="A18012" s="64" t="str">
        <f>HYPERLINK("http://www.twitter.com/AnnTang319", "AnnTang319")</f>
        <v>AnnTang319</v>
      </c>
      <c r="B18012" s="65" t="s">
        <v>7810</v>
      </c>
    </row>
    <row r="18013" spans="1:2" x14ac:dyDescent="0.25">
      <c r="A18013" s="64" t="str">
        <f>HYPERLINK("http://www.twitter.com/thereal_Warrior", "thereal_Warrior")</f>
        <v>thereal_Warrior</v>
      </c>
      <c r="B18013" s="65" t="s">
        <v>4579</v>
      </c>
    </row>
    <row r="18014" spans="1:2" x14ac:dyDescent="0.25">
      <c r="A18014" s="64" t="str">
        <f>HYPERLINK("http://www.twitter.com/ChuenarromW", "ChuenarromW")</f>
        <v>ChuenarromW</v>
      </c>
      <c r="B18014" s="65"/>
    </row>
    <row r="18015" spans="1:2" x14ac:dyDescent="0.25">
      <c r="A18015" s="64" t="str">
        <f>HYPERLINK("http://www.twitter.com/MattThomasArt", "MattThomasArt")</f>
        <v>MattThomasArt</v>
      </c>
      <c r="B18015" s="65" t="s">
        <v>3955</v>
      </c>
    </row>
    <row r="18016" spans="1:2" x14ac:dyDescent="0.25">
      <c r="A18016" s="64" t="str">
        <f>HYPERLINK("http://www.twitter.com/Cubist_Zero", "Cubist_Zero")</f>
        <v>Cubist_Zero</v>
      </c>
      <c r="B18016" s="65" t="s">
        <v>9143</v>
      </c>
    </row>
    <row r="18017" spans="1:2" x14ac:dyDescent="0.25">
      <c r="A18017" s="64" t="str">
        <f>HYPERLINK("http://www.twitter.com/doxinfernum666", "doxinfernum666")</f>
        <v>doxinfernum666</v>
      </c>
      <c r="B18017" s="65" t="s">
        <v>5254</v>
      </c>
    </row>
    <row r="18018" spans="1:2" x14ac:dyDescent="0.25">
      <c r="A18018" s="64" t="str">
        <f>HYPERLINK("http://www.twitter.com/Sinead1988", "Sinead1988")</f>
        <v>Sinead1988</v>
      </c>
      <c r="B18018" s="65" t="s">
        <v>24</v>
      </c>
    </row>
    <row r="18019" spans="1:2" x14ac:dyDescent="0.25">
      <c r="A18019" s="64" t="str">
        <f>HYPERLINK("http://www.twitter.com/funoclock", "funoclock")</f>
        <v>funoclock</v>
      </c>
      <c r="B18019" s="65" t="s">
        <v>9144</v>
      </c>
    </row>
    <row r="18020" spans="1:2" x14ac:dyDescent="0.25">
      <c r="A18020" s="64" t="str">
        <f>HYPERLINK("http://www.twitter.com/SpacefundJo", "SpacefundJo")</f>
        <v>SpacefundJo</v>
      </c>
      <c r="B18020" s="65" t="s">
        <v>9145</v>
      </c>
    </row>
    <row r="18021" spans="1:2" x14ac:dyDescent="0.25">
      <c r="A18021" s="64" t="str">
        <f>HYPERLINK("http://www.twitter.com/glossopluke", "glossopluke")</f>
        <v>glossopluke</v>
      </c>
      <c r="B18021" s="65" t="s">
        <v>93</v>
      </c>
    </row>
    <row r="18022" spans="1:2" x14ac:dyDescent="0.25">
      <c r="A18022" s="64" t="str">
        <f>HYPERLINK("http://www.twitter.com/Marieee_113", "Marieee_113")</f>
        <v>Marieee_113</v>
      </c>
      <c r="B18022" s="65" t="s">
        <v>9146</v>
      </c>
    </row>
    <row r="18023" spans="1:2" x14ac:dyDescent="0.25">
      <c r="A18023" s="64" t="str">
        <f>HYPERLINK("http://www.twitter.com/when_in_frome", "when_in_frome")</f>
        <v>when_in_frome</v>
      </c>
      <c r="B18023" s="65" t="s">
        <v>9147</v>
      </c>
    </row>
    <row r="18024" spans="1:2" x14ac:dyDescent="0.25">
      <c r="A18024" s="64" t="str">
        <f>HYPERLINK("http://www.twitter.com/faerynuff", "faerynuff")</f>
        <v>faerynuff</v>
      </c>
      <c r="B18024" s="65" t="s">
        <v>1790</v>
      </c>
    </row>
    <row r="18025" spans="1:2" x14ac:dyDescent="0.25">
      <c r="A18025" s="64" t="str">
        <f>HYPERLINK("http://www.twitter.com/AllHandsOnDex", "AllHandsOnDex")</f>
        <v>AllHandsOnDex</v>
      </c>
      <c r="B18025" s="65" t="s">
        <v>318</v>
      </c>
    </row>
    <row r="18026" spans="1:2" x14ac:dyDescent="0.25">
      <c r="A18026" s="64" t="str">
        <f>HYPERLINK("http://www.twitter.com/Suz_M", "Suz_M")</f>
        <v>Suz_M</v>
      </c>
      <c r="B18026" s="65"/>
    </row>
    <row r="18027" spans="1:2" x14ac:dyDescent="0.25">
      <c r="A18027" s="64" t="str">
        <f>HYPERLINK("http://www.twitter.com/LegendsOfCntry", "LegendsOfCntry")</f>
        <v>LegendsOfCntry</v>
      </c>
      <c r="B18027" s="65" t="s">
        <v>9148</v>
      </c>
    </row>
    <row r="18028" spans="1:2" x14ac:dyDescent="0.25">
      <c r="A18028" s="64" t="str">
        <f>HYPERLINK("http://www.twitter.com/mariamsaeedkhan", "mariamsaeedkhan")</f>
        <v>mariamsaeedkhan</v>
      </c>
      <c r="B18028" s="65" t="s">
        <v>9149</v>
      </c>
    </row>
    <row r="18029" spans="1:2" x14ac:dyDescent="0.25">
      <c r="A18029" s="64" t="str">
        <f>HYPERLINK("http://www.twitter.com/inthebookdrop", "inthebookdrop")</f>
        <v>inthebookdrop</v>
      </c>
      <c r="B18029" s="65" t="s">
        <v>3830</v>
      </c>
    </row>
    <row r="18030" spans="1:2" x14ac:dyDescent="0.25">
      <c r="A18030" s="64" t="str">
        <f>HYPERLINK("http://www.twitter.com/adamtwhittaker", "adamtwhittaker")</f>
        <v>adamtwhittaker</v>
      </c>
      <c r="B18030" s="65"/>
    </row>
    <row r="18031" spans="1:2" x14ac:dyDescent="0.25">
      <c r="A18031" s="64" t="str">
        <f>HYPERLINK("http://www.twitter.com/KezzaWease", "KezzaWease")</f>
        <v>KezzaWease</v>
      </c>
      <c r="B18031" s="65"/>
    </row>
    <row r="18032" spans="1:2" x14ac:dyDescent="0.25">
      <c r="A18032" s="64" t="str">
        <f>HYPERLINK("http://www.twitter.com/KarenBlue23", "KarenBlue23")</f>
        <v>KarenBlue23</v>
      </c>
      <c r="B18032" s="65" t="s">
        <v>3988</v>
      </c>
    </row>
    <row r="18033" spans="1:2" x14ac:dyDescent="0.25">
      <c r="A18033" s="64" t="str">
        <f>HYPERLINK("http://www.twitter.com/nice_cravat", "nice_cravat")</f>
        <v>nice_cravat</v>
      </c>
      <c r="B18033" s="65"/>
    </row>
    <row r="18034" spans="1:2" x14ac:dyDescent="0.25">
      <c r="A18034" s="64" t="str">
        <f>HYPERLINK("http://www.twitter.com/shedview", "shedview")</f>
        <v>shedview</v>
      </c>
      <c r="B18034" s="65"/>
    </row>
    <row r="18035" spans="1:2" x14ac:dyDescent="0.25">
      <c r="A18035" s="64" t="str">
        <f>HYPERLINK("http://www.twitter.com/KirstyLewin", "KirstyLewin")</f>
        <v>KirstyLewin</v>
      </c>
      <c r="B18035" s="65"/>
    </row>
    <row r="18036" spans="1:2" x14ac:dyDescent="0.25">
      <c r="A18036" s="64" t="str">
        <f>HYPERLINK("http://www.twitter.com/OldBankBooks", "OldBankBooks")</f>
        <v>OldBankBooks</v>
      </c>
      <c r="B18036" s="65"/>
    </row>
    <row r="18037" spans="1:2" x14ac:dyDescent="0.25">
      <c r="A18037" s="64" t="str">
        <f>HYPERLINK("http://www.twitter.com/Bekkhilde", "Bekkhilde")</f>
        <v>Bekkhilde</v>
      </c>
      <c r="B18037" s="65" t="s">
        <v>9150</v>
      </c>
    </row>
    <row r="18038" spans="1:2" x14ac:dyDescent="0.25">
      <c r="A18038" s="64" t="str">
        <f>HYPERLINK("http://www.twitter.com/korchie44", "korchie44")</f>
        <v>korchie44</v>
      </c>
      <c r="B18038" s="65" t="s">
        <v>8441</v>
      </c>
    </row>
    <row r="18039" spans="1:2" x14ac:dyDescent="0.25">
      <c r="A18039" s="64" t="str">
        <f>HYPERLINK("http://www.twitter.com/neilwishart", "neilwishart")</f>
        <v>neilwishart</v>
      </c>
      <c r="B18039" s="65" t="s">
        <v>318</v>
      </c>
    </row>
    <row r="18040" spans="1:2" x14ac:dyDescent="0.25">
      <c r="A18040" s="64" t="str">
        <f>HYPERLINK("http://www.twitter.com/lib_mhs", "lib_mhs")</f>
        <v>lib_mhs</v>
      </c>
      <c r="B18040" s="65"/>
    </row>
    <row r="18041" spans="1:2" x14ac:dyDescent="0.25">
      <c r="A18041" s="64" t="str">
        <f>HYPERLINK("http://www.twitter.com/Karjon", "Karjon")</f>
        <v>Karjon</v>
      </c>
      <c r="B18041" s="65" t="s">
        <v>138</v>
      </c>
    </row>
    <row r="18042" spans="1:2" x14ac:dyDescent="0.25">
      <c r="A18042" s="64" t="str">
        <f>HYPERLINK("http://www.twitter.com/ccwebbb", "ccwebbb")</f>
        <v>ccwebbb</v>
      </c>
      <c r="B18042" s="65" t="s">
        <v>9151</v>
      </c>
    </row>
    <row r="18043" spans="1:2" x14ac:dyDescent="0.25">
      <c r="A18043" s="64" t="str">
        <f>HYPERLINK("http://www.twitter.com/Marcus_Hogan", "Marcus_Hogan")</f>
        <v>Marcus_Hogan</v>
      </c>
      <c r="B18043" s="65" t="s">
        <v>9152</v>
      </c>
    </row>
    <row r="18044" spans="1:2" x14ac:dyDescent="0.25">
      <c r="A18044" s="64" t="str">
        <f>HYPERLINK("http://www.twitter.com/larissa_reid", "larissa_reid")</f>
        <v>larissa_reid</v>
      </c>
      <c r="B18044" s="65"/>
    </row>
    <row r="18045" spans="1:2" x14ac:dyDescent="0.25">
      <c r="A18045" s="64" t="str">
        <f>HYPERLINK("http://www.twitter.com/katrinachristie", "katrinachristie")</f>
        <v>katrinachristie</v>
      </c>
      <c r="B18045" s="65" t="s">
        <v>6720</v>
      </c>
    </row>
    <row r="18046" spans="1:2" x14ac:dyDescent="0.25">
      <c r="A18046" s="64" t="str">
        <f>HYPERLINK("http://www.twitter.com/fraumurray", "fraumurray")</f>
        <v>fraumurray</v>
      </c>
      <c r="B18046" s="65" t="s">
        <v>4153</v>
      </c>
    </row>
    <row r="18047" spans="1:2" x14ac:dyDescent="0.25">
      <c r="A18047" s="64" t="str">
        <f>HYPERLINK("http://www.twitter.com/SalMcW", "SalMcW")</f>
        <v>SalMcW</v>
      </c>
      <c r="B18047" s="65" t="s">
        <v>115</v>
      </c>
    </row>
    <row r="18048" spans="1:2" x14ac:dyDescent="0.25">
      <c r="A18048" s="64" t="str">
        <f>HYPERLINK("http://www.twitter.com/l_roslyn", "l_roslyn")</f>
        <v>l_roslyn</v>
      </c>
      <c r="B18048" s="65"/>
    </row>
    <row r="18049" spans="1:2" x14ac:dyDescent="0.25">
      <c r="A18049" s="64" t="str">
        <f>HYPERLINK("http://www.twitter.com/LucyRWatson", "LucyRWatson")</f>
        <v>LucyRWatson</v>
      </c>
      <c r="B18049" s="65"/>
    </row>
    <row r="18050" spans="1:2" x14ac:dyDescent="0.25">
      <c r="A18050" s="64" t="str">
        <f>HYPERLINK("http://www.twitter.com/GlasgowMango", "GlasgowMango")</f>
        <v>GlasgowMango</v>
      </c>
      <c r="B18050" s="65" t="s">
        <v>296</v>
      </c>
    </row>
    <row r="18051" spans="1:2" x14ac:dyDescent="0.25">
      <c r="A18051" s="64" t="str">
        <f>HYPERLINK("http://www.twitter.com/BridgetaMarieta", "BridgetaMarieta")</f>
        <v>BridgetaMarieta</v>
      </c>
      <c r="B18051" s="65" t="s">
        <v>9153</v>
      </c>
    </row>
    <row r="18052" spans="1:2" x14ac:dyDescent="0.25">
      <c r="A18052" s="64" t="str">
        <f>HYPERLINK("http://www.twitter.com/ODrever", "ODrever")</f>
        <v>ODrever</v>
      </c>
      <c r="B18052" s="65"/>
    </row>
    <row r="18053" spans="1:2" x14ac:dyDescent="0.25">
      <c r="A18053" s="64" t="str">
        <f>HYPERLINK("http://www.twitter.com/LibraryRuh", "LibraryRuh")</f>
        <v>LibraryRuh</v>
      </c>
      <c r="B18053" s="65" t="s">
        <v>2270</v>
      </c>
    </row>
    <row r="18054" spans="1:2" x14ac:dyDescent="0.25">
      <c r="A18054" s="64" t="str">
        <f>HYPERLINK("http://www.twitter.com/HSMC_Library", "HSMC_Library")</f>
        <v>HSMC_Library</v>
      </c>
      <c r="B18054" s="65" t="s">
        <v>725</v>
      </c>
    </row>
    <row r="18055" spans="1:2" x14ac:dyDescent="0.25">
      <c r="A18055" s="64" t="str">
        <f>HYPERLINK("http://www.twitter.com/Lillbirdtoldme", "Lillbirdtoldme")</f>
        <v>Lillbirdtoldme</v>
      </c>
      <c r="B18055" s="65"/>
    </row>
    <row r="18056" spans="1:2" x14ac:dyDescent="0.25">
      <c r="A18056" s="64" t="str">
        <f>HYPERLINK("http://www.twitter.com/Siouxsieee", "Siouxsieee")</f>
        <v>Siouxsieee</v>
      </c>
      <c r="B18056" s="65" t="s">
        <v>1218</v>
      </c>
    </row>
    <row r="18057" spans="1:2" x14ac:dyDescent="0.25">
      <c r="A18057" s="64" t="str">
        <f>HYPERLINK("http://www.twitter.com/ApplebyEmma", "ApplebyEmma")</f>
        <v>ApplebyEmma</v>
      </c>
      <c r="B18057" s="65"/>
    </row>
    <row r="18058" spans="1:2" x14ac:dyDescent="0.25">
      <c r="A18058" s="64" t="str">
        <f>HYPERLINK("http://www.twitter.com/robjbatchelor", "robjbatchelor")</f>
        <v>robjbatchelor</v>
      </c>
      <c r="B18058" s="65" t="s">
        <v>24</v>
      </c>
    </row>
    <row r="18059" spans="1:2" x14ac:dyDescent="0.25">
      <c r="A18059" s="64" t="str">
        <f>HYPERLINK("http://www.twitter.com/ARSPOS", "ARSPOS")</f>
        <v>ARSPOS</v>
      </c>
      <c r="B18059" s="65" t="s">
        <v>3863</v>
      </c>
    </row>
    <row r="18060" spans="1:2" x14ac:dyDescent="0.25">
      <c r="A18060" s="64" t="str">
        <f>HYPERLINK("http://www.twitter.com/Mx30190380", "Mx30190380")</f>
        <v>Mx30190380</v>
      </c>
      <c r="B18060" s="65"/>
    </row>
    <row r="18061" spans="1:2" x14ac:dyDescent="0.25">
      <c r="A18061" s="64" t="str">
        <f>HYPERLINK("http://www.twitter.com/refugio_dlibros", "refugio_dlibros")</f>
        <v>refugio_dlibros</v>
      </c>
      <c r="B18061" s="65" t="s">
        <v>6529</v>
      </c>
    </row>
    <row r="18062" spans="1:2" x14ac:dyDescent="0.25">
      <c r="A18062" s="64" t="str">
        <f>HYPERLINK("http://www.twitter.com/Alexinamcphee", "Alexinamcphee")</f>
        <v>Alexinamcphee</v>
      </c>
      <c r="B18062" s="65" t="s">
        <v>9154</v>
      </c>
    </row>
    <row r="18063" spans="1:2" x14ac:dyDescent="0.25">
      <c r="A18063" s="64" t="str">
        <f>HYPERLINK("http://www.twitter.com/hazelslees", "hazelslees")</f>
        <v>hazelslees</v>
      </c>
      <c r="B18063" s="65" t="s">
        <v>9155</v>
      </c>
    </row>
    <row r="18064" spans="1:2" x14ac:dyDescent="0.25">
      <c r="A18064" s="64" t="str">
        <f>HYPERLINK("http://www.twitter.com/DuncanThorp", "DuncanThorp")</f>
        <v>DuncanThorp</v>
      </c>
      <c r="B18064" s="65" t="s">
        <v>487</v>
      </c>
    </row>
    <row r="18065" spans="1:2" x14ac:dyDescent="0.25">
      <c r="A18065" s="64" t="str">
        <f>HYPERLINK("http://www.twitter.com/emmagilchrist", "emmagilchrist")</f>
        <v>emmagilchrist</v>
      </c>
      <c r="B18065" s="65" t="s">
        <v>1221</v>
      </c>
    </row>
    <row r="18066" spans="1:2" x14ac:dyDescent="0.25">
      <c r="A18066" s="64" t="str">
        <f>HYPERLINK("http://www.twitter.com/dhgee1", "dhgee1")</f>
        <v>dhgee1</v>
      </c>
      <c r="B18066" s="65"/>
    </row>
    <row r="18067" spans="1:2" x14ac:dyDescent="0.25">
      <c r="A18067" s="64" t="str">
        <f>HYPERLINK("http://www.twitter.com/miriamjoywrites", "miriamjoywrites")</f>
        <v>miriamjoywrites</v>
      </c>
      <c r="B18067" s="65" t="s">
        <v>9156</v>
      </c>
    </row>
    <row r="18068" spans="1:2" x14ac:dyDescent="0.25">
      <c r="A18068" s="64" t="str">
        <f>HYPERLINK("http://www.twitter.com/phoebeceehaitch", "phoebeceehaitch")</f>
        <v>phoebeceehaitch</v>
      </c>
      <c r="B18068" s="65" t="s">
        <v>36</v>
      </c>
    </row>
    <row r="18069" spans="1:2" x14ac:dyDescent="0.25">
      <c r="A18069" s="64" t="str">
        <f>HYPERLINK("http://www.twitter.com/Sarah_drmatt1", "Sarah_drmatt1")</f>
        <v>Sarah_drmatt1</v>
      </c>
      <c r="B18069" s="65" t="s">
        <v>3678</v>
      </c>
    </row>
    <row r="18070" spans="1:2" x14ac:dyDescent="0.25">
      <c r="A18070" s="64" t="str">
        <f>HYPERLINK("http://www.twitter.com/catechismcliche", "catechismcliche")</f>
        <v>catechismcliche</v>
      </c>
      <c r="B18070" s="65" t="s">
        <v>9157</v>
      </c>
    </row>
    <row r="18071" spans="1:2" x14ac:dyDescent="0.25">
      <c r="A18071" s="64" t="str">
        <f>HYPERLINK("http://www.twitter.com/linseeh", "linseeh")</f>
        <v>linseeh</v>
      </c>
      <c r="B18071" s="65"/>
    </row>
    <row r="18072" spans="1:2" x14ac:dyDescent="0.25">
      <c r="A18072" s="64" t="str">
        <f>HYPERLINK("http://www.twitter.com/may_gun", "may_gun")</f>
        <v>may_gun</v>
      </c>
      <c r="B18072" s="65" t="s">
        <v>9158</v>
      </c>
    </row>
    <row r="18073" spans="1:2" x14ac:dyDescent="0.25">
      <c r="A18073" s="64" t="str">
        <f>HYPERLINK("http://www.twitter.com/amypagey", "amypagey")</f>
        <v>amypagey</v>
      </c>
      <c r="B18073" s="65" t="s">
        <v>36</v>
      </c>
    </row>
    <row r="18074" spans="1:2" x14ac:dyDescent="0.25">
      <c r="A18074" s="64" t="str">
        <f>HYPERLINK("http://www.twitter.com/nimwenof", "nimwenof")</f>
        <v>nimwenof</v>
      </c>
      <c r="B18074" s="65" t="s">
        <v>9159</v>
      </c>
    </row>
    <row r="18075" spans="1:2" x14ac:dyDescent="0.25">
      <c r="A18075" s="64" t="str">
        <f>HYPERLINK("http://www.twitter.com/ScotCathArch", "ScotCathArch")</f>
        <v>ScotCathArch</v>
      </c>
      <c r="B18075" s="65" t="s">
        <v>487</v>
      </c>
    </row>
    <row r="18076" spans="1:2" x14ac:dyDescent="0.25">
      <c r="A18076" s="64" t="str">
        <f>HYPERLINK("http://www.twitter.com/andrehess3", "andrehess3")</f>
        <v>andrehess3</v>
      </c>
      <c r="B18076" s="65" t="s">
        <v>9160</v>
      </c>
    </row>
    <row r="18077" spans="1:2" x14ac:dyDescent="0.25">
      <c r="A18077" s="64" t="str">
        <f>HYPERLINK("http://www.twitter.com/tinyrexwrecks", "tinyrexwrecks")</f>
        <v>tinyrexwrecks</v>
      </c>
      <c r="B18077" s="65" t="s">
        <v>4050</v>
      </c>
    </row>
    <row r="18078" spans="1:2" x14ac:dyDescent="0.25">
      <c r="A18078" s="64" t="str">
        <f>HYPERLINK("http://www.twitter.com/SingletonWayne", "SingletonWayne")</f>
        <v>SingletonWayne</v>
      </c>
      <c r="B18078" s="65" t="s">
        <v>9161</v>
      </c>
    </row>
    <row r="18079" spans="1:2" x14ac:dyDescent="0.25">
      <c r="A18079" s="64" t="str">
        <f>HYPERLINK("http://www.twitter.com/TrueFandomColor", "TrueFandomColor")</f>
        <v>TrueFandomColor</v>
      </c>
      <c r="B18079" s="65"/>
    </row>
    <row r="18080" spans="1:2" x14ac:dyDescent="0.25">
      <c r="A18080" s="64" t="str">
        <f>HYPERLINK("http://www.twitter.com/Wildpressed", "Wildpressed")</f>
        <v>Wildpressed</v>
      </c>
      <c r="B18080" s="65" t="s">
        <v>70</v>
      </c>
    </row>
    <row r="18081" spans="1:2" x14ac:dyDescent="0.25">
      <c r="A18081" s="64" t="str">
        <f>HYPERLINK("http://www.twitter.com/catherinescutt", "catherinescutt")</f>
        <v>catherinescutt</v>
      </c>
      <c r="B18081" s="65"/>
    </row>
    <row r="18082" spans="1:2" x14ac:dyDescent="0.25">
      <c r="A18082" s="64" t="str">
        <f>HYPERLINK("http://www.twitter.com/StrikeDebt", "StrikeDebt")</f>
        <v>StrikeDebt</v>
      </c>
      <c r="B18082" s="65"/>
    </row>
    <row r="18083" spans="1:2" x14ac:dyDescent="0.25">
      <c r="A18083" s="64" t="str">
        <f>HYPERLINK("http://www.twitter.com/D0YouEvenKnowMe", "D0YouEvenKnowMe")</f>
        <v>D0YouEvenKnowMe</v>
      </c>
      <c r="B18083" s="65" t="s">
        <v>4339</v>
      </c>
    </row>
    <row r="18084" spans="1:2" x14ac:dyDescent="0.25">
      <c r="A18084" s="64" t="str">
        <f>HYPERLINK("http://www.twitter.com/Rmoar2", "Rmoar2")</f>
        <v>Rmoar2</v>
      </c>
      <c r="B18084" s="65"/>
    </row>
    <row r="18085" spans="1:2" x14ac:dyDescent="0.25">
      <c r="A18085" s="64" t="str">
        <f>HYPERLINK("http://www.twitter.com/jasamac52", "jasamac52")</f>
        <v>jasamac52</v>
      </c>
      <c r="B18085" s="65" t="s">
        <v>4052</v>
      </c>
    </row>
    <row r="18086" spans="1:2" x14ac:dyDescent="0.25">
      <c r="A18086" s="64" t="str">
        <f>HYPERLINK("http://www.twitter.com/carpetman1976", "carpetman1976")</f>
        <v>carpetman1976</v>
      </c>
      <c r="B18086" s="65"/>
    </row>
    <row r="18087" spans="1:2" x14ac:dyDescent="0.25">
      <c r="A18087" s="64" t="str">
        <f>HYPERLINK("http://www.twitter.com/MelloHog", "MelloHog")</f>
        <v>MelloHog</v>
      </c>
      <c r="B18087" s="65" t="s">
        <v>9162</v>
      </c>
    </row>
    <row r="18088" spans="1:2" x14ac:dyDescent="0.25">
      <c r="A18088" s="64" t="str">
        <f>HYPERLINK("http://www.twitter.com/CNRGillLibrary", "CNRGillLibrary")</f>
        <v>CNRGillLibrary</v>
      </c>
      <c r="B18088" s="65" t="s">
        <v>7595</v>
      </c>
    </row>
    <row r="18089" spans="1:2" x14ac:dyDescent="0.25">
      <c r="A18089" s="64" t="str">
        <f>HYPERLINK("http://www.twitter.com/FamilyFlyers", "FamilyFlyers")</f>
        <v>FamilyFlyers</v>
      </c>
      <c r="B18089" s="65" t="s">
        <v>3948</v>
      </c>
    </row>
    <row r="18090" spans="1:2" x14ac:dyDescent="0.25">
      <c r="A18090" s="64" t="str">
        <f>HYPERLINK("http://www.twitter.com/TheCelticDoula", "TheCelticDoula")</f>
        <v>TheCelticDoula</v>
      </c>
      <c r="B18090" s="65" t="s">
        <v>9163</v>
      </c>
    </row>
    <row r="18091" spans="1:2" x14ac:dyDescent="0.25">
      <c r="A18091" s="64" t="str">
        <f>HYPERLINK("http://www.twitter.com/SiobhanMuir1", "SiobhanMuir1")</f>
        <v>SiobhanMuir1</v>
      </c>
      <c r="B18091" s="65"/>
    </row>
    <row r="18092" spans="1:2" x14ac:dyDescent="0.25">
      <c r="A18092" s="64" t="str">
        <f>HYPERLINK("http://www.twitter.com/mari_edwards8", "mari_edwards8")</f>
        <v>mari_edwards8</v>
      </c>
      <c r="B18092" s="65"/>
    </row>
    <row r="18093" spans="1:2" x14ac:dyDescent="0.25">
      <c r="A18093" s="64" t="str">
        <f>HYPERLINK("http://www.twitter.com/msaucer", "msaucer")</f>
        <v>msaucer</v>
      </c>
      <c r="B18093" s="65" t="s">
        <v>9164</v>
      </c>
    </row>
    <row r="18094" spans="1:2" x14ac:dyDescent="0.25">
      <c r="A18094" s="64" t="str">
        <f>HYPERLINK("http://www.twitter.com/rachelle_barlow", "rachelle_barlow")</f>
        <v>rachelle_barlow</v>
      </c>
      <c r="B18094" s="65" t="s">
        <v>9165</v>
      </c>
    </row>
    <row r="18095" spans="1:2" x14ac:dyDescent="0.25">
      <c r="A18095" s="64" t="str">
        <f>HYPERLINK("http://www.twitter.com/strahlj", "strahlj")</f>
        <v>strahlj</v>
      </c>
      <c r="B18095" s="65" t="s">
        <v>4948</v>
      </c>
    </row>
    <row r="18096" spans="1:2" x14ac:dyDescent="0.25">
      <c r="A18096" s="64" t="str">
        <f>HYPERLINK("http://www.twitter.com/HannahJWernet", "HannahJWernet")</f>
        <v>HannahJWernet</v>
      </c>
      <c r="B18096" s="65"/>
    </row>
    <row r="18097" spans="1:2" x14ac:dyDescent="0.25">
      <c r="A18097" s="64" t="str">
        <f>HYPERLINK("http://www.twitter.com/ZhangZimeng", "ZhangZimeng")</f>
        <v>ZhangZimeng</v>
      </c>
      <c r="B18097" s="65"/>
    </row>
    <row r="18098" spans="1:2" x14ac:dyDescent="0.25">
      <c r="A18098" s="64" t="str">
        <f>HYPERLINK("http://www.twitter.com/AnneHole", "AnneHole")</f>
        <v>AnneHole</v>
      </c>
      <c r="B18098" s="65" t="s">
        <v>5522</v>
      </c>
    </row>
    <row r="18099" spans="1:2" x14ac:dyDescent="0.25">
      <c r="A18099" s="64" t="str">
        <f>HYPERLINK("http://www.twitter.com/curiousc", "curiousc")</f>
        <v>curiousc</v>
      </c>
      <c r="B18099" s="65" t="s">
        <v>9166</v>
      </c>
    </row>
    <row r="18100" spans="1:2" x14ac:dyDescent="0.25">
      <c r="A18100" s="64" t="str">
        <f>HYPERLINK("http://www.twitter.com/BuryLibSuffolk", "BuryLibSuffolk")</f>
        <v>BuryLibSuffolk</v>
      </c>
      <c r="B18100" s="65" t="s">
        <v>1532</v>
      </c>
    </row>
    <row r="18101" spans="1:2" x14ac:dyDescent="0.25">
      <c r="A18101" s="64" t="str">
        <f>HYPERLINK("http://www.twitter.com/KayMcGarry", "KayMcGarry")</f>
        <v>KayMcGarry</v>
      </c>
      <c r="B18101" s="65" t="s">
        <v>487</v>
      </c>
    </row>
    <row r="18102" spans="1:2" x14ac:dyDescent="0.25">
      <c r="A18102" s="64" t="str">
        <f>HYPERLINK("http://www.twitter.com/LibraryBloke80", "LibraryBloke80")</f>
        <v>LibraryBloke80</v>
      </c>
      <c r="B18102" s="65"/>
    </row>
    <row r="18103" spans="1:2" x14ac:dyDescent="0.25">
      <c r="A18103" s="64" t="str">
        <f>HYPERLINK("http://www.twitter.com/OrkneyYarnBomb", "OrkneyYarnBomb")</f>
        <v>OrkneyYarnBomb</v>
      </c>
      <c r="B18103" s="65" t="s">
        <v>4519</v>
      </c>
    </row>
    <row r="18104" spans="1:2" x14ac:dyDescent="0.25">
      <c r="A18104" s="64" t="str">
        <f>HYPERLINK("http://www.twitter.com/HansMay01321754", "HansMay01321754")</f>
        <v>HansMay01321754</v>
      </c>
      <c r="B18104" s="65"/>
    </row>
    <row r="18105" spans="1:2" x14ac:dyDescent="0.25">
      <c r="A18105" s="64" t="str">
        <f>HYPERLINK("http://www.twitter.com/jen_library", "jen_library")</f>
        <v>jen_library</v>
      </c>
      <c r="B18105" s="65" t="s">
        <v>4157</v>
      </c>
    </row>
    <row r="18106" spans="1:2" x14ac:dyDescent="0.25">
      <c r="A18106" s="64" t="str">
        <f>HYPERLINK("http://www.twitter.com/MarkLeeAshmore", "MarkLeeAshmore")</f>
        <v>MarkLeeAshmore</v>
      </c>
      <c r="B18106" s="65"/>
    </row>
    <row r="18107" spans="1:2" x14ac:dyDescent="0.25">
      <c r="A18107" s="64" t="str">
        <f>HYPERLINK("http://www.twitter.com/ZX159", "ZX159")</f>
        <v>ZX159</v>
      </c>
      <c r="B18107" s="65"/>
    </row>
    <row r="18108" spans="1:2" x14ac:dyDescent="0.25">
      <c r="A18108" s="64" t="str">
        <f>HYPERLINK("http://www.twitter.com/warwicklibrary", "warwicklibrary")</f>
        <v>warwicklibrary</v>
      </c>
      <c r="B18108" s="65" t="s">
        <v>214</v>
      </c>
    </row>
    <row r="18109" spans="1:2" x14ac:dyDescent="0.25">
      <c r="A18109" s="64" t="str">
        <f>HYPERLINK("http://www.twitter.com/eleonoorakirk", "eleonoorakirk")</f>
        <v>eleonoorakirk</v>
      </c>
      <c r="B18109" s="65" t="s">
        <v>9167</v>
      </c>
    </row>
    <row r="18110" spans="1:2" x14ac:dyDescent="0.25">
      <c r="A18110" s="64" t="str">
        <f>HYPERLINK("http://www.twitter.com/mralexbartram", "mralexbartram")</f>
        <v>mralexbartram</v>
      </c>
      <c r="B18110" s="65" t="s">
        <v>36</v>
      </c>
    </row>
    <row r="18111" spans="1:2" x14ac:dyDescent="0.25">
      <c r="A18111" s="64" t="str">
        <f>HYPERLINK("http://www.twitter.com/jonny_why", "jonny_why")</f>
        <v>jonny_why</v>
      </c>
      <c r="B18111" s="65" t="s">
        <v>102</v>
      </c>
    </row>
    <row r="18112" spans="1:2" x14ac:dyDescent="0.25">
      <c r="A18112" s="64" t="str">
        <f>HYPERLINK("http://www.twitter.com/CABdevJulie", "CABdevJulie")</f>
        <v>CABdevJulie</v>
      </c>
      <c r="B18112" s="65" t="s">
        <v>9168</v>
      </c>
    </row>
    <row r="18113" spans="1:2" x14ac:dyDescent="0.25">
      <c r="A18113" s="64" t="str">
        <f>HYPERLINK("http://www.twitter.com/rumpole3", "rumpole3")</f>
        <v>rumpole3</v>
      </c>
      <c r="B18113" s="65" t="s">
        <v>9169</v>
      </c>
    </row>
    <row r="18114" spans="1:2" x14ac:dyDescent="0.25">
      <c r="A18114" s="64" t="str">
        <f>HYPERLINK("http://www.twitter.com/AlexPMacLaren", "AlexPMacLaren")</f>
        <v>AlexPMacLaren</v>
      </c>
      <c r="B18114" s="65" t="s">
        <v>9170</v>
      </c>
    </row>
    <row r="18115" spans="1:2" x14ac:dyDescent="0.25">
      <c r="A18115" s="64" t="str">
        <f>HYPERLINK("http://www.twitter.com/michaelduckett4", "michaelduckett4")</f>
        <v>michaelduckett4</v>
      </c>
      <c r="B18115" s="65"/>
    </row>
    <row r="18116" spans="1:2" x14ac:dyDescent="0.25">
      <c r="A18116" s="64" t="str">
        <f>HYPERLINK("http://www.twitter.com/QueenofMidsomer", "QueenofMidsomer")</f>
        <v>QueenofMidsomer</v>
      </c>
      <c r="B18116" s="65" t="s">
        <v>4436</v>
      </c>
    </row>
    <row r="18117" spans="1:2" x14ac:dyDescent="0.25">
      <c r="A18117" s="64" t="str">
        <f>HYPERLINK("http://www.twitter.com/scotsusa", "scotsusa")</f>
        <v>scotsusa</v>
      </c>
      <c r="B18117" s="65"/>
    </row>
    <row r="18118" spans="1:2" x14ac:dyDescent="0.25">
      <c r="A18118" s="64" t="str">
        <f>HYPERLINK("http://www.twitter.com/MakerSpacesMack", "MakerSpacesMack")</f>
        <v>MakerSpacesMack</v>
      </c>
      <c r="B18118" s="65"/>
    </row>
    <row r="18119" spans="1:2" x14ac:dyDescent="0.25">
      <c r="A18119" s="64" t="str">
        <f>HYPERLINK("http://www.twitter.com/Maccajosie", "Maccajosie")</f>
        <v>Maccajosie</v>
      </c>
      <c r="B18119" s="65" t="s">
        <v>9171</v>
      </c>
    </row>
    <row r="18120" spans="1:2" x14ac:dyDescent="0.25">
      <c r="A18120" s="64" t="str">
        <f>HYPERLINK("http://www.twitter.com/IAmACr0w", "IAmACr0w")</f>
        <v>IAmACr0w</v>
      </c>
      <c r="B18120" s="65" t="s">
        <v>138</v>
      </c>
    </row>
    <row r="18121" spans="1:2" x14ac:dyDescent="0.25">
      <c r="A18121" s="64" t="str">
        <f>HYPERLINK("http://www.twitter.com/JodieCrox", "JodieCrox")</f>
        <v>JodieCrox</v>
      </c>
      <c r="B18121" s="65"/>
    </row>
    <row r="18122" spans="1:2" x14ac:dyDescent="0.25">
      <c r="A18122" s="64" t="str">
        <f>HYPERLINK("http://www.twitter.com/952437bfa8b94f7", "952437bfa8b94f7")</f>
        <v>952437bfa8b94f7</v>
      </c>
      <c r="B18122" s="65" t="s">
        <v>9172</v>
      </c>
    </row>
    <row r="18123" spans="1:2" x14ac:dyDescent="0.25">
      <c r="A18123" s="64" t="str">
        <f>HYPERLINK("http://www.twitter.com/ScotGovGaidhlig", "ScotGovGaidhlig")</f>
        <v>ScotGovGaidhlig</v>
      </c>
      <c r="B18123" s="65" t="s">
        <v>7344</v>
      </c>
    </row>
    <row r="18124" spans="1:2" x14ac:dyDescent="0.25">
      <c r="A18124" s="64" t="str">
        <f>HYPERLINK("http://www.twitter.com/GlasgowTSForum", "GlasgowTSForum")</f>
        <v>GlasgowTSForum</v>
      </c>
      <c r="B18124" s="65" t="s">
        <v>138</v>
      </c>
    </row>
    <row r="18125" spans="1:2" x14ac:dyDescent="0.25">
      <c r="A18125" s="64" t="str">
        <f>HYPERLINK("http://www.twitter.com/samjthomason", "samjthomason")</f>
        <v>samjthomason</v>
      </c>
      <c r="B18125" s="65" t="s">
        <v>9173</v>
      </c>
    </row>
    <row r="18126" spans="1:2" x14ac:dyDescent="0.25">
      <c r="A18126" s="64" t="str">
        <f>HYPERLINK("http://www.twitter.com/MoiraFin", "MoiraFin")</f>
        <v>MoiraFin</v>
      </c>
      <c r="B18126" s="65" t="s">
        <v>487</v>
      </c>
    </row>
    <row r="18127" spans="1:2" x14ac:dyDescent="0.25">
      <c r="A18127" s="64" t="str">
        <f>HYPERLINK("http://www.twitter.com/quietlibrarian5", "quietlibrarian5")</f>
        <v>quietlibrarian5</v>
      </c>
      <c r="B18127" s="65" t="s">
        <v>3817</v>
      </c>
    </row>
    <row r="18128" spans="1:2" x14ac:dyDescent="0.25">
      <c r="A18128" s="64" t="str">
        <f>HYPERLINK("http://www.twitter.com/deirdreclaire", "deirdreclaire")</f>
        <v>deirdreclaire</v>
      </c>
      <c r="B18128" s="65" t="s">
        <v>4147</v>
      </c>
    </row>
    <row r="18129" spans="1:2" x14ac:dyDescent="0.25">
      <c r="A18129" s="64" t="str">
        <f>HYPERLINK("http://www.twitter.com/SyossetRandR", "SyossetRandR")</f>
        <v>SyossetRandR</v>
      </c>
      <c r="B18129" s="65" t="s">
        <v>9174</v>
      </c>
    </row>
    <row r="18130" spans="1:2" x14ac:dyDescent="0.25">
      <c r="A18130" s="64" t="str">
        <f>HYPERLINK("http://www.twitter.com/rachaelmccrea", "rachaelmccrea")</f>
        <v>rachaelmccrea</v>
      </c>
      <c r="B18130" s="65" t="s">
        <v>24</v>
      </c>
    </row>
    <row r="18131" spans="1:2" x14ac:dyDescent="0.25">
      <c r="A18131" s="64" t="str">
        <f>HYPERLINK("http://www.twitter.com/ninbats", "ninbats")</f>
        <v>ninbats</v>
      </c>
      <c r="B18131" s="65"/>
    </row>
    <row r="18132" spans="1:2" x14ac:dyDescent="0.25">
      <c r="A18132" s="64" t="str">
        <f>HYPERLINK("http://www.twitter.com/Bookspeed", "Bookspeed")</f>
        <v>Bookspeed</v>
      </c>
      <c r="B18132" s="65" t="s">
        <v>67</v>
      </c>
    </row>
    <row r="18133" spans="1:2" x14ac:dyDescent="0.25">
      <c r="A18133" s="64" t="str">
        <f>HYPERLINK("http://www.twitter.com/iamtonylyon", "iamtonylyon")</f>
        <v>iamtonylyon</v>
      </c>
      <c r="B18133" s="65"/>
    </row>
    <row r="18134" spans="1:2" x14ac:dyDescent="0.25">
      <c r="A18134" s="64" t="str">
        <f>HYPERLINK("http://www.twitter.com/GreenwichHC", "GreenwichHC")</f>
        <v>GreenwichHC</v>
      </c>
      <c r="B18134" s="65" t="s">
        <v>9175</v>
      </c>
    </row>
    <row r="18135" spans="1:2" x14ac:dyDescent="0.25">
      <c r="A18135" s="64" t="str">
        <f>HYPERLINK("http://www.twitter.com/r_hornshaw", "r_hornshaw")</f>
        <v>r_hornshaw</v>
      </c>
      <c r="B18135" s="65" t="s">
        <v>9176</v>
      </c>
    </row>
    <row r="18136" spans="1:2" x14ac:dyDescent="0.25">
      <c r="A18136" s="64" t="str">
        <f>HYPERLINK("http://www.twitter.com/ReasonsMourner", "ReasonsMourner")</f>
        <v>ReasonsMourner</v>
      </c>
      <c r="B18136" s="65"/>
    </row>
    <row r="18137" spans="1:2" x14ac:dyDescent="0.25">
      <c r="A18137" s="64" t="str">
        <f>HYPERLINK("http://www.twitter.com/Bhulmecross", "Bhulmecross")</f>
        <v>Bhulmecross</v>
      </c>
      <c r="B18137" s="65"/>
    </row>
    <row r="18138" spans="1:2" x14ac:dyDescent="0.25">
      <c r="A18138" s="64" t="str">
        <f>HYPERLINK("http://www.twitter.com/Richard_1B", "Richard_1B")</f>
        <v>Richard_1B</v>
      </c>
      <c r="B18138" s="65" t="s">
        <v>296</v>
      </c>
    </row>
    <row r="18139" spans="1:2" x14ac:dyDescent="0.25">
      <c r="A18139" s="64" t="str">
        <f>HYPERLINK("http://www.twitter.com/Catjoy222", "Catjoy222")</f>
        <v>Catjoy222</v>
      </c>
      <c r="B18139" s="65"/>
    </row>
    <row r="18140" spans="1:2" x14ac:dyDescent="0.25">
      <c r="A18140" s="64" t="str">
        <f>HYPERLINK("http://www.twitter.com/AlmaPalacios2M", "AlmaPalacios2M")</f>
        <v>AlmaPalacios2M</v>
      </c>
      <c r="B18140" s="65" t="s">
        <v>9177</v>
      </c>
    </row>
    <row r="18141" spans="1:2" x14ac:dyDescent="0.25">
      <c r="A18141" s="64" t="str">
        <f>HYPERLINK("http://www.twitter.com/SJ_Watson", "SJ_Watson")</f>
        <v>SJ_Watson</v>
      </c>
      <c r="B18141" s="65" t="s">
        <v>36</v>
      </c>
    </row>
    <row r="18142" spans="1:2" x14ac:dyDescent="0.25">
      <c r="A18142" s="64" t="str">
        <f>HYPERLINK("http://www.twitter.com/Tom_Ovens", "Tom_Ovens")</f>
        <v>Tom_Ovens</v>
      </c>
      <c r="B18142" s="65" t="s">
        <v>138</v>
      </c>
    </row>
    <row r="18143" spans="1:2" x14ac:dyDescent="0.25">
      <c r="A18143" s="64" t="str">
        <f>HYPERLINK("http://www.twitter.com/hodderscape", "hodderscape")</f>
        <v>hodderscape</v>
      </c>
      <c r="B18143" s="65" t="s">
        <v>70</v>
      </c>
    </row>
    <row r="18144" spans="1:2" x14ac:dyDescent="0.25">
      <c r="A18144" s="64" t="str">
        <f>HYPERLINK("http://www.twitter.com/worldlibraries", "worldlibraries")</f>
        <v>worldlibraries</v>
      </c>
      <c r="B18144" s="65" t="s">
        <v>9178</v>
      </c>
    </row>
    <row r="18145" spans="1:2" x14ac:dyDescent="0.25">
      <c r="A18145" s="64" t="str">
        <f>HYPERLINK("http://www.twitter.com/paulasaeg", "paulasaeg")</f>
        <v>paulasaeg</v>
      </c>
      <c r="B18145" s="65" t="s">
        <v>9179</v>
      </c>
    </row>
    <row r="18146" spans="1:2" x14ac:dyDescent="0.25">
      <c r="A18146" s="64" t="str">
        <f>HYPERLINK("http://www.twitter.com/esmewatson", "esmewatson")</f>
        <v>esmewatson</v>
      </c>
      <c r="B18146" s="65" t="s">
        <v>4237</v>
      </c>
    </row>
    <row r="18147" spans="1:2" x14ac:dyDescent="0.25">
      <c r="A18147" s="64" t="str">
        <f>HYPERLINK("http://www.twitter.com/JesselizH", "JesselizH")</f>
        <v>JesselizH</v>
      </c>
      <c r="B18147" s="65" t="s">
        <v>9180</v>
      </c>
    </row>
    <row r="18148" spans="1:2" x14ac:dyDescent="0.25">
      <c r="A18148" s="64" t="str">
        <f>HYPERLINK("http://www.twitter.com/margaretOT360", "margaretOT360")</f>
        <v>margaretOT360</v>
      </c>
      <c r="B18148" s="65" t="s">
        <v>459</v>
      </c>
    </row>
    <row r="18149" spans="1:2" x14ac:dyDescent="0.25">
      <c r="A18149" s="64" t="str">
        <f>HYPERLINK("http://www.twitter.com/EnglishGarner", "EnglishGarner")</f>
        <v>EnglishGarner</v>
      </c>
      <c r="B18149" s="65" t="s">
        <v>9181</v>
      </c>
    </row>
    <row r="18150" spans="1:2" x14ac:dyDescent="0.25">
      <c r="A18150" s="64" t="str">
        <f>HYPERLINK("http://www.twitter.com/Premierhydro", "Premierhydro")</f>
        <v>Premierhydro</v>
      </c>
      <c r="B18150" s="65" t="s">
        <v>9182</v>
      </c>
    </row>
    <row r="18151" spans="1:2" x14ac:dyDescent="0.25">
      <c r="A18151" s="64" t="str">
        <f>HYPERLINK("http://www.twitter.com/heidikraut", "heidikraut")</f>
        <v>heidikraut</v>
      </c>
      <c r="B18151" s="65" t="s">
        <v>9183</v>
      </c>
    </row>
    <row r="18152" spans="1:2" x14ac:dyDescent="0.25">
      <c r="A18152" s="64" t="str">
        <f>HYPERLINK("http://www.twitter.com/vicsjones123", "vicsjones123")</f>
        <v>vicsjones123</v>
      </c>
      <c r="B18152" s="65"/>
    </row>
    <row r="18153" spans="1:2" x14ac:dyDescent="0.25">
      <c r="A18153" s="64" t="str">
        <f>HYPERLINK("http://www.twitter.com/HollandDawn1", "HollandDawn1")</f>
        <v>HollandDawn1</v>
      </c>
      <c r="B18153" s="65"/>
    </row>
    <row r="18154" spans="1:2" x14ac:dyDescent="0.25">
      <c r="A18154" s="64" t="str">
        <f>HYPERLINK("http://www.twitter.com/chrissinden", "chrissinden")</f>
        <v>chrissinden</v>
      </c>
      <c r="B18154" s="65" t="s">
        <v>3817</v>
      </c>
    </row>
    <row r="18155" spans="1:2" x14ac:dyDescent="0.25">
      <c r="A18155" s="64" t="str">
        <f>HYPERLINK("http://www.twitter.com/AMPipesandDrums", "AMPipesandDrums")</f>
        <v>AMPipesandDrums</v>
      </c>
      <c r="B18155" s="65" t="s">
        <v>9184</v>
      </c>
    </row>
    <row r="18156" spans="1:2" x14ac:dyDescent="0.25">
      <c r="A18156" s="64" t="str">
        <f>HYPERLINK("http://www.twitter.com/inspeditionapp", "inspeditionapp")</f>
        <v>inspeditionapp</v>
      </c>
      <c r="B18156" s="65" t="s">
        <v>4820</v>
      </c>
    </row>
    <row r="18157" spans="1:2" x14ac:dyDescent="0.25">
      <c r="A18157" s="64" t="str">
        <f>HYPERLINK("http://www.twitter.com/UMirza1", "UMirza1")</f>
        <v>UMirza1</v>
      </c>
      <c r="B18157" s="65" t="s">
        <v>9185</v>
      </c>
    </row>
    <row r="18158" spans="1:2" x14ac:dyDescent="0.25">
      <c r="A18158" s="64" t="str">
        <f>HYPERLINK("http://www.twitter.com/woothenoo", "woothenoo")</f>
        <v>woothenoo</v>
      </c>
      <c r="B18158" s="65"/>
    </row>
    <row r="18159" spans="1:2" x14ac:dyDescent="0.25">
      <c r="A18159" s="64" t="str">
        <f>HYPERLINK("http://www.twitter.com/tanglekey", "tanglekey")</f>
        <v>tanglekey</v>
      </c>
      <c r="B18159" s="65" t="s">
        <v>9186</v>
      </c>
    </row>
    <row r="18160" spans="1:2" x14ac:dyDescent="0.25">
      <c r="A18160" s="64" t="str">
        <f>HYPERLINK("http://www.twitter.com/beckyrbnsn", "beckyrbnsn")</f>
        <v>beckyrbnsn</v>
      </c>
      <c r="B18160" s="65" t="s">
        <v>9187</v>
      </c>
    </row>
    <row r="18161" spans="1:2" x14ac:dyDescent="0.25">
      <c r="A18161" s="64" t="str">
        <f>HYPERLINK("http://www.twitter.com/Jarg", "Jarg")</f>
        <v>Jarg</v>
      </c>
      <c r="B18161" s="65" t="s">
        <v>3650</v>
      </c>
    </row>
    <row r="18162" spans="1:2" x14ac:dyDescent="0.25">
      <c r="A18162" s="64" t="str">
        <f>HYPERLINK("http://www.twitter.com/JohnMacLeod22", "JohnMacLeod22")</f>
        <v>JohnMacLeod22</v>
      </c>
      <c r="B18162" s="65" t="s">
        <v>9188</v>
      </c>
    </row>
    <row r="18163" spans="1:2" x14ac:dyDescent="0.25">
      <c r="A18163" s="64" t="str">
        <f>HYPERLINK("http://www.twitter.com/JonnyJobson", "JonnyJobson")</f>
        <v>JonnyJobson</v>
      </c>
      <c r="B18163" s="65" t="s">
        <v>9189</v>
      </c>
    </row>
    <row r="18164" spans="1:2" x14ac:dyDescent="0.25">
      <c r="A18164" s="64" t="str">
        <f>HYPERLINK("http://www.twitter.com/richopenshaw", "richopenshaw")</f>
        <v>richopenshaw</v>
      </c>
      <c r="B18164" s="65" t="s">
        <v>9190</v>
      </c>
    </row>
    <row r="18165" spans="1:2" x14ac:dyDescent="0.25">
      <c r="A18165" s="64" t="str">
        <f>HYPERLINK("http://www.twitter.com/NMSULibrary", "NMSULibrary")</f>
        <v>NMSULibrary</v>
      </c>
      <c r="B18165" s="65" t="s">
        <v>5476</v>
      </c>
    </row>
    <row r="18166" spans="1:2" x14ac:dyDescent="0.25">
      <c r="A18166" s="64" t="str">
        <f>HYPERLINK("http://www.twitter.com/Dreadful_Penny", "Dreadful_Penny")</f>
        <v>Dreadful_Penny</v>
      </c>
      <c r="B18166" s="65" t="s">
        <v>5428</v>
      </c>
    </row>
    <row r="18167" spans="1:2" x14ac:dyDescent="0.25">
      <c r="A18167" s="64" t="str">
        <f>HYPERLINK("http://www.twitter.com/petegasc", "petegasc")</f>
        <v>petegasc</v>
      </c>
      <c r="B18167" s="65"/>
    </row>
    <row r="18168" spans="1:2" x14ac:dyDescent="0.25">
      <c r="A18168" s="64" t="str">
        <f>HYPERLINK("http://www.twitter.com/jpawinter", "jpawinter")</f>
        <v>jpawinter</v>
      </c>
      <c r="B18168" s="65"/>
    </row>
    <row r="18169" spans="1:2" x14ac:dyDescent="0.25">
      <c r="A18169" s="64" t="str">
        <f>HYPERLINK("http://www.twitter.com/prncss_paranoia", "prncss_paranoia")</f>
        <v>prncss_paranoia</v>
      </c>
      <c r="B18169" s="65"/>
    </row>
    <row r="18170" spans="1:2" x14ac:dyDescent="0.25">
      <c r="A18170" s="64" t="str">
        <f>HYPERLINK("http://www.twitter.com/CatieTootles", "CatieTootles")</f>
        <v>CatieTootles</v>
      </c>
      <c r="B18170" s="65" t="s">
        <v>36</v>
      </c>
    </row>
    <row r="18171" spans="1:2" x14ac:dyDescent="0.25">
      <c r="A18171" s="64" t="str">
        <f>HYPERLINK("http://www.twitter.com/minifrances", "minifrances")</f>
        <v>minifrances</v>
      </c>
      <c r="B18171" s="65"/>
    </row>
    <row r="18172" spans="1:2" x14ac:dyDescent="0.25">
      <c r="A18172" s="64" t="str">
        <f>HYPERLINK("http://www.twitter.com/polly_copy", "polly_copy")</f>
        <v>polly_copy</v>
      </c>
      <c r="B18172" s="65" t="s">
        <v>36</v>
      </c>
    </row>
    <row r="18173" spans="1:2" x14ac:dyDescent="0.25">
      <c r="A18173" s="64" t="str">
        <f>HYPERLINK("http://www.twitter.com/HannahGwyrdd", "HannahGwyrdd")</f>
        <v>HannahGwyrdd</v>
      </c>
      <c r="B18173" s="65" t="s">
        <v>5970</v>
      </c>
    </row>
    <row r="18174" spans="1:2" x14ac:dyDescent="0.25">
      <c r="A18174" s="64" t="str">
        <f>HYPERLINK("http://www.twitter.com/sparky196744", "sparky196744")</f>
        <v>sparky196744</v>
      </c>
      <c r="B18174" s="65"/>
    </row>
    <row r="18175" spans="1:2" x14ac:dyDescent="0.25">
      <c r="A18175" s="64" t="str">
        <f>HYPERLINK("http://www.twitter.com/Dempster2000", "Dempster2000")</f>
        <v>Dempster2000</v>
      </c>
      <c r="B18175" s="65" t="s">
        <v>2213</v>
      </c>
    </row>
    <row r="18176" spans="1:2" x14ac:dyDescent="0.25">
      <c r="A18176" s="64" t="str">
        <f>HYPERLINK("http://www.twitter.com/claremcdean", "claremcdean")</f>
        <v>claremcdean</v>
      </c>
      <c r="B18176" s="65" t="s">
        <v>1537</v>
      </c>
    </row>
    <row r="18177" spans="1:2" x14ac:dyDescent="0.25">
      <c r="A18177" s="64" t="str">
        <f>HYPERLINK("http://www.twitter.com/KerryDrewery", "KerryDrewery")</f>
        <v>KerryDrewery</v>
      </c>
      <c r="B18177" s="65" t="s">
        <v>4122</v>
      </c>
    </row>
    <row r="18178" spans="1:2" x14ac:dyDescent="0.25">
      <c r="A18178" s="64" t="str">
        <f>HYPERLINK("http://www.twitter.com/craigliterary", "craigliterary")</f>
        <v>craigliterary</v>
      </c>
      <c r="B18178" s="65" t="s">
        <v>6464</v>
      </c>
    </row>
    <row r="18179" spans="1:2" x14ac:dyDescent="0.25">
      <c r="A18179" s="64" t="str">
        <f>HYPERLINK("http://www.twitter.com/bookboyben", "bookboyben")</f>
        <v>bookboyben</v>
      </c>
      <c r="B18179" s="65" t="s">
        <v>5522</v>
      </c>
    </row>
    <row r="18180" spans="1:2" x14ac:dyDescent="0.25">
      <c r="A18180" s="64" t="str">
        <f>HYPERLINK("http://www.twitter.com/orphirtop", "orphirtop")</f>
        <v>orphirtop</v>
      </c>
      <c r="B18180" s="65" t="s">
        <v>4760</v>
      </c>
    </row>
    <row r="18181" spans="1:2" x14ac:dyDescent="0.25">
      <c r="A18181" s="64" t="str">
        <f>HYPERLINK("http://www.twitter.com/wolsachick", "wolsachick")</f>
        <v>wolsachick</v>
      </c>
      <c r="B18181" s="65"/>
    </row>
    <row r="18182" spans="1:2" x14ac:dyDescent="0.25">
      <c r="A18182" s="64" t="str">
        <f>HYPERLINK("http://www.twitter.com/bluemeanna", "bluemeanna")</f>
        <v>bluemeanna</v>
      </c>
      <c r="B18182" s="65" t="s">
        <v>505</v>
      </c>
    </row>
    <row r="18183" spans="1:2" x14ac:dyDescent="0.25">
      <c r="A18183" s="64" t="str">
        <f>HYPERLINK("http://www.twitter.com/helga_moss", "helga_moss")</f>
        <v>helga_moss</v>
      </c>
      <c r="B18183" s="65"/>
    </row>
    <row r="18184" spans="1:2" x14ac:dyDescent="0.25">
      <c r="A18184" s="64" t="str">
        <f>HYPERLINK("http://www.twitter.com/jjmoorhead", "jjmoorhead")</f>
        <v>jjmoorhead</v>
      </c>
      <c r="B18184" s="65"/>
    </row>
    <row r="18185" spans="1:2" x14ac:dyDescent="0.25">
      <c r="A18185" s="64" t="str">
        <f>HYPERLINK("http://www.twitter.com/noworneverbooks", "noworneverbooks")</f>
        <v>noworneverbooks</v>
      </c>
      <c r="B18185" s="65" t="s">
        <v>9191</v>
      </c>
    </row>
    <row r="18186" spans="1:2" x14ac:dyDescent="0.25">
      <c r="A18186" s="64" t="str">
        <f>HYPERLINK("http://www.twitter.com/susanmcchlery", "susanmcchlery")</f>
        <v>susanmcchlery</v>
      </c>
      <c r="B18186" s="65" t="s">
        <v>9192</v>
      </c>
    </row>
    <row r="18187" spans="1:2" x14ac:dyDescent="0.25">
      <c r="A18187" s="64" t="str">
        <f>HYPERLINK("http://www.twitter.com/mcfall_claire", "mcfall_claire")</f>
        <v>mcfall_claire</v>
      </c>
      <c r="B18187" s="65" t="s">
        <v>2007</v>
      </c>
    </row>
    <row r="18188" spans="1:2" x14ac:dyDescent="0.25">
      <c r="A18188" s="64" t="str">
        <f>HYPERLINK("http://www.twitter.com/TazewellLibrary", "TazewellLibrary")</f>
        <v>TazewellLibrary</v>
      </c>
      <c r="B18188" s="65" t="s">
        <v>9193</v>
      </c>
    </row>
    <row r="18189" spans="1:2" x14ac:dyDescent="0.25">
      <c r="A18189" s="64" t="str">
        <f>HYPERLINK("http://www.twitter.com/valmote", "valmote")</f>
        <v>valmote</v>
      </c>
      <c r="B18189" s="65" t="s">
        <v>9194</v>
      </c>
    </row>
    <row r="18190" spans="1:2" x14ac:dyDescent="0.25">
      <c r="A18190" s="64" t="str">
        <f>HYPERLINK("http://www.twitter.com/iamurtagh", "iamurtagh")</f>
        <v>iamurtagh</v>
      </c>
      <c r="B18190" s="65" t="s">
        <v>9195</v>
      </c>
    </row>
    <row r="18191" spans="1:2" x14ac:dyDescent="0.25">
      <c r="A18191" s="64" t="str">
        <f>HYPERLINK("http://www.twitter.com/AFlissStory", "AFlissStory")</f>
        <v>AFlissStory</v>
      </c>
      <c r="B18191" s="65"/>
    </row>
    <row r="18192" spans="1:2" x14ac:dyDescent="0.25">
      <c r="A18192" s="64" t="str">
        <f>HYPERLINK("http://www.twitter.com/whatSFSaid", "whatSFSaid")</f>
        <v>whatSFSaid</v>
      </c>
      <c r="B18192" s="65" t="s">
        <v>36</v>
      </c>
    </row>
    <row r="18193" spans="1:2" x14ac:dyDescent="0.25">
      <c r="A18193" s="64" t="str">
        <f>HYPERLINK("http://www.twitter.com/amystraker", "amystraker")</f>
        <v>amystraker</v>
      </c>
      <c r="B18193" s="65" t="s">
        <v>2213</v>
      </c>
    </row>
    <row r="18194" spans="1:2" x14ac:dyDescent="0.25">
      <c r="A18194" s="64" t="str">
        <f>HYPERLINK("http://www.twitter.com/Rombren", "Rombren")</f>
        <v>Rombren</v>
      </c>
      <c r="B18194" s="65"/>
    </row>
    <row r="18195" spans="1:2" x14ac:dyDescent="0.25">
      <c r="A18195" s="64" t="str">
        <f>HYPERLINK("http://www.twitter.com/rebeccashill", "rebeccashill")</f>
        <v>rebeccashill</v>
      </c>
      <c r="B18195" s="65" t="s">
        <v>36</v>
      </c>
    </row>
    <row r="18196" spans="1:2" x14ac:dyDescent="0.25">
      <c r="A18196" s="64" t="str">
        <f>HYPERLINK("http://www.twitter.com/dp_gooding", "dp_gooding")</f>
        <v>dp_gooding</v>
      </c>
      <c r="B18196" s="65" t="s">
        <v>2270</v>
      </c>
    </row>
    <row r="18197" spans="1:2" x14ac:dyDescent="0.25">
      <c r="A18197" s="64" t="str">
        <f>HYPERLINK("http://www.twitter.com/LuWrites", "LuWrites")</f>
        <v>LuWrites</v>
      </c>
      <c r="B18197" s="65" t="s">
        <v>1295</v>
      </c>
    </row>
    <row r="18198" spans="1:2" x14ac:dyDescent="0.25">
      <c r="A18198" s="64" t="str">
        <f>HYPERLINK("http://www.twitter.com/basil1823", "basil1823")</f>
        <v>basil1823</v>
      </c>
      <c r="B18198" s="65"/>
    </row>
    <row r="18199" spans="1:2" x14ac:dyDescent="0.25">
      <c r="A18199" s="64" t="str">
        <f>HYPERLINK("http://www.twitter.com/JKBlackhurst", "JKBlackhurst")</f>
        <v>JKBlackhurst</v>
      </c>
      <c r="B18199" s="65" t="s">
        <v>508</v>
      </c>
    </row>
    <row r="18200" spans="1:2" x14ac:dyDescent="0.25">
      <c r="A18200" s="64" t="str">
        <f>HYPERLINK("http://www.twitter.com/siddarajuc6", "siddarajuc6")</f>
        <v>siddarajuc6</v>
      </c>
      <c r="B18200" s="65" t="s">
        <v>9196</v>
      </c>
    </row>
    <row r="18201" spans="1:2" x14ac:dyDescent="0.25">
      <c r="A18201" s="64" t="str">
        <f>HYPERLINK("http://www.twitter.com/sezbp", "sezbp")</f>
        <v>sezbp</v>
      </c>
      <c r="B18201" s="65"/>
    </row>
    <row r="18202" spans="1:2" x14ac:dyDescent="0.25">
      <c r="A18202" s="64" t="str">
        <f>HYPERLINK("http://www.twitter.com/nickyrobson", "nickyrobson")</f>
        <v>nickyrobson</v>
      </c>
      <c r="B18202" s="65"/>
    </row>
    <row r="18203" spans="1:2" x14ac:dyDescent="0.25">
      <c r="A18203" s="64" t="str">
        <f>HYPERLINK("http://www.twitter.com/PalosPrkLibrary", "PalosPrkLibrary")</f>
        <v>PalosPrkLibrary</v>
      </c>
      <c r="B18203" s="65" t="s">
        <v>9197</v>
      </c>
    </row>
    <row r="18204" spans="1:2" x14ac:dyDescent="0.25">
      <c r="A18204" s="64" t="str">
        <f>HYPERLINK("http://www.twitter.com/stephensaul", "stephensaul")</f>
        <v>stephensaul</v>
      </c>
      <c r="B18204" s="65" t="s">
        <v>1739</v>
      </c>
    </row>
    <row r="18205" spans="1:2" x14ac:dyDescent="0.25">
      <c r="A18205" s="64" t="str">
        <f>HYPERLINK("http://www.twitter.com/SKumarbarni9694", "SKumarbarni9694")</f>
        <v>SKumarbarni9694</v>
      </c>
      <c r="B18205" s="65"/>
    </row>
    <row r="18206" spans="1:2" x14ac:dyDescent="0.25">
      <c r="A18206" s="64" t="str">
        <f>HYPERLINK("http://www.twitter.com/Bookywookydooda", "Bookywookydooda")</f>
        <v>Bookywookydooda</v>
      </c>
      <c r="B18206" s="65" t="s">
        <v>9198</v>
      </c>
    </row>
    <row r="18207" spans="1:2" x14ac:dyDescent="0.25">
      <c r="A18207" s="64" t="str">
        <f>HYPERLINK("http://www.twitter.com/felixabramog", "felixabramog")</f>
        <v>felixabramog</v>
      </c>
      <c r="B18207" s="65"/>
    </row>
    <row r="18208" spans="1:2" x14ac:dyDescent="0.25">
      <c r="A18208" s="64" t="str">
        <f>HYPERLINK("http://www.twitter.com/tylochan", "tylochan")</f>
        <v>tylochan</v>
      </c>
      <c r="B18208" s="65" t="s">
        <v>138</v>
      </c>
    </row>
    <row r="18209" spans="1:2" x14ac:dyDescent="0.25">
      <c r="A18209" s="64" t="str">
        <f>HYPERLINK("http://www.twitter.com/no2tories", "no2tories")</f>
        <v>no2tories</v>
      </c>
      <c r="B18209" s="65" t="s">
        <v>9199</v>
      </c>
    </row>
    <row r="18210" spans="1:2" x14ac:dyDescent="0.25">
      <c r="A18210" s="64" t="str">
        <f>HYPERLINK("http://www.twitter.com/DerekMacAoidh", "DerekMacAoidh")</f>
        <v>DerekMacAoidh</v>
      </c>
      <c r="B18210" s="65"/>
    </row>
    <row r="18211" spans="1:2" x14ac:dyDescent="0.25">
      <c r="A18211" s="64" t="str">
        <f>HYPERLINK("http://www.twitter.com/askusnow", "askusnow")</f>
        <v>askusnow</v>
      </c>
      <c r="B18211" s="65" t="s">
        <v>4310</v>
      </c>
    </row>
    <row r="18212" spans="1:2" x14ac:dyDescent="0.25">
      <c r="A18212" s="64" t="str">
        <f>HYPERLINK("http://www.twitter.com/DCD_Publishing", "DCD_Publishing")</f>
        <v>DCD_Publishing</v>
      </c>
      <c r="B18212" s="65" t="s">
        <v>36</v>
      </c>
    </row>
    <row r="18213" spans="1:2" x14ac:dyDescent="0.25">
      <c r="A18213" s="64" t="str">
        <f>HYPERLINK("http://www.twitter.com/sarahserg", "sarahserg")</f>
        <v>sarahserg</v>
      </c>
      <c r="B18213" s="65" t="s">
        <v>180</v>
      </c>
    </row>
    <row r="18214" spans="1:2" x14ac:dyDescent="0.25">
      <c r="A18214" s="64" t="str">
        <f>HYPERLINK("http://www.twitter.com/blackwelloxford", "blackwelloxford")</f>
        <v>blackwelloxford</v>
      </c>
      <c r="B18214" s="65" t="s">
        <v>9200</v>
      </c>
    </row>
    <row r="18215" spans="1:2" x14ac:dyDescent="0.25">
      <c r="A18215" s="64" t="str">
        <f>HYPERLINK("http://www.twitter.com/rachelwelford", "rachelwelford")</f>
        <v>rachelwelford</v>
      </c>
      <c r="B18215" s="65" t="s">
        <v>4342</v>
      </c>
    </row>
    <row r="18216" spans="1:2" x14ac:dyDescent="0.25">
      <c r="A18216" s="64" t="str">
        <f>HYPERLINK("http://www.twitter.com/CWBookshop", "CWBookshop")</f>
        <v>CWBookshop</v>
      </c>
      <c r="B18216" s="65" t="s">
        <v>9201</v>
      </c>
    </row>
    <row r="18217" spans="1:2" x14ac:dyDescent="0.25">
      <c r="A18217" s="64" t="str">
        <f>HYPERLINK("http://www.twitter.com/LizKershawWrite", "LizKershawWrite")</f>
        <v>LizKershawWrite</v>
      </c>
      <c r="B18217" s="65" t="s">
        <v>3656</v>
      </c>
    </row>
    <row r="18218" spans="1:2" x14ac:dyDescent="0.25">
      <c r="A18218" s="64" t="str">
        <f>HYPERLINK("http://www.twitter.com/acraigmiles", "acraigmiles")</f>
        <v>acraigmiles</v>
      </c>
      <c r="B18218" s="65" t="s">
        <v>9202</v>
      </c>
    </row>
    <row r="18219" spans="1:2" x14ac:dyDescent="0.25">
      <c r="A18219" s="64" t="str">
        <f>HYPERLINK("http://www.twitter.com/McGhee1979", "McGhee1979")</f>
        <v>McGhee1979</v>
      </c>
      <c r="B18219" s="65" t="s">
        <v>318</v>
      </c>
    </row>
    <row r="18220" spans="1:2" x14ac:dyDescent="0.25">
      <c r="A18220" s="64" t="str">
        <f>HYPERLINK("http://www.twitter.com/helenflack", "helenflack")</f>
        <v>helenflack</v>
      </c>
      <c r="B18220" s="65" t="s">
        <v>4439</v>
      </c>
    </row>
    <row r="18221" spans="1:2" x14ac:dyDescent="0.25">
      <c r="A18221" s="64" t="str">
        <f>HYPERLINK("http://www.twitter.com/torkirra", "torkirra")</f>
        <v>torkirra</v>
      </c>
      <c r="B18221" s="65"/>
    </row>
    <row r="18222" spans="1:2" x14ac:dyDescent="0.25">
      <c r="A18222" s="64" t="str">
        <f>HYPERLINK("http://www.twitter.com/PN_Review", "PN_Review")</f>
        <v>PN_Review</v>
      </c>
      <c r="B18222" s="65" t="s">
        <v>2289</v>
      </c>
    </row>
    <row r="18223" spans="1:2" x14ac:dyDescent="0.25">
      <c r="A18223" s="64" t="str">
        <f>HYPERLINK("http://www.twitter.com/MRULibrary", "MRULibrary")</f>
        <v>MRULibrary</v>
      </c>
      <c r="B18223" s="65" t="s">
        <v>4776</v>
      </c>
    </row>
    <row r="18224" spans="1:2" x14ac:dyDescent="0.25">
      <c r="A18224" s="64" t="str">
        <f>HYPERLINK("http://www.twitter.com/wandchecker1", "wandchecker1")</f>
        <v>wandchecker1</v>
      </c>
      <c r="B18224" s="65"/>
    </row>
    <row r="18225" spans="1:2" x14ac:dyDescent="0.25">
      <c r="A18225" s="64" t="str">
        <f>HYPERLINK("http://www.twitter.com/DaveSivers", "DaveSivers")</f>
        <v>DaveSivers</v>
      </c>
      <c r="B18225" s="65" t="s">
        <v>9203</v>
      </c>
    </row>
    <row r="18226" spans="1:2" x14ac:dyDescent="0.25">
      <c r="A18226" s="64" t="str">
        <f>HYPERLINK("http://www.twitter.com/WaterlArchief", "WaterlArchief")</f>
        <v>WaterlArchief</v>
      </c>
      <c r="B18226" s="65" t="s">
        <v>9204</v>
      </c>
    </row>
    <row r="18227" spans="1:2" x14ac:dyDescent="0.25">
      <c r="A18227" s="64" t="str">
        <f>HYPERLINK("http://www.twitter.com/mvandasselaarNL", "mvandasselaarNL")</f>
        <v>mvandasselaarNL</v>
      </c>
      <c r="B18227" s="65"/>
    </row>
    <row r="18228" spans="1:2" x14ac:dyDescent="0.25">
      <c r="A18228" s="64" t="str">
        <f>HYPERLINK("http://www.twitter.com/RebyVall", "RebyVall")</f>
        <v>RebyVall</v>
      </c>
      <c r="B18228" s="65"/>
    </row>
    <row r="18229" spans="1:2" x14ac:dyDescent="0.25">
      <c r="A18229" s="64" t="str">
        <f>HYPERLINK("http://www.twitter.com/FionaAnnCummins", "FionaAnnCummins")</f>
        <v>FionaAnnCummins</v>
      </c>
      <c r="B18229" s="65" t="s">
        <v>9205</v>
      </c>
    </row>
    <row r="18230" spans="1:2" x14ac:dyDescent="0.25">
      <c r="A18230" s="64" t="str">
        <f>HYPERLINK("http://www.twitter.com/WilliamRyan_", "WilliamRyan_")</f>
        <v>WilliamRyan_</v>
      </c>
      <c r="B18230" s="65" t="s">
        <v>36</v>
      </c>
    </row>
    <row r="18231" spans="1:2" x14ac:dyDescent="0.25">
      <c r="A18231" s="64" t="str">
        <f>HYPERLINK("http://www.twitter.com/NJCooper_crime", "NJCooper_crime")</f>
        <v>NJCooper_crime</v>
      </c>
      <c r="B18231" s="65"/>
    </row>
    <row r="18232" spans="1:2" x14ac:dyDescent="0.25">
      <c r="A18232" s="64" t="str">
        <f>HYPERLINK("http://www.twitter.com/andreafidgett", "andreafidgett")</f>
        <v>andreafidgett</v>
      </c>
      <c r="B18232" s="65" t="s">
        <v>3797</v>
      </c>
    </row>
    <row r="18233" spans="1:2" x14ac:dyDescent="0.25">
      <c r="A18233" s="64" t="str">
        <f>HYPERLINK("http://www.twitter.com/emduddingstone", "emduddingstone")</f>
        <v>emduddingstone</v>
      </c>
      <c r="B18233" s="65" t="s">
        <v>4716</v>
      </c>
    </row>
    <row r="18234" spans="1:2" x14ac:dyDescent="0.25">
      <c r="A18234" s="64" t="str">
        <f>HYPERLINK("http://www.twitter.com/jojo221b", "jojo221b")</f>
        <v>jojo221b</v>
      </c>
      <c r="B18234" s="65" t="s">
        <v>4031</v>
      </c>
    </row>
    <row r="18235" spans="1:2" x14ac:dyDescent="0.25">
      <c r="A18235" s="64" t="str">
        <f>HYPERLINK("http://www.twitter.com/LLPhelps1", "LLPhelps1")</f>
        <v>LLPhelps1</v>
      </c>
      <c r="B18235" s="65" t="s">
        <v>9206</v>
      </c>
    </row>
    <row r="18236" spans="1:2" x14ac:dyDescent="0.25">
      <c r="A18236" s="64" t="str">
        <f>HYPERLINK("http://www.twitter.com/jenmarshall", "jenmarshall")</f>
        <v>jenmarshall</v>
      </c>
      <c r="B18236" s="65"/>
    </row>
    <row r="18237" spans="1:2" x14ac:dyDescent="0.25">
      <c r="A18237" s="64" t="str">
        <f>HYPERLINK("http://www.twitter.com/TartanAndTweed", "TartanAndTweed")</f>
        <v>TartanAndTweed</v>
      </c>
      <c r="B18237" s="65"/>
    </row>
    <row r="18238" spans="1:2" x14ac:dyDescent="0.25">
      <c r="A18238" s="64" t="str">
        <f>HYPERLINK("http://www.twitter.com/Sezsamuel712", "Sezsamuel712")</f>
        <v>Sezsamuel712</v>
      </c>
      <c r="B18238" s="65"/>
    </row>
    <row r="18239" spans="1:2" x14ac:dyDescent="0.25">
      <c r="A18239" s="64" t="str">
        <f>HYPERLINK("http://www.twitter.com/miss_appleberry", "miss_appleberry")</f>
        <v>miss_appleberry</v>
      </c>
      <c r="B18239" s="65" t="s">
        <v>9207</v>
      </c>
    </row>
    <row r="18240" spans="1:2" x14ac:dyDescent="0.25">
      <c r="A18240" s="64" t="str">
        <f>HYPERLINK("http://www.twitter.com/ella_gail", "ella_gail")</f>
        <v>ella_gail</v>
      </c>
      <c r="B18240" s="65"/>
    </row>
    <row r="18241" spans="1:2" x14ac:dyDescent="0.25">
      <c r="A18241" s="64" t="str">
        <f>HYPERLINK("http://www.twitter.com/LeodeKluijver", "LeodeKluijver")</f>
        <v>LeodeKluijver</v>
      </c>
      <c r="B18241" s="65"/>
    </row>
    <row r="18242" spans="1:2" x14ac:dyDescent="0.25">
      <c r="A18242" s="64" t="str">
        <f>HYPERLINK("http://www.twitter.com/sarahlloydm", "sarahlloydm")</f>
        <v>sarahlloydm</v>
      </c>
      <c r="B18242" s="65" t="s">
        <v>5270</v>
      </c>
    </row>
    <row r="18243" spans="1:2" x14ac:dyDescent="0.25">
      <c r="A18243" s="64" t="str">
        <f>HYPERLINK("http://www.twitter.com/CorettaBakker", "CorettaBakker")</f>
        <v>CorettaBakker</v>
      </c>
      <c r="B18243" s="65" t="s">
        <v>4636</v>
      </c>
    </row>
    <row r="18244" spans="1:2" x14ac:dyDescent="0.25">
      <c r="A18244" s="64" t="str">
        <f>HYPERLINK("http://www.twitter.com/OurWarwickshire", "OurWarwickshire")</f>
        <v>OurWarwickshire</v>
      </c>
      <c r="B18244" s="65" t="s">
        <v>3678</v>
      </c>
    </row>
    <row r="18245" spans="1:2" x14ac:dyDescent="0.25">
      <c r="A18245" s="64" t="str">
        <f>HYPERLINK("http://www.twitter.com/leepvogel", "leepvogel")</f>
        <v>leepvogel</v>
      </c>
      <c r="B18245" s="65" t="s">
        <v>9208</v>
      </c>
    </row>
    <row r="18246" spans="1:2" x14ac:dyDescent="0.25">
      <c r="A18246" s="64" t="str">
        <f>HYPERLINK("http://www.twitter.com/chrisbellekom", "chrisbellekom")</f>
        <v>chrisbellekom</v>
      </c>
      <c r="B18246" s="65" t="s">
        <v>4636</v>
      </c>
    </row>
    <row r="18247" spans="1:2" x14ac:dyDescent="0.25">
      <c r="A18247" s="64" t="str">
        <f>HYPERLINK("http://www.twitter.com/michaelrobotham", "michaelrobotham")</f>
        <v>michaelrobotham</v>
      </c>
      <c r="B18247" s="65" t="s">
        <v>3817</v>
      </c>
    </row>
    <row r="18248" spans="1:2" x14ac:dyDescent="0.25">
      <c r="A18248" s="64" t="str">
        <f>HYPERLINK("http://www.twitter.com/FinbergBee", "FinbergBee")</f>
        <v>FinbergBee</v>
      </c>
      <c r="B18248" s="65" t="s">
        <v>788</v>
      </c>
    </row>
    <row r="18249" spans="1:2" x14ac:dyDescent="0.25">
      <c r="A18249" s="64" t="str">
        <f>HYPERLINK("http://www.twitter.com/RowleyStewart", "RowleyStewart")</f>
        <v>RowleyStewart</v>
      </c>
      <c r="B18249" s="65" t="s">
        <v>477</v>
      </c>
    </row>
    <row r="18250" spans="1:2" x14ac:dyDescent="0.25">
      <c r="A18250" s="64" t="str">
        <f>HYPERLINK("http://www.twitter.com/beckyfincham", "beckyfincham")</f>
        <v>beckyfincham</v>
      </c>
      <c r="B18250" s="65" t="s">
        <v>9209</v>
      </c>
    </row>
    <row r="18251" spans="1:2" x14ac:dyDescent="0.25">
      <c r="A18251" s="64" t="str">
        <f>HYPERLINK("http://www.twitter.com/josiehumber", "josiehumber")</f>
        <v>josiehumber</v>
      </c>
      <c r="B18251" s="65" t="s">
        <v>36</v>
      </c>
    </row>
    <row r="18252" spans="1:2" x14ac:dyDescent="0.25">
      <c r="A18252" s="64" t="str">
        <f>HYPERLINK("http://www.twitter.com/Guardian_Bkshop", "Guardian_Bkshop")</f>
        <v>Guardian_Bkshop</v>
      </c>
      <c r="B18252" s="65" t="s">
        <v>110</v>
      </c>
    </row>
    <row r="18253" spans="1:2" x14ac:dyDescent="0.25">
      <c r="A18253" s="64" t="str">
        <f>HYPERLINK("http://www.twitter.com/isobeldixon", "isobeldixon")</f>
        <v>isobeldixon</v>
      </c>
      <c r="B18253" s="65" t="s">
        <v>36</v>
      </c>
    </row>
    <row r="18254" spans="1:2" x14ac:dyDescent="0.25">
      <c r="A18254" s="64" t="str">
        <f>HYPERLINK("http://www.twitter.com/rosieclaverton", "rosieclaverton")</f>
        <v>rosieclaverton</v>
      </c>
      <c r="B18254" s="65" t="s">
        <v>427</v>
      </c>
    </row>
    <row r="18255" spans="1:2" x14ac:dyDescent="0.25">
      <c r="A18255" s="64" t="str">
        <f>HYPERLINK("http://www.twitter.com/lai_krtisfranks", "lai_krtisfranks")</f>
        <v>lai_krtisfranks</v>
      </c>
      <c r="B18255" s="65"/>
    </row>
    <row r="18256" spans="1:2" x14ac:dyDescent="0.25">
      <c r="A18256" s="64" t="str">
        <f>HYPERLINK("http://www.twitter.com/jm3003", "jm3003")</f>
        <v>jm3003</v>
      </c>
      <c r="B18256" s="65" t="s">
        <v>36</v>
      </c>
    </row>
    <row r="18257" spans="1:2" x14ac:dyDescent="0.25">
      <c r="A18257" s="64" t="str">
        <f>HYPERLINK("http://www.twitter.com/africanroots_", "africanroots_")</f>
        <v>africanroots_</v>
      </c>
      <c r="B18257" s="65" t="s">
        <v>3963</v>
      </c>
    </row>
    <row r="18258" spans="1:2" x14ac:dyDescent="0.25">
      <c r="A18258" s="64" t="str">
        <f>HYPERLINK("http://www.twitter.com/MrsZBG", "MrsZBG")</f>
        <v>MrsZBG</v>
      </c>
      <c r="B18258" s="65" t="s">
        <v>4228</v>
      </c>
    </row>
    <row r="18259" spans="1:2" x14ac:dyDescent="0.25">
      <c r="A18259" s="64" t="str">
        <f>HYPERLINK("http://www.twitter.com/HelenAilsa", "HelenAilsa")</f>
        <v>HelenAilsa</v>
      </c>
      <c r="B18259" s="65" t="s">
        <v>36</v>
      </c>
    </row>
    <row r="18260" spans="1:2" x14ac:dyDescent="0.25">
      <c r="A18260" s="64" t="str">
        <f>HYPERLINK("http://www.twitter.com/41148907", "41148907")</f>
        <v>41148907</v>
      </c>
      <c r="B18260" s="65"/>
    </row>
    <row r="18261" spans="1:2" x14ac:dyDescent="0.25">
      <c r="A18261" s="64" t="str">
        <f>HYPERLINK("http://www.twitter.com/NewsBank", "NewsBank")</f>
        <v>NewsBank</v>
      </c>
      <c r="B18261" s="65" t="s">
        <v>9210</v>
      </c>
    </row>
    <row r="18262" spans="1:2" x14ac:dyDescent="0.25">
      <c r="A18262" s="64" t="str">
        <f>HYPERLINK("http://www.twitter.com/Jonbutler2", "Jonbutler2")</f>
        <v>Jonbutler2</v>
      </c>
      <c r="B18262" s="65"/>
    </row>
    <row r="18263" spans="1:2" x14ac:dyDescent="0.25">
      <c r="A18263" s="64" t="str">
        <f>HYPERLINK("http://www.twitter.com/focusodisha", "focusodisha")</f>
        <v>focusodisha</v>
      </c>
      <c r="B18263" s="65" t="s">
        <v>9211</v>
      </c>
    </row>
    <row r="18264" spans="1:2" x14ac:dyDescent="0.25">
      <c r="A18264" s="64" t="str">
        <f>HYPERLINK("http://www.twitter.com/RajNaya76264213", "RajNaya76264213")</f>
        <v>RajNaya76264213</v>
      </c>
      <c r="B18264" s="65" t="s">
        <v>9212</v>
      </c>
    </row>
    <row r="18265" spans="1:2" x14ac:dyDescent="0.25">
      <c r="A18265" s="64" t="str">
        <f>HYPERLINK("http://www.twitter.com/Nairn_Festival", "Nairn_Festival")</f>
        <v>Nairn_Festival</v>
      </c>
      <c r="B18265" s="65" t="s">
        <v>9213</v>
      </c>
    </row>
    <row r="18266" spans="1:2" x14ac:dyDescent="0.25">
      <c r="A18266" s="64" t="str">
        <f>HYPERLINK("http://www.twitter.com/CherylMcGeachan", "CherylMcGeachan")</f>
        <v>CherylMcGeachan</v>
      </c>
      <c r="B18266" s="65" t="s">
        <v>138</v>
      </c>
    </row>
    <row r="18267" spans="1:2" x14ac:dyDescent="0.25">
      <c r="A18267" s="64" t="str">
        <f>HYPERLINK("http://www.twitter.com/PascaleBientot", "PascaleBientot")</f>
        <v>PascaleBientot</v>
      </c>
      <c r="B18267" s="65" t="s">
        <v>9214</v>
      </c>
    </row>
    <row r="18268" spans="1:2" x14ac:dyDescent="0.25">
      <c r="A18268" s="64" t="str">
        <f>HYPERLINK("http://www.twitter.com/EssJayBaxter", "EssJayBaxter")</f>
        <v>EssJayBaxter</v>
      </c>
      <c r="B18268" s="65" t="s">
        <v>9215</v>
      </c>
    </row>
    <row r="18269" spans="1:2" x14ac:dyDescent="0.25">
      <c r="A18269" s="64" t="str">
        <f>HYPERLINK("http://www.twitter.com/SCrowleyAuthor", "SCrowleyAuthor")</f>
        <v>SCrowleyAuthor</v>
      </c>
      <c r="B18269" s="65"/>
    </row>
    <row r="18270" spans="1:2" x14ac:dyDescent="0.25">
      <c r="A18270" s="64" t="str">
        <f>HYPERLINK("http://www.twitter.com/lisaberkshire", "lisaberkshire")</f>
        <v>lisaberkshire</v>
      </c>
      <c r="B18270" s="65" t="s">
        <v>1490</v>
      </c>
    </row>
    <row r="18271" spans="1:2" x14ac:dyDescent="0.25">
      <c r="A18271" s="64" t="str">
        <f>HYPERLINK("http://www.twitter.com/mfbailey", "mfbailey")</f>
        <v>mfbailey</v>
      </c>
      <c r="B18271" s="65" t="s">
        <v>6042</v>
      </c>
    </row>
    <row r="18272" spans="1:2" x14ac:dyDescent="0.25">
      <c r="A18272" s="64" t="str">
        <f>HYPERLINK("http://www.twitter.com/TimRideout1", "TimRideout1")</f>
        <v>TimRideout1</v>
      </c>
      <c r="B18272" s="65"/>
    </row>
    <row r="18273" spans="1:2" x14ac:dyDescent="0.25">
      <c r="A18273" s="64" t="str">
        <f>HYPERLINK("http://www.twitter.com/OldSwanHotel", "OldSwanHotel")</f>
        <v>OldSwanHotel</v>
      </c>
      <c r="B18273" s="65" t="s">
        <v>9216</v>
      </c>
    </row>
    <row r="18274" spans="1:2" x14ac:dyDescent="0.25">
      <c r="A18274" s="64" t="str">
        <f>HYPERLINK("http://www.twitter.com/davidpenny_", "davidpenny_")</f>
        <v>davidpenny_</v>
      </c>
      <c r="B18274" s="65" t="s">
        <v>296</v>
      </c>
    </row>
    <row r="18275" spans="1:2" x14ac:dyDescent="0.25">
      <c r="A18275" s="64" t="str">
        <f>HYPERLINK("http://www.twitter.com/vaughan_jenny", "vaughan_jenny")</f>
        <v>vaughan_jenny</v>
      </c>
      <c r="B18275" s="65" t="s">
        <v>9217</v>
      </c>
    </row>
    <row r="18276" spans="1:2" x14ac:dyDescent="0.25">
      <c r="A18276" s="64" t="str">
        <f>HYPERLINK("http://www.twitter.com/trudy_buxton", "trudy_buxton")</f>
        <v>trudy_buxton</v>
      </c>
      <c r="B18276" s="65"/>
    </row>
    <row r="18277" spans="1:2" x14ac:dyDescent="0.25">
      <c r="A18277" s="64" t="str">
        <f>HYPERLINK("http://www.twitter.com/CHerschdorfer", "CHerschdorfer")</f>
        <v>CHerschdorfer</v>
      </c>
      <c r="B18277" s="65" t="s">
        <v>7828</v>
      </c>
    </row>
    <row r="18278" spans="1:2" x14ac:dyDescent="0.25">
      <c r="A18278" s="64" t="str">
        <f>HYPERLINK("http://www.twitter.com/gaskell_alison", "gaskell_alison")</f>
        <v>gaskell_alison</v>
      </c>
      <c r="B18278" s="65" t="s">
        <v>9218</v>
      </c>
    </row>
    <row r="18279" spans="1:2" x14ac:dyDescent="0.25">
      <c r="A18279" s="64" t="str">
        <f>HYPERLINK("http://www.twitter.com/darren_gaskell", "darren_gaskell")</f>
        <v>darren_gaskell</v>
      </c>
      <c r="B18279" s="65" t="s">
        <v>9219</v>
      </c>
    </row>
    <row r="18280" spans="1:2" x14ac:dyDescent="0.25">
      <c r="A18280" s="64" t="str">
        <f>HYPERLINK("http://www.twitter.com/MaxiB1970", "MaxiB1970")</f>
        <v>MaxiB1970</v>
      </c>
      <c r="B18280" s="65"/>
    </row>
    <row r="18281" spans="1:2" x14ac:dyDescent="0.25">
      <c r="A18281" s="64" t="str">
        <f>HYPERLINK("http://www.twitter.com/Katiekat_PharmD", "Katiekat_PharmD")</f>
        <v>Katiekat_PharmD</v>
      </c>
      <c r="B18281" s="65" t="s">
        <v>9220</v>
      </c>
    </row>
    <row r="18282" spans="1:2" x14ac:dyDescent="0.25">
      <c r="A18282" s="64" t="str">
        <f>HYPERLINK("http://www.twitter.com/TheSazmo", "TheSazmo")</f>
        <v>TheSazmo</v>
      </c>
      <c r="B18282" s="65" t="s">
        <v>4161</v>
      </c>
    </row>
    <row r="18283" spans="1:2" x14ac:dyDescent="0.25">
      <c r="A18283" s="64" t="str">
        <f>HYPERLINK("http://www.twitter.com/BucksLibBadger", "BucksLibBadger")</f>
        <v>BucksLibBadger</v>
      </c>
      <c r="B18283" s="65" t="s">
        <v>8582</v>
      </c>
    </row>
    <row r="18284" spans="1:2" x14ac:dyDescent="0.25">
      <c r="A18284" s="64" t="str">
        <f>HYPERLINK("http://www.twitter.com/EastwoodLib1", "EastwoodLib1")</f>
        <v>EastwoodLib1</v>
      </c>
      <c r="B18284" s="65" t="s">
        <v>318</v>
      </c>
    </row>
    <row r="18285" spans="1:2" x14ac:dyDescent="0.25">
      <c r="A18285" s="64" t="str">
        <f>HYPERLINK("http://www.twitter.com/EleanorDryden", "EleanorDryden")</f>
        <v>EleanorDryden</v>
      </c>
      <c r="B18285" s="65" t="s">
        <v>36</v>
      </c>
    </row>
    <row r="18286" spans="1:2" x14ac:dyDescent="0.25">
      <c r="A18286" s="64" t="str">
        <f>HYPERLINK("http://www.twitter.com/bforbarlow", "bforbarlow")</f>
        <v>bforbarlow</v>
      </c>
      <c r="B18286" s="65" t="s">
        <v>67</v>
      </c>
    </row>
    <row r="18287" spans="1:2" x14ac:dyDescent="0.25">
      <c r="A18287" s="64" t="str">
        <f>HYPERLINK("http://www.twitter.com/NicolaEast1", "NicolaEast1")</f>
        <v>NicolaEast1</v>
      </c>
      <c r="B18287" s="65" t="s">
        <v>36</v>
      </c>
    </row>
    <row r="18288" spans="1:2" x14ac:dyDescent="0.25">
      <c r="A18288" s="64" t="str">
        <f>HYPERLINK("http://www.twitter.com/richardadaly", "richardadaly")</f>
        <v>richardadaly</v>
      </c>
      <c r="B18288" s="65" t="s">
        <v>9221</v>
      </c>
    </row>
    <row r="18289" spans="1:2" x14ac:dyDescent="0.25">
      <c r="A18289" s="64" t="str">
        <f>HYPERLINK("http://www.twitter.com/Rukunzaman", "Rukunzaman")</f>
        <v>Rukunzaman</v>
      </c>
      <c r="B18289" s="65" t="s">
        <v>9222</v>
      </c>
    </row>
    <row r="18290" spans="1:2" x14ac:dyDescent="0.25">
      <c r="A18290" s="64" t="str">
        <f>HYPERLINK("http://www.twitter.com/lucycameron22", "lucycameron22")</f>
        <v>lucycameron22</v>
      </c>
      <c r="B18290" s="65" t="s">
        <v>4019</v>
      </c>
    </row>
    <row r="18291" spans="1:2" x14ac:dyDescent="0.25">
      <c r="A18291" s="64" t="str">
        <f>HYPERLINK("http://www.twitter.com/Adityanathtweet", "Adityanathtweet")</f>
        <v>Adityanathtweet</v>
      </c>
      <c r="B18291" s="65" t="s">
        <v>9223</v>
      </c>
    </row>
    <row r="18292" spans="1:2" x14ac:dyDescent="0.25">
      <c r="A18292" s="64" t="str">
        <f>HYPERLINK("http://www.twitter.com/LuciaYCLin", "LuciaYCLin")</f>
        <v>LuciaYCLin</v>
      </c>
      <c r="B18292" s="65" t="s">
        <v>4275</v>
      </c>
    </row>
    <row r="18293" spans="1:2" x14ac:dyDescent="0.25">
      <c r="A18293" s="64" t="str">
        <f>HYPERLINK("http://www.twitter.com/helsunders", "helsunders")</f>
        <v>helsunders</v>
      </c>
      <c r="B18293" s="65"/>
    </row>
    <row r="18294" spans="1:2" x14ac:dyDescent="0.25">
      <c r="A18294" s="64" t="str">
        <f>HYPERLINK("http://www.twitter.com/Beathhigh", "Beathhigh")</f>
        <v>Beathhigh</v>
      </c>
      <c r="B18294" s="65" t="s">
        <v>9224</v>
      </c>
    </row>
    <row r="18295" spans="1:2" x14ac:dyDescent="0.25">
      <c r="A18295" s="64" t="str">
        <f>HYPERLINK("http://www.twitter.com/shelleysilas", "shelleysilas")</f>
        <v>shelleysilas</v>
      </c>
      <c r="B18295" s="65" t="s">
        <v>9225</v>
      </c>
    </row>
    <row r="18296" spans="1:2" x14ac:dyDescent="0.25">
      <c r="A18296" s="64" t="str">
        <f>HYPERLINK("http://www.twitter.com/allegramcilroy", "allegramcilroy")</f>
        <v>allegramcilroy</v>
      </c>
      <c r="B18296" s="65"/>
    </row>
    <row r="18297" spans="1:2" x14ac:dyDescent="0.25">
      <c r="A18297" s="64" t="str">
        <f>HYPERLINK("http://www.twitter.com/CIARATUTHAIGH", "CIARATUTHAIGH")</f>
        <v>CIARATUTHAIGH</v>
      </c>
      <c r="B18297" s="65"/>
    </row>
    <row r="18298" spans="1:2" x14ac:dyDescent="0.25">
      <c r="A18298" s="64" t="str">
        <f>HYPERLINK("http://www.twitter.com/marianucha13", "marianucha13")</f>
        <v>marianucha13</v>
      </c>
      <c r="B18298" s="65" t="s">
        <v>7022</v>
      </c>
    </row>
    <row r="18299" spans="1:2" x14ac:dyDescent="0.25">
      <c r="A18299" s="64" t="str">
        <f>HYPERLINK("http://www.twitter.com/alexfournier7", "alexfournier7")</f>
        <v>alexfournier7</v>
      </c>
      <c r="B18299" s="65" t="s">
        <v>9226</v>
      </c>
    </row>
    <row r="18300" spans="1:2" x14ac:dyDescent="0.25">
      <c r="A18300" s="64" t="str">
        <f>HYPERLINK("http://www.twitter.com/trellebell", "trellebell")</f>
        <v>trellebell</v>
      </c>
      <c r="B18300" s="65"/>
    </row>
    <row r="18301" spans="1:2" x14ac:dyDescent="0.25">
      <c r="A18301" s="64" t="str">
        <f>HYPERLINK("http://www.twitter.com/MyBababoo", "MyBababoo")</f>
        <v>MyBababoo</v>
      </c>
      <c r="B18301" s="65" t="s">
        <v>9227</v>
      </c>
    </row>
    <row r="18302" spans="1:2" x14ac:dyDescent="0.25">
      <c r="A18302" s="64" t="str">
        <f>HYPERLINK("http://www.twitter.com/rhikern", "rhikern")</f>
        <v>rhikern</v>
      </c>
      <c r="B18302" s="65" t="s">
        <v>3785</v>
      </c>
    </row>
    <row r="18303" spans="1:2" x14ac:dyDescent="0.25">
      <c r="A18303" s="64" t="str">
        <f>HYPERLINK("http://www.twitter.com/cbetty47", "cbetty47")</f>
        <v>cbetty47</v>
      </c>
      <c r="B18303" s="65"/>
    </row>
    <row r="18304" spans="1:2" x14ac:dyDescent="0.25">
      <c r="A18304" s="64" t="str">
        <f>HYPERLINK("http://www.twitter.com/Troy_Wise", "Troy_Wise")</f>
        <v>Troy_Wise</v>
      </c>
      <c r="B18304" s="65" t="s">
        <v>110</v>
      </c>
    </row>
    <row r="18305" spans="1:2" x14ac:dyDescent="0.25">
      <c r="A18305" s="64" t="str">
        <f>HYPERLINK("http://www.twitter.com/DaemonAAc", "DaemonAAc")</f>
        <v>DaemonAAc</v>
      </c>
      <c r="B18305" s="65" t="s">
        <v>7853</v>
      </c>
    </row>
    <row r="18306" spans="1:2" x14ac:dyDescent="0.25">
      <c r="A18306" s="64" t="str">
        <f>HYPERLINK("http://www.twitter.com/ecbeeching", "ecbeeching")</f>
        <v>ecbeeching</v>
      </c>
      <c r="B18306" s="65" t="s">
        <v>9228</v>
      </c>
    </row>
    <row r="18307" spans="1:2" x14ac:dyDescent="0.25">
      <c r="A18307" s="64" t="str">
        <f>HYPERLINK("http://www.twitter.com/LondonSaint73", "LondonSaint73")</f>
        <v>LondonSaint73</v>
      </c>
      <c r="B18307" s="65" t="s">
        <v>9229</v>
      </c>
    </row>
    <row r="18308" spans="1:2" x14ac:dyDescent="0.25">
      <c r="A18308" s="64" t="str">
        <f>HYPERLINK("http://www.twitter.com/RightwingIndian", "RightwingIndian")</f>
        <v>RightwingIndian</v>
      </c>
      <c r="B18308" s="65" t="s">
        <v>4492</v>
      </c>
    </row>
    <row r="18309" spans="1:2" x14ac:dyDescent="0.25">
      <c r="A18309" s="64" t="str">
        <f>HYPERLINK("http://www.twitter.com/hagridsdaughter", "hagridsdaughter")</f>
        <v>hagridsdaughter</v>
      </c>
      <c r="B18309" s="65" t="s">
        <v>9230</v>
      </c>
    </row>
    <row r="18310" spans="1:2" x14ac:dyDescent="0.25">
      <c r="A18310" s="64" t="str">
        <f>HYPERLINK("http://www.twitter.com/hedwig__lives", "hedwig__lives")</f>
        <v>hedwig__lives</v>
      </c>
      <c r="B18310" s="65" t="s">
        <v>3998</v>
      </c>
    </row>
    <row r="18311" spans="1:2" x14ac:dyDescent="0.25">
      <c r="A18311" s="64" t="str">
        <f>HYPERLINK("http://www.twitter.com/wickedgreens", "wickedgreens")</f>
        <v>wickedgreens</v>
      </c>
      <c r="B18311" s="65" t="s">
        <v>7510</v>
      </c>
    </row>
    <row r="18312" spans="1:2" x14ac:dyDescent="0.25">
      <c r="A18312" s="64" t="str">
        <f>HYPERLINK("http://www.twitter.com/hitarthdave", "hitarthdave")</f>
        <v>hitarthdave</v>
      </c>
      <c r="B18312" s="65" t="s">
        <v>9231</v>
      </c>
    </row>
    <row r="18313" spans="1:2" x14ac:dyDescent="0.25">
      <c r="A18313" s="64" t="str">
        <f>HYPERLINK("http://www.twitter.com/Spliiiice", "Spliiiice")</f>
        <v>Spliiiice</v>
      </c>
      <c r="B18313" s="65"/>
    </row>
    <row r="18314" spans="1:2" x14ac:dyDescent="0.25">
      <c r="A18314" s="64" t="str">
        <f>HYPERLINK("http://www.twitter.com/ladyofshallot68", "ladyofshallot68")</f>
        <v>ladyofshallot68</v>
      </c>
      <c r="B18314" s="65"/>
    </row>
    <row r="18315" spans="1:2" x14ac:dyDescent="0.25">
      <c r="A18315" s="64" t="str">
        <f>HYPERLINK("http://www.twitter.com/LucySchwartz", "LucySchwartz")</f>
        <v>LucySchwartz</v>
      </c>
      <c r="B18315" s="65" t="s">
        <v>3775</v>
      </c>
    </row>
    <row r="18316" spans="1:2" x14ac:dyDescent="0.25">
      <c r="A18316" s="64" t="str">
        <f>HYPERLINK("http://www.twitter.com/ShaneCl83301122", "ShaneCl83301122")</f>
        <v>ShaneCl83301122</v>
      </c>
      <c r="B18316" s="65"/>
    </row>
    <row r="18317" spans="1:2" x14ac:dyDescent="0.25">
      <c r="A18317" s="64" t="str">
        <f>HYPERLINK("http://www.twitter.com/ingridmatts", "ingridmatts")</f>
        <v>ingridmatts</v>
      </c>
      <c r="B18317" s="65" t="s">
        <v>9232</v>
      </c>
    </row>
    <row r="18318" spans="1:2" x14ac:dyDescent="0.25">
      <c r="A18318" s="64" t="str">
        <f>HYPERLINK("http://www.twitter.com/BarbaraBigBooty", "BarbaraBigBooty")</f>
        <v>BarbaraBigBooty</v>
      </c>
      <c r="B18318" s="65"/>
    </row>
    <row r="18319" spans="1:2" x14ac:dyDescent="0.25">
      <c r="A18319" s="64" t="str">
        <f>HYPERLINK("http://www.twitter.com/TimofeevaYasya", "TimofeevaYasya")</f>
        <v>TimofeevaYasya</v>
      </c>
      <c r="B18319" s="65"/>
    </row>
    <row r="18320" spans="1:2" x14ac:dyDescent="0.25">
      <c r="A18320" s="64" t="str">
        <f>HYPERLINK("http://www.twitter.com/MsRavenclawgirl", "MsRavenclawgirl")</f>
        <v>MsRavenclawgirl</v>
      </c>
      <c r="B18320" s="65"/>
    </row>
    <row r="18321" spans="1:2" x14ac:dyDescent="0.25">
      <c r="A18321" s="64" t="str">
        <f>HYPERLINK("http://www.twitter.com/alexavtonder", "alexavtonder")</f>
        <v>alexavtonder</v>
      </c>
      <c r="B18321" s="65"/>
    </row>
    <row r="18322" spans="1:2" x14ac:dyDescent="0.25">
      <c r="A18322" s="64" t="str">
        <f>HYPERLINK("http://www.twitter.com/Phuc_Boii", "Phuc_Boii")</f>
        <v>Phuc_Boii</v>
      </c>
      <c r="B18322" s="65"/>
    </row>
    <row r="18323" spans="1:2" x14ac:dyDescent="0.25">
      <c r="A18323" s="64" t="str">
        <f>HYPERLINK("http://www.twitter.com/vig_annelie", "vig_annelie")</f>
        <v>vig_annelie</v>
      </c>
      <c r="B18323" s="65"/>
    </row>
    <row r="18324" spans="1:2" x14ac:dyDescent="0.25">
      <c r="A18324" s="64" t="str">
        <f>HYPERLINK("http://www.twitter.com/wendyprices", "wendyprices")</f>
        <v>wendyprices</v>
      </c>
      <c r="B18324" s="65" t="s">
        <v>4039</v>
      </c>
    </row>
    <row r="18325" spans="1:2" x14ac:dyDescent="0.25">
      <c r="A18325" s="64" t="str">
        <f>HYPERLINK("http://www.twitter.com/Pequena_isinha", "Pequena_isinha")</f>
        <v>Pequena_isinha</v>
      </c>
      <c r="B18325" s="65" t="s">
        <v>9233</v>
      </c>
    </row>
    <row r="18326" spans="1:2" x14ac:dyDescent="0.25">
      <c r="A18326" s="64" t="str">
        <f>HYPERLINK("http://www.twitter.com/Mau_adkins", "Mau_adkins")</f>
        <v>Mau_adkins</v>
      </c>
      <c r="B18326" s="65"/>
    </row>
    <row r="18327" spans="1:2" x14ac:dyDescent="0.25">
      <c r="A18327" s="64" t="str">
        <f>HYPERLINK("http://www.twitter.com/nskennard", "nskennard")</f>
        <v>nskennard</v>
      </c>
      <c r="B18327" s="65" t="s">
        <v>219</v>
      </c>
    </row>
    <row r="18328" spans="1:2" x14ac:dyDescent="0.25">
      <c r="A18328" s="64" t="str">
        <f>HYPERLINK("http://www.twitter.com/Modumk", "Modumk")</f>
        <v>Modumk</v>
      </c>
      <c r="B18328" s="65"/>
    </row>
    <row r="18329" spans="1:2" x14ac:dyDescent="0.25">
      <c r="A18329" s="64" t="str">
        <f>HYPERLINK("http://www.twitter.com/LucijaLux", "LucijaLux")</f>
        <v>LucijaLux</v>
      </c>
      <c r="B18329" s="65" t="s">
        <v>5456</v>
      </c>
    </row>
    <row r="18330" spans="1:2" x14ac:dyDescent="0.25">
      <c r="A18330" s="64" t="str">
        <f>HYPERLINK("http://www.twitter.com/SPNfanalvayz", "SPNfanalvayz")</f>
        <v>SPNfanalvayz</v>
      </c>
      <c r="B18330" s="65" t="s">
        <v>9234</v>
      </c>
    </row>
    <row r="18331" spans="1:2" x14ac:dyDescent="0.25">
      <c r="A18331" s="64" t="str">
        <f>HYPERLINK("http://www.twitter.com/Ruthcrafts", "Ruthcrafts")</f>
        <v>Ruthcrafts</v>
      </c>
      <c r="B18331" s="65"/>
    </row>
    <row r="18332" spans="1:2" x14ac:dyDescent="0.25">
      <c r="A18332" s="64" t="str">
        <f>HYPERLINK("http://www.twitter.com/AliceSMikaelson", "AliceSMikaelson")</f>
        <v>AliceSMikaelson</v>
      </c>
      <c r="B18332" s="65" t="s">
        <v>9235</v>
      </c>
    </row>
    <row r="18333" spans="1:2" x14ac:dyDescent="0.25">
      <c r="A18333" s="64" t="str">
        <f>HYPERLINK("http://www.twitter.com/_alibrarian", "_alibrarian")</f>
        <v>_alibrarian</v>
      </c>
      <c r="B18333" s="65" t="s">
        <v>9236</v>
      </c>
    </row>
    <row r="18334" spans="1:2" x14ac:dyDescent="0.25">
      <c r="A18334" s="64" t="str">
        <f>HYPERLINK("http://www.twitter.com/zbablu656", "zbablu656")</f>
        <v>zbablu656</v>
      </c>
      <c r="B18334" s="65" t="s">
        <v>9237</v>
      </c>
    </row>
    <row r="18335" spans="1:2" x14ac:dyDescent="0.25">
      <c r="A18335" s="64" t="str">
        <f>HYPERLINK("http://www.twitter.com/cornishlisaj", "cornishlisaj")</f>
        <v>cornishlisaj</v>
      </c>
      <c r="B18335" s="65"/>
    </row>
    <row r="18336" spans="1:2" x14ac:dyDescent="0.25">
      <c r="A18336" s="64" t="str">
        <f>HYPERLINK("http://www.twitter.com/amendlocke", "amendlocke")</f>
        <v>amendlocke</v>
      </c>
      <c r="B18336" s="65" t="s">
        <v>6956</v>
      </c>
    </row>
    <row r="18337" spans="1:2" x14ac:dyDescent="0.25">
      <c r="A18337" s="64" t="str">
        <f>HYPERLINK("http://www.twitter.com/ramosjrleo", "ramosjrleo")</f>
        <v>ramosjrleo</v>
      </c>
      <c r="B18337" s="65"/>
    </row>
    <row r="18338" spans="1:2" x14ac:dyDescent="0.25">
      <c r="A18338" s="64" t="str">
        <f>HYPERLINK("http://www.twitter.com/gatitadot", "gatitadot")</f>
        <v>gatitadot</v>
      </c>
      <c r="B18338" s="65"/>
    </row>
    <row r="18339" spans="1:2" x14ac:dyDescent="0.25">
      <c r="A18339" s="64" t="str">
        <f>HYPERLINK("http://www.twitter.com/RubiiRiver", "RubiiRiver")</f>
        <v>RubiiRiver</v>
      </c>
      <c r="B18339" s="65" t="s">
        <v>3988</v>
      </c>
    </row>
    <row r="18340" spans="1:2" x14ac:dyDescent="0.25">
      <c r="A18340" s="64" t="str">
        <f>HYPERLINK("http://www.twitter.com/chasingkayphoto", "chasingkayphoto")</f>
        <v>chasingkayphoto</v>
      </c>
      <c r="B18340" s="65" t="s">
        <v>9238</v>
      </c>
    </row>
    <row r="18341" spans="1:2" x14ac:dyDescent="0.25">
      <c r="A18341" s="64" t="str">
        <f>HYPERLINK("http://www.twitter.com/Dyvekesh", "Dyvekesh")</f>
        <v>Dyvekesh</v>
      </c>
      <c r="B18341" s="65"/>
    </row>
    <row r="18342" spans="1:2" x14ac:dyDescent="0.25">
      <c r="A18342" s="64" t="str">
        <f>HYPERLINK("http://www.twitter.com/w_bodindecha", "w_bodindecha")</f>
        <v>w_bodindecha</v>
      </c>
      <c r="B18342" s="65"/>
    </row>
    <row r="18343" spans="1:2" x14ac:dyDescent="0.25">
      <c r="A18343" s="64" t="str">
        <f>HYPERLINK("http://www.twitter.com/MauritsPTX", "MauritsPTX")</f>
        <v>MauritsPTX</v>
      </c>
      <c r="B18343" s="65"/>
    </row>
    <row r="18344" spans="1:2" x14ac:dyDescent="0.25">
      <c r="A18344" s="64" t="str">
        <f>HYPERLINK("http://www.twitter.com/KirstenLaaaang", "KirstenLaaaang")</f>
        <v>KirstenLaaaang</v>
      </c>
      <c r="B18344" s="65" t="s">
        <v>9239</v>
      </c>
    </row>
    <row r="18345" spans="1:2" x14ac:dyDescent="0.25">
      <c r="A18345" s="64" t="str">
        <f>HYPERLINK("http://www.twitter.com/clargis", "clargis")</f>
        <v>clargis</v>
      </c>
      <c r="B18345" s="65"/>
    </row>
    <row r="18346" spans="1:2" x14ac:dyDescent="0.25">
      <c r="A18346" s="64" t="str">
        <f>HYPERLINK("http://www.twitter.com/LachlanKerr_", "LachlanKerr_")</f>
        <v>LachlanKerr_</v>
      </c>
      <c r="B18346" s="65" t="s">
        <v>9240</v>
      </c>
    </row>
    <row r="18347" spans="1:2" x14ac:dyDescent="0.25">
      <c r="A18347" s="64" t="str">
        <f>HYPERLINK("http://www.twitter.com/amyhubbs", "amyhubbs")</f>
        <v>amyhubbs</v>
      </c>
      <c r="B18347" s="65"/>
    </row>
    <row r="18348" spans="1:2" x14ac:dyDescent="0.25">
      <c r="A18348" s="64" t="str">
        <f>HYPERLINK("http://www.twitter.com/linnakova", "linnakova")</f>
        <v>linnakova</v>
      </c>
      <c r="B18348" s="65"/>
    </row>
    <row r="18349" spans="1:2" x14ac:dyDescent="0.25">
      <c r="A18349" s="64" t="str">
        <f>HYPERLINK("http://www.twitter.com/testest38", "testest38")</f>
        <v>testest38</v>
      </c>
      <c r="B18349" s="65"/>
    </row>
    <row r="18350" spans="1:2" x14ac:dyDescent="0.25">
      <c r="A18350" s="64" t="str">
        <f>HYPERLINK("http://www.twitter.com/GabbyGail", "GabbyGail")</f>
        <v>GabbyGail</v>
      </c>
      <c r="B18350" s="65" t="s">
        <v>9241</v>
      </c>
    </row>
    <row r="18351" spans="1:2" x14ac:dyDescent="0.25">
      <c r="A18351" s="64" t="str">
        <f>HYPERLINK("http://www.twitter.com/SwabianMapley", "SwabianMapley")</f>
        <v>SwabianMapley</v>
      </c>
      <c r="B18351" s="65"/>
    </row>
    <row r="18352" spans="1:2" x14ac:dyDescent="0.25">
      <c r="A18352" s="64" t="str">
        <f>HYPERLINK("http://www.twitter.com/BucksLib", "BucksLib")</f>
        <v>BucksLib</v>
      </c>
      <c r="B18352" s="65" t="s">
        <v>1559</v>
      </c>
    </row>
    <row r="18353" spans="1:2" x14ac:dyDescent="0.25">
      <c r="A18353" s="64" t="str">
        <f>HYPERLINK("http://www.twitter.com/SamRobinson42", "SamRobinson42")</f>
        <v>SamRobinson42</v>
      </c>
      <c r="B18353" s="65" t="s">
        <v>257</v>
      </c>
    </row>
    <row r="18354" spans="1:2" x14ac:dyDescent="0.25">
      <c r="A18354" s="64" t="str">
        <f>HYPERLINK("http://www.twitter.com/anilprakash515", "anilprakash515")</f>
        <v>anilprakash515</v>
      </c>
      <c r="B18354" s="65" t="s">
        <v>9242</v>
      </c>
    </row>
    <row r="18355" spans="1:2" x14ac:dyDescent="0.25">
      <c r="A18355" s="64" t="str">
        <f>HYPERLINK("http://www.twitter.com/Beth_H_1985", "Beth_H_1985")</f>
        <v>Beth_H_1985</v>
      </c>
      <c r="B18355" s="65" t="s">
        <v>9243</v>
      </c>
    </row>
    <row r="18356" spans="1:2" x14ac:dyDescent="0.25">
      <c r="A18356" s="64" t="str">
        <f>HYPERLINK("http://www.twitter.com/Angusto", "Angusto")</f>
        <v>Angusto</v>
      </c>
      <c r="B18356" s="65" t="s">
        <v>24</v>
      </c>
    </row>
    <row r="18357" spans="1:2" x14ac:dyDescent="0.25">
      <c r="A18357" s="64" t="str">
        <f>HYPERLINK("http://www.twitter.com/HelenSarahM", "HelenSarahM")</f>
        <v>HelenSarahM</v>
      </c>
      <c r="B18357" s="65" t="s">
        <v>3682</v>
      </c>
    </row>
    <row r="18358" spans="1:2" x14ac:dyDescent="0.25">
      <c r="A18358" s="64" t="str">
        <f>HYPERLINK("http://www.twitter.com/annereidedin", "annereidedin")</f>
        <v>annereidedin</v>
      </c>
      <c r="B18358" s="65" t="s">
        <v>24</v>
      </c>
    </row>
    <row r="18359" spans="1:2" x14ac:dyDescent="0.25">
      <c r="A18359" s="64" t="str">
        <f>HYPERLINK("http://www.twitter.com/rdisharo", "rdisharo")</f>
        <v>rdisharo</v>
      </c>
      <c r="B18359" s="65"/>
    </row>
    <row r="18360" spans="1:2" x14ac:dyDescent="0.25">
      <c r="A18360" s="64" t="str">
        <f>HYPERLINK("http://www.twitter.com/mel_emm", "mel_emm")</f>
        <v>mel_emm</v>
      </c>
      <c r="B18360" s="65"/>
    </row>
    <row r="18361" spans="1:2" x14ac:dyDescent="0.25">
      <c r="A18361" s="64" t="str">
        <f>HYPERLINK("http://www.twitter.com/Desdemona1892", "Desdemona1892")</f>
        <v>Desdemona1892</v>
      </c>
      <c r="B18361" s="65"/>
    </row>
    <row r="18362" spans="1:2" x14ac:dyDescent="0.25">
      <c r="A18362" s="64" t="str">
        <f>HYPERLINK("http://www.twitter.com/tmillr152", "tmillr152")</f>
        <v>tmillr152</v>
      </c>
      <c r="B18362" s="65" t="s">
        <v>7318</v>
      </c>
    </row>
    <row r="18363" spans="1:2" x14ac:dyDescent="0.25">
      <c r="A18363" s="64" t="str">
        <f>HYPERLINK("http://www.twitter.com/colourmejordan", "colourmejordan")</f>
        <v>colourmejordan</v>
      </c>
      <c r="B18363" s="65"/>
    </row>
    <row r="18364" spans="1:2" x14ac:dyDescent="0.25">
      <c r="A18364" s="64" t="str">
        <f>HYPERLINK("http://www.twitter.com/millebrodersen", "millebrodersen")</f>
        <v>millebrodersen</v>
      </c>
      <c r="B18364" s="65" t="s">
        <v>7774</v>
      </c>
    </row>
    <row r="18365" spans="1:2" x14ac:dyDescent="0.25">
      <c r="A18365" s="64" t="str">
        <f>HYPERLINK("http://www.twitter.com/breezi185", "breezi185")</f>
        <v>breezi185</v>
      </c>
      <c r="B18365" s="65"/>
    </row>
    <row r="18366" spans="1:2" x14ac:dyDescent="0.25">
      <c r="A18366" s="64" t="str">
        <f>HYPERLINK("http://www.twitter.com/emmatopps23", "emmatopps23")</f>
        <v>emmatopps23</v>
      </c>
      <c r="B18366" s="65" t="s">
        <v>3920</v>
      </c>
    </row>
    <row r="18367" spans="1:2" x14ac:dyDescent="0.25">
      <c r="A18367" s="64" t="str">
        <f>HYPERLINK("http://www.twitter.com/kptownend", "kptownend")</f>
        <v>kptownend</v>
      </c>
      <c r="B18367" s="65" t="s">
        <v>36</v>
      </c>
    </row>
    <row r="18368" spans="1:2" x14ac:dyDescent="0.25">
      <c r="A18368" s="64" t="str">
        <f>HYPERLINK("http://www.twitter.com/WilliamKuebler2", "WilliamKuebler2")</f>
        <v>WilliamKuebler2</v>
      </c>
      <c r="B18368" s="65"/>
    </row>
    <row r="18369" spans="1:2" x14ac:dyDescent="0.25">
      <c r="A18369" s="64" t="str">
        <f>HYPERLINK("http://www.twitter.com/Rebeccamaydeat1", "Rebeccamaydeat1")</f>
        <v>Rebeccamaydeat1</v>
      </c>
      <c r="B18369" s="65"/>
    </row>
    <row r="18370" spans="1:2" x14ac:dyDescent="0.25">
      <c r="A18370" s="64" t="str">
        <f>HYPERLINK("http://www.twitter.com/TheGoldstein_", "TheGoldstein_")</f>
        <v>TheGoldstein_</v>
      </c>
      <c r="B18370" s="65"/>
    </row>
    <row r="18371" spans="1:2" x14ac:dyDescent="0.25">
      <c r="A18371" s="64" t="str">
        <f>HYPERLINK("http://www.twitter.com/minal_syed", "minal_syed")</f>
        <v>minal_syed</v>
      </c>
      <c r="B18371" s="65"/>
    </row>
    <row r="18372" spans="1:2" x14ac:dyDescent="0.25">
      <c r="A18372" s="64" t="str">
        <f>HYPERLINK("http://www.twitter.com/dxaxnxix", "dxaxnxix")</f>
        <v>dxaxnxix</v>
      </c>
      <c r="B18372" s="65"/>
    </row>
    <row r="18373" spans="1:2" x14ac:dyDescent="0.25">
      <c r="A18373" s="64" t="str">
        <f>HYPERLINK("http://www.twitter.com/TheresaJSnyder", "TheresaJSnyder")</f>
        <v>TheresaJSnyder</v>
      </c>
      <c r="B18373" s="65" t="s">
        <v>4255</v>
      </c>
    </row>
    <row r="18374" spans="1:2" x14ac:dyDescent="0.25">
      <c r="A18374" s="64" t="str">
        <f>HYPERLINK("http://www.twitter.com/solibarcalde", "solibarcalde")</f>
        <v>solibarcalde</v>
      </c>
      <c r="B18374" s="65"/>
    </row>
    <row r="18375" spans="1:2" x14ac:dyDescent="0.25">
      <c r="A18375" s="64" t="str">
        <f>HYPERLINK("http://www.twitter.com/MeReachingout", "MeReachingout")</f>
        <v>MeReachingout</v>
      </c>
      <c r="B18375" s="65"/>
    </row>
    <row r="18376" spans="1:2" x14ac:dyDescent="0.25">
      <c r="A18376" s="64" t="str">
        <f>HYPERLINK("http://www.twitter.com/xxJade11xx", "xxJade11xx")</f>
        <v>xxJade11xx</v>
      </c>
      <c r="B18376" s="65"/>
    </row>
    <row r="18377" spans="1:2" x14ac:dyDescent="0.25">
      <c r="A18377" s="64" t="str">
        <f>HYPERLINK("http://www.twitter.com/sisterpenguin", "sisterpenguin")</f>
        <v>sisterpenguin</v>
      </c>
      <c r="B18377" s="65" t="s">
        <v>8533</v>
      </c>
    </row>
    <row r="18378" spans="1:2" x14ac:dyDescent="0.25">
      <c r="A18378" s="64" t="str">
        <f>HYPERLINK("http://www.twitter.com/bookclubwagon", "bookclubwagon")</f>
        <v>bookclubwagon</v>
      </c>
      <c r="B18378" s="65" t="s">
        <v>2492</v>
      </c>
    </row>
    <row r="18379" spans="1:2" x14ac:dyDescent="0.25">
      <c r="A18379" s="64" t="str">
        <f>HYPERLINK("http://www.twitter.com/SengaScot", "SengaScot")</f>
        <v>SengaScot</v>
      </c>
      <c r="B18379" s="65" t="s">
        <v>517</v>
      </c>
    </row>
    <row r="18380" spans="1:2" x14ac:dyDescent="0.25">
      <c r="A18380" s="64" t="str">
        <f>HYPERLINK("http://www.twitter.com/beardofdornan", "beardofdornan")</f>
        <v>beardofdornan</v>
      </c>
      <c r="B18380" s="65"/>
    </row>
    <row r="18381" spans="1:2" x14ac:dyDescent="0.25">
      <c r="A18381" s="64" t="str">
        <f>HYPERLINK("http://www.twitter.com/AGM1966", "AGM1966")</f>
        <v>AGM1966</v>
      </c>
      <c r="B18381" s="65" t="s">
        <v>9244</v>
      </c>
    </row>
    <row r="18382" spans="1:2" x14ac:dyDescent="0.25">
      <c r="A18382" s="64" t="str">
        <f>HYPERLINK("http://www.twitter.com/AprilJPulido", "AprilJPulido")</f>
        <v>AprilJPulido</v>
      </c>
      <c r="B18382" s="65" t="s">
        <v>9245</v>
      </c>
    </row>
    <row r="18383" spans="1:2" x14ac:dyDescent="0.25">
      <c r="A18383" s="64" t="str">
        <f>HYPERLINK("http://www.twitter.com/mackin_louise", "mackin_louise")</f>
        <v>mackin_louise</v>
      </c>
      <c r="B18383" s="65" t="s">
        <v>477</v>
      </c>
    </row>
    <row r="18384" spans="1:2" x14ac:dyDescent="0.25">
      <c r="A18384" s="64" t="str">
        <f>HYPERLINK("http://www.twitter.com/RashmiLKhanal", "RashmiLKhanal")</f>
        <v>RashmiLKhanal</v>
      </c>
      <c r="B18384" s="65"/>
    </row>
    <row r="18385" spans="1:2" x14ac:dyDescent="0.25">
      <c r="A18385" s="64" t="str">
        <f>HYPERLINK("http://www.twitter.com/irenechan_", "irenechan_")</f>
        <v>irenechan_</v>
      </c>
      <c r="B18385" s="65" t="s">
        <v>9246</v>
      </c>
    </row>
    <row r="18386" spans="1:2" x14ac:dyDescent="0.25">
      <c r="A18386" s="64" t="str">
        <f>HYPERLINK("http://www.twitter.com/needhayleyshug", "needhayleyshug")</f>
        <v>needhayleyshug</v>
      </c>
      <c r="B18386" s="65" t="s">
        <v>9247</v>
      </c>
    </row>
    <row r="18387" spans="1:2" x14ac:dyDescent="0.25">
      <c r="A18387" s="64" t="str">
        <f>HYPERLINK("http://www.twitter.com/ChorusDigi", "ChorusDigi")</f>
        <v>ChorusDigi</v>
      </c>
      <c r="B18387" s="65" t="s">
        <v>1295</v>
      </c>
    </row>
    <row r="18388" spans="1:2" x14ac:dyDescent="0.25">
      <c r="A18388" s="64" t="str">
        <f>HYPERLINK("http://www.twitter.com/JohnMackie17", "JohnMackie17")</f>
        <v>JohnMackie17</v>
      </c>
      <c r="B18388" s="65"/>
    </row>
    <row r="18389" spans="1:2" x14ac:dyDescent="0.25">
      <c r="A18389" s="64" t="str">
        <f>HYPERLINK("http://www.twitter.com/klancs30", "klancs30")</f>
        <v>klancs30</v>
      </c>
      <c r="B18389" s="65" t="s">
        <v>3665</v>
      </c>
    </row>
    <row r="18390" spans="1:2" x14ac:dyDescent="0.25">
      <c r="A18390" s="64" t="str">
        <f>HYPERLINK("http://www.twitter.com/tyssa123", "tyssa123")</f>
        <v>tyssa123</v>
      </c>
      <c r="B18390" s="65" t="s">
        <v>4436</v>
      </c>
    </row>
    <row r="18391" spans="1:2" x14ac:dyDescent="0.25">
      <c r="A18391" s="64" t="str">
        <f>HYPERLINK("http://www.twitter.com/dianalovemusic1", "dianalovemusic1")</f>
        <v>dianalovemusic1</v>
      </c>
      <c r="B18391" s="65" t="s">
        <v>9248</v>
      </c>
    </row>
    <row r="18392" spans="1:2" x14ac:dyDescent="0.25">
      <c r="A18392" s="64" t="str">
        <f>HYPERLINK("http://www.twitter.com/jesszra", "jesszra")</f>
        <v>jesszra</v>
      </c>
      <c r="B18392" s="65"/>
    </row>
    <row r="18393" spans="1:2" x14ac:dyDescent="0.25">
      <c r="A18393" s="64" t="str">
        <f>HYPERLINK("http://www.twitter.com/zeekvarg", "zeekvarg")</f>
        <v>zeekvarg</v>
      </c>
      <c r="B18393" s="65"/>
    </row>
    <row r="18394" spans="1:2" x14ac:dyDescent="0.25">
      <c r="A18394" s="64" t="str">
        <f>HYPERLINK("http://www.twitter.com/michie11", "michie11")</f>
        <v>michie11</v>
      </c>
      <c r="B18394" s="65" t="s">
        <v>477</v>
      </c>
    </row>
    <row r="18395" spans="1:2" x14ac:dyDescent="0.25">
      <c r="A18395" s="64" t="str">
        <f>HYPERLINK("http://www.twitter.com/SSRanbir", "SSRanbir")</f>
        <v>SSRanbir</v>
      </c>
      <c r="B18395" s="65" t="s">
        <v>9249</v>
      </c>
    </row>
    <row r="18396" spans="1:2" x14ac:dyDescent="0.25">
      <c r="A18396" s="64" t="str">
        <f>HYPERLINK("http://www.twitter.com/govierbill", "govierbill")</f>
        <v>govierbill</v>
      </c>
      <c r="B18396" s="65" t="s">
        <v>9250</v>
      </c>
    </row>
    <row r="18397" spans="1:2" x14ac:dyDescent="0.25">
      <c r="A18397" s="64" t="str">
        <f>HYPERLINK("http://www.twitter.com/TommyKneip", "TommyKneip")</f>
        <v>TommyKneip</v>
      </c>
      <c r="B18397" s="65" t="s">
        <v>9251</v>
      </c>
    </row>
    <row r="18398" spans="1:2" x14ac:dyDescent="0.25">
      <c r="A18398" s="64" t="str">
        <f>HYPERLINK("http://www.twitter.com/AjK_18", "AjK_18")</f>
        <v>AjK_18</v>
      </c>
      <c r="B18398" s="65" t="s">
        <v>4254</v>
      </c>
    </row>
    <row r="18399" spans="1:2" x14ac:dyDescent="0.25">
      <c r="A18399" s="64" t="str">
        <f>HYPERLINK("http://www.twitter.com/TheHybridIndian", "TheHybridIndian")</f>
        <v>TheHybridIndian</v>
      </c>
      <c r="B18399" s="65" t="s">
        <v>9252</v>
      </c>
    </row>
    <row r="18400" spans="1:2" x14ac:dyDescent="0.25">
      <c r="A18400" s="64" t="str">
        <f>HYPERLINK("http://www.twitter.com/_shannonsparks", "_shannonsparks")</f>
        <v>_shannonsparks</v>
      </c>
      <c r="B18400" s="65"/>
    </row>
    <row r="18401" spans="1:2" x14ac:dyDescent="0.25">
      <c r="A18401" s="64" t="str">
        <f>HYPERLINK("http://www.twitter.com/gurmatr", "gurmatr")</f>
        <v>gurmatr</v>
      </c>
      <c r="B18401" s="65" t="s">
        <v>5658</v>
      </c>
    </row>
    <row r="18402" spans="1:2" x14ac:dyDescent="0.25">
      <c r="A18402" s="64" t="str">
        <f>HYPERLINK("http://www.twitter.com/HobbsShazia", "HobbsShazia")</f>
        <v>HobbsShazia</v>
      </c>
      <c r="B18402" s="65"/>
    </row>
    <row r="18403" spans="1:2" x14ac:dyDescent="0.25">
      <c r="A18403" s="64" t="str">
        <f>HYPERLINK("http://www.twitter.com/sarahmiow", "sarahmiow")</f>
        <v>sarahmiow</v>
      </c>
      <c r="B18403" s="65" t="s">
        <v>9253</v>
      </c>
    </row>
    <row r="18404" spans="1:2" x14ac:dyDescent="0.25">
      <c r="A18404" s="64" t="str">
        <f>HYPERLINK("http://www.twitter.com/danyoolripley", "danyoolripley")</f>
        <v>danyoolripley</v>
      </c>
      <c r="B18404" s="65" t="s">
        <v>9254</v>
      </c>
    </row>
    <row r="18405" spans="1:2" x14ac:dyDescent="0.25">
      <c r="A18405" s="64" t="str">
        <f>HYPERLINK("http://www.twitter.com/Spooky_PGtips", "Spooky_PGtips")</f>
        <v>Spooky_PGtips</v>
      </c>
      <c r="B18405" s="65" t="s">
        <v>2289</v>
      </c>
    </row>
    <row r="18406" spans="1:2" x14ac:dyDescent="0.25">
      <c r="A18406" s="64" t="str">
        <f>HYPERLINK("http://www.twitter.com/gary_hughes", "gary_hughes")</f>
        <v>gary_hughes</v>
      </c>
      <c r="B18406" s="65" t="s">
        <v>9255</v>
      </c>
    </row>
    <row r="18407" spans="1:2" x14ac:dyDescent="0.25">
      <c r="A18407" s="64" t="str">
        <f>HYPERLINK("http://www.twitter.com/bunnycharlotte", "bunnycharlotte")</f>
        <v>bunnycharlotte</v>
      </c>
      <c r="B18407" s="65"/>
    </row>
    <row r="18408" spans="1:2" x14ac:dyDescent="0.25">
      <c r="A18408" s="64" t="str">
        <f>HYPERLINK("http://www.twitter.com/adhiraj2812", "adhiraj2812")</f>
        <v>adhiraj2812</v>
      </c>
      <c r="B18408" s="65" t="s">
        <v>6616</v>
      </c>
    </row>
    <row r="18409" spans="1:2" x14ac:dyDescent="0.25">
      <c r="A18409" s="64" t="str">
        <f>HYPERLINK("http://www.twitter.com/djshfni", "djshfni")</f>
        <v>djshfni</v>
      </c>
      <c r="B18409" s="65" t="s">
        <v>8858</v>
      </c>
    </row>
    <row r="18410" spans="1:2" x14ac:dyDescent="0.25">
      <c r="A18410" s="64" t="str">
        <f>HYPERLINK("http://www.twitter.com/weimingkam", "weimingkam")</f>
        <v>weimingkam</v>
      </c>
      <c r="B18410" s="65"/>
    </row>
    <row r="18411" spans="1:2" x14ac:dyDescent="0.25">
      <c r="A18411" s="64" t="str">
        <f>HYPERLINK("http://www.twitter.com/dutchessAlice", "dutchessAlice")</f>
        <v>dutchessAlice</v>
      </c>
      <c r="B18411" s="65"/>
    </row>
    <row r="18412" spans="1:2" x14ac:dyDescent="0.25">
      <c r="A18412" s="64" t="str">
        <f>HYPERLINK("http://www.twitter.com/annaolu", "annaolu")</f>
        <v>annaolu</v>
      </c>
      <c r="B18412" s="65" t="s">
        <v>9256</v>
      </c>
    </row>
    <row r="18413" spans="1:2" x14ac:dyDescent="0.25">
      <c r="A18413" s="64" t="str">
        <f>HYPERLINK("http://www.twitter.com/anupamachopra", "anupamachopra")</f>
        <v>anupamachopra</v>
      </c>
      <c r="B18413" s="65" t="s">
        <v>9257</v>
      </c>
    </row>
    <row r="18414" spans="1:2" x14ac:dyDescent="0.25">
      <c r="A18414" s="64" t="str">
        <f>HYPERLINK("http://www.twitter.com/MalkSmash", "MalkSmash")</f>
        <v>MalkSmash</v>
      </c>
      <c r="B18414" s="65" t="s">
        <v>9258</v>
      </c>
    </row>
    <row r="18415" spans="1:2" x14ac:dyDescent="0.25">
      <c r="A18415" s="64" t="str">
        <f>HYPERLINK("http://www.twitter.com/GlasgowAlbum", "GlasgowAlbum")</f>
        <v>GlasgowAlbum</v>
      </c>
      <c r="B18415" s="65" t="s">
        <v>138</v>
      </c>
    </row>
    <row r="18416" spans="1:2" x14ac:dyDescent="0.25">
      <c r="A18416" s="64" t="str">
        <f>HYPERLINK("http://www.twitter.com/ante_pit", "ante_pit")</f>
        <v>ante_pit</v>
      </c>
      <c r="B18416" s="65" t="s">
        <v>9259</v>
      </c>
    </row>
    <row r="18417" spans="1:2" x14ac:dyDescent="0.25">
      <c r="A18417" s="64" t="str">
        <f>HYPERLINK("http://www.twitter.com/meumundoemsonho", "meumundoemsonho")</f>
        <v>meumundoemsonho</v>
      </c>
      <c r="B18417" s="65" t="s">
        <v>9260</v>
      </c>
    </row>
    <row r="18418" spans="1:2" x14ac:dyDescent="0.25">
      <c r="A18418" s="64" t="str">
        <f>HYPERLINK("http://www.twitter.com/sleepymojito", "sleepymojito")</f>
        <v>sleepymojito</v>
      </c>
      <c r="B18418" s="65"/>
    </row>
    <row r="18419" spans="1:2" x14ac:dyDescent="0.25">
      <c r="A18419" s="64" t="str">
        <f>HYPERLINK("http://www.twitter.com/iainled1", "iainled1")</f>
        <v>iainled1</v>
      </c>
      <c r="B18419" s="65"/>
    </row>
    <row r="18420" spans="1:2" x14ac:dyDescent="0.25">
      <c r="A18420" s="64" t="str">
        <f>HYPERLINK("http://www.twitter.com/herdingmice", "herdingmice")</f>
        <v>herdingmice</v>
      </c>
      <c r="B18420" s="65" t="s">
        <v>1377</v>
      </c>
    </row>
    <row r="18421" spans="1:2" x14ac:dyDescent="0.25">
      <c r="A18421" s="64" t="str">
        <f>HYPERLINK("http://www.twitter.com/AnnelieBra", "AnnelieBra")</f>
        <v>AnnelieBra</v>
      </c>
      <c r="B18421" s="65"/>
    </row>
    <row r="18422" spans="1:2" x14ac:dyDescent="0.25">
      <c r="A18422" s="64" t="str">
        <f>HYPERLINK("http://www.twitter.com/luminousmax405", "luminousmax405")</f>
        <v>luminousmax405</v>
      </c>
      <c r="B18422" s="65" t="s">
        <v>9261</v>
      </c>
    </row>
    <row r="18423" spans="1:2" x14ac:dyDescent="0.25">
      <c r="A18423" s="64" t="str">
        <f>HYPERLINK("http://www.twitter.com/janahusenicova", "janahusenicova")</f>
        <v>janahusenicova</v>
      </c>
      <c r="B18423" s="65"/>
    </row>
    <row r="18424" spans="1:2" x14ac:dyDescent="0.25">
      <c r="A18424" s="64" t="str">
        <f>HYPERLINK("http://www.twitter.com/CJuliaSM", "CJuliaSM")</f>
        <v>CJuliaSM</v>
      </c>
      <c r="B18424" s="65"/>
    </row>
    <row r="18425" spans="1:2" x14ac:dyDescent="0.25">
      <c r="A18425" s="64" t="str">
        <f>HYPERLINK("http://www.twitter.com/davidmarkwriter", "davidmarkwriter")</f>
        <v>davidmarkwriter</v>
      </c>
      <c r="B18425" s="65" t="s">
        <v>6393</v>
      </c>
    </row>
    <row r="18426" spans="1:2" x14ac:dyDescent="0.25">
      <c r="A18426" s="64" t="str">
        <f>HYPERLINK("http://www.twitter.com/mukit_rayhan", "mukit_rayhan")</f>
        <v>mukit_rayhan</v>
      </c>
      <c r="B18426" s="65"/>
    </row>
    <row r="18427" spans="1:2" x14ac:dyDescent="0.25">
      <c r="A18427" s="64" t="str">
        <f>HYPERLINK("http://www.twitter.com/cait_morrigan", "cait_morrigan")</f>
        <v>cait_morrigan</v>
      </c>
      <c r="B18427" s="65" t="s">
        <v>4940</v>
      </c>
    </row>
    <row r="18428" spans="1:2" x14ac:dyDescent="0.25">
      <c r="A18428" s="64" t="str">
        <f>HYPERLINK("http://www.twitter.com/andyfev", "andyfev")</f>
        <v>andyfev</v>
      </c>
      <c r="B18428" s="65"/>
    </row>
    <row r="18429" spans="1:2" x14ac:dyDescent="0.25">
      <c r="A18429" s="64" t="str">
        <f>HYPERLINK("http://www.twitter.com/NewhailesNTS", "NewhailesNTS")</f>
        <v>NewhailesNTS</v>
      </c>
      <c r="B18429" s="65" t="s">
        <v>9262</v>
      </c>
    </row>
    <row r="18430" spans="1:2" x14ac:dyDescent="0.25">
      <c r="A18430" s="64" t="str">
        <f>HYPERLINK("http://www.twitter.com/BransbyMadie", "BransbyMadie")</f>
        <v>BransbyMadie</v>
      </c>
      <c r="B18430" s="65"/>
    </row>
    <row r="18431" spans="1:2" x14ac:dyDescent="0.25">
      <c r="A18431" s="64" t="str">
        <f>HYPERLINK("http://www.twitter.com/petrinx1", "petrinx1")</f>
        <v>petrinx1</v>
      </c>
      <c r="B18431" s="65" t="s">
        <v>6234</v>
      </c>
    </row>
    <row r="18432" spans="1:2" x14ac:dyDescent="0.25">
      <c r="A18432" s="64" t="str">
        <f>HYPERLINK("http://www.twitter.com/MerrillCazier", "MerrillCazier")</f>
        <v>MerrillCazier</v>
      </c>
      <c r="B18432" s="65" t="s">
        <v>9263</v>
      </c>
    </row>
    <row r="18433" spans="1:2" x14ac:dyDescent="0.25">
      <c r="A18433" s="64" t="str">
        <f>HYPERLINK("http://www.twitter.com/olidapublishing", "olidapublishing")</f>
        <v>olidapublishing</v>
      </c>
      <c r="B18433" s="65" t="s">
        <v>70</v>
      </c>
    </row>
    <row r="18434" spans="1:2" x14ac:dyDescent="0.25">
      <c r="A18434" s="64" t="str">
        <f>HYPERLINK("http://www.twitter.com/juliane_stokes", "juliane_stokes")</f>
        <v>juliane_stokes</v>
      </c>
      <c r="B18434" s="65"/>
    </row>
    <row r="18435" spans="1:2" x14ac:dyDescent="0.25">
      <c r="A18435" s="64" t="str">
        <f>HYPERLINK("http://www.twitter.com/WendyFoster14", "WendyFoster14")</f>
        <v>WendyFoster14</v>
      </c>
      <c r="B18435" s="65" t="s">
        <v>883</v>
      </c>
    </row>
    <row r="18436" spans="1:2" x14ac:dyDescent="0.25">
      <c r="A18436" s="64" t="str">
        <f>HYPERLINK("http://www.twitter.com/Jui_Lou", "Jui_Lou")</f>
        <v>Jui_Lou</v>
      </c>
      <c r="B18436" s="65" t="s">
        <v>1377</v>
      </c>
    </row>
    <row r="18437" spans="1:2" x14ac:dyDescent="0.25">
      <c r="A18437" s="64" t="str">
        <f>HYPERLINK("http://www.twitter.com/LMossKH", "LMossKH")</f>
        <v>LMossKH</v>
      </c>
      <c r="B18437" s="65" t="s">
        <v>2007</v>
      </c>
    </row>
    <row r="18438" spans="1:2" x14ac:dyDescent="0.25">
      <c r="A18438" s="64" t="str">
        <f>HYPERLINK("http://www.twitter.com/birosandarrows", "birosandarrows")</f>
        <v>birosandarrows</v>
      </c>
      <c r="B18438" s="65" t="s">
        <v>7105</v>
      </c>
    </row>
    <row r="18439" spans="1:2" x14ac:dyDescent="0.25">
      <c r="A18439" s="64" t="str">
        <f>HYPERLINK("http://www.twitter.com/DustyHistoryMan", "DustyHistoryMan")</f>
        <v>DustyHistoryMan</v>
      </c>
      <c r="B18439" s="65" t="s">
        <v>9264</v>
      </c>
    </row>
    <row r="18440" spans="1:2" x14ac:dyDescent="0.25">
      <c r="A18440" s="64" t="str">
        <f>HYPERLINK("http://www.twitter.com/theparkercurse", "theparkercurse")</f>
        <v>theparkercurse</v>
      </c>
      <c r="B18440" s="65" t="s">
        <v>9265</v>
      </c>
    </row>
    <row r="18441" spans="1:2" x14ac:dyDescent="0.25">
      <c r="A18441" s="64" t="str">
        <f>HYPERLINK("http://www.twitter.com/SuzannaWood", "SuzannaWood")</f>
        <v>SuzannaWood</v>
      </c>
      <c r="B18441" s="65" t="s">
        <v>788</v>
      </c>
    </row>
    <row r="18442" spans="1:2" x14ac:dyDescent="0.25">
      <c r="A18442" s="64" t="str">
        <f>HYPERLINK("http://www.twitter.com/Blixgirl", "Blixgirl")</f>
        <v>Blixgirl</v>
      </c>
      <c r="B18442" s="65" t="s">
        <v>2007</v>
      </c>
    </row>
    <row r="18443" spans="1:2" x14ac:dyDescent="0.25">
      <c r="A18443" s="64" t="str">
        <f>HYPERLINK("http://www.twitter.com/BinkytheBeagle", "BinkytheBeagle")</f>
        <v>BinkytheBeagle</v>
      </c>
      <c r="B18443" s="65" t="s">
        <v>36</v>
      </c>
    </row>
    <row r="18444" spans="1:2" x14ac:dyDescent="0.25">
      <c r="A18444" s="64" t="str">
        <f>HYPERLINK("http://www.twitter.com/f1_matt", "f1_matt")</f>
        <v>f1_matt</v>
      </c>
      <c r="B18444" s="65" t="s">
        <v>9266</v>
      </c>
    </row>
    <row r="18445" spans="1:2" x14ac:dyDescent="0.25">
      <c r="A18445" s="64" t="str">
        <f>HYPERLINK("http://www.twitter.com/AnneDagg", "AnneDagg")</f>
        <v>AnneDagg</v>
      </c>
      <c r="B18445" s="65" t="s">
        <v>24</v>
      </c>
    </row>
    <row r="18446" spans="1:2" x14ac:dyDescent="0.25">
      <c r="A18446" s="64" t="str">
        <f>HYPERLINK("http://www.twitter.com/cdhinton", "cdhinton")</f>
        <v>cdhinton</v>
      </c>
      <c r="B18446" s="65" t="s">
        <v>9267</v>
      </c>
    </row>
    <row r="18447" spans="1:2" x14ac:dyDescent="0.25">
      <c r="A18447" s="64" t="str">
        <f>HYPERLINK("http://www.twitter.com/MissJones68", "MissJones68")</f>
        <v>MissJones68</v>
      </c>
      <c r="B18447" s="65" t="s">
        <v>5839</v>
      </c>
    </row>
    <row r="18448" spans="1:2" x14ac:dyDescent="0.25">
      <c r="A18448" s="64" t="str">
        <f>HYPERLINK("http://www.twitter.com/realfantasybob", "realfantasybob")</f>
        <v>realfantasybob</v>
      </c>
      <c r="B18448" s="65" t="s">
        <v>5777</v>
      </c>
    </row>
    <row r="18449" spans="1:2" x14ac:dyDescent="0.25">
      <c r="A18449" s="64" t="str">
        <f>HYPERLINK("http://www.twitter.com/Holophrasis_N", "Holophrasis_N")</f>
        <v>Holophrasis_N</v>
      </c>
      <c r="B18449" s="65"/>
    </row>
    <row r="18450" spans="1:2" x14ac:dyDescent="0.25">
      <c r="A18450" s="64" t="str">
        <f>HYPERLINK("http://www.twitter.com/ArfurCrown", "ArfurCrown")</f>
        <v>ArfurCrown</v>
      </c>
      <c r="B18450" s="65" t="s">
        <v>9268</v>
      </c>
    </row>
    <row r="18451" spans="1:2" x14ac:dyDescent="0.25">
      <c r="A18451" s="64" t="str">
        <f>HYPERLINK("http://www.twitter.com/RigidBones", "RigidBones")</f>
        <v>RigidBones</v>
      </c>
      <c r="B18451" s="65" t="s">
        <v>9269</v>
      </c>
    </row>
    <row r="18452" spans="1:2" x14ac:dyDescent="0.25">
      <c r="A18452" s="64" t="str">
        <f>HYPERLINK("http://www.twitter.com/IsabelDOgilvie", "IsabelDOgilvie")</f>
        <v>IsabelDOgilvie</v>
      </c>
      <c r="B18452" s="65" t="s">
        <v>9270</v>
      </c>
    </row>
    <row r="18453" spans="1:2" x14ac:dyDescent="0.25">
      <c r="A18453" s="64" t="str">
        <f>HYPERLINK("http://www.twitter.com/amy_may", "amy_may")</f>
        <v>amy_may</v>
      </c>
      <c r="B18453" s="65" t="s">
        <v>9271</v>
      </c>
    </row>
    <row r="18454" spans="1:2" x14ac:dyDescent="0.25">
      <c r="A18454" s="64" t="str">
        <f>HYPERLINK("http://www.twitter.com/Bolwen", "Bolwen")</f>
        <v>Bolwen</v>
      </c>
      <c r="B18454" s="65"/>
    </row>
    <row r="18455" spans="1:2" x14ac:dyDescent="0.25">
      <c r="A18455" s="64" t="str">
        <f>HYPERLINK("http://www.twitter.com/TwoDinosauria", "TwoDinosauria")</f>
        <v>TwoDinosauria</v>
      </c>
      <c r="B18455" s="65" t="s">
        <v>3817</v>
      </c>
    </row>
    <row r="18456" spans="1:2" x14ac:dyDescent="0.25">
      <c r="A18456" s="64" t="str">
        <f>HYPERLINK("http://www.twitter.com/Ex_Dubliner_APJ", "Ex_Dubliner_APJ")</f>
        <v>Ex_Dubliner_APJ</v>
      </c>
      <c r="B18456" s="65" t="s">
        <v>9272</v>
      </c>
    </row>
    <row r="18457" spans="1:2" x14ac:dyDescent="0.25">
      <c r="A18457" s="64" t="str">
        <f>HYPERLINK("http://www.twitter.com/embradon", "embradon")</f>
        <v>embradon</v>
      </c>
      <c r="B18457" s="65"/>
    </row>
    <row r="18458" spans="1:2" x14ac:dyDescent="0.25">
      <c r="A18458" s="64" t="str">
        <f>HYPERLINK("http://www.twitter.com/KeirHusband", "KeirHusband")</f>
        <v>KeirHusband</v>
      </c>
      <c r="B18458" s="65" t="s">
        <v>9273</v>
      </c>
    </row>
    <row r="18459" spans="1:2" x14ac:dyDescent="0.25">
      <c r="A18459" s="64" t="str">
        <f>HYPERLINK("http://www.twitter.com/broegge", "broegge")</f>
        <v>broegge</v>
      </c>
      <c r="B18459" s="65" t="s">
        <v>6054</v>
      </c>
    </row>
    <row r="18460" spans="1:2" x14ac:dyDescent="0.25">
      <c r="A18460" s="64" t="str">
        <f>HYPERLINK("http://www.twitter.com/ncllibmed", "ncllibmed")</f>
        <v>ncllibmed</v>
      </c>
      <c r="B18460" s="65"/>
    </row>
    <row r="18461" spans="1:2" x14ac:dyDescent="0.25">
      <c r="A18461" s="64" t="str">
        <f>HYPERLINK("http://www.twitter.com/dcplibrary", "dcplibrary")</f>
        <v>dcplibrary</v>
      </c>
      <c r="B18461" s="65" t="s">
        <v>9274</v>
      </c>
    </row>
    <row r="18462" spans="1:2" x14ac:dyDescent="0.25">
      <c r="A18462" s="64" t="str">
        <f>HYPERLINK("http://www.twitter.com/sjdvc", "sjdvc")</f>
        <v>sjdvc</v>
      </c>
      <c r="B18462" s="65"/>
    </row>
    <row r="18463" spans="1:2" x14ac:dyDescent="0.25">
      <c r="A18463" s="64" t="str">
        <f>HYPERLINK("http://www.twitter.com/historic_ali", "historic_ali")</f>
        <v>historic_ali</v>
      </c>
      <c r="B18463" s="65" t="s">
        <v>2007</v>
      </c>
    </row>
    <row r="18464" spans="1:2" x14ac:dyDescent="0.25">
      <c r="A18464" s="64" t="str">
        <f>HYPERLINK("http://www.twitter.com/boemuseum", "boemuseum")</f>
        <v>boemuseum</v>
      </c>
      <c r="B18464" s="65" t="s">
        <v>520</v>
      </c>
    </row>
    <row r="18465" spans="1:2" x14ac:dyDescent="0.25">
      <c r="A18465" s="64" t="str">
        <f>HYPERLINK("http://www.twitter.com/Urrrgggh", "Urrrgggh")</f>
        <v>Urrrgggh</v>
      </c>
      <c r="B18465" s="65"/>
    </row>
    <row r="18466" spans="1:2" x14ac:dyDescent="0.25">
      <c r="A18466" s="64" t="str">
        <f>HYPERLINK("http://www.twitter.com/KarenCu54221331", "KarenCu54221331")</f>
        <v>KarenCu54221331</v>
      </c>
      <c r="B18466" s="65" t="s">
        <v>9275</v>
      </c>
    </row>
    <row r="18467" spans="1:2" x14ac:dyDescent="0.25">
      <c r="A18467" s="64" t="str">
        <f>HYPERLINK("http://www.twitter.com/LizTecLibrarian", "LizTecLibrarian")</f>
        <v>LizTecLibrarian</v>
      </c>
      <c r="B18467" s="65"/>
    </row>
    <row r="18468" spans="1:2" x14ac:dyDescent="0.25">
      <c r="A18468" s="64" t="str">
        <f>HYPERLINK("http://www.twitter.com/marioneemessy", "marioneemessy")</f>
        <v>marioneemessy</v>
      </c>
      <c r="B18468" s="65" t="s">
        <v>9033</v>
      </c>
    </row>
    <row r="18469" spans="1:2" x14ac:dyDescent="0.25">
      <c r="A18469" s="64" t="str">
        <f>HYPERLINK("http://www.twitter.com/ansari_rahila", "ansari_rahila")</f>
        <v>ansari_rahila</v>
      </c>
      <c r="B18469" s="65"/>
    </row>
    <row r="18470" spans="1:2" x14ac:dyDescent="0.25">
      <c r="A18470" s="64" t="str">
        <f>HYPERLINK("http://www.twitter.com/PlusKirkwall", "PlusKirkwall")</f>
        <v>PlusKirkwall</v>
      </c>
      <c r="B18470" s="65" t="s">
        <v>5667</v>
      </c>
    </row>
    <row r="18471" spans="1:2" x14ac:dyDescent="0.25">
      <c r="A18471" s="64" t="str">
        <f>HYPERLINK("http://www.twitter.com/arthurliverpool", "arthurliverpool")</f>
        <v>arthurliverpool</v>
      </c>
      <c r="B18471" s="65" t="s">
        <v>2864</v>
      </c>
    </row>
    <row r="18472" spans="1:2" x14ac:dyDescent="0.25">
      <c r="A18472" s="64" t="str">
        <f>HYPERLINK("http://www.twitter.com/kingston_comms", "kingston_comms")</f>
        <v>kingston_comms</v>
      </c>
      <c r="B18472" s="65"/>
    </row>
    <row r="18473" spans="1:2" x14ac:dyDescent="0.25">
      <c r="A18473" s="64" t="str">
        <f>HYPERLINK("http://www.twitter.com/FrancescaVerga1", "FrancescaVerga1")</f>
        <v>FrancescaVerga1</v>
      </c>
      <c r="B18473" s="65"/>
    </row>
    <row r="18474" spans="1:2" x14ac:dyDescent="0.25">
      <c r="A18474" s="64" t="str">
        <f>HYPERLINK("http://www.twitter.com/helen_flt", "helen_flt")</f>
        <v>helen_flt</v>
      </c>
      <c r="B18474" s="65" t="s">
        <v>2007</v>
      </c>
    </row>
    <row r="18475" spans="1:2" x14ac:dyDescent="0.25">
      <c r="A18475" s="64" t="str">
        <f>HYPERLINK("http://www.twitter.com/erinalcock", "erinalcock")</f>
        <v>erinalcock</v>
      </c>
      <c r="B18475" s="65"/>
    </row>
    <row r="18476" spans="1:2" x14ac:dyDescent="0.25">
      <c r="A18476" s="64" t="str">
        <f>HYPERLINK("http://www.twitter.com/GeoffLloyd", "GeoffLloyd")</f>
        <v>GeoffLloyd</v>
      </c>
      <c r="B18476" s="65" t="s">
        <v>9276</v>
      </c>
    </row>
    <row r="18477" spans="1:2" x14ac:dyDescent="0.25">
      <c r="A18477" s="64" t="str">
        <f>HYPERLINK("http://www.twitter.com/CormickEwan", "CormickEwan")</f>
        <v>CormickEwan</v>
      </c>
      <c r="B18477" s="65"/>
    </row>
    <row r="18478" spans="1:2" x14ac:dyDescent="0.25">
      <c r="A18478" s="64" t="str">
        <f>HYPERLINK("http://www.twitter.com/VerdantWorks", "VerdantWorks")</f>
        <v>VerdantWorks</v>
      </c>
      <c r="B18478" s="65" t="s">
        <v>1482</v>
      </c>
    </row>
    <row r="18479" spans="1:2" x14ac:dyDescent="0.25">
      <c r="A18479" s="64" t="str">
        <f>HYPERLINK("http://www.twitter.com/rlfwriters", "rlfwriters")</f>
        <v>rlfwriters</v>
      </c>
      <c r="B18479" s="65" t="s">
        <v>36</v>
      </c>
    </row>
    <row r="18480" spans="1:2" x14ac:dyDescent="0.25">
      <c r="A18480" s="64" t="str">
        <f>HYPERLINK("http://www.twitter.com/MegsMonsters", "MegsMonsters")</f>
        <v>MegsMonsters</v>
      </c>
      <c r="B18480" s="65" t="s">
        <v>24</v>
      </c>
    </row>
    <row r="18481" spans="1:2" x14ac:dyDescent="0.25">
      <c r="A18481" s="64" t="str">
        <f>HYPERLINK("http://www.twitter.com/srinidhi_janu", "srinidhi_janu")</f>
        <v>srinidhi_janu</v>
      </c>
      <c r="B18481" s="65" t="s">
        <v>9277</v>
      </c>
    </row>
    <row r="18482" spans="1:2" x14ac:dyDescent="0.25">
      <c r="A18482" s="64" t="str">
        <f>HYPERLINK("http://www.twitter.com/princesssammy04", "princesssammy04")</f>
        <v>princesssammy04</v>
      </c>
      <c r="B18482" s="65"/>
    </row>
    <row r="18483" spans="1:2" x14ac:dyDescent="0.25">
      <c r="A18483" s="64" t="str">
        <f>HYPERLINK("http://www.twitter.com/VioletBrand1", "VioletBrand1")</f>
        <v>VioletBrand1</v>
      </c>
      <c r="B18483" s="65"/>
    </row>
    <row r="18484" spans="1:2" x14ac:dyDescent="0.25">
      <c r="A18484" s="64" t="str">
        <f>HYPERLINK("http://www.twitter.com/LynsayTweets", "LynsayTweets")</f>
        <v>LynsayTweets</v>
      </c>
      <c r="B18484" s="65" t="s">
        <v>9278</v>
      </c>
    </row>
    <row r="18485" spans="1:2" x14ac:dyDescent="0.25">
      <c r="A18485" s="64" t="str">
        <f>HYPERLINK("http://www.twitter.com/yes4ya", "yes4ya")</f>
        <v>yes4ya</v>
      </c>
      <c r="B18485" s="65" t="s">
        <v>9279</v>
      </c>
    </row>
    <row r="18486" spans="1:2" x14ac:dyDescent="0.25">
      <c r="A18486" s="64" t="str">
        <f>HYPERLINK("http://www.twitter.com/Fmnorris", "Fmnorris")</f>
        <v>Fmnorris</v>
      </c>
      <c r="B18486" s="65"/>
    </row>
    <row r="18487" spans="1:2" x14ac:dyDescent="0.25">
      <c r="A18487" s="64" t="str">
        <f>HYPERLINK("http://www.twitter.com/anna_j_doyle", "anna_j_doyle")</f>
        <v>anna_j_doyle</v>
      </c>
      <c r="B18487" s="65" t="s">
        <v>3633</v>
      </c>
    </row>
    <row r="18488" spans="1:2" x14ac:dyDescent="0.25">
      <c r="A18488" s="64" t="str">
        <f>HYPERLINK("http://www.twitter.com/tubeflashtales", "tubeflashtales")</f>
        <v>tubeflashtales</v>
      </c>
      <c r="B18488" s="65" t="s">
        <v>477</v>
      </c>
    </row>
    <row r="18489" spans="1:2" x14ac:dyDescent="0.25">
      <c r="A18489" s="64" t="str">
        <f>HYPERLINK("http://www.twitter.com/GraceGrann", "GraceGrann")</f>
        <v>GraceGrann</v>
      </c>
      <c r="B18489" s="65"/>
    </row>
    <row r="18490" spans="1:2" x14ac:dyDescent="0.25">
      <c r="A18490" s="64" t="str">
        <f>HYPERLINK("http://www.twitter.com/ERAC_Nottingham", "ERAC_Nottingham")</f>
        <v>ERAC_Nottingham</v>
      </c>
      <c r="B18490" s="65" t="s">
        <v>2107</v>
      </c>
    </row>
    <row r="18491" spans="1:2" x14ac:dyDescent="0.25">
      <c r="A18491" s="64" t="str">
        <f>HYPERLINK("http://www.twitter.com/Ceriiix", "Ceriiix")</f>
        <v>Ceriiix</v>
      </c>
      <c r="B18491" s="65" t="s">
        <v>9280</v>
      </c>
    </row>
    <row r="18492" spans="1:2" x14ac:dyDescent="0.25">
      <c r="A18492" s="64" t="str">
        <f>HYPERLINK("http://www.twitter.com/GemTodd", "GemTodd")</f>
        <v>GemTodd</v>
      </c>
      <c r="B18492" s="65" t="s">
        <v>9281</v>
      </c>
    </row>
    <row r="18493" spans="1:2" x14ac:dyDescent="0.25">
      <c r="A18493" s="64" t="str">
        <f>HYPERLINK("http://www.twitter.com/warwick_books", "warwick_books")</f>
        <v>warwick_books</v>
      </c>
      <c r="B18493" s="65" t="s">
        <v>5260</v>
      </c>
    </row>
    <row r="18494" spans="1:2" x14ac:dyDescent="0.25">
      <c r="A18494" s="64" t="str">
        <f>HYPERLINK("http://www.twitter.com/visit_swindon", "visit_swindon")</f>
        <v>visit_swindon</v>
      </c>
      <c r="B18494" s="65" t="s">
        <v>293</v>
      </c>
    </row>
    <row r="18495" spans="1:2" x14ac:dyDescent="0.25">
      <c r="A18495" s="64" t="str">
        <f>HYPERLINK("http://www.twitter.com/david_gange", "david_gange")</f>
        <v>david_gange</v>
      </c>
      <c r="B18495" s="65"/>
    </row>
    <row r="18496" spans="1:2" x14ac:dyDescent="0.25">
      <c r="A18496" s="64" t="str">
        <f>HYPERLINK("http://www.twitter.com/gbclibrary", "gbclibrary")</f>
        <v>gbclibrary</v>
      </c>
      <c r="B18496" s="65" t="s">
        <v>9282</v>
      </c>
    </row>
    <row r="18497" spans="1:2" x14ac:dyDescent="0.25">
      <c r="A18497" s="64" t="str">
        <f>HYPERLINK("http://www.twitter.com/ZeJellyfox", "ZeJellyfox")</f>
        <v>ZeJellyfox</v>
      </c>
      <c r="B18497" s="65" t="s">
        <v>9283</v>
      </c>
    </row>
    <row r="18498" spans="1:2" x14ac:dyDescent="0.25">
      <c r="A18498" s="64" t="str">
        <f>HYPERLINK("http://www.twitter.com/MesaLibrary", "MesaLibrary")</f>
        <v>MesaLibrary</v>
      </c>
      <c r="B18498" s="65" t="s">
        <v>9284</v>
      </c>
    </row>
    <row r="18499" spans="1:2" x14ac:dyDescent="0.25">
      <c r="A18499" s="64" t="str">
        <f>HYPERLINK("http://www.twitter.com/DianaValk", "DianaValk")</f>
        <v>DianaValk</v>
      </c>
      <c r="B18499" s="65"/>
    </row>
    <row r="18500" spans="1:2" x14ac:dyDescent="0.25">
      <c r="A18500" s="64" t="str">
        <f>HYPERLINK("http://www.twitter.com/Archaeo_in_Res", "Archaeo_in_Res")</f>
        <v>Archaeo_in_Res</v>
      </c>
      <c r="B18500" s="65" t="s">
        <v>20</v>
      </c>
    </row>
    <row r="18501" spans="1:2" x14ac:dyDescent="0.25">
      <c r="A18501" s="64" t="str">
        <f>HYPERLINK("http://www.twitter.com/jaiksharma521", "jaiksharma521")</f>
        <v>jaiksharma521</v>
      </c>
      <c r="B18501" s="65" t="s">
        <v>9285</v>
      </c>
    </row>
    <row r="18502" spans="1:2" x14ac:dyDescent="0.25">
      <c r="A18502" s="64" t="str">
        <f>HYPERLINK("http://www.twitter.com/Micromuseums", "Micromuseums")</f>
        <v>Micromuseums</v>
      </c>
      <c r="B18502" s="65" t="s">
        <v>36</v>
      </c>
    </row>
    <row r="18503" spans="1:2" x14ac:dyDescent="0.25">
      <c r="A18503" s="64" t="str">
        <f>HYPERLINK("http://www.twitter.com/Nickety", "Nickety")</f>
        <v>Nickety</v>
      </c>
      <c r="B18503" s="65" t="s">
        <v>7287</v>
      </c>
    </row>
    <row r="18504" spans="1:2" x14ac:dyDescent="0.25">
      <c r="A18504" s="64" t="str">
        <f>HYPERLINK("http://www.twitter.com/LeeFitzsimmons", "LeeFitzsimmons")</f>
        <v>LeeFitzsimmons</v>
      </c>
      <c r="B18504" s="65" t="s">
        <v>9286</v>
      </c>
    </row>
    <row r="18505" spans="1:2" x14ac:dyDescent="0.25">
      <c r="A18505" s="64" t="str">
        <f>HYPERLINK("http://www.twitter.com/Helena_NM", "Helena_NM")</f>
        <v>Helena_NM</v>
      </c>
      <c r="B18505" s="65" t="s">
        <v>477</v>
      </c>
    </row>
    <row r="18506" spans="1:2" x14ac:dyDescent="0.25">
      <c r="A18506" s="64" t="str">
        <f>HYPERLINK("http://www.twitter.com/Annebieb", "Annebieb")</f>
        <v>Annebieb</v>
      </c>
      <c r="B18506" s="65"/>
    </row>
    <row r="18507" spans="1:2" x14ac:dyDescent="0.25">
      <c r="A18507" s="64" t="str">
        <f>HYPERLINK("http://www.twitter.com/FreightBooks", "FreightBooks")</f>
        <v>FreightBooks</v>
      </c>
      <c r="B18507" s="65" t="s">
        <v>318</v>
      </c>
    </row>
    <row r="18508" spans="1:2" x14ac:dyDescent="0.25">
      <c r="A18508" s="64" t="str">
        <f>HYPERLINK("http://www.twitter.com/ProfileBooks", "ProfileBooks")</f>
        <v>ProfileBooks</v>
      </c>
      <c r="B18508" s="65" t="s">
        <v>36</v>
      </c>
    </row>
    <row r="18509" spans="1:2" x14ac:dyDescent="0.25">
      <c r="A18509" s="64" t="str">
        <f>HYPERLINK("http://www.twitter.com/serpentstail", "serpentstail")</f>
        <v>serpentstail</v>
      </c>
      <c r="B18509" s="65" t="s">
        <v>110</v>
      </c>
    </row>
    <row r="18510" spans="1:2" x14ac:dyDescent="0.25">
      <c r="A18510" s="64" t="str">
        <f>HYPERLINK("http://www.twitter.com/DelfinaKellom", "DelfinaKellom")</f>
        <v>DelfinaKellom</v>
      </c>
      <c r="B18510" s="65"/>
    </row>
    <row r="18511" spans="1:2" x14ac:dyDescent="0.25">
      <c r="A18511" s="64" t="str">
        <f>HYPERLINK("http://www.twitter.com/Rivsae", "Rivsae")</f>
        <v>Rivsae</v>
      </c>
      <c r="B18511" s="65" t="s">
        <v>318</v>
      </c>
    </row>
    <row r="18512" spans="1:2" x14ac:dyDescent="0.25">
      <c r="A18512" s="64" t="str">
        <f>HYPERLINK("http://www.twitter.com/DavidMGreen92", "DavidMGreen92")</f>
        <v>DavidMGreen92</v>
      </c>
      <c r="B18512" s="65" t="s">
        <v>8221</v>
      </c>
    </row>
    <row r="18513" spans="1:2" x14ac:dyDescent="0.25">
      <c r="A18513" s="64" t="str">
        <f>HYPERLINK("http://www.twitter.com/Genesismalt", "Genesismalt")</f>
        <v>Genesismalt</v>
      </c>
      <c r="B18513" s="65"/>
    </row>
    <row r="18514" spans="1:2" x14ac:dyDescent="0.25">
      <c r="A18514" s="64" t="str">
        <f>HYPERLINK("http://www.twitter.com/BookMonsterAlly", "BookMonsterAlly")</f>
        <v>BookMonsterAlly</v>
      </c>
      <c r="B18514" s="65" t="s">
        <v>9287</v>
      </c>
    </row>
    <row r="18515" spans="1:2" x14ac:dyDescent="0.25">
      <c r="A18515" s="64" t="str">
        <f>HYPERLINK("http://www.twitter.com/yashkasmith", "yashkasmith")</f>
        <v>yashkasmith</v>
      </c>
      <c r="B18515" s="65" t="s">
        <v>808</v>
      </c>
    </row>
    <row r="18516" spans="1:2" x14ac:dyDescent="0.25">
      <c r="A18516" s="64" t="str">
        <f>HYPERLINK("http://www.twitter.com/3158c031cfd94dd", "3158c031cfd94dd")</f>
        <v>3158c031cfd94dd</v>
      </c>
      <c r="B18516" s="65"/>
    </row>
    <row r="18517" spans="1:2" x14ac:dyDescent="0.25">
      <c r="A18517" s="64" t="str">
        <f>HYPERLINK("http://www.twitter.com/dog_wheels", "dog_wheels")</f>
        <v>dog_wheels</v>
      </c>
      <c r="B18517" s="65"/>
    </row>
    <row r="18518" spans="1:2" x14ac:dyDescent="0.25">
      <c r="A18518" s="64" t="str">
        <f>HYPERLINK("http://www.twitter.com/Amy_C101", "Amy_C101")</f>
        <v>Amy_C101</v>
      </c>
      <c r="B18518" s="65"/>
    </row>
    <row r="18519" spans="1:2" x14ac:dyDescent="0.25">
      <c r="A18519" s="64" t="str">
        <f>HYPERLINK("http://www.twitter.com/skollager", "skollager")</f>
        <v>skollager</v>
      </c>
      <c r="B18519" s="65" t="s">
        <v>4959</v>
      </c>
    </row>
    <row r="18520" spans="1:2" x14ac:dyDescent="0.25">
      <c r="A18520" s="64" t="str">
        <f>HYPERLINK("http://www.twitter.com/GipsyvilleLibr1", "GipsyvilleLibr1")</f>
        <v>GipsyvilleLibr1</v>
      </c>
      <c r="B18520" s="65" t="s">
        <v>3305</v>
      </c>
    </row>
    <row r="18521" spans="1:2" x14ac:dyDescent="0.25">
      <c r="A18521" s="64" t="str">
        <f>HYPERLINK("http://www.twitter.com/jameshannah", "jameshannah")</f>
        <v>jameshannah</v>
      </c>
      <c r="B18521" s="65"/>
    </row>
    <row r="18522" spans="1:2" x14ac:dyDescent="0.25">
      <c r="A18522" s="64" t="str">
        <f>HYPERLINK("http://www.twitter.com/LWilsonCrime", "LWilsonCrime")</f>
        <v>LWilsonCrime</v>
      </c>
      <c r="B18522" s="65"/>
    </row>
    <row r="18523" spans="1:2" x14ac:dyDescent="0.25">
      <c r="A18523" s="64" t="str">
        <f>HYPERLINK("http://www.twitter.com/AlexanderKelly", "AlexanderKelly")</f>
        <v>AlexanderKelly</v>
      </c>
      <c r="B18523" s="65" t="s">
        <v>9288</v>
      </c>
    </row>
    <row r="18524" spans="1:2" x14ac:dyDescent="0.25">
      <c r="A18524" s="64" t="str">
        <f>HYPERLINK("http://www.twitter.com/NicolaDKenyon", "NicolaDKenyon")</f>
        <v>NicolaDKenyon</v>
      </c>
      <c r="B18524" s="65" t="s">
        <v>2007</v>
      </c>
    </row>
    <row r="18525" spans="1:2" x14ac:dyDescent="0.25">
      <c r="A18525" s="64" t="str">
        <f>HYPERLINK("http://www.twitter.com/i_Broos", "i_Broos")</f>
        <v>i_Broos</v>
      </c>
      <c r="B18525" s="65"/>
    </row>
    <row r="18526" spans="1:2" x14ac:dyDescent="0.25">
      <c r="A18526" s="64" t="str">
        <f>HYPERLINK("http://www.twitter.com/julietpickering", "julietpickering")</f>
        <v>julietpickering</v>
      </c>
      <c r="B18526" s="65" t="s">
        <v>9289</v>
      </c>
    </row>
    <row r="18527" spans="1:2" x14ac:dyDescent="0.25">
      <c r="A18527" s="64" t="str">
        <f>HYPERLINK("http://www.twitter.com/DawnManning23", "DawnManning23")</f>
        <v>DawnManning23</v>
      </c>
      <c r="B18527" s="65" t="s">
        <v>9290</v>
      </c>
    </row>
    <row r="18528" spans="1:2" x14ac:dyDescent="0.25">
      <c r="A18528" s="64" t="str">
        <f>HYPERLINK("http://www.twitter.com/StevieLMarsden", "StevieLMarsden")</f>
        <v>StevieLMarsden</v>
      </c>
      <c r="B18528" s="65" t="s">
        <v>3559</v>
      </c>
    </row>
    <row r="18529" spans="1:2" x14ac:dyDescent="0.25">
      <c r="A18529" s="64" t="str">
        <f>HYPERLINK("http://www.twitter.com/orkneybreaks", "orkneybreaks")</f>
        <v>orkneybreaks</v>
      </c>
      <c r="B18529" s="65" t="s">
        <v>20</v>
      </c>
    </row>
    <row r="18530" spans="1:2" x14ac:dyDescent="0.25">
      <c r="A18530" s="64" t="str">
        <f>HYPERLINK("http://www.twitter.com/caince1", "caince1")</f>
        <v>caince1</v>
      </c>
      <c r="B18530" s="65"/>
    </row>
    <row r="18531" spans="1:2" x14ac:dyDescent="0.25">
      <c r="A18531" s="64" t="str">
        <f>HYPERLINK("http://www.twitter.com/TheSmellGuy", "TheSmellGuy")</f>
        <v>TheSmellGuy</v>
      </c>
      <c r="B18531" s="65"/>
    </row>
    <row r="18532" spans="1:2" x14ac:dyDescent="0.25">
      <c r="A18532" s="64" t="str">
        <f>HYPERLINK("http://www.twitter.com/spettacolis", "spettacolis")</f>
        <v>spettacolis</v>
      </c>
      <c r="B18532" s="65" t="s">
        <v>4274</v>
      </c>
    </row>
    <row r="18533" spans="1:2" x14ac:dyDescent="0.25">
      <c r="A18533" s="64" t="str">
        <f>HYPERLINK("http://www.twitter.com/KristopherLeask", "KristopherLeask")</f>
        <v>KristopherLeask</v>
      </c>
      <c r="B18533" s="65" t="s">
        <v>5000</v>
      </c>
    </row>
    <row r="18534" spans="1:2" x14ac:dyDescent="0.25">
      <c r="A18534" s="64" t="str">
        <f>HYPERLINK("http://www.twitter.com/islandlass75", "islandlass75")</f>
        <v>islandlass75</v>
      </c>
      <c r="B18534" s="65"/>
    </row>
    <row r="18535" spans="1:2" x14ac:dyDescent="0.25">
      <c r="A18535" s="64" t="str">
        <f>HYPERLINK("http://www.twitter.com/arlemiere", "arlemiere")</f>
        <v>arlemiere</v>
      </c>
      <c r="B18535" s="65"/>
    </row>
    <row r="18536" spans="1:2" x14ac:dyDescent="0.25">
      <c r="A18536" s="64" t="str">
        <f>HYPERLINK("http://www.twitter.com/selvakumarr777", "selvakumarr777")</f>
        <v>selvakumarr777</v>
      </c>
      <c r="B18536" s="65"/>
    </row>
    <row r="18537" spans="1:2" x14ac:dyDescent="0.25">
      <c r="A18537" s="64" t="str">
        <f>HYPERLINK("http://www.twitter.com/LibraryJulie", "LibraryJulie")</f>
        <v>LibraryJulie</v>
      </c>
      <c r="B18537" s="65" t="s">
        <v>9291</v>
      </c>
    </row>
    <row r="18538" spans="1:2" x14ac:dyDescent="0.25">
      <c r="A18538" s="64" t="str">
        <f>HYPERLINK("http://www.twitter.com/TBS_SingleCard", "TBS_SingleCard")</f>
        <v>TBS_SingleCard</v>
      </c>
      <c r="B18538" s="65"/>
    </row>
    <row r="18539" spans="1:2" x14ac:dyDescent="0.25">
      <c r="A18539" s="64" t="str">
        <f>HYPERLINK("http://www.twitter.com/SwanseaUniLib", "SwanseaUniLib")</f>
        <v>SwanseaUniLib</v>
      </c>
      <c r="B18539" s="65" t="s">
        <v>496</v>
      </c>
    </row>
    <row r="18540" spans="1:2" x14ac:dyDescent="0.25">
      <c r="A18540" s="64" t="str">
        <f>HYPERLINK("http://www.twitter.com/HazzaCurls12", "HazzaCurls12")</f>
        <v>HazzaCurls12</v>
      </c>
      <c r="B18540" s="65" t="s">
        <v>9292</v>
      </c>
    </row>
    <row r="18541" spans="1:2" x14ac:dyDescent="0.25">
      <c r="A18541" s="64" t="str">
        <f>HYPERLINK("http://www.twitter.com/generalising", "generalising")</f>
        <v>generalising</v>
      </c>
      <c r="B18541" s="65" t="s">
        <v>61</v>
      </c>
    </row>
    <row r="18542" spans="1:2" x14ac:dyDescent="0.25">
      <c r="A18542" s="64" t="str">
        <f>HYPERLINK("http://www.twitter.com/ITCarlowLibrary", "ITCarlowLibrary")</f>
        <v>ITCarlowLibrary</v>
      </c>
      <c r="B18542" s="65" t="s">
        <v>9293</v>
      </c>
    </row>
    <row r="18543" spans="1:2" x14ac:dyDescent="0.25">
      <c r="A18543" s="64" t="str">
        <f>HYPERLINK("http://www.twitter.com/marie_librarian", "marie_librarian")</f>
        <v>marie_librarian</v>
      </c>
      <c r="B18543" s="65"/>
    </row>
    <row r="18544" spans="1:2" x14ac:dyDescent="0.25">
      <c r="A18544" s="64" t="str">
        <f>HYPERLINK("http://www.twitter.com/csinclair185", "csinclair185")</f>
        <v>csinclair185</v>
      </c>
      <c r="B18544" s="65" t="s">
        <v>4092</v>
      </c>
    </row>
    <row r="18545" spans="1:2" x14ac:dyDescent="0.25">
      <c r="A18545" s="64" t="str">
        <f>HYPERLINK("http://www.twitter.com/JeniMiddlehurst", "JeniMiddlehurst")</f>
        <v>JeniMiddlehurst</v>
      </c>
      <c r="B18545" s="65" t="s">
        <v>20</v>
      </c>
    </row>
    <row r="18546" spans="1:2" x14ac:dyDescent="0.25">
      <c r="A18546" s="64" t="str">
        <f>HYPERLINK("http://www.twitter.com/JMP_Publicity", "JMP_Publicity")</f>
        <v>JMP_Publicity</v>
      </c>
      <c r="B18546" s="65" t="s">
        <v>9198</v>
      </c>
    </row>
    <row r="18547" spans="1:2" x14ac:dyDescent="0.25">
      <c r="A18547" s="64" t="str">
        <f>HYPERLINK("http://www.twitter.com/pdoddy32", "pdoddy32")</f>
        <v>pdoddy32</v>
      </c>
      <c r="B18547" s="65" t="s">
        <v>3778</v>
      </c>
    </row>
    <row r="18548" spans="1:2" x14ac:dyDescent="0.25">
      <c r="A18548" s="64" t="str">
        <f>HYPERLINK("http://www.twitter.com/petitchoufleur", "petitchoufleur")</f>
        <v>petitchoufleur</v>
      </c>
      <c r="B18548" s="65" t="s">
        <v>93</v>
      </c>
    </row>
    <row r="18549" spans="1:2" x14ac:dyDescent="0.25">
      <c r="A18549" s="64" t="str">
        <f>HYPERLINK("http://www.twitter.com/clairenn1", "clairenn1")</f>
        <v>clairenn1</v>
      </c>
      <c r="B18549" s="65" t="s">
        <v>9294</v>
      </c>
    </row>
    <row r="18550" spans="1:2" x14ac:dyDescent="0.25">
      <c r="A18550" s="64" t="str">
        <f>HYPERLINK("http://www.twitter.com/bertyc", "bertyc")</f>
        <v>bertyc</v>
      </c>
      <c r="B18550" s="65" t="s">
        <v>296</v>
      </c>
    </row>
    <row r="18551" spans="1:2" x14ac:dyDescent="0.25">
      <c r="A18551" s="64" t="str">
        <f>HYPERLINK("http://www.twitter.com/katyleighk", "katyleighk")</f>
        <v>katyleighk</v>
      </c>
      <c r="B18551" s="65" t="s">
        <v>3317</v>
      </c>
    </row>
    <row r="18552" spans="1:2" x14ac:dyDescent="0.25">
      <c r="A18552" s="64" t="str">
        <f>HYPERLINK("http://www.twitter.com/madderose", "madderose")</f>
        <v>madderose</v>
      </c>
      <c r="B18552" s="65"/>
    </row>
    <row r="18553" spans="1:2" x14ac:dyDescent="0.25">
      <c r="A18553" s="64" t="str">
        <f>HYPERLINK("http://www.twitter.com/weekspmelanie", "weekspmelanie")</f>
        <v>weekspmelanie</v>
      </c>
      <c r="B18553" s="65"/>
    </row>
    <row r="18554" spans="1:2" x14ac:dyDescent="0.25">
      <c r="A18554" s="64" t="str">
        <f>HYPERLINK("http://www.twitter.com/josemsibaja", "josemsibaja")</f>
        <v>josemsibaja</v>
      </c>
      <c r="B18554" s="65" t="s">
        <v>9295</v>
      </c>
    </row>
    <row r="18555" spans="1:2" x14ac:dyDescent="0.25">
      <c r="A18555" s="64" t="str">
        <f>HYPERLINK("http://www.twitter.com/RozaSpeirs", "RozaSpeirs")</f>
        <v>RozaSpeirs</v>
      </c>
      <c r="B18555" s="65" t="s">
        <v>808</v>
      </c>
    </row>
    <row r="18556" spans="1:2" x14ac:dyDescent="0.25">
      <c r="A18556" s="64" t="str">
        <f>HYPERLINK("http://www.twitter.com/Alison_Edits", "Alison_Edits")</f>
        <v>Alison_Edits</v>
      </c>
      <c r="B18556" s="65" t="s">
        <v>9296</v>
      </c>
    </row>
    <row r="18557" spans="1:2" x14ac:dyDescent="0.25">
      <c r="A18557" s="64" t="str">
        <f>HYPERLINK("http://www.twitter.com/Dav1dlMicheal", "Dav1dlMicheal")</f>
        <v>Dav1dlMicheal</v>
      </c>
      <c r="B18557" s="65" t="s">
        <v>2007</v>
      </c>
    </row>
    <row r="18558" spans="1:2" x14ac:dyDescent="0.25">
      <c r="A18558" s="64" t="str">
        <f>HYPERLINK("http://www.twitter.com/poorcate", "poorcate")</f>
        <v>poorcate</v>
      </c>
      <c r="B18558" s="65"/>
    </row>
    <row r="18559" spans="1:2" x14ac:dyDescent="0.25">
      <c r="A18559" s="64" t="str">
        <f>HYPERLINK("http://www.twitter.com/rncmarchives", "rncmarchives")</f>
        <v>rncmarchives</v>
      </c>
      <c r="B18559" s="65" t="s">
        <v>9297</v>
      </c>
    </row>
    <row r="18560" spans="1:2" x14ac:dyDescent="0.25">
      <c r="A18560" s="64" t="str">
        <f>HYPERLINK("http://www.twitter.com/Katie_Ash", "Katie_Ash")</f>
        <v>Katie_Ash</v>
      </c>
      <c r="B18560" s="65" t="s">
        <v>1669</v>
      </c>
    </row>
    <row r="18561" spans="1:2" x14ac:dyDescent="0.25">
      <c r="A18561" s="64" t="str">
        <f>HYPERLINK("http://www.twitter.com/robynwoolston", "robynwoolston")</f>
        <v>robynwoolston</v>
      </c>
      <c r="B18561" s="65" t="s">
        <v>8221</v>
      </c>
    </row>
    <row r="18562" spans="1:2" x14ac:dyDescent="0.25">
      <c r="A18562" s="64" t="str">
        <f>HYPERLINK("http://www.twitter.com/TheGeorgianNTS", "TheGeorgianNTS")</f>
        <v>TheGeorgianNTS</v>
      </c>
      <c r="B18562" s="65" t="s">
        <v>487</v>
      </c>
    </row>
    <row r="18563" spans="1:2" x14ac:dyDescent="0.25">
      <c r="A18563" s="64" t="str">
        <f>HYPERLINK("http://www.twitter.com/duncanr2", "duncanr2")</f>
        <v>duncanr2</v>
      </c>
      <c r="B18563" s="65" t="s">
        <v>9298</v>
      </c>
    </row>
    <row r="18564" spans="1:2" x14ac:dyDescent="0.25">
      <c r="A18564" s="64" t="str">
        <f>HYPERLINK("http://www.twitter.com/sherylahx", "sherylahx")</f>
        <v>sherylahx</v>
      </c>
      <c r="B18564" s="65"/>
    </row>
    <row r="18565" spans="1:2" x14ac:dyDescent="0.25">
      <c r="A18565" s="64" t="str">
        <f>HYPERLINK("http://www.twitter.com/charliecat_98", "charliecat_98")</f>
        <v>charliecat_98</v>
      </c>
      <c r="B18565" s="65"/>
    </row>
    <row r="18566" spans="1:2" x14ac:dyDescent="0.25">
      <c r="A18566" s="64" t="str">
        <f>HYPERLINK("http://www.twitter.com/hmadden16", "hmadden16")</f>
        <v>hmadden16</v>
      </c>
      <c r="B18566" s="65"/>
    </row>
    <row r="18567" spans="1:2" x14ac:dyDescent="0.25">
      <c r="A18567" s="64" t="str">
        <f>HYPERLINK("http://www.twitter.com/robbiewords", "robbiewords")</f>
        <v>robbiewords</v>
      </c>
      <c r="B18567" s="65" t="s">
        <v>36</v>
      </c>
    </row>
    <row r="18568" spans="1:2" x14ac:dyDescent="0.25">
      <c r="A18568" s="64" t="str">
        <f>HYPERLINK("http://www.twitter.com/triciagolledge", "triciagolledge")</f>
        <v>triciagolledge</v>
      </c>
      <c r="B18568" s="65" t="s">
        <v>3213</v>
      </c>
    </row>
    <row r="18569" spans="1:2" x14ac:dyDescent="0.25">
      <c r="A18569" s="64" t="str">
        <f>HYPERLINK("http://www.twitter.com/MEJ_Library", "MEJ_Library")</f>
        <v>MEJ_Library</v>
      </c>
      <c r="B18569" s="65"/>
    </row>
    <row r="18570" spans="1:2" x14ac:dyDescent="0.25">
      <c r="A18570" s="64" t="str">
        <f>HYPERLINK("http://www.twitter.com/Stomp3er", "Stomp3er")</f>
        <v>Stomp3er</v>
      </c>
      <c r="B18570" s="65" t="s">
        <v>4837</v>
      </c>
    </row>
    <row r="18571" spans="1:2" x14ac:dyDescent="0.25">
      <c r="A18571" s="64" t="str">
        <f>HYPERLINK("http://www.twitter.com/margheritaedwa1", "margheritaedwa1")</f>
        <v>margheritaedwa1</v>
      </c>
      <c r="B18571" s="65"/>
    </row>
    <row r="18572" spans="1:2" x14ac:dyDescent="0.25">
      <c r="A18572" s="64" t="str">
        <f>HYPERLINK("http://www.twitter.com/DarrenLEdwards", "DarrenLEdwards")</f>
        <v>DarrenLEdwards</v>
      </c>
      <c r="B18572" s="65" t="s">
        <v>2449</v>
      </c>
    </row>
    <row r="18573" spans="1:2" x14ac:dyDescent="0.25">
      <c r="A18573" s="64" t="str">
        <f>HYPERLINK("http://www.twitter.com/lajunor", "lajunor")</f>
        <v>lajunor</v>
      </c>
      <c r="B18573" s="65" t="s">
        <v>8722</v>
      </c>
    </row>
    <row r="18574" spans="1:2" x14ac:dyDescent="0.25">
      <c r="A18574" s="64" t="str">
        <f>HYPERLINK("http://www.twitter.com/Topsy_Cat", "Topsy_Cat")</f>
        <v>Topsy_Cat</v>
      </c>
      <c r="B18574" s="65" t="s">
        <v>24</v>
      </c>
    </row>
    <row r="18575" spans="1:2" x14ac:dyDescent="0.25">
      <c r="A18575" s="64" t="str">
        <f>HYPERLINK("http://www.twitter.com/hanknits", "hanknits")</f>
        <v>hanknits</v>
      </c>
      <c r="B18575" s="65" t="s">
        <v>3779</v>
      </c>
    </row>
    <row r="18576" spans="1:2" x14ac:dyDescent="0.25">
      <c r="A18576" s="64" t="str">
        <f>HYPERLINK("http://www.twitter.com/Gus_lovegood", "Gus_lovegood")</f>
        <v>Gus_lovegood</v>
      </c>
      <c r="B18576" s="65" t="s">
        <v>9299</v>
      </c>
    </row>
    <row r="18577" spans="1:2" x14ac:dyDescent="0.25">
      <c r="A18577" s="64" t="str">
        <f>HYPERLINK("http://www.twitter.com/SCLibraries", "SCLibraries")</f>
        <v>SCLibraries</v>
      </c>
      <c r="B18577" s="65" t="s">
        <v>4806</v>
      </c>
    </row>
    <row r="18578" spans="1:2" x14ac:dyDescent="0.25">
      <c r="A18578" s="64" t="str">
        <f>HYPERLINK("http://www.twitter.com/JulieEdmonds63", "JulieEdmonds63")</f>
        <v>JulieEdmonds63</v>
      </c>
      <c r="B18578" s="65"/>
    </row>
    <row r="18579" spans="1:2" x14ac:dyDescent="0.25">
      <c r="A18579" s="64" t="str">
        <f>HYPERLINK("http://www.twitter.com/AllyBally68", "AllyBally68")</f>
        <v>AllyBally68</v>
      </c>
      <c r="B18579" s="65" t="s">
        <v>5667</v>
      </c>
    </row>
    <row r="18580" spans="1:2" x14ac:dyDescent="0.25">
      <c r="A18580" s="64" t="str">
        <f>HYPERLINK("http://www.twitter.com/sweetlefthook", "sweetlefthook")</f>
        <v>sweetlefthook</v>
      </c>
      <c r="B18580" s="65"/>
    </row>
    <row r="18581" spans="1:2" x14ac:dyDescent="0.25">
      <c r="A18581" s="64" t="str">
        <f>HYPERLINK("http://www.twitter.com/tullo15", "tullo15")</f>
        <v>tullo15</v>
      </c>
      <c r="B18581" s="65" t="s">
        <v>9300</v>
      </c>
    </row>
    <row r="18582" spans="1:2" x14ac:dyDescent="0.25">
      <c r="A18582" s="64" t="str">
        <f>HYPERLINK("http://www.twitter.com/DMontgomery91", "DMontgomery91")</f>
        <v>DMontgomery91</v>
      </c>
      <c r="B18582" s="65" t="s">
        <v>1377</v>
      </c>
    </row>
    <row r="18583" spans="1:2" x14ac:dyDescent="0.25">
      <c r="A18583" s="64" t="str">
        <f>HYPERLINK("http://www.twitter.com/LauraSomervill3", "LauraSomervill3")</f>
        <v>LauraSomervill3</v>
      </c>
      <c r="B18583" s="65"/>
    </row>
    <row r="18584" spans="1:2" x14ac:dyDescent="0.25">
      <c r="A18584" s="64" t="str">
        <f>HYPERLINK("http://www.twitter.com/DozzieSBC", "DozzieSBC")</f>
        <v>DozzieSBC</v>
      </c>
      <c r="B18584" s="65" t="s">
        <v>293</v>
      </c>
    </row>
    <row r="18585" spans="1:2" x14ac:dyDescent="0.25">
      <c r="A18585" s="64" t="str">
        <f>HYPERLINK("http://www.twitter.com/NotInordinately", "NotInordinately")</f>
        <v>NotInordinately</v>
      </c>
      <c r="B18585" s="65" t="s">
        <v>9301</v>
      </c>
    </row>
    <row r="18586" spans="1:2" x14ac:dyDescent="0.25">
      <c r="A18586" s="64" t="str">
        <f>HYPERLINK("http://www.twitter.com/theplaguedoc", "theplaguedoc")</f>
        <v>theplaguedoc</v>
      </c>
      <c r="B18586" s="65" t="s">
        <v>6548</v>
      </c>
    </row>
    <row r="18587" spans="1:2" x14ac:dyDescent="0.25">
      <c r="A18587" s="64" t="str">
        <f>HYPERLINK("http://www.twitter.com/madame_la_bean", "madame_la_bean")</f>
        <v>madame_la_bean</v>
      </c>
      <c r="B18587" s="65" t="s">
        <v>517</v>
      </c>
    </row>
    <row r="18588" spans="1:2" x14ac:dyDescent="0.25">
      <c r="A18588" s="64" t="str">
        <f>HYPERLINK("http://www.twitter.com/BatfishLD", "BatfishLD")</f>
        <v>BatfishLD</v>
      </c>
      <c r="B18588" s="65" t="s">
        <v>9302</v>
      </c>
    </row>
    <row r="18589" spans="1:2" x14ac:dyDescent="0.25">
      <c r="A18589" s="64" t="str">
        <f>HYPERLINK("http://www.twitter.com/je5kby", "je5kby")</f>
        <v>je5kby</v>
      </c>
      <c r="B18589" s="65" t="s">
        <v>9303</v>
      </c>
    </row>
    <row r="18590" spans="1:2" x14ac:dyDescent="0.25">
      <c r="A18590" s="64" t="str">
        <f>HYPERLINK("http://www.twitter.com/Pols80", "Pols80")</f>
        <v>Pols80</v>
      </c>
      <c r="B18590" s="65"/>
    </row>
    <row r="18591" spans="1:2" x14ac:dyDescent="0.25">
      <c r="A18591" s="64" t="str">
        <f>HYPERLINK("http://www.twitter.com/jonwatt876", "jonwatt876")</f>
        <v>jonwatt876</v>
      </c>
      <c r="B18591" s="65" t="s">
        <v>9304</v>
      </c>
    </row>
    <row r="18592" spans="1:2" x14ac:dyDescent="0.25">
      <c r="A18592" s="64" t="str">
        <f>HYPERLINK("http://www.twitter.com/starnong", "starnong")</f>
        <v>starnong</v>
      </c>
      <c r="B18592" s="65" t="s">
        <v>9305</v>
      </c>
    </row>
    <row r="18593" spans="1:2" x14ac:dyDescent="0.25">
      <c r="A18593" s="64" t="str">
        <f>HYPERLINK("http://www.twitter.com/AlixCoughlin", "AlixCoughlin")</f>
        <v>AlixCoughlin</v>
      </c>
      <c r="B18593" s="65"/>
    </row>
    <row r="18594" spans="1:2" x14ac:dyDescent="0.25">
      <c r="A18594" s="64" t="str">
        <f>HYPERLINK("http://www.twitter.com/kaybeemanageero", "kaybeemanageero")</f>
        <v>kaybeemanageero</v>
      </c>
      <c r="B18594" s="65" t="s">
        <v>601</v>
      </c>
    </row>
    <row r="18595" spans="1:2" x14ac:dyDescent="0.25">
      <c r="A18595" s="64" t="str">
        <f>HYPERLINK("http://www.twitter.com/therealcamille", "therealcamille")</f>
        <v>therealcamille</v>
      </c>
      <c r="B18595" s="65" t="s">
        <v>36</v>
      </c>
    </row>
    <row r="18596" spans="1:2" x14ac:dyDescent="0.25">
      <c r="A18596" s="64" t="str">
        <f>HYPERLINK("http://www.twitter.com/DeirdreMcCorry", "DeirdreMcCorry")</f>
        <v>DeirdreMcCorry</v>
      </c>
      <c r="B18596" s="65" t="s">
        <v>5203</v>
      </c>
    </row>
    <row r="18597" spans="1:2" x14ac:dyDescent="0.25">
      <c r="A18597" s="64" t="str">
        <f>HYPERLINK("http://www.twitter.com/PlummieMe", "PlummieMe")</f>
        <v>PlummieMe</v>
      </c>
      <c r="B18597" s="65" t="s">
        <v>9306</v>
      </c>
    </row>
    <row r="18598" spans="1:2" x14ac:dyDescent="0.25">
      <c r="A18598" s="64" t="str">
        <f>HYPERLINK("http://www.twitter.com/andrewpicken1", "andrewpicken1")</f>
        <v>andrewpicken1</v>
      </c>
      <c r="B18598" s="65"/>
    </row>
    <row r="18599" spans="1:2" x14ac:dyDescent="0.25">
      <c r="A18599" s="64" t="str">
        <f>HYPERLINK("http://www.twitter.com/Patrici09802443", "Patrici09802443")</f>
        <v>Patrici09802443</v>
      </c>
      <c r="B18599" s="65"/>
    </row>
    <row r="18600" spans="1:2" x14ac:dyDescent="0.25">
      <c r="A18600" s="64" t="str">
        <f>HYPERLINK("http://www.twitter.com/icecjan", "icecjan")</f>
        <v>icecjan</v>
      </c>
      <c r="B18600" s="65" t="s">
        <v>4129</v>
      </c>
    </row>
    <row r="18601" spans="1:2" x14ac:dyDescent="0.25">
      <c r="A18601" s="64" t="str">
        <f>HYPERLINK("http://www.twitter.com/AliJeannie", "AliJeannie")</f>
        <v>AliJeannie</v>
      </c>
      <c r="B18601" s="65" t="s">
        <v>9307</v>
      </c>
    </row>
    <row r="18602" spans="1:2" x14ac:dyDescent="0.25">
      <c r="A18602" s="64" t="str">
        <f>HYPERLINK("http://www.twitter.com/Fiona_WordsBird", "Fiona_WordsBird")</f>
        <v>Fiona_WordsBird</v>
      </c>
      <c r="B18602" s="65" t="s">
        <v>7300</v>
      </c>
    </row>
    <row r="18603" spans="1:2" x14ac:dyDescent="0.25">
      <c r="A18603" s="64" t="str">
        <f>HYPERLINK("http://www.twitter.com/TaylorJJ88", "TaylorJJ88")</f>
        <v>TaylorJJ88</v>
      </c>
      <c r="B18603" s="65" t="s">
        <v>9308</v>
      </c>
    </row>
    <row r="18604" spans="1:2" x14ac:dyDescent="0.25">
      <c r="A18604" s="64" t="str">
        <f>HYPERLINK("http://www.twitter.com/JulieON38265630", "JulieON38265630")</f>
        <v>JulieON38265630</v>
      </c>
      <c r="B18604" s="65"/>
    </row>
    <row r="18605" spans="1:2" x14ac:dyDescent="0.25">
      <c r="A18605" s="64" t="str">
        <f>HYPERLINK("http://www.twitter.com/ianthe88", "ianthe88")</f>
        <v>ianthe88</v>
      </c>
      <c r="B18605" s="65" t="s">
        <v>24</v>
      </c>
    </row>
    <row r="18606" spans="1:2" x14ac:dyDescent="0.25">
      <c r="A18606" s="64" t="str">
        <f>HYPERLINK("http://www.twitter.com/friend_becky", "friend_becky")</f>
        <v>friend_becky</v>
      </c>
      <c r="B18606" s="65"/>
    </row>
    <row r="18607" spans="1:2" x14ac:dyDescent="0.25">
      <c r="A18607" s="64" t="str">
        <f>HYPERLINK("http://www.twitter.com/nicolavaughan4", "nicolavaughan4")</f>
        <v>nicolavaughan4</v>
      </c>
      <c r="B18607" s="65"/>
    </row>
    <row r="18608" spans="1:2" x14ac:dyDescent="0.25">
      <c r="A18608" s="64" t="str">
        <f>HYPERLINK("http://www.twitter.com/OldLadyBedtime", "OldLadyBedtime")</f>
        <v>OldLadyBedtime</v>
      </c>
      <c r="B18608" s="65"/>
    </row>
    <row r="18609" spans="1:2" x14ac:dyDescent="0.25">
      <c r="A18609" s="64" t="str">
        <f>HYPERLINK("http://www.twitter.com/JoanneProut", "JoanneProut")</f>
        <v>JoanneProut</v>
      </c>
      <c r="B18609" s="65"/>
    </row>
    <row r="18610" spans="1:2" x14ac:dyDescent="0.25">
      <c r="A18610" s="64" t="str">
        <f>HYPERLINK("http://www.twitter.com/ClanVuolo", "ClanVuolo")</f>
        <v>ClanVuolo</v>
      </c>
      <c r="B18610" s="65"/>
    </row>
    <row r="18611" spans="1:2" x14ac:dyDescent="0.25">
      <c r="A18611" s="64" t="str">
        <f>HYPERLINK("http://www.twitter.com/nkford89", "nkford89")</f>
        <v>nkford89</v>
      </c>
      <c r="B18611" s="65"/>
    </row>
    <row r="18612" spans="1:2" x14ac:dyDescent="0.25">
      <c r="A18612" s="64" t="str">
        <f>HYPERLINK("http://www.twitter.com/zburgy", "zburgy")</f>
        <v>zburgy</v>
      </c>
      <c r="B18612" s="65" t="s">
        <v>9309</v>
      </c>
    </row>
    <row r="18613" spans="1:2" x14ac:dyDescent="0.25">
      <c r="A18613" s="64" t="str">
        <f>HYPERLINK("http://www.twitter.com/Rena_George", "Rena_George")</f>
        <v>Rena_George</v>
      </c>
      <c r="B18613" s="65" t="s">
        <v>1490</v>
      </c>
    </row>
    <row r="18614" spans="1:2" x14ac:dyDescent="0.25">
      <c r="A18614" s="64" t="str">
        <f>HYPERLINK("http://www.twitter.com/heatherlauren", "heatherlauren")</f>
        <v>heatherlauren</v>
      </c>
      <c r="B18614" s="65" t="s">
        <v>9310</v>
      </c>
    </row>
    <row r="18615" spans="1:2" x14ac:dyDescent="0.25">
      <c r="A18615" s="64" t="str">
        <f>HYPERLINK("http://www.twitter.com/blowin63", "blowin63")</f>
        <v>blowin63</v>
      </c>
      <c r="B18615" s="65" t="s">
        <v>9311</v>
      </c>
    </row>
    <row r="18616" spans="1:2" x14ac:dyDescent="0.25">
      <c r="A18616" s="64" t="str">
        <f>HYPERLINK("http://www.twitter.com/LibraliciousL", "LibraliciousL")</f>
        <v>LibraliciousL</v>
      </c>
      <c r="B18616" s="65" t="s">
        <v>9312</v>
      </c>
    </row>
    <row r="18617" spans="1:2" x14ac:dyDescent="0.25">
      <c r="A18617" s="64" t="str">
        <f>HYPERLINK("http://www.twitter.com/alanfalski", "alanfalski")</f>
        <v>alanfalski</v>
      </c>
      <c r="B18617" s="65" t="s">
        <v>487</v>
      </c>
    </row>
    <row r="18618" spans="1:2" x14ac:dyDescent="0.25">
      <c r="A18618" s="64" t="str">
        <f>HYPERLINK("http://www.twitter.com/AS2Scott", "AS2Scott")</f>
        <v>AS2Scott</v>
      </c>
      <c r="B18618" s="65" t="s">
        <v>487</v>
      </c>
    </row>
    <row r="18619" spans="1:2" x14ac:dyDescent="0.25">
      <c r="A18619" s="64" t="str">
        <f>HYPERLINK("http://www.twitter.com/lgreenpd", "lgreenpd")</f>
        <v>lgreenpd</v>
      </c>
      <c r="B18619" s="65" t="s">
        <v>4271</v>
      </c>
    </row>
    <row r="18620" spans="1:2" x14ac:dyDescent="0.25">
      <c r="A18620" s="64" t="str">
        <f>HYPERLINK("http://www.twitter.com/fergasaki", "fergasaki")</f>
        <v>fergasaki</v>
      </c>
      <c r="B18620" s="65"/>
    </row>
    <row r="18621" spans="1:2" x14ac:dyDescent="0.25">
      <c r="A18621" s="64" t="str">
        <f>HYPERLINK("http://www.twitter.com/BetthRobertson", "BetthRobertson")</f>
        <v>BetthRobertson</v>
      </c>
      <c r="B18621" s="65" t="s">
        <v>318</v>
      </c>
    </row>
    <row r="18622" spans="1:2" x14ac:dyDescent="0.25">
      <c r="A18622" s="64" t="str">
        <f>HYPERLINK("http://www.twitter.com/turyoung", "turyoung")</f>
        <v>turyoung</v>
      </c>
      <c r="B18622" s="65" t="s">
        <v>9313</v>
      </c>
    </row>
    <row r="18623" spans="1:2" x14ac:dyDescent="0.25">
      <c r="A18623" s="64" t="str">
        <f>HYPERLINK("http://www.twitter.com/StevenInMasan", "StevenInMasan")</f>
        <v>StevenInMasan</v>
      </c>
      <c r="B18623" s="65" t="s">
        <v>6548</v>
      </c>
    </row>
    <row r="18624" spans="1:2" x14ac:dyDescent="0.25">
      <c r="A18624" s="64" t="str">
        <f>HYPERLINK("http://www.twitter.com/OspreyMacIntyre", "OspreyMacIntyre")</f>
        <v>OspreyMacIntyre</v>
      </c>
      <c r="B18624" s="65" t="s">
        <v>24</v>
      </c>
    </row>
    <row r="18625" spans="1:2" x14ac:dyDescent="0.25">
      <c r="A18625" s="64" t="str">
        <f>HYPERLINK("http://www.twitter.com/richiegroobike", "richiegroobike")</f>
        <v>richiegroobike</v>
      </c>
      <c r="B18625" s="65"/>
    </row>
    <row r="18626" spans="1:2" x14ac:dyDescent="0.25">
      <c r="A18626" s="64" t="str">
        <f>HYPERLINK("http://www.twitter.com/SarahHeditor", "SarahHeditor")</f>
        <v>SarahHeditor</v>
      </c>
      <c r="B18626" s="65" t="s">
        <v>36</v>
      </c>
    </row>
    <row r="18627" spans="1:2" x14ac:dyDescent="0.25">
      <c r="A18627" s="64" t="str">
        <f>HYPERLINK("http://www.twitter.com/VacheEnrage", "VacheEnrage")</f>
        <v>VacheEnrage</v>
      </c>
      <c r="B18627" s="65" t="s">
        <v>517</v>
      </c>
    </row>
    <row r="18628" spans="1:2" x14ac:dyDescent="0.25">
      <c r="A18628" s="64" t="str">
        <f>HYPERLINK("http://www.twitter.com/utslibrary", "utslibrary")</f>
        <v>utslibrary</v>
      </c>
      <c r="B18628" s="65" t="s">
        <v>3817</v>
      </c>
    </row>
    <row r="18629" spans="1:2" x14ac:dyDescent="0.25">
      <c r="A18629" s="64" t="str">
        <f>HYPERLINK("http://www.twitter.com/NRA_Library", "NRA_Library")</f>
        <v>NRA_Library</v>
      </c>
      <c r="B18629" s="65" t="s">
        <v>2855</v>
      </c>
    </row>
    <row r="18630" spans="1:2" x14ac:dyDescent="0.25">
      <c r="A18630" s="64" t="str">
        <f>HYPERLINK("http://www.twitter.com/GraemeO28", "GraemeO28")</f>
        <v>GraemeO28</v>
      </c>
      <c r="B18630" s="65" t="s">
        <v>4147</v>
      </c>
    </row>
    <row r="18631" spans="1:2" x14ac:dyDescent="0.25">
      <c r="A18631" s="64" t="str">
        <f>HYPERLINK("http://www.twitter.com/ganepati", "ganepati")</f>
        <v>ganepati</v>
      </c>
      <c r="B18631" s="65" t="s">
        <v>517</v>
      </c>
    </row>
    <row r="18632" spans="1:2" x14ac:dyDescent="0.25">
      <c r="A18632" s="64" t="str">
        <f>HYPERLINK("http://www.twitter.com/UniquePizzaSubs", "UniquePizzaSubs")</f>
        <v>UniquePizzaSubs</v>
      </c>
      <c r="B18632" s="65" t="s">
        <v>9314</v>
      </c>
    </row>
    <row r="18633" spans="1:2" x14ac:dyDescent="0.25">
      <c r="A18633" s="64" t="str">
        <f>HYPERLINK("http://www.twitter.com/RayanneSinclair", "RayanneSinclair")</f>
        <v>RayanneSinclair</v>
      </c>
      <c r="B18633" s="65" t="s">
        <v>5357</v>
      </c>
    </row>
    <row r="18634" spans="1:2" x14ac:dyDescent="0.25">
      <c r="A18634" s="64" t="str">
        <f>HYPERLINK("http://www.twitter.com/cammerschooner", "cammerschooner")</f>
        <v>cammerschooner</v>
      </c>
      <c r="B18634" s="65" t="s">
        <v>4771</v>
      </c>
    </row>
    <row r="18635" spans="1:2" x14ac:dyDescent="0.25">
      <c r="A18635" s="64" t="str">
        <f>HYPERLINK("http://www.twitter.com/Lizzie64", "Lizzie64")</f>
        <v>Lizzie64</v>
      </c>
      <c r="B18635" s="65"/>
    </row>
    <row r="18636" spans="1:2" x14ac:dyDescent="0.25">
      <c r="A18636" s="64" t="str">
        <f>HYPERLINK("http://www.twitter.com/Davyshanks", "Davyshanks")</f>
        <v>Davyshanks</v>
      </c>
      <c r="B18636" s="65" t="s">
        <v>808</v>
      </c>
    </row>
    <row r="18637" spans="1:2" x14ac:dyDescent="0.25">
      <c r="A18637" s="64" t="str">
        <f>HYPERLINK("http://www.twitter.com/modernmiagarden", "modernmiagarden")</f>
        <v>modernmiagarden</v>
      </c>
      <c r="B18637" s="65" t="s">
        <v>9315</v>
      </c>
    </row>
    <row r="18638" spans="1:2" x14ac:dyDescent="0.25">
      <c r="A18638" s="64" t="str">
        <f>HYPERLINK("http://www.twitter.com/DrZorbas", "DrZorbas")</f>
        <v>DrZorbas</v>
      </c>
      <c r="B18638" s="65"/>
    </row>
    <row r="18639" spans="1:2" x14ac:dyDescent="0.25">
      <c r="A18639" s="64" t="str">
        <f>HYPERLINK("http://www.twitter.com/tylergooch", "tylergooch")</f>
        <v>tylergooch</v>
      </c>
      <c r="B18639" s="65" t="s">
        <v>9316</v>
      </c>
    </row>
    <row r="18640" spans="1:2" x14ac:dyDescent="0.25">
      <c r="A18640" s="64" t="str">
        <f>HYPERLINK("http://www.twitter.com/LaceyPR", "LaceyPR")</f>
        <v>LaceyPR</v>
      </c>
      <c r="B18640" s="65" t="s">
        <v>9317</v>
      </c>
    </row>
    <row r="18641" spans="1:2" x14ac:dyDescent="0.25">
      <c r="A18641" s="64" t="str">
        <f>HYPERLINK("http://www.twitter.com/PreslandRobert", "PreslandRobert")</f>
        <v>PreslandRobert</v>
      </c>
      <c r="B18641" s="65"/>
    </row>
    <row r="18642" spans="1:2" x14ac:dyDescent="0.25">
      <c r="A18642" s="64" t="str">
        <f>HYPERLINK("http://www.twitter.com/PeediePuffins", "PeediePuffins")</f>
        <v>PeediePuffins</v>
      </c>
      <c r="B18642" s="65" t="s">
        <v>4227</v>
      </c>
    </row>
    <row r="18643" spans="1:2" x14ac:dyDescent="0.25">
      <c r="A18643" s="64" t="str">
        <f>HYPERLINK("http://www.twitter.com/scottishleanne", "scottishleanne")</f>
        <v>scottishleanne</v>
      </c>
      <c r="B18643" s="65"/>
    </row>
    <row r="18644" spans="1:2" x14ac:dyDescent="0.25">
      <c r="A18644" s="64" t="str">
        <f>HYPERLINK("http://www.twitter.com/martate2001", "martate2001")</f>
        <v>martate2001</v>
      </c>
      <c r="B18644" s="65"/>
    </row>
    <row r="18645" spans="1:2" x14ac:dyDescent="0.25">
      <c r="A18645" s="64" t="str">
        <f>HYPERLINK("http://www.twitter.com/katyoctober", "katyoctober")</f>
        <v>katyoctober</v>
      </c>
      <c r="B18645" s="65" t="s">
        <v>1490</v>
      </c>
    </row>
    <row r="18646" spans="1:2" x14ac:dyDescent="0.25">
      <c r="A18646" s="64" t="str">
        <f>HYPERLINK("http://www.twitter.com/SamLibrary", "SamLibrary")</f>
        <v>SamLibrary</v>
      </c>
      <c r="B18646" s="65"/>
    </row>
    <row r="18647" spans="1:2" x14ac:dyDescent="0.25">
      <c r="A18647" s="64" t="str">
        <f>HYPERLINK("http://www.twitter.com/johnnicollques1", "johnnicollques1")</f>
        <v>johnnicollques1</v>
      </c>
      <c r="B18647" s="65"/>
    </row>
    <row r="18648" spans="1:2" x14ac:dyDescent="0.25">
      <c r="A18648" s="64" t="str">
        <f>HYPERLINK("http://www.twitter.com/cclark0707", "cclark0707")</f>
        <v>cclark0707</v>
      </c>
      <c r="B18648" s="65"/>
    </row>
    <row r="18649" spans="1:2" x14ac:dyDescent="0.25">
      <c r="A18649" s="64" t="str">
        <f>HYPERLINK("http://www.twitter.com/kjsinclair21", "kjsinclair21")</f>
        <v>kjsinclair21</v>
      </c>
      <c r="B18649" s="65"/>
    </row>
    <row r="18650" spans="1:2" x14ac:dyDescent="0.25">
      <c r="A18650" s="64" t="str">
        <f>HYPERLINK("http://www.twitter.com/saltirestudio", "saltirestudio")</f>
        <v>saltirestudio</v>
      </c>
      <c r="B18650" s="65" t="s">
        <v>487</v>
      </c>
    </row>
    <row r="18651" spans="1:2" x14ac:dyDescent="0.25">
      <c r="A18651" s="64" t="str">
        <f>HYPERLINK("http://www.twitter.com/JoolsMJones", "JoolsMJones")</f>
        <v>JoolsMJones</v>
      </c>
      <c r="B18651" s="65" t="s">
        <v>9318</v>
      </c>
    </row>
    <row r="18652" spans="1:2" x14ac:dyDescent="0.25">
      <c r="A18652" s="64" t="str">
        <f>HYPERLINK("http://www.twitter.com/DisSportsHumber", "DisSportsHumber")</f>
        <v>DisSportsHumber</v>
      </c>
      <c r="B18652" s="65" t="s">
        <v>9319</v>
      </c>
    </row>
    <row r="18653" spans="1:2" x14ac:dyDescent="0.25">
      <c r="A18653" s="64" t="str">
        <f>HYPERLINK("http://www.twitter.com/Thelastword1962", "Thelastword1962")</f>
        <v>Thelastword1962</v>
      </c>
      <c r="B18653" s="65" t="s">
        <v>711</v>
      </c>
    </row>
    <row r="18654" spans="1:2" x14ac:dyDescent="0.25">
      <c r="A18654" s="64" t="str">
        <f>HYPERLINK("http://www.twitter.com/kateellisauthor", "kateellisauthor")</f>
        <v>kateellisauthor</v>
      </c>
      <c r="B18654" s="65" t="s">
        <v>296</v>
      </c>
    </row>
    <row r="18655" spans="1:2" x14ac:dyDescent="0.25">
      <c r="A18655" s="64" t="str">
        <f>HYPERLINK("http://www.twitter.com/SarahWa92791754", "SarahWa92791754")</f>
        <v>SarahWa92791754</v>
      </c>
      <c r="B18655" s="65"/>
    </row>
    <row r="18656" spans="1:2" x14ac:dyDescent="0.25">
      <c r="A18656" s="64" t="str">
        <f>HYPERLINK("http://www.twitter.com/DeweyGirlUK", "DeweyGirlUK")</f>
        <v>DeweyGirlUK</v>
      </c>
      <c r="B18656" s="65" t="s">
        <v>70</v>
      </c>
    </row>
    <row r="18657" spans="1:2" x14ac:dyDescent="0.25">
      <c r="A18657" s="64" t="str">
        <f>HYPERLINK("http://www.twitter.com/flor_mouque", "flor_mouque")</f>
        <v>flor_mouque</v>
      </c>
      <c r="B18657" s="65" t="s">
        <v>9320</v>
      </c>
    </row>
    <row r="18658" spans="1:2" x14ac:dyDescent="0.25">
      <c r="A18658" s="64" t="str">
        <f>HYPERLINK("http://www.twitter.com/KatyaHenry", "KatyaHenry")</f>
        <v>KatyaHenry</v>
      </c>
      <c r="B18658" s="65"/>
    </row>
    <row r="18659" spans="1:2" x14ac:dyDescent="0.25">
      <c r="A18659" s="64" t="str">
        <f>HYPERLINK("http://www.twitter.com/LibriLea", "LibriLea")</f>
        <v>LibriLea</v>
      </c>
      <c r="B18659" s="65" t="s">
        <v>9321</v>
      </c>
    </row>
    <row r="18660" spans="1:2" x14ac:dyDescent="0.25">
      <c r="A18660" s="64" t="str">
        <f>HYPERLINK("http://www.twitter.com/speedie212", "speedie212")</f>
        <v>speedie212</v>
      </c>
      <c r="B18660" s="65"/>
    </row>
    <row r="18661" spans="1:2" x14ac:dyDescent="0.25">
      <c r="A18661" s="64" t="str">
        <f>HYPERLINK("http://www.twitter.com/DanWTG", "DanWTG")</f>
        <v>DanWTG</v>
      </c>
      <c r="B18661" s="65"/>
    </row>
    <row r="18662" spans="1:2" x14ac:dyDescent="0.25">
      <c r="A18662" s="64" t="str">
        <f>HYPERLINK("http://www.twitter.com/cameron07720281", "cameron07720281")</f>
        <v>cameron07720281</v>
      </c>
      <c r="B18662" s="65"/>
    </row>
    <row r="18663" spans="1:2" x14ac:dyDescent="0.25">
      <c r="A18663" s="64" t="str">
        <f>HYPERLINK("http://www.twitter.com/ardit_haliti", "ardit_haliti")</f>
        <v>ardit_haliti</v>
      </c>
      <c r="B18663" s="65" t="s">
        <v>9322</v>
      </c>
    </row>
    <row r="18664" spans="1:2" x14ac:dyDescent="0.25">
      <c r="A18664" s="64" t="str">
        <f>HYPERLINK("http://www.twitter.com/MillsMccauley", "MillsMccauley")</f>
        <v>MillsMccauley</v>
      </c>
      <c r="B18664" s="65"/>
    </row>
    <row r="18665" spans="1:2" x14ac:dyDescent="0.25">
      <c r="A18665" s="64" t="str">
        <f>HYPERLINK("http://www.twitter.com/NightEagle22", "NightEagle22")</f>
        <v>NightEagle22</v>
      </c>
      <c r="B18665" s="65" t="s">
        <v>9323</v>
      </c>
    </row>
    <row r="18666" spans="1:2" x14ac:dyDescent="0.25">
      <c r="A18666" s="64" t="str">
        <f>HYPERLINK("http://www.twitter.com/biggybaggyboggy", "biggybaggyboggy")</f>
        <v>biggybaggyboggy</v>
      </c>
      <c r="B18666" s="65" t="s">
        <v>9324</v>
      </c>
    </row>
    <row r="18667" spans="1:2" x14ac:dyDescent="0.25">
      <c r="A18667" s="64" t="str">
        <f>HYPERLINK("http://www.twitter.com/JennaTait", "JennaTait")</f>
        <v>JennaTait</v>
      </c>
      <c r="B18667" s="65" t="s">
        <v>7170</v>
      </c>
    </row>
    <row r="18668" spans="1:2" x14ac:dyDescent="0.25">
      <c r="A18668" s="64" t="str">
        <f>HYPERLINK("http://www.twitter.com/sherlrain", "sherlrain")</f>
        <v>sherlrain</v>
      </c>
      <c r="B18668" s="65"/>
    </row>
    <row r="18669" spans="1:2" x14ac:dyDescent="0.25">
      <c r="A18669" s="64" t="str">
        <f>HYPERLINK("http://www.twitter.com/fillmyfootprint", "fillmyfootprint")</f>
        <v>fillmyfootprint</v>
      </c>
      <c r="B18669" s="65" t="s">
        <v>6267</v>
      </c>
    </row>
    <row r="18670" spans="1:2" x14ac:dyDescent="0.25">
      <c r="A18670" s="64" t="str">
        <f>HYPERLINK("http://www.twitter.com/Buttoncutestcat", "Buttoncutestcat")</f>
        <v>Buttoncutestcat</v>
      </c>
      <c r="B18670" s="65" t="s">
        <v>9325</v>
      </c>
    </row>
    <row r="18671" spans="1:2" x14ac:dyDescent="0.25">
      <c r="A18671" s="64" t="str">
        <f>HYPERLINK("http://www.twitter.com/KnittyLizard", "KnittyLizard")</f>
        <v>KnittyLizard</v>
      </c>
      <c r="B18671" s="65"/>
    </row>
    <row r="18672" spans="1:2" x14ac:dyDescent="0.25">
      <c r="A18672" s="64" t="str">
        <f>HYPERLINK("http://www.twitter.com/GeoffWaltoniLit", "GeoffWaltoniLit")</f>
        <v>GeoffWaltoniLit</v>
      </c>
      <c r="B18672" s="65" t="s">
        <v>296</v>
      </c>
    </row>
    <row r="18673" spans="1:2" x14ac:dyDescent="0.25">
      <c r="A18673" s="64" t="str">
        <f>HYPERLINK("http://www.twitter.com/AiberdeinQuine", "AiberdeinQuine")</f>
        <v>AiberdeinQuine</v>
      </c>
      <c r="B18673" s="65"/>
    </row>
    <row r="18674" spans="1:2" x14ac:dyDescent="0.25">
      <c r="A18674" s="64" t="str">
        <f>HYPERLINK("http://www.twitter.com/est_laird", "est_laird")</f>
        <v>est_laird</v>
      </c>
      <c r="B18674" s="65"/>
    </row>
    <row r="18675" spans="1:2" x14ac:dyDescent="0.25">
      <c r="A18675" s="64" t="str">
        <f>HYPERLINK("http://www.twitter.com/Hina_Belitz", "Hina_Belitz")</f>
        <v>Hina_Belitz</v>
      </c>
      <c r="B18675" s="65" t="s">
        <v>477</v>
      </c>
    </row>
    <row r="18676" spans="1:2" x14ac:dyDescent="0.25">
      <c r="A18676" s="64" t="str">
        <f>HYPERLINK("http://www.twitter.com/drdavideng", "drdavideng")</f>
        <v>drdavideng</v>
      </c>
      <c r="B18676" s="65" t="s">
        <v>4146</v>
      </c>
    </row>
    <row r="18677" spans="1:2" x14ac:dyDescent="0.25">
      <c r="A18677" s="64" t="str">
        <f>HYPERLINK("http://www.twitter.com/Samantha_427", "Samantha_427")</f>
        <v>Samantha_427</v>
      </c>
      <c r="B18677" s="65" t="s">
        <v>9326</v>
      </c>
    </row>
    <row r="18678" spans="1:2" x14ac:dyDescent="0.25">
      <c r="A18678" s="64" t="str">
        <f>HYPERLINK("http://www.twitter.com/blackhound01", "blackhound01")</f>
        <v>blackhound01</v>
      </c>
      <c r="B18678" s="65" t="s">
        <v>5163</v>
      </c>
    </row>
    <row r="18679" spans="1:2" x14ac:dyDescent="0.25">
      <c r="A18679" s="64" t="str">
        <f>HYPERLINK("http://www.twitter.com/LLdeMerle", "LLdeMerle")</f>
        <v>LLdeMerle</v>
      </c>
      <c r="B18679" s="65" t="s">
        <v>9327</v>
      </c>
    </row>
    <row r="18680" spans="1:2" x14ac:dyDescent="0.25">
      <c r="A18680" s="64" t="str">
        <f>HYPERLINK("http://www.twitter.com/JooVitorBarrios", "JooVitorBarrios")</f>
        <v>JooVitorBarrios</v>
      </c>
      <c r="B18680" s="65"/>
    </row>
    <row r="18681" spans="1:2" x14ac:dyDescent="0.25">
      <c r="A18681" s="64" t="str">
        <f>HYPERLINK("http://www.twitter.com/LouisaOrford", "LouisaOrford")</f>
        <v>LouisaOrford</v>
      </c>
      <c r="B18681" s="65" t="s">
        <v>4157</v>
      </c>
    </row>
    <row r="18682" spans="1:2" x14ac:dyDescent="0.25">
      <c r="A18682" s="64" t="str">
        <f>HYPERLINK("http://www.twitter.com/sue_wellings", "sue_wellings")</f>
        <v>sue_wellings</v>
      </c>
      <c r="B18682" s="65"/>
    </row>
    <row r="18683" spans="1:2" x14ac:dyDescent="0.25">
      <c r="A18683" s="64" t="str">
        <f>HYPERLINK("http://www.twitter.com/jonathanmcshane", "jonathanmcshane")</f>
        <v>jonathanmcshane</v>
      </c>
      <c r="B18683" s="65" t="s">
        <v>5291</v>
      </c>
    </row>
    <row r="18684" spans="1:2" x14ac:dyDescent="0.25">
      <c r="A18684" s="64" t="str">
        <f>HYPERLINK("http://www.twitter.com/DaveTheBook", "DaveTheBook")</f>
        <v>DaveTheBook</v>
      </c>
      <c r="B18684" s="65" t="s">
        <v>9328</v>
      </c>
    </row>
    <row r="18685" spans="1:2" x14ac:dyDescent="0.25">
      <c r="A18685" s="64" t="str">
        <f>HYPERLINK("http://www.twitter.com/melissa18522836", "melissa18522836")</f>
        <v>melissa18522836</v>
      </c>
      <c r="B18685" s="65"/>
    </row>
    <row r="18686" spans="1:2" x14ac:dyDescent="0.25">
      <c r="A18686" s="64" t="str">
        <f>HYPERLINK("http://www.twitter.com/leapxrxz", "leapxrxz")</f>
        <v>leapxrxz</v>
      </c>
      <c r="B18686" s="65"/>
    </row>
    <row r="18687" spans="1:2" x14ac:dyDescent="0.25">
      <c r="A18687" s="64" t="str">
        <f>HYPERLINK("http://www.twitter.com/Historiannie", "Historiannie")</f>
        <v>Historiannie</v>
      </c>
      <c r="B18687" s="65"/>
    </row>
    <row r="18688" spans="1:2" x14ac:dyDescent="0.25">
      <c r="A18688" s="64" t="str">
        <f>HYPERLINK("http://www.twitter.com/SaffronShore", "SaffronShore")</f>
        <v>SaffronShore</v>
      </c>
      <c r="B18688" s="65" t="s">
        <v>9329</v>
      </c>
    </row>
    <row r="18689" spans="1:2" x14ac:dyDescent="0.25">
      <c r="A18689" s="64" t="str">
        <f>HYPERLINK("http://www.twitter.com/Mrs_Direction99", "Mrs_Direction99")</f>
        <v>Mrs_Direction99</v>
      </c>
      <c r="B18689" s="65"/>
    </row>
    <row r="18690" spans="1:2" x14ac:dyDescent="0.25">
      <c r="A18690" s="64" t="str">
        <f>HYPERLINK("http://www.twitter.com/Andersonsclib", "Andersonsclib")</f>
        <v>Andersonsclib</v>
      </c>
      <c r="B18690" s="65" t="s">
        <v>9330</v>
      </c>
    </row>
    <row r="18691" spans="1:2" x14ac:dyDescent="0.25">
      <c r="A18691" s="64" t="str">
        <f>HYPERLINK("http://www.twitter.com/BookishBrianna", "BookishBrianna")</f>
        <v>BookishBrianna</v>
      </c>
      <c r="B18691" s="65"/>
    </row>
    <row r="18692" spans="1:2" x14ac:dyDescent="0.25">
      <c r="A18692" s="64" t="str">
        <f>HYPERLINK("http://www.twitter.com/MichelleKeba", "MichelleKeba")</f>
        <v>MichelleKeba</v>
      </c>
      <c r="B18692" s="65"/>
    </row>
    <row r="18693" spans="1:2" x14ac:dyDescent="0.25">
      <c r="A18693" s="64" t="str">
        <f>HYPERLINK("http://www.twitter.com/tctclibrary", "tctclibrary")</f>
        <v>tctclibrary</v>
      </c>
      <c r="B18693" s="65" t="s">
        <v>9331</v>
      </c>
    </row>
    <row r="18694" spans="1:2" x14ac:dyDescent="0.25">
      <c r="A18694" s="64" t="str">
        <f>HYPERLINK("http://www.twitter.com/minicarmona104", "minicarmona104")</f>
        <v>minicarmona104</v>
      </c>
      <c r="B18694" s="65"/>
    </row>
    <row r="18695" spans="1:2" x14ac:dyDescent="0.25">
      <c r="A18695" s="64" t="str">
        <f>HYPERLINK("http://www.twitter.com/_0livaras", "_0livaras")</f>
        <v>_0livaras</v>
      </c>
      <c r="B18695" s="65"/>
    </row>
    <row r="18696" spans="1:2" x14ac:dyDescent="0.25">
      <c r="A18696" s="64" t="str">
        <f>HYPERLINK("http://www.twitter.com/archiemacleod", "archiemacleod")</f>
        <v>archiemacleod</v>
      </c>
      <c r="B18696" s="65" t="s">
        <v>514</v>
      </c>
    </row>
    <row r="18697" spans="1:2" x14ac:dyDescent="0.25">
      <c r="A18697" s="64" t="str">
        <f>HYPERLINK("http://www.twitter.com/jk_r0wIing", "jk_r0wIing")</f>
        <v>jk_r0wIing</v>
      </c>
      <c r="B18697" s="65"/>
    </row>
    <row r="18698" spans="1:2" x14ac:dyDescent="0.25">
      <c r="A18698" s="64" t="str">
        <f>HYPERLINK("http://www.twitter.com/AbMuseums", "AbMuseums")</f>
        <v>AbMuseums</v>
      </c>
      <c r="B18698" s="65" t="s">
        <v>4057</v>
      </c>
    </row>
    <row r="18699" spans="1:2" x14ac:dyDescent="0.25">
      <c r="A18699" s="64" t="str">
        <f>HYPERLINK("http://www.twitter.com/HelenNeedham", "HelenNeedham")</f>
        <v>HelenNeedham</v>
      </c>
      <c r="B18699" s="65" t="s">
        <v>2007</v>
      </c>
    </row>
    <row r="18700" spans="1:2" x14ac:dyDescent="0.25">
      <c r="A18700" s="64" t="str">
        <f>HYPERLINK("http://www.twitter.com/WaterlooLibrary", "WaterlooLibrary")</f>
        <v>WaterlooLibrary</v>
      </c>
      <c r="B18700" s="65" t="s">
        <v>9332</v>
      </c>
    </row>
    <row r="18701" spans="1:2" x14ac:dyDescent="0.25">
      <c r="A18701" s="64" t="str">
        <f>HYPERLINK("http://www.twitter.com/WhiteCwhite527", "WhiteCwhite527")</f>
        <v>WhiteCwhite527</v>
      </c>
      <c r="B18701" s="65" t="s">
        <v>9333</v>
      </c>
    </row>
    <row r="18702" spans="1:2" x14ac:dyDescent="0.25">
      <c r="A18702" s="64" t="str">
        <f>HYPERLINK("http://www.twitter.com/EdmundSutcliffe", "EdmundSutcliffe")</f>
        <v>EdmundSutcliffe</v>
      </c>
      <c r="B18702" s="65"/>
    </row>
    <row r="18703" spans="1:2" x14ac:dyDescent="0.25">
      <c r="A18703" s="64" t="str">
        <f>HYPERLINK("http://www.twitter.com/k8deans", "k8deans")</f>
        <v>k8deans</v>
      </c>
      <c r="B18703" s="65" t="s">
        <v>9334</v>
      </c>
    </row>
    <row r="18704" spans="1:2" x14ac:dyDescent="0.25">
      <c r="A18704" s="64" t="str">
        <f>HYPERLINK("http://www.twitter.com/InglewoodPublic", "InglewoodPublic")</f>
        <v>InglewoodPublic</v>
      </c>
      <c r="B18704" s="65" t="s">
        <v>9335</v>
      </c>
    </row>
    <row r="18705" spans="1:2" x14ac:dyDescent="0.25">
      <c r="A18705" s="64" t="str">
        <f>HYPERLINK("http://www.twitter.com/AnnaaaaTaylor", "AnnaaaaTaylor")</f>
        <v>AnnaaaaTaylor</v>
      </c>
      <c r="B18705" s="65" t="s">
        <v>517</v>
      </c>
    </row>
    <row r="18706" spans="1:2" x14ac:dyDescent="0.25">
      <c r="A18706" s="64" t="str">
        <f>HYPERLINK("http://www.twitter.com/rudra0705", "rudra0705")</f>
        <v>rudra0705</v>
      </c>
      <c r="B18706" s="65"/>
    </row>
    <row r="18707" spans="1:2" x14ac:dyDescent="0.25">
      <c r="A18707" s="64" t="str">
        <f>HYPERLINK("http://www.twitter.com/MillCreekLib", "MillCreekLib")</f>
        <v>MillCreekLib</v>
      </c>
      <c r="B18707" s="65" t="s">
        <v>9336</v>
      </c>
    </row>
    <row r="18708" spans="1:2" x14ac:dyDescent="0.25">
      <c r="A18708" s="64" t="str">
        <f>HYPERLINK("http://www.twitter.com/Tracy_Chevalier", "Tracy_Chevalier")</f>
        <v>Tracy_Chevalier</v>
      </c>
      <c r="B18708" s="65" t="s">
        <v>9337</v>
      </c>
    </row>
    <row r="18709" spans="1:2" x14ac:dyDescent="0.25">
      <c r="A18709" s="64" t="str">
        <f>HYPERLINK("http://www.twitter.com/vegascage", "vegascage")</f>
        <v>vegascage</v>
      </c>
      <c r="B18709" s="65"/>
    </row>
    <row r="18710" spans="1:2" x14ac:dyDescent="0.25">
      <c r="A18710" s="64" t="str">
        <f>HYPERLINK("http://www.twitter.com/burymebridgett", "burymebridgett")</f>
        <v>burymebridgett</v>
      </c>
      <c r="B18710" s="65" t="s">
        <v>9338</v>
      </c>
    </row>
    <row r="18711" spans="1:2" x14ac:dyDescent="0.25">
      <c r="A18711" s="64" t="str">
        <f>HYPERLINK("http://www.twitter.com/MAGelsey", "MAGelsey")</f>
        <v>MAGelsey</v>
      </c>
      <c r="B18711" s="65"/>
    </row>
    <row r="18712" spans="1:2" x14ac:dyDescent="0.25">
      <c r="A18712" s="64" t="str">
        <f>HYPERLINK("http://www.twitter.com/ISBA2016", "ISBA2016")</f>
        <v>ISBA2016</v>
      </c>
      <c r="B18712" s="65" t="s">
        <v>487</v>
      </c>
    </row>
    <row r="18713" spans="1:2" x14ac:dyDescent="0.25">
      <c r="A18713" s="64" t="str">
        <f>HYPERLINK("http://www.twitter.com/genevievemart", "genevievemart")</f>
        <v>genevievemart</v>
      </c>
      <c r="B18713" s="65" t="s">
        <v>459</v>
      </c>
    </row>
    <row r="18714" spans="1:2" x14ac:dyDescent="0.25">
      <c r="A18714" s="64" t="str">
        <f>HYPERLINK("http://www.twitter.com/gml1987", "gml1987")</f>
        <v>gml1987</v>
      </c>
      <c r="B18714" s="65"/>
    </row>
    <row r="18715" spans="1:2" x14ac:dyDescent="0.25">
      <c r="A18715" s="64" t="str">
        <f>HYPERLINK("http://www.twitter.com/albanystreet", "albanystreet")</f>
        <v>albanystreet</v>
      </c>
      <c r="B18715" s="65" t="s">
        <v>9339</v>
      </c>
    </row>
    <row r="18716" spans="1:2" x14ac:dyDescent="0.25">
      <c r="A18716" s="64" t="str">
        <f>HYPERLINK("http://www.twitter.com/CharlotteLEyre", "CharlotteLEyre")</f>
        <v>CharlotteLEyre</v>
      </c>
      <c r="B18716" s="65" t="s">
        <v>36</v>
      </c>
    </row>
    <row r="18717" spans="1:2" x14ac:dyDescent="0.25">
      <c r="A18717" s="64" t="str">
        <f>HYPERLINK("http://www.twitter.com/puretemerity", "puretemerity")</f>
        <v>puretemerity</v>
      </c>
      <c r="B18717" s="65" t="s">
        <v>67</v>
      </c>
    </row>
    <row r="18718" spans="1:2" x14ac:dyDescent="0.25">
      <c r="A18718" s="64" t="str">
        <f>HYPERLINK("http://www.twitter.com/TwoIfBySea71", "TwoIfBySea71")</f>
        <v>TwoIfBySea71</v>
      </c>
      <c r="B18718" s="65" t="s">
        <v>5117</v>
      </c>
    </row>
    <row r="18719" spans="1:2" x14ac:dyDescent="0.25">
      <c r="A18719" s="64" t="str">
        <f>HYPERLINK("http://www.twitter.com/calbo", "calbo")</f>
        <v>calbo</v>
      </c>
      <c r="B18719" s="65" t="s">
        <v>9340</v>
      </c>
    </row>
    <row r="18720" spans="1:2" x14ac:dyDescent="0.25">
      <c r="A18720" s="64" t="str">
        <f>HYPERLINK("http://www.twitter.com/DrCarolineBrown", "DrCarolineBrown")</f>
        <v>DrCarolineBrown</v>
      </c>
      <c r="B18720" s="65" t="s">
        <v>24</v>
      </c>
    </row>
    <row r="18721" spans="1:2" x14ac:dyDescent="0.25">
      <c r="A18721" s="64" t="str">
        <f>HYPERLINK("http://www.twitter.com/HarryMarch_27", "HarryMarch_27")</f>
        <v>HarryMarch_27</v>
      </c>
      <c r="B18721" s="65" t="s">
        <v>318</v>
      </c>
    </row>
    <row r="18722" spans="1:2" x14ac:dyDescent="0.25">
      <c r="A18722" s="64" t="str">
        <f>HYPERLINK("http://www.twitter.com/LibrarianShush", "LibrarianShush")</f>
        <v>LibrarianShush</v>
      </c>
      <c r="B18722" s="65"/>
    </row>
    <row r="18723" spans="1:2" x14ac:dyDescent="0.25">
      <c r="A18723" s="64" t="str">
        <f>HYPERLINK("http://www.twitter.com/LizSmithArt", "LizSmithArt")</f>
        <v>LizSmithArt</v>
      </c>
      <c r="B18723" s="65"/>
    </row>
    <row r="18724" spans="1:2" x14ac:dyDescent="0.25">
      <c r="A18724" s="64" t="str">
        <f>HYPERLINK("http://www.twitter.com/Karl304", "Karl304")</f>
        <v>Karl304</v>
      </c>
      <c r="B18724" s="65" t="s">
        <v>487</v>
      </c>
    </row>
    <row r="18725" spans="1:2" x14ac:dyDescent="0.25">
      <c r="A18725" s="64" t="str">
        <f>HYPERLINK("http://www.twitter.com/PortisheadLido", "PortisheadLido")</f>
        <v>PortisheadLido</v>
      </c>
      <c r="B18725" s="65" t="s">
        <v>9341</v>
      </c>
    </row>
    <row r="18726" spans="1:2" x14ac:dyDescent="0.25">
      <c r="A18726" s="64" t="str">
        <f>HYPERLINK("http://www.twitter.com/FYiBlackpool6th", "FYiBlackpool6th")</f>
        <v>FYiBlackpool6th</v>
      </c>
      <c r="B18726" s="65" t="s">
        <v>5424</v>
      </c>
    </row>
    <row r="18727" spans="1:2" x14ac:dyDescent="0.25">
      <c r="A18727" s="64" t="str">
        <f>HYPERLINK("http://www.twitter.com/thisGRAEME", "thisGRAEME")</f>
        <v>thisGRAEME</v>
      </c>
      <c r="B18727" s="65" t="s">
        <v>9342</v>
      </c>
    </row>
    <row r="18728" spans="1:2" x14ac:dyDescent="0.25">
      <c r="A18728" s="64" t="str">
        <f>HYPERLINK("http://www.twitter.com/libraryisland", "libraryisland")</f>
        <v>libraryisland</v>
      </c>
      <c r="B18728" s="65" t="s">
        <v>788</v>
      </c>
    </row>
    <row r="18729" spans="1:2" x14ac:dyDescent="0.25">
      <c r="A18729" s="64" t="str">
        <f>HYPERLINK("http://www.twitter.com/cairngormsnews", "cairngormsnews")</f>
        <v>cairngormsnews</v>
      </c>
      <c r="B18729" s="65" t="s">
        <v>517</v>
      </c>
    </row>
    <row r="18730" spans="1:2" x14ac:dyDescent="0.25">
      <c r="A18730" s="64" t="str">
        <f>HYPERLINK("http://www.twitter.com/ericwitham", "ericwitham")</f>
        <v>ericwitham</v>
      </c>
      <c r="B18730" s="65" t="s">
        <v>138</v>
      </c>
    </row>
    <row r="18731" spans="1:2" x14ac:dyDescent="0.25">
      <c r="A18731" s="64" t="str">
        <f>HYPERLINK("http://www.twitter.com/Verity_Louise", "Verity_Louise")</f>
        <v>Verity_Louise</v>
      </c>
      <c r="B18731" s="65" t="s">
        <v>9343</v>
      </c>
    </row>
    <row r="18732" spans="1:2" x14ac:dyDescent="0.25">
      <c r="A18732" s="64" t="str">
        <f>HYPERLINK("http://www.twitter.com/RJMulder", "RJMulder")</f>
        <v>RJMulder</v>
      </c>
      <c r="B18732" s="65"/>
    </row>
    <row r="18733" spans="1:2" x14ac:dyDescent="0.25">
      <c r="A18733" s="64" t="str">
        <f>HYPERLINK("http://www.twitter.com/rgbbc", "rgbbc")</f>
        <v>rgbbc</v>
      </c>
      <c r="B18733" s="65"/>
    </row>
    <row r="18734" spans="1:2" x14ac:dyDescent="0.25">
      <c r="A18734" s="64" t="str">
        <f>HYPERLINK("http://www.twitter.com/juxtabook", "juxtabook")</f>
        <v>juxtabook</v>
      </c>
      <c r="B18734" s="65" t="s">
        <v>9344</v>
      </c>
    </row>
    <row r="18735" spans="1:2" x14ac:dyDescent="0.25">
      <c r="A18735" s="64" t="str">
        <f>HYPERLINK("http://www.twitter.com/BloomsburyBooks", "BloomsburyBooks")</f>
        <v>BloomsburyBooks</v>
      </c>
      <c r="B18735" s="65" t="s">
        <v>5853</v>
      </c>
    </row>
    <row r="18736" spans="1:2" x14ac:dyDescent="0.25">
      <c r="A18736" s="64" t="str">
        <f>HYPERLINK("http://www.twitter.com/DavidBNicholson", "DavidBNicholson")</f>
        <v>DavidBNicholson</v>
      </c>
      <c r="B18736" s="65"/>
    </row>
    <row r="18737" spans="1:2" x14ac:dyDescent="0.25">
      <c r="A18737" s="64" t="str">
        <f>HYPERLINK("http://www.twitter.com/nassaulinda", "nassaulinda")</f>
        <v>nassaulinda</v>
      </c>
      <c r="B18737" s="65"/>
    </row>
    <row r="18738" spans="1:2" x14ac:dyDescent="0.25">
      <c r="A18738" s="64" t="str">
        <f>HYPERLINK("http://www.twitter.com/sxpat", "sxpat")</f>
        <v>sxpat</v>
      </c>
      <c r="B18738" s="65"/>
    </row>
    <row r="18739" spans="1:2" x14ac:dyDescent="0.25">
      <c r="A18739" s="64" t="str">
        <f>HYPERLINK("http://www.twitter.com/kathryn_blaze", "kathryn_blaze")</f>
        <v>kathryn_blaze</v>
      </c>
      <c r="B18739" s="65" t="s">
        <v>6206</v>
      </c>
    </row>
    <row r="18740" spans="1:2" x14ac:dyDescent="0.25">
      <c r="A18740" s="64" t="str">
        <f>HYPERLINK("http://www.twitter.com/katehutch501", "katehutch501")</f>
        <v>katehutch501</v>
      </c>
      <c r="B18740" s="65" t="s">
        <v>7728</v>
      </c>
    </row>
    <row r="18741" spans="1:2" x14ac:dyDescent="0.25">
      <c r="A18741" s="64" t="str">
        <f>HYPERLINK("http://www.twitter.com/rebamex", "rebamex")</f>
        <v>rebamex</v>
      </c>
      <c r="B18741" s="65"/>
    </row>
    <row r="18742" spans="1:2" x14ac:dyDescent="0.25">
      <c r="A18742" s="64" t="str">
        <f>HYPERLINK("http://www.twitter.com/Kathy_Settle", "Kathy_Settle")</f>
        <v>Kathy_Settle</v>
      </c>
      <c r="B18742" s="65"/>
    </row>
    <row r="18743" spans="1:2" x14ac:dyDescent="0.25">
      <c r="A18743" s="64" t="str">
        <f>HYPERLINK("http://www.twitter.com/EileenFurze", "EileenFurze")</f>
        <v>EileenFurze</v>
      </c>
      <c r="B18743" s="65" t="s">
        <v>296</v>
      </c>
    </row>
    <row r="18744" spans="1:2" x14ac:dyDescent="0.25">
      <c r="A18744" s="64" t="str">
        <f>HYPERLINK("http://www.twitter.com/Gammiemummy", "Gammiemummy")</f>
        <v>Gammiemummy</v>
      </c>
      <c r="B18744" s="65"/>
    </row>
    <row r="18745" spans="1:2" x14ac:dyDescent="0.25">
      <c r="A18745" s="64" t="str">
        <f>HYPERLINK("http://www.twitter.com/TartanAngel3", "TartanAngel3")</f>
        <v>TartanAngel3</v>
      </c>
      <c r="B18745" s="65" t="s">
        <v>5336</v>
      </c>
    </row>
    <row r="18746" spans="1:2" x14ac:dyDescent="0.25">
      <c r="A18746" s="64" t="str">
        <f>HYPERLINK("http://www.twitter.com/jh004c9388", "jh004c9388")</f>
        <v>jh004c9388</v>
      </c>
      <c r="B18746" s="65"/>
    </row>
    <row r="18747" spans="1:2" x14ac:dyDescent="0.25">
      <c r="A18747" s="64" t="str">
        <f>HYPERLINK("http://www.twitter.com/LNorshus", "LNorshus")</f>
        <v>LNorshus</v>
      </c>
      <c r="B18747" s="65"/>
    </row>
    <row r="18748" spans="1:2" x14ac:dyDescent="0.25">
      <c r="A18748" s="64" t="str">
        <f>HYPERLINK("http://www.twitter.com/JenniferBichan", "JenniferBichan")</f>
        <v>JenniferBichan</v>
      </c>
      <c r="B18748" s="65"/>
    </row>
    <row r="18749" spans="1:2" x14ac:dyDescent="0.25">
      <c r="A18749" s="64" t="str">
        <f>HYPERLINK("http://www.twitter.com/wildboyrich", "wildboyrich")</f>
        <v>wildboyrich</v>
      </c>
      <c r="B18749" s="65"/>
    </row>
    <row r="18750" spans="1:2" x14ac:dyDescent="0.25">
      <c r="A18750" s="64" t="str">
        <f>HYPERLINK("http://www.twitter.com/mariamtarek2015", "mariamtarek2015")</f>
        <v>mariamtarek2015</v>
      </c>
      <c r="B18750" s="65"/>
    </row>
    <row r="18751" spans="1:2" x14ac:dyDescent="0.25">
      <c r="A18751" s="64" t="str">
        <f>HYPERLINK("http://www.twitter.com/caroleagent", "caroleagent")</f>
        <v>caroleagent</v>
      </c>
      <c r="B18751" s="65" t="s">
        <v>36</v>
      </c>
    </row>
    <row r="18752" spans="1:2" x14ac:dyDescent="0.25">
      <c r="A18752" s="64" t="str">
        <f>HYPERLINK("http://www.twitter.com/gymbaby23", "gymbaby23")</f>
        <v>gymbaby23</v>
      </c>
      <c r="B18752" s="65" t="s">
        <v>487</v>
      </c>
    </row>
    <row r="18753" spans="1:2" x14ac:dyDescent="0.25">
      <c r="A18753" s="64" t="str">
        <f>HYPERLINK("http://www.twitter.com/deatheaten_", "deatheaten_")</f>
        <v>deatheaten_</v>
      </c>
      <c r="B18753" s="65" t="s">
        <v>4492</v>
      </c>
    </row>
    <row r="18754" spans="1:2" x14ac:dyDescent="0.25">
      <c r="A18754" s="64" t="str">
        <f>HYPERLINK("http://www.twitter.com/StellaSpellmen7", "StellaSpellmen7")</f>
        <v>StellaSpellmen7</v>
      </c>
      <c r="B18754" s="65" t="s">
        <v>9345</v>
      </c>
    </row>
    <row r="18755" spans="1:2" x14ac:dyDescent="0.25">
      <c r="A18755" s="64" t="str">
        <f>HYPERLINK("http://www.twitter.com/kacb66", "kacb66")</f>
        <v>kacb66</v>
      </c>
      <c r="B18755" s="65" t="s">
        <v>5529</v>
      </c>
    </row>
    <row r="18756" spans="1:2" x14ac:dyDescent="0.25">
      <c r="A18756" s="64" t="str">
        <f>HYPERLINK("http://www.twitter.com/JeSuisPrestNow", "JeSuisPrestNow")</f>
        <v>JeSuisPrestNow</v>
      </c>
      <c r="B18756" s="65" t="s">
        <v>4050</v>
      </c>
    </row>
    <row r="18757" spans="1:2" x14ac:dyDescent="0.25">
      <c r="A18757" s="64" t="str">
        <f>HYPERLINK("http://www.twitter.com/LibbyGrahamMetz", "LibbyGrahamMetz")</f>
        <v>LibbyGrahamMetz</v>
      </c>
      <c r="B18757" s="65" t="s">
        <v>9346</v>
      </c>
    </row>
    <row r="18758" spans="1:2" x14ac:dyDescent="0.25">
      <c r="A18758" s="64" t="str">
        <f>HYPERLINK("http://www.twitter.com/KingswoodJ", "KingswoodJ")</f>
        <v>KingswoodJ</v>
      </c>
      <c r="B18758" s="65" t="s">
        <v>2107</v>
      </c>
    </row>
    <row r="18759" spans="1:2" x14ac:dyDescent="0.25">
      <c r="A18759" s="64" t="str">
        <f>HYPERLINK("http://www.twitter.com/Nizelle_64", "Nizelle_64")</f>
        <v>Nizelle_64</v>
      </c>
      <c r="B18759" s="65"/>
    </row>
    <row r="18760" spans="1:2" x14ac:dyDescent="0.25">
      <c r="A18760" s="64" t="str">
        <f>HYPERLINK("http://www.twitter.com/Kayleigh_Grant", "Kayleigh_Grant")</f>
        <v>Kayleigh_Grant</v>
      </c>
      <c r="B18760" s="65" t="s">
        <v>4895</v>
      </c>
    </row>
    <row r="18761" spans="1:2" x14ac:dyDescent="0.25">
      <c r="A18761" s="64" t="str">
        <f>HYPERLINK("http://www.twitter.com/SummerK8Studio", "SummerK8Studio")</f>
        <v>SummerK8Studio</v>
      </c>
      <c r="B18761" s="65" t="s">
        <v>4255</v>
      </c>
    </row>
    <row r="18762" spans="1:2" x14ac:dyDescent="0.25">
      <c r="A18762" s="64" t="str">
        <f>HYPERLINK("http://www.twitter.com/prickleandgoo", "prickleandgoo")</f>
        <v>prickleandgoo</v>
      </c>
      <c r="B18762" s="65"/>
    </row>
    <row r="18763" spans="1:2" x14ac:dyDescent="0.25">
      <c r="A18763" s="64" t="str">
        <f>HYPERLINK("http://www.twitter.com/fergusonlibrary", "fergusonlibrary")</f>
        <v>fergusonlibrary</v>
      </c>
      <c r="B18763" s="65" t="s">
        <v>9347</v>
      </c>
    </row>
    <row r="18764" spans="1:2" x14ac:dyDescent="0.25">
      <c r="A18764" s="64" t="str">
        <f>HYPERLINK("http://www.twitter.com/confused_dino", "confused_dino")</f>
        <v>confused_dino</v>
      </c>
      <c r="B18764" s="65"/>
    </row>
    <row r="18765" spans="1:2" x14ac:dyDescent="0.25">
      <c r="A18765" s="64" t="str">
        <f>HYPERLINK("http://www.twitter.com/HilaryWebster6", "HilaryWebster6")</f>
        <v>HilaryWebster6</v>
      </c>
      <c r="B18765" s="65" t="s">
        <v>4237</v>
      </c>
    </row>
    <row r="18766" spans="1:2" x14ac:dyDescent="0.25">
      <c r="A18766" s="64" t="str">
        <f>HYPERLINK("http://www.twitter.com/kt_palmer", "kt_palmer")</f>
        <v>kt_palmer</v>
      </c>
      <c r="B18766" s="65" t="s">
        <v>138</v>
      </c>
    </row>
    <row r="18767" spans="1:2" x14ac:dyDescent="0.25">
      <c r="A18767" s="64" t="str">
        <f>HYPERLINK("http://www.twitter.com/Orivia", "Orivia")</f>
        <v>Orivia</v>
      </c>
      <c r="B18767" s="65" t="s">
        <v>517</v>
      </c>
    </row>
    <row r="18768" spans="1:2" x14ac:dyDescent="0.25">
      <c r="A18768" s="64" t="str">
        <f>HYPERLINK("http://www.twitter.com/Prunella27", "Prunella27")</f>
        <v>Prunella27</v>
      </c>
      <c r="B18768" s="65"/>
    </row>
    <row r="18769" spans="1:2" x14ac:dyDescent="0.25">
      <c r="A18769" s="64" t="str">
        <f>HYPERLINK("http://www.twitter.com/japster2008", "japster2008")</f>
        <v>japster2008</v>
      </c>
      <c r="B18769" s="65" t="s">
        <v>36</v>
      </c>
    </row>
    <row r="18770" spans="1:2" x14ac:dyDescent="0.25">
      <c r="A18770" s="64" t="str">
        <f>HYPERLINK("http://www.twitter.com/josharpen", "josharpen")</f>
        <v>josharpen</v>
      </c>
      <c r="B18770" s="65" t="s">
        <v>9348</v>
      </c>
    </row>
    <row r="18771" spans="1:2" x14ac:dyDescent="0.25">
      <c r="A18771" s="64" t="str">
        <f>HYPERLINK("http://www.twitter.com/Roszs", "Roszs")</f>
        <v>Roszs</v>
      </c>
      <c r="B18771" s="65" t="s">
        <v>5049</v>
      </c>
    </row>
    <row r="18772" spans="1:2" x14ac:dyDescent="0.25">
      <c r="A18772" s="64" t="str">
        <f>HYPERLINK("http://www.twitter.com/NaomiMantin", "NaomiMantin")</f>
        <v>NaomiMantin</v>
      </c>
      <c r="B18772" s="65" t="s">
        <v>4500</v>
      </c>
    </row>
    <row r="18773" spans="1:2" x14ac:dyDescent="0.25">
      <c r="A18773" s="64" t="str">
        <f>HYPERLINK("http://www.twitter.com/foolisholly", "foolisholly")</f>
        <v>foolisholly</v>
      </c>
      <c r="B18773" s="65" t="s">
        <v>138</v>
      </c>
    </row>
    <row r="18774" spans="1:2" x14ac:dyDescent="0.25">
      <c r="A18774" s="64" t="str">
        <f>HYPERLINK("http://www.twitter.com/leoniemdunlop", "leoniemdunlop")</f>
        <v>leoniemdunlop</v>
      </c>
      <c r="B18774" s="65" t="s">
        <v>517</v>
      </c>
    </row>
    <row r="18775" spans="1:2" x14ac:dyDescent="0.25">
      <c r="A18775" s="64" t="str">
        <f>HYPERLINK("http://www.twitter.com/LochendPark", "LochendPark")</f>
        <v>LochendPark</v>
      </c>
      <c r="B18775" s="65" t="s">
        <v>487</v>
      </c>
    </row>
    <row r="18776" spans="1:2" x14ac:dyDescent="0.25">
      <c r="A18776" s="64" t="str">
        <f>HYPERLINK("http://www.twitter.com/katieallisonx", "katieallisonx")</f>
        <v>katieallisonx</v>
      </c>
      <c r="B18776" s="65" t="s">
        <v>4519</v>
      </c>
    </row>
    <row r="18777" spans="1:2" x14ac:dyDescent="0.25">
      <c r="A18777" s="64" t="str">
        <f>HYPERLINK("http://www.twitter.com/omnisimmundus", "omnisimmundus")</f>
        <v>omnisimmundus</v>
      </c>
      <c r="B18777" s="65"/>
    </row>
    <row r="18778" spans="1:2" x14ac:dyDescent="0.25">
      <c r="A18778" s="64" t="str">
        <f>HYPERLINK("http://www.twitter.com/rawmusic", "rawmusic")</f>
        <v>rawmusic</v>
      </c>
      <c r="B18778" s="65" t="s">
        <v>9349</v>
      </c>
    </row>
    <row r="18779" spans="1:2" x14ac:dyDescent="0.25">
      <c r="A18779" s="64" t="str">
        <f>HYPERLINK("http://www.twitter.com/Jonny_1874", "Jonny_1874")</f>
        <v>Jonny_1874</v>
      </c>
      <c r="B18779" s="65" t="s">
        <v>487</v>
      </c>
    </row>
    <row r="18780" spans="1:2" x14ac:dyDescent="0.25">
      <c r="A18780" s="64" t="str">
        <f>HYPERLINK("http://www.twitter.com/Sejohn12", "Sejohn12")</f>
        <v>Sejohn12</v>
      </c>
      <c r="B18780" s="65"/>
    </row>
    <row r="18781" spans="1:2" x14ac:dyDescent="0.25">
      <c r="A18781" s="64" t="str">
        <f>HYPERLINK("http://www.twitter.com/hannah_bird", "hannah_bird")</f>
        <v>hannah_bird</v>
      </c>
      <c r="B18781" s="65" t="s">
        <v>8561</v>
      </c>
    </row>
    <row r="18782" spans="1:2" x14ac:dyDescent="0.25">
      <c r="A18782" s="64" t="str">
        <f>HYPERLINK("http://www.twitter.com/lubyware", "lubyware")</f>
        <v>lubyware</v>
      </c>
      <c r="B18782" s="65" t="s">
        <v>70</v>
      </c>
    </row>
    <row r="18783" spans="1:2" x14ac:dyDescent="0.25">
      <c r="A18783" s="64" t="str">
        <f>HYPERLINK("http://www.twitter.com/DavidAHarrold", "DavidAHarrold")</f>
        <v>DavidAHarrold</v>
      </c>
      <c r="B18783" s="65" t="s">
        <v>2007</v>
      </c>
    </row>
    <row r="18784" spans="1:2" x14ac:dyDescent="0.25">
      <c r="A18784" s="64" t="str">
        <f>HYPERLINK("http://www.twitter.com/tyasantiago_", "tyasantiago_")</f>
        <v>tyasantiago_</v>
      </c>
      <c r="B18784" s="65"/>
    </row>
    <row r="18785" spans="1:2" x14ac:dyDescent="0.25">
      <c r="A18785" s="64" t="str">
        <f>HYPERLINK("http://www.twitter.com/FamilymanNI", "FamilymanNI")</f>
        <v>FamilymanNI</v>
      </c>
      <c r="B18785" s="65"/>
    </row>
    <row r="18786" spans="1:2" x14ac:dyDescent="0.25">
      <c r="A18786" s="64" t="str">
        <f>HYPERLINK("http://www.twitter.com/janonce", "janonce")</f>
        <v>janonce</v>
      </c>
      <c r="B18786" s="65" t="s">
        <v>4519</v>
      </c>
    </row>
    <row r="18787" spans="1:2" x14ac:dyDescent="0.25">
      <c r="A18787" s="64" t="str">
        <f>HYPERLINK("http://www.twitter.com/annamiele4", "annamiele4")</f>
        <v>annamiele4</v>
      </c>
      <c r="B18787" s="65"/>
    </row>
    <row r="18788" spans="1:2" x14ac:dyDescent="0.25">
      <c r="A18788" s="64" t="str">
        <f>HYPERLINK("http://www.twitter.com/alexsanmark", "alexsanmark")</f>
        <v>alexsanmark</v>
      </c>
      <c r="B18788" s="65"/>
    </row>
    <row r="18789" spans="1:2" x14ac:dyDescent="0.25">
      <c r="A18789" s="64" t="str">
        <f>HYPERLINK("http://www.twitter.com/parkhilllass", "parkhilllass")</f>
        <v>parkhilllass</v>
      </c>
      <c r="B18789" s="65" t="s">
        <v>459</v>
      </c>
    </row>
    <row r="18790" spans="1:2" x14ac:dyDescent="0.25">
      <c r="A18790" s="64" t="str">
        <f>HYPERLINK("http://www.twitter.com/readerconnected", "readerconnected")</f>
        <v>readerconnected</v>
      </c>
      <c r="B18790" s="65" t="s">
        <v>9350</v>
      </c>
    </row>
    <row r="18791" spans="1:2" x14ac:dyDescent="0.25">
      <c r="A18791" s="64" t="str">
        <f>HYPERLINK("http://www.twitter.com/sugajars", "sugajars")</f>
        <v>sugajars</v>
      </c>
      <c r="B18791" s="65" t="s">
        <v>1908</v>
      </c>
    </row>
    <row r="18792" spans="1:2" x14ac:dyDescent="0.25">
      <c r="A18792" s="64" t="str">
        <f>HYPERLINK("http://www.twitter.com/lilkate28", "lilkate28")</f>
        <v>lilkate28</v>
      </c>
      <c r="B18792" s="65" t="s">
        <v>477</v>
      </c>
    </row>
    <row r="18793" spans="1:2" x14ac:dyDescent="0.25">
      <c r="A18793" s="64" t="str">
        <f>HYPERLINK("http://www.twitter.com/VixEllen", "VixEllen")</f>
        <v>VixEllen</v>
      </c>
      <c r="B18793" s="65" t="s">
        <v>9351</v>
      </c>
    </row>
    <row r="18794" spans="1:2" x14ac:dyDescent="0.25">
      <c r="A18794" s="64" t="str">
        <f>HYPERLINK("http://www.twitter.com/CherylKelday", "CherylKelday")</f>
        <v>CherylKelday</v>
      </c>
      <c r="B18794" s="65" t="s">
        <v>20</v>
      </c>
    </row>
    <row r="18795" spans="1:2" x14ac:dyDescent="0.25">
      <c r="A18795" s="64" t="str">
        <f>HYPERLINK("http://www.twitter.com/BarbaraG19", "BarbaraG19")</f>
        <v>BarbaraG19</v>
      </c>
      <c r="B18795" s="65" t="s">
        <v>3816</v>
      </c>
    </row>
    <row r="18796" spans="1:2" x14ac:dyDescent="0.25">
      <c r="A18796" s="64" t="str">
        <f>HYPERLINK("http://www.twitter.com/Dr_NJones", "Dr_NJones")</f>
        <v>Dr_NJones</v>
      </c>
      <c r="B18796" s="65"/>
    </row>
    <row r="18797" spans="1:2" x14ac:dyDescent="0.25">
      <c r="A18797" s="64" t="str">
        <f>HYPERLINK("http://www.twitter.com/Arianrhod_e", "Arianrhod_e")</f>
        <v>Arianrhod_e</v>
      </c>
      <c r="B18797" s="65"/>
    </row>
    <row r="18798" spans="1:2" x14ac:dyDescent="0.25">
      <c r="A18798" s="64" t="str">
        <f>HYPERLINK("http://www.twitter.com/rosindisguise", "rosindisguise")</f>
        <v>rosindisguise</v>
      </c>
      <c r="B18798" s="65" t="s">
        <v>7327</v>
      </c>
    </row>
    <row r="18799" spans="1:2" x14ac:dyDescent="0.25">
      <c r="A18799" s="64" t="str">
        <f>HYPERLINK("http://www.twitter.com/_KariMichelle", "_KariMichelle")</f>
        <v>_KariMichelle</v>
      </c>
      <c r="B18799" s="65" t="s">
        <v>9352</v>
      </c>
    </row>
    <row r="18800" spans="1:2" x14ac:dyDescent="0.25">
      <c r="A18800" s="64" t="str">
        <f>HYPERLINK("http://www.twitter.com/v_cicerchia", "v_cicerchia")</f>
        <v>v_cicerchia</v>
      </c>
      <c r="B18800" s="65" t="s">
        <v>9353</v>
      </c>
    </row>
    <row r="18801" spans="1:2" x14ac:dyDescent="0.25">
      <c r="A18801" s="64" t="str">
        <f>HYPERLINK("http://www.twitter.com/kathy_hunter", "kathy_hunter")</f>
        <v>kathy_hunter</v>
      </c>
      <c r="B18801" s="65" t="s">
        <v>9354</v>
      </c>
    </row>
    <row r="18802" spans="1:2" x14ac:dyDescent="0.25">
      <c r="A18802" s="64" t="str">
        <f>HYPERLINK("http://www.twitter.com/NobiscuitRoss", "NobiscuitRoss")</f>
        <v>NobiscuitRoss</v>
      </c>
      <c r="B18802" s="65"/>
    </row>
    <row r="18803" spans="1:2" x14ac:dyDescent="0.25">
      <c r="A18803" s="64" t="str">
        <f>HYPERLINK("http://www.twitter.com/cathyr1973", "cathyr1973")</f>
        <v>cathyr1973</v>
      </c>
      <c r="B18803" s="65" t="s">
        <v>9355</v>
      </c>
    </row>
    <row r="18804" spans="1:2" x14ac:dyDescent="0.25">
      <c r="A18804" s="64" t="str">
        <f>HYPERLINK("http://www.twitter.com/cinders392", "cinders392")</f>
        <v>cinders392</v>
      </c>
      <c r="B18804" s="65" t="s">
        <v>517</v>
      </c>
    </row>
    <row r="18805" spans="1:2" x14ac:dyDescent="0.25">
      <c r="A18805" s="64" t="str">
        <f>HYPERLINK("http://www.twitter.com/islarsleslie", "islarsleslie")</f>
        <v>islarsleslie</v>
      </c>
      <c r="B18805" s="65"/>
    </row>
    <row r="18806" spans="1:2" x14ac:dyDescent="0.25">
      <c r="A18806" s="64" t="str">
        <f>HYPERLINK("http://www.twitter.com/TheVoiceOfVLG", "TheVoiceOfVLG")</f>
        <v>TheVoiceOfVLG</v>
      </c>
      <c r="B18806" s="65" t="s">
        <v>3762</v>
      </c>
    </row>
    <row r="18807" spans="1:2" x14ac:dyDescent="0.25">
      <c r="A18807" s="64" t="str">
        <f>HYPERLINK("http://www.twitter.com/LyndasRockMusic", "LyndasRockMusic")</f>
        <v>LyndasRockMusic</v>
      </c>
      <c r="B18807" s="65" t="s">
        <v>9356</v>
      </c>
    </row>
    <row r="18808" spans="1:2" x14ac:dyDescent="0.25">
      <c r="A18808" s="64" t="str">
        <f>HYPERLINK("http://www.twitter.com/_HayleyDuncan", "_HayleyDuncan")</f>
        <v>_HayleyDuncan</v>
      </c>
      <c r="B18808" s="65" t="s">
        <v>487</v>
      </c>
    </row>
    <row r="18809" spans="1:2" x14ac:dyDescent="0.25">
      <c r="A18809" s="64" t="str">
        <f>HYPERLINK("http://www.twitter.com/FortyFortyTwo", "FortyFortyTwo")</f>
        <v>FortyFortyTwo</v>
      </c>
      <c r="B18809" s="65" t="s">
        <v>3256</v>
      </c>
    </row>
    <row r="18810" spans="1:2" x14ac:dyDescent="0.25">
      <c r="A18810" s="64" t="str">
        <f>HYPERLINK("http://www.twitter.com/kirsty__17", "kirsty__17")</f>
        <v>kirsty__17</v>
      </c>
      <c r="B18810" s="65"/>
    </row>
    <row r="18811" spans="1:2" x14ac:dyDescent="0.25">
      <c r="A18811" s="64" t="str">
        <f>HYPERLINK("http://www.twitter.com/ba61ara", "ba61ara")</f>
        <v>ba61ara</v>
      </c>
      <c r="B18811" s="65"/>
    </row>
    <row r="18812" spans="1:2" x14ac:dyDescent="0.25">
      <c r="A18812" s="64" t="str">
        <f>HYPERLINK("http://www.twitter.com/chantoab", "chantoab")</f>
        <v>chantoab</v>
      </c>
      <c r="B18812" s="65" t="s">
        <v>20</v>
      </c>
    </row>
    <row r="18813" spans="1:2" x14ac:dyDescent="0.25">
      <c r="A18813" s="64" t="str">
        <f>HYPERLINK("http://www.twitter.com/Garyinzion", "Garyinzion")</f>
        <v>Garyinzion</v>
      </c>
      <c r="B18813" s="65" t="s">
        <v>9357</v>
      </c>
    </row>
    <row r="18814" spans="1:2" x14ac:dyDescent="0.25">
      <c r="A18814" s="64" t="str">
        <f>HYPERLINK("http://www.twitter.com/CravensNatalee", "CravensNatalee")</f>
        <v>CravensNatalee</v>
      </c>
      <c r="B18814" s="65"/>
    </row>
    <row r="18815" spans="1:2" x14ac:dyDescent="0.25">
      <c r="A18815" s="64" t="str">
        <f>HYPERLINK("http://www.twitter.com/qpnell", "qpnell")</f>
        <v>qpnell</v>
      </c>
      <c r="B18815" s="65" t="s">
        <v>4716</v>
      </c>
    </row>
    <row r="18816" spans="1:2" x14ac:dyDescent="0.25">
      <c r="A18816" s="64" t="str">
        <f>HYPERLINK("http://www.twitter.com/Shannon_Hume", "Shannon_Hume")</f>
        <v>Shannon_Hume</v>
      </c>
      <c r="B18816" s="65" t="s">
        <v>9358</v>
      </c>
    </row>
    <row r="18817" spans="1:2" x14ac:dyDescent="0.25">
      <c r="A18817" s="64" t="str">
        <f>HYPERLINK("http://www.twitter.com/JenniferOag", "JenniferOag")</f>
        <v>JenniferOag</v>
      </c>
      <c r="B18817" s="65" t="s">
        <v>5667</v>
      </c>
    </row>
    <row r="18818" spans="1:2" x14ac:dyDescent="0.25">
      <c r="A18818" s="64" t="str">
        <f>HYPERLINK("http://www.twitter.com/LouisPWright", "LouisPWright")</f>
        <v>LouisPWright</v>
      </c>
      <c r="B18818" s="65" t="s">
        <v>9359</v>
      </c>
    </row>
    <row r="18819" spans="1:2" x14ac:dyDescent="0.25">
      <c r="A18819" s="64" t="str">
        <f>HYPERLINK("http://www.twitter.com/wabbittumshie", "wabbittumshie")</f>
        <v>wabbittumshie</v>
      </c>
      <c r="B18819" s="65" t="s">
        <v>517</v>
      </c>
    </row>
    <row r="18820" spans="1:2" x14ac:dyDescent="0.25">
      <c r="A18820" s="64" t="str">
        <f>HYPERLINK("http://www.twitter.com/Peter_M_Dawson", "Peter_M_Dawson")</f>
        <v>Peter_M_Dawson</v>
      </c>
      <c r="B18820" s="65"/>
    </row>
    <row r="18821" spans="1:2" x14ac:dyDescent="0.25">
      <c r="A18821" s="64" t="str">
        <f>HYPERLINK("http://www.twitter.com/tunnza2", "tunnza2")</f>
        <v>tunnza2</v>
      </c>
      <c r="B18821" s="65" t="s">
        <v>9360</v>
      </c>
    </row>
    <row r="18822" spans="1:2" x14ac:dyDescent="0.25">
      <c r="A18822" s="64" t="str">
        <f>HYPERLINK("http://www.twitter.com/AndyAndywhite", "AndyAndywhite")</f>
        <v>AndyAndywhite</v>
      </c>
      <c r="B18822" s="65" t="s">
        <v>9361</v>
      </c>
    </row>
    <row r="18823" spans="1:2" x14ac:dyDescent="0.25">
      <c r="A18823" s="64" t="str">
        <f>HYPERLINK("http://www.twitter.com/andrewmassey14", "andrewmassey14")</f>
        <v>andrewmassey14</v>
      </c>
      <c r="B18823" s="65" t="s">
        <v>9362</v>
      </c>
    </row>
    <row r="18824" spans="1:2" x14ac:dyDescent="0.25">
      <c r="A18824" s="64" t="str">
        <f>HYPERLINK("http://www.twitter.com/kminton111", "kminton111")</f>
        <v>kminton111</v>
      </c>
      <c r="B18824" s="65"/>
    </row>
    <row r="18825" spans="1:2" x14ac:dyDescent="0.25">
      <c r="A18825" s="64" t="str">
        <f>HYPERLINK("http://www.twitter.com/ShonaJT", "ShonaJT")</f>
        <v>ShonaJT</v>
      </c>
      <c r="B18825" s="65"/>
    </row>
    <row r="18826" spans="1:2" x14ac:dyDescent="0.25">
      <c r="A18826" s="64" t="str">
        <f>HYPERLINK("http://www.twitter.com/Andrewscott222", "Andrewscott222")</f>
        <v>Andrewscott222</v>
      </c>
      <c r="B18826" s="65" t="s">
        <v>2007</v>
      </c>
    </row>
    <row r="18827" spans="1:2" x14ac:dyDescent="0.25">
      <c r="A18827" s="64" t="str">
        <f>HYPERLINK("http://www.twitter.com/Pips3", "Pips3")</f>
        <v>Pips3</v>
      </c>
      <c r="B18827" s="65" t="s">
        <v>9363</v>
      </c>
    </row>
    <row r="18828" spans="1:2" x14ac:dyDescent="0.25">
      <c r="A18828" s="64" t="str">
        <f>HYPERLINK("http://www.twitter.com/BassoonTrudy", "BassoonTrudy")</f>
        <v>BassoonTrudy</v>
      </c>
      <c r="B18828" s="65" t="s">
        <v>9364</v>
      </c>
    </row>
    <row r="18829" spans="1:2" x14ac:dyDescent="0.25">
      <c r="A18829" s="64" t="str">
        <f>HYPERLINK("http://www.twitter.com/LTHost", "LTHost")</f>
        <v>LTHost</v>
      </c>
      <c r="B18829" s="65"/>
    </row>
    <row r="18830" spans="1:2" x14ac:dyDescent="0.25">
      <c r="A18830" s="64" t="str">
        <f>HYPERLINK("http://www.twitter.com/kaitlynjrusso", "kaitlynjrusso")</f>
        <v>kaitlynjrusso</v>
      </c>
      <c r="B18830" s="65"/>
    </row>
    <row r="18831" spans="1:2" x14ac:dyDescent="0.25">
      <c r="A18831" s="64" t="str">
        <f>HYPERLINK("http://www.twitter.com/KaleenaRivera", "KaleenaRivera")</f>
        <v>KaleenaRivera</v>
      </c>
      <c r="B18831" s="65" t="s">
        <v>3893</v>
      </c>
    </row>
    <row r="18832" spans="1:2" x14ac:dyDescent="0.25">
      <c r="A18832" s="64" t="str">
        <f>HYPERLINK("http://www.twitter.com/DougalsBeard", "DougalsBeard")</f>
        <v>DougalsBeard</v>
      </c>
      <c r="B18832" s="65"/>
    </row>
    <row r="18833" spans="1:2" x14ac:dyDescent="0.25">
      <c r="A18833" s="64" t="str">
        <f>HYPERLINK("http://www.twitter.com/valeriansails", "valeriansails")</f>
        <v>valeriansails</v>
      </c>
      <c r="B18833" s="65" t="s">
        <v>115</v>
      </c>
    </row>
    <row r="18834" spans="1:2" x14ac:dyDescent="0.25">
      <c r="A18834" s="64" t="str">
        <f>HYPERLINK("http://www.twitter.com/Lady_of_Lorien", "Lady_of_Lorien")</f>
        <v>Lady_of_Lorien</v>
      </c>
      <c r="B18834" s="65" t="s">
        <v>4153</v>
      </c>
    </row>
    <row r="18835" spans="1:2" x14ac:dyDescent="0.25">
      <c r="A18835" s="64" t="str">
        <f>HYPERLINK("http://www.twitter.com/stupidgirl_no1", "stupidgirl_no1")</f>
        <v>stupidgirl_no1</v>
      </c>
      <c r="B18835" s="65" t="s">
        <v>808</v>
      </c>
    </row>
    <row r="18836" spans="1:2" x14ac:dyDescent="0.25">
      <c r="A18836" s="64" t="str">
        <f>HYPERLINK("http://www.twitter.com/bevvaila", "bevvaila")</f>
        <v>bevvaila</v>
      </c>
      <c r="B18836" s="65" t="s">
        <v>5104</v>
      </c>
    </row>
    <row r="18837" spans="1:2" x14ac:dyDescent="0.25">
      <c r="A18837" s="64" t="str">
        <f>HYPERLINK("http://www.twitter.com/SinclairKerris", "SinclairKerris")</f>
        <v>SinclairKerris</v>
      </c>
      <c r="B18837" s="65" t="s">
        <v>2007</v>
      </c>
    </row>
    <row r="18838" spans="1:2" x14ac:dyDescent="0.25">
      <c r="A18838" s="64" t="str">
        <f>HYPERLINK("http://www.twitter.com/danna_wilson", "danna_wilson")</f>
        <v>danna_wilson</v>
      </c>
      <c r="B18838" s="65"/>
    </row>
    <row r="18839" spans="1:2" x14ac:dyDescent="0.25">
      <c r="A18839" s="64" t="str">
        <f>HYPERLINK("http://www.twitter.com/sdptsh", "sdptsh")</f>
        <v>sdptsh</v>
      </c>
      <c r="B18839" s="65" t="s">
        <v>9365</v>
      </c>
    </row>
    <row r="18840" spans="1:2" x14ac:dyDescent="0.25">
      <c r="A18840" s="64" t="str">
        <f>HYPERLINK("http://www.twitter.com/HugoPillath", "HugoPillath")</f>
        <v>HugoPillath</v>
      </c>
      <c r="B18840" s="65"/>
    </row>
    <row r="18841" spans="1:2" x14ac:dyDescent="0.25">
      <c r="A18841" s="64" t="str">
        <f>HYPERLINK("http://www.twitter.com/chrisb766", "chrisb766")</f>
        <v>chrisb766</v>
      </c>
      <c r="B18841" s="65" t="s">
        <v>9366</v>
      </c>
    </row>
    <row r="18842" spans="1:2" x14ac:dyDescent="0.25">
      <c r="A18842" s="64" t="str">
        <f>HYPERLINK("http://www.twitter.com/villiam22", "villiam22")</f>
        <v>villiam22</v>
      </c>
      <c r="B18842" s="65" t="s">
        <v>5104</v>
      </c>
    </row>
    <row r="18843" spans="1:2" x14ac:dyDescent="0.25">
      <c r="A18843" s="64" t="str">
        <f>HYPERLINK("http://www.twitter.com/jojobrosser78", "jojobrosser78")</f>
        <v>jojobrosser78</v>
      </c>
      <c r="B18843" s="65" t="s">
        <v>7117</v>
      </c>
    </row>
    <row r="18844" spans="1:2" x14ac:dyDescent="0.25">
      <c r="A18844" s="64" t="str">
        <f>HYPERLINK("http://www.twitter.com/Diane_Janes", "Diane_Janes")</f>
        <v>Diane_Janes</v>
      </c>
      <c r="B18844" s="65" t="s">
        <v>9367</v>
      </c>
    </row>
    <row r="18845" spans="1:2" x14ac:dyDescent="0.25">
      <c r="A18845" s="64" t="str">
        <f>HYPERLINK("http://www.twitter.com/Toshiya_chan", "Toshiya_chan")</f>
        <v>Toshiya_chan</v>
      </c>
      <c r="B18845" s="65" t="s">
        <v>36</v>
      </c>
    </row>
    <row r="18846" spans="1:2" x14ac:dyDescent="0.25">
      <c r="A18846" s="64" t="str">
        <f>HYPERLINK("http://www.twitter.com/gepose", "gepose")</f>
        <v>gepose</v>
      </c>
      <c r="B18846" s="65"/>
    </row>
    <row r="18847" spans="1:2" x14ac:dyDescent="0.25">
      <c r="A18847" s="64" t="str">
        <f>HYPERLINK("http://www.twitter.com/Jackellynnif", "Jackellynnif")</f>
        <v>Jackellynnif</v>
      </c>
      <c r="B18847" s="65" t="s">
        <v>9368</v>
      </c>
    </row>
    <row r="18848" spans="1:2" x14ac:dyDescent="0.25">
      <c r="A18848" s="64" t="str">
        <f>HYPERLINK("http://www.twitter.com/elisadel", "elisadel")</f>
        <v>elisadel</v>
      </c>
      <c r="B18848" s="65"/>
    </row>
    <row r="18849" spans="1:2" x14ac:dyDescent="0.25">
      <c r="A18849" s="64" t="str">
        <f>HYPERLINK("http://www.twitter.com/EvandroJDuarte", "EvandroJDuarte")</f>
        <v>EvandroJDuarte</v>
      </c>
      <c r="B18849" s="65" t="s">
        <v>4837</v>
      </c>
    </row>
    <row r="18850" spans="1:2" x14ac:dyDescent="0.25">
      <c r="A18850" s="64" t="str">
        <f>HYPERLINK("http://www.twitter.com/KimiCov", "KimiCov")</f>
        <v>KimiCov</v>
      </c>
      <c r="B18850" s="65" t="s">
        <v>3893</v>
      </c>
    </row>
    <row r="18851" spans="1:2" x14ac:dyDescent="0.25">
      <c r="A18851" s="64" t="str">
        <f>HYPERLINK("http://www.twitter.com/SefriouiYana", "SefriouiYana")</f>
        <v>SefriouiYana</v>
      </c>
      <c r="B18851" s="65"/>
    </row>
    <row r="18852" spans="1:2" x14ac:dyDescent="0.25">
      <c r="A18852" s="64" t="str">
        <f>HYPERLINK("http://www.twitter.com/liblynx", "liblynx")</f>
        <v>liblynx</v>
      </c>
      <c r="B18852" s="65" t="s">
        <v>9369</v>
      </c>
    </row>
    <row r="18853" spans="1:2" x14ac:dyDescent="0.25">
      <c r="A18853" s="64" t="str">
        <f>HYPERLINK("http://www.twitter.com/paurmmz", "paurmmz")</f>
        <v>paurmmz</v>
      </c>
      <c r="B18853" s="65" t="s">
        <v>7022</v>
      </c>
    </row>
    <row r="18854" spans="1:2" x14ac:dyDescent="0.25">
      <c r="A18854" s="64" t="str">
        <f>HYPERLINK("http://www.twitter.com/Lysase", "Lysase")</f>
        <v>Lysase</v>
      </c>
      <c r="B18854" s="65"/>
    </row>
    <row r="18855" spans="1:2" x14ac:dyDescent="0.25">
      <c r="A18855" s="64" t="str">
        <f>HYPERLINK("http://www.twitter.com/WinchesterGih", "WinchesterGih")</f>
        <v>WinchesterGih</v>
      </c>
      <c r="B18855" s="65" t="s">
        <v>9370</v>
      </c>
    </row>
    <row r="18856" spans="1:2" x14ac:dyDescent="0.25">
      <c r="A18856" s="64" t="str">
        <f>HYPERLINK("http://www.twitter.com/Discoanddessert", "Discoanddessert")</f>
        <v>Discoanddessert</v>
      </c>
      <c r="B18856" s="65" t="s">
        <v>9371</v>
      </c>
    </row>
    <row r="18857" spans="1:2" x14ac:dyDescent="0.25">
      <c r="A18857" s="64" t="str">
        <f>HYPERLINK("http://www.twitter.com/DominoMoore", "DominoMoore")</f>
        <v>DominoMoore</v>
      </c>
      <c r="B18857" s="65"/>
    </row>
    <row r="18858" spans="1:2" x14ac:dyDescent="0.25">
      <c r="A18858" s="64" t="str">
        <f>HYPERLINK("http://www.twitter.com/BekkyAshmore", "BekkyAshmore")</f>
        <v>BekkyAshmore</v>
      </c>
      <c r="B18858" s="65" t="s">
        <v>36</v>
      </c>
    </row>
    <row r="18859" spans="1:2" x14ac:dyDescent="0.25">
      <c r="A18859" s="64" t="str">
        <f>HYPERLINK("http://www.twitter.com/SeppBlatterP", "SeppBlatterP")</f>
        <v>SeppBlatterP</v>
      </c>
      <c r="B18859" s="65" t="s">
        <v>4233</v>
      </c>
    </row>
    <row r="18860" spans="1:2" x14ac:dyDescent="0.25">
      <c r="A18860" s="64" t="str">
        <f>HYPERLINK("http://www.twitter.com/jemerrill62", "jemerrill62")</f>
        <v>jemerrill62</v>
      </c>
      <c r="B18860" s="65" t="s">
        <v>9372</v>
      </c>
    </row>
    <row r="18861" spans="1:2" x14ac:dyDescent="0.25">
      <c r="A18861" s="64" t="str">
        <f>HYPERLINK("http://www.twitter.com/OscarNedzelsky", "OscarNedzelsky")</f>
        <v>OscarNedzelsky</v>
      </c>
      <c r="B18861" s="65"/>
    </row>
    <row r="18862" spans="1:2" x14ac:dyDescent="0.25">
      <c r="A18862" s="64" t="str">
        <f>HYPERLINK("http://www.twitter.com/karmaennui", "karmaennui")</f>
        <v>karmaennui</v>
      </c>
      <c r="B18862" s="65" t="s">
        <v>4145</v>
      </c>
    </row>
    <row r="18863" spans="1:2" x14ac:dyDescent="0.25">
      <c r="A18863" s="64" t="str">
        <f>HYPERLINK("http://www.twitter.com/EllieBartonBum", "EllieBartonBum")</f>
        <v>EllieBartonBum</v>
      </c>
      <c r="B18863" s="65"/>
    </row>
    <row r="18864" spans="1:2" x14ac:dyDescent="0.25">
      <c r="A18864" s="64" t="str">
        <f>HYPERLINK("http://www.twitter.com/Angel19sixty4", "Angel19sixty4")</f>
        <v>Angel19sixty4</v>
      </c>
      <c r="B18864" s="65" t="s">
        <v>296</v>
      </c>
    </row>
    <row r="18865" spans="1:2" x14ac:dyDescent="0.25">
      <c r="A18865" s="64" t="str">
        <f>HYPERLINK("http://www.twitter.com/B1ueEagle", "B1ueEagle")</f>
        <v>B1ueEagle</v>
      </c>
      <c r="B18865" s="65" t="s">
        <v>9373</v>
      </c>
    </row>
    <row r="18866" spans="1:2" x14ac:dyDescent="0.25">
      <c r="A18866" s="64" t="str">
        <f>HYPERLINK("http://www.twitter.com/Laura_E_Myers", "Laura_E_Myers")</f>
        <v>Laura_E_Myers</v>
      </c>
      <c r="B18866" s="65"/>
    </row>
    <row r="18867" spans="1:2" x14ac:dyDescent="0.25">
      <c r="A18867" s="64" t="str">
        <f>HYPERLINK("http://www.twitter.com/Teeshirtnation1", "Teeshirtnation1")</f>
        <v>Teeshirtnation1</v>
      </c>
      <c r="B18867" s="65" t="s">
        <v>4215</v>
      </c>
    </row>
    <row r="18868" spans="1:2" x14ac:dyDescent="0.25">
      <c r="A18868" s="64" t="str">
        <f>HYPERLINK("http://www.twitter.com/andersonchild", "andersonchild")</f>
        <v>andersonchild</v>
      </c>
      <c r="B18868" s="65"/>
    </row>
    <row r="18869" spans="1:2" x14ac:dyDescent="0.25">
      <c r="A18869" s="64" t="str">
        <f>HYPERLINK("http://www.twitter.com/janesween1002", "janesween1002")</f>
        <v>janesween1002</v>
      </c>
      <c r="B18869" s="65" t="s">
        <v>9374</v>
      </c>
    </row>
    <row r="18870" spans="1:2" x14ac:dyDescent="0.25">
      <c r="A18870" s="64" t="str">
        <f>HYPERLINK("http://www.twitter.com/ATweetsville", "ATweetsville")</f>
        <v>ATweetsville</v>
      </c>
      <c r="B18870" s="65" t="s">
        <v>5156</v>
      </c>
    </row>
    <row r="18871" spans="1:2" x14ac:dyDescent="0.25">
      <c r="A18871" s="64" t="str">
        <f>HYPERLINK("http://www.twitter.com/r_o_boyd", "r_o_boyd")</f>
        <v>r_o_boyd</v>
      </c>
      <c r="B18871" s="65"/>
    </row>
    <row r="18872" spans="1:2" x14ac:dyDescent="0.25">
      <c r="A18872" s="64" t="str">
        <f>HYPERLINK("http://www.twitter.com/ProudPuff", "ProudPuff")</f>
        <v>ProudPuff</v>
      </c>
      <c r="B18872" s="65" t="s">
        <v>9375</v>
      </c>
    </row>
    <row r="18873" spans="1:2" x14ac:dyDescent="0.25">
      <c r="A18873" s="64" t="str">
        <f>HYPERLINK("http://www.twitter.com/ElizabethGreiwe", "ElizabethGreiwe")</f>
        <v>ElizabethGreiwe</v>
      </c>
      <c r="B18873" s="65" t="s">
        <v>3863</v>
      </c>
    </row>
    <row r="18874" spans="1:2" x14ac:dyDescent="0.25">
      <c r="A18874" s="64" t="str">
        <f>HYPERLINK("http://www.twitter.com/slytherinplaces", "slytherinplaces")</f>
        <v>slytherinplaces</v>
      </c>
      <c r="B18874" s="65" t="s">
        <v>1377</v>
      </c>
    </row>
    <row r="18875" spans="1:2" x14ac:dyDescent="0.25">
      <c r="A18875" s="64" t="str">
        <f>HYPERLINK("http://www.twitter.com/jessicasnape", "jessicasnape")</f>
        <v>jessicasnape</v>
      </c>
      <c r="B18875" s="65" t="s">
        <v>9376</v>
      </c>
    </row>
    <row r="18876" spans="1:2" x14ac:dyDescent="0.25">
      <c r="A18876" s="64" t="str">
        <f>HYPERLINK("http://www.twitter.com/NicoleO64410308", "NicoleO64410308")</f>
        <v>NicoleO64410308</v>
      </c>
      <c r="B18876" s="65"/>
    </row>
    <row r="18877" spans="1:2" x14ac:dyDescent="0.25">
      <c r="A18877" s="64" t="str">
        <f>HYPERLINK("http://www.twitter.com/jk_rowling", "jk_rowling")</f>
        <v>jk_rowling</v>
      </c>
      <c r="B18877" s="65" t="s">
        <v>517</v>
      </c>
    </row>
    <row r="18878" spans="1:2" x14ac:dyDescent="0.25">
      <c r="A18878" s="64" t="str">
        <f>HYPERLINK("http://www.twitter.com/JanHartman", "JanHartman")</f>
        <v>JanHartman</v>
      </c>
      <c r="B18878" s="65" t="s">
        <v>9377</v>
      </c>
    </row>
    <row r="18879" spans="1:2" x14ac:dyDescent="0.25">
      <c r="A18879" s="64" t="str">
        <f>HYPERLINK("http://www.twitter.com/ymn363", "ymn363")</f>
        <v>ymn363</v>
      </c>
      <c r="B18879" s="65"/>
    </row>
    <row r="18880" spans="1:2" x14ac:dyDescent="0.25">
      <c r="A18880" s="64" t="str">
        <f>HYPERLINK("http://www.twitter.com/shoaibspeaks", "shoaibspeaks")</f>
        <v>shoaibspeaks</v>
      </c>
      <c r="B18880" s="65" t="s">
        <v>9378</v>
      </c>
    </row>
    <row r="18881" spans="1:2" x14ac:dyDescent="0.25">
      <c r="A18881" s="64" t="str">
        <f>HYPERLINK("http://www.twitter.com/pingvinar", "pingvinar")</f>
        <v>pingvinar</v>
      </c>
      <c r="B18881" s="65" t="s">
        <v>9379</v>
      </c>
    </row>
    <row r="18882" spans="1:2" x14ac:dyDescent="0.25">
      <c r="A18882" s="64" t="str">
        <f>HYPERLINK("http://www.twitter.com/phaniauditore", "phaniauditore")</f>
        <v>phaniauditore</v>
      </c>
      <c r="B18882" s="65" t="s">
        <v>9380</v>
      </c>
    </row>
    <row r="18883" spans="1:2" x14ac:dyDescent="0.25">
      <c r="A18883" s="64" t="str">
        <f>HYPERLINK("http://www.twitter.com/marbleandtoast", "marbleandtoast")</f>
        <v>marbleandtoast</v>
      </c>
      <c r="B18883" s="65" t="s">
        <v>9381</v>
      </c>
    </row>
    <row r="18884" spans="1:2" x14ac:dyDescent="0.25">
      <c r="A18884" s="64" t="str">
        <f>HYPERLINK("http://www.twitter.com/CicelyDudley", "CicelyDudley")</f>
        <v>CicelyDudley</v>
      </c>
      <c r="B18884" s="65" t="s">
        <v>296</v>
      </c>
    </row>
    <row r="18885" spans="1:2" x14ac:dyDescent="0.25">
      <c r="A18885" s="64" t="str">
        <f>HYPERLINK("http://www.twitter.com/JudithGlue", "JudithGlue")</f>
        <v>JudithGlue</v>
      </c>
      <c r="B18885" s="65" t="s">
        <v>3762</v>
      </c>
    </row>
    <row r="18886" spans="1:2" x14ac:dyDescent="0.25">
      <c r="A18886" s="64" t="str">
        <f>HYPERLINK("http://www.twitter.com/susanroslynkemp", "susanroslynkemp")</f>
        <v>susanroslynkemp</v>
      </c>
      <c r="B18886" s="65" t="s">
        <v>9382</v>
      </c>
    </row>
    <row r="18887" spans="1:2" x14ac:dyDescent="0.25">
      <c r="A18887" s="64" t="str">
        <f>HYPERLINK("http://www.twitter.com/cyrenitis", "cyrenitis")</f>
        <v>cyrenitis</v>
      </c>
      <c r="B18887" s="65"/>
    </row>
    <row r="18888" spans="1:2" x14ac:dyDescent="0.25">
      <c r="A18888" s="64" t="str">
        <f>HYPERLINK("http://www.twitter.com/matthewmarley", "matthewmarley")</f>
        <v>matthewmarley</v>
      </c>
      <c r="B18888" s="65" t="s">
        <v>318</v>
      </c>
    </row>
    <row r="18889" spans="1:2" x14ac:dyDescent="0.25">
      <c r="A18889" s="64" t="str">
        <f>HYPERLINK("http://www.twitter.com/lornasmith77", "lornasmith77")</f>
        <v>lornasmith77</v>
      </c>
      <c r="B18889" s="65" t="s">
        <v>96</v>
      </c>
    </row>
    <row r="18890" spans="1:2" x14ac:dyDescent="0.25">
      <c r="A18890" s="64" t="str">
        <f>HYPERLINK("http://www.twitter.com/missthorpe", "missthorpe")</f>
        <v>missthorpe</v>
      </c>
      <c r="B18890" s="65" t="s">
        <v>1061</v>
      </c>
    </row>
    <row r="18891" spans="1:2" x14ac:dyDescent="0.25">
      <c r="A18891" s="64" t="str">
        <f>HYPERLINK("http://www.twitter.com/BespokeNails2", "BespokeNails2")</f>
        <v>BespokeNails2</v>
      </c>
      <c r="B18891" s="65" t="s">
        <v>9383</v>
      </c>
    </row>
    <row r="18892" spans="1:2" x14ac:dyDescent="0.25">
      <c r="A18892" s="64" t="str">
        <f>HYPERLINK("http://www.twitter.com/kes_schoollib", "kes_schoollib")</f>
        <v>kes_schoollib</v>
      </c>
      <c r="B18892" s="65" t="s">
        <v>9384</v>
      </c>
    </row>
    <row r="18893" spans="1:2" x14ac:dyDescent="0.25">
      <c r="A18893" s="64" t="str">
        <f>HYPERLINK("http://www.twitter.com/crowdsurfing", "crowdsurfing")</f>
        <v>crowdsurfing</v>
      </c>
      <c r="B18893" s="65" t="s">
        <v>296</v>
      </c>
    </row>
    <row r="18894" spans="1:2" x14ac:dyDescent="0.25">
      <c r="A18894" s="64" t="str">
        <f>HYPERLINK("http://www.twitter.com/marygarden", "marygarden")</f>
        <v>marygarden</v>
      </c>
      <c r="B18894" s="65" t="s">
        <v>9385</v>
      </c>
    </row>
    <row r="18895" spans="1:2" x14ac:dyDescent="0.25">
      <c r="A18895" s="64" t="str">
        <f>HYPERLINK("http://www.twitter.com/SarahAdamsTW", "SarahAdamsTW")</f>
        <v>SarahAdamsTW</v>
      </c>
      <c r="B18895" s="65"/>
    </row>
    <row r="18896" spans="1:2" x14ac:dyDescent="0.25">
      <c r="A18896" s="64" t="str">
        <f>HYPERLINK("http://www.twitter.com/Niennalinwellen", "Niennalinwellen")</f>
        <v>Niennalinwellen</v>
      </c>
      <c r="B18896" s="65"/>
    </row>
    <row r="18897" spans="1:2" x14ac:dyDescent="0.25">
      <c r="A18897" s="64" t="str">
        <f>HYPERLINK("http://www.twitter.com/potteringlukas", "potteringlukas")</f>
        <v>potteringlukas</v>
      </c>
      <c r="B18897" s="65"/>
    </row>
    <row r="18898" spans="1:2" x14ac:dyDescent="0.25">
      <c r="A18898" s="64" t="str">
        <f>HYPERLINK("http://www.twitter.com/mickley42", "mickley42")</f>
        <v>mickley42</v>
      </c>
      <c r="B18898" s="65"/>
    </row>
    <row r="18899" spans="1:2" x14ac:dyDescent="0.25">
      <c r="A18899" s="64" t="str">
        <f>HYPERLINK("http://www.twitter.com/HLHArchives", "HLHArchives")</f>
        <v>HLHArchives</v>
      </c>
      <c r="B18899" s="65" t="s">
        <v>6107</v>
      </c>
    </row>
    <row r="18900" spans="1:2" x14ac:dyDescent="0.25">
      <c r="A18900" s="64" t="str">
        <f>HYPERLINK("http://www.twitter.com/bryandavies", "bryandavies")</f>
        <v>bryandavies</v>
      </c>
      <c r="B18900" s="65" t="s">
        <v>4264</v>
      </c>
    </row>
    <row r="18901" spans="1:2" x14ac:dyDescent="0.25">
      <c r="A18901" s="64" t="str">
        <f>HYPERLINK("http://www.twitter.com/ReReadUK", "ReReadUK")</f>
        <v>ReReadUK</v>
      </c>
      <c r="B18901" s="65" t="s">
        <v>5943</v>
      </c>
    </row>
    <row r="18902" spans="1:2" x14ac:dyDescent="0.25">
      <c r="A18902" s="64" t="str">
        <f>HYPERLINK("http://www.twitter.com/Kara_ZorEl_", "Kara_ZorEl_")</f>
        <v>Kara_ZorEl_</v>
      </c>
      <c r="B18902" s="65" t="s">
        <v>9386</v>
      </c>
    </row>
    <row r="18903" spans="1:2" x14ac:dyDescent="0.25">
      <c r="A18903" s="64" t="str">
        <f>HYPERLINK("http://www.twitter.com/JCNChoccie", "JCNChoccie")</f>
        <v>JCNChoccie</v>
      </c>
      <c r="B18903" s="65"/>
    </row>
    <row r="18904" spans="1:2" x14ac:dyDescent="0.25">
      <c r="A18904" s="64" t="str">
        <f>HYPERLINK("http://www.twitter.com/galapagossip", "galapagossip")</f>
        <v>galapagossip</v>
      </c>
      <c r="B18904" s="65" t="s">
        <v>110</v>
      </c>
    </row>
    <row r="18905" spans="1:2" x14ac:dyDescent="0.25">
      <c r="A18905" s="64" t="str">
        <f>HYPERLINK("http://www.twitter.com/QUBSC", "QUBSC")</f>
        <v>QUBSC</v>
      </c>
      <c r="B18905" s="65" t="s">
        <v>2595</v>
      </c>
    </row>
    <row r="18906" spans="1:2" x14ac:dyDescent="0.25">
      <c r="A18906" s="64" t="str">
        <f>HYPERLINK("http://www.twitter.com/ScotUrbanPast", "ScotUrbanPast")</f>
        <v>ScotUrbanPast</v>
      </c>
      <c r="B18906" s="65" t="s">
        <v>517</v>
      </c>
    </row>
    <row r="18907" spans="1:2" x14ac:dyDescent="0.25">
      <c r="A18907" s="64" t="str">
        <f>HYPERLINK("http://www.twitter.com/reilly6363", "reilly6363")</f>
        <v>reilly6363</v>
      </c>
      <c r="B18907" s="65"/>
    </row>
    <row r="18908" spans="1:2" x14ac:dyDescent="0.25">
      <c r="A18908" s="64" t="str">
        <f>HYPERLINK("http://www.twitter.com/JackieMRandall", "JackieMRandall")</f>
        <v>JackieMRandall</v>
      </c>
      <c r="B18908" s="65" t="s">
        <v>3817</v>
      </c>
    </row>
    <row r="18909" spans="1:2" x14ac:dyDescent="0.25">
      <c r="A18909" s="64" t="str">
        <f>HYPERLINK("http://www.twitter.com/steviemoran", "steviemoran")</f>
        <v>steviemoran</v>
      </c>
      <c r="B18909" s="65" t="s">
        <v>102</v>
      </c>
    </row>
    <row r="18910" spans="1:2" x14ac:dyDescent="0.25">
      <c r="A18910" s="64" t="str">
        <f>HYPERLINK("http://www.twitter.com/smarthistoryeu", "smarthistoryeu")</f>
        <v>smarthistoryeu</v>
      </c>
      <c r="B18910" s="65" t="s">
        <v>4049</v>
      </c>
    </row>
    <row r="18911" spans="1:2" x14ac:dyDescent="0.25">
      <c r="A18911" s="64" t="str">
        <f>HYPERLINK("http://www.twitter.com/Scottish_Banner", "Scottish_Banner")</f>
        <v>Scottish_Banner</v>
      </c>
      <c r="B18911" s="65"/>
    </row>
    <row r="18912" spans="1:2" x14ac:dyDescent="0.25">
      <c r="A18912" s="64" t="str">
        <f>HYPERLINK("http://www.twitter.com/Randomfx01", "Randomfx01")</f>
        <v>Randomfx01</v>
      </c>
      <c r="B18912" s="65" t="s">
        <v>318</v>
      </c>
    </row>
    <row r="18913" spans="1:2" x14ac:dyDescent="0.25">
      <c r="A18913" s="64" t="str">
        <f>HYPERLINK("http://www.twitter.com/tat2laura", "tat2laura")</f>
        <v>tat2laura</v>
      </c>
      <c r="B18913" s="65" t="s">
        <v>2007</v>
      </c>
    </row>
    <row r="18914" spans="1:2" x14ac:dyDescent="0.25">
      <c r="A18914" s="64" t="str">
        <f>HYPERLINK("http://www.twitter.com/tessw", "tessw")</f>
        <v>tessw</v>
      </c>
      <c r="B18914" s="65" t="s">
        <v>2457</v>
      </c>
    </row>
    <row r="18915" spans="1:2" x14ac:dyDescent="0.25">
      <c r="A18915" s="64" t="str">
        <f>HYPERLINK("http://www.twitter.com/hintonsconwy", "hintonsconwy")</f>
        <v>hintonsconwy</v>
      </c>
      <c r="B18915" s="65" t="s">
        <v>9387</v>
      </c>
    </row>
    <row r="18916" spans="1:2" x14ac:dyDescent="0.25">
      <c r="A18916" s="64" t="str">
        <f>HYPERLINK("http://www.twitter.com/SmallmanTracey", "SmallmanTracey")</f>
        <v>SmallmanTracey</v>
      </c>
      <c r="B18916" s="65" t="s">
        <v>4519</v>
      </c>
    </row>
    <row r="18917" spans="1:2" x14ac:dyDescent="0.25">
      <c r="A18917" s="64" t="str">
        <f>HYPERLINK("http://www.twitter.com/marie_vialet", "marie_vialet")</f>
        <v>marie_vialet</v>
      </c>
      <c r="B18917" s="65"/>
    </row>
    <row r="18918" spans="1:2" x14ac:dyDescent="0.25">
      <c r="A18918" s="64" t="str">
        <f>HYPERLINK("http://www.twitter.com/ScotlandHour", "ScotlandHour")</f>
        <v>ScotlandHour</v>
      </c>
      <c r="B18918" s="65" t="s">
        <v>517</v>
      </c>
    </row>
    <row r="18919" spans="1:2" x14ac:dyDescent="0.25">
      <c r="A18919" s="64" t="str">
        <f>HYPERLINK("http://www.twitter.com/LucieLepG", "LucieLepG")</f>
        <v>LucieLepG</v>
      </c>
      <c r="B18919" s="65"/>
    </row>
    <row r="18920" spans="1:2" x14ac:dyDescent="0.25">
      <c r="A18920" s="64" t="str">
        <f>HYPERLINK("http://www.twitter.com/emelyeperry", "emelyeperry")</f>
        <v>emelyeperry</v>
      </c>
      <c r="B18920" s="65"/>
    </row>
    <row r="18921" spans="1:2" x14ac:dyDescent="0.25">
      <c r="A18921" s="64" t="str">
        <f>HYPERLINK("http://www.twitter.com/elvis_waugh", "elvis_waugh")</f>
        <v>elvis_waugh</v>
      </c>
      <c r="B18921" s="65"/>
    </row>
    <row r="18922" spans="1:2" x14ac:dyDescent="0.25">
      <c r="A18922" s="64" t="str">
        <f>HYPERLINK("http://www.twitter.com/colorama_sound", "colorama_sound")</f>
        <v>colorama_sound</v>
      </c>
      <c r="B18922" s="65" t="s">
        <v>1221</v>
      </c>
    </row>
    <row r="18923" spans="1:2" x14ac:dyDescent="0.25">
      <c r="A18923" s="64" t="str">
        <f>HYPERLINK("http://www.twitter.com/HKilbank", "HKilbank")</f>
        <v>HKilbank</v>
      </c>
      <c r="B18923" s="65"/>
    </row>
    <row r="18924" spans="1:2" x14ac:dyDescent="0.25">
      <c r="A18924" s="64" t="str">
        <f>HYPERLINK("http://www.twitter.com/MargoWalker1", "MargoWalker1")</f>
        <v>MargoWalker1</v>
      </c>
      <c r="B18924" s="65"/>
    </row>
    <row r="18925" spans="1:2" x14ac:dyDescent="0.25">
      <c r="A18925" s="64" t="str">
        <f>HYPERLINK("http://www.twitter.com/Blood_Meridian_", "Blood_Meridian_")</f>
        <v>Blood_Meridian_</v>
      </c>
      <c r="B18925" s="65" t="s">
        <v>9388</v>
      </c>
    </row>
    <row r="18926" spans="1:2" x14ac:dyDescent="0.25">
      <c r="A18926" s="64" t="str">
        <f>HYPERLINK("http://www.twitter.com/wellreadkitty", "wellreadkitty")</f>
        <v>wellreadkitty</v>
      </c>
      <c r="B18926" s="65" t="s">
        <v>4436</v>
      </c>
    </row>
    <row r="18927" spans="1:2" x14ac:dyDescent="0.25">
      <c r="A18927" s="64" t="str">
        <f>HYPERLINK("http://www.twitter.com/dofebec", "dofebec")</f>
        <v>dofebec</v>
      </c>
      <c r="B18927" s="65"/>
    </row>
    <row r="18928" spans="1:2" x14ac:dyDescent="0.25">
      <c r="A18928" s="64" t="str">
        <f>HYPERLINK("http://www.twitter.com/DofEScotland", "DofEScotland")</f>
        <v>DofEScotland</v>
      </c>
      <c r="B18928" s="65" t="s">
        <v>24</v>
      </c>
    </row>
    <row r="18929" spans="1:2" x14ac:dyDescent="0.25">
      <c r="A18929" s="64" t="str">
        <f>HYPERLINK("http://www.twitter.com/CondurJ", "CondurJ")</f>
        <v>CondurJ</v>
      </c>
      <c r="B18929" s="65"/>
    </row>
    <row r="18930" spans="1:2" x14ac:dyDescent="0.25">
      <c r="A18930" s="64" t="str">
        <f>HYPERLINK("http://www.twitter.com/Sally_Mair", "Sally_Mair")</f>
        <v>Sally_Mair</v>
      </c>
      <c r="B18930" s="65" t="s">
        <v>318</v>
      </c>
    </row>
    <row r="18931" spans="1:2" x14ac:dyDescent="0.25">
      <c r="A18931" s="64" t="str">
        <f>HYPERLINK("http://www.twitter.com/paulanthjones", "paulanthjones")</f>
        <v>paulanthjones</v>
      </c>
      <c r="B18931" s="65" t="s">
        <v>5891</v>
      </c>
    </row>
    <row r="18932" spans="1:2" x14ac:dyDescent="0.25">
      <c r="A18932" s="64" t="str">
        <f>HYPERLINK("http://www.twitter.com/LooseGooseJam23", "LooseGooseJam23")</f>
        <v>LooseGooseJam23</v>
      </c>
      <c r="B18932" s="65"/>
    </row>
    <row r="18933" spans="1:2" x14ac:dyDescent="0.25">
      <c r="A18933" s="64" t="str">
        <f>HYPERLINK("http://www.twitter.com/mariawylie", "mariawylie")</f>
        <v>mariawylie</v>
      </c>
      <c r="B18933" s="65" t="s">
        <v>8752</v>
      </c>
    </row>
    <row r="18934" spans="1:2" x14ac:dyDescent="0.25">
      <c r="A18934" s="64" t="str">
        <f>HYPERLINK("http://www.twitter.com/carolvally", "carolvally")</f>
        <v>carolvally</v>
      </c>
      <c r="B18934" s="65" t="s">
        <v>517</v>
      </c>
    </row>
    <row r="18935" spans="1:2" x14ac:dyDescent="0.25">
      <c r="A18935" s="64" t="str">
        <f>HYPERLINK("http://www.twitter.com/library_lou", "library_lou")</f>
        <v>library_lou</v>
      </c>
      <c r="B18935" s="65" t="s">
        <v>9389</v>
      </c>
    </row>
    <row r="18936" spans="1:2" x14ac:dyDescent="0.25">
      <c r="A18936" s="64" t="str">
        <f>HYPERLINK("http://www.twitter.com/Catriona_Rae", "Catriona_Rae")</f>
        <v>Catriona_Rae</v>
      </c>
      <c r="B18936" s="65" t="s">
        <v>517</v>
      </c>
    </row>
    <row r="18937" spans="1:2" x14ac:dyDescent="0.25">
      <c r="A18937" s="64" t="str">
        <f>HYPERLINK("http://www.twitter.com/ian_forder", "ian_forder")</f>
        <v>ian_forder</v>
      </c>
      <c r="B18937" s="65" t="s">
        <v>487</v>
      </c>
    </row>
    <row r="18938" spans="1:2" x14ac:dyDescent="0.25">
      <c r="A18938" s="64" t="str">
        <f>HYPERLINK("http://www.twitter.com/epic_ashley", "epic_ashley")</f>
        <v>epic_ashley</v>
      </c>
      <c r="B18938" s="65" t="s">
        <v>3875</v>
      </c>
    </row>
    <row r="18939" spans="1:2" x14ac:dyDescent="0.25">
      <c r="A18939" s="64" t="str">
        <f>HYPERLINK("http://www.twitter.com/BritCrime", "BritCrime")</f>
        <v>BritCrime</v>
      </c>
      <c r="B18939" s="65" t="s">
        <v>70</v>
      </c>
    </row>
    <row r="18940" spans="1:2" x14ac:dyDescent="0.25">
      <c r="A18940" s="64" t="str">
        <f>HYPERLINK("http://www.twitter.com/delldoll78", "delldoll78")</f>
        <v>delldoll78</v>
      </c>
      <c r="B18940" s="65" t="s">
        <v>2007</v>
      </c>
    </row>
    <row r="18941" spans="1:2" x14ac:dyDescent="0.25">
      <c r="A18941" s="64" t="str">
        <f>HYPERLINK("http://www.twitter.com/bincorbyn", "bincorbyn")</f>
        <v>bincorbyn</v>
      </c>
      <c r="B18941" s="65"/>
    </row>
    <row r="18942" spans="1:2" x14ac:dyDescent="0.25">
      <c r="A18942" s="64" t="str">
        <f>HYPERLINK("http://www.twitter.com/biochembelle", "biochembelle")</f>
        <v>biochembelle</v>
      </c>
      <c r="B18942" s="65"/>
    </row>
    <row r="18943" spans="1:2" x14ac:dyDescent="0.25">
      <c r="A18943" s="64" t="str">
        <f>HYPERLINK("http://www.twitter.com/0967Gems", "0967Gems")</f>
        <v>0967Gems</v>
      </c>
      <c r="B18943" s="65" t="s">
        <v>4403</v>
      </c>
    </row>
    <row r="18944" spans="1:2" x14ac:dyDescent="0.25">
      <c r="A18944" s="64" t="str">
        <f>HYPERLINK("http://www.twitter.com/flowingtales", "flowingtales")</f>
        <v>flowingtales</v>
      </c>
      <c r="B18944" s="65" t="s">
        <v>1192</v>
      </c>
    </row>
    <row r="18945" spans="1:2" x14ac:dyDescent="0.25">
      <c r="A18945" s="64" t="str">
        <f>HYPERLINK("http://www.twitter.com/scgovLibrary", "scgovLibrary")</f>
        <v>scgovLibrary</v>
      </c>
      <c r="B18945" s="65" t="s">
        <v>4004</v>
      </c>
    </row>
    <row r="18946" spans="1:2" x14ac:dyDescent="0.25">
      <c r="A18946" s="64" t="str">
        <f>HYPERLINK("http://www.twitter.com/saxonsquiff", "saxonsquiff")</f>
        <v>saxonsquiff</v>
      </c>
      <c r="B18946" s="65"/>
    </row>
    <row r="18947" spans="1:2" x14ac:dyDescent="0.25">
      <c r="A18947" s="64" t="str">
        <f>HYPERLINK("http://www.twitter.com/lynn_schlatter", "lynn_schlatter")</f>
        <v>lynn_schlatter</v>
      </c>
      <c r="B18947" s="65"/>
    </row>
    <row r="18948" spans="1:2" x14ac:dyDescent="0.25">
      <c r="A18948" s="64" t="str">
        <f>HYPERLINK("http://www.twitter.com/blawrence2012", "blawrence2012")</f>
        <v>blawrence2012</v>
      </c>
      <c r="B18948" s="65"/>
    </row>
    <row r="18949" spans="1:2" x14ac:dyDescent="0.25">
      <c r="A18949" s="64" t="str">
        <f>HYPERLINK("http://www.twitter.com/Sacrewell", "Sacrewell")</f>
        <v>Sacrewell</v>
      </c>
      <c r="B18949" s="65" t="s">
        <v>1078</v>
      </c>
    </row>
    <row r="18950" spans="1:2" x14ac:dyDescent="0.25">
      <c r="A18950" s="64" t="str">
        <f>HYPERLINK("http://www.twitter.com/Davegotsu", "Davegotsu")</f>
        <v>Davegotsu</v>
      </c>
      <c r="B18950" s="65" t="s">
        <v>2030</v>
      </c>
    </row>
    <row r="18951" spans="1:2" x14ac:dyDescent="0.25">
      <c r="A18951" s="64" t="str">
        <f>HYPERLINK("http://www.twitter.com/maybe_sparrow", "maybe_sparrow")</f>
        <v>maybe_sparrow</v>
      </c>
      <c r="B18951" s="65" t="s">
        <v>6639</v>
      </c>
    </row>
    <row r="18952" spans="1:2" x14ac:dyDescent="0.25">
      <c r="A18952" s="64" t="str">
        <f>HYPERLINK("http://www.twitter.com/RedP74", "RedP74")</f>
        <v>RedP74</v>
      </c>
      <c r="B18952" s="65" t="s">
        <v>9390</v>
      </c>
    </row>
    <row r="18953" spans="1:2" x14ac:dyDescent="0.25">
      <c r="A18953" s="64" t="str">
        <f>HYPERLINK("http://www.twitter.com/kather27", "kather27")</f>
        <v>kather27</v>
      </c>
      <c r="B18953" s="65" t="s">
        <v>2007</v>
      </c>
    </row>
    <row r="18954" spans="1:2" x14ac:dyDescent="0.25">
      <c r="A18954" s="64" t="str">
        <f>HYPERLINK("http://www.twitter.com/dartmouthlibsue", "dartmouthlibsue")</f>
        <v>dartmouthlibsue</v>
      </c>
      <c r="B18954" s="65"/>
    </row>
    <row r="18955" spans="1:2" x14ac:dyDescent="0.25">
      <c r="A18955" s="64" t="str">
        <f>HYPERLINK("http://www.twitter.com/K80rr1", "K80rr1")</f>
        <v>K80rr1</v>
      </c>
      <c r="B18955" s="65"/>
    </row>
    <row r="18956" spans="1:2" x14ac:dyDescent="0.25">
      <c r="A18956" s="64" t="str">
        <f>HYPERLINK("http://www.twitter.com/judystokes20", "judystokes20")</f>
        <v>judystokes20</v>
      </c>
      <c r="B18956" s="65"/>
    </row>
    <row r="18957" spans="1:2" x14ac:dyDescent="0.25">
      <c r="A18957" s="64" t="str">
        <f>HYPERLINK("http://www.twitter.com/Simonse12", "Simonse12")</f>
        <v>Simonse12</v>
      </c>
      <c r="B18957" s="65" t="s">
        <v>4171</v>
      </c>
    </row>
    <row r="18958" spans="1:2" x14ac:dyDescent="0.25">
      <c r="A18958" s="64" t="str">
        <f>HYPERLINK("http://www.twitter.com/remiNvn", "remiNvn")</f>
        <v>remiNvn</v>
      </c>
      <c r="B18958" s="65"/>
    </row>
    <row r="18959" spans="1:2" x14ac:dyDescent="0.25">
      <c r="A18959" s="64" t="str">
        <f>HYPERLINK("http://www.twitter.com/BedwasLib", "BedwasLib")</f>
        <v>BedwasLib</v>
      </c>
      <c r="B18959" s="65" t="s">
        <v>2118</v>
      </c>
    </row>
    <row r="18960" spans="1:2" x14ac:dyDescent="0.25">
      <c r="A18960" s="64" t="str">
        <f>HYPERLINK("http://www.twitter.com/LWFKirklees", "LWFKirklees")</f>
        <v>LWFKirklees</v>
      </c>
      <c r="B18960" s="65" t="s">
        <v>9391</v>
      </c>
    </row>
    <row r="18961" spans="1:2" x14ac:dyDescent="0.25">
      <c r="A18961" s="64" t="str">
        <f>HYPERLINK("http://www.twitter.com/duffymarcia45", "duffymarcia45")</f>
        <v>duffymarcia45</v>
      </c>
      <c r="B18961" s="65" t="s">
        <v>9392</v>
      </c>
    </row>
    <row r="18962" spans="1:2" x14ac:dyDescent="0.25">
      <c r="A18962" s="64" t="str">
        <f>HYPERLINK("http://www.twitter.com/BritishBirdNZ", "BritishBirdNZ")</f>
        <v>BritishBirdNZ</v>
      </c>
      <c r="B18962" s="65" t="s">
        <v>4161</v>
      </c>
    </row>
    <row r="18963" spans="1:2" x14ac:dyDescent="0.25">
      <c r="A18963" s="64" t="str">
        <f>HYPERLINK("http://www.twitter.com/PhilDarnowsky", "PhilDarnowsky")</f>
        <v>PhilDarnowsky</v>
      </c>
      <c r="B18963" s="65" t="s">
        <v>6826</v>
      </c>
    </row>
    <row r="18964" spans="1:2" x14ac:dyDescent="0.25">
      <c r="A18964" s="64" t="str">
        <f>HYPERLINK("http://www.twitter.com/kathyswan1979", "kathyswan1979")</f>
        <v>kathyswan1979</v>
      </c>
      <c r="B18964" s="65" t="s">
        <v>5770</v>
      </c>
    </row>
    <row r="18965" spans="1:2" x14ac:dyDescent="0.25">
      <c r="A18965" s="64" t="str">
        <f>HYPERLINK("http://www.twitter.com/DerekHotchkiss1", "DerekHotchkiss1")</f>
        <v>DerekHotchkiss1</v>
      </c>
      <c r="B18965" s="65"/>
    </row>
    <row r="18966" spans="1:2" x14ac:dyDescent="0.25">
      <c r="A18966" s="64" t="str">
        <f>HYPERLINK("http://www.twitter.com/audreynolan", "audreynolan")</f>
        <v>audreynolan</v>
      </c>
      <c r="B18966" s="65" t="s">
        <v>2232</v>
      </c>
    </row>
    <row r="18967" spans="1:2" x14ac:dyDescent="0.25">
      <c r="A18967" s="64" t="str">
        <f>HYPERLINK("http://www.twitter.com/ScotAngelAwards", "ScotAngelAwards")</f>
        <v>ScotAngelAwards</v>
      </c>
      <c r="B18967" s="65" t="s">
        <v>2007</v>
      </c>
    </row>
    <row r="18968" spans="1:2" x14ac:dyDescent="0.25">
      <c r="A18968" s="64" t="str">
        <f>HYPERLINK("http://www.twitter.com/Bookish_Becky", "Bookish_Becky")</f>
        <v>Bookish_Becky</v>
      </c>
      <c r="B18968" s="65" t="s">
        <v>477</v>
      </c>
    </row>
    <row r="18969" spans="1:2" x14ac:dyDescent="0.25">
      <c r="A18969" s="64" t="str">
        <f>HYPERLINK("http://www.twitter.com/NLPN_", "NLPN_")</f>
        <v>NLPN_</v>
      </c>
      <c r="B18969" s="65" t="s">
        <v>4040</v>
      </c>
    </row>
    <row r="18970" spans="1:2" x14ac:dyDescent="0.25">
      <c r="A18970" s="64" t="str">
        <f>HYPERLINK("http://www.twitter.com/bluetriangleHA", "bluetriangleHA")</f>
        <v>bluetriangleHA</v>
      </c>
      <c r="B18970" s="65" t="s">
        <v>138</v>
      </c>
    </row>
    <row r="18971" spans="1:2" x14ac:dyDescent="0.25">
      <c r="A18971" s="64" t="str">
        <f>HYPERLINK("http://www.twitter.com/oddthomas67", "oddthomas67")</f>
        <v>oddthomas67</v>
      </c>
      <c r="B18971" s="65" t="s">
        <v>9393</v>
      </c>
    </row>
    <row r="18972" spans="1:2" x14ac:dyDescent="0.25">
      <c r="A18972" s="64" t="str">
        <f>HYPERLINK("http://www.twitter.com/digitalclaire7", "digitalclaire7")</f>
        <v>digitalclaire7</v>
      </c>
      <c r="B18972" s="65" t="s">
        <v>5301</v>
      </c>
    </row>
    <row r="18973" spans="1:2" x14ac:dyDescent="0.25">
      <c r="A18973" s="64" t="str">
        <f>HYPERLINK("http://www.twitter.com/ferretthimself", "ferretthimself")</f>
        <v>ferretthimself</v>
      </c>
      <c r="B18973" s="65" t="s">
        <v>9394</v>
      </c>
    </row>
    <row r="18974" spans="1:2" x14ac:dyDescent="0.25">
      <c r="A18974" s="64" t="str">
        <f>HYPERLINK("http://www.twitter.com/g4b0l0p3z", "g4b0l0p3z")</f>
        <v>g4b0l0p3z</v>
      </c>
      <c r="B18974" s="65" t="s">
        <v>9395</v>
      </c>
    </row>
    <row r="18975" spans="1:2" x14ac:dyDescent="0.25">
      <c r="A18975" s="64" t="str">
        <f>HYPERLINK("http://www.twitter.com/FLIPnetworkUK", "FLIPnetworkUK")</f>
        <v>FLIPnetworkUK</v>
      </c>
      <c r="B18975" s="65" t="s">
        <v>296</v>
      </c>
    </row>
    <row r="18976" spans="1:2" x14ac:dyDescent="0.25">
      <c r="A18976" s="64" t="str">
        <f>HYPERLINK("http://www.twitter.com/jesse_a", "jesse_a")</f>
        <v>jesse_a</v>
      </c>
      <c r="B18976" s="65" t="s">
        <v>36</v>
      </c>
    </row>
    <row r="18977" spans="1:2" x14ac:dyDescent="0.25">
      <c r="A18977" s="64" t="str">
        <f>HYPERLINK("http://www.twitter.com/Robertson_Becs", "Robertson_Becs")</f>
        <v>Robertson_Becs</v>
      </c>
      <c r="B18977" s="65" t="s">
        <v>4766</v>
      </c>
    </row>
    <row r="18978" spans="1:2" x14ac:dyDescent="0.25">
      <c r="A18978" s="64" t="str">
        <f>HYPERLINK("http://www.twitter.com/AssocArtistsAPA", "AssocArtistsAPA")</f>
        <v>AssocArtistsAPA</v>
      </c>
      <c r="B18978" s="65" t="s">
        <v>808</v>
      </c>
    </row>
    <row r="18979" spans="1:2" x14ac:dyDescent="0.25">
      <c r="A18979" s="64" t="str">
        <f>HYPERLINK("http://www.twitter.com/stillnotclare", "stillnotclare")</f>
        <v>stillnotclare</v>
      </c>
      <c r="B18979" s="65" t="s">
        <v>9396</v>
      </c>
    </row>
    <row r="18980" spans="1:2" x14ac:dyDescent="0.25">
      <c r="A18980" s="64" t="str">
        <f>HYPERLINK("http://www.twitter.com/JuliaSJarvis", "JuliaSJarvis")</f>
        <v>JuliaSJarvis</v>
      </c>
      <c r="B18980" s="65" t="s">
        <v>36</v>
      </c>
    </row>
    <row r="18981" spans="1:2" x14ac:dyDescent="0.25">
      <c r="A18981" s="64" t="str">
        <f>HYPERLINK("http://www.twitter.com/Evelynanns04Fj", "Evelynanns04Fj")</f>
        <v>Evelynanns04Fj</v>
      </c>
      <c r="B18981" s="65" t="s">
        <v>4124</v>
      </c>
    </row>
    <row r="18982" spans="1:2" x14ac:dyDescent="0.25">
      <c r="A18982" s="64" t="str">
        <f>HYPERLINK("http://www.twitter.com/H_Sx5", "H_Sx5")</f>
        <v>H_Sx5</v>
      </c>
      <c r="B18982" s="65"/>
    </row>
    <row r="18983" spans="1:2" x14ac:dyDescent="0.25">
      <c r="A18983" s="64" t="str">
        <f>HYPERLINK("http://www.twitter.com/ntonner1", "ntonner1")</f>
        <v>ntonner1</v>
      </c>
      <c r="B18983" s="65"/>
    </row>
    <row r="18984" spans="1:2" x14ac:dyDescent="0.25">
      <c r="A18984" s="64" t="str">
        <f>HYPERLINK("http://www.twitter.com/jude_aston", "jude_aston")</f>
        <v>jude_aston</v>
      </c>
      <c r="B18984" s="65"/>
    </row>
    <row r="18985" spans="1:2" x14ac:dyDescent="0.25">
      <c r="A18985" s="64" t="str">
        <f>HYPERLINK("http://www.twitter.com/TruculentSheep", "TruculentSheep")</f>
        <v>TruculentSheep</v>
      </c>
      <c r="B18985" s="65" t="s">
        <v>9397</v>
      </c>
    </row>
    <row r="18986" spans="1:2" x14ac:dyDescent="0.25">
      <c r="A18986" s="64" t="str">
        <f>HYPERLINK("http://www.twitter.com/happystau", "happystau")</f>
        <v>happystau</v>
      </c>
      <c r="B18986" s="65" t="s">
        <v>3988</v>
      </c>
    </row>
    <row r="18987" spans="1:2" x14ac:dyDescent="0.25">
      <c r="A18987" s="64" t="str">
        <f>HYPERLINK("http://www.twitter.com/sianymc", "sianymc")</f>
        <v>sianymc</v>
      </c>
      <c r="B18987" s="65" t="s">
        <v>33</v>
      </c>
    </row>
    <row r="18988" spans="1:2" x14ac:dyDescent="0.25">
      <c r="A18988" s="64" t="str">
        <f>HYPERLINK("http://www.twitter.com/beckyclark83", "beckyclark83")</f>
        <v>beckyclark83</v>
      </c>
      <c r="B18988" s="65" t="s">
        <v>36</v>
      </c>
    </row>
    <row r="18989" spans="1:2" x14ac:dyDescent="0.25">
      <c r="A18989" s="64" t="str">
        <f>HYPERLINK("http://www.twitter.com/MrsBruce2013", "MrsBruce2013")</f>
        <v>MrsBruce2013</v>
      </c>
      <c r="B18989" s="65"/>
    </row>
    <row r="18990" spans="1:2" x14ac:dyDescent="0.25">
      <c r="A18990" s="64" t="str">
        <f>HYPERLINK("http://www.twitter.com/annlazim", "annlazim")</f>
        <v>annlazim</v>
      </c>
      <c r="B18990" s="65"/>
    </row>
    <row r="18991" spans="1:2" x14ac:dyDescent="0.25">
      <c r="A18991" s="64" t="str">
        <f>HYPERLINK("http://www.twitter.com/MaureenMcCaffr1", "MaureenMcCaffr1")</f>
        <v>MaureenMcCaffr1</v>
      </c>
      <c r="B18991" s="65"/>
    </row>
    <row r="18992" spans="1:2" x14ac:dyDescent="0.25">
      <c r="A18992" s="64" t="str">
        <f>HYPERLINK("http://www.twitter.com/amberablaze", "amberablaze")</f>
        <v>amberablaze</v>
      </c>
      <c r="B18992" s="65" t="s">
        <v>9398</v>
      </c>
    </row>
    <row r="18993" spans="1:2" x14ac:dyDescent="0.25">
      <c r="A18993" s="64" t="str">
        <f>HYPERLINK("http://www.twitter.com/firstlexi", "firstlexi")</f>
        <v>firstlexi</v>
      </c>
      <c r="B18993" s="65" t="s">
        <v>9399</v>
      </c>
    </row>
    <row r="18994" spans="1:2" x14ac:dyDescent="0.25">
      <c r="A18994" s="64" t="str">
        <f>HYPERLINK("http://www.twitter.com/lauowolf", "lauowolf")</f>
        <v>lauowolf</v>
      </c>
      <c r="B18994" s="65"/>
    </row>
    <row r="18995" spans="1:2" x14ac:dyDescent="0.25">
      <c r="A18995" s="64" t="str">
        <f>HYPERLINK("http://www.twitter.com/PatFairlea", "PatFairlea")</f>
        <v>PatFairlea</v>
      </c>
      <c r="B18995" s="65"/>
    </row>
    <row r="18996" spans="1:2" x14ac:dyDescent="0.25">
      <c r="A18996" s="64" t="str">
        <f>HYPERLINK("http://www.twitter.com/ponyfishgirl", "ponyfishgirl")</f>
        <v>ponyfishgirl</v>
      </c>
      <c r="B18996" s="65" t="s">
        <v>3988</v>
      </c>
    </row>
    <row r="18997" spans="1:2" x14ac:dyDescent="0.25">
      <c r="A18997" s="64" t="str">
        <f>HYPERLINK("http://www.twitter.com/LynnieB65", "LynnieB65")</f>
        <v>LynnieB65</v>
      </c>
      <c r="B18997" s="65"/>
    </row>
    <row r="18998" spans="1:2" x14ac:dyDescent="0.25">
      <c r="A18998" s="64" t="str">
        <f>HYPERLINK("http://www.twitter.com/SNPsoosie", "SNPsoosie")</f>
        <v>SNPsoosie</v>
      </c>
      <c r="B18998" s="65" t="s">
        <v>9400</v>
      </c>
    </row>
    <row r="18999" spans="1:2" x14ac:dyDescent="0.25">
      <c r="A18999" s="64" t="str">
        <f>HYPERLINK("http://www.twitter.com/annemac33", "annemac33")</f>
        <v>annemac33</v>
      </c>
      <c r="B18999" s="65" t="s">
        <v>9401</v>
      </c>
    </row>
    <row r="19000" spans="1:2" x14ac:dyDescent="0.25">
      <c r="A19000" s="64" t="str">
        <f>HYPERLINK("http://www.twitter.com/MoragSievwright", "MoragSievwright")</f>
        <v>MoragSievwright</v>
      </c>
      <c r="B19000" s="65" t="s">
        <v>9402</v>
      </c>
    </row>
    <row r="19001" spans="1:2" x14ac:dyDescent="0.25">
      <c r="A19001" s="64" t="str">
        <f>HYPERLINK("http://www.twitter.com/sarah_donaldson", "sarah_donaldson")</f>
        <v>sarah_donaldson</v>
      </c>
      <c r="B19001" s="65" t="s">
        <v>7716</v>
      </c>
    </row>
    <row r="19002" spans="1:2" x14ac:dyDescent="0.25">
      <c r="A19002" s="64" t="str">
        <f>HYPERLINK("http://www.twitter.com/_Stewart_Bain", "_Stewart_Bain")</f>
        <v>_Stewart_Bain</v>
      </c>
      <c r="B19002" s="65" t="s">
        <v>20</v>
      </c>
    </row>
    <row r="19003" spans="1:2" x14ac:dyDescent="0.25">
      <c r="A19003" s="64" t="str">
        <f>HYPERLINK("http://www.twitter.com/robbieanthony87", "robbieanthony87")</f>
        <v>robbieanthony87</v>
      </c>
      <c r="B19003" s="65" t="s">
        <v>9403</v>
      </c>
    </row>
    <row r="19004" spans="1:2" x14ac:dyDescent="0.25">
      <c r="A19004" s="64" t="str">
        <f>HYPERLINK("http://www.twitter.com/ADGarrett1", "ADGarrett1")</f>
        <v>ADGarrett1</v>
      </c>
      <c r="B19004" s="65" t="s">
        <v>9404</v>
      </c>
    </row>
    <row r="19005" spans="1:2" x14ac:dyDescent="0.25">
      <c r="A19005" s="64" t="str">
        <f>HYPERLINK("http://www.twitter.com/rcaskie1", "rcaskie1")</f>
        <v>rcaskie1</v>
      </c>
      <c r="B19005" s="65" t="s">
        <v>4716</v>
      </c>
    </row>
    <row r="19006" spans="1:2" x14ac:dyDescent="0.25">
      <c r="A19006" s="64" t="str">
        <f>HYPERLINK("http://www.twitter.com/QuenchWines", "QuenchWines")</f>
        <v>QuenchWines</v>
      </c>
      <c r="B19006" s="65" t="s">
        <v>9405</v>
      </c>
    </row>
    <row r="19007" spans="1:2" x14ac:dyDescent="0.25">
      <c r="A19007" s="64" t="str">
        <f>HYPERLINK("http://www.twitter.com/HaitiLibrary", "HaitiLibrary")</f>
        <v>HaitiLibrary</v>
      </c>
      <c r="B19007" s="65" t="s">
        <v>9406</v>
      </c>
    </row>
    <row r="19008" spans="1:2" x14ac:dyDescent="0.25">
      <c r="A19008" s="64" t="str">
        <f>HYPERLINK("http://www.twitter.com/hazlett92", "hazlett92")</f>
        <v>hazlett92</v>
      </c>
      <c r="B19008" s="65" t="s">
        <v>9407</v>
      </c>
    </row>
    <row r="19009" spans="1:2" x14ac:dyDescent="0.25">
      <c r="A19009" s="64" t="str">
        <f>HYPERLINK("http://www.twitter.com/kevinMcLaughli7", "kevinMcLaughli7")</f>
        <v>kevinMcLaughli7</v>
      </c>
      <c r="B19009" s="65"/>
    </row>
    <row r="19010" spans="1:2" x14ac:dyDescent="0.25">
      <c r="A19010" s="64" t="str">
        <f>HYPERLINK("http://www.twitter.com/PequodDave", "PequodDave")</f>
        <v>PequodDave</v>
      </c>
      <c r="B19010" s="65" t="s">
        <v>296</v>
      </c>
    </row>
    <row r="19011" spans="1:2" x14ac:dyDescent="0.25">
      <c r="A19011" s="64" t="str">
        <f>HYPERLINK("http://www.twitter.com/aimeesaid", "aimeesaid")</f>
        <v>aimeesaid</v>
      </c>
      <c r="B19011" s="65" t="s">
        <v>4147</v>
      </c>
    </row>
    <row r="19012" spans="1:2" x14ac:dyDescent="0.25">
      <c r="A19012" s="64" t="str">
        <f>HYPERLINK("http://www.twitter.com/OLHSLRC", "OLHSLRC")</f>
        <v>OLHSLRC</v>
      </c>
      <c r="B19012" s="65" t="s">
        <v>1689</v>
      </c>
    </row>
    <row r="19013" spans="1:2" x14ac:dyDescent="0.25">
      <c r="A19013" s="64" t="str">
        <f>HYPERLINK("http://www.twitter.com/lesserkered", "lesserkered")</f>
        <v>lesserkered</v>
      </c>
      <c r="B19013" s="65" t="s">
        <v>9408</v>
      </c>
    </row>
    <row r="19014" spans="1:2" x14ac:dyDescent="0.25">
      <c r="A19014" s="64" t="str">
        <f>HYPERLINK("http://www.twitter.com/debrosebud_buck", "debrosebud_buck")</f>
        <v>debrosebud_buck</v>
      </c>
      <c r="B19014" s="65" t="s">
        <v>3817</v>
      </c>
    </row>
    <row r="19015" spans="1:2" x14ac:dyDescent="0.25">
      <c r="A19015" s="64" t="str">
        <f>HYPERLINK("http://www.twitter.com/bridgebookshop", "bridgebookshop")</f>
        <v>bridgebookshop</v>
      </c>
      <c r="B19015" s="65" t="s">
        <v>9409</v>
      </c>
    </row>
    <row r="19016" spans="1:2" x14ac:dyDescent="0.25">
      <c r="A19016" s="64" t="str">
        <f>HYPERLINK("http://www.twitter.com/Victoria5ponge", "Victoria5ponge")</f>
        <v>Victoria5ponge</v>
      </c>
      <c r="B19016" s="65" t="s">
        <v>717</v>
      </c>
    </row>
    <row r="19017" spans="1:2" x14ac:dyDescent="0.25">
      <c r="A19017" s="64" t="str">
        <f>HYPERLINK("http://www.twitter.com/ian262", "ian262")</f>
        <v>ian262</v>
      </c>
      <c r="B19017" s="65" t="s">
        <v>9410</v>
      </c>
    </row>
    <row r="19018" spans="1:2" x14ac:dyDescent="0.25">
      <c r="A19018" s="64" t="str">
        <f>HYPERLINK("http://www.twitter.com/mobo1067", "mobo1067")</f>
        <v>mobo1067</v>
      </c>
      <c r="B19018" s="65"/>
    </row>
    <row r="19019" spans="1:2" x14ac:dyDescent="0.25">
      <c r="A19019" s="64" t="str">
        <f>HYPERLINK("http://www.twitter.com/grattontony", "grattontony")</f>
        <v>grattontony</v>
      </c>
      <c r="B19019" s="65" t="s">
        <v>517</v>
      </c>
    </row>
    <row r="19020" spans="1:2" x14ac:dyDescent="0.25">
      <c r="A19020" s="64" t="str">
        <f>HYPERLINK("http://www.twitter.com/katiesisneros", "katiesisneros")</f>
        <v>katiesisneros</v>
      </c>
      <c r="B19020" s="65" t="s">
        <v>4309</v>
      </c>
    </row>
    <row r="19021" spans="1:2" x14ac:dyDescent="0.25">
      <c r="A19021" s="64" t="str">
        <f>HYPERLINK("http://www.twitter.com/MungoJango", "MungoJango")</f>
        <v>MungoJango</v>
      </c>
      <c r="B19021" s="65" t="s">
        <v>9411</v>
      </c>
    </row>
    <row r="19022" spans="1:2" x14ac:dyDescent="0.25">
      <c r="A19022" s="64" t="str">
        <f>HYPERLINK("http://www.twitter.com/robanner2", "robanner2")</f>
        <v>robanner2</v>
      </c>
      <c r="B19022" s="65" t="s">
        <v>7567</v>
      </c>
    </row>
    <row r="19023" spans="1:2" x14ac:dyDescent="0.25">
      <c r="A19023" s="64" t="str">
        <f>HYPERLINK("http://www.twitter.com/Brightonteacher", "Brightonteacher")</f>
        <v>Brightonteacher</v>
      </c>
      <c r="B19023" s="65" t="s">
        <v>1980</v>
      </c>
    </row>
    <row r="19024" spans="1:2" x14ac:dyDescent="0.25">
      <c r="A19024" s="64" t="str">
        <f>HYPERLINK("http://www.twitter.com/gwendo184", "gwendo184")</f>
        <v>gwendo184</v>
      </c>
      <c r="B19024" s="65" t="s">
        <v>9412</v>
      </c>
    </row>
    <row r="19025" spans="1:2" x14ac:dyDescent="0.25">
      <c r="A19025" s="64" t="str">
        <f>HYPERLINK("http://www.twitter.com/pixxiebeat", "pixxiebeat")</f>
        <v>pixxiebeat</v>
      </c>
      <c r="B19025" s="65" t="s">
        <v>9413</v>
      </c>
    </row>
    <row r="19026" spans="1:2" x14ac:dyDescent="0.25">
      <c r="A19026" s="64" t="str">
        <f>HYPERLINK("http://www.twitter.com/JackieKilleen", "JackieKilleen")</f>
        <v>JackieKilleen</v>
      </c>
      <c r="B19026" s="65" t="s">
        <v>138</v>
      </c>
    </row>
    <row r="19027" spans="1:2" x14ac:dyDescent="0.25">
      <c r="A19027" s="64" t="str">
        <f>HYPERLINK("http://www.twitter.com/poupeefee", "poupeefee")</f>
        <v>poupeefee</v>
      </c>
      <c r="B19027" s="65" t="s">
        <v>9414</v>
      </c>
    </row>
    <row r="19028" spans="1:2" x14ac:dyDescent="0.25">
      <c r="A19028" s="64" t="str">
        <f>HYPERLINK("http://www.twitter.com/jeremycorbyn", "jeremycorbyn")</f>
        <v>jeremycorbyn</v>
      </c>
      <c r="B19028" s="65" t="s">
        <v>296</v>
      </c>
    </row>
    <row r="19029" spans="1:2" x14ac:dyDescent="0.25">
      <c r="A19029" s="64" t="str">
        <f>HYPERLINK("http://www.twitter.com/senorsorrell", "senorsorrell")</f>
        <v>senorsorrell</v>
      </c>
      <c r="B19029" s="65" t="s">
        <v>2030</v>
      </c>
    </row>
    <row r="19030" spans="1:2" x14ac:dyDescent="0.25">
      <c r="A19030" s="64" t="str">
        <f>HYPERLINK("http://www.twitter.com/kayesymington", "kayesymington")</f>
        <v>kayesymington</v>
      </c>
      <c r="B19030" s="65" t="s">
        <v>5043</v>
      </c>
    </row>
    <row r="19031" spans="1:2" x14ac:dyDescent="0.25">
      <c r="A19031" s="64" t="str">
        <f>HYPERLINK("http://www.twitter.com/gthom65", "gthom65")</f>
        <v>gthom65</v>
      </c>
      <c r="B19031" s="65" t="s">
        <v>5777</v>
      </c>
    </row>
    <row r="19032" spans="1:2" x14ac:dyDescent="0.25">
      <c r="A19032" s="64" t="str">
        <f>HYPERLINK("http://www.twitter.com/Bobcatsss2016", "Bobcatsss2016")</f>
        <v>Bobcatsss2016</v>
      </c>
      <c r="B19032" s="65" t="s">
        <v>9415</v>
      </c>
    </row>
    <row r="19033" spans="1:2" x14ac:dyDescent="0.25">
      <c r="A19033" s="64" t="str">
        <f>HYPERLINK("http://www.twitter.com/Grimlock1975", "Grimlock1975")</f>
        <v>Grimlock1975</v>
      </c>
      <c r="B19033" s="65" t="s">
        <v>9416</v>
      </c>
    </row>
    <row r="19034" spans="1:2" x14ac:dyDescent="0.25">
      <c r="A19034" s="64" t="str">
        <f>HYPERLINK("http://www.twitter.com/SteveEac", "SteveEac")</f>
        <v>SteveEac</v>
      </c>
      <c r="B19034" s="65"/>
    </row>
    <row r="19035" spans="1:2" x14ac:dyDescent="0.25">
      <c r="A19035" s="64" t="str">
        <f>HYPERLINK("http://www.twitter.com/DiamondShare", "DiamondShare")</f>
        <v>DiamondShare</v>
      </c>
      <c r="B19035" s="65"/>
    </row>
    <row r="19036" spans="1:2" x14ac:dyDescent="0.25">
      <c r="A19036" s="64" t="str">
        <f>HYPERLINK("http://www.twitter.com/oddjock", "oddjock")</f>
        <v>oddjock</v>
      </c>
      <c r="B19036" s="65" t="s">
        <v>487</v>
      </c>
    </row>
    <row r="19037" spans="1:2" x14ac:dyDescent="0.25">
      <c r="A19037" s="64" t="str">
        <f>HYPERLINK("http://www.twitter.com/g72o", "g72o")</f>
        <v>g72o</v>
      </c>
      <c r="B19037" s="65" t="s">
        <v>788</v>
      </c>
    </row>
    <row r="19038" spans="1:2" x14ac:dyDescent="0.25">
      <c r="A19038" s="64" t="str">
        <f>HYPERLINK("http://www.twitter.com/ruffassa", "ruffassa")</f>
        <v>ruffassa</v>
      </c>
      <c r="B19038" s="65" t="s">
        <v>138</v>
      </c>
    </row>
    <row r="19039" spans="1:2" x14ac:dyDescent="0.25">
      <c r="A19039" s="64" t="str">
        <f>HYPERLINK("http://www.twitter.com/benjaminscott", "benjaminscott")</f>
        <v>benjaminscott</v>
      </c>
      <c r="B19039" s="65" t="s">
        <v>110</v>
      </c>
    </row>
    <row r="19040" spans="1:2" x14ac:dyDescent="0.25">
      <c r="A19040" s="64" t="str">
        <f>HYPERLINK("http://www.twitter.com/n_b_jones", "n_b_jones")</f>
        <v>n_b_jones</v>
      </c>
      <c r="B19040" s="65" t="s">
        <v>36</v>
      </c>
    </row>
    <row r="19041" spans="1:2" x14ac:dyDescent="0.25">
      <c r="A19041" s="64" t="str">
        <f>HYPERLINK("http://www.twitter.com/judgementalfish", "judgementalfish")</f>
        <v>judgementalfish</v>
      </c>
      <c r="B19041" s="65" t="s">
        <v>9417</v>
      </c>
    </row>
    <row r="19042" spans="1:2" x14ac:dyDescent="0.25">
      <c r="A19042" s="64" t="str">
        <f>HYPERLINK("http://www.twitter.com/chestymorgan", "chestymorgan")</f>
        <v>chestymorgan</v>
      </c>
      <c r="B19042" s="65" t="s">
        <v>9418</v>
      </c>
    </row>
    <row r="19043" spans="1:2" x14ac:dyDescent="0.25">
      <c r="A19043" s="64" t="str">
        <f>HYPERLINK("http://www.twitter.com/WylieShona", "WylieShona")</f>
        <v>WylieShona</v>
      </c>
      <c r="B19043" s="65"/>
    </row>
    <row r="19044" spans="1:2" x14ac:dyDescent="0.25">
      <c r="A19044" s="64" t="str">
        <f>HYPERLINK("http://www.twitter.com/noel78100", "noel78100")</f>
        <v>noel78100</v>
      </c>
      <c r="B19044" s="65"/>
    </row>
    <row r="19045" spans="1:2" x14ac:dyDescent="0.25">
      <c r="A19045" s="64" t="str">
        <f>HYPERLINK("http://www.twitter.com/Lesley11221901", "Lesley11221901")</f>
        <v>Lesley11221901</v>
      </c>
      <c r="B19045" s="65" t="s">
        <v>4447</v>
      </c>
    </row>
    <row r="19046" spans="1:2" x14ac:dyDescent="0.25">
      <c r="A19046" s="64" t="str">
        <f>HYPERLINK("http://www.twitter.com/SalemPress", "SalemPress")</f>
        <v>SalemPress</v>
      </c>
      <c r="B19046" s="65" t="s">
        <v>4914</v>
      </c>
    </row>
    <row r="19047" spans="1:2" x14ac:dyDescent="0.25">
      <c r="A19047" s="64" t="str">
        <f>HYPERLINK("http://www.twitter.com/8287ebebb46d428", "8287ebebb46d428")</f>
        <v>8287ebebb46d428</v>
      </c>
      <c r="B19047" s="65"/>
    </row>
    <row r="19048" spans="1:2" x14ac:dyDescent="0.25">
      <c r="A19048" s="64" t="str">
        <f>HYPERLINK("http://www.twitter.com/srburnette", "srburnette")</f>
        <v>srburnette</v>
      </c>
      <c r="B19048" s="65"/>
    </row>
    <row r="19049" spans="1:2" x14ac:dyDescent="0.25">
      <c r="A19049" s="64" t="str">
        <f>HYPERLINK("http://www.twitter.com/nmalitz", "nmalitz")</f>
        <v>nmalitz</v>
      </c>
      <c r="B19049" s="65" t="s">
        <v>4329</v>
      </c>
    </row>
    <row r="19050" spans="1:2" x14ac:dyDescent="0.25">
      <c r="A19050" s="64" t="str">
        <f>HYPERLINK("http://www.twitter.com/janet_page", "janet_page")</f>
        <v>janet_page</v>
      </c>
      <c r="B19050" s="65" t="s">
        <v>9419</v>
      </c>
    </row>
    <row r="19051" spans="1:2" x14ac:dyDescent="0.25">
      <c r="A19051" s="64" t="str">
        <f>HYPERLINK("http://www.twitter.com/GaleEMEA", "GaleEMEA")</f>
        <v>GaleEMEA</v>
      </c>
      <c r="B19051" s="65" t="s">
        <v>70</v>
      </c>
    </row>
    <row r="19052" spans="1:2" x14ac:dyDescent="0.25">
      <c r="A19052" s="64" t="str">
        <f>HYPERLINK("http://www.twitter.com/gemmaproc", "gemmaproc")</f>
        <v>gemmaproc</v>
      </c>
      <c r="B19052" s="65" t="s">
        <v>36</v>
      </c>
    </row>
    <row r="19053" spans="1:2" x14ac:dyDescent="0.25">
      <c r="A19053" s="64" t="str">
        <f>HYPERLINK("http://www.twitter.com/mjes", "mjes")</f>
        <v>mjes</v>
      </c>
      <c r="B19053" s="65" t="s">
        <v>4409</v>
      </c>
    </row>
    <row r="19054" spans="1:2" x14ac:dyDescent="0.25">
      <c r="A19054" s="64" t="str">
        <f>HYPERLINK("http://www.twitter.com/JackieMoor1", "JackieMoor1")</f>
        <v>JackieMoor1</v>
      </c>
      <c r="B19054" s="65" t="s">
        <v>9420</v>
      </c>
    </row>
    <row r="19055" spans="1:2" x14ac:dyDescent="0.25">
      <c r="A19055" s="64" t="str">
        <f>HYPERLINK("http://www.twitter.com/runlagomorphrun", "runlagomorphrun")</f>
        <v>runlagomorphrun</v>
      </c>
      <c r="B19055" s="65"/>
    </row>
    <row r="19056" spans="1:2" x14ac:dyDescent="0.25">
      <c r="A19056" s="64" t="str">
        <f>HYPERLINK("http://www.twitter.com/TanyaZiebell", "TanyaZiebell")</f>
        <v>TanyaZiebell</v>
      </c>
      <c r="B19056" s="65" t="s">
        <v>3988</v>
      </c>
    </row>
    <row r="19057" spans="1:2" x14ac:dyDescent="0.25">
      <c r="A19057" s="64" t="str">
        <f>HYPERLINK("http://www.twitter.com/RosalindNSmith", "RosalindNSmith")</f>
        <v>RosalindNSmith</v>
      </c>
      <c r="B19057" s="65"/>
    </row>
    <row r="19058" spans="1:2" x14ac:dyDescent="0.25">
      <c r="A19058" s="64" t="str">
        <f>HYPERLINK("http://www.twitter.com/flowerpotpolly", "flowerpotpolly")</f>
        <v>flowerpotpolly</v>
      </c>
      <c r="B19058" s="65" t="s">
        <v>4324</v>
      </c>
    </row>
    <row r="19059" spans="1:2" x14ac:dyDescent="0.25">
      <c r="A19059" s="64" t="str">
        <f>HYPERLINK("http://www.twitter.com/lamarpl", "lamarpl")</f>
        <v>lamarpl</v>
      </c>
      <c r="B19059" s="65" t="s">
        <v>9421</v>
      </c>
    </row>
    <row r="19060" spans="1:2" x14ac:dyDescent="0.25">
      <c r="A19060" s="64" t="str">
        <f>HYPERLINK("http://www.twitter.com/AilsaGormley", "AilsaGormley")</f>
        <v>AilsaGormley</v>
      </c>
      <c r="B19060" s="65" t="s">
        <v>2007</v>
      </c>
    </row>
    <row r="19061" spans="1:2" x14ac:dyDescent="0.25">
      <c r="A19061" s="64" t="str">
        <f>HYPERLINK("http://www.twitter.com/monkeyfluffsaus", "monkeyfluffsaus")</f>
        <v>monkeyfluffsaus</v>
      </c>
      <c r="B19061" s="65"/>
    </row>
    <row r="19062" spans="1:2" x14ac:dyDescent="0.25">
      <c r="A19062" s="64" t="str">
        <f>HYPERLINK("http://www.twitter.com/deb_kilpatrick", "deb_kilpatrick")</f>
        <v>deb_kilpatrick</v>
      </c>
      <c r="B19062" s="65" t="s">
        <v>3875</v>
      </c>
    </row>
    <row r="19063" spans="1:2" x14ac:dyDescent="0.25">
      <c r="A19063" s="64" t="str">
        <f>HYPERLINK("http://www.twitter.com/SallyMcSparrow", "SallyMcSparrow")</f>
        <v>SallyMcSparrow</v>
      </c>
      <c r="B19063" s="65"/>
    </row>
    <row r="19064" spans="1:2" x14ac:dyDescent="0.25">
      <c r="A19064" s="64" t="str">
        <f>HYPERLINK("http://www.twitter.com/RossMartin78", "RossMartin78")</f>
        <v>RossMartin78</v>
      </c>
      <c r="B19064" s="65" t="s">
        <v>9422</v>
      </c>
    </row>
    <row r="19065" spans="1:2" x14ac:dyDescent="0.25">
      <c r="A19065" s="64" t="str">
        <f>HYPERLINK("http://www.twitter.com/DofEBarry", "DofEBarry")</f>
        <v>DofEBarry</v>
      </c>
      <c r="B19065" s="65" t="s">
        <v>9423</v>
      </c>
    </row>
    <row r="19066" spans="1:2" x14ac:dyDescent="0.25">
      <c r="A19066" s="64" t="str">
        <f>HYPERLINK("http://www.twitter.com/porter_rhp", "porter_rhp")</f>
        <v>porter_rhp</v>
      </c>
      <c r="B19066" s="65"/>
    </row>
    <row r="19067" spans="1:2" x14ac:dyDescent="0.25">
      <c r="A19067" s="64" t="str">
        <f>HYPERLINK("http://www.twitter.com/jon_mann", "jon_mann")</f>
        <v>jon_mann</v>
      </c>
      <c r="B19067" s="65" t="s">
        <v>477</v>
      </c>
    </row>
    <row r="19068" spans="1:2" x14ac:dyDescent="0.25">
      <c r="A19068" s="64" t="str">
        <f>HYPERLINK("http://www.twitter.com/BBCR4OC", "BBCR4OC")</f>
        <v>BBCR4OC</v>
      </c>
      <c r="B19068" s="65"/>
    </row>
    <row r="19069" spans="1:2" x14ac:dyDescent="0.25">
      <c r="A19069" s="64" t="str">
        <f>HYPERLINK("http://www.twitter.com/LauraHaddick", "LauraHaddick")</f>
        <v>LauraHaddick</v>
      </c>
      <c r="B19069" s="65" t="s">
        <v>9424</v>
      </c>
    </row>
    <row r="19070" spans="1:2" x14ac:dyDescent="0.25">
      <c r="A19070" s="64" t="str">
        <f>HYPERLINK("http://www.twitter.com/theHALLofEINAR", "theHALLofEINAR")</f>
        <v>theHALLofEINAR</v>
      </c>
      <c r="B19070" s="65" t="s">
        <v>7628</v>
      </c>
    </row>
    <row r="19071" spans="1:2" x14ac:dyDescent="0.25">
      <c r="A19071" s="64" t="str">
        <f>HYPERLINK("http://www.twitter.com/LizRodger", "LizRodger")</f>
        <v>LizRodger</v>
      </c>
      <c r="B19071" s="65" t="s">
        <v>517</v>
      </c>
    </row>
    <row r="19072" spans="1:2" x14ac:dyDescent="0.25">
      <c r="A19072" s="64" t="str">
        <f>HYPERLINK("http://www.twitter.com/RockHen1", "RockHen1")</f>
        <v>RockHen1</v>
      </c>
      <c r="B19072" s="65" t="s">
        <v>3760</v>
      </c>
    </row>
    <row r="19073" spans="1:2" x14ac:dyDescent="0.25">
      <c r="A19073" s="64" t="str">
        <f>HYPERLINK("http://www.twitter.com/librarybgs", "librarybgs")</f>
        <v>librarybgs</v>
      </c>
      <c r="B19073" s="65"/>
    </row>
    <row r="19074" spans="1:2" x14ac:dyDescent="0.25">
      <c r="A19074" s="64" t="str">
        <f>HYPERLINK("http://www.twitter.com/sam_platts", "sam_platts")</f>
        <v>sam_platts</v>
      </c>
      <c r="B19074" s="65"/>
    </row>
    <row r="19075" spans="1:2" x14ac:dyDescent="0.25">
      <c r="A19075" s="64" t="str">
        <f>HYPERLINK("http://www.twitter.com/christinehoy", "christinehoy")</f>
        <v>christinehoy</v>
      </c>
      <c r="B19075" s="65" t="s">
        <v>5777</v>
      </c>
    </row>
    <row r="19076" spans="1:2" x14ac:dyDescent="0.25">
      <c r="A19076" s="64" t="str">
        <f>HYPERLINK("http://www.twitter.com/NapaLibraries", "NapaLibraries")</f>
        <v>NapaLibraries</v>
      </c>
      <c r="B19076" s="65" t="s">
        <v>8039</v>
      </c>
    </row>
    <row r="19077" spans="1:2" x14ac:dyDescent="0.25">
      <c r="A19077" s="64" t="str">
        <f>HYPERLINK("http://www.twitter.com/seth_library", "seth_library")</f>
        <v>seth_library</v>
      </c>
      <c r="B19077" s="65"/>
    </row>
    <row r="19078" spans="1:2" x14ac:dyDescent="0.25">
      <c r="A19078" s="64" t="str">
        <f>HYPERLINK("http://www.twitter.com/BetweenTides", "BetweenTides")</f>
        <v>BetweenTides</v>
      </c>
      <c r="B19078" s="65" t="s">
        <v>8315</v>
      </c>
    </row>
    <row r="19079" spans="1:2" x14ac:dyDescent="0.25">
      <c r="A19079" s="64" t="str">
        <f>HYPERLINK("http://www.twitter.com/telfordlibs", "telfordlibs")</f>
        <v>telfordlibs</v>
      </c>
      <c r="B19079" s="65" t="s">
        <v>1320</v>
      </c>
    </row>
    <row r="19080" spans="1:2" x14ac:dyDescent="0.25">
      <c r="A19080" s="64" t="str">
        <f>HYPERLINK("http://www.twitter.com/renirenate", "renirenate")</f>
        <v>renirenate</v>
      </c>
      <c r="B19080" s="65" t="s">
        <v>6195</v>
      </c>
    </row>
    <row r="19081" spans="1:2" x14ac:dyDescent="0.25">
      <c r="A19081" s="64" t="str">
        <f>HYPERLINK("http://www.twitter.com/monicamartin155", "monicamartin155")</f>
        <v>monicamartin155</v>
      </c>
      <c r="B19081" s="65"/>
    </row>
    <row r="19082" spans="1:2" x14ac:dyDescent="0.25">
      <c r="A19082" s="64" t="str">
        <f>HYPERLINK("http://www.twitter.com/DannyJBrierley", "DannyJBrierley")</f>
        <v>DannyJBrierley</v>
      </c>
      <c r="B19082" s="65" t="s">
        <v>9425</v>
      </c>
    </row>
    <row r="19083" spans="1:2" x14ac:dyDescent="0.25">
      <c r="A19083" s="64" t="str">
        <f>HYPERLINK("http://www.twitter.com/PennyDolan1", "PennyDolan1")</f>
        <v>PennyDolan1</v>
      </c>
      <c r="B19083" s="65" t="s">
        <v>296</v>
      </c>
    </row>
    <row r="19084" spans="1:2" x14ac:dyDescent="0.25">
      <c r="A19084" s="64" t="str">
        <f>HYPERLINK("http://www.twitter.com/BiddyWhatmough", "BiddyWhatmough")</f>
        <v>BiddyWhatmough</v>
      </c>
      <c r="B19084" s="65" t="s">
        <v>3650</v>
      </c>
    </row>
    <row r="19085" spans="1:2" x14ac:dyDescent="0.25">
      <c r="A19085" s="64" t="str">
        <f>HYPERLINK("http://www.twitter.com/Debbiesuth", "Debbiesuth")</f>
        <v>Debbiesuth</v>
      </c>
      <c r="B19085" s="65" t="s">
        <v>9426</v>
      </c>
    </row>
    <row r="19086" spans="1:2" x14ac:dyDescent="0.25">
      <c r="A19086" s="64" t="str">
        <f>HYPERLINK("http://www.twitter.com/VIBRANTKICK", "VIBRANTKICK")</f>
        <v>VIBRANTKICK</v>
      </c>
      <c r="B19086" s="65" t="s">
        <v>8444</v>
      </c>
    </row>
    <row r="19087" spans="1:2" x14ac:dyDescent="0.25">
      <c r="A19087" s="64" t="str">
        <f>HYPERLINK("http://www.twitter.com/dobleMdesign", "dobleMdesign")</f>
        <v>dobleMdesign</v>
      </c>
      <c r="B19087" s="65" t="s">
        <v>9427</v>
      </c>
    </row>
    <row r="19088" spans="1:2" x14ac:dyDescent="0.25">
      <c r="A19088" s="64" t="str">
        <f>HYPERLINK("http://www.twitter.com/claudiabeamish", "claudiabeamish")</f>
        <v>claudiabeamish</v>
      </c>
      <c r="B19088" s="65"/>
    </row>
    <row r="19089" spans="1:2" x14ac:dyDescent="0.25">
      <c r="A19089" s="64" t="str">
        <f>HYPERLINK("http://www.twitter.com/torcheculs", "torcheculs")</f>
        <v>torcheculs</v>
      </c>
      <c r="B19089" s="65" t="s">
        <v>9428</v>
      </c>
    </row>
    <row r="19090" spans="1:2" x14ac:dyDescent="0.25">
      <c r="A19090" s="64" t="str">
        <f>HYPERLINK("http://www.twitter.com/BeingHumanFest", "BeingHumanFest")</f>
        <v>BeingHumanFest</v>
      </c>
      <c r="B19090" s="65"/>
    </row>
    <row r="19091" spans="1:2" x14ac:dyDescent="0.25">
      <c r="A19091" s="64" t="str">
        <f>HYPERLINK("http://www.twitter.com/SerainaNett", "SerainaNett")</f>
        <v>SerainaNett</v>
      </c>
      <c r="B19091" s="65" t="s">
        <v>9429</v>
      </c>
    </row>
    <row r="19092" spans="1:2" x14ac:dyDescent="0.25">
      <c r="A19092" s="64" t="str">
        <f>HYPERLINK("http://www.twitter.com/COGCLibraries", "COGCLibraries")</f>
        <v>COGCLibraries</v>
      </c>
      <c r="B19092" s="65" t="s">
        <v>138</v>
      </c>
    </row>
    <row r="19093" spans="1:2" x14ac:dyDescent="0.25">
      <c r="A19093" s="64" t="str">
        <f>HYPERLINK("http://www.twitter.com/LyPat2", "LyPat2")</f>
        <v>LyPat2</v>
      </c>
      <c r="B19093" s="65" t="s">
        <v>9430</v>
      </c>
    </row>
    <row r="19094" spans="1:2" x14ac:dyDescent="0.25">
      <c r="A19094" s="64" t="str">
        <f>HYPERLINK("http://www.twitter.com/hanrhiansmith", "hanrhiansmith")</f>
        <v>hanrhiansmith</v>
      </c>
      <c r="B19094" s="65"/>
    </row>
    <row r="19095" spans="1:2" x14ac:dyDescent="0.25">
      <c r="A19095" s="64" t="str">
        <f>HYPERLINK("http://www.twitter.com/SkillsHES", "SkillsHES")</f>
        <v>SkillsHES</v>
      </c>
      <c r="B19095" s="65" t="s">
        <v>487</v>
      </c>
    </row>
    <row r="19096" spans="1:2" x14ac:dyDescent="0.25">
      <c r="A19096" s="64" t="str">
        <f>HYPERLINK("http://www.twitter.com/fionaisobelhall", "fionaisobelhall")</f>
        <v>fionaisobelhall</v>
      </c>
      <c r="B19096" s="65" t="s">
        <v>2567</v>
      </c>
    </row>
    <row r="19097" spans="1:2" x14ac:dyDescent="0.25">
      <c r="A19097" s="64" t="str">
        <f>HYPERLINK("http://www.twitter.com/CrFtinfo", "CrFtinfo")</f>
        <v>CrFtinfo</v>
      </c>
      <c r="B19097" s="65" t="s">
        <v>9431</v>
      </c>
    </row>
    <row r="19098" spans="1:2" x14ac:dyDescent="0.25">
      <c r="A19098" s="64" t="str">
        <f>HYPERLINK("http://www.twitter.com/WiebkeMcghee", "WiebkeMcghee")</f>
        <v>WiebkeMcghee</v>
      </c>
      <c r="B19098" s="65"/>
    </row>
    <row r="19099" spans="1:2" x14ac:dyDescent="0.25">
      <c r="A19099" s="64" t="str">
        <f>HYPERLINK("http://www.twitter.com/beckyhug", "beckyhug")</f>
        <v>beckyhug</v>
      </c>
      <c r="B19099" s="65" t="s">
        <v>20</v>
      </c>
    </row>
    <row r="19100" spans="1:2" x14ac:dyDescent="0.25">
      <c r="A19100" s="64" t="str">
        <f>HYPERLINK("http://www.twitter.com/Raypatt71", "Raypatt71")</f>
        <v>Raypatt71</v>
      </c>
      <c r="B19100" s="65" t="s">
        <v>4519</v>
      </c>
    </row>
    <row r="19101" spans="1:2" x14ac:dyDescent="0.25">
      <c r="A19101" s="64" t="str">
        <f>HYPERLINK("http://www.twitter.com/OrkneyLibDems", "OrkneyLibDems")</f>
        <v>OrkneyLibDems</v>
      </c>
      <c r="B19101" s="65" t="s">
        <v>5412</v>
      </c>
    </row>
    <row r="19102" spans="1:2" x14ac:dyDescent="0.25">
      <c r="A19102" s="64" t="str">
        <f>HYPERLINK("http://www.twitter.com/Mozeeski", "Mozeeski")</f>
        <v>Mozeeski</v>
      </c>
      <c r="B19102" s="65" t="s">
        <v>3948</v>
      </c>
    </row>
    <row r="19103" spans="1:2" x14ac:dyDescent="0.25">
      <c r="A19103" s="64" t="str">
        <f>HYPERLINK("http://www.twitter.com/GraniaDiver", "GraniaDiver")</f>
        <v>GraniaDiver</v>
      </c>
      <c r="B19103" s="65"/>
    </row>
    <row r="19104" spans="1:2" x14ac:dyDescent="0.25">
      <c r="A19104" s="64" t="str">
        <f>HYPERLINK("http://www.twitter.com/shmoopytoo", "shmoopytoo")</f>
        <v>shmoopytoo</v>
      </c>
      <c r="B19104" s="65" t="s">
        <v>9432</v>
      </c>
    </row>
    <row r="19105" spans="1:2" x14ac:dyDescent="0.25">
      <c r="A19105" s="64" t="str">
        <f>HYPERLINK("http://www.twitter.com/jtb_bohan", "jtb_bohan")</f>
        <v>jtb_bohan</v>
      </c>
      <c r="B19105" s="65"/>
    </row>
    <row r="19106" spans="1:2" x14ac:dyDescent="0.25">
      <c r="A19106" s="64" t="str">
        <f>HYPERLINK("http://www.twitter.com/AlexiaMarshall5", "AlexiaMarshall5")</f>
        <v>AlexiaMarshall5</v>
      </c>
      <c r="B19106" s="65"/>
    </row>
    <row r="19107" spans="1:2" x14ac:dyDescent="0.25">
      <c r="A19107" s="64" t="str">
        <f>HYPERLINK("http://www.twitter.com/meagan_be", "meagan_be")</f>
        <v>meagan_be</v>
      </c>
      <c r="B19107" s="65" t="s">
        <v>9433</v>
      </c>
    </row>
    <row r="19108" spans="1:2" x14ac:dyDescent="0.25">
      <c r="A19108" s="64" t="str">
        <f>HYPERLINK("http://www.twitter.com/LynneSp", "LynneSp")</f>
        <v>LynneSp</v>
      </c>
      <c r="B19108" s="65" t="s">
        <v>9434</v>
      </c>
    </row>
    <row r="19109" spans="1:2" x14ac:dyDescent="0.25">
      <c r="A19109" s="64" t="str">
        <f>HYPERLINK("http://www.twitter.com/pattykatek", "pattykatek")</f>
        <v>pattykatek</v>
      </c>
      <c r="B19109" s="65" t="s">
        <v>3948</v>
      </c>
    </row>
    <row r="19110" spans="1:2" x14ac:dyDescent="0.25">
      <c r="A19110" s="64" t="str">
        <f>HYPERLINK("http://www.twitter.com/CreaserJulie", "CreaserJulie")</f>
        <v>CreaserJulie</v>
      </c>
      <c r="B19110" s="65" t="s">
        <v>9435</v>
      </c>
    </row>
    <row r="19111" spans="1:2" x14ac:dyDescent="0.25">
      <c r="A19111" s="64" t="str">
        <f>HYPERLINK("http://www.twitter.com/Pamsteropolous", "Pamsteropolous")</f>
        <v>Pamsteropolous</v>
      </c>
      <c r="B19111" s="65" t="s">
        <v>4230</v>
      </c>
    </row>
    <row r="19112" spans="1:2" x14ac:dyDescent="0.25">
      <c r="A19112" s="64" t="str">
        <f>HYPERLINK("http://www.twitter.com/Caldale58", "Caldale58")</f>
        <v>Caldale58</v>
      </c>
      <c r="B19112" s="65"/>
    </row>
    <row r="19113" spans="1:2" x14ac:dyDescent="0.25">
      <c r="A19113" s="64" t="str">
        <f>HYPERLINK("http://www.twitter.com/JoLoPea", "JoLoPea")</f>
        <v>JoLoPea</v>
      </c>
      <c r="B19113" s="65" t="s">
        <v>2994</v>
      </c>
    </row>
    <row r="19114" spans="1:2" x14ac:dyDescent="0.25">
      <c r="A19114" s="64" t="str">
        <f>HYPERLINK("http://www.twitter.com/angelotdr", "angelotdr")</f>
        <v>angelotdr</v>
      </c>
      <c r="B19114" s="65" t="s">
        <v>7370</v>
      </c>
    </row>
    <row r="19115" spans="1:2" x14ac:dyDescent="0.25">
      <c r="A19115" s="64" t="str">
        <f>HYPERLINK("http://www.twitter.com/LincolnPub", "LincolnPub")</f>
        <v>LincolnPub</v>
      </c>
      <c r="B19115" s="65" t="s">
        <v>9436</v>
      </c>
    </row>
    <row r="19116" spans="1:2" x14ac:dyDescent="0.25">
      <c r="A19116" s="64" t="str">
        <f>HYPERLINK("http://www.twitter.com/deborahxb_", "deborahxb_")</f>
        <v>deborahxb_</v>
      </c>
      <c r="B19116" s="65" t="s">
        <v>4365</v>
      </c>
    </row>
    <row r="19117" spans="1:2" x14ac:dyDescent="0.25">
      <c r="A19117" s="64" t="str">
        <f>HYPERLINK("http://www.twitter.com/ZoeTaylor0911", "ZoeTaylor0911")</f>
        <v>ZoeTaylor0911</v>
      </c>
      <c r="B19117" s="65"/>
    </row>
    <row r="19118" spans="1:2" x14ac:dyDescent="0.25">
      <c r="A19118" s="64" t="str">
        <f>HYPERLINK("http://www.twitter.com/Jennywren129", "Jennywren129")</f>
        <v>Jennywren129</v>
      </c>
      <c r="B19118" s="65" t="s">
        <v>9437</v>
      </c>
    </row>
    <row r="19119" spans="1:2" x14ac:dyDescent="0.25">
      <c r="A19119" s="64" t="str">
        <f>HYPERLINK("http://www.twitter.com/HelenLederer", "HelenLederer")</f>
        <v>HelenLederer</v>
      </c>
      <c r="B19119" s="65" t="s">
        <v>36</v>
      </c>
    </row>
    <row r="19120" spans="1:2" x14ac:dyDescent="0.25">
      <c r="A19120" s="64" t="str">
        <f>HYPERLINK("http://www.twitter.com/ShelleKidd", "ShelleKidd")</f>
        <v>ShelleKidd</v>
      </c>
      <c r="B19120" s="65"/>
    </row>
    <row r="19121" spans="1:2" x14ac:dyDescent="0.25">
      <c r="A19121" s="64" t="str">
        <f>HYPERLINK("http://www.twitter.com/LWSchoolLibrary", "LWSchoolLibrary")</f>
        <v>LWSchoolLibrary</v>
      </c>
      <c r="B19121" s="65" t="s">
        <v>1930</v>
      </c>
    </row>
    <row r="19122" spans="1:2" x14ac:dyDescent="0.25">
      <c r="A19122" s="64" t="str">
        <f>HYPERLINK("http://www.twitter.com/ALibraryuser", "ALibraryuser")</f>
        <v>ALibraryuser</v>
      </c>
      <c r="B19122" s="65"/>
    </row>
    <row r="19123" spans="1:2" x14ac:dyDescent="0.25">
      <c r="A19123" s="64" t="str">
        <f>HYPERLINK("http://www.twitter.com/andygp85", "andygp85")</f>
        <v>andygp85</v>
      </c>
      <c r="B19123" s="65" t="s">
        <v>9438</v>
      </c>
    </row>
    <row r="19124" spans="1:2" x14ac:dyDescent="0.25">
      <c r="A19124" s="64" t="str">
        <f>HYPERLINK("http://www.twitter.com/McwhirAndrew", "McwhirAndrew")</f>
        <v>McwhirAndrew</v>
      </c>
      <c r="B19124" s="65"/>
    </row>
    <row r="19125" spans="1:2" x14ac:dyDescent="0.25">
      <c r="A19125" s="64" t="str">
        <f>HYPERLINK("http://www.twitter.com/leegreens", "leegreens")</f>
        <v>leegreens</v>
      </c>
      <c r="B19125" s="65" t="s">
        <v>2638</v>
      </c>
    </row>
    <row r="19126" spans="1:2" x14ac:dyDescent="0.25">
      <c r="A19126" s="64" t="str">
        <f>HYPERLINK("http://www.twitter.com/ekitmilne", "ekitmilne")</f>
        <v>ekitmilne</v>
      </c>
      <c r="B19126" s="65" t="s">
        <v>477</v>
      </c>
    </row>
    <row r="19127" spans="1:2" x14ac:dyDescent="0.25">
      <c r="A19127" s="64" t="str">
        <f>HYPERLINK("http://www.twitter.com/h_dunning", "h_dunning")</f>
        <v>h_dunning</v>
      </c>
      <c r="B19127" s="65" t="s">
        <v>110</v>
      </c>
    </row>
    <row r="19128" spans="1:2" x14ac:dyDescent="0.25">
      <c r="A19128" s="64" t="str">
        <f>HYPERLINK("http://www.twitter.com/joejustbeyond", "joejustbeyond")</f>
        <v>joejustbeyond</v>
      </c>
      <c r="B19128" s="65" t="s">
        <v>517</v>
      </c>
    </row>
    <row r="19129" spans="1:2" x14ac:dyDescent="0.25">
      <c r="A19129" s="64" t="str">
        <f>HYPERLINK("http://www.twitter.com/TaraR771", "TaraR771")</f>
        <v>TaraR771</v>
      </c>
      <c r="B19129" s="65"/>
    </row>
    <row r="19130" spans="1:2" x14ac:dyDescent="0.25">
      <c r="A19130" s="64" t="str">
        <f>HYPERLINK("http://www.twitter.com/UCOLRC", "UCOLRC")</f>
        <v>UCOLRC</v>
      </c>
      <c r="B19130" s="65"/>
    </row>
    <row r="19131" spans="1:2" x14ac:dyDescent="0.25">
      <c r="A19131" s="64" t="str">
        <f>HYPERLINK("http://www.twitter.com/racheltickle", "racheltickle")</f>
        <v>racheltickle</v>
      </c>
      <c r="B19131" s="65" t="s">
        <v>5904</v>
      </c>
    </row>
    <row r="19132" spans="1:2" x14ac:dyDescent="0.25">
      <c r="A19132" s="64" t="str">
        <f>HYPERLINK("http://www.twitter.com/jamesboswellesq", "jamesboswellesq")</f>
        <v>jamesboswellesq</v>
      </c>
      <c r="B19132" s="65" t="s">
        <v>9439</v>
      </c>
    </row>
    <row r="19133" spans="1:2" x14ac:dyDescent="0.25">
      <c r="A19133" s="64" t="str">
        <f>HYPERLINK("http://www.twitter.com/STVFootageSales", "STVFootageSales")</f>
        <v>STVFootageSales</v>
      </c>
      <c r="B19133" s="65" t="s">
        <v>318</v>
      </c>
    </row>
    <row r="19134" spans="1:2" x14ac:dyDescent="0.25">
      <c r="A19134" s="64" t="str">
        <f>HYPERLINK("http://www.twitter.com/Charlottewbrady", "Charlottewbrady")</f>
        <v>Charlottewbrady</v>
      </c>
      <c r="B19134" s="65" t="s">
        <v>24</v>
      </c>
    </row>
    <row r="19135" spans="1:2" x14ac:dyDescent="0.25">
      <c r="A19135" s="64" t="str">
        <f>HYPERLINK("http://www.twitter.com/andymiah", "andymiah")</f>
        <v>andymiah</v>
      </c>
      <c r="B19135" s="65" t="s">
        <v>2289</v>
      </c>
    </row>
    <row r="19136" spans="1:2" x14ac:dyDescent="0.25">
      <c r="A19136" s="64" t="str">
        <f>HYPERLINK("http://www.twitter.com/MiceMenplay", "MiceMenplay")</f>
        <v>MiceMenplay</v>
      </c>
      <c r="B19136" s="65" t="s">
        <v>9440</v>
      </c>
    </row>
    <row r="19137" spans="1:2" x14ac:dyDescent="0.25">
      <c r="A19137" s="64" t="str">
        <f>HYPERLINK("http://www.twitter.com/redhooklibrary", "redhooklibrary")</f>
        <v>redhooklibrary</v>
      </c>
      <c r="B19137" s="65" t="s">
        <v>9441</v>
      </c>
    </row>
    <row r="19138" spans="1:2" x14ac:dyDescent="0.25">
      <c r="A19138" s="64" t="str">
        <f>HYPERLINK("http://www.twitter.com/coreen_0", "coreen_0")</f>
        <v>coreen_0</v>
      </c>
      <c r="B19138" s="65"/>
    </row>
    <row r="19139" spans="1:2" x14ac:dyDescent="0.25">
      <c r="A19139" s="64" t="str">
        <f>HYPERLINK("http://www.twitter.com/xTartanforeverx", "xTartanforeverx")</f>
        <v>xTartanforeverx</v>
      </c>
      <c r="B19139" s="65" t="s">
        <v>7574</v>
      </c>
    </row>
    <row r="19140" spans="1:2" x14ac:dyDescent="0.25">
      <c r="A19140" s="64" t="str">
        <f>HYPERLINK("http://www.twitter.com/kerrycurator", "kerrycurator")</f>
        <v>kerrycurator</v>
      </c>
      <c r="B19140" s="65" t="s">
        <v>138</v>
      </c>
    </row>
    <row r="19141" spans="1:2" x14ac:dyDescent="0.25">
      <c r="A19141" s="64" t="str">
        <f>HYPERLINK("http://www.twitter.com/KeshiniNaidoo", "KeshiniNaidoo")</f>
        <v>KeshiniNaidoo</v>
      </c>
      <c r="B19141" s="65"/>
    </row>
    <row r="19142" spans="1:2" x14ac:dyDescent="0.25">
      <c r="A19142" s="64" t="str">
        <f>HYPERLINK("http://www.twitter.com/PickledPerky", "PickledPerky")</f>
        <v>PickledPerky</v>
      </c>
      <c r="B19142" s="65" t="s">
        <v>4171</v>
      </c>
    </row>
    <row r="19143" spans="1:2" x14ac:dyDescent="0.25">
      <c r="A19143" s="64" t="str">
        <f>HYPERLINK("http://www.twitter.com/Jambers01", "Jambers01")</f>
        <v>Jambers01</v>
      </c>
      <c r="B19143" s="65"/>
    </row>
    <row r="19144" spans="1:2" x14ac:dyDescent="0.25">
      <c r="A19144" s="64" t="str">
        <f>HYPERLINK("http://www.twitter.com/Jannekelibraria", "Jannekelibraria")</f>
        <v>Jannekelibraria</v>
      </c>
      <c r="B19144" s="65"/>
    </row>
    <row r="19145" spans="1:2" x14ac:dyDescent="0.25">
      <c r="A19145" s="64" t="str">
        <f>HYPERLINK("http://www.twitter.com/BrownriggJenny", "BrownriggJenny")</f>
        <v>BrownriggJenny</v>
      </c>
      <c r="B19145" s="65"/>
    </row>
    <row r="19146" spans="1:2" x14ac:dyDescent="0.25">
      <c r="A19146" s="64" t="str">
        <f>HYPERLINK("http://www.twitter.com/nickscroggie", "nickscroggie")</f>
        <v>nickscroggie</v>
      </c>
      <c r="B19146" s="65" t="s">
        <v>5336</v>
      </c>
    </row>
    <row r="19147" spans="1:2" x14ac:dyDescent="0.25">
      <c r="A19147" s="64" t="str">
        <f>HYPERLINK("http://www.twitter.com/KirstenBody", "KirstenBody")</f>
        <v>KirstenBody</v>
      </c>
      <c r="B19147" s="65" t="s">
        <v>4023</v>
      </c>
    </row>
    <row r="19148" spans="1:2" x14ac:dyDescent="0.25">
      <c r="A19148" s="64" t="str">
        <f>HYPERLINK("http://www.twitter.com/CandiceMackenz4", "CandiceMackenz4")</f>
        <v>CandiceMackenz4</v>
      </c>
      <c r="B19148" s="65"/>
    </row>
    <row r="19149" spans="1:2" x14ac:dyDescent="0.25">
      <c r="A19149" s="64" t="str">
        <f>HYPERLINK("http://www.twitter.com/ARMurr", "ARMurr")</f>
        <v>ARMurr</v>
      </c>
      <c r="B19149" s="65" t="s">
        <v>138</v>
      </c>
    </row>
    <row r="19150" spans="1:2" x14ac:dyDescent="0.25">
      <c r="A19150" s="64" t="str">
        <f>HYPERLINK("http://www.twitter.com/AlternateCelt", "AlternateCelt")</f>
        <v>AlternateCelt</v>
      </c>
      <c r="B19150" s="65" t="s">
        <v>4019</v>
      </c>
    </row>
    <row r="19151" spans="1:2" x14ac:dyDescent="0.25">
      <c r="A19151" s="64" t="str">
        <f>HYPERLINK("http://www.twitter.com/tanya_landman", "tanya_landman")</f>
        <v>tanya_landman</v>
      </c>
      <c r="B19151" s="65" t="s">
        <v>1377</v>
      </c>
    </row>
    <row r="19152" spans="1:2" x14ac:dyDescent="0.25">
      <c r="A19152" s="64" t="str">
        <f>HYPERLINK("http://www.twitter.com/Orsonab", "Orsonab")</f>
        <v>Orsonab</v>
      </c>
      <c r="B19152" s="65"/>
    </row>
    <row r="19153" spans="1:2" x14ac:dyDescent="0.25">
      <c r="A19153" s="64" t="str">
        <f>HYPERLINK("http://www.twitter.com/CrowleyCox", "CrowleyCox")</f>
        <v>CrowleyCox</v>
      </c>
      <c r="B19153" s="65" t="s">
        <v>9442</v>
      </c>
    </row>
    <row r="19154" spans="1:2" x14ac:dyDescent="0.25">
      <c r="A19154" s="64" t="str">
        <f>HYPERLINK("http://www.twitter.com/giocosopress", "giocosopress")</f>
        <v>giocosopress</v>
      </c>
      <c r="B19154" s="65" t="s">
        <v>9443</v>
      </c>
    </row>
    <row r="19155" spans="1:2" x14ac:dyDescent="0.25">
      <c r="A19155" s="64" t="str">
        <f>HYPERLINK("http://www.twitter.com/iamdavidobrien", "iamdavidobrien")</f>
        <v>iamdavidobrien</v>
      </c>
      <c r="B19155" s="65" t="s">
        <v>9444</v>
      </c>
    </row>
    <row r="19156" spans="1:2" x14ac:dyDescent="0.25">
      <c r="A19156" s="64" t="str">
        <f>HYPERLINK("http://www.twitter.com/annashea", "annashea")</f>
        <v>annashea</v>
      </c>
      <c r="B19156" s="65" t="s">
        <v>517</v>
      </c>
    </row>
    <row r="19157" spans="1:2" x14ac:dyDescent="0.25">
      <c r="A19157" s="64" t="str">
        <f>HYPERLINK("http://www.twitter.com/Trevorttg", "Trevorttg")</f>
        <v>Trevorttg</v>
      </c>
      <c r="B19157" s="65" t="s">
        <v>9445</v>
      </c>
    </row>
    <row r="19158" spans="1:2" x14ac:dyDescent="0.25">
      <c r="A19158" s="64" t="str">
        <f>HYPERLINK("http://www.twitter.com/willstone_UK", "willstone_UK")</f>
        <v>willstone_UK</v>
      </c>
      <c r="B19158" s="65" t="s">
        <v>33</v>
      </c>
    </row>
    <row r="19159" spans="1:2" x14ac:dyDescent="0.25">
      <c r="A19159" s="64" t="str">
        <f>HYPERLINK("http://www.twitter.com/SharonMcG1971", "SharonMcG1971")</f>
        <v>SharonMcG1971</v>
      </c>
      <c r="B19159" s="65" t="s">
        <v>535</v>
      </c>
    </row>
    <row r="19160" spans="1:2" x14ac:dyDescent="0.25">
      <c r="A19160" s="64" t="str">
        <f>HYPERLINK("http://www.twitter.com/QuLevy", "QuLevy")</f>
        <v>QuLevy</v>
      </c>
      <c r="B19160" s="65" t="s">
        <v>4500</v>
      </c>
    </row>
    <row r="19161" spans="1:2" x14ac:dyDescent="0.25">
      <c r="A19161" s="64" t="str">
        <f>HYPERLINK("http://www.twitter.com/csim040807", "csim040807")</f>
        <v>csim040807</v>
      </c>
      <c r="B19161" s="65"/>
    </row>
    <row r="19162" spans="1:2" x14ac:dyDescent="0.25">
      <c r="A19162" s="64" t="str">
        <f>HYPERLINK("http://www.twitter.com/Tassandtack", "Tassandtack")</f>
        <v>Tassandtack</v>
      </c>
      <c r="B19162" s="65"/>
    </row>
    <row r="19163" spans="1:2" x14ac:dyDescent="0.25">
      <c r="A19163" s="64" t="str">
        <f>HYPERLINK("http://www.twitter.com/schristiner", "schristiner")</f>
        <v>schristiner</v>
      </c>
      <c r="B19163" s="65" t="s">
        <v>487</v>
      </c>
    </row>
    <row r="19164" spans="1:2" x14ac:dyDescent="0.25">
      <c r="A19164" s="64" t="str">
        <f>HYPERLINK("http://www.twitter.com/pc_gr", "pc_gr")</f>
        <v>pc_gr</v>
      </c>
      <c r="B19164" s="65" t="s">
        <v>9446</v>
      </c>
    </row>
    <row r="19165" spans="1:2" x14ac:dyDescent="0.25">
      <c r="A19165" s="64" t="str">
        <f>HYPERLINK("http://www.twitter.com/thegardenvsw", "thegardenvsw")</f>
        <v>thegardenvsw</v>
      </c>
      <c r="B19165" s="65" t="s">
        <v>9447</v>
      </c>
    </row>
    <row r="19166" spans="1:2" x14ac:dyDescent="0.25">
      <c r="A19166" s="64" t="str">
        <f>HYPERLINK("http://www.twitter.com/JohnsonSusanR", "JohnsonSusanR")</f>
        <v>JohnsonSusanR</v>
      </c>
      <c r="B19166" s="65"/>
    </row>
    <row r="19167" spans="1:2" x14ac:dyDescent="0.25">
      <c r="A19167" s="64" t="str">
        <f>HYPERLINK("http://www.twitter.com/LeiliSlutz", "LeiliSlutz")</f>
        <v>LeiliSlutz</v>
      </c>
      <c r="B19167" s="65"/>
    </row>
    <row r="19168" spans="1:2" x14ac:dyDescent="0.25">
      <c r="A19168" s="64" t="str">
        <f>HYPERLINK("http://www.twitter.com/tommytooii", "tommytooii")</f>
        <v>tommytooii</v>
      </c>
      <c r="B19168" s="65"/>
    </row>
    <row r="19169" spans="1:2" x14ac:dyDescent="0.25">
      <c r="A19169" s="64" t="str">
        <f>HYPERLINK("http://www.twitter.com/randmhousekpr", "randmhousekpr")</f>
        <v>randmhousekpr</v>
      </c>
      <c r="B19169" s="65"/>
    </row>
    <row r="19170" spans="1:2" x14ac:dyDescent="0.25">
      <c r="A19170" s="64" t="str">
        <f>HYPERLINK("http://www.twitter.com/davidgillander", "davidgillander")</f>
        <v>davidgillander</v>
      </c>
      <c r="B19170" s="65" t="s">
        <v>67</v>
      </c>
    </row>
    <row r="19171" spans="1:2" x14ac:dyDescent="0.25">
      <c r="A19171" s="64" t="str">
        <f>HYPERLINK("http://www.twitter.com/RachelGarbett82", "RachelGarbett82")</f>
        <v>RachelGarbett82</v>
      </c>
      <c r="B19171" s="65"/>
    </row>
    <row r="19172" spans="1:2" x14ac:dyDescent="0.25">
      <c r="A19172" s="64" t="str">
        <f>HYPERLINK("http://www.twitter.com/Flailyaily", "Flailyaily")</f>
        <v>Flailyaily</v>
      </c>
      <c r="B19172" s="65"/>
    </row>
    <row r="19173" spans="1:2" x14ac:dyDescent="0.25">
      <c r="A19173" s="64" t="str">
        <f>HYPERLINK("http://www.twitter.com/dinah_jones", "dinah_jones")</f>
        <v>dinah_jones</v>
      </c>
      <c r="B19173" s="65" t="s">
        <v>8867</v>
      </c>
    </row>
    <row r="19174" spans="1:2" x14ac:dyDescent="0.25">
      <c r="A19174" s="64" t="str">
        <f>HYPERLINK("http://www.twitter.com/MisterFoale", "MisterFoale")</f>
        <v>MisterFoale</v>
      </c>
      <c r="B19174" s="65" t="s">
        <v>3919</v>
      </c>
    </row>
    <row r="19175" spans="1:2" x14ac:dyDescent="0.25">
      <c r="A19175" s="64" t="str">
        <f>HYPERLINK("http://www.twitter.com/danielfogg", "danielfogg")</f>
        <v>danielfogg</v>
      </c>
      <c r="B19175" s="65" t="s">
        <v>9448</v>
      </c>
    </row>
    <row r="19176" spans="1:2" x14ac:dyDescent="0.25">
      <c r="A19176" s="64" t="str">
        <f>HYPERLINK("http://www.twitter.com/LowFellLibrary", "LowFellLibrary")</f>
        <v>LowFellLibrary</v>
      </c>
      <c r="B19176" s="65" t="s">
        <v>9449</v>
      </c>
    </row>
    <row r="19177" spans="1:2" x14ac:dyDescent="0.25">
      <c r="A19177" s="64" t="str">
        <f>HYPERLINK("http://www.twitter.com/ElaineRatcliffe", "ElaineRatcliffe")</f>
        <v>ElaineRatcliffe</v>
      </c>
      <c r="B19177" s="65" t="s">
        <v>6806</v>
      </c>
    </row>
    <row r="19178" spans="1:2" x14ac:dyDescent="0.25">
      <c r="A19178" s="64" t="str">
        <f>HYPERLINK("http://www.twitter.com/pipcourtney", "pipcourtney")</f>
        <v>pipcourtney</v>
      </c>
      <c r="B19178" s="65" t="s">
        <v>9450</v>
      </c>
    </row>
    <row r="19179" spans="1:2" x14ac:dyDescent="0.25">
      <c r="A19179" s="64" t="str">
        <f>HYPERLINK("http://www.twitter.com/eileens_tweets", "eileens_tweets")</f>
        <v>eileens_tweets</v>
      </c>
      <c r="B19179" s="65"/>
    </row>
    <row r="19180" spans="1:2" x14ac:dyDescent="0.25">
      <c r="A19180" s="64" t="str">
        <f>HYPERLINK("http://www.twitter.com/Natalieam2", "Natalieam2")</f>
        <v>Natalieam2</v>
      </c>
      <c r="B19180" s="65"/>
    </row>
    <row r="19181" spans="1:2" x14ac:dyDescent="0.25">
      <c r="A19181" s="64" t="str">
        <f>HYPERLINK("http://www.twitter.com/onigirisuki", "onigirisuki")</f>
        <v>onigirisuki</v>
      </c>
      <c r="B19181" s="65"/>
    </row>
    <row r="19182" spans="1:2" x14ac:dyDescent="0.25">
      <c r="A19182" s="64" t="str">
        <f>HYPERLINK("http://www.twitter.com/PolkaDotClara", "PolkaDotClara")</f>
        <v>PolkaDotClara</v>
      </c>
      <c r="B19182" s="65" t="s">
        <v>877</v>
      </c>
    </row>
    <row r="19183" spans="1:2" x14ac:dyDescent="0.25">
      <c r="A19183" s="64" t="str">
        <f>HYPERLINK("http://www.twitter.com/RAILS2015", "RAILS2015")</f>
        <v>RAILS2015</v>
      </c>
      <c r="B19183" s="65" t="s">
        <v>4275</v>
      </c>
    </row>
    <row r="19184" spans="1:2" x14ac:dyDescent="0.25">
      <c r="A19184" s="64" t="str">
        <f>HYPERLINK("http://www.twitter.com/Mi55Palmer", "Mi55Palmer")</f>
        <v>Mi55Palmer</v>
      </c>
      <c r="B19184" s="65" t="s">
        <v>883</v>
      </c>
    </row>
    <row r="19185" spans="1:2" x14ac:dyDescent="0.25">
      <c r="A19185" s="64" t="str">
        <f>HYPERLINK("http://www.twitter.com/peediekaren", "peediekaren")</f>
        <v>peediekaren</v>
      </c>
      <c r="B19185" s="65"/>
    </row>
    <row r="19186" spans="1:2" x14ac:dyDescent="0.25">
      <c r="A19186" s="64" t="str">
        <f>HYPERLINK("http://www.twitter.com/bluemoth1", "bluemoth1")</f>
        <v>bluemoth1</v>
      </c>
      <c r="B19186" s="65"/>
    </row>
    <row r="19187" spans="1:2" x14ac:dyDescent="0.25">
      <c r="A19187" s="64" t="str">
        <f>HYPERLINK("http://www.twitter.com/Frosted_Green", "Frosted_Green")</f>
        <v>Frosted_Green</v>
      </c>
      <c r="B19187" s="65" t="s">
        <v>1885</v>
      </c>
    </row>
    <row r="19188" spans="1:2" x14ac:dyDescent="0.25">
      <c r="A19188" s="64" t="str">
        <f>HYPERLINK("http://www.twitter.com/AngelaM40937343", "AngelaM40937343")</f>
        <v>AngelaM40937343</v>
      </c>
      <c r="B19188" s="65" t="s">
        <v>9451</v>
      </c>
    </row>
    <row r="19189" spans="1:2" x14ac:dyDescent="0.25">
      <c r="A19189" s="64" t="str">
        <f>HYPERLINK("http://www.twitter.com/amyjackscostume", "amyjackscostume")</f>
        <v>amyjackscostume</v>
      </c>
      <c r="B19189" s="65" t="s">
        <v>36</v>
      </c>
    </row>
    <row r="19190" spans="1:2" x14ac:dyDescent="0.25">
      <c r="A19190" s="64" t="str">
        <f>HYPERLINK("http://www.twitter.com/AndoverLibrary", "AndoverLibrary")</f>
        <v>AndoverLibrary</v>
      </c>
      <c r="B19190" s="65" t="s">
        <v>9452</v>
      </c>
    </row>
    <row r="19191" spans="1:2" x14ac:dyDescent="0.25">
      <c r="A19191" s="64" t="str">
        <f>HYPERLINK("http://www.twitter.com/suthernx", "suthernx")</f>
        <v>suthernx</v>
      </c>
      <c r="B19191" s="65" t="s">
        <v>9453</v>
      </c>
    </row>
    <row r="19192" spans="1:2" x14ac:dyDescent="0.25">
      <c r="A19192" s="64" t="str">
        <f>HYPERLINK("http://www.twitter.com/higgins_noelle", "higgins_noelle")</f>
        <v>higgins_noelle</v>
      </c>
      <c r="B19192" s="65"/>
    </row>
    <row r="19193" spans="1:2" x14ac:dyDescent="0.25">
      <c r="A19193" s="64" t="str">
        <f>HYPERLINK("http://www.twitter.com/Ashtonreed_1", "Ashtonreed_1")</f>
        <v>Ashtonreed_1</v>
      </c>
      <c r="B19193" s="65"/>
    </row>
    <row r="19194" spans="1:2" x14ac:dyDescent="0.25">
      <c r="A19194" s="64" t="str">
        <f>HYPERLINK("http://www.twitter.com/matthew1001001", "matthew1001001")</f>
        <v>matthew1001001</v>
      </c>
      <c r="B19194" s="65" t="s">
        <v>560</v>
      </c>
    </row>
    <row r="19195" spans="1:2" x14ac:dyDescent="0.25">
      <c r="A19195" s="64" t="str">
        <f>HYPERLINK("http://www.twitter.com/J4ckyTaylor", "J4ckyTaylor")</f>
        <v>J4ckyTaylor</v>
      </c>
      <c r="B19195" s="65" t="s">
        <v>871</v>
      </c>
    </row>
    <row r="19196" spans="1:2" x14ac:dyDescent="0.25">
      <c r="A19196" s="64" t="str">
        <f>HYPERLINK("http://www.twitter.com/LattoSara", "LattoSara")</f>
        <v>LattoSara</v>
      </c>
      <c r="B19196" s="65"/>
    </row>
    <row r="19197" spans="1:2" x14ac:dyDescent="0.25">
      <c r="A19197" s="64" t="str">
        <f>HYPERLINK("http://www.twitter.com/Gallacher4Kelly", "Gallacher4Kelly")</f>
        <v>Gallacher4Kelly</v>
      </c>
      <c r="B19197" s="65" t="s">
        <v>9454</v>
      </c>
    </row>
    <row r="19198" spans="1:2" x14ac:dyDescent="0.25">
      <c r="A19198" s="64" t="str">
        <f>HYPERLINK("http://www.twitter.com/FeeAdams", "FeeAdams")</f>
        <v>FeeAdams</v>
      </c>
      <c r="B19198" s="65"/>
    </row>
    <row r="19199" spans="1:2" x14ac:dyDescent="0.25">
      <c r="A19199" s="64" t="str">
        <f>HYPERLINK("http://www.twitter.com/cynical_serket", "cynical_serket")</f>
        <v>cynical_serket</v>
      </c>
      <c r="B19199" s="65"/>
    </row>
    <row r="19200" spans="1:2" x14ac:dyDescent="0.25">
      <c r="A19200" s="64" t="str">
        <f>HYPERLINK("http://www.twitter.com/kyletindale", "kyletindale")</f>
        <v>kyletindale</v>
      </c>
      <c r="B19200" s="65" t="s">
        <v>9455</v>
      </c>
    </row>
    <row r="19201" spans="1:2" x14ac:dyDescent="0.25">
      <c r="A19201" s="64" t="str">
        <f>HYPERLINK("http://www.twitter.com/LolaCBanks", "LolaCBanks")</f>
        <v>LolaCBanks</v>
      </c>
      <c r="B19201" s="65" t="s">
        <v>3920</v>
      </c>
    </row>
    <row r="19202" spans="1:2" x14ac:dyDescent="0.25">
      <c r="A19202" s="64" t="str">
        <f>HYPERLINK("http://www.twitter.com/graham_nicolson", "graham_nicolson")</f>
        <v>graham_nicolson</v>
      </c>
      <c r="B19202" s="65" t="s">
        <v>9456</v>
      </c>
    </row>
    <row r="19203" spans="1:2" x14ac:dyDescent="0.25">
      <c r="A19203" s="64" t="str">
        <f>HYPERLINK("http://www.twitter.com/HamishFlett", "HamishFlett")</f>
        <v>HamishFlett</v>
      </c>
      <c r="B19203" s="65" t="s">
        <v>9457</v>
      </c>
    </row>
    <row r="19204" spans="1:2" x14ac:dyDescent="0.25">
      <c r="A19204" s="64" t="str">
        <f>HYPERLINK("http://www.twitter.com/NickHodgkins", "NickHodgkins")</f>
        <v>NickHodgkins</v>
      </c>
      <c r="B19204" s="65" t="s">
        <v>36</v>
      </c>
    </row>
    <row r="19205" spans="1:2" x14ac:dyDescent="0.25">
      <c r="A19205" s="64" t="str">
        <f>HYPERLINK("http://www.twitter.com/GSMark301", "GSMark301")</f>
        <v>GSMark301</v>
      </c>
      <c r="B19205" s="65"/>
    </row>
    <row r="19206" spans="1:2" x14ac:dyDescent="0.25">
      <c r="A19206" s="64" t="str">
        <f>HYPERLINK("http://www.twitter.com/Shiny_momento", "Shiny_momento")</f>
        <v>Shiny_momento</v>
      </c>
      <c r="B19206" s="65" t="s">
        <v>9458</v>
      </c>
    </row>
    <row r="19207" spans="1:2" x14ac:dyDescent="0.25">
      <c r="A19207" s="64" t="str">
        <f>HYPERLINK("http://www.twitter.com/melitaarmitage", "melitaarmitage")</f>
        <v>melitaarmitage</v>
      </c>
      <c r="B19207" s="65" t="s">
        <v>1810</v>
      </c>
    </row>
    <row r="19208" spans="1:2" x14ac:dyDescent="0.25">
      <c r="A19208" s="64" t="str">
        <f>HYPERLINK("http://www.twitter.com/ThewriterMoney", "ThewriterMoney")</f>
        <v>ThewriterMoney</v>
      </c>
      <c r="B19208" s="65" t="s">
        <v>5432</v>
      </c>
    </row>
    <row r="19209" spans="1:2" x14ac:dyDescent="0.25">
      <c r="A19209" s="64" t="str">
        <f>HYPERLINK("http://www.twitter.com/Alice_Shortland", "Alice_Shortland")</f>
        <v>Alice_Shortland</v>
      </c>
      <c r="B19209" s="65"/>
    </row>
    <row r="19210" spans="1:2" x14ac:dyDescent="0.25">
      <c r="A19210" s="64" t="str">
        <f>HYPERLINK("http://www.twitter.com/Localvernacular", "Localvernacular")</f>
        <v>Localvernacular</v>
      </c>
      <c r="B19210" s="65"/>
    </row>
    <row r="19211" spans="1:2" x14ac:dyDescent="0.25">
      <c r="A19211" s="64" t="str">
        <f>HYPERLINK("http://www.twitter.com/theAHSS", "theAHSS")</f>
        <v>theAHSS</v>
      </c>
      <c r="B19211" s="65" t="s">
        <v>517</v>
      </c>
    </row>
    <row r="19212" spans="1:2" x14ac:dyDescent="0.25">
      <c r="A19212" s="64" t="str">
        <f>HYPERLINK("http://www.twitter.com/librarymiaow", "librarymiaow")</f>
        <v>librarymiaow</v>
      </c>
      <c r="B19212" s="65" t="s">
        <v>3779</v>
      </c>
    </row>
    <row r="19213" spans="1:2" x14ac:dyDescent="0.25">
      <c r="A19213" s="64" t="str">
        <f>HYPERLINK("http://www.twitter.com/cowdry2604", "cowdry2604")</f>
        <v>cowdry2604</v>
      </c>
      <c r="B19213" s="65"/>
    </row>
    <row r="19214" spans="1:2" x14ac:dyDescent="0.25">
      <c r="A19214" s="64" t="str">
        <f>HYPERLINK("http://www.twitter.com/mbreton", "mbreton")</f>
        <v>mbreton</v>
      </c>
      <c r="B19214" s="65" t="s">
        <v>9459</v>
      </c>
    </row>
    <row r="19215" spans="1:2" x14ac:dyDescent="0.25">
      <c r="A19215" s="64" t="str">
        <f>HYPERLINK("http://www.twitter.com/scstatelibrary", "scstatelibrary")</f>
        <v>scstatelibrary</v>
      </c>
      <c r="B19215" s="65" t="s">
        <v>9460</v>
      </c>
    </row>
    <row r="19216" spans="1:2" x14ac:dyDescent="0.25">
      <c r="A19216" s="64" t="str">
        <f>HYPERLINK("http://www.twitter.com/ForceMediaPhoto", "ForceMediaPhoto")</f>
        <v>ForceMediaPhoto</v>
      </c>
      <c r="B19216" s="65" t="s">
        <v>9461</v>
      </c>
    </row>
    <row r="19217" spans="1:2" x14ac:dyDescent="0.25">
      <c r="A19217" s="64" t="str">
        <f>HYPERLINK("http://www.twitter.com/betsytobin", "betsytobin")</f>
        <v>betsytobin</v>
      </c>
      <c r="B19217" s="65" t="s">
        <v>5687</v>
      </c>
    </row>
    <row r="19218" spans="1:2" x14ac:dyDescent="0.25">
      <c r="A19218" s="64" t="str">
        <f>HYPERLINK("http://www.twitter.com/wotlarx", "wotlarx")</f>
        <v>wotlarx</v>
      </c>
      <c r="B19218" s="65" t="s">
        <v>9462</v>
      </c>
    </row>
    <row r="19219" spans="1:2" x14ac:dyDescent="0.25">
      <c r="A19219" s="64" t="str">
        <f>HYPERLINK("http://www.twitter.com/christinacz", "christinacz")</f>
        <v>christinacz</v>
      </c>
      <c r="B19219" s="65"/>
    </row>
    <row r="19220" spans="1:2" x14ac:dyDescent="0.25">
      <c r="A19220" s="64" t="str">
        <f>HYPERLINK("http://www.twitter.com/duncanPamduncan", "duncanPamduncan")</f>
        <v>duncanPamduncan</v>
      </c>
      <c r="B19220" s="65"/>
    </row>
    <row r="19221" spans="1:2" x14ac:dyDescent="0.25">
      <c r="A19221" s="64" t="str">
        <f>HYPERLINK("http://www.twitter.com/classical_cool", "classical_cool")</f>
        <v>classical_cool</v>
      </c>
      <c r="B19221" s="65" t="s">
        <v>110</v>
      </c>
    </row>
    <row r="19222" spans="1:2" x14ac:dyDescent="0.25">
      <c r="A19222" s="64" t="str">
        <f>HYPERLINK("http://www.twitter.com/pedrorosalesch", "pedrorosalesch")</f>
        <v>pedrorosalesch</v>
      </c>
      <c r="B19222" s="65"/>
    </row>
    <row r="19223" spans="1:2" x14ac:dyDescent="0.25">
      <c r="A19223" s="64" t="str">
        <f>HYPERLINK("http://www.twitter.com/thelibrarykim", "thelibrarykim")</f>
        <v>thelibrarykim</v>
      </c>
      <c r="B19223" s="65" t="s">
        <v>4237</v>
      </c>
    </row>
    <row r="19224" spans="1:2" x14ac:dyDescent="0.25">
      <c r="A19224" s="64" t="str">
        <f>HYPERLINK("http://www.twitter.com/BookClubforKids", "BookClubforKids")</f>
        <v>BookClubforKids</v>
      </c>
      <c r="B19224" s="65" t="s">
        <v>3785</v>
      </c>
    </row>
    <row r="19225" spans="1:2" x14ac:dyDescent="0.25">
      <c r="A19225" s="64" t="str">
        <f>HYPERLINK("http://www.twitter.com/kristin_hussey", "kristin_hussey")</f>
        <v>kristin_hussey</v>
      </c>
      <c r="B19225" s="65" t="s">
        <v>110</v>
      </c>
    </row>
    <row r="19226" spans="1:2" x14ac:dyDescent="0.25">
      <c r="A19226" s="64" t="str">
        <f>HYPERLINK("http://www.twitter.com/Joannebkaar", "Joannebkaar")</f>
        <v>Joannebkaar</v>
      </c>
      <c r="B19226" s="65" t="s">
        <v>6322</v>
      </c>
    </row>
    <row r="19227" spans="1:2" x14ac:dyDescent="0.25">
      <c r="A19227" s="64" t="str">
        <f>HYPERLINK("http://www.twitter.com/helenmackay6", "helenmackay6")</f>
        <v>helenmackay6</v>
      </c>
      <c r="B19227" s="65"/>
    </row>
    <row r="19228" spans="1:2" x14ac:dyDescent="0.25">
      <c r="A19228" s="64" t="str">
        <f>HYPERLINK("http://www.twitter.com/StanleysCoat", "StanleysCoat")</f>
        <v>StanleysCoat</v>
      </c>
      <c r="B19228" s="65" t="s">
        <v>1905</v>
      </c>
    </row>
    <row r="19229" spans="1:2" x14ac:dyDescent="0.25">
      <c r="A19229" s="64" t="str">
        <f>HYPERLINK("http://www.twitter.com/KayKwakwa", "KayKwakwa")</f>
        <v>KayKwakwa</v>
      </c>
      <c r="B19229" s="65"/>
    </row>
    <row r="19230" spans="1:2" x14ac:dyDescent="0.25">
      <c r="A19230" s="64" t="str">
        <f>HYPERLINK("http://www.twitter.com/SamHMac", "SamHMac")</f>
        <v>SamHMac</v>
      </c>
      <c r="B19230" s="65" t="s">
        <v>4403</v>
      </c>
    </row>
    <row r="19231" spans="1:2" x14ac:dyDescent="0.25">
      <c r="A19231" s="64" t="str">
        <f>HYPERLINK("http://www.twitter.com/bibliotecca", "bibliotecca")</f>
        <v>bibliotecca</v>
      </c>
      <c r="B19231" s="65" t="s">
        <v>4501</v>
      </c>
    </row>
    <row r="19232" spans="1:2" x14ac:dyDescent="0.25">
      <c r="A19232" s="64" t="str">
        <f>HYPERLINK("http://www.twitter.com/lmi_blair", "lmi_blair")</f>
        <v>lmi_blair</v>
      </c>
      <c r="B19232" s="65" t="s">
        <v>67</v>
      </c>
    </row>
    <row r="19233" spans="1:2" x14ac:dyDescent="0.25">
      <c r="A19233" s="64" t="str">
        <f>HYPERLINK("http://www.twitter.com/patacosvo", "patacosvo")</f>
        <v>patacosvo</v>
      </c>
      <c r="B19233" s="65" t="s">
        <v>24</v>
      </c>
    </row>
    <row r="19234" spans="1:2" x14ac:dyDescent="0.25">
      <c r="A19234" s="64" t="str">
        <f>HYPERLINK("http://www.twitter.com/KirstenHogg", "KirstenHogg")</f>
        <v>KirstenHogg</v>
      </c>
      <c r="B19234" s="65" t="s">
        <v>24</v>
      </c>
    </row>
    <row r="19235" spans="1:2" x14ac:dyDescent="0.25">
      <c r="A19235" s="64" t="str">
        <f>HYPERLINK("http://www.twitter.com/ThePortico", "ThePortico")</f>
        <v>ThePortico</v>
      </c>
      <c r="B19235" s="65" t="s">
        <v>172</v>
      </c>
    </row>
    <row r="19236" spans="1:2" x14ac:dyDescent="0.25">
      <c r="A19236" s="64" t="str">
        <f>HYPERLINK("http://www.twitter.com/neilwilliamson", "neilwilliamson")</f>
        <v>neilwilliamson</v>
      </c>
      <c r="B19236" s="65" t="s">
        <v>318</v>
      </c>
    </row>
    <row r="19237" spans="1:2" x14ac:dyDescent="0.25">
      <c r="A19237" s="64" t="str">
        <f>HYPERLINK("http://www.twitter.com/nbetts1966", "nbetts1966")</f>
        <v>nbetts1966</v>
      </c>
      <c r="B19237" s="65" t="s">
        <v>9463</v>
      </c>
    </row>
    <row r="19238" spans="1:2" x14ac:dyDescent="0.25">
      <c r="A19238" s="64" t="str">
        <f>HYPERLINK("http://www.twitter.com/ashleyanne271", "ashleyanne271")</f>
        <v>ashleyanne271</v>
      </c>
      <c r="B19238" s="65"/>
    </row>
    <row r="19239" spans="1:2" x14ac:dyDescent="0.25">
      <c r="A19239" s="64" t="str">
        <f>HYPERLINK("http://www.twitter.com/sufitraveller", "sufitraveller")</f>
        <v>sufitraveller</v>
      </c>
      <c r="B19239" s="65" t="s">
        <v>70</v>
      </c>
    </row>
    <row r="19240" spans="1:2" x14ac:dyDescent="0.25">
      <c r="A19240" s="64" t="str">
        <f>HYPERLINK("http://www.twitter.com/marystewart48", "marystewart48")</f>
        <v>marystewart48</v>
      </c>
      <c r="B19240" s="65" t="s">
        <v>1359</v>
      </c>
    </row>
    <row r="19241" spans="1:2" x14ac:dyDescent="0.25">
      <c r="A19241" s="64" t="str">
        <f>HYPERLINK("http://www.twitter.com/JamesMoosh", "JamesMoosh")</f>
        <v>JamesMoosh</v>
      </c>
      <c r="B19241" s="65"/>
    </row>
    <row r="19242" spans="1:2" x14ac:dyDescent="0.25">
      <c r="A19242" s="64" t="str">
        <f>HYPERLINK("http://www.twitter.com/eherndon418", "eherndon418")</f>
        <v>eherndon418</v>
      </c>
      <c r="B19242" s="65" t="s">
        <v>3785</v>
      </c>
    </row>
    <row r="19243" spans="1:2" x14ac:dyDescent="0.25">
      <c r="A19243" s="64" t="str">
        <f>HYPERLINK("http://www.twitter.com/RScotHeritage", "RScotHeritage")</f>
        <v>RScotHeritage</v>
      </c>
      <c r="B19243" s="65"/>
    </row>
    <row r="19244" spans="1:2" x14ac:dyDescent="0.25">
      <c r="A19244" s="64" t="str">
        <f>HYPERLINK("http://www.twitter.com/_kellyprice_", "_kellyprice_")</f>
        <v>_kellyprice_</v>
      </c>
      <c r="B19244" s="65" t="s">
        <v>4519</v>
      </c>
    </row>
    <row r="19245" spans="1:2" x14ac:dyDescent="0.25">
      <c r="A19245" s="64" t="str">
        <f>HYPERLINK("http://www.twitter.com/StarlingOrkney", "StarlingOrkney")</f>
        <v>StarlingOrkney</v>
      </c>
      <c r="B19245" s="65" t="s">
        <v>20</v>
      </c>
    </row>
    <row r="19246" spans="1:2" x14ac:dyDescent="0.25">
      <c r="A19246" s="64" t="str">
        <f>HYPERLINK("http://www.twitter.com/JaysonLanexxx", "JaysonLanexxx")</f>
        <v>JaysonLanexxx</v>
      </c>
      <c r="B19246" s="65" t="s">
        <v>3199</v>
      </c>
    </row>
    <row r="19247" spans="1:2" x14ac:dyDescent="0.25">
      <c r="A19247" s="64" t="str">
        <f>HYPERLINK("http://www.twitter.com/GaydonRUG", "GaydonRUG")</f>
        <v>GaydonRUG</v>
      </c>
      <c r="B19247" s="65" t="s">
        <v>9464</v>
      </c>
    </row>
    <row r="19248" spans="1:2" x14ac:dyDescent="0.25">
      <c r="A19248" s="64" t="str">
        <f>HYPERLINK("http://www.twitter.com/Avnwil", "Avnwil")</f>
        <v>Avnwil</v>
      </c>
      <c r="B19248" s="65" t="s">
        <v>4238</v>
      </c>
    </row>
    <row r="19249" spans="1:2" x14ac:dyDescent="0.25">
      <c r="A19249" s="64" t="str">
        <f>HYPERLINK("http://www.twitter.com/_caroroberts", "_caroroberts")</f>
        <v>_caroroberts</v>
      </c>
      <c r="B19249" s="65" t="s">
        <v>6968</v>
      </c>
    </row>
    <row r="19250" spans="1:2" x14ac:dyDescent="0.25">
      <c r="A19250" s="64" t="str">
        <f>HYPERLINK("http://www.twitter.com/LizzyStokes", "LizzyStokes")</f>
        <v>LizzyStokes</v>
      </c>
      <c r="B19250" s="65" t="s">
        <v>9465</v>
      </c>
    </row>
    <row r="19251" spans="1:2" x14ac:dyDescent="0.25">
      <c r="A19251" s="64" t="str">
        <f>HYPERLINK("http://www.twitter.com/HeadlessLamarr", "HeadlessLamarr")</f>
        <v>HeadlessLamarr</v>
      </c>
      <c r="B19251" s="65" t="s">
        <v>70</v>
      </c>
    </row>
    <row r="19252" spans="1:2" x14ac:dyDescent="0.25">
      <c r="A19252" s="64" t="str">
        <f>HYPERLINK("http://www.twitter.com/carolineanne", "carolineanne")</f>
        <v>carolineanne</v>
      </c>
      <c r="B19252" s="65" t="s">
        <v>9466</v>
      </c>
    </row>
    <row r="19253" spans="1:2" x14ac:dyDescent="0.25">
      <c r="A19253" s="64" t="str">
        <f>HYPERLINK("http://www.twitter.com/shak_ojo", "shak_ojo")</f>
        <v>shak_ojo</v>
      </c>
      <c r="B19253" s="65" t="s">
        <v>110</v>
      </c>
    </row>
    <row r="19254" spans="1:2" x14ac:dyDescent="0.25">
      <c r="A19254" s="64" t="str">
        <f>HYPERLINK("http://www.twitter.com/mariakoutouz1", "mariakoutouz1")</f>
        <v>mariakoutouz1</v>
      </c>
      <c r="B19254" s="65" t="s">
        <v>5442</v>
      </c>
    </row>
    <row r="19255" spans="1:2" x14ac:dyDescent="0.25">
      <c r="A19255" s="64" t="str">
        <f>HYPERLINK("http://www.twitter.com/agrieve509_anne", "agrieve509_anne")</f>
        <v>agrieve509_anne</v>
      </c>
      <c r="B19255" s="65" t="s">
        <v>20</v>
      </c>
    </row>
    <row r="19256" spans="1:2" x14ac:dyDescent="0.25">
      <c r="A19256" s="64" t="str">
        <f>HYPERLINK("http://www.twitter.com/artistsWYPW", "artistsWYPW")</f>
        <v>artistsWYPW</v>
      </c>
      <c r="B19256" s="65" t="s">
        <v>9467</v>
      </c>
    </row>
    <row r="19257" spans="1:2" x14ac:dyDescent="0.25">
      <c r="A19257" s="64" t="str">
        <f>HYPERLINK("http://www.twitter.com/fitch_kate", "fitch_kate")</f>
        <v>fitch_kate</v>
      </c>
      <c r="B19257" s="65" t="s">
        <v>9468</v>
      </c>
    </row>
    <row r="19258" spans="1:2" x14ac:dyDescent="0.25">
      <c r="A19258" s="64" t="str">
        <f>HYPERLINK("http://www.twitter.com/thelibranlib", "thelibranlib")</f>
        <v>thelibranlib</v>
      </c>
      <c r="B19258" s="65" t="s">
        <v>70</v>
      </c>
    </row>
    <row r="19259" spans="1:2" x14ac:dyDescent="0.25">
      <c r="A19259" s="64" t="str">
        <f>HYPERLINK("http://www.twitter.com/FulloBeans_", "FulloBeans_")</f>
        <v>FulloBeans_</v>
      </c>
      <c r="B19259" s="65" t="s">
        <v>6455</v>
      </c>
    </row>
    <row r="19260" spans="1:2" x14ac:dyDescent="0.25">
      <c r="A19260" s="64" t="str">
        <f>HYPERLINK("http://www.twitter.com/mimmir3000", "mimmir3000")</f>
        <v>mimmir3000</v>
      </c>
      <c r="B19260" s="65"/>
    </row>
    <row r="19261" spans="1:2" x14ac:dyDescent="0.25">
      <c r="A19261" s="64" t="str">
        <f>HYPERLINK("http://www.twitter.com/limepickle", "limepickle")</f>
        <v>limepickle</v>
      </c>
      <c r="B19261" s="65" t="s">
        <v>9469</v>
      </c>
    </row>
    <row r="19262" spans="1:2" x14ac:dyDescent="0.25">
      <c r="A19262" s="64" t="str">
        <f>HYPERLINK("http://www.twitter.com/MrMcGuireSays", "MrMcGuireSays")</f>
        <v>MrMcGuireSays</v>
      </c>
      <c r="B19262" s="65" t="s">
        <v>9470</v>
      </c>
    </row>
    <row r="19263" spans="1:2" x14ac:dyDescent="0.25">
      <c r="A19263" s="64" t="str">
        <f>HYPERLINK("http://www.twitter.com/ngolub29", "ngolub29")</f>
        <v>ngolub29</v>
      </c>
      <c r="B19263" s="65"/>
    </row>
    <row r="19264" spans="1:2" x14ac:dyDescent="0.25">
      <c r="A19264" s="64" t="str">
        <f>HYPERLINK("http://www.twitter.com/filmkidsdummies", "filmkidsdummies")</f>
        <v>filmkidsdummies</v>
      </c>
      <c r="B19264" s="65" t="s">
        <v>477</v>
      </c>
    </row>
    <row r="19265" spans="1:2" x14ac:dyDescent="0.25">
      <c r="A19265" s="64" t="str">
        <f>HYPERLINK("http://www.twitter.com/a_key3", "a_key3")</f>
        <v>a_key3</v>
      </c>
      <c r="B19265" s="65"/>
    </row>
    <row r="19266" spans="1:2" x14ac:dyDescent="0.25">
      <c r="A19266" s="64" t="str">
        <f>HYPERLINK("http://www.twitter.com/tpbjbw", "tpbjbw")</f>
        <v>tpbjbw</v>
      </c>
      <c r="B19266" s="65"/>
    </row>
    <row r="19267" spans="1:2" x14ac:dyDescent="0.25">
      <c r="A19267" s="64" t="str">
        <f>HYPERLINK("http://www.twitter.com/SchilbRareBooks", "SchilbRareBooks")</f>
        <v>SchilbRareBooks</v>
      </c>
      <c r="B19267" s="65" t="s">
        <v>9471</v>
      </c>
    </row>
    <row r="19268" spans="1:2" x14ac:dyDescent="0.25">
      <c r="A19268" s="64" t="str">
        <f>HYPERLINK("http://www.twitter.com/LeeBinding", "LeeBinding")</f>
        <v>LeeBinding</v>
      </c>
      <c r="B19268" s="65" t="s">
        <v>36</v>
      </c>
    </row>
    <row r="19269" spans="1:2" x14ac:dyDescent="0.25">
      <c r="A19269" s="64" t="str">
        <f>HYPERLINK("http://www.twitter.com/bigbibear", "bigbibear")</f>
        <v>bigbibear</v>
      </c>
      <c r="B19269" s="65" t="s">
        <v>9472</v>
      </c>
    </row>
    <row r="19270" spans="1:2" x14ac:dyDescent="0.25">
      <c r="A19270" s="64" t="str">
        <f>HYPERLINK("http://www.twitter.com/sir_trumpalot", "sir_trumpalot")</f>
        <v>sir_trumpalot</v>
      </c>
      <c r="B19270" s="65"/>
    </row>
    <row r="19271" spans="1:2" x14ac:dyDescent="0.25">
      <c r="A19271" s="64" t="str">
        <f>HYPERLINK("http://www.twitter.com/twistedwillow", "twistedwillow")</f>
        <v>twistedwillow</v>
      </c>
      <c r="B19271" s="65" t="s">
        <v>6214</v>
      </c>
    </row>
    <row r="19272" spans="1:2" x14ac:dyDescent="0.25">
      <c r="A19272" s="64" t="str">
        <f>HYPERLINK("http://www.twitter.com/ChattyBiscuits", "ChattyBiscuits")</f>
        <v>ChattyBiscuits</v>
      </c>
      <c r="B19272" s="65" t="s">
        <v>24</v>
      </c>
    </row>
    <row r="19273" spans="1:2" x14ac:dyDescent="0.25">
      <c r="A19273" s="64" t="str">
        <f>HYPERLINK("http://www.twitter.com/DeenaGornick", "DeenaGornick")</f>
        <v>DeenaGornick</v>
      </c>
      <c r="B19273" s="65" t="s">
        <v>36</v>
      </c>
    </row>
    <row r="19274" spans="1:2" x14ac:dyDescent="0.25">
      <c r="A19274" s="64" t="str">
        <f>HYPERLINK("http://www.twitter.com/lucylauraglynn", "lucylauraglynn")</f>
        <v>lucylauraglynn</v>
      </c>
      <c r="B19274" s="65" t="s">
        <v>9473</v>
      </c>
    </row>
    <row r="19275" spans="1:2" x14ac:dyDescent="0.25">
      <c r="A19275" s="64" t="str">
        <f>HYPERLINK("http://www.twitter.com/w_mowbray", "w_mowbray")</f>
        <v>w_mowbray</v>
      </c>
      <c r="B19275" s="65" t="s">
        <v>9474</v>
      </c>
    </row>
    <row r="19276" spans="1:2" x14ac:dyDescent="0.25">
      <c r="A19276" s="64" t="str">
        <f>HYPERLINK("http://www.twitter.com/PopularPope", "PopularPope")</f>
        <v>PopularPope</v>
      </c>
      <c r="B19276" s="65" t="s">
        <v>5293</v>
      </c>
    </row>
    <row r="19277" spans="1:2" x14ac:dyDescent="0.25">
      <c r="A19277" s="64" t="str">
        <f>HYPERLINK("http://www.twitter.com/eamonncarey", "eamonncarey")</f>
        <v>eamonncarey</v>
      </c>
      <c r="B19277" s="65" t="s">
        <v>477</v>
      </c>
    </row>
    <row r="19278" spans="1:2" x14ac:dyDescent="0.25">
      <c r="A19278" s="64" t="str">
        <f>HYPERLINK("http://www.twitter.com/campbellsing", "campbellsing")</f>
        <v>campbellsing</v>
      </c>
      <c r="B19278" s="65"/>
    </row>
    <row r="19279" spans="1:2" x14ac:dyDescent="0.25">
      <c r="A19279" s="64" t="str">
        <f>HYPERLINK("http://www.twitter.com/kareneeanney", "kareneeanney")</f>
        <v>kareneeanney</v>
      </c>
      <c r="B19279" s="65"/>
    </row>
    <row r="19280" spans="1:2" x14ac:dyDescent="0.25">
      <c r="A19280" s="64" t="str">
        <f>HYPERLINK("http://www.twitter.com/780nm", "780nm")</f>
        <v>780nm</v>
      </c>
      <c r="B19280" s="65" t="s">
        <v>138</v>
      </c>
    </row>
    <row r="19281" spans="1:2" x14ac:dyDescent="0.25">
      <c r="A19281" s="64" t="str">
        <f>HYPERLINK("http://www.twitter.com/SarahMayPhilo", "SarahMayPhilo")</f>
        <v>SarahMayPhilo</v>
      </c>
      <c r="B19281" s="65" t="s">
        <v>517</v>
      </c>
    </row>
    <row r="19282" spans="1:2" x14ac:dyDescent="0.25">
      <c r="A19282" s="64" t="str">
        <f>HYPERLINK("http://www.twitter.com/BroonMaw", "BroonMaw")</f>
        <v>BroonMaw</v>
      </c>
      <c r="B19282" s="65"/>
    </row>
    <row r="19283" spans="1:2" x14ac:dyDescent="0.25">
      <c r="A19283" s="64" t="str">
        <f>HYPERLINK("http://www.twitter.com/mikeysweeney1", "mikeysweeney1")</f>
        <v>mikeysweeney1</v>
      </c>
      <c r="B19283" s="65"/>
    </row>
    <row r="19284" spans="1:2" x14ac:dyDescent="0.25">
      <c r="A19284" s="64" t="str">
        <f>HYPERLINK("http://www.twitter.com/LSilkie", "LSilkie")</f>
        <v>LSilkie</v>
      </c>
      <c r="B19284" s="65" t="s">
        <v>9475</v>
      </c>
    </row>
    <row r="19285" spans="1:2" x14ac:dyDescent="0.25">
      <c r="A19285" s="64" t="str">
        <f>HYPERLINK("http://www.twitter.com/Souperpowered", "Souperpowered")</f>
        <v>Souperpowered</v>
      </c>
      <c r="B19285" s="65" t="s">
        <v>36</v>
      </c>
    </row>
    <row r="19286" spans="1:2" x14ac:dyDescent="0.25">
      <c r="A19286" s="64" t="str">
        <f>HYPERLINK("http://www.twitter.com/Seasider06", "Seasider06")</f>
        <v>Seasider06</v>
      </c>
      <c r="B19286" s="65" t="s">
        <v>9476</v>
      </c>
    </row>
    <row r="19287" spans="1:2" x14ac:dyDescent="0.25">
      <c r="A19287" s="64" t="str">
        <f>HYPERLINK("http://www.twitter.com/_EdenGabriel_", "_EdenGabriel_")</f>
        <v>_EdenGabriel_</v>
      </c>
      <c r="B19287" s="65" t="s">
        <v>9477</v>
      </c>
    </row>
    <row r="19288" spans="1:2" x14ac:dyDescent="0.25">
      <c r="A19288" s="64" t="str">
        <f>HYPERLINK("http://www.twitter.com/TopshamLibrary", "TopshamLibrary")</f>
        <v>TopshamLibrary</v>
      </c>
      <c r="B19288" s="65" t="s">
        <v>9478</v>
      </c>
    </row>
    <row r="19289" spans="1:2" x14ac:dyDescent="0.25">
      <c r="A19289" s="64" t="str">
        <f>HYPERLINK("http://www.twitter.com/sarahlou_iorua", "sarahlou_iorua")</f>
        <v>sarahlou_iorua</v>
      </c>
      <c r="B19289" s="65" t="s">
        <v>9479</v>
      </c>
    </row>
    <row r="19290" spans="1:2" x14ac:dyDescent="0.25">
      <c r="A19290" s="64" t="str">
        <f>HYPERLINK("http://www.twitter.com/IncognitoLinda", "IncognitoLinda")</f>
        <v>IncognitoLinda</v>
      </c>
      <c r="B19290" s="65" t="s">
        <v>138</v>
      </c>
    </row>
    <row r="19291" spans="1:2" x14ac:dyDescent="0.25">
      <c r="A19291" s="64" t="str">
        <f>HYPERLINK("http://www.twitter.com/ENortonamor", "ENortonamor")</f>
        <v>ENortonamor</v>
      </c>
      <c r="B19291" s="65"/>
    </row>
    <row r="19292" spans="1:2" x14ac:dyDescent="0.25">
      <c r="A19292" s="64" t="str">
        <f>HYPERLINK("http://www.twitter.com/cloudejans", "cloudejans")</f>
        <v>cloudejans</v>
      </c>
      <c r="B19292" s="65"/>
    </row>
    <row r="19293" spans="1:2" x14ac:dyDescent="0.25">
      <c r="A19293" s="64" t="str">
        <f>HYPERLINK("http://www.twitter.com/Mozalini_is_me", "Mozalini_is_me")</f>
        <v>Mozalini_is_me</v>
      </c>
      <c r="B19293" s="65"/>
    </row>
    <row r="19294" spans="1:2" x14ac:dyDescent="0.25">
      <c r="A19294" s="64" t="str">
        <f>HYPERLINK("http://www.twitter.com/mrhay", "mrhay")</f>
        <v>mrhay</v>
      </c>
      <c r="B19294" s="65" t="s">
        <v>4247</v>
      </c>
    </row>
    <row r="19295" spans="1:2" x14ac:dyDescent="0.25">
      <c r="A19295" s="64" t="str">
        <f>HYPERLINK("http://www.twitter.com/blueannacee", "blueannacee")</f>
        <v>blueannacee</v>
      </c>
      <c r="B19295" s="65"/>
    </row>
    <row r="19296" spans="1:2" x14ac:dyDescent="0.25">
      <c r="A19296" s="64" t="str">
        <f>HYPERLINK("http://www.twitter.com/ToniShelley", "ToniShelley")</f>
        <v>ToniShelley</v>
      </c>
      <c r="B19296" s="65" t="s">
        <v>36</v>
      </c>
    </row>
    <row r="19297" spans="1:2" x14ac:dyDescent="0.25">
      <c r="A19297" s="64" t="str">
        <f>HYPERLINK("http://www.twitter.com/highlandmuseums", "highlandmuseums")</f>
        <v>highlandmuseums</v>
      </c>
      <c r="B19297" s="65"/>
    </row>
    <row r="19298" spans="1:2" x14ac:dyDescent="0.25">
      <c r="A19298" s="64" t="str">
        <f>HYPERLINK("http://www.twitter.com/goldiebaker32", "goldiebaker32")</f>
        <v>goldiebaker32</v>
      </c>
      <c r="B19298" s="65"/>
    </row>
    <row r="19299" spans="1:2" x14ac:dyDescent="0.25">
      <c r="A19299" s="64" t="str">
        <f>HYPERLINK("http://www.twitter.com/SueAcey", "SueAcey")</f>
        <v>SueAcey</v>
      </c>
      <c r="B19299" s="65"/>
    </row>
    <row r="19300" spans="1:2" x14ac:dyDescent="0.25">
      <c r="A19300" s="64" t="str">
        <f>HYPERLINK("http://www.twitter.com/CliffSeatter", "CliffSeatter")</f>
        <v>CliffSeatter</v>
      </c>
      <c r="B19300" s="65" t="s">
        <v>20</v>
      </c>
    </row>
    <row r="19301" spans="1:2" x14ac:dyDescent="0.25">
      <c r="A19301" s="64" t="str">
        <f>HYPERLINK("http://www.twitter.com/AndrewJRTaylor", "AndrewJRTaylor")</f>
        <v>AndrewJRTaylor</v>
      </c>
      <c r="B19301" s="65" t="s">
        <v>9480</v>
      </c>
    </row>
    <row r="19302" spans="1:2" x14ac:dyDescent="0.25">
      <c r="A19302" s="64" t="str">
        <f>HYPERLINK("http://www.twitter.com/rachelsclarke", "rachelsclarke")</f>
        <v>rachelsclarke</v>
      </c>
      <c r="B19302" s="65" t="s">
        <v>77</v>
      </c>
    </row>
    <row r="19303" spans="1:2" x14ac:dyDescent="0.25">
      <c r="A19303" s="64" t="str">
        <f>HYPERLINK("http://www.twitter.com/aocarchaeology", "aocarchaeology")</f>
        <v>aocarchaeology</v>
      </c>
      <c r="B19303" s="65" t="s">
        <v>9481</v>
      </c>
    </row>
    <row r="19304" spans="1:2" x14ac:dyDescent="0.25">
      <c r="A19304" s="64" t="str">
        <f>HYPERLINK("http://www.twitter.com/maxeilenberg", "maxeilenberg")</f>
        <v>maxeilenberg</v>
      </c>
      <c r="B19304" s="65"/>
    </row>
    <row r="19305" spans="1:2" x14ac:dyDescent="0.25">
      <c r="A19305" s="64" t="str">
        <f>HYPERLINK("http://www.twitter.com/SAMKkirjasto", "SAMKkirjasto")</f>
        <v>SAMKkirjasto</v>
      </c>
      <c r="B19305" s="65" t="s">
        <v>9482</v>
      </c>
    </row>
    <row r="19306" spans="1:2" x14ac:dyDescent="0.25">
      <c r="A19306" s="64" t="str">
        <f>HYPERLINK("http://www.twitter.com/allygp", "allygp")</f>
        <v>allygp</v>
      </c>
      <c r="B19306" s="65" t="s">
        <v>9483</v>
      </c>
    </row>
    <row r="19307" spans="1:2" x14ac:dyDescent="0.25">
      <c r="A19307" s="64" t="str">
        <f>HYPERLINK("http://www.twitter.com/NoAliasBronwen", "NoAliasBronwen")</f>
        <v>NoAliasBronwen</v>
      </c>
      <c r="B19307" s="65" t="s">
        <v>4095</v>
      </c>
    </row>
    <row r="19308" spans="1:2" x14ac:dyDescent="0.25">
      <c r="A19308" s="64" t="str">
        <f>HYPERLINK("http://www.twitter.com/LisaZuena", "LisaZuena")</f>
        <v>LisaZuena</v>
      </c>
      <c r="B19308" s="65" t="s">
        <v>9484</v>
      </c>
    </row>
    <row r="19309" spans="1:2" x14ac:dyDescent="0.25">
      <c r="A19309" s="64" t="str">
        <f>HYPERLINK("http://www.twitter.com/KristenM_Lee", "KristenM_Lee")</f>
        <v>KristenM_Lee</v>
      </c>
      <c r="B19309" s="65"/>
    </row>
    <row r="19310" spans="1:2" x14ac:dyDescent="0.25">
      <c r="A19310" s="64" t="str">
        <f>HYPERLINK("http://www.twitter.com/DonnaGreenan", "DonnaGreenan")</f>
        <v>DonnaGreenan</v>
      </c>
      <c r="B19310" s="65" t="s">
        <v>9485</v>
      </c>
    </row>
    <row r="19311" spans="1:2" x14ac:dyDescent="0.25">
      <c r="A19311" s="64" t="str">
        <f>HYPERLINK("http://www.twitter.com/ShanaDrehs", "ShanaDrehs")</f>
        <v>ShanaDrehs</v>
      </c>
      <c r="B19311" s="65" t="s">
        <v>4329</v>
      </c>
    </row>
    <row r="19312" spans="1:2" x14ac:dyDescent="0.25">
      <c r="A19312" s="64" t="str">
        <f>HYPERLINK("http://www.twitter.com/msoapy", "msoapy")</f>
        <v>msoapy</v>
      </c>
      <c r="B19312" s="65"/>
    </row>
    <row r="19313" spans="1:2" x14ac:dyDescent="0.25">
      <c r="A19313" s="64" t="str">
        <f>HYPERLINK("http://www.twitter.com/Twocasts", "Twocasts")</f>
        <v>Twocasts</v>
      </c>
      <c r="B19313" s="65" t="s">
        <v>1482</v>
      </c>
    </row>
    <row r="19314" spans="1:2" x14ac:dyDescent="0.25">
      <c r="A19314" s="64" t="str">
        <f>HYPERLINK("http://www.twitter.com/Fitzalla", "Fitzalla")</f>
        <v>Fitzalla</v>
      </c>
      <c r="B19314" s="65"/>
    </row>
    <row r="19315" spans="1:2" x14ac:dyDescent="0.25">
      <c r="A19315" s="64" t="str">
        <f>HYPERLINK("http://www.twitter.com/kteelo", "kteelo")</f>
        <v>kteelo</v>
      </c>
      <c r="B19315" s="65" t="s">
        <v>3660</v>
      </c>
    </row>
    <row r="19316" spans="1:2" x14ac:dyDescent="0.25">
      <c r="A19316" s="64" t="str">
        <f>HYPERLINK("http://www.twitter.com/srwafu", "srwafu")</f>
        <v>srwafu</v>
      </c>
      <c r="B19316" s="65" t="s">
        <v>9486</v>
      </c>
    </row>
    <row r="19317" spans="1:2" x14ac:dyDescent="0.25">
      <c r="A19317" s="64" t="str">
        <f>HYPERLINK("http://www.twitter.com/James00212982", "James00212982")</f>
        <v>James00212982</v>
      </c>
      <c r="B19317" s="65"/>
    </row>
    <row r="19318" spans="1:2" x14ac:dyDescent="0.25">
      <c r="A19318" s="64" t="str">
        <f>HYPERLINK("http://www.twitter.com/jenks_haze", "jenks_haze")</f>
        <v>jenks_haze</v>
      </c>
      <c r="B19318" s="65"/>
    </row>
    <row r="19319" spans="1:2" x14ac:dyDescent="0.25">
      <c r="A19319" s="64" t="str">
        <f>HYPERLINK("http://www.twitter.com/lizzykomen", "lizzykomen")</f>
        <v>lizzykomen</v>
      </c>
      <c r="B19319" s="65" t="s">
        <v>6728</v>
      </c>
    </row>
    <row r="19320" spans="1:2" x14ac:dyDescent="0.25">
      <c r="A19320" s="64" t="str">
        <f>HYPERLINK("http://www.twitter.com/wrigglefingers", "wrigglefingers")</f>
        <v>wrigglefingers</v>
      </c>
      <c r="B19320" s="65" t="s">
        <v>9487</v>
      </c>
    </row>
    <row r="19321" spans="1:2" x14ac:dyDescent="0.25">
      <c r="A19321" s="64" t="str">
        <f>HYPERLINK("http://www.twitter.com/mvanschayk", "mvanschayk")</f>
        <v>mvanschayk</v>
      </c>
      <c r="B19321" s="65" t="s">
        <v>4519</v>
      </c>
    </row>
    <row r="19322" spans="1:2" x14ac:dyDescent="0.25">
      <c r="A19322" s="64" t="str">
        <f>HYPERLINK("http://www.twitter.com/hr_white", "hr_white")</f>
        <v>hr_white</v>
      </c>
      <c r="B19322" s="65" t="s">
        <v>9488</v>
      </c>
    </row>
    <row r="19323" spans="1:2" x14ac:dyDescent="0.25">
      <c r="A19323" s="64" t="str">
        <f>HYPERLINK("http://www.twitter.com/_plainKate_", "_plainKate_")</f>
        <v>_plainKate_</v>
      </c>
      <c r="B19323" s="65" t="s">
        <v>9489</v>
      </c>
    </row>
    <row r="19324" spans="1:2" x14ac:dyDescent="0.25">
      <c r="A19324" s="64" t="str">
        <f>HYPERLINK("http://www.twitter.com/mariapozza", "mariapozza")</f>
        <v>mariapozza</v>
      </c>
      <c r="B19324" s="65"/>
    </row>
    <row r="19325" spans="1:2" x14ac:dyDescent="0.25">
      <c r="A19325" s="64" t="str">
        <f>HYPERLINK("http://www.twitter.com/TeamDollyUK", "TeamDollyUK")</f>
        <v>TeamDollyUK</v>
      </c>
      <c r="B19325" s="65" t="s">
        <v>296</v>
      </c>
    </row>
    <row r="19326" spans="1:2" x14ac:dyDescent="0.25">
      <c r="A19326" s="64" t="str">
        <f>HYPERLINK("http://www.twitter.com/jacqCITB", "jacqCITB")</f>
        <v>jacqCITB</v>
      </c>
      <c r="B19326" s="65"/>
    </row>
    <row r="19327" spans="1:2" x14ac:dyDescent="0.25">
      <c r="A19327" s="64" t="str">
        <f>HYPERLINK("http://www.twitter.com/librarianbe", "librarianbe")</f>
        <v>librarianbe</v>
      </c>
      <c r="B19327" s="65" t="s">
        <v>9490</v>
      </c>
    </row>
    <row r="19328" spans="1:2" x14ac:dyDescent="0.25">
      <c r="A19328" s="64" t="str">
        <f>HYPERLINK("http://www.twitter.com/H_Malcolm", "H_Malcolm")</f>
        <v>H_Malcolm</v>
      </c>
      <c r="B19328" s="65"/>
    </row>
    <row r="19329" spans="1:2" x14ac:dyDescent="0.25">
      <c r="A19329" s="64" t="str">
        <f>HYPERLINK("http://www.twitter.com/RockyinTX", "RockyinTX")</f>
        <v>RockyinTX</v>
      </c>
      <c r="B19329" s="65"/>
    </row>
    <row r="19330" spans="1:2" x14ac:dyDescent="0.25">
      <c r="A19330" s="64" t="str">
        <f>HYPERLINK("http://www.twitter.com/nomandmalc", "nomandmalc")</f>
        <v>nomandmalc</v>
      </c>
      <c r="B19330" s="65" t="s">
        <v>725</v>
      </c>
    </row>
    <row r="19331" spans="1:2" x14ac:dyDescent="0.25">
      <c r="A19331" s="64" t="str">
        <f>HYPERLINK("http://www.twitter.com/grzegorzz", "grzegorzz")</f>
        <v>grzegorzz</v>
      </c>
      <c r="B19331" s="65" t="s">
        <v>9491</v>
      </c>
    </row>
    <row r="19332" spans="1:2" x14ac:dyDescent="0.25">
      <c r="A19332" s="64" t="str">
        <f>HYPERLINK("http://www.twitter.com/IanBeetlestone", "IanBeetlestone")</f>
        <v>IanBeetlestone</v>
      </c>
      <c r="B19332" s="65" t="s">
        <v>477</v>
      </c>
    </row>
    <row r="19333" spans="1:2" x14ac:dyDescent="0.25">
      <c r="A19333" s="64" t="str">
        <f>HYPERLINK("http://www.twitter.com/DixCottages", "DixCottages")</f>
        <v>DixCottages</v>
      </c>
      <c r="B19333" s="65" t="s">
        <v>9492</v>
      </c>
    </row>
    <row r="19334" spans="1:2" x14ac:dyDescent="0.25">
      <c r="A19334" s="64" t="str">
        <f>HYPERLINK("http://www.twitter.com/MaaryaR", "MaaryaR")</f>
        <v>MaaryaR</v>
      </c>
      <c r="B19334" s="65"/>
    </row>
    <row r="19335" spans="1:2" x14ac:dyDescent="0.25">
      <c r="A19335" s="64" t="str">
        <f>HYPERLINK("http://www.twitter.com/haydngrey", "haydngrey")</f>
        <v>haydngrey</v>
      </c>
      <c r="B19335" s="65" t="s">
        <v>70</v>
      </c>
    </row>
    <row r="19336" spans="1:2" x14ac:dyDescent="0.25">
      <c r="A19336" s="64" t="str">
        <f>HYPERLINK("http://www.twitter.com/EmmaHeskett", "EmmaHeskett")</f>
        <v>EmmaHeskett</v>
      </c>
      <c r="B19336" s="65"/>
    </row>
    <row r="19337" spans="1:2" x14ac:dyDescent="0.25">
      <c r="A19337" s="64" t="str">
        <f>HYPERLINK("http://www.twitter.com/Dochanmac", "Dochanmac")</f>
        <v>Dochanmac</v>
      </c>
      <c r="B19337" s="65" t="s">
        <v>138</v>
      </c>
    </row>
    <row r="19338" spans="1:2" x14ac:dyDescent="0.25">
      <c r="A19338" s="64" t="str">
        <f>HYPERLINK("http://www.twitter.com/MozzaFrozza", "MozzaFrozza")</f>
        <v>MozzaFrozza</v>
      </c>
      <c r="B19338" s="65"/>
    </row>
    <row r="19339" spans="1:2" x14ac:dyDescent="0.25">
      <c r="A19339" s="64" t="str">
        <f>HYPERLINK("http://www.twitter.com/CaterhamLibs", "CaterhamLibs")</f>
        <v>CaterhamLibs</v>
      </c>
      <c r="B19339" s="65" t="s">
        <v>1425</v>
      </c>
    </row>
    <row r="19340" spans="1:2" x14ac:dyDescent="0.25">
      <c r="A19340" s="64" t="str">
        <f>HYPERLINK("http://www.twitter.com/004dot678", "004dot678")</f>
        <v>004dot678</v>
      </c>
      <c r="B19340" s="65" t="s">
        <v>487</v>
      </c>
    </row>
    <row r="19341" spans="1:2" x14ac:dyDescent="0.25">
      <c r="A19341" s="64" t="str">
        <f>HYPERLINK("http://www.twitter.com/mmpawlikowski", "mmpawlikowski")</f>
        <v>mmpawlikowski</v>
      </c>
      <c r="B19341" s="65" t="s">
        <v>508</v>
      </c>
    </row>
    <row r="19342" spans="1:2" x14ac:dyDescent="0.25">
      <c r="A19342" s="64" t="str">
        <f>HYPERLINK("http://www.twitter.com/Lis4learning", "Lis4learning")</f>
        <v>Lis4learning</v>
      </c>
      <c r="B19342" s="65" t="s">
        <v>1876</v>
      </c>
    </row>
    <row r="19343" spans="1:2" x14ac:dyDescent="0.25">
      <c r="A19343" s="64" t="str">
        <f>HYPERLINK("http://www.twitter.com/RZKellehar", "RZKellehar")</f>
        <v>RZKellehar</v>
      </c>
      <c r="B19343" s="65"/>
    </row>
    <row r="19344" spans="1:2" x14ac:dyDescent="0.25">
      <c r="A19344" s="64" t="str">
        <f>HYPERLINK("http://www.twitter.com/Foyersclara", "Foyersclara")</f>
        <v>Foyersclara</v>
      </c>
      <c r="B19344" s="65" t="s">
        <v>5777</v>
      </c>
    </row>
    <row r="19345" spans="1:2" x14ac:dyDescent="0.25">
      <c r="A19345" s="64" t="str">
        <f>HYPERLINK("http://www.twitter.com/Mr_SJS", "Mr_SJS")</f>
        <v>Mr_SJS</v>
      </c>
      <c r="B19345" s="65" t="s">
        <v>70</v>
      </c>
    </row>
    <row r="19346" spans="1:2" x14ac:dyDescent="0.25">
      <c r="A19346" s="64" t="str">
        <f>HYPERLINK("http://www.twitter.com/Jambomo", "Jambomo")</f>
        <v>Jambomo</v>
      </c>
      <c r="B19346" s="65"/>
    </row>
    <row r="19347" spans="1:2" x14ac:dyDescent="0.25">
      <c r="A19347" s="64" t="str">
        <f>HYPERLINK("http://www.twitter.com/HeidiNiMhurchu", "HeidiNiMhurchu")</f>
        <v>HeidiNiMhurchu</v>
      </c>
      <c r="B19347" s="65" t="s">
        <v>477</v>
      </c>
    </row>
    <row r="19348" spans="1:2" x14ac:dyDescent="0.25">
      <c r="A19348" s="64" t="str">
        <f>HYPERLINK("http://www.twitter.com/OrkneySeanF", "OrkneySeanF")</f>
        <v>OrkneySeanF</v>
      </c>
      <c r="B19348" s="65" t="s">
        <v>4519</v>
      </c>
    </row>
    <row r="19349" spans="1:2" x14ac:dyDescent="0.25">
      <c r="A19349" s="64" t="str">
        <f>HYPERLINK("http://www.twitter.com/thejabberwocky1", "thejabberwocky1")</f>
        <v>thejabberwocky1</v>
      </c>
      <c r="B19349" s="65"/>
    </row>
    <row r="19350" spans="1:2" x14ac:dyDescent="0.25">
      <c r="A19350" s="64" t="str">
        <f>HYPERLINK("http://www.twitter.com/jonathanhyde", "jonathanhyde")</f>
        <v>jonathanhyde</v>
      </c>
      <c r="B19350" s="65" t="s">
        <v>9493</v>
      </c>
    </row>
    <row r="19351" spans="1:2" x14ac:dyDescent="0.25">
      <c r="A19351" s="64" t="str">
        <f>HYPERLINK("http://www.twitter.com/GrimsbyLibrary", "GrimsbyLibrary")</f>
        <v>GrimsbyLibrary</v>
      </c>
      <c r="B19351" s="65" t="s">
        <v>9494</v>
      </c>
    </row>
    <row r="19352" spans="1:2" x14ac:dyDescent="0.25">
      <c r="A19352" s="64" t="str">
        <f>HYPERLINK("http://www.twitter.com/_LeahByrne", "_LeahByrne")</f>
        <v>_LeahByrne</v>
      </c>
      <c r="B19352" s="65" t="s">
        <v>9495</v>
      </c>
    </row>
    <row r="19353" spans="1:2" x14ac:dyDescent="0.25">
      <c r="A19353" s="64" t="str">
        <f>HYPERLINK("http://www.twitter.com/ClaireSquires", "ClaireSquires")</f>
        <v>ClaireSquires</v>
      </c>
      <c r="B19353" s="65"/>
    </row>
    <row r="19354" spans="1:2" x14ac:dyDescent="0.25">
      <c r="A19354" s="64" t="str">
        <f>HYPERLINK("http://www.twitter.com/UWELibrary", "UWELibrary")</f>
        <v>UWELibrary</v>
      </c>
      <c r="B19354" s="65" t="s">
        <v>514</v>
      </c>
    </row>
    <row r="19355" spans="1:2" x14ac:dyDescent="0.25">
      <c r="A19355" s="64" t="str">
        <f>HYPERLINK("http://www.twitter.com/MorganProux", "MorganProux")</f>
        <v>MorganProux</v>
      </c>
      <c r="B19355" s="65"/>
    </row>
    <row r="19356" spans="1:2" x14ac:dyDescent="0.25">
      <c r="A19356" s="64" t="str">
        <f>HYPERLINK("http://www.twitter.com/AllinghamCrime", "AllinghamCrime")</f>
        <v>AllinghamCrime</v>
      </c>
      <c r="B19356" s="65"/>
    </row>
    <row r="19357" spans="1:2" x14ac:dyDescent="0.25">
      <c r="A19357" s="64" t="str">
        <f>HYPERLINK("http://www.twitter.com/john_jmarston1", "john_jmarston1")</f>
        <v>john_jmarston1</v>
      </c>
      <c r="B19357" s="65"/>
    </row>
    <row r="19358" spans="1:2" x14ac:dyDescent="0.25">
      <c r="A19358" s="64" t="str">
        <f>HYPERLINK("http://www.twitter.com/Simon_Burnett", "Simon_Burnett")</f>
        <v>Simon_Burnett</v>
      </c>
      <c r="B19358" s="65" t="s">
        <v>232</v>
      </c>
    </row>
    <row r="19359" spans="1:2" x14ac:dyDescent="0.25">
      <c r="A19359" s="64" t="str">
        <f>HYPERLINK("http://www.twitter.com/David_Heb", "David_Heb")</f>
        <v>David_Heb</v>
      </c>
      <c r="B19359" s="65" t="s">
        <v>6257</v>
      </c>
    </row>
    <row r="19360" spans="1:2" x14ac:dyDescent="0.25">
      <c r="A19360" s="64" t="str">
        <f>HYPERLINK("http://www.twitter.com/Scraggmeister", "Scraggmeister")</f>
        <v>Scraggmeister</v>
      </c>
      <c r="B19360" s="65" t="s">
        <v>9496</v>
      </c>
    </row>
    <row r="19361" spans="1:2" x14ac:dyDescent="0.25">
      <c r="A19361" s="64" t="str">
        <f>HYPERLINK("http://www.twitter.com/OrionFiona", "OrionFiona")</f>
        <v>OrionFiona</v>
      </c>
      <c r="B19361" s="65" t="s">
        <v>5793</v>
      </c>
    </row>
    <row r="19362" spans="1:2" x14ac:dyDescent="0.25">
      <c r="A19362" s="64" t="str">
        <f>HYPERLINK("http://www.twitter.com/ChristineBusby", "ChristineBusby")</f>
        <v>ChristineBusby</v>
      </c>
      <c r="B19362" s="65" t="s">
        <v>8138</v>
      </c>
    </row>
    <row r="19363" spans="1:2" x14ac:dyDescent="0.25">
      <c r="A19363" s="64" t="str">
        <f>HYPERLINK("http://www.twitter.com/BanjoPattison", "BanjoPattison")</f>
        <v>BanjoPattison</v>
      </c>
      <c r="B19363" s="65" t="s">
        <v>3317</v>
      </c>
    </row>
    <row r="19364" spans="1:2" x14ac:dyDescent="0.25">
      <c r="A19364" s="64" t="str">
        <f>HYPERLINK("http://www.twitter.com/ohnemit", "ohnemit")</f>
        <v>ohnemit</v>
      </c>
      <c r="B19364" s="65" t="s">
        <v>138</v>
      </c>
    </row>
    <row r="19365" spans="1:2" x14ac:dyDescent="0.25">
      <c r="A19365" s="64" t="str">
        <f>HYPERLINK("http://www.twitter.com/RachyRachyRachy", "RachyRachyRachy")</f>
        <v>RachyRachyRachy</v>
      </c>
      <c r="B19365" s="65"/>
    </row>
    <row r="19366" spans="1:2" x14ac:dyDescent="0.25">
      <c r="A19366" s="64" t="str">
        <f>HYPERLINK("http://www.twitter.com/OldGlenbogle", "OldGlenbogle")</f>
        <v>OldGlenbogle</v>
      </c>
      <c r="B19366" s="65" t="s">
        <v>9497</v>
      </c>
    </row>
    <row r="19367" spans="1:2" x14ac:dyDescent="0.25">
      <c r="A19367" s="64" t="str">
        <f>HYPERLINK("http://www.twitter.com/atrionacmunro", "atrionacmunro")</f>
        <v>atrionacmunro</v>
      </c>
      <c r="B19367" s="65" t="s">
        <v>9498</v>
      </c>
    </row>
    <row r="19368" spans="1:2" x14ac:dyDescent="0.25">
      <c r="A19368" s="64" t="str">
        <f>HYPERLINK("http://www.twitter.com/galleristocrat", "galleristocrat")</f>
        <v>galleristocrat</v>
      </c>
      <c r="B19368" s="65" t="s">
        <v>138</v>
      </c>
    </row>
    <row r="19369" spans="1:2" x14ac:dyDescent="0.25">
      <c r="A19369" s="64" t="str">
        <f>HYPERLINK("http://www.twitter.com/andremoreira123", "andremoreira123")</f>
        <v>andremoreira123</v>
      </c>
      <c r="B19369" s="65"/>
    </row>
    <row r="19370" spans="1:2" x14ac:dyDescent="0.25">
      <c r="A19370" s="64" t="str">
        <f>HYPERLINK("http://www.twitter.com/ssorn10", "ssorn10")</f>
        <v>ssorn10</v>
      </c>
      <c r="B19370" s="65"/>
    </row>
    <row r="19371" spans="1:2" x14ac:dyDescent="0.25">
      <c r="A19371" s="64" t="str">
        <f>HYPERLINK("http://www.twitter.com/KevanV", "KevanV")</f>
        <v>KevanV</v>
      </c>
      <c r="B19371" s="65" t="s">
        <v>9499</v>
      </c>
    </row>
    <row r="19372" spans="1:2" x14ac:dyDescent="0.25">
      <c r="A19372" s="64" t="str">
        <f>HYPERLINK("http://www.twitter.com/stephanienfox", "stephanienfox")</f>
        <v>stephanienfox</v>
      </c>
      <c r="B19372" s="65"/>
    </row>
    <row r="19373" spans="1:2" x14ac:dyDescent="0.25">
      <c r="A19373" s="64" t="str">
        <f>HYPERLINK("http://www.twitter.com/RowanPaterson5", "RowanPaterson5")</f>
        <v>RowanPaterson5</v>
      </c>
      <c r="B19373" s="65" t="s">
        <v>318</v>
      </c>
    </row>
    <row r="19374" spans="1:2" x14ac:dyDescent="0.25">
      <c r="A19374" s="64" t="str">
        <f>HYPERLINK("http://www.twitter.com/Hattie_Mills", "Hattie_Mills")</f>
        <v>Hattie_Mills</v>
      </c>
      <c r="B19374" s="65"/>
    </row>
    <row r="19375" spans="1:2" x14ac:dyDescent="0.25">
      <c r="A19375" s="64" t="str">
        <f>HYPERLINK("http://www.twitter.com/AlexRitopek", "AlexRitopek")</f>
        <v>AlexRitopek</v>
      </c>
      <c r="B19375" s="65" t="s">
        <v>9500</v>
      </c>
    </row>
    <row r="19376" spans="1:2" x14ac:dyDescent="0.25">
      <c r="A19376" s="64" t="str">
        <f>HYPERLINK("http://www.twitter.com/thomas_matthewj", "thomas_matthewj")</f>
        <v>thomas_matthewj</v>
      </c>
      <c r="B19376" s="65" t="s">
        <v>5960</v>
      </c>
    </row>
    <row r="19377" spans="1:2" x14ac:dyDescent="0.25">
      <c r="A19377" s="64" t="str">
        <f>HYPERLINK("http://www.twitter.com/helenfarr", "helenfarr")</f>
        <v>helenfarr</v>
      </c>
      <c r="B19377" s="65"/>
    </row>
    <row r="19378" spans="1:2" x14ac:dyDescent="0.25">
      <c r="A19378" s="64" t="str">
        <f>HYPERLINK("http://www.twitter.com/stevenjcrombie", "stevenjcrombie")</f>
        <v>stevenjcrombie</v>
      </c>
      <c r="B19378" s="65" t="s">
        <v>2227</v>
      </c>
    </row>
    <row r="19379" spans="1:2" x14ac:dyDescent="0.25">
      <c r="A19379" s="64" t="str">
        <f>HYPERLINK("http://www.twitter.com/NlandLibs", "NlandLibs")</f>
        <v>NlandLibs</v>
      </c>
      <c r="B19379" s="65" t="s">
        <v>1328</v>
      </c>
    </row>
    <row r="19380" spans="1:2" x14ac:dyDescent="0.25">
      <c r="A19380" s="64" t="str">
        <f>HYPERLINK("http://www.twitter.com/hendersonlibs", "hendersonlibs")</f>
        <v>hendersonlibs</v>
      </c>
      <c r="B19380" s="65" t="s">
        <v>9501</v>
      </c>
    </row>
    <row r="19381" spans="1:2" x14ac:dyDescent="0.25">
      <c r="A19381" s="64" t="str">
        <f>HYPERLINK("http://www.twitter.com/Barker_Langham", "Barker_Langham")</f>
        <v>Barker_Langham</v>
      </c>
      <c r="B19381" s="65" t="s">
        <v>36</v>
      </c>
    </row>
    <row r="19382" spans="1:2" x14ac:dyDescent="0.25">
      <c r="A19382" s="64" t="str">
        <f>HYPERLINK("http://www.twitter.com/WiscassetPublic", "WiscassetPublic")</f>
        <v>WiscassetPublic</v>
      </c>
      <c r="B19382" s="65"/>
    </row>
    <row r="19383" spans="1:2" x14ac:dyDescent="0.25">
      <c r="A19383" s="64" t="str">
        <f>HYPERLINK("http://www.twitter.com/publishingnuria", "publishingnuria")</f>
        <v>publishingnuria</v>
      </c>
      <c r="B19383" s="65" t="s">
        <v>24</v>
      </c>
    </row>
    <row r="19384" spans="1:2" x14ac:dyDescent="0.25">
      <c r="A19384" s="64" t="str">
        <f>HYPERLINK("http://www.twitter.com/kwecosse", "kwecosse")</f>
        <v>kwecosse</v>
      </c>
      <c r="B19384" s="65"/>
    </row>
    <row r="19385" spans="1:2" x14ac:dyDescent="0.25">
      <c r="A19385" s="64" t="str">
        <f>HYPERLINK("http://www.twitter.com/A_WritersStudio", "A_WritersStudio")</f>
        <v>A_WritersStudio</v>
      </c>
      <c r="B19385" s="65"/>
    </row>
    <row r="19386" spans="1:2" x14ac:dyDescent="0.25">
      <c r="A19386" s="64" t="str">
        <f>HYPERLINK("http://www.twitter.com/adamgilessmith", "adamgilessmith")</f>
        <v>adamgilessmith</v>
      </c>
      <c r="B19386" s="65" t="s">
        <v>9502</v>
      </c>
    </row>
    <row r="19387" spans="1:2" x14ac:dyDescent="0.25">
      <c r="A19387" s="64" t="str">
        <f>HYPERLINK("http://www.twitter.com/HelenMargaretMe", "HelenMargaretMe")</f>
        <v>HelenMargaretMe</v>
      </c>
      <c r="B19387" s="65"/>
    </row>
    <row r="19388" spans="1:2" x14ac:dyDescent="0.25">
      <c r="A19388" s="64" t="str">
        <f>HYPERLINK("http://www.twitter.com/claudiafox413", "claudiafox413")</f>
        <v>claudiafox413</v>
      </c>
      <c r="B19388" s="65"/>
    </row>
    <row r="19389" spans="1:2" x14ac:dyDescent="0.25">
      <c r="A19389" s="64" t="str">
        <f>HYPERLINK("http://www.twitter.com/JohnPReade", "JohnPReade")</f>
        <v>JohnPReade</v>
      </c>
      <c r="B19389" s="65"/>
    </row>
    <row r="19390" spans="1:2" x14ac:dyDescent="0.25">
      <c r="A19390" s="64" t="str">
        <f>HYPERLINK("http://www.twitter.com/wlibrarian68", "wlibrarian68")</f>
        <v>wlibrarian68</v>
      </c>
      <c r="B19390" s="65" t="s">
        <v>9503</v>
      </c>
    </row>
    <row r="19391" spans="1:2" x14ac:dyDescent="0.25">
      <c r="A19391" s="64" t="str">
        <f>HYPERLINK("http://www.twitter.com/CatMai", "CatMai")</f>
        <v>CatMai</v>
      </c>
      <c r="B19391" s="65" t="s">
        <v>9504</v>
      </c>
    </row>
    <row r="19392" spans="1:2" x14ac:dyDescent="0.25">
      <c r="A19392" s="64" t="str">
        <f>HYPERLINK("http://www.twitter.com/Nashwan_Ali", "Nashwan_Ali")</f>
        <v>Nashwan_Ali</v>
      </c>
      <c r="B19392" s="65"/>
    </row>
    <row r="19393" spans="1:2" x14ac:dyDescent="0.25">
      <c r="A19393" s="64" t="str">
        <f>HYPERLINK("http://www.twitter.com/linseyburns", "linseyburns")</f>
        <v>linseyburns</v>
      </c>
      <c r="B19393" s="65" t="s">
        <v>5667</v>
      </c>
    </row>
    <row r="19394" spans="1:2" x14ac:dyDescent="0.25">
      <c r="A19394" s="64" t="str">
        <f>HYPERLINK("http://www.twitter.com/KCYFLib", "KCYFLib")</f>
        <v>KCYFLib</v>
      </c>
      <c r="B19394" s="65" t="s">
        <v>9505</v>
      </c>
    </row>
    <row r="19395" spans="1:2" x14ac:dyDescent="0.25">
      <c r="A19395" s="64" t="str">
        <f>HYPERLINK("http://www.twitter.com/overheardlibrar", "overheardlibrar")</f>
        <v>overheardlibrar</v>
      </c>
      <c r="B19395" s="65"/>
    </row>
    <row r="19396" spans="1:2" x14ac:dyDescent="0.25">
      <c r="A19396" s="64" t="str">
        <f>HYPERLINK("http://www.twitter.com/MoondancerAl", "MoondancerAl")</f>
        <v>MoondancerAl</v>
      </c>
      <c r="B19396" s="65" t="s">
        <v>9506</v>
      </c>
    </row>
    <row r="19397" spans="1:2" x14ac:dyDescent="0.25">
      <c r="A19397" s="64" t="str">
        <f>HYPERLINK("http://www.twitter.com/DonnaMurrayx", "DonnaMurrayx")</f>
        <v>DonnaMurrayx</v>
      </c>
      <c r="B19397" s="65"/>
    </row>
    <row r="19398" spans="1:2" x14ac:dyDescent="0.25">
      <c r="A19398" s="64" t="str">
        <f>HYPERLINK("http://www.twitter.com/IbntAsgharAli", "IbntAsgharAli")</f>
        <v>IbntAsgharAli</v>
      </c>
      <c r="B19398" s="65"/>
    </row>
    <row r="19399" spans="1:2" x14ac:dyDescent="0.25">
      <c r="A19399" s="64" t="str">
        <f>HYPERLINK("http://www.twitter.com/CarnegieStout", "CarnegieStout")</f>
        <v>CarnegieStout</v>
      </c>
      <c r="B19399" s="65" t="s">
        <v>9507</v>
      </c>
    </row>
    <row r="19400" spans="1:2" x14ac:dyDescent="0.25">
      <c r="A19400" s="64" t="str">
        <f>HYPERLINK("http://www.twitter.com/primesaut", "primesaut")</f>
        <v>primesaut</v>
      </c>
      <c r="B19400" s="65" t="s">
        <v>9508</v>
      </c>
    </row>
    <row r="19401" spans="1:2" x14ac:dyDescent="0.25">
      <c r="A19401" s="64" t="str">
        <f>HYPERLINK("http://www.twitter.com/BHarmsworth", "BHarmsworth")</f>
        <v>BHarmsworth</v>
      </c>
      <c r="B19401" s="65" t="s">
        <v>9509</v>
      </c>
    </row>
    <row r="19402" spans="1:2" x14ac:dyDescent="0.25">
      <c r="A19402" s="64" t="str">
        <f>HYPERLINK("http://www.twitter.com/Fiona566", "Fiona566")</f>
        <v>Fiona566</v>
      </c>
      <c r="B19402" s="65"/>
    </row>
    <row r="19403" spans="1:2" x14ac:dyDescent="0.25">
      <c r="A19403" s="64" t="str">
        <f>HYPERLINK("http://www.twitter.com/birchyjan", "birchyjan")</f>
        <v>birchyjan</v>
      </c>
      <c r="B19403" s="65"/>
    </row>
    <row r="19404" spans="1:2" x14ac:dyDescent="0.25">
      <c r="A19404" s="64" t="str">
        <f>HYPERLINK("http://www.twitter.com/gillbriggs", "gillbriggs")</f>
        <v>gillbriggs</v>
      </c>
      <c r="B19404" s="65"/>
    </row>
    <row r="19405" spans="1:2" x14ac:dyDescent="0.25">
      <c r="A19405" s="64" t="str">
        <f>HYPERLINK("http://www.twitter.com/MatthewRuddle1", "MatthewRuddle1")</f>
        <v>MatthewRuddle1</v>
      </c>
      <c r="B19405" s="65" t="s">
        <v>9510</v>
      </c>
    </row>
    <row r="19406" spans="1:2" x14ac:dyDescent="0.25">
      <c r="A19406" s="64" t="str">
        <f>HYPERLINK("http://www.twitter.com/Technical_riley", "Technical_riley")</f>
        <v>Technical_riley</v>
      </c>
      <c r="B19406" s="65"/>
    </row>
    <row r="19407" spans="1:2" x14ac:dyDescent="0.25">
      <c r="A19407" s="64" t="str">
        <f>HYPERLINK("http://www.twitter.com/conniecrosby", "conniecrosby")</f>
        <v>conniecrosby</v>
      </c>
      <c r="B19407" s="65" t="s">
        <v>3688</v>
      </c>
    </row>
    <row r="19408" spans="1:2" x14ac:dyDescent="0.25">
      <c r="A19408" s="64" t="str">
        <f>HYPERLINK("http://www.twitter.com/PolicemansLot", "PolicemansLot")</f>
        <v>PolicemansLot</v>
      </c>
      <c r="B19408" s="65"/>
    </row>
    <row r="19409" spans="1:2" x14ac:dyDescent="0.25">
      <c r="A19409" s="64" t="str">
        <f>HYPERLINK("http://www.twitter.com/Robynlmunro", "Robynlmunro")</f>
        <v>Robynlmunro</v>
      </c>
      <c r="B19409" s="65" t="s">
        <v>36</v>
      </c>
    </row>
    <row r="19410" spans="1:2" x14ac:dyDescent="0.25">
      <c r="A19410" s="64" t="str">
        <f>HYPERLINK("http://www.twitter.com/tapsister", "tapsister")</f>
        <v>tapsister</v>
      </c>
      <c r="B19410" s="65" t="s">
        <v>3779</v>
      </c>
    </row>
    <row r="19411" spans="1:2" x14ac:dyDescent="0.25">
      <c r="A19411" s="64" t="str">
        <f>HYPERLINK("http://www.twitter.com/ComfyCuchions", "ComfyCuchions")</f>
        <v>ComfyCuchions</v>
      </c>
      <c r="B19411" s="65" t="s">
        <v>2185</v>
      </c>
    </row>
    <row r="19412" spans="1:2" x14ac:dyDescent="0.25">
      <c r="A19412" s="64" t="str">
        <f>HYPERLINK("http://www.twitter.com/djr113", "djr113")</f>
        <v>djr113</v>
      </c>
      <c r="B19412" s="65"/>
    </row>
    <row r="19413" spans="1:2" x14ac:dyDescent="0.25">
      <c r="A19413" s="64" t="str">
        <f>HYPERLINK("http://www.twitter.com/vcic1515", "vcic1515")</f>
        <v>vcic1515</v>
      </c>
      <c r="B19413" s="65"/>
    </row>
    <row r="19414" spans="1:2" x14ac:dyDescent="0.25">
      <c r="A19414" s="64" t="str">
        <f>HYPERLINK("http://www.twitter.com/LizStroods", "LizStroods")</f>
        <v>LizStroods</v>
      </c>
      <c r="B19414" s="65"/>
    </row>
    <row r="19415" spans="1:2" x14ac:dyDescent="0.25">
      <c r="A19415" s="64" t="str">
        <f>HYPERLINK("http://www.twitter.com/OllieKing", "OllieKing")</f>
        <v>OllieKing</v>
      </c>
      <c r="B19415" s="65" t="s">
        <v>477</v>
      </c>
    </row>
    <row r="19416" spans="1:2" x14ac:dyDescent="0.25">
      <c r="A19416" s="64" t="str">
        <f>HYPERLINK("http://www.twitter.com/thewriteginger", "thewriteginger")</f>
        <v>thewriteginger</v>
      </c>
      <c r="B19416" s="65"/>
    </row>
    <row r="19417" spans="1:2" x14ac:dyDescent="0.25">
      <c r="A19417" s="64" t="str">
        <f>HYPERLINK("http://www.twitter.com/wigmoreash", "wigmoreash")</f>
        <v>wigmoreash</v>
      </c>
      <c r="B19417" s="65" t="s">
        <v>9511</v>
      </c>
    </row>
    <row r="19418" spans="1:2" x14ac:dyDescent="0.25">
      <c r="A19418" s="64" t="str">
        <f>HYPERLINK("http://www.twitter.com/alisonrbcm", "alisonrbcm")</f>
        <v>alisonrbcm</v>
      </c>
      <c r="B19418" s="65" t="s">
        <v>9512</v>
      </c>
    </row>
    <row r="19419" spans="1:2" x14ac:dyDescent="0.25">
      <c r="A19419" s="64" t="str">
        <f>HYPERLINK("http://www.twitter.com/oxknit_tweets", "oxknit_tweets")</f>
        <v>oxknit_tweets</v>
      </c>
      <c r="B19419" s="65"/>
    </row>
    <row r="19420" spans="1:2" x14ac:dyDescent="0.25">
      <c r="A19420" s="64" t="str">
        <f>HYPERLINK("http://www.twitter.com/tgkewell", "tgkewell")</f>
        <v>tgkewell</v>
      </c>
      <c r="B19420" s="65"/>
    </row>
    <row r="19421" spans="1:2" x14ac:dyDescent="0.25">
      <c r="A19421" s="64" t="str">
        <f>HYPERLINK("http://www.twitter.com/SRoughley_", "SRoughley_")</f>
        <v>SRoughley_</v>
      </c>
      <c r="B19421" s="65"/>
    </row>
    <row r="19422" spans="1:2" x14ac:dyDescent="0.25">
      <c r="A19422" s="64" t="str">
        <f>HYPERLINK("http://www.twitter.com/sofasobad", "sofasobad")</f>
        <v>sofasobad</v>
      </c>
      <c r="B19422" s="65"/>
    </row>
    <row r="19423" spans="1:2" x14ac:dyDescent="0.25">
      <c r="A19423" s="64" t="str">
        <f>HYPERLINK("http://www.twitter.com/SeemaRampersad", "SeemaRampersad")</f>
        <v>SeemaRampersad</v>
      </c>
      <c r="B19423" s="65" t="s">
        <v>36</v>
      </c>
    </row>
    <row r="19424" spans="1:2" x14ac:dyDescent="0.25">
      <c r="A19424" s="64" t="str">
        <f>HYPERLINK("http://www.twitter.com/knowledgemama", "knowledgemama")</f>
        <v>knowledgemama</v>
      </c>
      <c r="B19424" s="65" t="s">
        <v>4309</v>
      </c>
    </row>
    <row r="19425" spans="1:2" x14ac:dyDescent="0.25">
      <c r="A19425" s="64" t="str">
        <f>HYPERLINK("http://www.twitter.com/rosealare", "rosealare")</f>
        <v>rosealare</v>
      </c>
      <c r="B19425" s="65" t="s">
        <v>36</v>
      </c>
    </row>
    <row r="19426" spans="1:2" x14ac:dyDescent="0.25">
      <c r="A19426" s="64" t="str">
        <f>HYPERLINK("http://www.twitter.com/Sam_Bain", "Sam_Bain")</f>
        <v>Sam_Bain</v>
      </c>
      <c r="B19426" s="65" t="s">
        <v>9513</v>
      </c>
    </row>
    <row r="19427" spans="1:2" x14ac:dyDescent="0.25">
      <c r="A19427" s="64" t="str">
        <f>HYPERLINK("http://www.twitter.com/Aesche", "Aesche")</f>
        <v>Aesche</v>
      </c>
      <c r="B19427" s="65" t="s">
        <v>8674</v>
      </c>
    </row>
    <row r="19428" spans="1:2" x14ac:dyDescent="0.25">
      <c r="A19428" s="64" t="str">
        <f>HYPERLINK("http://www.twitter.com/BotanistBriggs", "BotanistBriggs")</f>
        <v>BotanistBriggs</v>
      </c>
      <c r="B19428" s="65" t="s">
        <v>110</v>
      </c>
    </row>
    <row r="19429" spans="1:2" x14ac:dyDescent="0.25">
      <c r="A19429" s="64" t="str">
        <f>HYPERLINK("http://www.twitter.com/ICUHlResearch", "ICUHlResearch")</f>
        <v>ICUHlResearch</v>
      </c>
      <c r="B19429" s="65"/>
    </row>
    <row r="19430" spans="1:2" x14ac:dyDescent="0.25">
      <c r="A19430" s="64" t="str">
        <f>HYPERLINK("http://www.twitter.com/EmilyM_SWA", "EmilyM_SWA")</f>
        <v>EmilyM_SWA</v>
      </c>
      <c r="B19430" s="65" t="s">
        <v>517</v>
      </c>
    </row>
    <row r="19431" spans="1:2" x14ac:dyDescent="0.25">
      <c r="A19431" s="64" t="str">
        <f>HYPERLINK("http://www.twitter.com/vicschoolsphil", "vicschoolsphil")</f>
        <v>vicschoolsphil</v>
      </c>
      <c r="B19431" s="65" t="s">
        <v>4976</v>
      </c>
    </row>
    <row r="19432" spans="1:2" x14ac:dyDescent="0.25">
      <c r="A19432" s="64" t="str">
        <f>HYPERLINK("http://www.twitter.com/SusanDavy1", "SusanDavy1")</f>
        <v>SusanDavy1</v>
      </c>
      <c r="B19432" s="65" t="s">
        <v>9514</v>
      </c>
    </row>
    <row r="19433" spans="1:2" x14ac:dyDescent="0.25">
      <c r="A19433" s="64" t="str">
        <f>HYPERLINK("http://www.twitter.com/OMaraBooks", "OMaraBooks")</f>
        <v>OMaraBooks</v>
      </c>
      <c r="B19433" s="65" t="s">
        <v>9515</v>
      </c>
    </row>
    <row r="19434" spans="1:2" x14ac:dyDescent="0.25">
      <c r="A19434" s="64" t="str">
        <f>HYPERLINK("http://www.twitter.com/heddon3", "heddon3")</f>
        <v>heddon3</v>
      </c>
      <c r="B19434" s="65" t="s">
        <v>3787</v>
      </c>
    </row>
    <row r="19435" spans="1:2" x14ac:dyDescent="0.25">
      <c r="A19435" s="64" t="str">
        <f>HYPERLINK("http://www.twitter.com/SoniSaFr", "SoniSaFr")</f>
        <v>SoniSaFr</v>
      </c>
      <c r="B19435" s="65" t="s">
        <v>1377</v>
      </c>
    </row>
    <row r="19436" spans="1:2" x14ac:dyDescent="0.25">
      <c r="A19436" s="64" t="str">
        <f>HYPERLINK("http://www.twitter.com/AissaW", "AissaW")</f>
        <v>AissaW</v>
      </c>
      <c r="B19436" s="65" t="s">
        <v>4436</v>
      </c>
    </row>
    <row r="19437" spans="1:2" x14ac:dyDescent="0.25">
      <c r="A19437" s="64" t="str">
        <f>HYPERLINK("http://www.twitter.com/ALangusch", "ALangusch")</f>
        <v>ALangusch</v>
      </c>
      <c r="B19437" s="65" t="s">
        <v>4273</v>
      </c>
    </row>
    <row r="19438" spans="1:2" x14ac:dyDescent="0.25">
      <c r="A19438" s="64" t="str">
        <f>HYPERLINK("http://www.twitter.com/janithma18", "janithma18")</f>
        <v>janithma18</v>
      </c>
      <c r="B19438" s="65" t="s">
        <v>36</v>
      </c>
    </row>
    <row r="19439" spans="1:2" x14ac:dyDescent="0.25">
      <c r="A19439" s="64" t="str">
        <f>HYPERLINK("http://www.twitter.com/surroundedbh", "surroundedbh")</f>
        <v>surroundedbh</v>
      </c>
      <c r="B19439" s="65" t="s">
        <v>9516</v>
      </c>
    </row>
    <row r="19440" spans="1:2" x14ac:dyDescent="0.25">
      <c r="A19440" s="64" t="str">
        <f>HYPERLINK("http://www.twitter.com/76deek", "76deek")</f>
        <v>76deek</v>
      </c>
      <c r="B19440" s="65"/>
    </row>
    <row r="19441" spans="1:2" x14ac:dyDescent="0.25">
      <c r="A19441" s="64" t="str">
        <f>HYPERLINK("http://www.twitter.com/CoolHandLukex3", "CoolHandLukex3")</f>
        <v>CoolHandLukex3</v>
      </c>
      <c r="B19441" s="65"/>
    </row>
    <row r="19442" spans="1:2" x14ac:dyDescent="0.25">
      <c r="A19442" s="64" t="str">
        <f>HYPERLINK("http://www.twitter.com/Cathslatter", "Cathslatter")</f>
        <v>Cathslatter</v>
      </c>
      <c r="B19442" s="65"/>
    </row>
    <row r="19443" spans="1:2" x14ac:dyDescent="0.25">
      <c r="A19443" s="64" t="str">
        <f>HYPERLINK("http://www.twitter.com/TheMosaicRooms", "TheMosaicRooms")</f>
        <v>TheMosaicRooms</v>
      </c>
      <c r="B19443" s="65" t="s">
        <v>36</v>
      </c>
    </row>
    <row r="19444" spans="1:2" x14ac:dyDescent="0.25">
      <c r="A19444" s="64" t="str">
        <f>HYPERLINK("http://www.twitter.com/BiblioCange", "BiblioCange")</f>
        <v>BiblioCange</v>
      </c>
      <c r="B19444" s="65" t="s">
        <v>9517</v>
      </c>
    </row>
    <row r="19445" spans="1:2" x14ac:dyDescent="0.25">
      <c r="A19445" s="64" t="str">
        <f>HYPERLINK("http://www.twitter.com/tobyconty", "tobyconty")</f>
        <v>tobyconty</v>
      </c>
      <c r="B19445" s="65"/>
    </row>
    <row r="19446" spans="1:2" x14ac:dyDescent="0.25">
      <c r="A19446" s="64" t="str">
        <f>HYPERLINK("http://www.twitter.com/shouty74", "shouty74")</f>
        <v>shouty74</v>
      </c>
      <c r="B19446" s="65"/>
    </row>
    <row r="19447" spans="1:2" x14ac:dyDescent="0.25">
      <c r="A19447" s="64" t="str">
        <f>HYPERLINK("http://www.twitter.com/emmagill32", "emmagill32")</f>
        <v>emmagill32</v>
      </c>
      <c r="B19447" s="65"/>
    </row>
    <row r="19448" spans="1:2" x14ac:dyDescent="0.25">
      <c r="A19448" s="64" t="str">
        <f>HYPERLINK("http://www.twitter.com/susanta03396106", "susanta03396106")</f>
        <v>susanta03396106</v>
      </c>
      <c r="B19448" s="65"/>
    </row>
    <row r="19449" spans="1:2" x14ac:dyDescent="0.25">
      <c r="A19449" s="64" t="str">
        <f>HYPERLINK("http://www.twitter.com/moyes_jacklyn", "moyes_jacklyn")</f>
        <v>moyes_jacklyn</v>
      </c>
      <c r="B19449" s="65"/>
    </row>
    <row r="19450" spans="1:2" x14ac:dyDescent="0.25">
      <c r="A19450" s="64" t="str">
        <f>HYPERLINK("http://www.twitter.com/Green_Gablo", "Green_Gablo")</f>
        <v>Green_Gablo</v>
      </c>
      <c r="B19450" s="65" t="s">
        <v>6222</v>
      </c>
    </row>
    <row r="19451" spans="1:2" x14ac:dyDescent="0.25">
      <c r="A19451" s="64" t="str">
        <f>HYPERLINK("http://www.twitter.com/Gingerfoxy1", "Gingerfoxy1")</f>
        <v>Gingerfoxy1</v>
      </c>
      <c r="B19451" s="65"/>
    </row>
    <row r="19452" spans="1:2" x14ac:dyDescent="0.25">
      <c r="A19452" s="64" t="str">
        <f>HYPERLINK("http://www.twitter.com/jojo1250", "jojo1250")</f>
        <v>jojo1250</v>
      </c>
      <c r="B19452" s="65" t="s">
        <v>9518</v>
      </c>
    </row>
    <row r="19453" spans="1:2" x14ac:dyDescent="0.25">
      <c r="A19453" s="64" t="str">
        <f>HYPERLINK("http://www.twitter.com/moira1273", "moira1273")</f>
        <v>moira1273</v>
      </c>
      <c r="B19453" s="65" t="s">
        <v>517</v>
      </c>
    </row>
    <row r="19454" spans="1:2" x14ac:dyDescent="0.25">
      <c r="A19454" s="64" t="str">
        <f>HYPERLINK("http://www.twitter.com/Sooburgess62", "Sooburgess62")</f>
        <v>Sooburgess62</v>
      </c>
      <c r="B19454" s="65"/>
    </row>
    <row r="19455" spans="1:2" x14ac:dyDescent="0.25">
      <c r="A19455" s="64" t="str">
        <f>HYPERLINK("http://www.twitter.com/diggah", "diggah")</f>
        <v>diggah</v>
      </c>
      <c r="B19455" s="65" t="s">
        <v>3762</v>
      </c>
    </row>
    <row r="19456" spans="1:2" x14ac:dyDescent="0.25">
      <c r="A19456" s="64" t="str">
        <f>HYPERLINK("http://www.twitter.com/OrkneySoose", "OrkneySoose")</f>
        <v>OrkneySoose</v>
      </c>
      <c r="B19456" s="65" t="s">
        <v>517</v>
      </c>
    </row>
    <row r="19457" spans="1:2" x14ac:dyDescent="0.25">
      <c r="A19457" s="64" t="str">
        <f>HYPERLINK("http://www.twitter.com/ClaraZMNelson", "ClaraZMNelson")</f>
        <v>ClaraZMNelson</v>
      </c>
      <c r="B19457" s="65" t="s">
        <v>8061</v>
      </c>
    </row>
    <row r="19458" spans="1:2" x14ac:dyDescent="0.25">
      <c r="A19458" s="64" t="str">
        <f>HYPERLINK("http://www.twitter.com/westervlibrary", "westervlibrary")</f>
        <v>westervlibrary</v>
      </c>
      <c r="B19458" s="65" t="s">
        <v>9519</v>
      </c>
    </row>
    <row r="19459" spans="1:2" x14ac:dyDescent="0.25">
      <c r="A19459" s="64" t="str">
        <f>HYPERLINK("http://www.twitter.com/rosmary1110", "rosmary1110")</f>
        <v>rosmary1110</v>
      </c>
      <c r="B19459" s="65"/>
    </row>
    <row r="19460" spans="1:2" x14ac:dyDescent="0.25">
      <c r="A19460" s="64" t="str">
        <f>HYPERLINK("http://www.twitter.com/hylt2613", "hylt2613")</f>
        <v>hylt2613</v>
      </c>
      <c r="B19460" s="65" t="s">
        <v>9520</v>
      </c>
    </row>
    <row r="19461" spans="1:2" x14ac:dyDescent="0.25">
      <c r="A19461" s="64" t="str">
        <f>HYPERLINK("http://www.twitter.com/SpeakeasyEd", "SpeakeasyEd")</f>
        <v>SpeakeasyEd</v>
      </c>
      <c r="B19461" s="65" t="s">
        <v>24</v>
      </c>
    </row>
    <row r="19462" spans="1:2" x14ac:dyDescent="0.25">
      <c r="A19462" s="64" t="str">
        <f>HYPERLINK("http://www.twitter.com/kma777m", "kma777m")</f>
        <v>kma777m</v>
      </c>
      <c r="B19462" s="65" t="s">
        <v>517</v>
      </c>
    </row>
    <row r="19463" spans="1:2" x14ac:dyDescent="0.25">
      <c r="A19463" s="64" t="str">
        <f>HYPERLINK("http://www.twitter.com/Stir_LearnTeach", "Stir_LearnTeach")</f>
        <v>Stir_LearnTeach</v>
      </c>
      <c r="B19463" s="65" t="s">
        <v>4092</v>
      </c>
    </row>
    <row r="19464" spans="1:2" x14ac:dyDescent="0.25">
      <c r="A19464" s="64" t="str">
        <f>HYPERLINK("http://www.twitter.com/SarahLCassidy", "SarahLCassidy")</f>
        <v>SarahLCassidy</v>
      </c>
      <c r="B19464" s="65"/>
    </row>
    <row r="19465" spans="1:2" x14ac:dyDescent="0.25">
      <c r="A19465" s="64" t="str">
        <f>HYPERLINK("http://www.twitter.com/tinslays", "tinslays")</f>
        <v>tinslays</v>
      </c>
      <c r="B19465" s="65" t="s">
        <v>9521</v>
      </c>
    </row>
    <row r="19466" spans="1:2" x14ac:dyDescent="0.25">
      <c r="A19466" s="64" t="str">
        <f>HYPERLINK("http://www.twitter.com/CreativConvers", "CreativConvers")</f>
        <v>CreativConvers</v>
      </c>
      <c r="B19466" s="65" t="s">
        <v>44</v>
      </c>
    </row>
    <row r="19467" spans="1:2" x14ac:dyDescent="0.25">
      <c r="A19467" s="64" t="str">
        <f>HYPERLINK("http://www.twitter.com/jnunorebelop", "jnunorebelop")</f>
        <v>jnunorebelop</v>
      </c>
      <c r="B19467" s="65" t="s">
        <v>36</v>
      </c>
    </row>
    <row r="19468" spans="1:2" x14ac:dyDescent="0.25">
      <c r="A19468" s="64" t="str">
        <f>HYPERLINK("http://www.twitter.com/louis_buckley", "louis_buckley")</f>
        <v>louis_buckley</v>
      </c>
      <c r="B19468" s="65" t="s">
        <v>36</v>
      </c>
    </row>
    <row r="19469" spans="1:2" x14ac:dyDescent="0.25">
      <c r="A19469" s="64" t="str">
        <f>HYPERLINK("http://www.twitter.com/TeahanBiscuits", "TeahanBiscuits")</f>
        <v>TeahanBiscuits</v>
      </c>
      <c r="B19469" s="65" t="s">
        <v>9522</v>
      </c>
    </row>
    <row r="19470" spans="1:2" x14ac:dyDescent="0.25">
      <c r="A19470" s="64" t="str">
        <f>HYPERLINK("http://www.twitter.com/YC_Reading", "YC_Reading")</f>
        <v>YC_Reading</v>
      </c>
      <c r="B19470" s="65" t="s">
        <v>9523</v>
      </c>
    </row>
    <row r="19471" spans="1:2" x14ac:dyDescent="0.25">
      <c r="A19471" s="64" t="str">
        <f>HYPERLINK("http://www.twitter.com/CampbelltownLib", "CampbelltownLib")</f>
        <v>CampbelltownLib</v>
      </c>
      <c r="B19471" s="65" t="s">
        <v>9524</v>
      </c>
    </row>
    <row r="19472" spans="1:2" x14ac:dyDescent="0.25">
      <c r="A19472" s="64" t="str">
        <f>HYPERLINK("http://www.twitter.com/BetsyFinnsmom", "BetsyFinnsmom")</f>
        <v>BetsyFinnsmom</v>
      </c>
      <c r="B19472" s="65"/>
    </row>
    <row r="19473" spans="1:2" x14ac:dyDescent="0.25">
      <c r="A19473" s="64" t="str">
        <f>HYPERLINK("http://www.twitter.com/hannahmayrose", "hannahmayrose")</f>
        <v>hannahmayrose</v>
      </c>
      <c r="B19473" s="65" t="s">
        <v>4275</v>
      </c>
    </row>
    <row r="19474" spans="1:2" x14ac:dyDescent="0.25">
      <c r="A19474" s="64" t="str">
        <f>HYPERLINK("http://www.twitter.com/megingle", "megingle")</f>
        <v>megingle</v>
      </c>
      <c r="B19474" s="65" t="s">
        <v>9525</v>
      </c>
    </row>
    <row r="19475" spans="1:2" x14ac:dyDescent="0.25">
      <c r="A19475" s="64" t="str">
        <f>HYPERLINK("http://www.twitter.com/JenniferEbrey", "JenniferEbrey")</f>
        <v>JenniferEbrey</v>
      </c>
      <c r="B19475" s="65" t="s">
        <v>36</v>
      </c>
    </row>
    <row r="19476" spans="1:2" x14ac:dyDescent="0.25">
      <c r="A19476" s="64" t="str">
        <f>HYPERLINK("http://www.twitter.com/SRoss82", "SRoss82")</f>
        <v>SRoss82</v>
      </c>
      <c r="B19476" s="65" t="s">
        <v>9526</v>
      </c>
    </row>
    <row r="19477" spans="1:2" x14ac:dyDescent="0.25">
      <c r="A19477" s="64" t="str">
        <f>HYPERLINK("http://www.twitter.com/bolanesque", "bolanesque")</f>
        <v>bolanesque</v>
      </c>
      <c r="B19477" s="65" t="s">
        <v>9527</v>
      </c>
    </row>
    <row r="19478" spans="1:2" x14ac:dyDescent="0.25">
      <c r="A19478" s="64" t="str">
        <f>HYPERLINK("http://www.twitter.com/AgataMaslowska", "AgataMaslowska")</f>
        <v>AgataMaslowska</v>
      </c>
      <c r="B19478" s="65"/>
    </row>
    <row r="19479" spans="1:2" x14ac:dyDescent="0.25">
      <c r="A19479" s="64" t="str">
        <f>HYPERLINK("http://www.twitter.com/DESSLibrary", "DESSLibrary")</f>
        <v>DESSLibrary</v>
      </c>
      <c r="B19479" s="65"/>
    </row>
    <row r="19480" spans="1:2" x14ac:dyDescent="0.25">
      <c r="A19480" s="64" t="str">
        <f>HYPERLINK("http://www.twitter.com/helngram", "helngram")</f>
        <v>helngram</v>
      </c>
      <c r="B19480" s="65" t="s">
        <v>24</v>
      </c>
    </row>
    <row r="19481" spans="1:2" x14ac:dyDescent="0.25">
      <c r="A19481" s="64" t="str">
        <f>HYPERLINK("http://www.twitter.com/nickyneighbs", "nickyneighbs")</f>
        <v>nickyneighbs</v>
      </c>
      <c r="B19481" s="65" t="s">
        <v>4969</v>
      </c>
    </row>
    <row r="19482" spans="1:2" x14ac:dyDescent="0.25">
      <c r="A19482" s="64" t="str">
        <f>HYPERLINK("http://www.twitter.com/Aslanb", "Aslanb")</f>
        <v>Aslanb</v>
      </c>
      <c r="B19482" s="65" t="s">
        <v>9528</v>
      </c>
    </row>
    <row r="19483" spans="1:2" x14ac:dyDescent="0.25">
      <c r="A19483" s="64" t="str">
        <f>HYPERLINK("http://www.twitter.com/earthFgardener", "earthFgardener")</f>
        <v>earthFgardener</v>
      </c>
      <c r="B19483" s="65" t="s">
        <v>9529</v>
      </c>
    </row>
    <row r="19484" spans="1:2" x14ac:dyDescent="0.25">
      <c r="A19484" s="64" t="str">
        <f>HYPERLINK("http://www.twitter.com/smilerob", "smilerob")</f>
        <v>smilerob</v>
      </c>
      <c r="B19484" s="65" t="s">
        <v>9530</v>
      </c>
    </row>
    <row r="19485" spans="1:2" x14ac:dyDescent="0.25">
      <c r="A19485" s="64" t="str">
        <f>HYPERLINK("http://www.twitter.com/JaneSleight", "JaneSleight")</f>
        <v>JaneSleight</v>
      </c>
      <c r="B19485" s="65" t="s">
        <v>1765</v>
      </c>
    </row>
    <row r="19486" spans="1:2" x14ac:dyDescent="0.25">
      <c r="A19486" s="64" t="str">
        <f>HYPERLINK("http://www.twitter.com/suewalker_", "suewalker_")</f>
        <v>suewalker_</v>
      </c>
      <c r="B19486" s="65" t="s">
        <v>421</v>
      </c>
    </row>
    <row r="19487" spans="1:2" x14ac:dyDescent="0.25">
      <c r="A19487" s="64" t="str">
        <f>HYPERLINK("http://www.twitter.com/rosyukukuk", "rosyukukuk")</f>
        <v>rosyukukuk</v>
      </c>
      <c r="B19487" s="65" t="s">
        <v>9531</v>
      </c>
    </row>
    <row r="19488" spans="1:2" x14ac:dyDescent="0.25">
      <c r="A19488" s="64" t="str">
        <f>HYPERLINK("http://www.twitter.com/janene_cox", "janene_cox")</f>
        <v>janene_cox</v>
      </c>
      <c r="B19488" s="65"/>
    </row>
    <row r="19489" spans="1:2" x14ac:dyDescent="0.25">
      <c r="A19489" s="64" t="str">
        <f>HYPERLINK("http://www.twitter.com/_SpaceRace_", "_SpaceRace_")</f>
        <v>_SpaceRace_</v>
      </c>
      <c r="B19489" s="65" t="s">
        <v>9532</v>
      </c>
    </row>
    <row r="19490" spans="1:2" x14ac:dyDescent="0.25">
      <c r="A19490" s="64" t="str">
        <f>HYPERLINK("http://www.twitter.com/HHLibService", "HHLibService")</f>
        <v>HHLibService</v>
      </c>
      <c r="B19490" s="65" t="s">
        <v>1790</v>
      </c>
    </row>
    <row r="19491" spans="1:2" x14ac:dyDescent="0.25">
      <c r="A19491" s="64" t="str">
        <f>HYPERLINK("http://www.twitter.com/HobbsLizzyhobbs", "HobbsLizzyhobbs")</f>
        <v>HobbsLizzyhobbs</v>
      </c>
      <c r="B19491" s="65" t="s">
        <v>9533</v>
      </c>
    </row>
    <row r="19492" spans="1:2" x14ac:dyDescent="0.25">
      <c r="A19492" s="64" t="str">
        <f>HYPERLINK("http://www.twitter.com/darkhorse06", "darkhorse06")</f>
        <v>darkhorse06</v>
      </c>
      <c r="B19492" s="65"/>
    </row>
    <row r="19493" spans="1:2" x14ac:dyDescent="0.25">
      <c r="A19493" s="64" t="str">
        <f>HYPERLINK("http://www.twitter.com/TerryJPowell", "TerryJPowell")</f>
        <v>TerryJPowell</v>
      </c>
      <c r="B19493" s="65" t="s">
        <v>9534</v>
      </c>
    </row>
    <row r="19494" spans="1:2" x14ac:dyDescent="0.25">
      <c r="A19494" s="64" t="str">
        <f>HYPERLINK("http://www.twitter.com/hincmariana", "hincmariana")</f>
        <v>hincmariana</v>
      </c>
      <c r="B19494" s="65" t="s">
        <v>36</v>
      </c>
    </row>
    <row r="19495" spans="1:2" x14ac:dyDescent="0.25">
      <c r="A19495" s="64" t="str">
        <f>HYPERLINK("http://www.twitter.com/Wullieb59", "Wullieb59")</f>
        <v>Wullieb59</v>
      </c>
      <c r="B19495" s="65"/>
    </row>
    <row r="19496" spans="1:2" x14ac:dyDescent="0.25">
      <c r="A19496" s="64" t="str">
        <f>HYPERLINK("http://www.twitter.com/karen_kendal", "karen_kendal")</f>
        <v>karen_kendal</v>
      </c>
      <c r="B19496" s="65" t="s">
        <v>9535</v>
      </c>
    </row>
    <row r="19497" spans="1:2" x14ac:dyDescent="0.25">
      <c r="A19497" s="64" t="str">
        <f>HYPERLINK("http://www.twitter.com/GailToots1", "GailToots1")</f>
        <v>GailToots1</v>
      </c>
      <c r="B19497" s="65"/>
    </row>
    <row r="19498" spans="1:2" x14ac:dyDescent="0.25">
      <c r="A19498" s="64" t="str">
        <f>HYPERLINK("http://www.twitter.com/SurreyCLS", "SurreyCLS")</f>
        <v>SurreyCLS</v>
      </c>
      <c r="B19498" s="65"/>
    </row>
    <row r="19499" spans="1:2" x14ac:dyDescent="0.25">
      <c r="A19499" s="64" t="str">
        <f>HYPERLINK("http://www.twitter.com/SurreyCPLs", "SurreyCPLs")</f>
        <v>SurreyCPLs</v>
      </c>
      <c r="B19499" s="65" t="s">
        <v>141</v>
      </c>
    </row>
    <row r="19500" spans="1:2" x14ac:dyDescent="0.25">
      <c r="A19500" s="64" t="str">
        <f>HYPERLINK("http://www.twitter.com/pamelaiyer", "pamelaiyer")</f>
        <v>pamelaiyer</v>
      </c>
      <c r="B19500" s="65" t="s">
        <v>1295</v>
      </c>
    </row>
    <row r="19501" spans="1:2" x14ac:dyDescent="0.25">
      <c r="A19501" s="64" t="str">
        <f>HYPERLINK("http://www.twitter.com/cjoneswinder", "cjoneswinder")</f>
        <v>cjoneswinder</v>
      </c>
      <c r="B19501" s="65"/>
    </row>
    <row r="19502" spans="1:2" x14ac:dyDescent="0.25">
      <c r="A19502" s="64" t="str">
        <f>HYPERLINK("http://www.twitter.com/LGThomson1", "LGThomson1")</f>
        <v>LGThomson1</v>
      </c>
      <c r="B19502" s="65" t="s">
        <v>9536</v>
      </c>
    </row>
    <row r="19503" spans="1:2" x14ac:dyDescent="0.25">
      <c r="A19503" s="64" t="str">
        <f>HYPERLINK("http://www.twitter.com/MaddieWest_Ed", "MaddieWest_Ed")</f>
        <v>MaddieWest_Ed</v>
      </c>
      <c r="B19503" s="65" t="s">
        <v>9537</v>
      </c>
    </row>
    <row r="19504" spans="1:2" x14ac:dyDescent="0.25">
      <c r="A19504" s="64" t="str">
        <f>HYPERLINK("http://www.twitter.com/glasgowcourant", "glasgowcourant")</f>
        <v>glasgowcourant</v>
      </c>
      <c r="B19504" s="65" t="s">
        <v>9538</v>
      </c>
    </row>
    <row r="19505" spans="1:2" x14ac:dyDescent="0.25">
      <c r="A19505" s="64" t="str">
        <f>HYPERLINK("http://www.twitter.com/debdobson", "debdobson")</f>
        <v>debdobson</v>
      </c>
      <c r="B19505" s="65" t="s">
        <v>4948</v>
      </c>
    </row>
    <row r="19506" spans="1:2" x14ac:dyDescent="0.25">
      <c r="A19506" s="64" t="str">
        <f>HYPERLINK("http://www.twitter.com/iainmillar18", "iainmillar18")</f>
        <v>iainmillar18</v>
      </c>
      <c r="B19506" s="65" t="s">
        <v>36</v>
      </c>
    </row>
    <row r="19507" spans="1:2" x14ac:dyDescent="0.25">
      <c r="A19507" s="64" t="str">
        <f>HYPERLINK("http://www.twitter.com/CasanovAlgarve", "CasanovAlgarve")</f>
        <v>CasanovAlgarve</v>
      </c>
      <c r="B19507" s="65" t="s">
        <v>9539</v>
      </c>
    </row>
    <row r="19508" spans="1:2" x14ac:dyDescent="0.25">
      <c r="A19508" s="64" t="str">
        <f>HYPERLINK("http://www.twitter.com/Delyth_h", "Delyth_h")</f>
        <v>Delyth_h</v>
      </c>
      <c r="B19508" s="65"/>
    </row>
    <row r="19509" spans="1:2" x14ac:dyDescent="0.25">
      <c r="A19509" s="64" t="str">
        <f>HYPERLINK("http://www.twitter.com/TheBadwills", "TheBadwills")</f>
        <v>TheBadwills</v>
      </c>
      <c r="B19509" s="65" t="s">
        <v>9540</v>
      </c>
    </row>
    <row r="19510" spans="1:2" x14ac:dyDescent="0.25">
      <c r="A19510" s="64" t="str">
        <f>HYPERLINK("http://www.twitter.com/woollybookworm", "woollybookworm")</f>
        <v>woollybookworm</v>
      </c>
      <c r="B19510" s="65" t="s">
        <v>2774</v>
      </c>
    </row>
    <row r="19511" spans="1:2" x14ac:dyDescent="0.25">
      <c r="A19511" s="64" t="str">
        <f>HYPERLINK("http://www.twitter.com/alisonwheela", "alisonwheela")</f>
        <v>alisonwheela</v>
      </c>
      <c r="B19511" s="65" t="s">
        <v>4409</v>
      </c>
    </row>
    <row r="19512" spans="1:2" x14ac:dyDescent="0.25">
      <c r="A19512" s="64" t="str">
        <f>HYPERLINK("http://www.twitter.com/BuildingLearn", "BuildingLearn")</f>
        <v>BuildingLearn</v>
      </c>
      <c r="B19512" s="65" t="s">
        <v>24</v>
      </c>
    </row>
    <row r="19513" spans="1:2" x14ac:dyDescent="0.25">
      <c r="A19513" s="64" t="str">
        <f>HYPERLINK("http://www.twitter.com/annemariebrett", "annemariebrett")</f>
        <v>annemariebrett</v>
      </c>
      <c r="B19513" s="65" t="s">
        <v>9541</v>
      </c>
    </row>
    <row r="19514" spans="1:2" x14ac:dyDescent="0.25">
      <c r="A19514" s="64" t="str">
        <f>HYPERLINK("http://www.twitter.com/archivemyface", "archivemyface")</f>
        <v>archivemyface</v>
      </c>
      <c r="B19514" s="65" t="s">
        <v>36</v>
      </c>
    </row>
    <row r="19515" spans="1:2" x14ac:dyDescent="0.25">
      <c r="A19515" s="64" t="str">
        <f>HYPERLINK("http://www.twitter.com/james_runcie", "james_runcie")</f>
        <v>james_runcie</v>
      </c>
      <c r="B19515" s="65" t="s">
        <v>5195</v>
      </c>
    </row>
    <row r="19516" spans="1:2" x14ac:dyDescent="0.25">
      <c r="A19516" s="64" t="str">
        <f>HYPERLINK("http://www.twitter.com/kklein1686", "kklein1686")</f>
        <v>kklein1686</v>
      </c>
      <c r="B19516" s="65"/>
    </row>
    <row r="19517" spans="1:2" x14ac:dyDescent="0.25">
      <c r="A19517" s="64" t="str">
        <f>HYPERLINK("http://www.twitter.com/ScribeUKbooks", "ScribeUKbooks")</f>
        <v>ScribeUKbooks</v>
      </c>
      <c r="B19517" s="65" t="s">
        <v>110</v>
      </c>
    </row>
    <row r="19518" spans="1:2" x14ac:dyDescent="0.25">
      <c r="A19518" s="64" t="str">
        <f>HYPERLINK("http://www.twitter.com/StrikerMoore", "StrikerMoore")</f>
        <v>StrikerMoore</v>
      </c>
      <c r="B19518" s="65" t="s">
        <v>138</v>
      </c>
    </row>
    <row r="19519" spans="1:2" x14ac:dyDescent="0.25">
      <c r="A19519" s="64" t="str">
        <f>HYPERLINK("http://www.twitter.com/SableKnyte", "SableKnyte")</f>
        <v>SableKnyte</v>
      </c>
      <c r="B19519" s="65"/>
    </row>
    <row r="19520" spans="1:2" x14ac:dyDescent="0.25">
      <c r="A19520" s="64" t="str">
        <f>HYPERLINK("http://www.twitter.com/LaurrenGraham", "LaurrenGraham")</f>
        <v>LaurrenGraham</v>
      </c>
      <c r="B19520" s="65" t="s">
        <v>569</v>
      </c>
    </row>
    <row r="19521" spans="1:2" x14ac:dyDescent="0.25">
      <c r="A19521" s="64" t="str">
        <f>HYPERLINK("http://www.twitter.com/ClareHooperLUP", "ClareHooperLUP")</f>
        <v>ClareHooperLUP</v>
      </c>
      <c r="B19521" s="65" t="s">
        <v>102</v>
      </c>
    </row>
    <row r="19522" spans="1:2" x14ac:dyDescent="0.25">
      <c r="A19522" s="64" t="str">
        <f>HYPERLINK("http://www.twitter.com/lupercarl", "lupercarl")</f>
        <v>lupercarl</v>
      </c>
      <c r="B19522" s="65"/>
    </row>
    <row r="19523" spans="1:2" x14ac:dyDescent="0.25">
      <c r="A19523" s="64" t="str">
        <f>HYPERLINK("http://www.twitter.com/EveWhiteAgency", "EveWhiteAgency")</f>
        <v>EveWhiteAgency</v>
      </c>
      <c r="B19523" s="65" t="s">
        <v>36</v>
      </c>
    </row>
    <row r="19524" spans="1:2" x14ac:dyDescent="0.25">
      <c r="A19524" s="64" t="str">
        <f>HYPERLINK("http://www.twitter.com/carmagray", "carmagray")</f>
        <v>carmagray</v>
      </c>
      <c r="B19524" s="65"/>
    </row>
    <row r="19525" spans="1:2" x14ac:dyDescent="0.25">
      <c r="A19525" s="64" t="str">
        <f>HYPERLINK("http://www.twitter.com/SarahFHume", "SarahFHume")</f>
        <v>SarahFHume</v>
      </c>
      <c r="B19525" s="65" t="s">
        <v>36</v>
      </c>
    </row>
    <row r="19526" spans="1:2" x14ac:dyDescent="0.25">
      <c r="A19526" s="64" t="str">
        <f>HYPERLINK("http://www.twitter.com/PalindromeTodd", "PalindromeTodd")</f>
        <v>PalindromeTodd</v>
      </c>
      <c r="B19526" s="65" t="s">
        <v>505</v>
      </c>
    </row>
    <row r="19527" spans="1:2" x14ac:dyDescent="0.25">
      <c r="A19527" s="64" t="str">
        <f>HYPERLINK("http://www.twitter.com/a_cochran", "a_cochran")</f>
        <v>a_cochran</v>
      </c>
      <c r="B19527" s="65" t="s">
        <v>36</v>
      </c>
    </row>
    <row r="19528" spans="1:2" x14ac:dyDescent="0.25">
      <c r="A19528" s="64" t="str">
        <f>HYPERLINK("http://www.twitter.com/JenniferMerode", "JenniferMerode")</f>
        <v>JenniferMerode</v>
      </c>
      <c r="B19528" s="65" t="s">
        <v>6093</v>
      </c>
    </row>
    <row r="19529" spans="1:2" x14ac:dyDescent="0.25">
      <c r="A19529" s="64" t="str">
        <f>HYPERLINK("http://www.twitter.com/barbarrighi", "barbarrighi")</f>
        <v>barbarrighi</v>
      </c>
      <c r="B19529" s="65" t="s">
        <v>4015</v>
      </c>
    </row>
    <row r="19530" spans="1:2" x14ac:dyDescent="0.25">
      <c r="A19530" s="64" t="str">
        <f>HYPERLINK("http://www.twitter.com/nwhclibrary", "nwhclibrary")</f>
        <v>nwhclibrary</v>
      </c>
      <c r="B19530" s="65" t="s">
        <v>2759</v>
      </c>
    </row>
    <row r="19531" spans="1:2" x14ac:dyDescent="0.25">
      <c r="A19531" s="64" t="str">
        <f>HYPERLINK("http://www.twitter.com/BeckyMcCarthy_", "BeckyMcCarthy_")</f>
        <v>BeckyMcCarthy_</v>
      </c>
      <c r="B19531" s="65" t="s">
        <v>477</v>
      </c>
    </row>
    <row r="19532" spans="1:2" x14ac:dyDescent="0.25">
      <c r="A19532" s="64" t="str">
        <f>HYPERLINK("http://www.twitter.com/scotcareers", "scotcareers")</f>
        <v>scotcareers</v>
      </c>
      <c r="B19532" s="65"/>
    </row>
    <row r="19533" spans="1:2" x14ac:dyDescent="0.25">
      <c r="A19533" s="64" t="str">
        <f>HYPERLINK("http://www.twitter.com/ctamongthestars", "ctamongthestars")</f>
        <v>ctamongthestars</v>
      </c>
      <c r="B19533" s="65"/>
    </row>
    <row r="19534" spans="1:2" x14ac:dyDescent="0.25">
      <c r="A19534" s="64" t="str">
        <f>HYPERLINK("http://www.twitter.com/MatthewAger", "MatthewAger")</f>
        <v>MatthewAger</v>
      </c>
      <c r="B19534" s="65" t="s">
        <v>9542</v>
      </c>
    </row>
    <row r="19535" spans="1:2" x14ac:dyDescent="0.25">
      <c r="A19535" s="64" t="str">
        <f>HYPERLINK("http://www.twitter.com/LauraSummersNow", "LauraSummersNow")</f>
        <v>LauraSummersNow</v>
      </c>
      <c r="B19535" s="65" t="s">
        <v>9543</v>
      </c>
    </row>
    <row r="19536" spans="1:2" x14ac:dyDescent="0.25">
      <c r="A19536" s="64" t="str">
        <f>HYPERLINK("http://www.twitter.com/pinklibrarylady", "pinklibrarylady")</f>
        <v>pinklibrarylady</v>
      </c>
      <c r="B19536" s="65" t="s">
        <v>36</v>
      </c>
    </row>
    <row r="19537" spans="1:2" x14ac:dyDescent="0.25">
      <c r="A19537" s="64" t="str">
        <f>HYPERLINK("http://www.twitter.com/EmmaLucyHarper", "EmmaLucyHarper")</f>
        <v>EmmaLucyHarper</v>
      </c>
      <c r="B19537" s="65" t="s">
        <v>477</v>
      </c>
    </row>
    <row r="19538" spans="1:2" x14ac:dyDescent="0.25">
      <c r="A19538" s="64" t="str">
        <f>HYPERLINK("http://www.twitter.com/dm_whitehouse", "dm_whitehouse")</f>
        <v>dm_whitehouse</v>
      </c>
      <c r="B19538" s="65" t="s">
        <v>93</v>
      </c>
    </row>
    <row r="19539" spans="1:2" x14ac:dyDescent="0.25">
      <c r="A19539" s="64" t="str">
        <f>HYPERLINK("http://www.twitter.com/ReadingFairyLtd", "ReadingFairyLtd")</f>
        <v>ReadingFairyLtd</v>
      </c>
      <c r="B19539" s="65" t="s">
        <v>9544</v>
      </c>
    </row>
    <row r="19540" spans="1:2" x14ac:dyDescent="0.25">
      <c r="A19540" s="64" t="str">
        <f>HYPERLINK("http://www.twitter.com/Joanne_S_L", "Joanne_S_L")</f>
        <v>Joanne_S_L</v>
      </c>
      <c r="B19540" s="65"/>
    </row>
    <row r="19541" spans="1:2" x14ac:dyDescent="0.25">
      <c r="A19541" s="64" t="str">
        <f>HYPERLINK("http://www.twitter.com/CharlesOrlik", "CharlesOrlik")</f>
        <v>CharlesOrlik</v>
      </c>
      <c r="B19541" s="65" t="s">
        <v>4867</v>
      </c>
    </row>
    <row r="19542" spans="1:2" x14ac:dyDescent="0.25">
      <c r="A19542" s="64" t="str">
        <f>HYPERLINK("http://www.twitter.com/MansfieldLibr", "MansfieldLibr")</f>
        <v>MansfieldLibr</v>
      </c>
      <c r="B19542" s="65" t="s">
        <v>9545</v>
      </c>
    </row>
    <row r="19543" spans="1:2" x14ac:dyDescent="0.25">
      <c r="A19543" s="64" t="str">
        <f>HYPERLINK("http://www.twitter.com/londonkoreanist", "londonkoreanist")</f>
        <v>londonkoreanist</v>
      </c>
      <c r="B19543" s="65" t="s">
        <v>4234</v>
      </c>
    </row>
    <row r="19544" spans="1:2" x14ac:dyDescent="0.25">
      <c r="A19544" s="64" t="str">
        <f>HYPERLINK("http://www.twitter.com/HamptonHoop", "HamptonHoop")</f>
        <v>HamptonHoop</v>
      </c>
      <c r="B19544" s="65" t="s">
        <v>9546</v>
      </c>
    </row>
    <row r="19545" spans="1:2" x14ac:dyDescent="0.25">
      <c r="A19545" s="64" t="str">
        <f>HYPERLINK("http://www.twitter.com/lisfairley", "lisfairley")</f>
        <v>lisfairley</v>
      </c>
      <c r="B19545" s="65"/>
    </row>
    <row r="19546" spans="1:2" x14ac:dyDescent="0.25">
      <c r="A19546" s="64" t="str">
        <f>HYPERLINK("http://www.twitter.com/BarbaraRonan", "BarbaraRonan")</f>
        <v>BarbaraRonan</v>
      </c>
      <c r="B19546" s="65" t="s">
        <v>36</v>
      </c>
    </row>
    <row r="19547" spans="1:2" x14ac:dyDescent="0.25">
      <c r="A19547" s="64" t="str">
        <f>HYPERLINK("http://www.twitter.com/JK_Albone", "JK_Albone")</f>
        <v>JK_Albone</v>
      </c>
      <c r="B19547" s="65" t="s">
        <v>36</v>
      </c>
    </row>
    <row r="19548" spans="1:2" x14ac:dyDescent="0.25">
      <c r="A19548" s="64" t="str">
        <f>HYPERLINK("http://www.twitter.com/LAIonline", "LAIonline")</f>
        <v>LAIonline</v>
      </c>
      <c r="B19548" s="65" t="s">
        <v>4062</v>
      </c>
    </row>
    <row r="19549" spans="1:2" x14ac:dyDescent="0.25">
      <c r="A19549" s="64" t="str">
        <f>HYPERLINK("http://www.twitter.com/SomersetLib", "SomersetLib")</f>
        <v>SomersetLib</v>
      </c>
      <c r="B19549" s="65" t="s">
        <v>3679</v>
      </c>
    </row>
    <row r="19550" spans="1:2" x14ac:dyDescent="0.25">
      <c r="A19550" s="64" t="str">
        <f>HYPERLINK("http://www.twitter.com/PushkinPress", "PushkinPress")</f>
        <v>PushkinPress</v>
      </c>
      <c r="B19550" s="65" t="s">
        <v>36</v>
      </c>
    </row>
    <row r="19551" spans="1:2" x14ac:dyDescent="0.25">
      <c r="A19551" s="64" t="str">
        <f>HYPERLINK("http://www.twitter.com/lyndsey_ng", "lyndsey_ng")</f>
        <v>lyndsey_ng</v>
      </c>
      <c r="B19551" s="65"/>
    </row>
    <row r="19552" spans="1:2" x14ac:dyDescent="0.25">
      <c r="A19552" s="64" t="str">
        <f>HYPERLINK("http://www.twitter.com/AxLibrary", "AxLibrary")</f>
        <v>AxLibrary</v>
      </c>
      <c r="B19552" s="65" t="s">
        <v>1943</v>
      </c>
    </row>
    <row r="19553" spans="1:2" x14ac:dyDescent="0.25">
      <c r="A19553" s="64" t="str">
        <f>HYPERLINK("http://www.twitter.com/EmzFinn", "EmzFinn")</f>
        <v>EmzFinn</v>
      </c>
      <c r="B19553" s="65" t="s">
        <v>36</v>
      </c>
    </row>
    <row r="19554" spans="1:2" x14ac:dyDescent="0.25">
      <c r="A19554" s="64" t="str">
        <f>HYPERLINK("http://www.twitter.com/nwfunpalace", "nwfunpalace")</f>
        <v>nwfunpalace</v>
      </c>
      <c r="B19554" s="65" t="s">
        <v>9547</v>
      </c>
    </row>
    <row r="19555" spans="1:2" x14ac:dyDescent="0.25">
      <c r="A19555" s="64" t="str">
        <f>HYPERLINK("http://www.twitter.com/HarperCollinsUK", "HarperCollinsUK")</f>
        <v>HarperCollinsUK</v>
      </c>
      <c r="B19555" s="65" t="s">
        <v>9548</v>
      </c>
    </row>
    <row r="19556" spans="1:2" x14ac:dyDescent="0.25">
      <c r="A19556" s="64" t="str">
        <f>HYPERLINK("http://www.twitter.com/SheriseHobbs", "SheriseHobbs")</f>
        <v>SheriseHobbs</v>
      </c>
      <c r="B19556" s="65" t="s">
        <v>477</v>
      </c>
    </row>
    <row r="19557" spans="1:2" x14ac:dyDescent="0.25">
      <c r="A19557" s="64" t="str">
        <f>HYPERLINK("http://www.twitter.com/SupportAxminLib", "SupportAxminLib")</f>
        <v>SupportAxminLib</v>
      </c>
      <c r="B19557" s="65" t="s">
        <v>9549</v>
      </c>
    </row>
    <row r="19558" spans="1:2" x14ac:dyDescent="0.25">
      <c r="A19558" s="64" t="str">
        <f>HYPERLINK("http://www.twitter.com/McIFiona", "McIFiona")</f>
        <v>McIFiona</v>
      </c>
      <c r="B19558" s="65"/>
    </row>
    <row r="19559" spans="1:2" x14ac:dyDescent="0.25">
      <c r="A19559" s="64" t="str">
        <f>HYPERLINK("http://www.twitter.com/sarahodedina", "sarahodedina")</f>
        <v>sarahodedina</v>
      </c>
      <c r="B19559" s="65" t="s">
        <v>36</v>
      </c>
    </row>
    <row r="19560" spans="1:2" x14ac:dyDescent="0.25">
      <c r="A19560" s="64" t="str">
        <f>HYPERLINK("http://www.twitter.com/LeahThaxton", "LeahThaxton")</f>
        <v>LeahThaxton</v>
      </c>
      <c r="B19560" s="65" t="s">
        <v>9550</v>
      </c>
    </row>
    <row r="19561" spans="1:2" x14ac:dyDescent="0.25">
      <c r="A19561" s="64" t="str">
        <f>HYPERLINK("http://www.twitter.com/SimonTheBookman", "SimonTheBookman")</f>
        <v>SimonTheBookman</v>
      </c>
      <c r="B19561" s="65" t="s">
        <v>5927</v>
      </c>
    </row>
    <row r="19562" spans="1:2" x14ac:dyDescent="0.25">
      <c r="A19562" s="64" t="str">
        <f>HYPERLINK("http://www.twitter.com/edit4me", "edit4me")</f>
        <v>edit4me</v>
      </c>
      <c r="B19562" s="65" t="s">
        <v>6524</v>
      </c>
    </row>
    <row r="19563" spans="1:2" x14ac:dyDescent="0.25">
      <c r="A19563" s="64" t="str">
        <f>HYPERLINK("http://www.twitter.com/kezzamacca", "kezzamacca")</f>
        <v>kezzamacca</v>
      </c>
      <c r="B19563" s="65" t="s">
        <v>7029</v>
      </c>
    </row>
    <row r="19564" spans="1:2" x14ac:dyDescent="0.25">
      <c r="A19564" s="64" t="str">
        <f>HYPERLINK("http://www.twitter.com/Stricolo", "Stricolo")</f>
        <v>Stricolo</v>
      </c>
      <c r="B19564" s="65" t="s">
        <v>3317</v>
      </c>
    </row>
    <row r="19565" spans="1:2" x14ac:dyDescent="0.25">
      <c r="A19565" s="64" t="str">
        <f>HYPERLINK("http://www.twitter.com/KatieBond1", "KatieBond1")</f>
        <v>KatieBond1</v>
      </c>
      <c r="B19565" s="65"/>
    </row>
    <row r="19566" spans="1:2" x14ac:dyDescent="0.25">
      <c r="A19566" s="64" t="str">
        <f>HYPERLINK("http://www.twitter.com/EmmaCBradshaw", "EmmaCBradshaw")</f>
        <v>EmmaCBradshaw</v>
      </c>
      <c r="B19566" s="65" t="s">
        <v>36</v>
      </c>
    </row>
    <row r="19567" spans="1:2" x14ac:dyDescent="0.25">
      <c r="A19567" s="64" t="str">
        <f>HYPERLINK("http://www.twitter.com/Faye_PB", "Faye_PB")</f>
        <v>Faye_PB</v>
      </c>
      <c r="B19567" s="65"/>
    </row>
    <row r="19568" spans="1:2" x14ac:dyDescent="0.25">
      <c r="A19568" s="64" t="str">
        <f>HYPERLINK("http://www.twitter.com/QuercusBooks", "QuercusBooks")</f>
        <v>QuercusBooks</v>
      </c>
      <c r="B19568" s="65" t="s">
        <v>36</v>
      </c>
    </row>
    <row r="19569" spans="1:2" x14ac:dyDescent="0.25">
      <c r="A19569" s="64" t="str">
        <f>HYPERLINK("http://www.twitter.com/auriolb", "auriolb")</f>
        <v>auriolb</v>
      </c>
      <c r="B19569" s="65" t="s">
        <v>36</v>
      </c>
    </row>
    <row r="19570" spans="1:2" x14ac:dyDescent="0.25">
      <c r="A19570" s="64" t="str">
        <f>HYPERLINK("http://www.twitter.com/storytellersinc", "storytellersinc")</f>
        <v>storytellersinc</v>
      </c>
      <c r="B19570" s="65" t="s">
        <v>9551</v>
      </c>
    </row>
    <row r="19571" spans="1:2" x14ac:dyDescent="0.25">
      <c r="A19571" s="64" t="str">
        <f>HYPERLINK("http://www.twitter.com/KJFarrar", "KJFarrar")</f>
        <v>KJFarrar</v>
      </c>
      <c r="B19571" s="65"/>
    </row>
    <row r="19572" spans="1:2" x14ac:dyDescent="0.25">
      <c r="A19572" s="64" t="str">
        <f>HYPERLINK("http://www.twitter.com/HannahVRoss", "HannahVRoss")</f>
        <v>HannahVRoss</v>
      </c>
      <c r="B19572" s="65" t="s">
        <v>477</v>
      </c>
    </row>
    <row r="19573" spans="1:2" x14ac:dyDescent="0.25">
      <c r="A19573" s="64" t="str">
        <f>HYPERLINK("http://www.twitter.com/BethanKJones", "BethanKJones")</f>
        <v>BethanKJones</v>
      </c>
      <c r="B19573" s="65" t="s">
        <v>36</v>
      </c>
    </row>
    <row r="19574" spans="1:2" x14ac:dyDescent="0.25">
      <c r="A19574" s="64" t="str">
        <f>HYPERLINK("http://www.twitter.com/kim28young", "kim28young")</f>
        <v>kim28young</v>
      </c>
      <c r="B19574" s="65" t="s">
        <v>36</v>
      </c>
    </row>
    <row r="19575" spans="1:2" x14ac:dyDescent="0.25">
      <c r="A19575" s="64" t="str">
        <f>HYPERLINK("http://www.twitter.com/DulwichBooks", "DulwichBooks")</f>
        <v>DulwichBooks</v>
      </c>
      <c r="B19575" s="65" t="s">
        <v>9552</v>
      </c>
    </row>
    <row r="19576" spans="1:2" x14ac:dyDescent="0.25">
      <c r="A19576" s="64" t="str">
        <f>HYPERLINK("http://www.twitter.com/sar_mckenna", "sar_mckenna")</f>
        <v>sar_mckenna</v>
      </c>
      <c r="B19576" s="65" t="s">
        <v>36</v>
      </c>
    </row>
    <row r="19577" spans="1:2" x14ac:dyDescent="0.25">
      <c r="A19577" s="64" t="str">
        <f>HYPERLINK("http://www.twitter.com/BethanFerguson", "BethanFerguson")</f>
        <v>BethanFerguson</v>
      </c>
      <c r="B19577" s="65" t="s">
        <v>9553</v>
      </c>
    </row>
    <row r="19578" spans="1:2" x14ac:dyDescent="0.25">
      <c r="A19578" s="64" t="str">
        <f>HYPERLINK("http://www.twitter.com/RuthWareWriter", "RuthWareWriter")</f>
        <v>RuthWareWriter</v>
      </c>
      <c r="B19578" s="65" t="s">
        <v>36</v>
      </c>
    </row>
    <row r="19579" spans="1:2" x14ac:dyDescent="0.25">
      <c r="A19579" s="64" t="str">
        <f>HYPERLINK("http://www.twitter.com/Mistsofthyme", "Mistsofthyme")</f>
        <v>Mistsofthyme</v>
      </c>
      <c r="B19579" s="65"/>
    </row>
    <row r="19580" spans="1:2" x14ac:dyDescent="0.25">
      <c r="A19580" s="64" t="str">
        <f>HYPERLINK("http://www.twitter.com/KidsSmilles", "KidsSmilles")</f>
        <v>KidsSmilles</v>
      </c>
      <c r="B19580" s="65" t="s">
        <v>9336</v>
      </c>
    </row>
    <row r="19581" spans="1:2" x14ac:dyDescent="0.25">
      <c r="A19581" s="64" t="str">
        <f>HYPERLINK("http://www.twitter.com/karenagreaves", "karenagreaves")</f>
        <v>karenagreaves</v>
      </c>
      <c r="B19581" s="65" t="s">
        <v>20</v>
      </c>
    </row>
    <row r="19582" spans="1:2" x14ac:dyDescent="0.25">
      <c r="A19582" s="64" t="str">
        <f>HYPERLINK("http://www.twitter.com/Strath_English", "Strath_English")</f>
        <v>Strath_English</v>
      </c>
      <c r="B19582" s="65" t="s">
        <v>318</v>
      </c>
    </row>
    <row r="19583" spans="1:2" x14ac:dyDescent="0.25">
      <c r="A19583" s="64" t="str">
        <f>HYPERLINK("http://www.twitter.com/TOneillBooks", "TOneillBooks")</f>
        <v>TOneillBooks</v>
      </c>
      <c r="B19583" s="65" t="s">
        <v>9554</v>
      </c>
    </row>
    <row r="19584" spans="1:2" x14ac:dyDescent="0.25">
      <c r="A19584" s="64" t="str">
        <f>HYPERLINK("http://www.twitter.com/lelbrarian", "lelbrarian")</f>
        <v>lelbrarian</v>
      </c>
      <c r="B19584" s="65" t="s">
        <v>9555</v>
      </c>
    </row>
    <row r="19585" spans="1:2" x14ac:dyDescent="0.25">
      <c r="A19585" s="64" t="str">
        <f>HYPERLINK("http://www.twitter.com/FSkornia", "FSkornia")</f>
        <v>FSkornia</v>
      </c>
      <c r="B19585" s="65" t="s">
        <v>9556</v>
      </c>
    </row>
    <row r="19586" spans="1:2" x14ac:dyDescent="0.25">
      <c r="A19586" s="64" t="str">
        <f>HYPERLINK("http://www.twitter.com/killerwomenorg", "killerwomenorg")</f>
        <v>killerwomenorg</v>
      </c>
      <c r="B19586" s="65" t="s">
        <v>36</v>
      </c>
    </row>
    <row r="19587" spans="1:2" x14ac:dyDescent="0.25">
      <c r="A19587" s="64" t="str">
        <f>HYPERLINK("http://www.twitter.com/evahornung", "evahornung")</f>
        <v>evahornung</v>
      </c>
      <c r="B19587" s="65" t="s">
        <v>3760</v>
      </c>
    </row>
    <row r="19588" spans="1:2" x14ac:dyDescent="0.25">
      <c r="A19588" s="64" t="str">
        <f>HYPERLINK("http://www.twitter.com/HelenCrowther", "HelenCrowther")</f>
        <v>HelenCrowther</v>
      </c>
      <c r="B19588" s="65" t="s">
        <v>448</v>
      </c>
    </row>
    <row r="19589" spans="1:2" x14ac:dyDescent="0.25">
      <c r="A19589" s="64" t="str">
        <f>HYPERLINK("http://www.twitter.com/ScreenHI", "ScreenHI")</f>
        <v>ScreenHI</v>
      </c>
      <c r="B19589" s="65" t="s">
        <v>4609</v>
      </c>
    </row>
    <row r="19590" spans="1:2" x14ac:dyDescent="0.25">
      <c r="A19590" s="64" t="str">
        <f>HYPERLINK("http://www.twitter.com/GetShopHighland", "GetShopHighland")</f>
        <v>GetShopHighland</v>
      </c>
      <c r="B19590" s="65" t="s">
        <v>4447</v>
      </c>
    </row>
    <row r="19591" spans="1:2" x14ac:dyDescent="0.25">
      <c r="A19591" s="64" t="str">
        <f>HYPERLINK("http://www.twitter.com/CSCLibrary", "CSCLibrary")</f>
        <v>CSCLibrary</v>
      </c>
      <c r="B19591" s="65" t="s">
        <v>2564</v>
      </c>
    </row>
    <row r="19592" spans="1:2" x14ac:dyDescent="0.25">
      <c r="A19592" s="64" t="str">
        <f>HYPERLINK("http://www.twitter.com/rpstarx", "rpstarx")</f>
        <v>rpstarx</v>
      </c>
      <c r="B19592" s="65"/>
    </row>
    <row r="19593" spans="1:2" x14ac:dyDescent="0.25">
      <c r="A19593" s="64" t="str">
        <f>HYPERLINK("http://www.twitter.com/myAcademies_Mel", "myAcademies_Mel")</f>
        <v>myAcademies_Mel</v>
      </c>
      <c r="B19593" s="65"/>
    </row>
    <row r="19594" spans="1:2" x14ac:dyDescent="0.25">
      <c r="A19594" s="64" t="str">
        <f>HYPERLINK("http://www.twitter.com/Morganlibrary1", "Morganlibrary1")</f>
        <v>Morganlibrary1</v>
      </c>
      <c r="B19594" s="65"/>
    </row>
    <row r="19595" spans="1:2" x14ac:dyDescent="0.25">
      <c r="A19595" s="64" t="str">
        <f>HYPERLINK("http://www.twitter.com/fergevans", "fergevans")</f>
        <v>fergevans</v>
      </c>
      <c r="B19595" s="65"/>
    </row>
    <row r="19596" spans="1:2" x14ac:dyDescent="0.25">
      <c r="A19596" s="64" t="str">
        <f>HYPERLINK("http://www.twitter.com/Brandoni08", "Brandoni08")</f>
        <v>Brandoni08</v>
      </c>
      <c r="B19596" s="65"/>
    </row>
    <row r="19597" spans="1:2" x14ac:dyDescent="0.25">
      <c r="A19597" s="64" t="str">
        <f>HYPERLINK("http://www.twitter.com/portybella", "portybella")</f>
        <v>portybella</v>
      </c>
      <c r="B19597" s="65" t="s">
        <v>487</v>
      </c>
    </row>
    <row r="19598" spans="1:2" x14ac:dyDescent="0.25">
      <c r="A19598" s="64" t="str">
        <f>HYPERLINK("http://www.twitter.com/JuneWhite3", "JuneWhite3")</f>
        <v>JuneWhite3</v>
      </c>
      <c r="B19598" s="65" t="s">
        <v>9557</v>
      </c>
    </row>
    <row r="19599" spans="1:2" x14ac:dyDescent="0.25">
      <c r="A19599" s="64" t="str">
        <f>HYPERLINK("http://www.twitter.com/mjjbeaufils", "mjjbeaufils")</f>
        <v>mjjbeaufils</v>
      </c>
      <c r="B19599" s="65" t="s">
        <v>4015</v>
      </c>
    </row>
    <row r="19600" spans="1:2" x14ac:dyDescent="0.25">
      <c r="A19600" s="64" t="str">
        <f>HYPERLINK("http://www.twitter.com/clloid", "clloid")</f>
        <v>clloid</v>
      </c>
      <c r="B19600" s="65" t="s">
        <v>9558</v>
      </c>
    </row>
    <row r="19601" spans="1:2" x14ac:dyDescent="0.25">
      <c r="A19601" s="64" t="str">
        <f>HYPERLINK("http://www.twitter.com/BrainSexComedy", "BrainSexComedy")</f>
        <v>BrainSexComedy</v>
      </c>
      <c r="B19601" s="65"/>
    </row>
    <row r="19602" spans="1:2" x14ac:dyDescent="0.25">
      <c r="A19602" s="64" t="str">
        <f>HYPERLINK("http://www.twitter.com/appel_seo", "appel_seo")</f>
        <v>appel_seo</v>
      </c>
      <c r="B19602" s="65" t="s">
        <v>9559</v>
      </c>
    </row>
    <row r="19603" spans="1:2" x14ac:dyDescent="0.25">
      <c r="A19603" s="64" t="str">
        <f>HYPERLINK("http://www.twitter.com/5tevenMacDonald", "5tevenMacDonald")</f>
        <v>5tevenMacDonald</v>
      </c>
      <c r="B19603" s="65" t="s">
        <v>517</v>
      </c>
    </row>
    <row r="19604" spans="1:2" x14ac:dyDescent="0.25">
      <c r="A19604" s="64" t="str">
        <f>HYPERLINK("http://www.twitter.com/yipyipfisho", "yipyipfisho")</f>
        <v>yipyipfisho</v>
      </c>
      <c r="B19604" s="65" t="s">
        <v>3779</v>
      </c>
    </row>
    <row r="19605" spans="1:2" x14ac:dyDescent="0.25">
      <c r="A19605" s="64" t="str">
        <f>HYPERLINK("http://www.twitter.com/l_millarwriter", "l_millarwriter")</f>
        <v>l_millarwriter</v>
      </c>
      <c r="B19605" s="65"/>
    </row>
    <row r="19606" spans="1:2" x14ac:dyDescent="0.25">
      <c r="A19606" s="64" t="str">
        <f>HYPERLINK("http://www.twitter.com/monicawilde", "monicawilde")</f>
        <v>monicawilde</v>
      </c>
      <c r="B19606" s="65" t="s">
        <v>4366</v>
      </c>
    </row>
    <row r="19607" spans="1:2" x14ac:dyDescent="0.25">
      <c r="A19607" s="64" t="str">
        <f>HYPERLINK("http://www.twitter.com/CarlaLaughton", "CarlaLaughton")</f>
        <v>CarlaLaughton</v>
      </c>
      <c r="B19607" s="65"/>
    </row>
    <row r="19608" spans="1:2" x14ac:dyDescent="0.25">
      <c r="A19608" s="64" t="str">
        <f>HYPERLINK("http://www.twitter.com/Annie__McGuire", "Annie__McGuire")</f>
        <v>Annie__McGuire</v>
      </c>
      <c r="B19608" s="65" t="s">
        <v>5384</v>
      </c>
    </row>
    <row r="19609" spans="1:2" x14ac:dyDescent="0.25">
      <c r="A19609" s="64" t="str">
        <f>HYPERLINK("http://www.twitter.com/laurachristinew", "laurachristinew")</f>
        <v>laurachristinew</v>
      </c>
      <c r="B19609" s="65" t="s">
        <v>138</v>
      </c>
    </row>
    <row r="19610" spans="1:2" x14ac:dyDescent="0.25">
      <c r="A19610" s="64" t="str">
        <f>HYPERLINK("http://www.twitter.com/papantonella", "papantonella")</f>
        <v>papantonella</v>
      </c>
      <c r="B19610" s="65"/>
    </row>
    <row r="19611" spans="1:2" x14ac:dyDescent="0.25">
      <c r="A19611" s="64" t="str">
        <f>HYPERLINK("http://www.twitter.com/bryanleslie05", "bryanleslie05")</f>
        <v>bryanleslie05</v>
      </c>
      <c r="B19611" s="65"/>
    </row>
    <row r="19612" spans="1:2" x14ac:dyDescent="0.25">
      <c r="A19612" s="64" t="str">
        <f>HYPERLINK("http://www.twitter.com/NormaColligarth", "NormaColligarth")</f>
        <v>NormaColligarth</v>
      </c>
      <c r="B19612" s="65" t="s">
        <v>9560</v>
      </c>
    </row>
    <row r="19613" spans="1:2" x14ac:dyDescent="0.25">
      <c r="A19613" s="64" t="str">
        <f>HYPERLINK("http://www.twitter.com/muteMCR", "muteMCR")</f>
        <v>muteMCR</v>
      </c>
      <c r="B19613" s="65" t="s">
        <v>33</v>
      </c>
    </row>
    <row r="19614" spans="1:2" x14ac:dyDescent="0.25">
      <c r="A19614" s="64" t="str">
        <f>HYPERLINK("http://www.twitter.com/kalyank96864360", "kalyank96864360")</f>
        <v>kalyank96864360</v>
      </c>
      <c r="B19614" s="65"/>
    </row>
    <row r="19615" spans="1:2" x14ac:dyDescent="0.25">
      <c r="A19615" s="64" t="str">
        <f>HYPERLINK("http://www.twitter.com/missbagfreak", "missbagfreak")</f>
        <v>missbagfreak</v>
      </c>
      <c r="B19615" s="65" t="s">
        <v>4236</v>
      </c>
    </row>
    <row r="19616" spans="1:2" x14ac:dyDescent="0.25">
      <c r="A19616" s="64" t="str">
        <f>HYPERLINK("http://www.twitter.com/penny_librarian", "penny_librarian")</f>
        <v>penny_librarian</v>
      </c>
      <c r="B19616" s="65"/>
    </row>
    <row r="19617" spans="1:2" x14ac:dyDescent="0.25">
      <c r="A19617" s="64" t="str">
        <f>HYPERLINK("http://www.twitter.com/gerrytastic", "gerrytastic")</f>
        <v>gerrytastic</v>
      </c>
      <c r="B19617" s="65" t="s">
        <v>4254</v>
      </c>
    </row>
    <row r="19618" spans="1:2" x14ac:dyDescent="0.25">
      <c r="A19618" s="64" t="str">
        <f>HYPERLINK("http://www.twitter.com/juliesplat", "juliesplat")</f>
        <v>juliesplat</v>
      </c>
      <c r="B19618" s="65"/>
    </row>
    <row r="19619" spans="1:2" x14ac:dyDescent="0.25">
      <c r="A19619" s="64" t="str">
        <f>HYPERLINK("http://www.twitter.com/herdyshepherd1", "herdyshepherd1")</f>
        <v>herdyshepherd1</v>
      </c>
      <c r="B19619" s="65" t="s">
        <v>9561</v>
      </c>
    </row>
    <row r="19620" spans="1:2" x14ac:dyDescent="0.25">
      <c r="A19620" s="64" t="str">
        <f>HYPERLINK("http://www.twitter.com/gilly_colbourne", "gilly_colbourne")</f>
        <v>gilly_colbourne</v>
      </c>
      <c r="B19620" s="65"/>
    </row>
    <row r="19621" spans="1:2" x14ac:dyDescent="0.25">
      <c r="A19621" s="64" t="str">
        <f>HYPERLINK("http://www.twitter.com/carol_komodo32", "carol_komodo32")</f>
        <v>carol_komodo32</v>
      </c>
      <c r="B19621" s="65"/>
    </row>
    <row r="19622" spans="1:2" x14ac:dyDescent="0.25">
      <c r="A19622" s="64" t="str">
        <f>HYPERLINK("http://www.twitter.com/warkslibraries", "warkslibraries")</f>
        <v>warkslibraries</v>
      </c>
      <c r="B19622" s="65" t="s">
        <v>3678</v>
      </c>
    </row>
    <row r="19623" spans="1:2" x14ac:dyDescent="0.25">
      <c r="A19623" s="64" t="str">
        <f>HYPERLINK("http://www.twitter.com/soapykrauter", "soapykrauter")</f>
        <v>soapykrauter</v>
      </c>
      <c r="B19623" s="65" t="s">
        <v>4254</v>
      </c>
    </row>
    <row r="19624" spans="1:2" x14ac:dyDescent="0.25">
      <c r="A19624" s="64" t="str">
        <f>HYPERLINK("http://www.twitter.com/brawbukes", "brawbukes")</f>
        <v>brawbukes</v>
      </c>
      <c r="B19624" s="65" t="s">
        <v>4366</v>
      </c>
    </row>
    <row r="19625" spans="1:2" x14ac:dyDescent="0.25">
      <c r="A19625" s="64" t="str">
        <f>HYPERLINK("http://www.twitter.com/GuthrieCalum", "GuthrieCalum")</f>
        <v>GuthrieCalum</v>
      </c>
      <c r="B19625" s="65"/>
    </row>
    <row r="19626" spans="1:2" x14ac:dyDescent="0.25">
      <c r="A19626" s="64" t="str">
        <f>HYPERLINK("http://www.twitter.com/originalsearche", "originalsearche")</f>
        <v>originalsearche</v>
      </c>
      <c r="B19626" s="65" t="s">
        <v>1790</v>
      </c>
    </row>
    <row r="19627" spans="1:2" x14ac:dyDescent="0.25">
      <c r="A19627" s="64" t="str">
        <f>HYPERLINK("http://www.twitter.com/Postie872", "Postie872")</f>
        <v>Postie872</v>
      </c>
      <c r="B19627" s="65"/>
    </row>
    <row r="19628" spans="1:2" x14ac:dyDescent="0.25">
      <c r="A19628" s="64" t="str">
        <f>HYPERLINK("http://www.twitter.com/flutterby1374", "flutterby1374")</f>
        <v>flutterby1374</v>
      </c>
      <c r="B19628" s="65"/>
    </row>
    <row r="19629" spans="1:2" x14ac:dyDescent="0.25">
      <c r="A19629" s="64" t="str">
        <f>HYPERLINK("http://www.twitter.com/culturescotgov", "culturescotgov")</f>
        <v>culturescotgov</v>
      </c>
      <c r="B19629" s="65" t="s">
        <v>517</v>
      </c>
    </row>
    <row r="19630" spans="1:2" x14ac:dyDescent="0.25">
      <c r="A19630" s="64" t="str">
        <f>HYPERLINK("http://www.twitter.com/DPlibrarian", "DPlibrarian")</f>
        <v>DPlibrarian</v>
      </c>
      <c r="B19630" s="65" t="s">
        <v>9562</v>
      </c>
    </row>
    <row r="19631" spans="1:2" x14ac:dyDescent="0.25">
      <c r="A19631" s="64" t="str">
        <f>HYPERLINK("http://www.twitter.com/nightbirds29", "nightbirds29")</f>
        <v>nightbirds29</v>
      </c>
      <c r="B19631" s="65" t="s">
        <v>517</v>
      </c>
    </row>
    <row r="19632" spans="1:2" x14ac:dyDescent="0.25">
      <c r="A19632" s="64" t="str">
        <f>HYPERLINK("http://www.twitter.com/SveaMiesch", "SveaMiesch")</f>
        <v>SveaMiesch</v>
      </c>
      <c r="B19632" s="65"/>
    </row>
    <row r="19633" spans="1:2" x14ac:dyDescent="0.25">
      <c r="A19633" s="64" t="str">
        <f>HYPERLINK("http://www.twitter.com/ScotdecLearning", "ScotdecLearning")</f>
        <v>ScotdecLearning</v>
      </c>
      <c r="B19633" s="65" t="s">
        <v>24</v>
      </c>
    </row>
    <row r="19634" spans="1:2" x14ac:dyDescent="0.25">
      <c r="A19634" s="64" t="str">
        <f>HYPERLINK("http://www.twitter.com/emmalmitchell15", "emmalmitchell15")</f>
        <v>emmalmitchell15</v>
      </c>
      <c r="B19634" s="65"/>
    </row>
    <row r="19635" spans="1:2" x14ac:dyDescent="0.25">
      <c r="A19635" s="64" t="str">
        <f>HYPERLINK("http://www.twitter.com/globalactivitie", "globalactivitie")</f>
        <v>globalactivitie</v>
      </c>
      <c r="B19635" s="65"/>
    </row>
    <row r="19636" spans="1:2" x14ac:dyDescent="0.25">
      <c r="A19636" s="64" t="str">
        <f>HYPERLINK("http://www.twitter.com/biblioloco", "biblioloco")</f>
        <v>biblioloco</v>
      </c>
      <c r="B19636" s="65" t="s">
        <v>9563</v>
      </c>
    </row>
    <row r="19637" spans="1:2" x14ac:dyDescent="0.25">
      <c r="A19637" s="64" t="str">
        <f>HYPERLINK("http://www.twitter.com/thebooklender", "thebooklender")</f>
        <v>thebooklender</v>
      </c>
      <c r="B19637" s="65" t="s">
        <v>5965</v>
      </c>
    </row>
    <row r="19638" spans="1:2" x14ac:dyDescent="0.25">
      <c r="A19638" s="64" t="str">
        <f>HYPERLINK("http://www.twitter.com/RodFleming87", "RodFleming87")</f>
        <v>RodFleming87</v>
      </c>
      <c r="B19638" s="65" t="s">
        <v>296</v>
      </c>
    </row>
    <row r="19639" spans="1:2" x14ac:dyDescent="0.25">
      <c r="A19639" s="64" t="str">
        <f>HYPERLINK("http://www.twitter.com/Janied43", "Janied43")</f>
        <v>Janied43</v>
      </c>
      <c r="B19639" s="65"/>
    </row>
    <row r="19640" spans="1:2" x14ac:dyDescent="0.25">
      <c r="A19640" s="64" t="str">
        <f>HYPERLINK("http://www.twitter.com/Amyrosebooklady", "Amyrosebooklady")</f>
        <v>Amyrosebooklady</v>
      </c>
      <c r="B19640" s="65" t="s">
        <v>4275</v>
      </c>
    </row>
    <row r="19641" spans="1:2" x14ac:dyDescent="0.25">
      <c r="A19641" s="64" t="str">
        <f>HYPERLINK("http://www.twitter.com/KimbaTWLfan", "KimbaTWLfan")</f>
        <v>KimbaTWLfan</v>
      </c>
      <c r="B19641" s="65"/>
    </row>
    <row r="19642" spans="1:2" x14ac:dyDescent="0.25">
      <c r="A19642" s="64" t="str">
        <f>HYPERLINK("http://www.twitter.com/tomrendall1", "tomrendall1")</f>
        <v>tomrendall1</v>
      </c>
      <c r="B19642" s="65"/>
    </row>
    <row r="19643" spans="1:2" x14ac:dyDescent="0.25">
      <c r="A19643" s="64" t="str">
        <f>HYPERLINK("http://www.twitter.com/dpp202", "dpp202")</f>
        <v>dpp202</v>
      </c>
      <c r="B19643" s="65" t="s">
        <v>36</v>
      </c>
    </row>
    <row r="19644" spans="1:2" x14ac:dyDescent="0.25">
      <c r="A19644" s="64" t="str">
        <f>HYPERLINK("http://www.twitter.com/RMITJane", "RMITJane")</f>
        <v>RMITJane</v>
      </c>
      <c r="B19644" s="65" t="s">
        <v>4147</v>
      </c>
    </row>
    <row r="19645" spans="1:2" x14ac:dyDescent="0.25">
      <c r="A19645" s="64" t="str">
        <f>HYPERLINK("http://www.twitter.com/Kloosterbewoner", "Kloosterbewoner")</f>
        <v>Kloosterbewoner</v>
      </c>
      <c r="B19645" s="65"/>
    </row>
    <row r="19646" spans="1:2" x14ac:dyDescent="0.25">
      <c r="A19646" s="64" t="str">
        <f>HYPERLINK("http://www.twitter.com/CdnLibraryGirl", "CdnLibraryGirl")</f>
        <v>CdnLibraryGirl</v>
      </c>
      <c r="B19646" s="65" t="s">
        <v>3948</v>
      </c>
    </row>
    <row r="19647" spans="1:2" x14ac:dyDescent="0.25">
      <c r="A19647" s="64" t="str">
        <f>HYPERLINK("http://www.twitter.com/Scoobyx3", "Scoobyx3")</f>
        <v>Scoobyx3</v>
      </c>
      <c r="B19647" s="65"/>
    </row>
    <row r="19648" spans="1:2" x14ac:dyDescent="0.25">
      <c r="A19648" s="64" t="str">
        <f>HYPERLINK("http://www.twitter.com/eatasmuchasucan", "eatasmuchasucan")</f>
        <v>eatasmuchasucan</v>
      </c>
      <c r="B19648" s="65" t="s">
        <v>102</v>
      </c>
    </row>
    <row r="19649" spans="1:2" x14ac:dyDescent="0.25">
      <c r="A19649" s="64" t="str">
        <f>HYPERLINK("http://www.twitter.com/BGOrkney", "BGOrkney")</f>
        <v>BGOrkney</v>
      </c>
      <c r="B19649" s="65"/>
    </row>
    <row r="19650" spans="1:2" x14ac:dyDescent="0.25">
      <c r="A19650" s="64" t="str">
        <f>HYPERLINK("http://www.twitter.com/librarykatef", "librarykatef")</f>
        <v>librarykatef</v>
      </c>
      <c r="B19650" s="65" t="s">
        <v>9564</v>
      </c>
    </row>
    <row r="19651" spans="1:2" x14ac:dyDescent="0.25">
      <c r="A19651" s="64" t="str">
        <f>HYPERLINK("http://www.twitter.com/worcsls", "worcsls")</f>
        <v>worcsls</v>
      </c>
      <c r="B19651" s="65" t="s">
        <v>9438</v>
      </c>
    </row>
    <row r="19652" spans="1:2" x14ac:dyDescent="0.25">
      <c r="A19652" s="64" t="str">
        <f>HYPERLINK("http://www.twitter.com/CWalker185", "CWalker185")</f>
        <v>CWalker185</v>
      </c>
      <c r="B19652" s="65" t="s">
        <v>2289</v>
      </c>
    </row>
    <row r="19653" spans="1:2" x14ac:dyDescent="0.25">
      <c r="A19653" s="64" t="str">
        <f>HYPERLINK("http://www.twitter.com/jnaldrett", "jnaldrett")</f>
        <v>jnaldrett</v>
      </c>
      <c r="B19653" s="65" t="s">
        <v>1377</v>
      </c>
    </row>
    <row r="19654" spans="1:2" x14ac:dyDescent="0.25">
      <c r="A19654" s="64" t="str">
        <f>HYPERLINK("http://www.twitter.com/CindyCa84536715", "CindyCa84536715")</f>
        <v>CindyCa84536715</v>
      </c>
      <c r="B19654" s="65"/>
    </row>
    <row r="19655" spans="1:2" x14ac:dyDescent="0.25">
      <c r="A19655" s="64" t="str">
        <f>HYPERLINK("http://www.twitter.com/SMULibraries", "SMULibraries")</f>
        <v>SMULibraries</v>
      </c>
      <c r="B19655" s="65" t="s">
        <v>9565</v>
      </c>
    </row>
    <row r="19656" spans="1:2" x14ac:dyDescent="0.25">
      <c r="A19656" s="64" t="str">
        <f>HYPERLINK("http://www.twitter.com/BellaRock", "BellaRock")</f>
        <v>BellaRock</v>
      </c>
      <c r="B19656" s="65" t="s">
        <v>110</v>
      </c>
    </row>
    <row r="19657" spans="1:2" x14ac:dyDescent="0.25">
      <c r="A19657" s="64" t="str">
        <f>HYPERLINK("http://www.twitter.com/KeirStreet", "KeirStreet")</f>
        <v>KeirStreet</v>
      </c>
      <c r="B19657" s="65" t="s">
        <v>138</v>
      </c>
    </row>
    <row r="19658" spans="1:2" x14ac:dyDescent="0.25">
      <c r="A19658" s="64" t="str">
        <f>HYPERLINK("http://www.twitter.com/imikate", "imikate")</f>
        <v>imikate</v>
      </c>
      <c r="B19658" s="65" t="s">
        <v>1098</v>
      </c>
    </row>
    <row r="19659" spans="1:2" x14ac:dyDescent="0.25">
      <c r="A19659" s="64" t="str">
        <f>HYPERLINK("http://www.twitter.com/elmerthepea", "elmerthepea")</f>
        <v>elmerthepea</v>
      </c>
      <c r="B19659" s="65" t="s">
        <v>9566</v>
      </c>
    </row>
    <row r="19660" spans="1:2" x14ac:dyDescent="0.25">
      <c r="A19660" s="64" t="str">
        <f>HYPERLINK("http://www.twitter.com/FoLoB_", "FoLoB_")</f>
        <v>FoLoB_</v>
      </c>
      <c r="B19660" s="65" t="s">
        <v>725</v>
      </c>
    </row>
    <row r="19661" spans="1:2" x14ac:dyDescent="0.25">
      <c r="A19661" s="64" t="str">
        <f>HYPERLINK("http://www.twitter.com/biblio_bel", "biblio_bel")</f>
        <v>biblio_bel</v>
      </c>
      <c r="B19661" s="65" t="s">
        <v>36</v>
      </c>
    </row>
    <row r="19662" spans="1:2" x14ac:dyDescent="0.25">
      <c r="A19662" s="64" t="str">
        <f>HYPERLINK("http://www.twitter.com/cookmicha", "cookmicha")</f>
        <v>cookmicha</v>
      </c>
      <c r="B19662" s="65" t="s">
        <v>477</v>
      </c>
    </row>
    <row r="19663" spans="1:2" x14ac:dyDescent="0.25">
      <c r="A19663" s="64" t="str">
        <f>HYPERLINK("http://www.twitter.com/HIcreates", "HIcreates")</f>
        <v>HIcreates</v>
      </c>
      <c r="B19663" s="65" t="s">
        <v>4050</v>
      </c>
    </row>
    <row r="19664" spans="1:2" x14ac:dyDescent="0.25">
      <c r="A19664" s="64" t="str">
        <f>HYPERLINK("http://www.twitter.com/chplnj", "chplnj")</f>
        <v>chplnj</v>
      </c>
      <c r="B19664" s="65" t="s">
        <v>9567</v>
      </c>
    </row>
    <row r="19665" spans="1:2" x14ac:dyDescent="0.25">
      <c r="A19665" s="64" t="str">
        <f>HYPERLINK("http://www.twitter.com/flourydress", "flourydress")</f>
        <v>flourydress</v>
      </c>
      <c r="B19665" s="65" t="s">
        <v>459</v>
      </c>
    </row>
    <row r="19666" spans="1:2" x14ac:dyDescent="0.25">
      <c r="A19666" s="64" t="str">
        <f>HYPERLINK("http://www.twitter.com/guardianlibrary", "guardianlibrary")</f>
        <v>guardianlibrary</v>
      </c>
      <c r="B19666" s="65" t="s">
        <v>9568</v>
      </c>
    </row>
    <row r="19667" spans="1:2" x14ac:dyDescent="0.25">
      <c r="A19667" s="64" t="str">
        <f>HYPERLINK("http://www.twitter.com/katy_bird", "katy_bird")</f>
        <v>katy_bird</v>
      </c>
      <c r="B19667" s="65" t="s">
        <v>2102</v>
      </c>
    </row>
    <row r="19668" spans="1:2" x14ac:dyDescent="0.25">
      <c r="A19668" s="64" t="str">
        <f>HYPERLINK("http://www.twitter.com/scisdata", "scisdata")</f>
        <v>scisdata</v>
      </c>
      <c r="B19668" s="65" t="s">
        <v>3988</v>
      </c>
    </row>
    <row r="19669" spans="1:2" x14ac:dyDescent="0.25">
      <c r="A19669" s="64" t="str">
        <f>HYPERLINK("http://www.twitter.com/JackieMorrisArt", "JackieMorrisArt")</f>
        <v>JackieMorrisArt</v>
      </c>
      <c r="B19669" s="65" t="s">
        <v>9569</v>
      </c>
    </row>
    <row r="19670" spans="1:2" x14ac:dyDescent="0.25">
      <c r="A19670" s="64" t="str">
        <f>HYPERLINK("http://www.twitter.com/love_peace_x", "love_peace_x")</f>
        <v>love_peace_x</v>
      </c>
      <c r="B19670" s="65"/>
    </row>
    <row r="19671" spans="1:2" x14ac:dyDescent="0.25">
      <c r="A19671" s="64" t="str">
        <f>HYPERLINK("http://www.twitter.com/homlib", "homlib")</f>
        <v>homlib</v>
      </c>
      <c r="B19671" s="65" t="s">
        <v>61</v>
      </c>
    </row>
    <row r="19672" spans="1:2" x14ac:dyDescent="0.25">
      <c r="A19672" s="64" t="str">
        <f>HYPERLINK("http://www.twitter.com/vischina", "vischina")</f>
        <v>vischina</v>
      </c>
      <c r="B19672" s="65" t="s">
        <v>9570</v>
      </c>
    </row>
    <row r="19673" spans="1:2" x14ac:dyDescent="0.25">
      <c r="A19673" s="64" t="str">
        <f>HYPERLINK("http://www.twitter.com/ewmelnar", "ewmelnar")</f>
        <v>ewmelnar</v>
      </c>
      <c r="B19673" s="65"/>
    </row>
    <row r="19674" spans="1:2" x14ac:dyDescent="0.25">
      <c r="A19674" s="64" t="str">
        <f>HYPERLINK("http://www.twitter.com/JackieUsher1", "JackieUsher1")</f>
        <v>JackieUsher1</v>
      </c>
      <c r="B19674" s="65"/>
    </row>
    <row r="19675" spans="1:2" x14ac:dyDescent="0.25">
      <c r="A19675" s="64" t="str">
        <f>HYPERLINK("http://www.twitter.com/HistFest", "HistFest")</f>
        <v>HistFest</v>
      </c>
      <c r="B19675" s="65" t="s">
        <v>3760</v>
      </c>
    </row>
    <row r="19676" spans="1:2" x14ac:dyDescent="0.25">
      <c r="A19676" s="64" t="str">
        <f>HYPERLINK("http://www.twitter.com/Bruynzeel_UK", "Bruynzeel_UK")</f>
        <v>Bruynzeel_UK</v>
      </c>
      <c r="B19676" s="65" t="s">
        <v>9571</v>
      </c>
    </row>
    <row r="19677" spans="1:2" x14ac:dyDescent="0.25">
      <c r="A19677" s="64" t="str">
        <f>HYPERLINK("http://www.twitter.com/ScotComArts", "ScotComArts")</f>
        <v>ScotComArts</v>
      </c>
      <c r="B19677" s="65" t="s">
        <v>2007</v>
      </c>
    </row>
    <row r="19678" spans="1:2" x14ac:dyDescent="0.25">
      <c r="A19678" s="64" t="str">
        <f>HYPERLINK("http://www.twitter.com/eLibraryDude", "eLibraryDude")</f>
        <v>eLibraryDude</v>
      </c>
      <c r="B19678" s="65" t="s">
        <v>9572</v>
      </c>
    </row>
    <row r="19679" spans="1:2" x14ac:dyDescent="0.25">
      <c r="A19679" s="64" t="str">
        <f>HYPERLINK("http://www.twitter.com/sarahvcastle", "sarahvcastle")</f>
        <v>sarahvcastle</v>
      </c>
      <c r="B19679" s="65"/>
    </row>
    <row r="19680" spans="1:2" x14ac:dyDescent="0.25">
      <c r="A19680" s="64" t="str">
        <f>HYPERLINK("http://www.twitter.com/milo_price", "milo_price")</f>
        <v>milo_price</v>
      </c>
      <c r="B19680" s="65" t="s">
        <v>5156</v>
      </c>
    </row>
    <row r="19681" spans="1:2" x14ac:dyDescent="0.25">
      <c r="A19681" s="64" t="str">
        <f>HYPERLINK("http://www.twitter.com/embroideredkiss", "embroideredkiss")</f>
        <v>embroideredkiss</v>
      </c>
      <c r="B19681" s="65" t="s">
        <v>9573</v>
      </c>
    </row>
    <row r="19682" spans="1:2" x14ac:dyDescent="0.25">
      <c r="A19682" s="64" t="str">
        <f>HYPERLINK("http://www.twitter.com/jaynejones11", "jaynejones11")</f>
        <v>jaynejones11</v>
      </c>
      <c r="B19682" s="65" t="s">
        <v>9574</v>
      </c>
    </row>
    <row r="19683" spans="1:2" x14ac:dyDescent="0.25">
      <c r="A19683" s="64" t="str">
        <f>HYPERLINK("http://www.twitter.com/byrnedf", "byrnedf")</f>
        <v>byrnedf</v>
      </c>
      <c r="B19683" s="65" t="s">
        <v>9575</v>
      </c>
    </row>
    <row r="19684" spans="1:2" x14ac:dyDescent="0.25">
      <c r="A19684" s="64" t="str">
        <f>HYPERLINK("http://www.twitter.com/giraffeonastick", "giraffeonastick")</f>
        <v>giraffeonastick</v>
      </c>
      <c r="B19684" s="65" t="s">
        <v>9576</v>
      </c>
    </row>
    <row r="19685" spans="1:2" x14ac:dyDescent="0.25">
      <c r="A19685" s="64" t="str">
        <f>HYPERLINK("http://www.twitter.com/Christine_LIS", "Christine_LIS")</f>
        <v>Christine_LIS</v>
      </c>
      <c r="B19685" s="65" t="s">
        <v>33</v>
      </c>
    </row>
    <row r="19686" spans="1:2" x14ac:dyDescent="0.25">
      <c r="A19686" s="64" t="str">
        <f>HYPERLINK("http://www.twitter.com/GenaroP", "GenaroP")</f>
        <v>GenaroP</v>
      </c>
      <c r="B19686" s="65"/>
    </row>
    <row r="19687" spans="1:2" x14ac:dyDescent="0.25">
      <c r="A19687" s="64" t="str">
        <f>HYPERLINK("http://www.twitter.com/DesboroughLRC", "DesboroughLRC")</f>
        <v>DesboroughLRC</v>
      </c>
      <c r="B19687" s="65" t="s">
        <v>9577</v>
      </c>
    </row>
    <row r="19688" spans="1:2" x14ac:dyDescent="0.25">
      <c r="A19688" s="64" t="str">
        <f>HYPERLINK("http://www.twitter.com/HuishLibrary", "HuishLibrary")</f>
        <v>HuishLibrary</v>
      </c>
      <c r="B19688" s="65" t="s">
        <v>1810</v>
      </c>
    </row>
    <row r="19689" spans="1:2" x14ac:dyDescent="0.25">
      <c r="A19689" s="64" t="str">
        <f>HYPERLINK("http://www.twitter.com/1i11y", "1i11y")</f>
        <v>1i11y</v>
      </c>
      <c r="B19689" s="65"/>
    </row>
    <row r="19690" spans="1:2" x14ac:dyDescent="0.25">
      <c r="A19690" s="64" t="str">
        <f>HYPERLINK("http://www.twitter.com/MichelleJIrvine", "MichelleJIrvine")</f>
        <v>MichelleJIrvine</v>
      </c>
      <c r="B19690" s="65" t="s">
        <v>138</v>
      </c>
    </row>
    <row r="19691" spans="1:2" x14ac:dyDescent="0.25">
      <c r="A19691" s="64" t="str">
        <f>HYPERLINK("http://www.twitter.com/KLBrary", "KLBrary")</f>
        <v>KLBrary</v>
      </c>
      <c r="B19691" s="65" t="s">
        <v>36</v>
      </c>
    </row>
    <row r="19692" spans="1:2" x14ac:dyDescent="0.25">
      <c r="A19692" s="64" t="str">
        <f>HYPERLINK("http://www.twitter.com/SueParfitt", "SueParfitt")</f>
        <v>SueParfitt</v>
      </c>
      <c r="B19692" s="65" t="s">
        <v>7750</v>
      </c>
    </row>
    <row r="19693" spans="1:2" x14ac:dyDescent="0.25">
      <c r="A19693" s="64" t="str">
        <f>HYPERLINK("http://www.twitter.com/bluemonkeyape", "bluemonkeyape")</f>
        <v>bluemonkeyape</v>
      </c>
      <c r="B19693" s="65" t="s">
        <v>4447</v>
      </c>
    </row>
    <row r="19694" spans="1:2" x14ac:dyDescent="0.25">
      <c r="A19694" s="64" t="str">
        <f>HYPERLINK("http://www.twitter.com/bieb040", "bieb040")</f>
        <v>bieb040</v>
      </c>
      <c r="B19694" s="65" t="s">
        <v>9578</v>
      </c>
    </row>
    <row r="19695" spans="1:2" x14ac:dyDescent="0.25">
      <c r="A19695" s="64" t="str">
        <f>HYPERLINK("http://www.twitter.com/lizzysp", "lizzysp")</f>
        <v>lizzysp</v>
      </c>
      <c r="B19695" s="65" t="s">
        <v>9579</v>
      </c>
    </row>
    <row r="19696" spans="1:2" x14ac:dyDescent="0.25">
      <c r="A19696" s="64" t="str">
        <f>HYPERLINK("http://www.twitter.com/Auckland_Libs", "Auckland_Libs")</f>
        <v>Auckland_Libs</v>
      </c>
      <c r="B19696" s="65" t="s">
        <v>4771</v>
      </c>
    </row>
    <row r="19697" spans="1:2" x14ac:dyDescent="0.25">
      <c r="A19697" s="64" t="str">
        <f>HYPERLINK("http://www.twitter.com/BSSchoolLibrary", "BSSchoolLibrary")</f>
        <v>BSSchoolLibrary</v>
      </c>
      <c r="B19697" s="65" t="s">
        <v>2416</v>
      </c>
    </row>
    <row r="19698" spans="1:2" x14ac:dyDescent="0.25">
      <c r="A19698" s="64" t="str">
        <f>HYPERLINK("http://www.twitter.com/ParnellSqCQ", "ParnellSqCQ")</f>
        <v>ParnellSqCQ</v>
      </c>
      <c r="B19698" s="65" t="s">
        <v>9580</v>
      </c>
    </row>
    <row r="19699" spans="1:2" x14ac:dyDescent="0.25">
      <c r="A19699" s="64" t="str">
        <f>HYPERLINK("http://www.twitter.com/IanMundieandSon", "IanMundieandSon")</f>
        <v>IanMundieandSon</v>
      </c>
      <c r="B19699" s="65" t="s">
        <v>9581</v>
      </c>
    </row>
    <row r="19700" spans="1:2" x14ac:dyDescent="0.25">
      <c r="A19700" s="64" t="str">
        <f>HYPERLINK("http://www.twitter.com/Lucy_Studd", "Lucy_Studd")</f>
        <v>Lucy_Studd</v>
      </c>
      <c r="B19700" s="65" t="s">
        <v>9582</v>
      </c>
    </row>
    <row r="19701" spans="1:2" x14ac:dyDescent="0.25">
      <c r="A19701" s="64" t="str">
        <f>HYPERLINK("http://www.twitter.com/drmrh2", "drmrh2")</f>
        <v>drmrh2</v>
      </c>
      <c r="B19701" s="65"/>
    </row>
    <row r="19702" spans="1:2" x14ac:dyDescent="0.25">
      <c r="A19702" s="64" t="str">
        <f>HYPERLINK("http://www.twitter.com/tigerlilyrocks", "tigerlilyrocks")</f>
        <v>tigerlilyrocks</v>
      </c>
      <c r="B19702" s="65" t="s">
        <v>1218</v>
      </c>
    </row>
    <row r="19703" spans="1:2" x14ac:dyDescent="0.25">
      <c r="A19703" s="64" t="str">
        <f>HYPERLINK("http://www.twitter.com/scottyodabrown", "scottyodabrown")</f>
        <v>scottyodabrown</v>
      </c>
      <c r="B19703" s="65"/>
    </row>
    <row r="19704" spans="1:2" x14ac:dyDescent="0.25">
      <c r="A19704" s="64" t="str">
        <f>HYPERLINK("http://www.twitter.com/wendy_dunnett", "wendy_dunnett")</f>
        <v>wendy_dunnett</v>
      </c>
      <c r="B19704" s="65" t="s">
        <v>5667</v>
      </c>
    </row>
    <row r="19705" spans="1:2" x14ac:dyDescent="0.25">
      <c r="A19705" s="64" t="str">
        <f>HYPERLINK("http://www.twitter.com/dclibraryus", "dclibraryus")</f>
        <v>dclibraryus</v>
      </c>
      <c r="B19705" s="65" t="s">
        <v>9583</v>
      </c>
    </row>
    <row r="19706" spans="1:2" x14ac:dyDescent="0.25">
      <c r="A19706" s="64" t="str">
        <f>HYPERLINK("http://www.twitter.com/_bethanyeve", "_bethanyeve")</f>
        <v>_bethanyeve</v>
      </c>
      <c r="B19706" s="65"/>
    </row>
    <row r="19707" spans="1:2" x14ac:dyDescent="0.25">
      <c r="A19707" s="64" t="str">
        <f>HYPERLINK("http://www.twitter.com/dan_a_lowe", "dan_a_lowe")</f>
        <v>dan_a_lowe</v>
      </c>
      <c r="B19707" s="65"/>
    </row>
    <row r="19708" spans="1:2" x14ac:dyDescent="0.25">
      <c r="A19708" s="64" t="str">
        <f>HYPERLINK("http://www.twitter.com/memesisdeen", "memesisdeen")</f>
        <v>memesisdeen</v>
      </c>
      <c r="B19708" s="65"/>
    </row>
    <row r="19709" spans="1:2" x14ac:dyDescent="0.25">
      <c r="A19709" s="64" t="str">
        <f>HYPERLINK("http://www.twitter.com/BettyMargaretPh", "BettyMargaretPh")</f>
        <v>BettyMargaretPh</v>
      </c>
      <c r="B19709" s="65"/>
    </row>
    <row r="19710" spans="1:2" x14ac:dyDescent="0.25">
      <c r="A19710" s="64" t="str">
        <f>HYPERLINK("http://www.twitter.com/lrasten", "lrasten")</f>
        <v>lrasten</v>
      </c>
      <c r="B19710" s="65" t="s">
        <v>9584</v>
      </c>
    </row>
    <row r="19711" spans="1:2" x14ac:dyDescent="0.25">
      <c r="A19711" s="64" t="str">
        <f>HYPERLINK("http://www.twitter.com/HenryRothwell", "HenryRothwell")</f>
        <v>HenryRothwell</v>
      </c>
      <c r="B19711" s="65" t="s">
        <v>1490</v>
      </c>
    </row>
    <row r="19712" spans="1:2" x14ac:dyDescent="0.25">
      <c r="A19712" s="64" t="str">
        <f>HYPERLINK("http://www.twitter.com/AntMottershead", "AntMottershead")</f>
        <v>AntMottershead</v>
      </c>
      <c r="B19712" s="65" t="s">
        <v>4223</v>
      </c>
    </row>
    <row r="19713" spans="1:2" x14ac:dyDescent="0.25">
      <c r="A19713" s="64" t="str">
        <f>HYPERLINK("http://www.twitter.com/ggkane", "ggkane")</f>
        <v>ggkane</v>
      </c>
      <c r="B19713" s="65"/>
    </row>
    <row r="19714" spans="1:2" x14ac:dyDescent="0.25">
      <c r="A19714" s="64" t="str">
        <f>HYPERLINK("http://www.twitter.com/stu4azbrown", "stu4azbrown")</f>
        <v>stu4azbrown</v>
      </c>
      <c r="B19714" s="65"/>
    </row>
    <row r="19715" spans="1:2" x14ac:dyDescent="0.25">
      <c r="A19715" s="64" t="str">
        <f>HYPERLINK("http://www.twitter.com/ImanRagab", "ImanRagab")</f>
        <v>ImanRagab</v>
      </c>
      <c r="B19715" s="65" t="s">
        <v>9585</v>
      </c>
    </row>
    <row r="19716" spans="1:2" x14ac:dyDescent="0.25">
      <c r="A19716" s="64" t="str">
        <f>HYPERLINK("http://www.twitter.com/herArchivist", "herArchivist")</f>
        <v>herArchivist</v>
      </c>
      <c r="B19716" s="65" t="s">
        <v>9586</v>
      </c>
    </row>
    <row r="19717" spans="1:2" x14ac:dyDescent="0.25">
      <c r="A19717" s="64" t="str">
        <f>HYPERLINK("http://www.twitter.com/SarahWarmidge", "SarahWarmidge")</f>
        <v>SarahWarmidge</v>
      </c>
      <c r="B19717" s="65"/>
    </row>
    <row r="19718" spans="1:2" x14ac:dyDescent="0.25">
      <c r="A19718" s="64" t="str">
        <f>HYPERLINK("http://www.twitter.com/gerricanvan", "gerricanvan")</f>
        <v>gerricanvan</v>
      </c>
      <c r="B19718" s="65" t="s">
        <v>9587</v>
      </c>
    </row>
    <row r="19719" spans="1:2" x14ac:dyDescent="0.25">
      <c r="A19719" s="64" t="str">
        <f>HYPERLINK("http://www.twitter.com/sdaythomson", "sdaythomson")</f>
        <v>sdaythomson</v>
      </c>
      <c r="B19719" s="65" t="s">
        <v>74</v>
      </c>
    </row>
    <row r="19720" spans="1:2" x14ac:dyDescent="0.25">
      <c r="A19720" s="64" t="str">
        <f>HYPERLINK("http://www.twitter.com/hey_whatsoever", "hey_whatsoever")</f>
        <v>hey_whatsoever</v>
      </c>
      <c r="B19720" s="65" t="s">
        <v>9588</v>
      </c>
    </row>
    <row r="19721" spans="1:2" x14ac:dyDescent="0.25">
      <c r="A19721" s="64" t="str">
        <f>HYPERLINK("http://www.twitter.com/kilbswhitecrow", "kilbswhitecrow")</f>
        <v>kilbswhitecrow</v>
      </c>
      <c r="B19721" s="65"/>
    </row>
    <row r="19722" spans="1:2" x14ac:dyDescent="0.25">
      <c r="A19722" s="64" t="str">
        <f>HYPERLINK("http://www.twitter.com/Jen_Bennett", "Jen_Bennett")</f>
        <v>Jen_Bennett</v>
      </c>
      <c r="B19722" s="65" t="s">
        <v>6571</v>
      </c>
    </row>
    <row r="19723" spans="1:2" x14ac:dyDescent="0.25">
      <c r="A19723" s="64" t="str">
        <f>HYPERLINK("http://www.twitter.com/Joanne4000", "Joanne4000")</f>
        <v>Joanne4000</v>
      </c>
      <c r="B19723" s="65"/>
    </row>
    <row r="19724" spans="1:2" x14ac:dyDescent="0.25">
      <c r="A19724" s="64" t="str">
        <f>HYPERLINK("http://www.twitter.com/RBWM_Libraries", "RBWM_Libraries")</f>
        <v>RBWM_Libraries</v>
      </c>
      <c r="B19724" s="65" t="s">
        <v>442</v>
      </c>
    </row>
    <row r="19725" spans="1:2" x14ac:dyDescent="0.25">
      <c r="A19725" s="64" t="str">
        <f>HYPERLINK("http://www.twitter.com/PaulMaccaGMB", "PaulMaccaGMB")</f>
        <v>PaulMaccaGMB</v>
      </c>
      <c r="B19725" s="65" t="s">
        <v>3040</v>
      </c>
    </row>
    <row r="19726" spans="1:2" x14ac:dyDescent="0.25">
      <c r="A19726" s="64" t="str">
        <f>HYPERLINK("http://www.twitter.com/grrrlbrarian", "grrrlbrarian")</f>
        <v>grrrlbrarian</v>
      </c>
      <c r="B19726" s="65" t="s">
        <v>372</v>
      </c>
    </row>
    <row r="19727" spans="1:2" x14ac:dyDescent="0.25">
      <c r="A19727" s="64" t="str">
        <f>HYPERLINK("http://www.twitter.com/anotherstooshie", "anotherstooshie")</f>
        <v>anotherstooshie</v>
      </c>
      <c r="B19727" s="65"/>
    </row>
    <row r="19728" spans="1:2" x14ac:dyDescent="0.25">
      <c r="A19728" s="64" t="str">
        <f>HYPERLINK("http://www.twitter.com/Helen110873", "Helen110873")</f>
        <v>Helen110873</v>
      </c>
      <c r="B19728" s="65"/>
    </row>
    <row r="19729" spans="1:2" x14ac:dyDescent="0.25">
      <c r="A19729" s="64" t="str">
        <f>HYPERLINK("http://www.twitter.com/ArchaeologyW", "ArchaeologyW")</f>
        <v>ArchaeologyW</v>
      </c>
      <c r="B19729" s="65" t="s">
        <v>3457</v>
      </c>
    </row>
    <row r="19730" spans="1:2" x14ac:dyDescent="0.25">
      <c r="A19730" s="64" t="str">
        <f>HYPERLINK("http://www.twitter.com/tara818", "tara818")</f>
        <v>tara818</v>
      </c>
      <c r="B19730" s="65" t="s">
        <v>9589</v>
      </c>
    </row>
    <row r="19731" spans="1:2" x14ac:dyDescent="0.25">
      <c r="A19731" s="64" t="str">
        <f>HYPERLINK("http://www.twitter.com/vickijoyclark", "vickijoyclark")</f>
        <v>vickijoyclark</v>
      </c>
      <c r="B19731" s="65" t="s">
        <v>9590</v>
      </c>
    </row>
    <row r="19732" spans="1:2" x14ac:dyDescent="0.25">
      <c r="A19732" s="64" t="str">
        <f>HYPERLINK("http://www.twitter.com/hanchardh", "hanchardh")</f>
        <v>hanchardh</v>
      </c>
      <c r="B19732" s="65"/>
    </row>
    <row r="19733" spans="1:2" x14ac:dyDescent="0.25">
      <c r="A19733" s="64" t="str">
        <f>HYPERLINK("http://www.twitter.com/lincolnlibrary1", "lincolnlibrary1")</f>
        <v>lincolnlibrary1</v>
      </c>
      <c r="B19733" s="65" t="s">
        <v>9591</v>
      </c>
    </row>
    <row r="19734" spans="1:2" x14ac:dyDescent="0.25">
      <c r="A19734" s="64" t="str">
        <f>HYPERLINK("http://www.twitter.com/DDCgirl", "DDCgirl")</f>
        <v>DDCgirl</v>
      </c>
      <c r="B19734" s="65" t="s">
        <v>9592</v>
      </c>
    </row>
    <row r="19735" spans="1:2" x14ac:dyDescent="0.25">
      <c r="A19735" s="64" t="str">
        <f>HYPERLINK("http://www.twitter.com/tweetlesleyg", "tweetlesleyg")</f>
        <v>tweetlesleyg</v>
      </c>
      <c r="B19735" s="65" t="s">
        <v>5397</v>
      </c>
    </row>
    <row r="19736" spans="1:2" x14ac:dyDescent="0.25">
      <c r="A19736" s="64" t="str">
        <f>HYPERLINK("http://www.twitter.com/elliemusson1", "elliemusson1")</f>
        <v>elliemusson1</v>
      </c>
      <c r="B19736" s="65" t="s">
        <v>2030</v>
      </c>
    </row>
    <row r="19737" spans="1:2" x14ac:dyDescent="0.25">
      <c r="A19737" s="64" t="str">
        <f>HYPERLINK("http://www.twitter.com/pnewton84", "pnewton84")</f>
        <v>pnewton84</v>
      </c>
      <c r="B19737" s="65" t="s">
        <v>5463</v>
      </c>
    </row>
    <row r="19738" spans="1:2" x14ac:dyDescent="0.25">
      <c r="A19738" s="64" t="str">
        <f>HYPERLINK("http://www.twitter.com/PamelaAgar", "PamelaAgar")</f>
        <v>PamelaAgar</v>
      </c>
      <c r="B19738" s="65" t="s">
        <v>36</v>
      </c>
    </row>
    <row r="19739" spans="1:2" x14ac:dyDescent="0.25">
      <c r="A19739" s="64" t="str">
        <f>HYPERLINK("http://www.twitter.com/DPL1966", "DPL1966")</f>
        <v>DPL1966</v>
      </c>
      <c r="B19739" s="65" t="s">
        <v>9593</v>
      </c>
    </row>
    <row r="19740" spans="1:2" x14ac:dyDescent="0.25">
      <c r="A19740" s="64" t="str">
        <f>HYPERLINK("http://www.twitter.com/lydiahouse_", "lydiahouse_")</f>
        <v>lydiahouse_</v>
      </c>
      <c r="B19740" s="65" t="s">
        <v>24</v>
      </c>
    </row>
    <row r="19741" spans="1:2" x14ac:dyDescent="0.25">
      <c r="A19741" s="64" t="str">
        <f>HYPERLINK("http://www.twitter.com/simonpacker33", "simonpacker33")</f>
        <v>simonpacker33</v>
      </c>
      <c r="B19741" s="65" t="s">
        <v>70</v>
      </c>
    </row>
    <row r="19742" spans="1:2" x14ac:dyDescent="0.25">
      <c r="A19742" s="64" t="str">
        <f>HYPERLINK("http://www.twitter.com/chriscomben", "chriscomben")</f>
        <v>chriscomben</v>
      </c>
      <c r="B19742" s="65" t="s">
        <v>9594</v>
      </c>
    </row>
    <row r="19743" spans="1:2" x14ac:dyDescent="0.25">
      <c r="A19743" s="64" t="str">
        <f>HYPERLINK("http://www.twitter.com/devongirlkate", "devongirlkate")</f>
        <v>devongirlkate</v>
      </c>
      <c r="B19743" s="65" t="s">
        <v>9595</v>
      </c>
    </row>
    <row r="19744" spans="1:2" x14ac:dyDescent="0.25">
      <c r="A19744" s="64" t="str">
        <f>HYPERLINK("http://www.twitter.com/SoozeTF", "SoozeTF")</f>
        <v>SoozeTF</v>
      </c>
      <c r="B19744" s="65"/>
    </row>
    <row r="19745" spans="1:2" x14ac:dyDescent="0.25">
      <c r="A19745" s="64" t="str">
        <f>HYPERLINK("http://www.twitter.com/ThursoBayHolida", "ThursoBayHolida")</f>
        <v>ThursoBayHolida</v>
      </c>
      <c r="B19745" s="65" t="s">
        <v>9596</v>
      </c>
    </row>
    <row r="19746" spans="1:2" x14ac:dyDescent="0.25">
      <c r="A19746" s="64" t="str">
        <f>HYPERLINK("http://www.twitter.com/ColonsayBookFes", "ColonsayBookFes")</f>
        <v>ColonsayBookFes</v>
      </c>
      <c r="B19746" s="65" t="s">
        <v>9597</v>
      </c>
    </row>
    <row r="19747" spans="1:2" x14ac:dyDescent="0.25">
      <c r="A19747" s="64" t="str">
        <f>HYPERLINK("http://www.twitter.com/LEmslie", "LEmslie")</f>
        <v>LEmslie</v>
      </c>
      <c r="B19747" s="65" t="s">
        <v>138</v>
      </c>
    </row>
    <row r="19748" spans="1:2" x14ac:dyDescent="0.25">
      <c r="A19748" s="64" t="str">
        <f>HYPERLINK("http://www.twitter.com/dawwaddell", "dawwaddell")</f>
        <v>dawwaddell</v>
      </c>
      <c r="B19748" s="65" t="s">
        <v>9598</v>
      </c>
    </row>
    <row r="19749" spans="1:2" x14ac:dyDescent="0.25">
      <c r="A19749" s="64" t="str">
        <f>HYPERLINK("http://www.twitter.com/CalumFalconer", "CalumFalconer")</f>
        <v>CalumFalconer</v>
      </c>
      <c r="B19749" s="65" t="s">
        <v>9599</v>
      </c>
    </row>
    <row r="19750" spans="1:2" x14ac:dyDescent="0.25">
      <c r="A19750" s="64" t="str">
        <f>HYPERLINK("http://www.twitter.com/elsaizaguirrel", "elsaizaguirrel")</f>
        <v>elsaizaguirrel</v>
      </c>
      <c r="B19750" s="65" t="s">
        <v>36</v>
      </c>
    </row>
    <row r="19751" spans="1:2" x14ac:dyDescent="0.25">
      <c r="A19751" s="64" t="str">
        <f>HYPERLINK("http://www.twitter.com/fjd65", "fjd65")</f>
        <v>fjd65</v>
      </c>
      <c r="B19751" s="65"/>
    </row>
    <row r="19752" spans="1:2" x14ac:dyDescent="0.25">
      <c r="A19752" s="64" t="str">
        <f>HYPERLINK("http://www.twitter.com/Mamafication", "Mamafication")</f>
        <v>Mamafication</v>
      </c>
      <c r="B19752" s="65" t="s">
        <v>9600</v>
      </c>
    </row>
    <row r="19753" spans="1:2" x14ac:dyDescent="0.25">
      <c r="A19753" s="64" t="str">
        <f>HYPERLINK("http://www.twitter.com/RuthBlackett", "RuthBlackett")</f>
        <v>RuthBlackett</v>
      </c>
      <c r="B19753" s="65" t="s">
        <v>36</v>
      </c>
    </row>
    <row r="19754" spans="1:2" x14ac:dyDescent="0.25">
      <c r="A19754" s="64" t="str">
        <f>HYPERLINK("http://www.twitter.com/LR_InfoCentre", "LR_InfoCentre")</f>
        <v>LR_InfoCentre</v>
      </c>
      <c r="B19754" s="65" t="s">
        <v>9601</v>
      </c>
    </row>
    <row r="19755" spans="1:2" x14ac:dyDescent="0.25">
      <c r="A19755" s="64" t="str">
        <f>HYPERLINK("http://www.twitter.com/Fifeatheist", "Fifeatheist")</f>
        <v>Fifeatheist</v>
      </c>
      <c r="B19755" s="65" t="s">
        <v>421</v>
      </c>
    </row>
    <row r="19756" spans="1:2" x14ac:dyDescent="0.25">
      <c r="A19756" s="64" t="str">
        <f>HYPERLINK("http://www.twitter.com/meganlconnors", "meganlconnors")</f>
        <v>meganlconnors</v>
      </c>
      <c r="B19756" s="65"/>
    </row>
    <row r="19757" spans="1:2" x14ac:dyDescent="0.25">
      <c r="A19757" s="64" t="str">
        <f>HYPERLINK("http://www.twitter.com/HelOnEarth", "HelOnEarth")</f>
        <v>HelOnEarth</v>
      </c>
      <c r="B19757" s="65" t="s">
        <v>36</v>
      </c>
    </row>
    <row r="19758" spans="1:2" x14ac:dyDescent="0.25">
      <c r="A19758" s="64" t="str">
        <f>HYPERLINK("http://www.twitter.com/KatyBrough1", "KatyBrough1")</f>
        <v>KatyBrough1</v>
      </c>
      <c r="B19758" s="65" t="s">
        <v>2951</v>
      </c>
    </row>
    <row r="19759" spans="1:2" x14ac:dyDescent="0.25">
      <c r="A19759" s="64" t="str">
        <f>HYPERLINK("http://www.twitter.com/xanabe", "xanabe")</f>
        <v>xanabe</v>
      </c>
      <c r="B19759" s="65" t="s">
        <v>9602</v>
      </c>
    </row>
    <row r="19760" spans="1:2" x14ac:dyDescent="0.25">
      <c r="A19760" s="64" t="str">
        <f>HYPERLINK("http://www.twitter.com/robertrbeckett", "robertrbeckett")</f>
        <v>robertrbeckett</v>
      </c>
      <c r="B19760" s="65"/>
    </row>
    <row r="19761" spans="1:2" x14ac:dyDescent="0.25">
      <c r="A19761" s="64" t="str">
        <f>HYPERLINK("http://www.twitter.com/ribbonlegs", "ribbonlegs")</f>
        <v>ribbonlegs</v>
      </c>
      <c r="B19761" s="65"/>
    </row>
    <row r="19762" spans="1:2" x14ac:dyDescent="0.25">
      <c r="A19762" s="64" t="str">
        <f>HYPERLINK("http://www.twitter.com/bigann1e", "bigann1e")</f>
        <v>bigann1e</v>
      </c>
      <c r="B19762" s="65" t="s">
        <v>7535</v>
      </c>
    </row>
    <row r="19763" spans="1:2" x14ac:dyDescent="0.25">
      <c r="A19763" s="64" t="str">
        <f>HYPERLINK("http://www.twitter.com/concerto1313", "concerto1313")</f>
        <v>concerto1313</v>
      </c>
      <c r="B19763" s="65" t="s">
        <v>3913</v>
      </c>
    </row>
    <row r="19764" spans="1:2" x14ac:dyDescent="0.25">
      <c r="A19764" s="64" t="str">
        <f>HYPERLINK("http://www.twitter.com/alison_hi", "alison_hi")</f>
        <v>alison_hi</v>
      </c>
      <c r="B19764" s="65"/>
    </row>
    <row r="19765" spans="1:2" x14ac:dyDescent="0.25">
      <c r="A19765" s="64" t="str">
        <f>HYPERLINK("http://www.twitter.com/blackisleyear", "blackisleyear")</f>
        <v>blackisleyear</v>
      </c>
      <c r="B19765" s="65" t="s">
        <v>4822</v>
      </c>
    </row>
    <row r="19766" spans="1:2" x14ac:dyDescent="0.25">
      <c r="A19766" s="64" t="str">
        <f>HYPERLINK("http://www.twitter.com/as06111", "as06111")</f>
        <v>as06111</v>
      </c>
      <c r="B19766" s="65" t="s">
        <v>9603</v>
      </c>
    </row>
    <row r="19767" spans="1:2" x14ac:dyDescent="0.25">
      <c r="A19767" s="64" t="str">
        <f>HYPERLINK("http://www.twitter.com/aliwalker", "aliwalker")</f>
        <v>aliwalker</v>
      </c>
      <c r="B19767" s="65" t="s">
        <v>138</v>
      </c>
    </row>
    <row r="19768" spans="1:2" x14ac:dyDescent="0.25">
      <c r="A19768" s="64" t="str">
        <f>HYPERLINK("http://www.twitter.com/rosa_alba_macd", "rosa_alba_macd")</f>
        <v>rosa_alba_macd</v>
      </c>
      <c r="B19768" s="65" t="s">
        <v>5163</v>
      </c>
    </row>
    <row r="19769" spans="1:2" x14ac:dyDescent="0.25">
      <c r="A19769" s="64" t="str">
        <f>HYPERLINK("http://www.twitter.com/MrMalky", "MrMalky")</f>
        <v>MrMalky</v>
      </c>
      <c r="B19769" s="65" t="s">
        <v>5807</v>
      </c>
    </row>
    <row r="19770" spans="1:2" x14ac:dyDescent="0.25">
      <c r="A19770" s="64" t="str">
        <f>HYPERLINK("http://www.twitter.com/indyhannahbones", "indyhannahbones")</f>
        <v>indyhannahbones</v>
      </c>
      <c r="B19770" s="65" t="s">
        <v>1490</v>
      </c>
    </row>
    <row r="19771" spans="1:2" x14ac:dyDescent="0.25">
      <c r="A19771" s="64" t="str">
        <f>HYPERLINK("http://www.twitter.com/busybelle2011", "busybelle2011")</f>
        <v>busybelle2011</v>
      </c>
      <c r="B19771" s="65" t="s">
        <v>4193</v>
      </c>
    </row>
    <row r="19772" spans="1:2" x14ac:dyDescent="0.25">
      <c r="A19772" s="64" t="str">
        <f>HYPERLINK("http://www.twitter.com/AmandaFalkson", "AmandaFalkson")</f>
        <v>AmandaFalkson</v>
      </c>
      <c r="B19772" s="65" t="s">
        <v>9604</v>
      </c>
    </row>
    <row r="19773" spans="1:2" x14ac:dyDescent="0.25">
      <c r="A19773" s="64" t="str">
        <f>HYPERLINK("http://www.twitter.com/TheAerialManUK", "TheAerialManUK")</f>
        <v>TheAerialManUK</v>
      </c>
      <c r="B19773" s="65" t="s">
        <v>9605</v>
      </c>
    </row>
    <row r="19774" spans="1:2" x14ac:dyDescent="0.25">
      <c r="A19774" s="64" t="str">
        <f>HYPERLINK("http://www.twitter.com/frsimon", "frsimon")</f>
        <v>frsimon</v>
      </c>
      <c r="B19774" s="65" t="s">
        <v>9606</v>
      </c>
    </row>
    <row r="19775" spans="1:2" x14ac:dyDescent="0.25">
      <c r="A19775" s="64" t="str">
        <f>HYPERLINK("http://www.twitter.com/webmastermatt", "webmastermatt")</f>
        <v>webmastermatt</v>
      </c>
      <c r="B19775" s="65" t="s">
        <v>3772</v>
      </c>
    </row>
    <row r="19776" spans="1:2" x14ac:dyDescent="0.25">
      <c r="A19776" s="64" t="str">
        <f>HYPERLINK("http://www.twitter.com/clarabelle154", "clarabelle154")</f>
        <v>clarabelle154</v>
      </c>
      <c r="B19776" s="65"/>
    </row>
    <row r="19777" spans="1:2" x14ac:dyDescent="0.25">
      <c r="A19777" s="64" t="str">
        <f>HYPERLINK("http://www.twitter.com/RachelSouhami", "RachelSouhami")</f>
        <v>RachelSouhami</v>
      </c>
      <c r="B19777" s="65" t="s">
        <v>36</v>
      </c>
    </row>
    <row r="19778" spans="1:2" x14ac:dyDescent="0.25">
      <c r="A19778" s="64" t="str">
        <f>HYPERLINK("http://www.twitter.com/aldo1812", "aldo1812")</f>
        <v>aldo1812</v>
      </c>
      <c r="B19778" s="65" t="s">
        <v>24</v>
      </c>
    </row>
    <row r="19779" spans="1:2" x14ac:dyDescent="0.25">
      <c r="A19779" s="64" t="str">
        <f>HYPERLINK("http://www.twitter.com/lisette_k", "lisette_k")</f>
        <v>lisette_k</v>
      </c>
      <c r="B19779" s="65"/>
    </row>
    <row r="19780" spans="1:2" x14ac:dyDescent="0.25">
      <c r="A19780" s="64" t="str">
        <f>HYPERLINK("http://www.twitter.com/hannamsmyth", "hannamsmyth")</f>
        <v>hannamsmyth</v>
      </c>
      <c r="B19780" s="65" t="s">
        <v>9607</v>
      </c>
    </row>
    <row r="19781" spans="1:2" x14ac:dyDescent="0.25">
      <c r="A19781" s="64" t="str">
        <f>HYPERLINK("http://www.twitter.com/Sherrym1au", "Sherrym1au")</f>
        <v>Sherrym1au</v>
      </c>
      <c r="B19781" s="65"/>
    </row>
    <row r="19782" spans="1:2" x14ac:dyDescent="0.25">
      <c r="A19782" s="64" t="str">
        <f>HYPERLINK("http://www.twitter.com/TornToRibbons", "TornToRibbons")</f>
        <v>TornToRibbons</v>
      </c>
      <c r="B19782" s="65" t="s">
        <v>9608</v>
      </c>
    </row>
    <row r="19783" spans="1:2" x14ac:dyDescent="0.25">
      <c r="A19783" s="64" t="str">
        <f>HYPERLINK("http://www.twitter.com/LofthouseNaomi", "LofthouseNaomi")</f>
        <v>LofthouseNaomi</v>
      </c>
      <c r="B19783" s="65"/>
    </row>
    <row r="19784" spans="1:2" x14ac:dyDescent="0.25">
      <c r="A19784" s="64" t="str">
        <f>HYPERLINK("http://www.twitter.com/ReeMumin", "ReeMumin")</f>
        <v>ReeMumin</v>
      </c>
      <c r="B19784" s="65" t="s">
        <v>36</v>
      </c>
    </row>
    <row r="19785" spans="1:2" x14ac:dyDescent="0.25">
      <c r="A19785" s="64" t="str">
        <f>HYPERLINK("http://www.twitter.com/kjscott10000", "kjscott10000")</f>
        <v>kjscott10000</v>
      </c>
      <c r="B19785" s="65"/>
    </row>
    <row r="19786" spans="1:2" x14ac:dyDescent="0.25">
      <c r="A19786" s="64" t="str">
        <f>HYPERLINK("http://www.twitter.com/Amyhirst", "Amyhirst")</f>
        <v>Amyhirst</v>
      </c>
      <c r="B19786" s="65" t="s">
        <v>9609</v>
      </c>
    </row>
    <row r="19787" spans="1:2" x14ac:dyDescent="0.25">
      <c r="A19787" s="64" t="str">
        <f>HYPERLINK("http://www.twitter.com/forssjen", "forssjen")</f>
        <v>forssjen</v>
      </c>
      <c r="B19787" s="65" t="s">
        <v>517</v>
      </c>
    </row>
    <row r="19788" spans="1:2" x14ac:dyDescent="0.25">
      <c r="A19788" s="64" t="str">
        <f>HYPERLINK("http://www.twitter.com/RasheedaWatsonx", "RasheedaWatsonx")</f>
        <v>RasheedaWatsonx</v>
      </c>
      <c r="B19788" s="65" t="s">
        <v>9610</v>
      </c>
    </row>
    <row r="19789" spans="1:2" x14ac:dyDescent="0.25">
      <c r="A19789" s="64" t="str">
        <f>HYPERLINK("http://www.twitter.com/cathairknit", "cathairknit")</f>
        <v>cathairknit</v>
      </c>
      <c r="B19789" s="65" t="s">
        <v>9611</v>
      </c>
    </row>
    <row r="19790" spans="1:2" x14ac:dyDescent="0.25">
      <c r="A19790" s="64" t="str">
        <f>HYPERLINK("http://www.twitter.com/Flooplepoop", "Flooplepoop")</f>
        <v>Flooplepoop</v>
      </c>
      <c r="B19790" s="65"/>
    </row>
    <row r="19791" spans="1:2" x14ac:dyDescent="0.25">
      <c r="A19791" s="64" t="str">
        <f>HYPERLINK("http://www.twitter.com/honeyman84", "honeyman84")</f>
        <v>honeyman84</v>
      </c>
      <c r="B19791" s="65" t="s">
        <v>3821</v>
      </c>
    </row>
    <row r="19792" spans="1:2" x14ac:dyDescent="0.25">
      <c r="A19792" s="64" t="str">
        <f>HYPERLINK("http://www.twitter.com/Hatterjax", "Hatterjax")</f>
        <v>Hatterjax</v>
      </c>
      <c r="B19792" s="65"/>
    </row>
    <row r="19793" spans="1:2" x14ac:dyDescent="0.25">
      <c r="A19793" s="64" t="str">
        <f>HYPERLINK("http://www.twitter.com/hilaryburkitt", "hilaryburkitt")</f>
        <v>hilaryburkitt</v>
      </c>
      <c r="B19793" s="65"/>
    </row>
    <row r="19794" spans="1:2" x14ac:dyDescent="0.25">
      <c r="A19794" s="64" t="str">
        <f>HYPERLINK("http://www.twitter.com/erinnicoleking", "erinnicoleking")</f>
        <v>erinnicoleking</v>
      </c>
      <c r="B19794" s="65" t="s">
        <v>9612</v>
      </c>
    </row>
    <row r="19795" spans="1:2" x14ac:dyDescent="0.25">
      <c r="A19795" s="64" t="str">
        <f>HYPERLINK("http://www.twitter.com/Simon_Pegg", "Simon_Pegg")</f>
        <v>Simon_Pegg</v>
      </c>
      <c r="B19795" s="65" t="s">
        <v>9613</v>
      </c>
    </row>
    <row r="19796" spans="1:2" x14ac:dyDescent="0.25">
      <c r="A19796" s="64" t="str">
        <f>HYPERLINK("http://www.twitter.com/UncaHeid", "UncaHeid")</f>
        <v>UncaHeid</v>
      </c>
      <c r="B19796" s="65" t="s">
        <v>5777</v>
      </c>
    </row>
    <row r="19797" spans="1:2" x14ac:dyDescent="0.25">
      <c r="A19797" s="64" t="str">
        <f>HYPERLINK("http://www.twitter.com/TheBluestStar", "TheBluestStar")</f>
        <v>TheBluestStar</v>
      </c>
      <c r="B19797" s="65" t="s">
        <v>688</v>
      </c>
    </row>
    <row r="19798" spans="1:2" x14ac:dyDescent="0.25">
      <c r="A19798" s="64" t="str">
        <f>HYPERLINK("http://www.twitter.com/achouchane", "achouchane")</f>
        <v>achouchane</v>
      </c>
      <c r="B19798" s="65" t="s">
        <v>9614</v>
      </c>
    </row>
    <row r="19799" spans="1:2" x14ac:dyDescent="0.25">
      <c r="A19799" s="64" t="str">
        <f>HYPERLINK("http://www.twitter.com/jude_crazyjude", "jude_crazyjude")</f>
        <v>jude_crazyjude</v>
      </c>
      <c r="B19799" s="65" t="s">
        <v>9615</v>
      </c>
    </row>
    <row r="19800" spans="1:2" x14ac:dyDescent="0.25">
      <c r="A19800" s="64" t="str">
        <f>HYPERLINK("http://www.twitter.com/ronni_taylor", "ronni_taylor")</f>
        <v>ronni_taylor</v>
      </c>
      <c r="B19800" s="65" t="s">
        <v>20</v>
      </c>
    </row>
    <row r="19801" spans="1:2" x14ac:dyDescent="0.25">
      <c r="A19801" s="64" t="str">
        <f>HYPERLINK("http://www.twitter.com/Fiomaha", "Fiomaha")</f>
        <v>Fiomaha</v>
      </c>
      <c r="B19801" s="65" t="s">
        <v>110</v>
      </c>
    </row>
    <row r="19802" spans="1:2" x14ac:dyDescent="0.25">
      <c r="A19802" s="64" t="str">
        <f>HYPERLINK("http://www.twitter.com/MikeMikeDoris", "MikeMikeDoris")</f>
        <v>MikeMikeDoris</v>
      </c>
      <c r="B19802" s="65" t="s">
        <v>70</v>
      </c>
    </row>
    <row r="19803" spans="1:2" x14ac:dyDescent="0.25">
      <c r="A19803" s="64" t="str">
        <f>HYPERLINK("http://www.twitter.com/leithdave", "leithdave")</f>
        <v>leithdave</v>
      </c>
      <c r="B19803" s="65" t="s">
        <v>24</v>
      </c>
    </row>
    <row r="19804" spans="1:2" x14ac:dyDescent="0.25">
      <c r="A19804" s="64" t="str">
        <f>HYPERLINK("http://www.twitter.com/yycsan", "yycsan")</f>
        <v>yycsan</v>
      </c>
      <c r="B19804" s="65" t="s">
        <v>9616</v>
      </c>
    </row>
    <row r="19805" spans="1:2" x14ac:dyDescent="0.25">
      <c r="A19805" s="64" t="str">
        <f>HYPERLINK("http://www.twitter.com/UoE_Law_WP", "UoE_Law_WP")</f>
        <v>UoE_Law_WP</v>
      </c>
      <c r="B19805" s="65" t="s">
        <v>9617</v>
      </c>
    </row>
    <row r="19806" spans="1:2" x14ac:dyDescent="0.25">
      <c r="A19806" s="64" t="str">
        <f>HYPERLINK("http://www.twitter.com/ECPublicLibrary", "ECPublicLibrary")</f>
        <v>ECPublicLibrary</v>
      </c>
      <c r="B19806" s="65" t="s">
        <v>9618</v>
      </c>
    </row>
    <row r="19807" spans="1:2" x14ac:dyDescent="0.25">
      <c r="A19807" s="64" t="str">
        <f>HYPERLINK("http://www.twitter.com/HIEdigital", "HIEdigital")</f>
        <v>HIEdigital</v>
      </c>
      <c r="B19807" s="65"/>
    </row>
    <row r="19808" spans="1:2" x14ac:dyDescent="0.25">
      <c r="A19808" s="64" t="str">
        <f>HYPERLINK("http://www.twitter.com/PollyWnz", "PollyWnz")</f>
        <v>PollyWnz</v>
      </c>
      <c r="B19808" s="65" t="s">
        <v>9619</v>
      </c>
    </row>
    <row r="19809" spans="1:2" x14ac:dyDescent="0.25">
      <c r="A19809" s="64" t="str">
        <f>HYPERLINK("http://www.twitter.com/cbeerclasswork", "cbeerclasswork")</f>
        <v>cbeerclasswork</v>
      </c>
      <c r="B19809" s="65"/>
    </row>
    <row r="19810" spans="1:2" x14ac:dyDescent="0.25">
      <c r="A19810" s="64" t="str">
        <f>HYPERLINK("http://www.twitter.com/kate_haithbarn", "kate_haithbarn")</f>
        <v>kate_haithbarn</v>
      </c>
      <c r="B19810" s="65" t="s">
        <v>9620</v>
      </c>
    </row>
    <row r="19811" spans="1:2" x14ac:dyDescent="0.25">
      <c r="A19811" s="64" t="str">
        <f>HYPERLINK("http://www.twitter.com/ShootingSocks", "ShootingSocks")</f>
        <v>ShootingSocks</v>
      </c>
      <c r="B19811" s="65" t="s">
        <v>296</v>
      </c>
    </row>
    <row r="19812" spans="1:2" x14ac:dyDescent="0.25">
      <c r="A19812" s="64" t="str">
        <f>HYPERLINK("http://www.twitter.com/victorypigeon", "victorypigeon")</f>
        <v>victorypigeon</v>
      </c>
      <c r="B19812" s="65"/>
    </row>
    <row r="19813" spans="1:2" x14ac:dyDescent="0.25">
      <c r="A19813" s="64" t="str">
        <f>HYPERLINK("http://www.twitter.com/Sarahthoms14", "Sarahthoms14")</f>
        <v>Sarahthoms14</v>
      </c>
      <c r="B19813" s="65"/>
    </row>
    <row r="19814" spans="1:2" x14ac:dyDescent="0.25">
      <c r="A19814" s="64" t="str">
        <f>HYPERLINK("http://www.twitter.com/HarryMumford", "HarryMumford")</f>
        <v>HarryMumford</v>
      </c>
      <c r="B19814" s="65" t="s">
        <v>9621</v>
      </c>
    </row>
    <row r="19815" spans="1:2" x14ac:dyDescent="0.25">
      <c r="A19815" s="64" t="str">
        <f>HYPERLINK("http://www.twitter.com/MartinAllenSmth", "MartinAllenSmth")</f>
        <v>MartinAllenSmth</v>
      </c>
      <c r="B19815" s="65" t="s">
        <v>9622</v>
      </c>
    </row>
    <row r="19816" spans="1:2" x14ac:dyDescent="0.25">
      <c r="A19816" s="64" t="str">
        <f>HYPERLINK("http://www.twitter.com/sync_music", "sync_music")</f>
        <v>sync_music</v>
      </c>
      <c r="B19816" s="65" t="s">
        <v>296</v>
      </c>
    </row>
    <row r="19817" spans="1:2" x14ac:dyDescent="0.25">
      <c r="A19817" s="64" t="str">
        <f>HYPERLINK("http://www.twitter.com/skiddlyboooo", "skiddlyboooo")</f>
        <v>skiddlyboooo</v>
      </c>
      <c r="B19817" s="65" t="s">
        <v>4500</v>
      </c>
    </row>
    <row r="19818" spans="1:2" x14ac:dyDescent="0.25">
      <c r="A19818" s="64" t="str">
        <f>HYPERLINK("http://www.twitter.com/EdenCottage", "EdenCottage")</f>
        <v>EdenCottage</v>
      </c>
      <c r="B19818" s="65" t="s">
        <v>773</v>
      </c>
    </row>
    <row r="19819" spans="1:2" x14ac:dyDescent="0.25">
      <c r="A19819" s="64" t="str">
        <f>HYPERLINK("http://www.twitter.com/jamieevetts", "jamieevetts")</f>
        <v>jamieevetts</v>
      </c>
      <c r="B19819" s="65" t="s">
        <v>9623</v>
      </c>
    </row>
    <row r="19820" spans="1:2" x14ac:dyDescent="0.25">
      <c r="A19820" s="64" t="str">
        <f>HYPERLINK("http://www.twitter.com/DinulUllah", "DinulUllah")</f>
        <v>DinulUllah</v>
      </c>
      <c r="B19820" s="65"/>
    </row>
    <row r="19821" spans="1:2" x14ac:dyDescent="0.25">
      <c r="A19821" s="64" t="str">
        <f>HYPERLINK("http://www.twitter.com/EdinCulture", "EdinCulture")</f>
        <v>EdinCulture</v>
      </c>
      <c r="B19821" s="65" t="s">
        <v>24</v>
      </c>
    </row>
    <row r="19822" spans="1:2" x14ac:dyDescent="0.25">
      <c r="A19822" s="64" t="str">
        <f>HYPERLINK("http://www.twitter.com/criole", "criole")</f>
        <v>criole</v>
      </c>
      <c r="B19822" s="65"/>
    </row>
    <row r="19823" spans="1:2" x14ac:dyDescent="0.25">
      <c r="A19823" s="64" t="str">
        <f>HYPERLINK("http://www.twitter.com/_MyRoute", "_MyRoute")</f>
        <v>_MyRoute</v>
      </c>
      <c r="B19823" s="65" t="s">
        <v>310</v>
      </c>
    </row>
    <row r="19824" spans="1:2" x14ac:dyDescent="0.25">
      <c r="A19824" s="64" t="str">
        <f>HYPERLINK("http://www.twitter.com/AdamKoszary", "AdamKoszary")</f>
        <v>AdamKoszary</v>
      </c>
      <c r="B19824" s="65" t="s">
        <v>7273</v>
      </c>
    </row>
    <row r="19825" spans="1:2" x14ac:dyDescent="0.25">
      <c r="A19825" s="64" t="str">
        <f>HYPERLINK("http://www.twitter.com/treadwells", "treadwells")</f>
        <v>treadwells</v>
      </c>
      <c r="B19825" s="65" t="s">
        <v>477</v>
      </c>
    </row>
    <row r="19826" spans="1:2" x14ac:dyDescent="0.25">
      <c r="A19826" s="64" t="str">
        <f>HYPERLINK("http://www.twitter.com/ZelKile", "ZelKile")</f>
        <v>ZelKile</v>
      </c>
      <c r="B19826" s="65" t="s">
        <v>36</v>
      </c>
    </row>
    <row r="19827" spans="1:2" x14ac:dyDescent="0.25">
      <c r="A19827" s="64" t="str">
        <f>HYPERLINK("http://www.twitter.com/SejulM", "SejulM")</f>
        <v>SejulM</v>
      </c>
      <c r="B19827" s="65"/>
    </row>
    <row r="19828" spans="1:2" x14ac:dyDescent="0.25">
      <c r="A19828" s="64" t="str">
        <f>HYPERLINK("http://www.twitter.com/Madlena_P", "Madlena_P")</f>
        <v>Madlena_P</v>
      </c>
      <c r="B19828" s="65" t="s">
        <v>9624</v>
      </c>
    </row>
    <row r="19829" spans="1:2" x14ac:dyDescent="0.25">
      <c r="A19829" s="64" t="str">
        <f>HYPERLINK("http://www.twitter.com/OrpingtonPriory", "OrpingtonPriory")</f>
        <v>OrpingtonPriory</v>
      </c>
      <c r="B19829" s="65" t="s">
        <v>9625</v>
      </c>
    </row>
    <row r="19830" spans="1:2" x14ac:dyDescent="0.25">
      <c r="A19830" s="64" t="str">
        <f>HYPERLINK("http://www.twitter.com/HopeBusak", "HopeBusak")</f>
        <v>HopeBusak</v>
      </c>
      <c r="B19830" s="65" t="s">
        <v>1482</v>
      </c>
    </row>
    <row r="19831" spans="1:2" x14ac:dyDescent="0.25">
      <c r="A19831" s="64" t="str">
        <f>HYPERLINK("http://www.twitter.com/BiebRijsHolt", "BiebRijsHolt")</f>
        <v>BiebRijsHolt</v>
      </c>
      <c r="B19831" s="65" t="s">
        <v>9626</v>
      </c>
    </row>
    <row r="19832" spans="1:2" x14ac:dyDescent="0.25">
      <c r="A19832" s="64" t="str">
        <f>HYPERLINK("http://www.twitter.com/davelee1968", "davelee1968")</f>
        <v>davelee1968</v>
      </c>
      <c r="B19832" s="65" t="s">
        <v>9627</v>
      </c>
    </row>
    <row r="19833" spans="1:2" x14ac:dyDescent="0.25">
      <c r="A19833" s="64" t="str">
        <f>HYPERLINK("http://www.twitter.com/Lewispoet", "Lewispoet")</f>
        <v>Lewispoet</v>
      </c>
      <c r="B19833" s="65" t="s">
        <v>427</v>
      </c>
    </row>
    <row r="19834" spans="1:2" x14ac:dyDescent="0.25">
      <c r="A19834" s="64" t="str">
        <f>HYPERLINK("http://www.twitter.com/JohnWMacPherson", "JohnWMacPherson")</f>
        <v>JohnWMacPherson</v>
      </c>
      <c r="B19834" s="65" t="s">
        <v>5336</v>
      </c>
    </row>
    <row r="19835" spans="1:2" x14ac:dyDescent="0.25">
      <c r="A19835" s="64" t="str">
        <f>HYPERLINK("http://www.twitter.com/Rociera", "Rociera")</f>
        <v>Rociera</v>
      </c>
      <c r="B19835" s="65" t="s">
        <v>4092</v>
      </c>
    </row>
    <row r="19836" spans="1:2" x14ac:dyDescent="0.25">
      <c r="A19836" s="64" t="str">
        <f>HYPERLINK("http://www.twitter.com/Binzanhlanhla1", "Binzanhlanhla1")</f>
        <v>Binzanhlanhla1</v>
      </c>
      <c r="B19836" s="65" t="s">
        <v>9628</v>
      </c>
    </row>
    <row r="19837" spans="1:2" x14ac:dyDescent="0.25">
      <c r="A19837" s="64" t="str">
        <f>HYPERLINK("http://www.twitter.com/EmWilliamsCCCU", "EmWilliamsCCCU")</f>
        <v>EmWilliamsCCCU</v>
      </c>
      <c r="B19837" s="65" t="s">
        <v>9629</v>
      </c>
    </row>
    <row r="19838" spans="1:2" x14ac:dyDescent="0.25">
      <c r="A19838" s="64" t="str">
        <f>HYPERLINK("http://www.twitter.com/SophiaEasey", "SophiaEasey")</f>
        <v>SophiaEasey</v>
      </c>
      <c r="B19838" s="65" t="s">
        <v>9630</v>
      </c>
    </row>
    <row r="19839" spans="1:2" x14ac:dyDescent="0.25">
      <c r="A19839" s="64" t="str">
        <f>HYPERLINK("http://www.twitter.com/PeterJohnRyan2", "PeterJohnRyan2")</f>
        <v>PeterJohnRyan2</v>
      </c>
      <c r="B19839" s="65" t="s">
        <v>9631</v>
      </c>
    </row>
    <row r="19840" spans="1:2" x14ac:dyDescent="0.25">
      <c r="A19840" s="64" t="str">
        <f>HYPERLINK("http://www.twitter.com/LibrarianSarahK", "LibrarianSarahK")</f>
        <v>LibrarianSarahK</v>
      </c>
      <c r="B19840" s="65"/>
    </row>
    <row r="19841" spans="1:2" x14ac:dyDescent="0.25">
      <c r="A19841" s="64" t="str">
        <f>HYPERLINK("http://www.twitter.com/shapinsaygilly", "shapinsaygilly")</f>
        <v>shapinsaygilly</v>
      </c>
      <c r="B19841" s="65"/>
    </row>
    <row r="19842" spans="1:2" x14ac:dyDescent="0.25">
      <c r="A19842" s="64" t="str">
        <f>HYPERLINK("http://www.twitter.com/Infohippy", "Infohippy")</f>
        <v>Infohippy</v>
      </c>
      <c r="B19842" s="65" t="s">
        <v>110</v>
      </c>
    </row>
    <row r="19843" spans="1:2" x14ac:dyDescent="0.25">
      <c r="A19843" s="64" t="str">
        <f>HYPERLINK("http://www.twitter.com/11matthew", "11matthew")</f>
        <v>11matthew</v>
      </c>
      <c r="B19843" s="65"/>
    </row>
    <row r="19844" spans="1:2" x14ac:dyDescent="0.25">
      <c r="A19844" s="64" t="str">
        <f>HYPERLINK("http://www.twitter.com/El_Bailey123", "El_Bailey123")</f>
        <v>El_Bailey123</v>
      </c>
      <c r="B19844" s="65"/>
    </row>
    <row r="19845" spans="1:2" x14ac:dyDescent="0.25">
      <c r="A19845" s="64" t="str">
        <f>HYPERLINK("http://www.twitter.com/audreymoorebook", "audreymoorebook")</f>
        <v>audreymoorebook</v>
      </c>
      <c r="B19845" s="65" t="s">
        <v>4062</v>
      </c>
    </row>
    <row r="19846" spans="1:2" x14ac:dyDescent="0.25">
      <c r="A19846" s="64" t="str">
        <f>HYPERLINK("http://www.twitter.com/moontrug", "moontrug")</f>
        <v>moontrug</v>
      </c>
      <c r="B19846" s="65" t="s">
        <v>36</v>
      </c>
    </row>
    <row r="19847" spans="1:2" x14ac:dyDescent="0.25">
      <c r="A19847" s="64" t="str">
        <f>HYPERLINK("http://www.twitter.com/Kate_Straker", "Kate_Straker")</f>
        <v>Kate_Straker</v>
      </c>
      <c r="B19847" s="65" t="s">
        <v>9632</v>
      </c>
    </row>
    <row r="19848" spans="1:2" x14ac:dyDescent="0.25">
      <c r="A19848" s="64" t="str">
        <f>HYPERLINK("http://www.twitter.com/SazzyJackson", "SazzyJackson")</f>
        <v>SazzyJackson</v>
      </c>
      <c r="B19848" s="65" t="s">
        <v>9633</v>
      </c>
    </row>
    <row r="19849" spans="1:2" x14ac:dyDescent="0.25">
      <c r="A19849" s="64" t="str">
        <f>HYPERLINK("http://www.twitter.com/yoligracia", "yoligracia")</f>
        <v>yoligracia</v>
      </c>
      <c r="B19849" s="65"/>
    </row>
    <row r="19850" spans="1:2" x14ac:dyDescent="0.25">
      <c r="A19850" s="64" t="str">
        <f>HYPERLINK("http://www.twitter.com/CJSciFi", "CJSciFi")</f>
        <v>CJSciFi</v>
      </c>
      <c r="B19850" s="65" t="s">
        <v>293</v>
      </c>
    </row>
    <row r="19851" spans="1:2" x14ac:dyDescent="0.25">
      <c r="A19851" s="64" t="str">
        <f>HYPERLINK("http://www.twitter.com/justcook123", "justcook123")</f>
        <v>justcook123</v>
      </c>
      <c r="B19851" s="65" t="s">
        <v>9634</v>
      </c>
    </row>
    <row r="19852" spans="1:2" x14ac:dyDescent="0.25">
      <c r="A19852" s="64" t="str">
        <f>HYPERLINK("http://www.twitter.com/mcgeecraig", "mcgeecraig")</f>
        <v>mcgeecraig</v>
      </c>
      <c r="B19852" s="65" t="s">
        <v>138</v>
      </c>
    </row>
    <row r="19853" spans="1:2" x14ac:dyDescent="0.25">
      <c r="A19853" s="64" t="str">
        <f>HYPERLINK("http://www.twitter.com/ErwinA", "ErwinA")</f>
        <v>ErwinA</v>
      </c>
      <c r="B19853" s="65" t="s">
        <v>24</v>
      </c>
    </row>
    <row r="19854" spans="1:2" x14ac:dyDescent="0.25">
      <c r="A19854" s="64" t="str">
        <f>HYPERLINK("http://www.twitter.com/craigie_watson", "craigie_watson")</f>
        <v>craigie_watson</v>
      </c>
      <c r="B19854" s="65" t="s">
        <v>4223</v>
      </c>
    </row>
    <row r="19855" spans="1:2" x14ac:dyDescent="0.25">
      <c r="A19855" s="64" t="str">
        <f>HYPERLINK("http://www.twitter.com/cheerfulhobo", "cheerfulhobo")</f>
        <v>cheerfulhobo</v>
      </c>
      <c r="B19855" s="65"/>
    </row>
    <row r="19856" spans="1:2" x14ac:dyDescent="0.25">
      <c r="A19856" s="64" t="str">
        <f>HYPERLINK("http://www.twitter.com/Peardrop86", "Peardrop86")</f>
        <v>Peardrop86</v>
      </c>
      <c r="B19856" s="65" t="s">
        <v>9635</v>
      </c>
    </row>
    <row r="19857" spans="1:2" x14ac:dyDescent="0.25">
      <c r="A19857" s="64" t="str">
        <f>HYPERLINK("http://www.twitter.com/IndieAnnie", "IndieAnnie")</f>
        <v>IndieAnnie</v>
      </c>
      <c r="B19857" s="65" t="s">
        <v>4164</v>
      </c>
    </row>
    <row r="19858" spans="1:2" x14ac:dyDescent="0.25">
      <c r="A19858" s="64" t="str">
        <f>HYPERLINK("http://www.twitter.com/Kiste09", "Kiste09")</f>
        <v>Kiste09</v>
      </c>
      <c r="B19858" s="65"/>
    </row>
    <row r="19859" spans="1:2" x14ac:dyDescent="0.25">
      <c r="A19859" s="64" t="str">
        <f>HYPERLINK("http://www.twitter.com/theolotea", "theolotea")</f>
        <v>theolotea</v>
      </c>
      <c r="B19859" s="65" t="s">
        <v>487</v>
      </c>
    </row>
    <row r="19860" spans="1:2" x14ac:dyDescent="0.25">
      <c r="A19860" s="64" t="str">
        <f>HYPERLINK("http://www.twitter.com/colms", "colms")</f>
        <v>colms</v>
      </c>
      <c r="B19860" s="65" t="s">
        <v>808</v>
      </c>
    </row>
    <row r="19861" spans="1:2" x14ac:dyDescent="0.25">
      <c r="A19861" s="64" t="str">
        <f>HYPERLINK("http://www.twitter.com/NCLavery", "NCLavery")</f>
        <v>NCLavery</v>
      </c>
      <c r="B19861" s="65" t="s">
        <v>9636</v>
      </c>
    </row>
    <row r="19862" spans="1:2" x14ac:dyDescent="0.25">
      <c r="A19862" s="64" t="str">
        <f>HYPERLINK("http://www.twitter.com/MelangeECHO", "MelangeECHO")</f>
        <v>MelangeECHO</v>
      </c>
      <c r="B19862" s="65" t="s">
        <v>9637</v>
      </c>
    </row>
    <row r="19863" spans="1:2" x14ac:dyDescent="0.25">
      <c r="A19863" s="64" t="str">
        <f>HYPERLINK("http://www.twitter.com/HindeQuarters", "HindeQuarters")</f>
        <v>HindeQuarters</v>
      </c>
      <c r="B19863" s="65" t="s">
        <v>6634</v>
      </c>
    </row>
    <row r="19864" spans="1:2" x14ac:dyDescent="0.25">
      <c r="A19864" s="64" t="str">
        <f>HYPERLINK("http://www.twitter.com/ozzit", "ozzit")</f>
        <v>ozzit</v>
      </c>
      <c r="B19864" s="65" t="s">
        <v>70</v>
      </c>
    </row>
    <row r="19865" spans="1:2" x14ac:dyDescent="0.25">
      <c r="A19865" s="64" t="str">
        <f>HYPERLINK("http://www.twitter.com/orkneygalpenicu", "orkneygalpenicu")</f>
        <v>orkneygalpenicu</v>
      </c>
      <c r="B19865" s="65"/>
    </row>
    <row r="19866" spans="1:2" x14ac:dyDescent="0.25">
      <c r="A19866" s="64" t="str">
        <f>HYPERLINK("http://www.twitter.com/WhimsiesAnWords", "WhimsiesAnWords")</f>
        <v>WhimsiesAnWords</v>
      </c>
      <c r="B19866" s="65" t="s">
        <v>487</v>
      </c>
    </row>
    <row r="19867" spans="1:2" x14ac:dyDescent="0.25">
      <c r="A19867" s="64" t="str">
        <f>HYPERLINK("http://www.twitter.com/Matthew_Gilder", "Matthew_Gilder")</f>
        <v>Matthew_Gilder</v>
      </c>
      <c r="B19867" s="65" t="s">
        <v>9638</v>
      </c>
    </row>
    <row r="19868" spans="1:2" x14ac:dyDescent="0.25">
      <c r="A19868" s="64" t="str">
        <f>HYPERLINK("http://www.twitter.com/ChiUniCareers", "ChiUniCareers")</f>
        <v>ChiUniCareers</v>
      </c>
      <c r="B19868" s="65" t="s">
        <v>9639</v>
      </c>
    </row>
    <row r="19869" spans="1:2" x14ac:dyDescent="0.25">
      <c r="A19869" s="64" t="str">
        <f>HYPERLINK("http://www.twitter.com/JerryPorter", "JerryPorter")</f>
        <v>JerryPorter</v>
      </c>
      <c r="B19869" s="65" t="s">
        <v>296</v>
      </c>
    </row>
    <row r="19870" spans="1:2" x14ac:dyDescent="0.25">
      <c r="A19870" s="64" t="str">
        <f>HYPERLINK("http://www.twitter.com/MoultonLRC", "MoultonLRC")</f>
        <v>MoultonLRC</v>
      </c>
      <c r="B19870" s="65" t="s">
        <v>9640</v>
      </c>
    </row>
    <row r="19871" spans="1:2" x14ac:dyDescent="0.25">
      <c r="A19871" s="64" t="str">
        <f>HYPERLINK("http://www.twitter.com/wheres_hollie", "wheres_hollie")</f>
        <v>wheres_hollie</v>
      </c>
      <c r="B19871" s="65" t="s">
        <v>36</v>
      </c>
    </row>
    <row r="19872" spans="1:2" x14ac:dyDescent="0.25">
      <c r="A19872" s="64" t="str">
        <f>HYPERLINK("http://www.twitter.com/Charitychiccat", "Charitychiccat")</f>
        <v>Charitychiccat</v>
      </c>
      <c r="B19872" s="65"/>
    </row>
    <row r="19873" spans="1:2" x14ac:dyDescent="0.25">
      <c r="A19873" s="64" t="str">
        <f>HYPERLINK("http://www.twitter.com/JurgensGlasses", "JurgensGlasses")</f>
        <v>JurgensGlasses</v>
      </c>
      <c r="B19873" s="65" t="s">
        <v>296</v>
      </c>
    </row>
    <row r="19874" spans="1:2" x14ac:dyDescent="0.25">
      <c r="A19874" s="64" t="str">
        <f>HYPERLINK("http://www.twitter.com/stivesbooks", "stivesbooks")</f>
        <v>stivesbooks</v>
      </c>
      <c r="B19874" s="65" t="s">
        <v>9641</v>
      </c>
    </row>
    <row r="19875" spans="1:2" x14ac:dyDescent="0.25">
      <c r="A19875" s="64" t="str">
        <f>HYPERLINK("http://www.twitter.com/vivlives001", "vivlives001")</f>
        <v>vivlives001</v>
      </c>
      <c r="B19875" s="65" t="s">
        <v>9642</v>
      </c>
    </row>
    <row r="19876" spans="1:2" x14ac:dyDescent="0.25">
      <c r="A19876" s="64" t="str">
        <f>HYPERLINK("http://www.twitter.com/Candysbookcase", "Candysbookcase")</f>
        <v>Candysbookcase</v>
      </c>
      <c r="B19876" s="65" t="s">
        <v>9643</v>
      </c>
    </row>
    <row r="19877" spans="1:2" x14ac:dyDescent="0.25">
      <c r="A19877" s="64" t="str">
        <f>HYPERLINK("http://www.twitter.com/JackBirchBooks", "JackBirchBooks")</f>
        <v>JackBirchBooks</v>
      </c>
      <c r="B19877" s="65"/>
    </row>
    <row r="19878" spans="1:2" x14ac:dyDescent="0.25">
      <c r="A19878" s="64" t="str">
        <f>HYPERLINK("http://www.twitter.com/DavidPulsford1", "DavidPulsford1")</f>
        <v>DavidPulsford1</v>
      </c>
      <c r="B19878" s="65"/>
    </row>
    <row r="19879" spans="1:2" x14ac:dyDescent="0.25">
      <c r="A19879" s="64" t="str">
        <f>HYPERLINK("http://www.twitter.com/jamielivemusic", "jamielivemusic")</f>
        <v>jamielivemusic</v>
      </c>
      <c r="B19879" s="65"/>
    </row>
    <row r="19880" spans="1:2" x14ac:dyDescent="0.25">
      <c r="A19880" s="64" t="str">
        <f>HYPERLINK("http://www.twitter.com/wardlawmusic", "wardlawmusic")</f>
        <v>wardlawmusic</v>
      </c>
      <c r="B19880" s="65" t="s">
        <v>4149</v>
      </c>
    </row>
    <row r="19881" spans="1:2" x14ac:dyDescent="0.25">
      <c r="A19881" s="64" t="str">
        <f>HYPERLINK("http://www.twitter.com/CarlyTait08", "CarlyTait08")</f>
        <v>CarlyTait08</v>
      </c>
      <c r="B19881" s="65"/>
    </row>
    <row r="19882" spans="1:2" x14ac:dyDescent="0.25">
      <c r="A19882" s="64" t="str">
        <f>HYPERLINK("http://www.twitter.com/sinkysays", "sinkysays")</f>
        <v>sinkysays</v>
      </c>
      <c r="B19882" s="65" t="s">
        <v>9644</v>
      </c>
    </row>
    <row r="19883" spans="1:2" x14ac:dyDescent="0.25">
      <c r="A19883" s="64" t="str">
        <f>HYPERLINK("http://www.twitter.com/CiderwithSusie", "CiderwithSusie")</f>
        <v>CiderwithSusie</v>
      </c>
      <c r="B19883" s="65" t="s">
        <v>9645</v>
      </c>
    </row>
    <row r="19884" spans="1:2" x14ac:dyDescent="0.25">
      <c r="A19884" s="64" t="str">
        <f>HYPERLINK("http://www.twitter.com/FireflyPress", "FireflyPress")</f>
        <v>FireflyPress</v>
      </c>
      <c r="B19884" s="65" t="s">
        <v>427</v>
      </c>
    </row>
    <row r="19885" spans="1:2" x14ac:dyDescent="0.25">
      <c r="A19885" s="64" t="str">
        <f>HYPERLINK("http://www.twitter.com/Rosslynchapel", "Rosslynchapel")</f>
        <v>Rosslynchapel</v>
      </c>
      <c r="B19885" s="65" t="s">
        <v>9646</v>
      </c>
    </row>
    <row r="19886" spans="1:2" x14ac:dyDescent="0.25">
      <c r="A19886" s="64" t="str">
        <f>HYPERLINK("http://www.twitter.com/moragjoss", "moragjoss")</f>
        <v>moragjoss</v>
      </c>
      <c r="B19886" s="65" t="s">
        <v>1490</v>
      </c>
    </row>
    <row r="19887" spans="1:2" x14ac:dyDescent="0.25">
      <c r="A19887" s="64" t="str">
        <f>HYPERLINK("http://www.twitter.com/jennyhelenduffy", "jennyhelenduffy")</f>
        <v>jennyhelenduffy</v>
      </c>
      <c r="B19887" s="65"/>
    </row>
    <row r="19888" spans="1:2" x14ac:dyDescent="0.25">
      <c r="A19888" s="64" t="str">
        <f>HYPERLINK("http://www.twitter.com/heidicarole", "heidicarole")</f>
        <v>heidicarole</v>
      </c>
      <c r="B19888" s="65"/>
    </row>
    <row r="19889" spans="1:2" x14ac:dyDescent="0.25">
      <c r="A19889" s="64" t="str">
        <f>HYPERLINK("http://www.twitter.com/calum0027", "calum0027")</f>
        <v>calum0027</v>
      </c>
      <c r="B19889" s="65"/>
    </row>
    <row r="19890" spans="1:2" x14ac:dyDescent="0.25">
      <c r="A19890" s="64" t="str">
        <f>HYPERLINK("http://www.twitter.com/anambra4", "anambra4")</f>
        <v>anambra4</v>
      </c>
      <c r="B19890" s="65"/>
    </row>
    <row r="19891" spans="1:2" x14ac:dyDescent="0.25">
      <c r="A19891" s="64" t="str">
        <f>HYPERLINK("http://www.twitter.com/pawsx12", "pawsx12")</f>
        <v>pawsx12</v>
      </c>
      <c r="B19891" s="65"/>
    </row>
    <row r="19892" spans="1:2" x14ac:dyDescent="0.25">
      <c r="A19892" s="64" t="str">
        <f>HYPERLINK("http://www.twitter.com/FraserNelson", "FraserNelson")</f>
        <v>FraserNelson</v>
      </c>
      <c r="B19892" s="65" t="s">
        <v>9647</v>
      </c>
    </row>
    <row r="19893" spans="1:2" x14ac:dyDescent="0.25">
      <c r="A19893" s="64" t="str">
        <f>HYPERLINK("http://www.twitter.com/caithnesscllctn", "caithnesscllctn")</f>
        <v>caithnesscllctn</v>
      </c>
      <c r="B19893" s="65" t="s">
        <v>6118</v>
      </c>
    </row>
    <row r="19894" spans="1:2" x14ac:dyDescent="0.25">
      <c r="A19894" s="64" t="str">
        <f>HYPERLINK("http://www.twitter.com/foodiequine", "foodiequine")</f>
        <v>foodiequine</v>
      </c>
      <c r="B19894" s="65" t="s">
        <v>569</v>
      </c>
    </row>
    <row r="19895" spans="1:2" x14ac:dyDescent="0.25">
      <c r="A19895" s="64" t="str">
        <f>HYPERLINK("http://www.twitter.com/liammcfall", "liammcfall")</f>
        <v>liammcfall</v>
      </c>
      <c r="B19895" s="65"/>
    </row>
    <row r="19896" spans="1:2" x14ac:dyDescent="0.25">
      <c r="A19896" s="64" t="str">
        <f>HYPERLINK("http://www.twitter.com/upwithebonnet", "upwithebonnet")</f>
        <v>upwithebonnet</v>
      </c>
      <c r="B19896" s="65" t="s">
        <v>24</v>
      </c>
    </row>
    <row r="19897" spans="1:2" x14ac:dyDescent="0.25">
      <c r="A19897" s="64" t="str">
        <f>HYPERLINK("http://www.twitter.com/NoMoreCoffeePls", "NoMoreCoffeePls")</f>
        <v>NoMoreCoffeePls</v>
      </c>
      <c r="B19897" s="65" t="s">
        <v>9648</v>
      </c>
    </row>
    <row r="19898" spans="1:2" x14ac:dyDescent="0.25">
      <c r="A19898" s="64" t="str">
        <f>HYPERLINK("http://www.twitter.com/Sleepyfable", "Sleepyfable")</f>
        <v>Sleepyfable</v>
      </c>
      <c r="B19898" s="65" t="s">
        <v>9649</v>
      </c>
    </row>
    <row r="19899" spans="1:2" x14ac:dyDescent="0.25">
      <c r="A19899" s="64" t="str">
        <f>HYPERLINK("http://www.twitter.com/J4MR1", "J4MR1")</f>
        <v>J4MR1</v>
      </c>
      <c r="B19899" s="65" t="s">
        <v>9650</v>
      </c>
    </row>
    <row r="19900" spans="1:2" x14ac:dyDescent="0.25">
      <c r="A19900" s="64" t="str">
        <f>HYPERLINK("http://www.twitter.com/acidsynthline", "acidsynthline")</f>
        <v>acidsynthline</v>
      </c>
      <c r="B19900" s="65" t="s">
        <v>9651</v>
      </c>
    </row>
    <row r="19901" spans="1:2" x14ac:dyDescent="0.25">
      <c r="A19901" s="64" t="str">
        <f>HYPERLINK("http://www.twitter.com/hangtarnok", "hangtarnok")</f>
        <v>hangtarnok</v>
      </c>
      <c r="B19901" s="65" t="s">
        <v>9652</v>
      </c>
    </row>
    <row r="19902" spans="1:2" x14ac:dyDescent="0.25">
      <c r="A19902" s="64" t="str">
        <f>HYPERLINK("http://www.twitter.com/NaomiBaster", "NaomiBaster")</f>
        <v>NaomiBaster</v>
      </c>
      <c r="B19902" s="65"/>
    </row>
    <row r="19903" spans="1:2" x14ac:dyDescent="0.25">
      <c r="A19903" s="64" t="str">
        <f>HYPERLINK("http://www.twitter.com/CookFoley", "CookFoley")</f>
        <v>CookFoley</v>
      </c>
      <c r="B19903" s="65"/>
    </row>
    <row r="19904" spans="1:2" x14ac:dyDescent="0.25">
      <c r="A19904" s="64" t="str">
        <f>HYPERLINK("http://www.twitter.com/bhathaway787", "bhathaway787")</f>
        <v>bhathaway787</v>
      </c>
      <c r="B19904" s="65"/>
    </row>
    <row r="19905" spans="1:2" x14ac:dyDescent="0.25">
      <c r="A19905" s="64" t="str">
        <f>HYPERLINK("http://www.twitter.com/DeborahRimmer", "DeborahRimmer")</f>
        <v>DeborahRimmer</v>
      </c>
      <c r="B19905" s="65" t="s">
        <v>4997</v>
      </c>
    </row>
    <row r="19906" spans="1:2" x14ac:dyDescent="0.25">
      <c r="A19906" s="64" t="str">
        <f>HYPERLINK("http://www.twitter.com/CrawfordMeran", "CrawfordMeran")</f>
        <v>CrawfordMeran</v>
      </c>
      <c r="B19906" s="65"/>
    </row>
    <row r="19907" spans="1:2" x14ac:dyDescent="0.25">
      <c r="A19907" s="64" t="str">
        <f>HYPERLINK("http://www.twitter.com/vehill1976", "vehill1976")</f>
        <v>vehill1976</v>
      </c>
      <c r="B19907" s="65"/>
    </row>
    <row r="19908" spans="1:2" x14ac:dyDescent="0.25">
      <c r="A19908" s="64" t="str">
        <f>HYPERLINK("http://www.twitter.com/mirafroiti", "mirafroiti")</f>
        <v>mirafroiti</v>
      </c>
      <c r="B19908" s="65" t="s">
        <v>5379</v>
      </c>
    </row>
    <row r="19909" spans="1:2" x14ac:dyDescent="0.25">
      <c r="A19909" s="64" t="str">
        <f>HYPERLINK("http://www.twitter.com/SueLRitchie", "SueLRitchie")</f>
        <v>SueLRitchie</v>
      </c>
      <c r="B19909" s="65"/>
    </row>
    <row r="19910" spans="1:2" x14ac:dyDescent="0.25">
      <c r="A19910" s="64" t="str">
        <f>HYPERLINK("http://www.twitter.com/Kilgraston", "Kilgraston")</f>
        <v>Kilgraston</v>
      </c>
      <c r="B19910" s="65" t="s">
        <v>9653</v>
      </c>
    </row>
    <row r="19911" spans="1:2" x14ac:dyDescent="0.25">
      <c r="A19911" s="64" t="str">
        <f>HYPERLINK("http://www.twitter.com/TOKeenan", "TOKeenan")</f>
        <v>TOKeenan</v>
      </c>
      <c r="B19911" s="65" t="s">
        <v>5428</v>
      </c>
    </row>
    <row r="19912" spans="1:2" x14ac:dyDescent="0.25">
      <c r="A19912" s="64" t="str">
        <f>HYPERLINK("http://www.twitter.com/AniledA37", "AniledA37")</f>
        <v>AniledA37</v>
      </c>
      <c r="B19912" s="65"/>
    </row>
    <row r="19913" spans="1:2" x14ac:dyDescent="0.25">
      <c r="A19913" s="64" t="str">
        <f>HYPERLINK("http://www.twitter.com/as_learn", "as_learn")</f>
        <v>as_learn</v>
      </c>
      <c r="B19913" s="65" t="s">
        <v>9654</v>
      </c>
    </row>
    <row r="19914" spans="1:2" x14ac:dyDescent="0.25">
      <c r="A19914" s="64" t="str">
        <f>HYPERLINK("http://www.twitter.com/greyhousepub", "greyhousepub")</f>
        <v>greyhousepub</v>
      </c>
      <c r="B19914" s="65" t="s">
        <v>9655</v>
      </c>
    </row>
    <row r="19915" spans="1:2" x14ac:dyDescent="0.25">
      <c r="A19915" s="64" t="str">
        <f>HYPERLINK("http://www.twitter.com/BuzzScotland", "BuzzScotland")</f>
        <v>BuzzScotland</v>
      </c>
      <c r="B19915" s="65" t="s">
        <v>9656</v>
      </c>
    </row>
    <row r="19916" spans="1:2" x14ac:dyDescent="0.25">
      <c r="A19916" s="64" t="str">
        <f>HYPERLINK("http://www.twitter.com/Syrahbella", "Syrahbella")</f>
        <v>Syrahbella</v>
      </c>
      <c r="B19916" s="65" t="s">
        <v>9657</v>
      </c>
    </row>
    <row r="19917" spans="1:2" x14ac:dyDescent="0.25">
      <c r="A19917" s="64" t="str">
        <f>HYPERLINK("http://www.twitter.com/Snirabhartaigh", "Snirabhartaigh")</f>
        <v>Snirabhartaigh</v>
      </c>
      <c r="B19917" s="65" t="s">
        <v>3760</v>
      </c>
    </row>
    <row r="19918" spans="1:2" x14ac:dyDescent="0.25">
      <c r="A19918" s="64" t="str">
        <f>HYPERLINK("http://www.twitter.com/booksesandtea", "booksesandtea")</f>
        <v>booksesandtea</v>
      </c>
      <c r="B19918" s="65" t="s">
        <v>9658</v>
      </c>
    </row>
    <row r="19919" spans="1:2" x14ac:dyDescent="0.25">
      <c r="A19919" s="64" t="str">
        <f>HYPERLINK("http://www.twitter.com/reddaisy438", "reddaisy438")</f>
        <v>reddaisy438</v>
      </c>
      <c r="B19919" s="65" t="s">
        <v>9659</v>
      </c>
    </row>
    <row r="19920" spans="1:2" x14ac:dyDescent="0.25">
      <c r="A19920" s="64" t="str">
        <f>HYPERLINK("http://www.twitter.com/kirstenwaddell", "kirstenwaddell")</f>
        <v>kirstenwaddell</v>
      </c>
      <c r="B19920" s="65"/>
    </row>
    <row r="19921" spans="1:2" x14ac:dyDescent="0.25">
      <c r="A19921" s="64" t="str">
        <f>HYPERLINK("http://www.twitter.com/uhiservicedesk", "uhiservicedesk")</f>
        <v>uhiservicedesk</v>
      </c>
      <c r="B19921" s="65" t="s">
        <v>9660</v>
      </c>
    </row>
    <row r="19922" spans="1:2" x14ac:dyDescent="0.25">
      <c r="A19922" s="64" t="str">
        <f>HYPERLINK("http://www.twitter.com/blackpug73", "blackpug73")</f>
        <v>blackpug73</v>
      </c>
      <c r="B19922" s="65" t="s">
        <v>9661</v>
      </c>
    </row>
    <row r="19923" spans="1:2" x14ac:dyDescent="0.25">
      <c r="A19923" s="64" t="str">
        <f>HYPERLINK("http://www.twitter.com/KilmurryEvelyn", "KilmurryEvelyn")</f>
        <v>KilmurryEvelyn</v>
      </c>
      <c r="B19923" s="65" t="s">
        <v>487</v>
      </c>
    </row>
    <row r="19924" spans="1:2" x14ac:dyDescent="0.25">
      <c r="A19924" s="64" t="str">
        <f>HYPERLINK("http://www.twitter.com/arch_bizzle", "arch_bizzle")</f>
        <v>arch_bizzle</v>
      </c>
      <c r="B19924" s="65" t="s">
        <v>9662</v>
      </c>
    </row>
    <row r="19925" spans="1:2" x14ac:dyDescent="0.25">
      <c r="A19925" s="64" t="str">
        <f>HYPERLINK("http://www.twitter.com/JDWhitelaw13", "JDWhitelaw13")</f>
        <v>JDWhitelaw13</v>
      </c>
      <c r="B19925" s="65"/>
    </row>
    <row r="19926" spans="1:2" x14ac:dyDescent="0.25">
      <c r="A19926" s="64" t="str">
        <f>HYPERLINK("http://www.twitter.com/treck1648", "treck1648")</f>
        <v>treck1648</v>
      </c>
      <c r="B19926" s="65"/>
    </row>
    <row r="19927" spans="1:2" x14ac:dyDescent="0.25">
      <c r="A19927" s="64" t="str">
        <f>HYPERLINK("http://www.twitter.com/ToucanPie", "ToucanPie")</f>
        <v>ToucanPie</v>
      </c>
      <c r="B19927" s="65" t="s">
        <v>9663</v>
      </c>
    </row>
    <row r="19928" spans="1:2" x14ac:dyDescent="0.25">
      <c r="A19928" s="64" t="str">
        <f>HYPERLINK("http://www.twitter.com/DaveOlson15", "DaveOlson15")</f>
        <v>DaveOlson15</v>
      </c>
      <c r="B19928" s="65"/>
    </row>
    <row r="19929" spans="1:2" x14ac:dyDescent="0.25">
      <c r="A19929" s="64" t="str">
        <f>HYPERLINK("http://www.twitter.com/Rosehill_girl", "Rosehill_girl")</f>
        <v>Rosehill_girl</v>
      </c>
      <c r="B19929" s="65" t="s">
        <v>9664</v>
      </c>
    </row>
    <row r="19930" spans="1:2" x14ac:dyDescent="0.25">
      <c r="A19930" s="64" t="str">
        <f>HYPERLINK("http://www.twitter.com/Lisamanwaring1", "Lisamanwaring1")</f>
        <v>Lisamanwaring1</v>
      </c>
      <c r="B19930" s="65" t="s">
        <v>3919</v>
      </c>
    </row>
    <row r="19931" spans="1:2" x14ac:dyDescent="0.25">
      <c r="A19931" s="64" t="str">
        <f>HYPERLINK("http://www.twitter.com/peterejkemp", "peterejkemp")</f>
        <v>peterejkemp</v>
      </c>
      <c r="B19931" s="65" t="s">
        <v>36</v>
      </c>
    </row>
    <row r="19932" spans="1:2" x14ac:dyDescent="0.25">
      <c r="A19932" s="64" t="str">
        <f>HYPERLINK("http://www.twitter.com/finaglinger", "finaglinger")</f>
        <v>finaglinger</v>
      </c>
      <c r="B19932" s="65"/>
    </row>
    <row r="19933" spans="1:2" x14ac:dyDescent="0.25">
      <c r="A19933" s="64" t="str">
        <f>HYPERLINK("http://www.twitter.com/JenniferTomes", "JenniferTomes")</f>
        <v>JenniferTomes</v>
      </c>
      <c r="B19933" s="65"/>
    </row>
    <row r="19934" spans="1:2" x14ac:dyDescent="0.25">
      <c r="A19934" s="64" t="str">
        <f>HYPERLINK("http://www.twitter.com/LibraryMix", "LibraryMix")</f>
        <v>LibraryMix</v>
      </c>
      <c r="B19934" s="65"/>
    </row>
    <row r="19935" spans="1:2" x14ac:dyDescent="0.25">
      <c r="A19935" s="64" t="str">
        <f>HYPERLINK("http://www.twitter.com/rosetintedworld", "rosetintedworld")</f>
        <v>rosetintedworld</v>
      </c>
      <c r="B19935" s="65" t="s">
        <v>9665</v>
      </c>
    </row>
    <row r="19936" spans="1:2" x14ac:dyDescent="0.25">
      <c r="A19936" s="64" t="str">
        <f>HYPERLINK("http://www.twitter.com/angusmacleod", "angusmacleod")</f>
        <v>angusmacleod</v>
      </c>
      <c r="B19936" s="65" t="s">
        <v>9666</v>
      </c>
    </row>
    <row r="19937" spans="1:2" x14ac:dyDescent="0.25">
      <c r="A19937" s="64" t="str">
        <f>HYPERLINK("http://www.twitter.com/boohewerdine", "boohewerdine")</f>
        <v>boohewerdine</v>
      </c>
      <c r="B19937" s="65"/>
    </row>
    <row r="19938" spans="1:2" x14ac:dyDescent="0.25">
      <c r="A19938" s="64" t="str">
        <f>HYPERLINK("http://www.twitter.com/alivmckay", "alivmckay")</f>
        <v>alivmckay</v>
      </c>
      <c r="B19938" s="65"/>
    </row>
    <row r="19939" spans="1:2" x14ac:dyDescent="0.25">
      <c r="A19939" s="64" t="str">
        <f>HYPERLINK("http://www.twitter.com/zo_grant", "zo_grant")</f>
        <v>zo_grant</v>
      </c>
      <c r="B19939" s="65"/>
    </row>
    <row r="19940" spans="1:2" x14ac:dyDescent="0.25">
      <c r="A19940" s="64" t="str">
        <f>HYPERLINK("http://www.twitter.com/lilacpatsy", "lilacpatsy")</f>
        <v>lilacpatsy</v>
      </c>
      <c r="B19940" s="65" t="s">
        <v>5777</v>
      </c>
    </row>
    <row r="19941" spans="1:2" x14ac:dyDescent="0.25">
      <c r="A19941" s="64" t="str">
        <f>HYPERLINK("http://www.twitter.com/_LauraCook_", "_LauraCook_")</f>
        <v>_LauraCook_</v>
      </c>
      <c r="B19941" s="65" t="s">
        <v>2041</v>
      </c>
    </row>
    <row r="19942" spans="1:2" x14ac:dyDescent="0.25">
      <c r="A19942" s="64" t="str">
        <f>HYPERLINK("http://www.twitter.com/AaronHJones", "AaronHJones")</f>
        <v>AaronHJones</v>
      </c>
      <c r="B19942" s="65" t="s">
        <v>9667</v>
      </c>
    </row>
    <row r="19943" spans="1:2" x14ac:dyDescent="0.25">
      <c r="A19943" s="64" t="str">
        <f>HYPERLINK("http://www.twitter.com/NewsomJennifer", "NewsomJennifer")</f>
        <v>NewsomJennifer</v>
      </c>
      <c r="B19943" s="65"/>
    </row>
    <row r="19944" spans="1:2" x14ac:dyDescent="0.25">
      <c r="A19944" s="64" t="str">
        <f>HYPERLINK("http://www.twitter.com/MakeyCakeyRuth", "MakeyCakeyRuth")</f>
        <v>MakeyCakeyRuth</v>
      </c>
      <c r="B19944" s="65"/>
    </row>
    <row r="19945" spans="1:2" x14ac:dyDescent="0.25">
      <c r="A19945" s="64" t="str">
        <f>HYPERLINK("http://www.twitter.com/KTspeaks", "KTspeaks")</f>
        <v>KTspeaks</v>
      </c>
      <c r="B19945" s="65" t="s">
        <v>24</v>
      </c>
    </row>
    <row r="19946" spans="1:2" x14ac:dyDescent="0.25">
      <c r="A19946" s="64" t="str">
        <f>HYPERLINK("http://www.twitter.com/JaneNX01", "JaneNX01")</f>
        <v>JaneNX01</v>
      </c>
      <c r="B19946" s="65"/>
    </row>
    <row r="19947" spans="1:2" x14ac:dyDescent="0.25">
      <c r="A19947" s="64" t="str">
        <f>HYPERLINK("http://www.twitter.com/dmacs67", "dmacs67")</f>
        <v>dmacs67</v>
      </c>
      <c r="B19947" s="65" t="s">
        <v>24</v>
      </c>
    </row>
    <row r="19948" spans="1:2" x14ac:dyDescent="0.25">
      <c r="A19948" s="64" t="str">
        <f>HYPERLINK("http://www.twitter.com/akaCrush", "akaCrush")</f>
        <v>akaCrush</v>
      </c>
      <c r="B19948" s="65" t="s">
        <v>9668</v>
      </c>
    </row>
    <row r="19949" spans="1:2" x14ac:dyDescent="0.25">
      <c r="A19949" s="64" t="str">
        <f>HYPERLINK("http://www.twitter.com/RenateKriegler", "RenateKriegler")</f>
        <v>RenateKriegler</v>
      </c>
      <c r="B19949" s="65" t="s">
        <v>9669</v>
      </c>
    </row>
    <row r="19950" spans="1:2" x14ac:dyDescent="0.25">
      <c r="A19950" s="64" t="str">
        <f>HYPERLINK("http://www.twitter.com/Peak_Childcare", "Peak_Childcare")</f>
        <v>Peak_Childcare</v>
      </c>
      <c r="B19950" s="65" t="s">
        <v>9670</v>
      </c>
    </row>
    <row r="19951" spans="1:2" x14ac:dyDescent="0.25">
      <c r="A19951" s="64" t="str">
        <f>HYPERLINK("http://www.twitter.com/granitepeapod", "granitepeapod")</f>
        <v>granitepeapod</v>
      </c>
      <c r="B19951" s="65"/>
    </row>
    <row r="19952" spans="1:2" x14ac:dyDescent="0.25">
      <c r="A19952" s="64" t="str">
        <f>HYPERLINK("http://www.twitter.com/MrKevinBoniface", "MrKevinBoniface")</f>
        <v>MrKevinBoniface</v>
      </c>
      <c r="B19952" s="65" t="s">
        <v>9671</v>
      </c>
    </row>
    <row r="19953" spans="1:2" x14ac:dyDescent="0.25">
      <c r="A19953" s="64" t="str">
        <f>HYPERLINK("http://www.twitter.com/emloi", "emloi")</f>
        <v>emloi</v>
      </c>
      <c r="B19953" s="65" t="s">
        <v>296</v>
      </c>
    </row>
    <row r="19954" spans="1:2" x14ac:dyDescent="0.25">
      <c r="A19954" s="64" t="str">
        <f>HYPERLINK("http://www.twitter.com/ms_tattsyrup", "ms_tattsyrup")</f>
        <v>ms_tattsyrup</v>
      </c>
      <c r="B19954" s="65" t="s">
        <v>5702</v>
      </c>
    </row>
    <row r="19955" spans="1:2" x14ac:dyDescent="0.25">
      <c r="A19955" s="64" t="str">
        <f>HYPERLINK("http://www.twitter.com/79ballboy", "79ballboy")</f>
        <v>79ballboy</v>
      </c>
      <c r="B19955" s="65" t="s">
        <v>77</v>
      </c>
    </row>
    <row r="19956" spans="1:2" x14ac:dyDescent="0.25">
      <c r="A19956" s="64" t="str">
        <f>HYPERLINK("http://www.twitter.com/petra23dingen", "petra23dingen")</f>
        <v>petra23dingen</v>
      </c>
      <c r="B19956" s="65"/>
    </row>
    <row r="19957" spans="1:2" x14ac:dyDescent="0.25">
      <c r="A19957" s="64" t="str">
        <f>HYPERLINK("http://www.twitter.com/AnnEBrockbank1", "AnnEBrockbank1")</f>
        <v>AnnEBrockbank1</v>
      </c>
      <c r="B19957" s="65" t="s">
        <v>9672</v>
      </c>
    </row>
    <row r="19958" spans="1:2" x14ac:dyDescent="0.25">
      <c r="A19958" s="64" t="str">
        <f>HYPERLINK("http://www.twitter.com/KarenAPritchard", "KarenAPritchard")</f>
        <v>KarenAPritchard</v>
      </c>
      <c r="B19958" s="65" t="s">
        <v>9673</v>
      </c>
    </row>
    <row r="19959" spans="1:2" x14ac:dyDescent="0.25">
      <c r="A19959" s="64" t="str">
        <f>HYPERLINK("http://www.twitter.com/artandsoulman", "artandsoulman")</f>
        <v>artandsoulman</v>
      </c>
      <c r="B19959" s="65" t="s">
        <v>9674</v>
      </c>
    </row>
    <row r="19960" spans="1:2" x14ac:dyDescent="0.25">
      <c r="A19960" s="64" t="str">
        <f>HYPERLINK("http://www.twitter.com/shunad", "shunad")</f>
        <v>shunad</v>
      </c>
      <c r="B19960" s="65" t="s">
        <v>517</v>
      </c>
    </row>
    <row r="19961" spans="1:2" x14ac:dyDescent="0.25">
      <c r="A19961" s="64" t="str">
        <f>HYPERLINK("http://www.twitter.com/marikenimwegen", "marikenimwegen")</f>
        <v>marikenimwegen</v>
      </c>
      <c r="B19961" s="65"/>
    </row>
    <row r="19962" spans="1:2" x14ac:dyDescent="0.25">
      <c r="A19962" s="64" t="str">
        <f>HYPERLINK("http://www.twitter.com/PaulMMCooper", "PaulMMCooper")</f>
        <v>PaulMMCooper</v>
      </c>
      <c r="B19962" s="65" t="s">
        <v>1511</v>
      </c>
    </row>
    <row r="19963" spans="1:2" x14ac:dyDescent="0.25">
      <c r="A19963" s="64" t="str">
        <f>HYPERLINK("http://www.twitter.com/jlavig", "jlavig")</f>
        <v>jlavig</v>
      </c>
      <c r="B19963" s="65" t="s">
        <v>4157</v>
      </c>
    </row>
    <row r="19964" spans="1:2" x14ac:dyDescent="0.25">
      <c r="A19964" s="64" t="str">
        <f>HYPERLINK("http://www.twitter.com/CENSIS121", "CENSIS121")</f>
        <v>CENSIS121</v>
      </c>
      <c r="B19964" s="65" t="s">
        <v>318</v>
      </c>
    </row>
    <row r="19965" spans="1:2" x14ac:dyDescent="0.25">
      <c r="A19965" s="64" t="str">
        <f>HYPERLINK("http://www.twitter.com/MaryAddyman", "MaryAddyman")</f>
        <v>MaryAddyman</v>
      </c>
      <c r="B19965" s="65" t="s">
        <v>7067</v>
      </c>
    </row>
    <row r="19966" spans="1:2" x14ac:dyDescent="0.25">
      <c r="A19966" s="64" t="str">
        <f>HYPERLINK("http://www.twitter.com/beth_legg", "beth_legg")</f>
        <v>beth_legg</v>
      </c>
      <c r="B19966" s="65" t="s">
        <v>9675</v>
      </c>
    </row>
    <row r="19967" spans="1:2" x14ac:dyDescent="0.25">
      <c r="A19967" s="64" t="str">
        <f>HYPERLINK("http://www.twitter.com/mayweed05", "mayweed05")</f>
        <v>mayweed05</v>
      </c>
      <c r="B19967" s="65"/>
    </row>
    <row r="19968" spans="1:2" x14ac:dyDescent="0.25">
      <c r="A19968" s="64" t="str">
        <f>HYPERLINK("http://www.twitter.com/lauralikespie", "lauralikespie")</f>
        <v>lauralikespie</v>
      </c>
      <c r="B19968" s="65" t="s">
        <v>4716</v>
      </c>
    </row>
    <row r="19969" spans="1:2" x14ac:dyDescent="0.25">
      <c r="A19969" s="64" t="str">
        <f>HYPERLINK("http://www.twitter.com/angelonmychest", "angelonmychest")</f>
        <v>angelonmychest</v>
      </c>
      <c r="B19969" s="65" t="s">
        <v>9676</v>
      </c>
    </row>
    <row r="19970" spans="1:2" x14ac:dyDescent="0.25">
      <c r="A19970" s="64" t="str">
        <f>HYPERLINK("http://www.twitter.com/falmouthbooks", "falmouthbooks")</f>
        <v>falmouthbooks</v>
      </c>
      <c r="B19970" s="65"/>
    </row>
    <row r="19971" spans="1:2" x14ac:dyDescent="0.25">
      <c r="A19971" s="64" t="str">
        <f>HYPERLINK("http://www.twitter.com/thesickracer", "thesickracer")</f>
        <v>thesickracer</v>
      </c>
      <c r="B19971" s="65"/>
    </row>
    <row r="19972" spans="1:2" x14ac:dyDescent="0.25">
      <c r="A19972" s="64" t="str">
        <f>HYPERLINK("http://www.twitter.com/Djkgdaniel", "Djkgdaniel")</f>
        <v>Djkgdaniel</v>
      </c>
      <c r="B19972" s="65" t="s">
        <v>517</v>
      </c>
    </row>
    <row r="19973" spans="1:2" x14ac:dyDescent="0.25">
      <c r="A19973" s="64" t="str">
        <f>HYPERLINK("http://www.twitter.com/LRSinclair", "LRSinclair")</f>
        <v>LRSinclair</v>
      </c>
      <c r="B19973" s="65" t="s">
        <v>9677</v>
      </c>
    </row>
    <row r="19974" spans="1:2" x14ac:dyDescent="0.25">
      <c r="A19974" s="64" t="str">
        <f>HYPERLINK("http://www.twitter.com/tomkiss", "tomkiss")</f>
        <v>tomkiss</v>
      </c>
      <c r="B19974" s="65" t="s">
        <v>5522</v>
      </c>
    </row>
    <row r="19975" spans="1:2" x14ac:dyDescent="0.25">
      <c r="A19975" s="64" t="str">
        <f>HYPERLINK("http://www.twitter.com/amelia_h03", "amelia_h03")</f>
        <v>amelia_h03</v>
      </c>
      <c r="B19975" s="65" t="s">
        <v>9678</v>
      </c>
    </row>
    <row r="19976" spans="1:2" x14ac:dyDescent="0.25">
      <c r="A19976" s="64" t="str">
        <f>HYPERLINK("http://www.twitter.com/RochdaleLRC", "RochdaleLRC")</f>
        <v>RochdaleLRC</v>
      </c>
      <c r="B19976" s="65"/>
    </row>
    <row r="19977" spans="1:2" x14ac:dyDescent="0.25">
      <c r="A19977" s="64" t="str">
        <f>HYPERLINK("http://www.twitter.com/BGACentre", "BGACentre")</f>
        <v>BGACentre</v>
      </c>
      <c r="B19977" s="65" t="s">
        <v>9679</v>
      </c>
    </row>
    <row r="19978" spans="1:2" x14ac:dyDescent="0.25">
      <c r="A19978" s="64" t="str">
        <f>HYPERLINK("http://www.twitter.com/MeganDyson3", "MeganDyson3")</f>
        <v>MeganDyson3</v>
      </c>
      <c r="B19978" s="65" t="s">
        <v>296</v>
      </c>
    </row>
    <row r="19979" spans="1:2" x14ac:dyDescent="0.25">
      <c r="A19979" s="64" t="str">
        <f>HYPERLINK("http://www.twitter.com/FootJeff", "FootJeff")</f>
        <v>FootJeff</v>
      </c>
      <c r="B19979" s="65" t="s">
        <v>9680</v>
      </c>
    </row>
    <row r="19980" spans="1:2" x14ac:dyDescent="0.25">
      <c r="A19980" s="64" t="str">
        <f>HYPERLINK("http://www.twitter.com/RealNessie", "RealNessie")</f>
        <v>RealNessie</v>
      </c>
      <c r="B19980" s="65" t="s">
        <v>9681</v>
      </c>
    </row>
    <row r="19981" spans="1:2" x14ac:dyDescent="0.25">
      <c r="A19981" s="64" t="str">
        <f>HYPERLINK("http://www.twitter.com/VLeachman", "VLeachman")</f>
        <v>VLeachman</v>
      </c>
      <c r="B19981" s="65" t="s">
        <v>4247</v>
      </c>
    </row>
    <row r="19982" spans="1:2" x14ac:dyDescent="0.25">
      <c r="A19982" s="64" t="str">
        <f>HYPERLINK("http://www.twitter.com/Wildgoose_ac", "Wildgoose_ac")</f>
        <v>Wildgoose_ac</v>
      </c>
      <c r="B19982" s="65" t="s">
        <v>9682</v>
      </c>
    </row>
    <row r="19983" spans="1:2" x14ac:dyDescent="0.25">
      <c r="A19983" s="64" t="str">
        <f>HYPERLINK("http://www.twitter.com/BIBFRAME", "BIBFRAME")</f>
        <v>BIBFRAME</v>
      </c>
      <c r="B19983" s="65"/>
    </row>
    <row r="19984" spans="1:2" x14ac:dyDescent="0.25">
      <c r="A19984" s="64" t="str">
        <f>HYPERLINK("http://www.twitter.com/jgamblemezzo", "jgamblemezzo")</f>
        <v>jgamblemezzo</v>
      </c>
      <c r="B19984" s="65"/>
    </row>
    <row r="19985" spans="1:2" x14ac:dyDescent="0.25">
      <c r="A19985" s="64" t="str">
        <f>HYPERLINK("http://www.twitter.com/CalMacKidsClub", "CalMacKidsClub")</f>
        <v>CalMacKidsClub</v>
      </c>
      <c r="B19985" s="65"/>
    </row>
    <row r="19986" spans="1:2" x14ac:dyDescent="0.25">
      <c r="A19986" s="64" t="str">
        <f>HYPERLINK("http://www.twitter.com/angelanowell", "angelanowell")</f>
        <v>angelanowell</v>
      </c>
      <c r="B19986" s="65"/>
    </row>
    <row r="19987" spans="1:2" x14ac:dyDescent="0.25">
      <c r="A19987" s="64" t="str">
        <f>HYPERLINK("http://www.twitter.com/Slippynohair", "Slippynohair")</f>
        <v>Slippynohair</v>
      </c>
      <c r="B19987" s="65"/>
    </row>
    <row r="19988" spans="1:2" x14ac:dyDescent="0.25">
      <c r="A19988" s="64" t="str">
        <f>HYPERLINK("http://www.twitter.com/miakulper", "miakulper")</f>
        <v>miakulper</v>
      </c>
      <c r="B19988" s="65" t="s">
        <v>9683</v>
      </c>
    </row>
    <row r="19989" spans="1:2" x14ac:dyDescent="0.25">
      <c r="A19989" s="64" t="str">
        <f>HYPERLINK("http://www.twitter.com/Sharrieboberry", "Sharrieboberry")</f>
        <v>Sharrieboberry</v>
      </c>
      <c r="B19989" s="65" t="s">
        <v>9684</v>
      </c>
    </row>
    <row r="19990" spans="1:2" x14ac:dyDescent="0.25">
      <c r="A19990" s="64" t="str">
        <f>HYPERLINK("http://www.twitter.com/TaniaLove_FBs", "TaniaLove_FBs")</f>
        <v>TaniaLove_FBs</v>
      </c>
      <c r="B19990" s="65" t="s">
        <v>9685</v>
      </c>
    </row>
    <row r="19991" spans="1:2" x14ac:dyDescent="0.25">
      <c r="A19991" s="64" t="str">
        <f>HYPERLINK("http://www.twitter.com/NicolaCarthy", "NicolaCarthy")</f>
        <v>NicolaCarthy</v>
      </c>
      <c r="B19991" s="65" t="s">
        <v>36</v>
      </c>
    </row>
    <row r="19992" spans="1:2" x14ac:dyDescent="0.25">
      <c r="A19992" s="64" t="str">
        <f>HYPERLINK("http://www.twitter.com/SurreyOpera", "SurreyOpera")</f>
        <v>SurreyOpera</v>
      </c>
      <c r="B19992" s="65" t="s">
        <v>7836</v>
      </c>
    </row>
    <row r="19993" spans="1:2" x14ac:dyDescent="0.25">
      <c r="A19993" s="64" t="str">
        <f>HYPERLINK("http://www.twitter.com/Katieclicks", "Katieclicks")</f>
        <v>Katieclicks</v>
      </c>
      <c r="B19993" s="65"/>
    </row>
    <row r="19994" spans="1:2" x14ac:dyDescent="0.25">
      <c r="A19994" s="64" t="str">
        <f>HYPERLINK("http://www.twitter.com/NTSCollections", "NTSCollections")</f>
        <v>NTSCollections</v>
      </c>
      <c r="B19994" s="65" t="s">
        <v>517</v>
      </c>
    </row>
    <row r="19995" spans="1:2" x14ac:dyDescent="0.25">
      <c r="A19995" s="64" t="str">
        <f>HYPERLINK("http://www.twitter.com/JennyLindop", "JennyLindop")</f>
        <v>JennyLindop</v>
      </c>
      <c r="B19995" s="65" t="s">
        <v>1980</v>
      </c>
    </row>
    <row r="19996" spans="1:2" x14ac:dyDescent="0.25">
      <c r="A19996" s="64" t="str">
        <f>HYPERLINK("http://www.twitter.com/lisa_rae7", "lisa_rae7")</f>
        <v>lisa_rae7</v>
      </c>
      <c r="B19996" s="65" t="s">
        <v>8331</v>
      </c>
    </row>
    <row r="19997" spans="1:2" x14ac:dyDescent="0.25">
      <c r="A19997" s="64" t="str">
        <f>HYPERLINK("http://www.twitter.com/jamie5on", "jamie5on")</f>
        <v>jamie5on</v>
      </c>
      <c r="B19997" s="65" t="s">
        <v>9686</v>
      </c>
    </row>
    <row r="19998" spans="1:2" x14ac:dyDescent="0.25">
      <c r="A19998" s="64" t="str">
        <f>HYPERLINK("http://www.twitter.com/vicgriffpierce", "vicgriffpierce")</f>
        <v>vicgriffpierce</v>
      </c>
      <c r="B19998" s="65" t="s">
        <v>1537</v>
      </c>
    </row>
    <row r="19999" spans="1:2" x14ac:dyDescent="0.25">
      <c r="A19999" s="64" t="str">
        <f>HYPERLINK("http://www.twitter.com/jenni_davidson", "jenni_davidson")</f>
        <v>jenni_davidson</v>
      </c>
      <c r="B19999" s="65" t="s">
        <v>24</v>
      </c>
    </row>
    <row r="20000" spans="1:2" x14ac:dyDescent="0.25">
      <c r="A20000" s="64" t="str">
        <f>HYPERLINK("http://www.twitter.com/NaomiElysia", "NaomiElysia")</f>
        <v>NaomiElysia</v>
      </c>
      <c r="B20000" s="65"/>
    </row>
    <row r="20001" spans="1:2" x14ac:dyDescent="0.25">
      <c r="A20001" s="64" t="str">
        <f>HYPERLINK("http://www.twitter.com/katiegatten", "katiegatten")</f>
        <v>katiegatten</v>
      </c>
      <c r="B20001" s="65"/>
    </row>
    <row r="20002" spans="1:2" x14ac:dyDescent="0.25">
      <c r="A20002" s="64" t="str">
        <f>HYPERLINK("http://www.twitter.com/thatred1", "thatred1")</f>
        <v>thatred1</v>
      </c>
      <c r="B20002" s="65" t="s">
        <v>4369</v>
      </c>
    </row>
    <row r="20003" spans="1:2" x14ac:dyDescent="0.25">
      <c r="A20003" s="64" t="str">
        <f>HYPERLINK("http://www.twitter.com/zelibelibrary", "zelibelibrary")</f>
        <v>zelibelibrary</v>
      </c>
      <c r="B20003" s="65" t="s">
        <v>9687</v>
      </c>
    </row>
    <row r="20004" spans="1:2" x14ac:dyDescent="0.25">
      <c r="A20004" s="64" t="str">
        <f>HYPERLINK("http://www.twitter.com/Shonacanfly", "Shonacanfly")</f>
        <v>Shonacanfly</v>
      </c>
      <c r="B20004" s="65"/>
    </row>
    <row r="20005" spans="1:2" x14ac:dyDescent="0.25">
      <c r="A20005" s="64" t="str">
        <f>HYPERLINK("http://www.twitter.com/EmmaMcFawcett", "EmmaMcFawcett")</f>
        <v>EmmaMcFawcett</v>
      </c>
      <c r="B20005" s="65" t="s">
        <v>3760</v>
      </c>
    </row>
    <row r="20006" spans="1:2" x14ac:dyDescent="0.25">
      <c r="A20006" s="64" t="str">
        <f>HYPERLINK("http://www.twitter.com/CedarMillLib", "CedarMillLib")</f>
        <v>CedarMillLib</v>
      </c>
      <c r="B20006" s="65" t="s">
        <v>3872</v>
      </c>
    </row>
    <row r="20007" spans="1:2" x14ac:dyDescent="0.25">
      <c r="A20007" s="64" t="str">
        <f>HYPERLINK("http://www.twitter.com/LFox63", "LFox63")</f>
        <v>LFox63</v>
      </c>
      <c r="B20007" s="65"/>
    </row>
    <row r="20008" spans="1:2" x14ac:dyDescent="0.25">
      <c r="A20008" s="64" t="str">
        <f>HYPERLINK("http://www.twitter.com/LornaNycdoonie", "LornaNycdoonie")</f>
        <v>LornaNycdoonie</v>
      </c>
      <c r="B20008" s="65"/>
    </row>
    <row r="20009" spans="1:2" x14ac:dyDescent="0.25">
      <c r="A20009" s="64" t="str">
        <f>HYPERLINK("http://www.twitter.com/sinbinnin", "sinbinnin")</f>
        <v>sinbinnin</v>
      </c>
      <c r="B20009" s="65" t="s">
        <v>907</v>
      </c>
    </row>
    <row r="20010" spans="1:2" x14ac:dyDescent="0.25">
      <c r="A20010" s="64" t="str">
        <f>HYPERLINK("http://www.twitter.com/felicitypaynter", "felicitypaynter")</f>
        <v>felicitypaynter</v>
      </c>
      <c r="B20010" s="65" t="s">
        <v>36</v>
      </c>
    </row>
    <row r="20011" spans="1:2" x14ac:dyDescent="0.25">
      <c r="A20011" s="64" t="str">
        <f>HYPERLINK("http://www.twitter.com/Librarianpocket", "Librarianpocket")</f>
        <v>Librarianpocket</v>
      </c>
      <c r="B20011" s="65" t="s">
        <v>3850</v>
      </c>
    </row>
    <row r="20012" spans="1:2" x14ac:dyDescent="0.25">
      <c r="A20012" s="64" t="str">
        <f>HYPERLINK("http://www.twitter.com/GreatAuntieJojo", "GreatAuntieJojo")</f>
        <v>GreatAuntieJojo</v>
      </c>
      <c r="B20012" s="65" t="s">
        <v>296</v>
      </c>
    </row>
    <row r="20013" spans="1:2" x14ac:dyDescent="0.25">
      <c r="A20013" s="64" t="str">
        <f>HYPERLINK("http://www.twitter.com/ldaviesmusic", "ldaviesmusic")</f>
        <v>ldaviesmusic</v>
      </c>
      <c r="B20013" s="65" t="s">
        <v>9688</v>
      </c>
    </row>
    <row r="20014" spans="1:2" x14ac:dyDescent="0.25">
      <c r="A20014" s="64" t="str">
        <f>HYPERLINK("http://www.twitter.com/westernulibsDBW", "westernulibsDBW")</f>
        <v>westernulibsDBW</v>
      </c>
      <c r="B20014" s="65" t="s">
        <v>8331</v>
      </c>
    </row>
    <row r="20015" spans="1:2" x14ac:dyDescent="0.25">
      <c r="A20015" s="64" t="str">
        <f>HYPERLINK("http://www.twitter.com/SharanyaHK", "SharanyaHK")</f>
        <v>SharanyaHK</v>
      </c>
      <c r="B20015" s="65" t="s">
        <v>9689</v>
      </c>
    </row>
    <row r="20016" spans="1:2" x14ac:dyDescent="0.25">
      <c r="A20016" s="64" t="str">
        <f>HYPERLINK("http://www.twitter.com/EliseFB", "EliseFB")</f>
        <v>EliseFB</v>
      </c>
      <c r="B20016" s="65" t="s">
        <v>2887</v>
      </c>
    </row>
    <row r="20017" spans="1:2" x14ac:dyDescent="0.25">
      <c r="A20017" s="64" t="str">
        <f>HYPERLINK("http://www.twitter.com/chacastle", "chacastle")</f>
        <v>chacastle</v>
      </c>
      <c r="B20017" s="65"/>
    </row>
    <row r="20018" spans="1:2" x14ac:dyDescent="0.25">
      <c r="A20018" s="64" t="str">
        <f>HYPERLINK("http://www.twitter.com/lauralazsewell", "lauralazsewell")</f>
        <v>lauralazsewell</v>
      </c>
      <c r="B20018" s="65" t="s">
        <v>9690</v>
      </c>
    </row>
    <row r="20019" spans="1:2" x14ac:dyDescent="0.25">
      <c r="A20019" s="64" t="str">
        <f>HYPERLINK("http://www.twitter.com/MerielJeater", "MerielJeater")</f>
        <v>MerielJeater</v>
      </c>
      <c r="B20019" s="65"/>
    </row>
    <row r="20020" spans="1:2" x14ac:dyDescent="0.25">
      <c r="A20020" s="64" t="str">
        <f>HYPERLINK("http://www.twitter.com/custard1980", "custard1980")</f>
        <v>custard1980</v>
      </c>
      <c r="B20020" s="65" t="s">
        <v>3662</v>
      </c>
    </row>
    <row r="20021" spans="1:2" x14ac:dyDescent="0.25">
      <c r="A20021" s="64" t="str">
        <f>HYPERLINK("http://www.twitter.com/swinmill", "swinmill")</f>
        <v>swinmill</v>
      </c>
      <c r="B20021" s="65" t="s">
        <v>36</v>
      </c>
    </row>
    <row r="20022" spans="1:2" x14ac:dyDescent="0.25">
      <c r="A20022" s="64" t="str">
        <f>HYPERLINK("http://www.twitter.com/ric_mcc", "ric_mcc")</f>
        <v>ric_mcc</v>
      </c>
      <c r="B20022" s="65" t="s">
        <v>36</v>
      </c>
    </row>
    <row r="20023" spans="1:2" x14ac:dyDescent="0.25">
      <c r="A20023" s="64" t="str">
        <f>HYPERLINK("http://www.twitter.com/tomasconneely", "tomasconneely")</f>
        <v>tomasconneely</v>
      </c>
      <c r="B20023" s="65" t="s">
        <v>9691</v>
      </c>
    </row>
    <row r="20024" spans="1:2" x14ac:dyDescent="0.25">
      <c r="A20024" s="64" t="str">
        <f>HYPERLINK("http://www.twitter.com/book_tokens", "book_tokens")</f>
        <v>book_tokens</v>
      </c>
      <c r="B20024" s="65" t="s">
        <v>9692</v>
      </c>
    </row>
    <row r="20025" spans="1:2" x14ac:dyDescent="0.25">
      <c r="A20025" s="64" t="str">
        <f>HYPERLINK("http://www.twitter.com/BL_EcclesCentre", "BL_EcclesCentre")</f>
        <v>BL_EcclesCentre</v>
      </c>
      <c r="B20025" s="65" t="s">
        <v>9693</v>
      </c>
    </row>
    <row r="20026" spans="1:2" x14ac:dyDescent="0.25">
      <c r="A20026" s="64" t="str">
        <f>HYPERLINK("http://www.twitter.com/amethyst_heels", "amethyst_heels")</f>
        <v>amethyst_heels</v>
      </c>
      <c r="B20026" s="65"/>
    </row>
    <row r="20027" spans="1:2" x14ac:dyDescent="0.25">
      <c r="A20027" s="64" t="str">
        <f>HYPERLINK("http://www.twitter.com/josh__blair", "josh__blair")</f>
        <v>josh__blair</v>
      </c>
      <c r="B20027" s="65" t="s">
        <v>110</v>
      </c>
    </row>
    <row r="20028" spans="1:2" x14ac:dyDescent="0.25">
      <c r="A20028" s="64" t="str">
        <f>HYPERLINK("http://www.twitter.com/eliharriss", "eliharriss")</f>
        <v>eliharriss</v>
      </c>
      <c r="B20028" s="65"/>
    </row>
    <row r="20029" spans="1:2" x14ac:dyDescent="0.25">
      <c r="A20029" s="64" t="str">
        <f>HYPERLINK("http://www.twitter.com/elsmvst", "elsmvst")</f>
        <v>elsmvst</v>
      </c>
      <c r="B20029" s="65" t="s">
        <v>5379</v>
      </c>
    </row>
    <row r="20030" spans="1:2" x14ac:dyDescent="0.25">
      <c r="A20030" s="64" t="str">
        <f>HYPERLINK("http://www.twitter.com/BiebLekIJssel", "BiebLekIJssel")</f>
        <v>BiebLekIJssel</v>
      </c>
      <c r="B20030" s="65" t="s">
        <v>9694</v>
      </c>
    </row>
    <row r="20031" spans="1:2" x14ac:dyDescent="0.25">
      <c r="A20031" s="64" t="str">
        <f>HYPERLINK("http://www.twitter.com/KOM_acc", "KOM_acc")</f>
        <v>KOM_acc</v>
      </c>
      <c r="B20031" s="65" t="s">
        <v>9695</v>
      </c>
    </row>
    <row r="20032" spans="1:2" x14ac:dyDescent="0.25">
      <c r="A20032" s="64" t="str">
        <f>HYPERLINK("http://www.twitter.com/BibliotheekOA", "BibliotheekOA")</f>
        <v>BibliotheekOA</v>
      </c>
      <c r="B20032" s="65" t="s">
        <v>9696</v>
      </c>
    </row>
    <row r="20033" spans="1:2" x14ac:dyDescent="0.25">
      <c r="A20033" s="64" t="str">
        <f>HYPERLINK("http://www.twitter.com/Exeoxlibrary", "Exeoxlibrary")</f>
        <v>Exeoxlibrary</v>
      </c>
      <c r="B20033" s="65" t="s">
        <v>505</v>
      </c>
    </row>
    <row r="20034" spans="1:2" x14ac:dyDescent="0.25">
      <c r="A20034" s="64" t="str">
        <f>HYPERLINK("http://www.twitter.com/MadouB", "MadouB")</f>
        <v>MadouB</v>
      </c>
      <c r="B20034" s="65" t="s">
        <v>9697</v>
      </c>
    </row>
    <row r="20035" spans="1:2" x14ac:dyDescent="0.25">
      <c r="A20035" s="64" t="str">
        <f>HYPERLINK("http://www.twitter.com/joshEPberry", "joshEPberry")</f>
        <v>joshEPberry</v>
      </c>
      <c r="B20035" s="65" t="s">
        <v>9698</v>
      </c>
    </row>
    <row r="20036" spans="1:2" x14ac:dyDescent="0.25">
      <c r="A20036" s="64" t="str">
        <f>HYPERLINK("http://www.twitter.com/EleanorFranzen", "EleanorFranzen")</f>
        <v>EleanorFranzen</v>
      </c>
      <c r="B20036" s="65" t="s">
        <v>477</v>
      </c>
    </row>
    <row r="20037" spans="1:2" x14ac:dyDescent="0.25">
      <c r="A20037" s="64" t="str">
        <f>HYPERLINK("http://www.twitter.com/AliKirker", "AliKirker")</f>
        <v>AliKirker</v>
      </c>
      <c r="B20037" s="65" t="s">
        <v>517</v>
      </c>
    </row>
    <row r="20038" spans="1:2" x14ac:dyDescent="0.25">
      <c r="A20038" s="64" t="str">
        <f>HYPERLINK("http://www.twitter.com/gabrielcrump17", "gabrielcrump17")</f>
        <v>gabrielcrump17</v>
      </c>
      <c r="B20038" s="65"/>
    </row>
    <row r="20039" spans="1:2" x14ac:dyDescent="0.25">
      <c r="A20039" s="64" t="str">
        <f>HYPERLINK("http://www.twitter.com/elinreeves", "elinreeves")</f>
        <v>elinreeves</v>
      </c>
      <c r="B20039" s="65"/>
    </row>
    <row r="20040" spans="1:2" x14ac:dyDescent="0.25">
      <c r="A20040" s="64" t="str">
        <f>HYPERLINK("http://www.twitter.com/alli_burnie", "alli_burnie")</f>
        <v>alli_burnie</v>
      </c>
      <c r="B20040" s="65" t="s">
        <v>3817</v>
      </c>
    </row>
    <row r="20041" spans="1:2" x14ac:dyDescent="0.25">
      <c r="A20041" s="64" t="str">
        <f>HYPERLINK("http://www.twitter.com/cornwallmp", "cornwallmp")</f>
        <v>cornwallmp</v>
      </c>
      <c r="B20041" s="65" t="s">
        <v>5045</v>
      </c>
    </row>
    <row r="20042" spans="1:2" x14ac:dyDescent="0.25">
      <c r="A20042" s="64" t="str">
        <f>HYPERLINK("http://www.twitter.com/bitginger", "bitginger")</f>
        <v>bitginger</v>
      </c>
      <c r="B20042" s="65" t="s">
        <v>1377</v>
      </c>
    </row>
    <row r="20043" spans="1:2" x14ac:dyDescent="0.25">
      <c r="A20043" s="64" t="str">
        <f>HYPERLINK("http://www.twitter.com/youngrat", "youngrat")</f>
        <v>youngrat</v>
      </c>
      <c r="B20043" s="65" t="s">
        <v>7304</v>
      </c>
    </row>
    <row r="20044" spans="1:2" x14ac:dyDescent="0.25">
      <c r="A20044" s="64" t="str">
        <f>HYPERLINK("http://www.twitter.com/couchpotatoadam", "couchpotatoadam")</f>
        <v>couchpotatoadam</v>
      </c>
      <c r="B20044" s="65" t="s">
        <v>296</v>
      </c>
    </row>
    <row r="20045" spans="1:2" x14ac:dyDescent="0.25">
      <c r="A20045" s="64" t="str">
        <f>HYPERLINK("http://www.twitter.com/WhiskyWriter", "WhiskyWriter")</f>
        <v>WhiskyWriter</v>
      </c>
      <c r="B20045" s="65" t="s">
        <v>487</v>
      </c>
    </row>
    <row r="20046" spans="1:2" x14ac:dyDescent="0.25">
      <c r="A20046" s="64" t="str">
        <f>HYPERLINK("http://www.twitter.com/anna_foden", "anna_foden")</f>
        <v>anna_foden</v>
      </c>
      <c r="B20046" s="65"/>
    </row>
    <row r="20047" spans="1:2" x14ac:dyDescent="0.25">
      <c r="A20047" s="64" t="str">
        <f>HYPERLINK("http://www.twitter.com/Hidden_Gardens", "Hidden_Gardens")</f>
        <v>Hidden_Gardens</v>
      </c>
      <c r="B20047" s="65" t="s">
        <v>9699</v>
      </c>
    </row>
    <row r="20048" spans="1:2" x14ac:dyDescent="0.25">
      <c r="A20048" s="64" t="str">
        <f>HYPERLINK("http://www.twitter.com/NathanKhadaroo", "NathanKhadaroo")</f>
        <v>NathanKhadaroo</v>
      </c>
      <c r="B20048" s="65"/>
    </row>
    <row r="20049" spans="1:2" x14ac:dyDescent="0.25">
      <c r="A20049" s="64" t="str">
        <f>HYPERLINK("http://www.twitter.com/durhamancestry", "durhamancestry")</f>
        <v>durhamancestry</v>
      </c>
      <c r="B20049" s="65" t="s">
        <v>837</v>
      </c>
    </row>
    <row r="20050" spans="1:2" x14ac:dyDescent="0.25">
      <c r="A20050" s="64" t="str">
        <f>HYPERLINK("http://www.twitter.com/GMBiseker", "GMBiseker")</f>
        <v>GMBiseker</v>
      </c>
      <c r="B20050" s="65" t="s">
        <v>9700</v>
      </c>
    </row>
    <row r="20051" spans="1:2" x14ac:dyDescent="0.25">
      <c r="A20051" s="64" t="str">
        <f>HYPERLINK("http://www.twitter.com/MrWolf81", "MrWolf81")</f>
        <v>MrWolf81</v>
      </c>
      <c r="B20051" s="65"/>
    </row>
    <row r="20052" spans="1:2" x14ac:dyDescent="0.25">
      <c r="A20052" s="64" t="str">
        <f>HYPERLINK("http://www.twitter.com/LambieTW", "LambieTW")</f>
        <v>LambieTW</v>
      </c>
      <c r="B20052" s="65"/>
    </row>
    <row r="20053" spans="1:2" x14ac:dyDescent="0.25">
      <c r="A20053" s="64" t="str">
        <f>HYPERLINK("http://www.twitter.com/dalstondavid", "dalstondavid")</f>
        <v>dalstondavid</v>
      </c>
      <c r="B20053" s="65" t="s">
        <v>36</v>
      </c>
    </row>
    <row r="20054" spans="1:2" x14ac:dyDescent="0.25">
      <c r="A20054" s="64" t="str">
        <f>HYPERLINK("http://www.twitter.com/lucieschaap", "lucieschaap")</f>
        <v>lucieschaap</v>
      </c>
      <c r="B20054" s="65" t="s">
        <v>6728</v>
      </c>
    </row>
    <row r="20055" spans="1:2" x14ac:dyDescent="0.25">
      <c r="A20055" s="64" t="str">
        <f>HYPERLINK("http://www.twitter.com/johannakz", "johannakz")</f>
        <v>johannakz</v>
      </c>
      <c r="B20055" s="65" t="s">
        <v>36</v>
      </c>
    </row>
    <row r="20056" spans="1:2" x14ac:dyDescent="0.25">
      <c r="A20056" s="64" t="str">
        <f>HYPERLINK("http://www.twitter.com/PDKeegan", "PDKeegan")</f>
        <v>PDKeegan</v>
      </c>
      <c r="B20056" s="65" t="s">
        <v>9701</v>
      </c>
    </row>
    <row r="20057" spans="1:2" x14ac:dyDescent="0.25">
      <c r="A20057" s="64" t="str">
        <f>HYPERLINK("http://www.twitter.com/Popcasting", "Popcasting")</f>
        <v>Popcasting</v>
      </c>
      <c r="B20057" s="65" t="s">
        <v>4533</v>
      </c>
    </row>
    <row r="20058" spans="1:2" x14ac:dyDescent="0.25">
      <c r="A20058" s="64" t="str">
        <f>HYPERLINK("http://www.twitter.com/B_S_Museum", "B_S_Museum")</f>
        <v>B_S_Museum</v>
      </c>
      <c r="B20058" s="65" t="s">
        <v>9702</v>
      </c>
    </row>
    <row r="20059" spans="1:2" x14ac:dyDescent="0.25">
      <c r="A20059" s="64" t="str">
        <f>HYPERLINK("http://www.twitter.com/r1chardpark3r", "r1chardpark3r")</f>
        <v>r1chardpark3r</v>
      </c>
      <c r="B20059" s="65" t="s">
        <v>9703</v>
      </c>
    </row>
    <row r="20060" spans="1:2" x14ac:dyDescent="0.25">
      <c r="A20060" s="64" t="str">
        <f>HYPERLINK("http://www.twitter.com/JaneCarlisleArt", "JaneCarlisleArt")</f>
        <v>JaneCarlisleArt</v>
      </c>
      <c r="B20060" s="65" t="s">
        <v>590</v>
      </c>
    </row>
    <row r="20061" spans="1:2" x14ac:dyDescent="0.25">
      <c r="A20061" s="64" t="str">
        <f>HYPERLINK("http://www.twitter.com/EmilyMitchell0", "EmilyMitchell0")</f>
        <v>EmilyMitchell0</v>
      </c>
      <c r="B20061" s="65" t="s">
        <v>296</v>
      </c>
    </row>
    <row r="20062" spans="1:2" x14ac:dyDescent="0.25">
      <c r="A20062" s="64" t="str">
        <f>HYPERLINK("http://www.twitter.com/FionaCandlin", "FionaCandlin")</f>
        <v>FionaCandlin</v>
      </c>
      <c r="B20062" s="65" t="s">
        <v>36</v>
      </c>
    </row>
    <row r="20063" spans="1:2" x14ac:dyDescent="0.25">
      <c r="A20063" s="64" t="str">
        <f>HYPERLINK("http://www.twitter.com/JosephBeuysMum", "JosephBeuysMum")</f>
        <v>JosephBeuysMum</v>
      </c>
      <c r="B20063" s="65" t="s">
        <v>9704</v>
      </c>
    </row>
    <row r="20064" spans="1:2" x14ac:dyDescent="0.25">
      <c r="A20064" s="64" t="str">
        <f>HYPERLINK("http://www.twitter.com/atlaschaser", "atlaschaser")</f>
        <v>atlaschaser</v>
      </c>
      <c r="B20064" s="65" t="s">
        <v>36</v>
      </c>
    </row>
    <row r="20065" spans="1:2" x14ac:dyDescent="0.25">
      <c r="A20065" s="64" t="str">
        <f>HYPERLINK("http://www.twitter.com/ndalyrose", "ndalyrose")</f>
        <v>ndalyrose</v>
      </c>
      <c r="B20065" s="65" t="s">
        <v>110</v>
      </c>
    </row>
    <row r="20066" spans="1:2" x14ac:dyDescent="0.25">
      <c r="A20066" s="64" t="str">
        <f>HYPERLINK("http://www.twitter.com/GallipoliGunner", "GallipoliGunner")</f>
        <v>GallipoliGunner</v>
      </c>
      <c r="B20066" s="65" t="s">
        <v>837</v>
      </c>
    </row>
    <row r="20067" spans="1:2" x14ac:dyDescent="0.25">
      <c r="A20067" s="64" t="str">
        <f>HYPERLINK("http://www.twitter.com/OStonestreet", "OStonestreet")</f>
        <v>OStonestreet</v>
      </c>
      <c r="B20067" s="65"/>
    </row>
    <row r="20068" spans="1:2" x14ac:dyDescent="0.25">
      <c r="A20068" s="64" t="str">
        <f>HYPERLINK("http://www.twitter.com/SabaManiar", "SabaManiar")</f>
        <v>SabaManiar</v>
      </c>
      <c r="B20068" s="65"/>
    </row>
    <row r="20069" spans="1:2" x14ac:dyDescent="0.25">
      <c r="A20069" s="64" t="str">
        <f>HYPERLINK("http://www.twitter.com/OldCowMorris", "OldCowMorris")</f>
        <v>OldCowMorris</v>
      </c>
      <c r="B20069" s="65" t="s">
        <v>4782</v>
      </c>
    </row>
    <row r="20070" spans="1:2" x14ac:dyDescent="0.25">
      <c r="A20070" s="64" t="str">
        <f>HYPERLINK("http://www.twitter.com/_starbaby1", "_starbaby1")</f>
        <v>_starbaby1</v>
      </c>
      <c r="B20070" s="65"/>
    </row>
    <row r="20071" spans="1:2" x14ac:dyDescent="0.25">
      <c r="A20071" s="64" t="str">
        <f>HYPERLINK("http://www.twitter.com/jackiekemp", "jackiekemp")</f>
        <v>jackiekemp</v>
      </c>
      <c r="B20071" s="65" t="s">
        <v>24</v>
      </c>
    </row>
    <row r="20072" spans="1:2" x14ac:dyDescent="0.25">
      <c r="A20072" s="64" t="str">
        <f>HYPERLINK("http://www.twitter.com/conradr", "conradr")</f>
        <v>conradr</v>
      </c>
      <c r="B20072" s="65" t="s">
        <v>487</v>
      </c>
    </row>
    <row r="20073" spans="1:2" x14ac:dyDescent="0.25">
      <c r="A20073" s="64" t="str">
        <f>HYPERLINK("http://www.twitter.com/PuppetAnimaScot", "PuppetAnimaScot")</f>
        <v>PuppetAnimaScot</v>
      </c>
      <c r="B20073" s="65"/>
    </row>
    <row r="20074" spans="1:2" x14ac:dyDescent="0.25">
      <c r="A20074" s="64" t="str">
        <f>HYPERLINK("http://www.twitter.com/HPutsey", "HPutsey")</f>
        <v>HPutsey</v>
      </c>
      <c r="B20074" s="65" t="s">
        <v>24</v>
      </c>
    </row>
    <row r="20075" spans="1:2" x14ac:dyDescent="0.25">
      <c r="A20075" s="64" t="str">
        <f>HYPERLINK("http://www.twitter.com/MoirIV", "MoirIV")</f>
        <v>MoirIV</v>
      </c>
      <c r="B20075" s="65" t="s">
        <v>517</v>
      </c>
    </row>
    <row r="20076" spans="1:2" x14ac:dyDescent="0.25">
      <c r="A20076" s="64" t="str">
        <f>HYPERLINK("http://www.twitter.com/cottrell_max", "cottrell_max")</f>
        <v>cottrell_max</v>
      </c>
      <c r="B20076" s="65"/>
    </row>
    <row r="20077" spans="1:2" x14ac:dyDescent="0.25">
      <c r="A20077" s="64" t="str">
        <f>HYPERLINK("http://www.twitter.com/fetteslibrary", "fetteslibrary")</f>
        <v>fetteslibrary</v>
      </c>
      <c r="B20077" s="65" t="s">
        <v>9705</v>
      </c>
    </row>
    <row r="20078" spans="1:2" x14ac:dyDescent="0.25">
      <c r="A20078" s="64" t="str">
        <f>HYPERLINK("http://www.twitter.com/abigregory", "abigregory")</f>
        <v>abigregory</v>
      </c>
      <c r="B20078" s="65" t="s">
        <v>9706</v>
      </c>
    </row>
    <row r="20079" spans="1:2" x14ac:dyDescent="0.25">
      <c r="A20079" s="64" t="str">
        <f>HYPERLINK("http://www.twitter.com/sgingerkelly", "sgingerkelly")</f>
        <v>sgingerkelly</v>
      </c>
      <c r="B20079" s="65"/>
    </row>
    <row r="20080" spans="1:2" x14ac:dyDescent="0.25">
      <c r="A20080" s="64" t="str">
        <f>HYPERLINK("http://www.twitter.com/DenisCallanan", "DenisCallanan")</f>
        <v>DenisCallanan</v>
      </c>
      <c r="B20080" s="65" t="s">
        <v>3760</v>
      </c>
    </row>
    <row r="20081" spans="1:2" x14ac:dyDescent="0.25">
      <c r="A20081" s="64" t="str">
        <f>HYPERLINK("http://www.twitter.com/scotsmusicgroup", "scotsmusicgroup")</f>
        <v>scotsmusicgroup</v>
      </c>
      <c r="B20081" s="65" t="s">
        <v>487</v>
      </c>
    </row>
    <row r="20082" spans="1:2" x14ac:dyDescent="0.25">
      <c r="A20082" s="64" t="str">
        <f>HYPERLINK("http://www.twitter.com/clarecarsonpen", "clarecarsonpen")</f>
        <v>clarecarsonpen</v>
      </c>
      <c r="B20082" s="65" t="s">
        <v>9707</v>
      </c>
    </row>
    <row r="20083" spans="1:2" x14ac:dyDescent="0.25">
      <c r="A20083" s="64" t="str">
        <f>HYPERLINK("http://www.twitter.com/Storm_Warner", "Storm_Warner")</f>
        <v>Storm_Warner</v>
      </c>
      <c r="B20083" s="65" t="s">
        <v>4859</v>
      </c>
    </row>
    <row r="20084" spans="1:2" x14ac:dyDescent="0.25">
      <c r="A20084" s="64" t="str">
        <f>HYPERLINK("http://www.twitter.com/cbbaxter5a", "cbbaxter5a")</f>
        <v>cbbaxter5a</v>
      </c>
      <c r="B20084" s="65" t="s">
        <v>4238</v>
      </c>
    </row>
    <row r="20085" spans="1:2" x14ac:dyDescent="0.25">
      <c r="A20085" s="64" t="str">
        <f>HYPERLINK("http://www.twitter.com/Smoking_Beagle", "Smoking_Beagle")</f>
        <v>Smoking_Beagle</v>
      </c>
      <c r="B20085" s="65"/>
    </row>
    <row r="20086" spans="1:2" x14ac:dyDescent="0.25">
      <c r="A20086" s="64" t="str">
        <f>HYPERLINK("http://www.twitter.com/PictsForYES", "PictsForYES")</f>
        <v>PictsForYES</v>
      </c>
      <c r="B20086" s="65" t="s">
        <v>9708</v>
      </c>
    </row>
    <row r="20087" spans="1:2" x14ac:dyDescent="0.25">
      <c r="A20087" s="64" t="str">
        <f>HYPERLINK("http://www.twitter.com/AntoniaSBT", "AntoniaSBT")</f>
        <v>AntoniaSBT</v>
      </c>
      <c r="B20087" s="65"/>
    </row>
    <row r="20088" spans="1:2" x14ac:dyDescent="0.25">
      <c r="A20088" s="64" t="str">
        <f>HYPERLINK("http://www.twitter.com/JoeCasey", "JoeCasey")</f>
        <v>JoeCasey</v>
      </c>
      <c r="B20088" s="65" t="s">
        <v>138</v>
      </c>
    </row>
    <row r="20089" spans="1:2" x14ac:dyDescent="0.25">
      <c r="A20089" s="64" t="str">
        <f>HYPERLINK("http://www.twitter.com/katnewt", "katnewt")</f>
        <v>katnewt</v>
      </c>
      <c r="B20089" s="65" t="s">
        <v>4201</v>
      </c>
    </row>
    <row r="20090" spans="1:2" x14ac:dyDescent="0.25">
      <c r="A20090" s="64" t="str">
        <f>HYPERLINK("http://www.twitter.com/frafcesca", "frafcesca")</f>
        <v>frafcesca</v>
      </c>
      <c r="B20090" s="65"/>
    </row>
    <row r="20091" spans="1:2" x14ac:dyDescent="0.25">
      <c r="A20091" s="64" t="str">
        <f>HYPERLINK("http://www.twitter.com/podusmonens", "podusmonens")</f>
        <v>podusmonens</v>
      </c>
      <c r="B20091" s="65" t="s">
        <v>5939</v>
      </c>
    </row>
    <row r="20092" spans="1:2" x14ac:dyDescent="0.25">
      <c r="A20092" s="64" t="str">
        <f>HYPERLINK("http://www.twitter.com/acraigie68", "acraigie68")</f>
        <v>acraigie68</v>
      </c>
      <c r="B20092" s="65"/>
    </row>
    <row r="20093" spans="1:2" x14ac:dyDescent="0.25">
      <c r="A20093" s="64" t="str">
        <f>HYPERLINK("http://www.twitter.com/stewarthosie", "stewarthosie")</f>
        <v>stewarthosie</v>
      </c>
      <c r="B20093" s="65"/>
    </row>
    <row r="20094" spans="1:2" x14ac:dyDescent="0.25">
      <c r="A20094" s="64" t="str">
        <f>HYPERLINK("http://www.twitter.com/porridge_time", "porridge_time")</f>
        <v>porridge_time</v>
      </c>
      <c r="B20094" s="65"/>
    </row>
    <row r="20095" spans="1:2" x14ac:dyDescent="0.25">
      <c r="A20095" s="64" t="str">
        <f>HYPERLINK("http://www.twitter.com/rujutaparadkar", "rujutaparadkar")</f>
        <v>rujutaparadkar</v>
      </c>
      <c r="B20095" s="65"/>
    </row>
    <row r="20096" spans="1:2" x14ac:dyDescent="0.25">
      <c r="A20096" s="64" t="str">
        <f>HYPERLINK("http://www.twitter.com/CityLibrariesGC", "CityLibrariesGC")</f>
        <v>CityLibrariesGC</v>
      </c>
      <c r="B20096" s="65"/>
    </row>
    <row r="20097" spans="1:2" x14ac:dyDescent="0.25">
      <c r="A20097" s="64" t="str">
        <f>HYPERLINK("http://www.twitter.com/krugerrc", "krugerrc")</f>
        <v>krugerrc</v>
      </c>
      <c r="B20097" s="65" t="s">
        <v>9709</v>
      </c>
    </row>
    <row r="20098" spans="1:2" x14ac:dyDescent="0.25">
      <c r="A20098" s="64" t="str">
        <f>HYPERLINK("http://www.twitter.com/elainemcdougall", "elainemcdougall")</f>
        <v>elainemcdougall</v>
      </c>
      <c r="B20098" s="65"/>
    </row>
    <row r="20099" spans="1:2" x14ac:dyDescent="0.25">
      <c r="A20099" s="64" t="str">
        <f>HYPERLINK("http://www.twitter.com/LeithJenny", "LeithJenny")</f>
        <v>LeithJenny</v>
      </c>
      <c r="B20099" s="65" t="s">
        <v>4537</v>
      </c>
    </row>
    <row r="20100" spans="1:2" x14ac:dyDescent="0.25">
      <c r="A20100" s="64" t="str">
        <f>HYPERLINK("http://www.twitter.com/adelizaoliver", "adelizaoliver")</f>
        <v>adelizaoliver</v>
      </c>
      <c r="B20100" s="65"/>
    </row>
    <row r="20101" spans="1:2" x14ac:dyDescent="0.25">
      <c r="A20101" s="64" t="str">
        <f>HYPERLINK("http://www.twitter.com/RoflYssMtt", "RoflYssMtt")</f>
        <v>RoflYssMtt</v>
      </c>
      <c r="B20101" s="65"/>
    </row>
    <row r="20102" spans="1:2" x14ac:dyDescent="0.25">
      <c r="A20102" s="64" t="str">
        <f>HYPERLINK("http://www.twitter.com/Pembury56", "Pembury56")</f>
        <v>Pembury56</v>
      </c>
      <c r="B20102" s="65" t="s">
        <v>9710</v>
      </c>
    </row>
    <row r="20103" spans="1:2" x14ac:dyDescent="0.25">
      <c r="A20103" s="64" t="str">
        <f>HYPERLINK("http://www.twitter.com/bluecrystalkat", "bluecrystalkat")</f>
        <v>bluecrystalkat</v>
      </c>
      <c r="B20103" s="65" t="s">
        <v>9711</v>
      </c>
    </row>
    <row r="20104" spans="1:2" x14ac:dyDescent="0.25">
      <c r="A20104" s="64" t="str">
        <f>HYPERLINK("http://www.twitter.com/wifie_e", "wifie_e")</f>
        <v>wifie_e</v>
      </c>
      <c r="B20104" s="65" t="s">
        <v>9712</v>
      </c>
    </row>
    <row r="20105" spans="1:2" x14ac:dyDescent="0.25">
      <c r="A20105" s="64" t="str">
        <f>HYPERLINK("http://www.twitter.com/iainhaymorrison", "iainhaymorrison")</f>
        <v>iainhaymorrison</v>
      </c>
      <c r="B20105" s="65" t="s">
        <v>9713</v>
      </c>
    </row>
    <row r="20106" spans="1:2" x14ac:dyDescent="0.25">
      <c r="A20106" s="64" t="str">
        <f>HYPERLINK("http://www.twitter.com/damilne1", "damilne1")</f>
        <v>damilne1</v>
      </c>
      <c r="B20106" s="65" t="s">
        <v>517</v>
      </c>
    </row>
    <row r="20107" spans="1:2" x14ac:dyDescent="0.25">
      <c r="A20107" s="64" t="str">
        <f>HYPERLINK("http://www.twitter.com/franceskbarrett", "franceskbarrett")</f>
        <v>franceskbarrett</v>
      </c>
      <c r="B20107" s="65"/>
    </row>
    <row r="20108" spans="1:2" x14ac:dyDescent="0.25">
      <c r="A20108" s="64" t="str">
        <f>HYPERLINK("http://www.twitter.com/andrewlearmonth", "andrewlearmonth")</f>
        <v>andrewlearmonth</v>
      </c>
      <c r="B20108" s="65" t="s">
        <v>138</v>
      </c>
    </row>
    <row r="20109" spans="1:2" x14ac:dyDescent="0.25">
      <c r="A20109" s="64" t="str">
        <f>HYPERLINK("http://www.twitter.com/PPresences", "PPresences")</f>
        <v>PPresences</v>
      </c>
      <c r="B20109" s="65" t="s">
        <v>788</v>
      </c>
    </row>
    <row r="20110" spans="1:2" x14ac:dyDescent="0.25">
      <c r="A20110" s="64" t="str">
        <f>HYPERLINK("http://www.twitter.com/ownworldview", "ownworldview")</f>
        <v>ownworldview</v>
      </c>
      <c r="B20110" s="65"/>
    </row>
    <row r="20111" spans="1:2" x14ac:dyDescent="0.25">
      <c r="A20111" s="64" t="str">
        <f>HYPERLINK("http://www.twitter.com/LittleSpartaIHF", "LittleSpartaIHF")</f>
        <v>LittleSpartaIHF</v>
      </c>
      <c r="B20111" s="65" t="s">
        <v>9714</v>
      </c>
    </row>
    <row r="20112" spans="1:2" x14ac:dyDescent="0.25">
      <c r="A20112" s="64" t="str">
        <f>HYPERLINK("http://www.twitter.com/jacquipedia", "jacquipedia")</f>
        <v>jacquipedia</v>
      </c>
      <c r="B20112" s="65" t="s">
        <v>569</v>
      </c>
    </row>
    <row r="20113" spans="1:2" x14ac:dyDescent="0.25">
      <c r="A20113" s="64" t="str">
        <f>HYPERLINK("http://www.twitter.com/danl_c", "danl_c")</f>
        <v>danl_c</v>
      </c>
      <c r="B20113" s="65"/>
    </row>
    <row r="20114" spans="1:2" x14ac:dyDescent="0.25">
      <c r="A20114" s="64" t="str">
        <f>HYPERLINK("http://www.twitter.com/T_suzie", "T_suzie")</f>
        <v>T_suzie</v>
      </c>
      <c r="B20114" s="65"/>
    </row>
    <row r="20115" spans="1:2" x14ac:dyDescent="0.25">
      <c r="A20115" s="64" t="str">
        <f>HYPERLINK("http://www.twitter.com/u900186", "u900186")</f>
        <v>u900186</v>
      </c>
      <c r="B20115" s="65"/>
    </row>
    <row r="20116" spans="1:2" x14ac:dyDescent="0.25">
      <c r="A20116" s="64" t="str">
        <f>HYPERLINK("http://www.twitter.com/faymackay", "faymackay")</f>
        <v>faymackay</v>
      </c>
      <c r="B20116" s="65"/>
    </row>
    <row r="20117" spans="1:2" x14ac:dyDescent="0.25">
      <c r="A20117" s="64" t="str">
        <f>HYPERLINK("http://www.twitter.com/EmmaCMcKenzie", "EmmaCMcKenzie")</f>
        <v>EmmaCMcKenzie</v>
      </c>
      <c r="B20117" s="65"/>
    </row>
    <row r="20118" spans="1:2" x14ac:dyDescent="0.25">
      <c r="A20118" s="64" t="str">
        <f>HYPERLINK("http://www.twitter.com/amarithu", "amarithu")</f>
        <v>amarithu</v>
      </c>
      <c r="B20118" s="65"/>
    </row>
    <row r="20119" spans="1:2" x14ac:dyDescent="0.25">
      <c r="A20119" s="64" t="str">
        <f>HYPERLINK("http://www.twitter.com/Sameday_Dave", "Sameday_Dave")</f>
        <v>Sameday_Dave</v>
      </c>
      <c r="B20119" s="65"/>
    </row>
    <row r="20120" spans="1:2" x14ac:dyDescent="0.25">
      <c r="A20120" s="64" t="str">
        <f>HYPERLINK("http://www.twitter.com/fionajmaxwell", "fionajmaxwell")</f>
        <v>fionajmaxwell</v>
      </c>
      <c r="B20120" s="65" t="s">
        <v>3529</v>
      </c>
    </row>
    <row r="20121" spans="1:2" x14ac:dyDescent="0.25">
      <c r="A20121" s="64" t="str">
        <f>HYPERLINK("http://www.twitter.com/Spigot1960", "Spigot1960")</f>
        <v>Spigot1960</v>
      </c>
      <c r="B20121" s="65"/>
    </row>
    <row r="20122" spans="1:2" x14ac:dyDescent="0.25">
      <c r="A20122" s="64" t="str">
        <f>HYPERLINK("http://www.twitter.com/Doig60Ken", "Doig60Ken")</f>
        <v>Doig60Ken</v>
      </c>
      <c r="B20122" s="65" t="s">
        <v>9715</v>
      </c>
    </row>
    <row r="20123" spans="1:2" x14ac:dyDescent="0.25">
      <c r="A20123" s="64" t="str">
        <f>HYPERLINK("http://www.twitter.com/simonallison23", "simonallison23")</f>
        <v>simonallison23</v>
      </c>
      <c r="B20123" s="65"/>
    </row>
    <row r="20124" spans="1:2" x14ac:dyDescent="0.25">
      <c r="A20124" s="64" t="str">
        <f>HYPERLINK("http://www.twitter.com/SeeThinkMakeArt", "SeeThinkMakeArt")</f>
        <v>SeeThinkMakeArt</v>
      </c>
      <c r="B20124" s="65" t="s">
        <v>138</v>
      </c>
    </row>
    <row r="20125" spans="1:2" x14ac:dyDescent="0.25">
      <c r="A20125" s="64" t="str">
        <f>HYPERLINK("http://www.twitter.com/KirstenGrier", "KirstenGrier")</f>
        <v>KirstenGrier</v>
      </c>
      <c r="B20125" s="65"/>
    </row>
    <row r="20126" spans="1:2" x14ac:dyDescent="0.25">
      <c r="A20126" s="64" t="str">
        <f>HYPERLINK("http://www.twitter.com/ketherson77", "ketherson77")</f>
        <v>ketherson77</v>
      </c>
      <c r="B20126" s="65"/>
    </row>
    <row r="20127" spans="1:2" x14ac:dyDescent="0.25">
      <c r="A20127" s="64" t="str">
        <f>HYPERLINK("http://www.twitter.com/hart0201", "hart0201")</f>
        <v>hart0201</v>
      </c>
      <c r="B20127" s="65" t="s">
        <v>4050</v>
      </c>
    </row>
    <row r="20128" spans="1:2" x14ac:dyDescent="0.25">
      <c r="A20128" s="64" t="str">
        <f>HYPERLINK("http://www.twitter.com/KMacbic", "KMacbic")</f>
        <v>KMacbic</v>
      </c>
      <c r="B20128" s="65"/>
    </row>
    <row r="20129" spans="1:2" x14ac:dyDescent="0.25">
      <c r="A20129" s="64" t="str">
        <f>HYPERLINK("http://www.twitter.com/NeilMachD", "NeilMachD")</f>
        <v>NeilMachD</v>
      </c>
      <c r="B20129" s="65"/>
    </row>
    <row r="20130" spans="1:2" x14ac:dyDescent="0.25">
      <c r="A20130" s="64" t="str">
        <f>HYPERLINK("http://www.twitter.com/Silligilli", "Silligilli")</f>
        <v>Silligilli</v>
      </c>
      <c r="B20130" s="65" t="s">
        <v>24</v>
      </c>
    </row>
    <row r="20131" spans="1:2" x14ac:dyDescent="0.25">
      <c r="A20131" s="64" t="str">
        <f>HYPERLINK("http://www.twitter.com/AnnaDe11", "AnnaDe11")</f>
        <v>AnnaDe11</v>
      </c>
      <c r="B20131" s="65"/>
    </row>
    <row r="20132" spans="1:2" x14ac:dyDescent="0.25">
      <c r="A20132" s="64" t="str">
        <f>HYPERLINK("http://www.twitter.com/margolanagan", "margolanagan")</f>
        <v>margolanagan</v>
      </c>
      <c r="B20132" s="65" t="s">
        <v>3817</v>
      </c>
    </row>
    <row r="20133" spans="1:2" x14ac:dyDescent="0.25">
      <c r="A20133" s="64" t="str">
        <f>HYPERLINK("http://www.twitter.com/xJoeleenx", "xJoeleenx")</f>
        <v>xJoeleenx</v>
      </c>
      <c r="B20133" s="65"/>
    </row>
    <row r="20134" spans="1:2" x14ac:dyDescent="0.25">
      <c r="A20134" s="64" t="str">
        <f>HYPERLINK("http://www.twitter.com/amcfox", "amcfox")</f>
        <v>amcfox</v>
      </c>
      <c r="B20134" s="65"/>
    </row>
    <row r="20135" spans="1:2" x14ac:dyDescent="0.25">
      <c r="A20135" s="64" t="str">
        <f>HYPERLINK("http://www.twitter.com/JasperSebastia2", "JasperSebastia2")</f>
        <v>JasperSebastia2</v>
      </c>
      <c r="B20135" s="65"/>
    </row>
    <row r="20136" spans="1:2" x14ac:dyDescent="0.25">
      <c r="A20136" s="64" t="str">
        <f>HYPERLINK("http://www.twitter.com/Loxleylamb", "Loxleylamb")</f>
        <v>Loxleylamb</v>
      </c>
      <c r="B20136" s="65" t="s">
        <v>6234</v>
      </c>
    </row>
    <row r="20137" spans="1:2" x14ac:dyDescent="0.25">
      <c r="A20137" s="64" t="str">
        <f>HYPERLINK("http://www.twitter.com/Jacabyte_Kev", "Jacabyte_Kev")</f>
        <v>Jacabyte_Kev</v>
      </c>
      <c r="B20137" s="65" t="s">
        <v>9716</v>
      </c>
    </row>
    <row r="20138" spans="1:2" x14ac:dyDescent="0.25">
      <c r="A20138" s="64" t="str">
        <f>HYPERLINK("http://www.twitter.com/RaymondPark15", "RaymondPark15")</f>
        <v>RaymondPark15</v>
      </c>
      <c r="B20138" s="65"/>
    </row>
    <row r="20139" spans="1:2" x14ac:dyDescent="0.25">
      <c r="A20139" s="64" t="str">
        <f>HYPERLINK("http://www.twitter.com/EilleenS", "EilleenS")</f>
        <v>EilleenS</v>
      </c>
      <c r="B20139" s="65"/>
    </row>
    <row r="20140" spans="1:2" x14ac:dyDescent="0.25">
      <c r="A20140" s="64" t="str">
        <f>HYPERLINK("http://www.twitter.com/gilldevenney", "gilldevenney")</f>
        <v>gilldevenney</v>
      </c>
      <c r="B20140" s="65"/>
    </row>
    <row r="20141" spans="1:2" x14ac:dyDescent="0.25">
      <c r="A20141" s="64" t="str">
        <f>HYPERLINK("http://www.twitter.com/Nordic_Voices", "Nordic_Voices")</f>
        <v>Nordic_Voices</v>
      </c>
      <c r="B20141" s="65" t="s">
        <v>9717</v>
      </c>
    </row>
    <row r="20142" spans="1:2" x14ac:dyDescent="0.25">
      <c r="A20142" s="64" t="str">
        <f>HYPERLINK("http://www.twitter.com/dmacp123", "dmacp123")</f>
        <v>dmacp123</v>
      </c>
      <c r="B20142" s="65"/>
    </row>
    <row r="20143" spans="1:2" x14ac:dyDescent="0.25">
      <c r="A20143" s="64" t="str">
        <f>HYPERLINK("http://www.twitter.com/MibbesAye", "MibbesAye")</f>
        <v>MibbesAye</v>
      </c>
      <c r="B20143" s="65" t="s">
        <v>318</v>
      </c>
    </row>
    <row r="20144" spans="1:2" x14ac:dyDescent="0.25">
      <c r="A20144" s="64" t="str">
        <f>HYPERLINK("http://www.twitter.com/dampscot", "dampscot")</f>
        <v>dampscot</v>
      </c>
      <c r="B20144" s="65"/>
    </row>
    <row r="20145" spans="1:2" x14ac:dyDescent="0.25">
      <c r="A20145" s="64" t="str">
        <f>HYPERLINK("http://www.twitter.com/kmcadie", "kmcadie")</f>
        <v>kmcadie</v>
      </c>
      <c r="B20145" s="65" t="s">
        <v>4447</v>
      </c>
    </row>
    <row r="20146" spans="1:2" x14ac:dyDescent="0.25">
      <c r="A20146" s="64" t="str">
        <f>HYPERLINK("http://www.twitter.com/HelenRambler", "HelenRambler")</f>
        <v>HelenRambler</v>
      </c>
      <c r="B20146" s="65"/>
    </row>
    <row r="20147" spans="1:2" x14ac:dyDescent="0.25">
      <c r="A20147" s="64" t="str">
        <f>HYPERLINK("http://www.twitter.com/JudyJack2", "JudyJack2")</f>
        <v>JudyJack2</v>
      </c>
      <c r="B20147" s="65" t="s">
        <v>3773</v>
      </c>
    </row>
    <row r="20148" spans="1:2" x14ac:dyDescent="0.25">
      <c r="A20148" s="64" t="str">
        <f>HYPERLINK("http://www.twitter.com/funbardunbar", "funbardunbar")</f>
        <v>funbardunbar</v>
      </c>
      <c r="B20148" s="65" t="s">
        <v>138</v>
      </c>
    </row>
    <row r="20149" spans="1:2" x14ac:dyDescent="0.25">
      <c r="A20149" s="64" t="str">
        <f>HYPERLINK("http://www.twitter.com/alanrobertson45", "alanrobertson45")</f>
        <v>alanrobertson45</v>
      </c>
      <c r="B20149" s="65" t="s">
        <v>517</v>
      </c>
    </row>
    <row r="20150" spans="1:2" x14ac:dyDescent="0.25">
      <c r="A20150" s="64" t="str">
        <f>HYPERLINK("http://www.twitter.com/cheellwood", "cheellwood")</f>
        <v>cheellwood</v>
      </c>
      <c r="B20150" s="65"/>
    </row>
    <row r="20151" spans="1:2" x14ac:dyDescent="0.25">
      <c r="A20151" s="64" t="str">
        <f>HYPERLINK("http://www.twitter.com/gillie49", "gillie49")</f>
        <v>gillie49</v>
      </c>
      <c r="B20151" s="65"/>
    </row>
    <row r="20152" spans="1:2" x14ac:dyDescent="0.25">
      <c r="A20152" s="64" t="str">
        <f>HYPERLINK("http://www.twitter.com/allistrachan", "allistrachan")</f>
        <v>allistrachan</v>
      </c>
      <c r="B20152" s="65"/>
    </row>
    <row r="20153" spans="1:2" x14ac:dyDescent="0.25">
      <c r="A20153" s="64" t="str">
        <f>HYPERLINK("http://www.twitter.com/BoagMaureen", "BoagMaureen")</f>
        <v>BoagMaureen</v>
      </c>
      <c r="B20153" s="65" t="s">
        <v>9718</v>
      </c>
    </row>
    <row r="20154" spans="1:2" x14ac:dyDescent="0.25">
      <c r="A20154" s="64" t="str">
        <f>HYPERLINK("http://www.twitter.com/georgi_gill", "georgi_gill")</f>
        <v>georgi_gill</v>
      </c>
      <c r="B20154" s="65"/>
    </row>
    <row r="20155" spans="1:2" x14ac:dyDescent="0.25">
      <c r="A20155" s="64" t="str">
        <f>HYPERLINK("http://www.twitter.com/loughran_mary", "loughran_mary")</f>
        <v>loughran_mary</v>
      </c>
      <c r="B20155" s="65"/>
    </row>
    <row r="20156" spans="1:2" x14ac:dyDescent="0.25">
      <c r="A20156" s="64" t="str">
        <f>HYPERLINK("http://www.twitter.com/vonnienic", "vonnienic")</f>
        <v>vonnienic</v>
      </c>
      <c r="B20156" s="65" t="s">
        <v>318</v>
      </c>
    </row>
    <row r="20157" spans="1:2" x14ac:dyDescent="0.25">
      <c r="A20157" s="64" t="str">
        <f>HYPERLINK("http://www.twitter.com/stayfree7", "stayfree7")</f>
        <v>stayfree7</v>
      </c>
      <c r="B20157" s="65"/>
    </row>
    <row r="20158" spans="1:2" x14ac:dyDescent="0.25">
      <c r="A20158" s="64" t="str">
        <f>HYPERLINK("http://www.twitter.com/clairesaintee", "clairesaintee")</f>
        <v>clairesaintee</v>
      </c>
      <c r="B20158" s="65" t="s">
        <v>9719</v>
      </c>
    </row>
    <row r="20159" spans="1:2" x14ac:dyDescent="0.25">
      <c r="A20159" s="64" t="str">
        <f>HYPERLINK("http://www.twitter.com/giuliacanata", "giuliacanata")</f>
        <v>giuliacanata</v>
      </c>
      <c r="B20159" s="65"/>
    </row>
    <row r="20160" spans="1:2" x14ac:dyDescent="0.25">
      <c r="A20160" s="64" t="str">
        <f>HYPERLINK("http://www.twitter.com/jakeizna", "jakeizna")</f>
        <v>jakeizna</v>
      </c>
      <c r="B20160" s="65" t="s">
        <v>5822</v>
      </c>
    </row>
    <row r="20161" spans="1:2" x14ac:dyDescent="0.25">
      <c r="A20161" s="64" t="str">
        <f>HYPERLINK("http://www.twitter.com/Snub_", "Snub_")</f>
        <v>Snub_</v>
      </c>
      <c r="B20161" s="65" t="s">
        <v>7865</v>
      </c>
    </row>
    <row r="20162" spans="1:2" x14ac:dyDescent="0.25">
      <c r="A20162" s="64" t="str">
        <f>HYPERLINK("http://www.twitter.com/LucieMacaulay", "LucieMacaulay")</f>
        <v>LucieMacaulay</v>
      </c>
      <c r="B20162" s="65"/>
    </row>
    <row r="20163" spans="1:2" x14ac:dyDescent="0.25">
      <c r="A20163" s="64" t="str">
        <f>HYPERLINK("http://www.twitter.com/StephenKelly135", "StephenKelly135")</f>
        <v>StephenKelly135</v>
      </c>
      <c r="B20163" s="65" t="s">
        <v>3760</v>
      </c>
    </row>
    <row r="20164" spans="1:2" x14ac:dyDescent="0.25">
      <c r="A20164" s="64" t="str">
        <f>HYPERLINK("http://www.twitter.com/FergusonWhyte", "FergusonWhyte")</f>
        <v>FergusonWhyte</v>
      </c>
      <c r="B20164" s="65" t="s">
        <v>9720</v>
      </c>
    </row>
    <row r="20165" spans="1:2" x14ac:dyDescent="0.25">
      <c r="A20165" s="64" t="str">
        <f>HYPERLINK("http://www.twitter.com/CGP2024", "CGP2024")</f>
        <v>CGP2024</v>
      </c>
      <c r="B20165" s="65"/>
    </row>
    <row r="20166" spans="1:2" x14ac:dyDescent="0.25">
      <c r="A20166" s="64" t="str">
        <f>HYPERLINK("http://www.twitter.com/Afrojules", "Afrojules")</f>
        <v>Afrojules</v>
      </c>
      <c r="B20166" s="65" t="s">
        <v>318</v>
      </c>
    </row>
    <row r="20167" spans="1:2" x14ac:dyDescent="0.25">
      <c r="A20167" s="64" t="str">
        <f>HYPERLINK("http://www.twitter.com/SFScotland", "SFScotland")</f>
        <v>SFScotland</v>
      </c>
      <c r="B20167" s="65"/>
    </row>
    <row r="20168" spans="1:2" x14ac:dyDescent="0.25">
      <c r="A20168" s="64" t="str">
        <f>HYPERLINK("http://www.twitter.com/carronshoreps", "carronshoreps")</f>
        <v>carronshoreps</v>
      </c>
      <c r="B20168" s="65" t="s">
        <v>9721</v>
      </c>
    </row>
    <row r="20169" spans="1:2" x14ac:dyDescent="0.25">
      <c r="A20169" s="64" t="str">
        <f>HYPERLINK("http://www.twitter.com/mvass22", "mvass22")</f>
        <v>mvass22</v>
      </c>
      <c r="B20169" s="65"/>
    </row>
    <row r="20170" spans="1:2" x14ac:dyDescent="0.25">
      <c r="A20170" s="64" t="str">
        <f>HYPERLINK("http://www.twitter.com/LauraALawrie", "LauraALawrie")</f>
        <v>LauraALawrie</v>
      </c>
      <c r="B20170" s="65" t="s">
        <v>24</v>
      </c>
    </row>
    <row r="20171" spans="1:2" x14ac:dyDescent="0.25">
      <c r="A20171" s="64" t="str">
        <f>HYPERLINK("http://www.twitter.com/S_MacDunedin", "S_MacDunedin")</f>
        <v>S_MacDunedin</v>
      </c>
      <c r="B20171" s="65"/>
    </row>
    <row r="20172" spans="1:2" x14ac:dyDescent="0.25">
      <c r="A20172" s="64" t="str">
        <f>HYPERLINK("http://www.twitter.com/sparky100", "sparky100")</f>
        <v>sparky100</v>
      </c>
      <c r="B20172" s="65" t="s">
        <v>318</v>
      </c>
    </row>
    <row r="20173" spans="1:2" x14ac:dyDescent="0.25">
      <c r="A20173" s="64" t="str">
        <f>HYPERLINK("http://www.twitter.com/susanmfinlayson", "susanmfinlayson")</f>
        <v>susanmfinlayson</v>
      </c>
      <c r="B20173" s="65" t="s">
        <v>5348</v>
      </c>
    </row>
    <row r="20174" spans="1:2" x14ac:dyDescent="0.25">
      <c r="A20174" s="64" t="str">
        <f>HYPERLINK("http://www.twitter.com/George90Donald", "George90Donald")</f>
        <v>George90Donald</v>
      </c>
      <c r="B20174" s="65" t="s">
        <v>9722</v>
      </c>
    </row>
    <row r="20175" spans="1:2" x14ac:dyDescent="0.25">
      <c r="A20175" s="64" t="str">
        <f>HYPERLINK("http://www.twitter.com/silesmay", "silesmay")</f>
        <v>silesmay</v>
      </c>
      <c r="B20175" s="65" t="s">
        <v>2007</v>
      </c>
    </row>
    <row r="20176" spans="1:2" x14ac:dyDescent="0.25">
      <c r="A20176" s="64" t="str">
        <f>HYPERLINK("http://www.twitter.com/JohnMcDonaldish", "JohnMcDonaldish")</f>
        <v>JohnMcDonaldish</v>
      </c>
      <c r="B20176" s="65" t="s">
        <v>36</v>
      </c>
    </row>
    <row r="20177" spans="1:2" x14ac:dyDescent="0.25">
      <c r="A20177" s="64" t="str">
        <f>HYPERLINK("http://www.twitter.com/johnmill07", "johnmill07")</f>
        <v>johnmill07</v>
      </c>
      <c r="B20177" s="65"/>
    </row>
    <row r="20178" spans="1:2" x14ac:dyDescent="0.25">
      <c r="A20178" s="64" t="str">
        <f>HYPERLINK("http://www.twitter.com/MrsGeeBlack", "MrsGeeBlack")</f>
        <v>MrsGeeBlack</v>
      </c>
      <c r="B20178" s="65"/>
    </row>
    <row r="20179" spans="1:2" x14ac:dyDescent="0.25">
      <c r="A20179" s="64" t="str">
        <f>HYPERLINK("http://www.twitter.com/Fitlike01", "Fitlike01")</f>
        <v>Fitlike01</v>
      </c>
      <c r="B20179" s="65" t="s">
        <v>9723</v>
      </c>
    </row>
    <row r="20180" spans="1:2" x14ac:dyDescent="0.25">
      <c r="A20180" s="64" t="str">
        <f>HYPERLINK("http://www.twitter.com/agasmith", "agasmith")</f>
        <v>agasmith</v>
      </c>
      <c r="B20180" s="65" t="s">
        <v>9724</v>
      </c>
    </row>
    <row r="20181" spans="1:2" x14ac:dyDescent="0.25">
      <c r="A20181" s="64" t="str">
        <f>HYPERLINK("http://www.twitter.com/TopFraggle", "TopFraggle")</f>
        <v>TopFraggle</v>
      </c>
      <c r="B20181" s="65"/>
    </row>
    <row r="20182" spans="1:2" x14ac:dyDescent="0.25">
      <c r="A20182" s="64" t="str">
        <f>HYPERLINK("http://www.twitter.com/gwenthejambo", "gwenthejambo")</f>
        <v>gwenthejambo</v>
      </c>
      <c r="B20182" s="65" t="s">
        <v>9725</v>
      </c>
    </row>
    <row r="20183" spans="1:2" x14ac:dyDescent="0.25">
      <c r="A20183" s="64" t="str">
        <f>HYPERLINK("http://www.twitter.com/yochna73", "yochna73")</f>
        <v>yochna73</v>
      </c>
      <c r="B20183" s="65"/>
    </row>
    <row r="20184" spans="1:2" x14ac:dyDescent="0.25">
      <c r="A20184" s="64" t="str">
        <f>HYPERLINK("http://www.twitter.com/Emacalister", "Emacalister")</f>
        <v>Emacalister</v>
      </c>
      <c r="B20184" s="65" t="s">
        <v>9726</v>
      </c>
    </row>
    <row r="20185" spans="1:2" x14ac:dyDescent="0.25">
      <c r="A20185" s="64" t="str">
        <f>HYPERLINK("http://www.twitter.com/ksshea", "ksshea")</f>
        <v>ksshea</v>
      </c>
      <c r="B20185" s="65" t="s">
        <v>9727</v>
      </c>
    </row>
    <row r="20186" spans="1:2" x14ac:dyDescent="0.25">
      <c r="A20186" s="64" t="str">
        <f>HYPERLINK("http://www.twitter.com/arcworkhammer", "arcworkhammer")</f>
        <v>arcworkhammer</v>
      </c>
      <c r="B20186" s="65" t="s">
        <v>9728</v>
      </c>
    </row>
    <row r="20187" spans="1:2" x14ac:dyDescent="0.25">
      <c r="A20187" s="64" t="str">
        <f>HYPERLINK("http://www.twitter.com/gmpaterson84", "gmpaterson84")</f>
        <v>gmpaterson84</v>
      </c>
      <c r="B20187" s="65" t="s">
        <v>517</v>
      </c>
    </row>
    <row r="20188" spans="1:2" x14ac:dyDescent="0.25">
      <c r="A20188" s="64" t="str">
        <f>HYPERLINK("http://www.twitter.com/gspinks150", "gspinks150")</f>
        <v>gspinks150</v>
      </c>
      <c r="B20188" s="65"/>
    </row>
    <row r="20189" spans="1:2" x14ac:dyDescent="0.25">
      <c r="A20189" s="64" t="str">
        <f>HYPERLINK("http://www.twitter.com/flcro", "flcro")</f>
        <v>flcro</v>
      </c>
      <c r="B20189" s="65" t="s">
        <v>24</v>
      </c>
    </row>
    <row r="20190" spans="1:2" x14ac:dyDescent="0.25">
      <c r="A20190" s="64" t="str">
        <f>HYPERLINK("http://www.twitter.com/angelamclaren42", "angelamclaren42")</f>
        <v>angelamclaren42</v>
      </c>
      <c r="B20190" s="65"/>
    </row>
    <row r="20191" spans="1:2" x14ac:dyDescent="0.25">
      <c r="A20191" s="64" t="str">
        <f>HYPERLINK("http://www.twitter.com/gillfergus", "gillfergus")</f>
        <v>gillfergus</v>
      </c>
      <c r="B20191" s="65"/>
    </row>
    <row r="20192" spans="1:2" x14ac:dyDescent="0.25">
      <c r="A20192" s="64" t="str">
        <f>HYPERLINK("http://www.twitter.com/CMJMS", "CMJMS")</f>
        <v>CMJMS</v>
      </c>
      <c r="B20192" s="65" t="s">
        <v>36</v>
      </c>
    </row>
    <row r="20193" spans="1:2" x14ac:dyDescent="0.25">
      <c r="A20193" s="64" t="str">
        <f>HYPERLINK("http://www.twitter.com/calmkat999", "calmkat999")</f>
        <v>calmkat999</v>
      </c>
      <c r="B20193" s="65"/>
    </row>
    <row r="20194" spans="1:2" x14ac:dyDescent="0.25">
      <c r="A20194" s="64" t="str">
        <f>HYPERLINK("http://www.twitter.com/renemcq70", "renemcq70")</f>
        <v>renemcq70</v>
      </c>
      <c r="B20194" s="65"/>
    </row>
    <row r="20195" spans="1:2" x14ac:dyDescent="0.25">
      <c r="A20195" s="64" t="str">
        <f>HYPERLINK("http://www.twitter.com/anne1of7", "anne1of7")</f>
        <v>anne1of7</v>
      </c>
      <c r="B20195" s="65"/>
    </row>
    <row r="20196" spans="1:2" x14ac:dyDescent="0.25">
      <c r="A20196" s="64" t="str">
        <f>HYPERLINK("http://www.twitter.com/slinkiwitchx", "slinkiwitchx")</f>
        <v>slinkiwitchx</v>
      </c>
      <c r="B20196" s="65"/>
    </row>
    <row r="20197" spans="1:2" x14ac:dyDescent="0.25">
      <c r="A20197" s="64" t="str">
        <f>HYPERLINK("http://www.twitter.com/lewiseason", "lewiseason")</f>
        <v>lewiseason</v>
      </c>
      <c r="B20197" s="65" t="s">
        <v>24</v>
      </c>
    </row>
    <row r="20198" spans="1:2" x14ac:dyDescent="0.25">
      <c r="A20198" s="64" t="str">
        <f>HYPERLINK("http://www.twitter.com/JimmyReidINDY", "JimmyReidINDY")</f>
        <v>JimmyReidINDY</v>
      </c>
      <c r="B20198" s="65" t="s">
        <v>517</v>
      </c>
    </row>
    <row r="20199" spans="1:2" x14ac:dyDescent="0.25">
      <c r="A20199" s="64" t="str">
        <f>HYPERLINK("http://www.twitter.com/nicholl74", "nicholl74")</f>
        <v>nicholl74</v>
      </c>
      <c r="B20199" s="65" t="s">
        <v>138</v>
      </c>
    </row>
    <row r="20200" spans="1:2" x14ac:dyDescent="0.25">
      <c r="A20200" s="64" t="str">
        <f>HYPERLINK("http://www.twitter.com/IAmAdamJ", "IAmAdamJ")</f>
        <v>IAmAdamJ</v>
      </c>
      <c r="B20200" s="65" t="s">
        <v>296</v>
      </c>
    </row>
    <row r="20201" spans="1:2" x14ac:dyDescent="0.25">
      <c r="A20201" s="64" t="str">
        <f>HYPERLINK("http://www.twitter.com/ChaBarrieCourt", "ChaBarrieCourt")</f>
        <v>ChaBarrieCourt</v>
      </c>
      <c r="B20201" s="65" t="s">
        <v>517</v>
      </c>
    </row>
    <row r="20202" spans="1:2" x14ac:dyDescent="0.25">
      <c r="A20202" s="64" t="str">
        <f>HYPERLINK("http://www.twitter.com/eddie_election", "eddie_election")</f>
        <v>eddie_election</v>
      </c>
      <c r="B20202" s="65" t="s">
        <v>4945</v>
      </c>
    </row>
    <row r="20203" spans="1:2" x14ac:dyDescent="0.25">
      <c r="A20203" s="64" t="str">
        <f>HYPERLINK("http://www.twitter.com/cmaxee", "cmaxee")</f>
        <v>cmaxee</v>
      </c>
      <c r="B20203" s="65"/>
    </row>
    <row r="20204" spans="1:2" x14ac:dyDescent="0.25">
      <c r="A20204" s="64" t="str">
        <f>HYPERLINK("http://www.twitter.com/rjcurran2", "rjcurran2")</f>
        <v>rjcurran2</v>
      </c>
      <c r="B20204" s="65" t="s">
        <v>808</v>
      </c>
    </row>
    <row r="20205" spans="1:2" x14ac:dyDescent="0.25">
      <c r="A20205" s="64" t="str">
        <f>HYPERLINK("http://www.twitter.com/Daveparke78", "Daveparke78")</f>
        <v>Daveparke78</v>
      </c>
      <c r="B20205" s="65" t="s">
        <v>517</v>
      </c>
    </row>
    <row r="20206" spans="1:2" x14ac:dyDescent="0.25">
      <c r="A20206" s="64" t="str">
        <f>HYPERLINK("http://www.twitter.com/Jambag", "Jambag")</f>
        <v>Jambag</v>
      </c>
      <c r="B20206" s="65" t="s">
        <v>9729</v>
      </c>
    </row>
    <row r="20207" spans="1:2" x14ac:dyDescent="0.25">
      <c r="A20207" s="64" t="str">
        <f>HYPERLINK("http://www.twitter.com/Kelvinbridgesue", "Kelvinbridgesue")</f>
        <v>Kelvinbridgesue</v>
      </c>
      <c r="B20207" s="65" t="s">
        <v>9730</v>
      </c>
    </row>
    <row r="20208" spans="1:2" x14ac:dyDescent="0.25">
      <c r="A20208" s="64" t="str">
        <f>HYPERLINK("http://www.twitter.com/mcleod7ry", "mcleod7ry")</f>
        <v>mcleod7ry</v>
      </c>
      <c r="B20208" s="65"/>
    </row>
    <row r="20209" spans="1:2" x14ac:dyDescent="0.25">
      <c r="A20209" s="64" t="str">
        <f>HYPERLINK("http://www.twitter.com/josephinehowe2", "josephinehowe2")</f>
        <v>josephinehowe2</v>
      </c>
      <c r="B20209" s="65" t="s">
        <v>318</v>
      </c>
    </row>
    <row r="20210" spans="1:2" x14ac:dyDescent="0.25">
      <c r="A20210" s="64" t="str">
        <f>HYPERLINK("http://www.twitter.com/derekredpath", "derekredpath")</f>
        <v>derekredpath</v>
      </c>
      <c r="B20210" s="65" t="s">
        <v>138</v>
      </c>
    </row>
    <row r="20211" spans="1:2" x14ac:dyDescent="0.25">
      <c r="A20211" s="64" t="str">
        <f>HYPERLINK("http://www.twitter.com/andalg1", "andalg1")</f>
        <v>andalg1</v>
      </c>
      <c r="B20211" s="65" t="s">
        <v>9731</v>
      </c>
    </row>
    <row r="20212" spans="1:2" x14ac:dyDescent="0.25">
      <c r="A20212" s="64" t="str">
        <f>HYPERLINK("http://www.twitter.com/andy_macl", "andy_macl")</f>
        <v>andy_macl</v>
      </c>
      <c r="B20212" s="65" t="s">
        <v>4050</v>
      </c>
    </row>
    <row r="20213" spans="1:2" x14ac:dyDescent="0.25">
      <c r="A20213" s="64" t="str">
        <f>HYPERLINK("http://www.twitter.com/andy_williamson", "andy_williamson")</f>
        <v>andy_williamson</v>
      </c>
      <c r="B20213" s="65" t="s">
        <v>487</v>
      </c>
    </row>
    <row r="20214" spans="1:2" x14ac:dyDescent="0.25">
      <c r="A20214" s="64" t="str">
        <f>HYPERLINK("http://www.twitter.com/bluemonkey57", "bluemonkey57")</f>
        <v>bluemonkey57</v>
      </c>
      <c r="B20214" s="65" t="s">
        <v>4324</v>
      </c>
    </row>
    <row r="20215" spans="1:2" x14ac:dyDescent="0.25">
      <c r="A20215" s="64" t="str">
        <f>HYPERLINK("http://www.twitter.com/The1DMitchell", "The1DMitchell")</f>
        <v>The1DMitchell</v>
      </c>
      <c r="B20215" s="65" t="s">
        <v>3797</v>
      </c>
    </row>
    <row r="20216" spans="1:2" x14ac:dyDescent="0.25">
      <c r="A20216" s="64" t="str">
        <f>HYPERLINK("http://www.twitter.com/sipeki", "sipeki")</f>
        <v>sipeki</v>
      </c>
      <c r="B20216" s="65" t="s">
        <v>517</v>
      </c>
    </row>
    <row r="20217" spans="1:2" x14ac:dyDescent="0.25">
      <c r="A20217" s="64" t="str">
        <f>HYPERLINK("http://www.twitter.com/RCDayster", "RCDayster")</f>
        <v>RCDayster</v>
      </c>
      <c r="B20217" s="65" t="s">
        <v>1482</v>
      </c>
    </row>
    <row r="20218" spans="1:2" x14ac:dyDescent="0.25">
      <c r="A20218" s="64" t="str">
        <f>HYPERLINK("http://www.twitter.com/alisonslass", "alisonslass")</f>
        <v>alisonslass</v>
      </c>
      <c r="B20218" s="65"/>
    </row>
    <row r="20219" spans="1:2" x14ac:dyDescent="0.25">
      <c r="A20219" s="64" t="str">
        <f>HYPERLINK("http://www.twitter.com/babs906", "babs906")</f>
        <v>babs906</v>
      </c>
      <c r="B20219" s="65" t="s">
        <v>2007</v>
      </c>
    </row>
    <row r="20220" spans="1:2" x14ac:dyDescent="0.25">
      <c r="A20220" s="64" t="str">
        <f>HYPERLINK("http://www.twitter.com/Mervinblack", "Mervinblack")</f>
        <v>Mervinblack</v>
      </c>
      <c r="B20220" s="65" t="s">
        <v>517</v>
      </c>
    </row>
    <row r="20221" spans="1:2" x14ac:dyDescent="0.25">
      <c r="A20221" s="64" t="str">
        <f>HYPERLINK("http://www.twitter.com/LadyLanscelot", "LadyLanscelot")</f>
        <v>LadyLanscelot</v>
      </c>
      <c r="B20221" s="65" t="s">
        <v>36</v>
      </c>
    </row>
    <row r="20222" spans="1:2" x14ac:dyDescent="0.25">
      <c r="A20222" s="64" t="str">
        <f>HYPERLINK("http://www.twitter.com/MyScotlandpage", "MyScotlandpage")</f>
        <v>MyScotlandpage</v>
      </c>
      <c r="B20222" s="65" t="s">
        <v>318</v>
      </c>
    </row>
    <row r="20223" spans="1:2" x14ac:dyDescent="0.25">
      <c r="A20223" s="64" t="str">
        <f>HYPERLINK("http://www.twitter.com/Lurkio38", "Lurkio38")</f>
        <v>Lurkio38</v>
      </c>
      <c r="B20223" s="65"/>
    </row>
    <row r="20224" spans="1:2" x14ac:dyDescent="0.25">
      <c r="A20224" s="64" t="str">
        <f>HYPERLINK("http://www.twitter.com/bbagan79_bagan", "bbagan79_bagan")</f>
        <v>bbagan79_bagan</v>
      </c>
      <c r="B20224" s="65"/>
    </row>
    <row r="20225" spans="1:2" x14ac:dyDescent="0.25">
      <c r="A20225" s="64" t="str">
        <f>HYPERLINK("http://www.twitter.com/Davwy", "Davwy")</f>
        <v>Davwy</v>
      </c>
      <c r="B20225" s="65" t="s">
        <v>3690</v>
      </c>
    </row>
    <row r="20226" spans="1:2" x14ac:dyDescent="0.25">
      <c r="A20226" s="64" t="str">
        <f>HYPERLINK("http://www.twitter.com/SfcdianeDiane", "SfcdianeDiane")</f>
        <v>SfcdianeDiane</v>
      </c>
      <c r="B20226" s="65"/>
    </row>
    <row r="20227" spans="1:2" x14ac:dyDescent="0.25">
      <c r="A20227" s="64" t="str">
        <f>HYPERLINK("http://www.twitter.com/WeAreThe59", "WeAreThe59")</f>
        <v>WeAreThe59</v>
      </c>
      <c r="B20227" s="65" t="s">
        <v>9732</v>
      </c>
    </row>
    <row r="20228" spans="1:2" x14ac:dyDescent="0.25">
      <c r="A20228" s="64" t="str">
        <f>HYPERLINK("http://www.twitter.com/posnewsday", "posnewsday")</f>
        <v>posnewsday</v>
      </c>
      <c r="B20228" s="65" t="s">
        <v>9733</v>
      </c>
    </row>
    <row r="20229" spans="1:2" x14ac:dyDescent="0.25">
      <c r="A20229" s="64" t="str">
        <f>HYPERLINK("http://www.twitter.com/bluetinto", "bluetinto")</f>
        <v>bluetinto</v>
      </c>
      <c r="B20229" s="65" t="s">
        <v>138</v>
      </c>
    </row>
    <row r="20230" spans="1:2" x14ac:dyDescent="0.25">
      <c r="A20230" s="64" t="str">
        <f>HYPERLINK("http://www.twitter.com/ScottingtonPost", "ScottingtonPost")</f>
        <v>ScottingtonPost</v>
      </c>
      <c r="B20230" s="65"/>
    </row>
    <row r="20231" spans="1:2" x14ac:dyDescent="0.25">
      <c r="A20231" s="64" t="str">
        <f>HYPERLINK("http://www.twitter.com/Withaai8", "Withaai8")</f>
        <v>Withaai8</v>
      </c>
      <c r="B20231" s="65"/>
    </row>
    <row r="20232" spans="1:2" x14ac:dyDescent="0.25">
      <c r="A20232" s="64" t="str">
        <f>HYPERLINK("http://www.twitter.com/ewan_hughes98", "ewan_hughes98")</f>
        <v>ewan_hughes98</v>
      </c>
      <c r="B20232" s="65" t="s">
        <v>517</v>
      </c>
    </row>
    <row r="20233" spans="1:2" x14ac:dyDescent="0.25">
      <c r="A20233" s="64" t="str">
        <f>HYPERLINK("http://www.twitter.com/findis89", "findis89")</f>
        <v>findis89</v>
      </c>
      <c r="B20233" s="65" t="s">
        <v>8565</v>
      </c>
    </row>
    <row r="20234" spans="1:2" x14ac:dyDescent="0.25">
      <c r="A20234" s="64" t="str">
        <f>HYPERLINK("http://www.twitter.com/lizwright57", "lizwright57")</f>
        <v>lizwright57</v>
      </c>
      <c r="B20234" s="65" t="s">
        <v>318</v>
      </c>
    </row>
    <row r="20235" spans="1:2" x14ac:dyDescent="0.25">
      <c r="A20235" s="64" t="str">
        <f>HYPERLINK("http://www.twitter.com/LocGo", "LocGo")</f>
        <v>LocGo</v>
      </c>
      <c r="B20235" s="65" t="s">
        <v>517</v>
      </c>
    </row>
    <row r="20236" spans="1:2" x14ac:dyDescent="0.25">
      <c r="A20236" s="64" t="str">
        <f>HYPERLINK("http://www.twitter.com/allan_hendry", "allan_hendry")</f>
        <v>allan_hendry</v>
      </c>
      <c r="B20236" s="65" t="s">
        <v>517</v>
      </c>
    </row>
    <row r="20237" spans="1:2" x14ac:dyDescent="0.25">
      <c r="A20237" s="64" t="str">
        <f>HYPERLINK("http://www.twitter.com/jennyfleur87", "jennyfleur87")</f>
        <v>jennyfleur87</v>
      </c>
      <c r="B20237" s="65" t="s">
        <v>9734</v>
      </c>
    </row>
    <row r="20238" spans="1:2" x14ac:dyDescent="0.25">
      <c r="A20238" s="64" t="str">
        <f>HYPERLINK("http://www.twitter.com/j_deye", "j_deye")</f>
        <v>j_deye</v>
      </c>
      <c r="B20238" s="65"/>
    </row>
    <row r="20239" spans="1:2" x14ac:dyDescent="0.25">
      <c r="A20239" s="64" t="str">
        <f>HYPERLINK("http://www.twitter.com/seanmcglone2", "seanmcglone2")</f>
        <v>seanmcglone2</v>
      </c>
      <c r="B20239" s="65"/>
    </row>
    <row r="20240" spans="1:2" x14ac:dyDescent="0.25">
      <c r="A20240" s="64" t="str">
        <f>HYPERLINK("http://www.twitter.com/peter_cellers", "peter_cellers")</f>
        <v>peter_cellers</v>
      </c>
      <c r="B20240" s="65" t="s">
        <v>517</v>
      </c>
    </row>
    <row r="20241" spans="1:2" x14ac:dyDescent="0.25">
      <c r="A20241" s="64" t="str">
        <f>HYPERLINK("http://www.twitter.com/Reanie7752", "Reanie7752")</f>
        <v>Reanie7752</v>
      </c>
      <c r="B20241" s="65" t="s">
        <v>9735</v>
      </c>
    </row>
    <row r="20242" spans="1:2" x14ac:dyDescent="0.25">
      <c r="A20242" s="64" t="str">
        <f>HYPERLINK("http://www.twitter.com/nicfree1888", "nicfree1888")</f>
        <v>nicfree1888</v>
      </c>
      <c r="B20242" s="65"/>
    </row>
    <row r="20243" spans="1:2" x14ac:dyDescent="0.25">
      <c r="A20243" s="64" t="str">
        <f>HYPERLINK("http://www.twitter.com/babyindigoteal", "babyindigoteal")</f>
        <v>babyindigoteal</v>
      </c>
      <c r="B20243" s="65"/>
    </row>
    <row r="20244" spans="1:2" x14ac:dyDescent="0.25">
      <c r="A20244" s="64" t="str">
        <f>HYPERLINK("http://www.twitter.com/panbunny", "panbunny")</f>
        <v>panbunny</v>
      </c>
      <c r="B20244" s="65" t="s">
        <v>9736</v>
      </c>
    </row>
    <row r="20245" spans="1:2" x14ac:dyDescent="0.25">
      <c r="A20245" s="64" t="str">
        <f>HYPERLINK("http://www.twitter.com/blair_janey", "blair_janey")</f>
        <v>blair_janey</v>
      </c>
      <c r="B20245" s="65"/>
    </row>
    <row r="20246" spans="1:2" x14ac:dyDescent="0.25">
      <c r="A20246" s="64" t="str">
        <f>HYPERLINK("http://www.twitter.com/Leapyearbaby45", "Leapyearbaby45")</f>
        <v>Leapyearbaby45</v>
      </c>
      <c r="B20246" s="65"/>
    </row>
    <row r="20247" spans="1:2" x14ac:dyDescent="0.25">
      <c r="A20247" s="64" t="str">
        <f>HYPERLINK("http://www.twitter.com/ronague", "ronague")</f>
        <v>ronague</v>
      </c>
      <c r="B20247" s="65" t="s">
        <v>9737</v>
      </c>
    </row>
    <row r="20248" spans="1:2" x14ac:dyDescent="0.25">
      <c r="A20248" s="64" t="str">
        <f>HYPERLINK("http://www.twitter.com/Stable_Minds", "Stable_Minds")</f>
        <v>Stable_Minds</v>
      </c>
      <c r="B20248" s="65" t="s">
        <v>517</v>
      </c>
    </row>
    <row r="20249" spans="1:2" x14ac:dyDescent="0.25">
      <c r="A20249" s="64" t="str">
        <f>HYPERLINK("http://www.twitter.com/junglecat900", "junglecat900")</f>
        <v>junglecat900</v>
      </c>
      <c r="B20249" s="65"/>
    </row>
    <row r="20250" spans="1:2" x14ac:dyDescent="0.25">
      <c r="A20250" s="64" t="str">
        <f>HYPERLINK("http://www.twitter.com/bogoff1968", "bogoff1968")</f>
        <v>bogoff1968</v>
      </c>
      <c r="B20250" s="65" t="s">
        <v>318</v>
      </c>
    </row>
    <row r="20251" spans="1:2" x14ac:dyDescent="0.25">
      <c r="A20251" s="64" t="str">
        <f>HYPERLINK("http://www.twitter.com/SandraMMac", "SandraMMac")</f>
        <v>SandraMMac</v>
      </c>
      <c r="B20251" s="65" t="s">
        <v>1930</v>
      </c>
    </row>
    <row r="20252" spans="1:2" x14ac:dyDescent="0.25">
      <c r="A20252" s="64" t="str">
        <f>HYPERLINK("http://www.twitter.com/PlentyD", "PlentyD")</f>
        <v>PlentyD</v>
      </c>
      <c r="B20252" s="65" t="s">
        <v>517</v>
      </c>
    </row>
    <row r="20253" spans="1:2" x14ac:dyDescent="0.25">
      <c r="A20253" s="64" t="str">
        <f>HYPERLINK("http://www.twitter.com/toisich69", "toisich69")</f>
        <v>toisich69</v>
      </c>
      <c r="B20253" s="65" t="s">
        <v>9738</v>
      </c>
    </row>
    <row r="20254" spans="1:2" x14ac:dyDescent="0.25">
      <c r="A20254" s="64" t="str">
        <f>HYPERLINK("http://www.twitter.com/TonyReid1", "TonyReid1")</f>
        <v>TonyReid1</v>
      </c>
      <c r="B20254" s="65" t="s">
        <v>517</v>
      </c>
    </row>
    <row r="20255" spans="1:2" x14ac:dyDescent="0.25">
      <c r="A20255" s="64" t="str">
        <f>HYPERLINK("http://www.twitter.com/orcadia23", "orcadia23")</f>
        <v>orcadia23</v>
      </c>
      <c r="B20255" s="65"/>
    </row>
    <row r="20256" spans="1:2" x14ac:dyDescent="0.25">
      <c r="A20256" s="64" t="str">
        <f>HYPERLINK("http://www.twitter.com/GreenDemSoc", "GreenDemSoc")</f>
        <v>GreenDemSoc</v>
      </c>
      <c r="B20256" s="65" t="s">
        <v>9447</v>
      </c>
    </row>
    <row r="20257" spans="1:2" x14ac:dyDescent="0.25">
      <c r="A20257" s="64" t="str">
        <f>HYPERLINK("http://www.twitter.com/IndyQuines", "IndyQuines")</f>
        <v>IndyQuines</v>
      </c>
      <c r="B20257" s="65" t="s">
        <v>9739</v>
      </c>
    </row>
    <row r="20258" spans="1:2" x14ac:dyDescent="0.25">
      <c r="A20258" s="64" t="str">
        <f>HYPERLINK("http://www.twitter.com/Misty_Vie", "Misty_Vie")</f>
        <v>Misty_Vie</v>
      </c>
      <c r="B20258" s="65"/>
    </row>
    <row r="20259" spans="1:2" x14ac:dyDescent="0.25">
      <c r="A20259" s="64" t="str">
        <f>HYPERLINK("http://www.twitter.com/robbiemac1808", "robbiemac1808")</f>
        <v>robbiemac1808</v>
      </c>
      <c r="B20259" s="65" t="s">
        <v>9740</v>
      </c>
    </row>
    <row r="20260" spans="1:2" x14ac:dyDescent="0.25">
      <c r="A20260" s="64" t="str">
        <f>HYPERLINK("http://www.twitter.com/Scotseye", "Scotseye")</f>
        <v>Scotseye</v>
      </c>
      <c r="B20260" s="65" t="s">
        <v>5256</v>
      </c>
    </row>
    <row r="20261" spans="1:2" x14ac:dyDescent="0.25">
      <c r="A20261" s="64" t="str">
        <f>HYPERLINK("http://www.twitter.com/Redrooftinny", "Redrooftinny")</f>
        <v>Redrooftinny</v>
      </c>
      <c r="B20261" s="65" t="s">
        <v>5034</v>
      </c>
    </row>
    <row r="20262" spans="1:2" x14ac:dyDescent="0.25">
      <c r="A20262" s="64" t="str">
        <f>HYPERLINK("http://www.twitter.com/forgottenzines", "forgottenzines")</f>
        <v>forgottenzines</v>
      </c>
      <c r="B20262" s="65" t="s">
        <v>4291</v>
      </c>
    </row>
    <row r="20263" spans="1:2" x14ac:dyDescent="0.25">
      <c r="A20263" s="64" t="str">
        <f>HYPERLINK("http://www.twitter.com/RobKeeley89", "RobKeeley89")</f>
        <v>RobKeeley89</v>
      </c>
      <c r="B20263" s="65"/>
    </row>
    <row r="20264" spans="1:2" x14ac:dyDescent="0.25">
      <c r="A20264" s="64" t="str">
        <f>HYPERLINK("http://www.twitter.com/muddymagoo", "muddymagoo")</f>
        <v>muddymagoo</v>
      </c>
      <c r="B20264" s="65"/>
    </row>
    <row r="20265" spans="1:2" x14ac:dyDescent="0.25">
      <c r="A20265" s="64" t="str">
        <f>HYPERLINK("http://www.twitter.com/gilltyson", "gilltyson")</f>
        <v>gilltyson</v>
      </c>
      <c r="B20265" s="65"/>
    </row>
    <row r="20266" spans="1:2" x14ac:dyDescent="0.25">
      <c r="A20266" s="64" t="str">
        <f>HYPERLINK("http://www.twitter.com/Perth_Librarian", "Perth_Librarian")</f>
        <v>Perth_Librarian</v>
      </c>
      <c r="B20266" s="65" t="s">
        <v>3773</v>
      </c>
    </row>
    <row r="20267" spans="1:2" x14ac:dyDescent="0.25">
      <c r="A20267" s="64" t="str">
        <f>HYPERLINK("http://www.twitter.com/newfiescot", "newfiescot")</f>
        <v>newfiescot</v>
      </c>
      <c r="B20267" s="65" t="s">
        <v>9741</v>
      </c>
    </row>
    <row r="20268" spans="1:2" x14ac:dyDescent="0.25">
      <c r="A20268" s="64" t="str">
        <f>HYPERLINK("http://www.twitter.com/MiningLibrarian", "MiningLibrarian")</f>
        <v>MiningLibrarian</v>
      </c>
      <c r="B20268" s="65" t="s">
        <v>361</v>
      </c>
    </row>
    <row r="20269" spans="1:2" x14ac:dyDescent="0.25">
      <c r="A20269" s="64" t="str">
        <f>HYPERLINK("http://www.twitter.com/msdaubenmire", "msdaubenmire")</f>
        <v>msdaubenmire</v>
      </c>
      <c r="B20269" s="65"/>
    </row>
    <row r="20270" spans="1:2" x14ac:dyDescent="0.25">
      <c r="A20270" s="64" t="str">
        <f>HYPERLINK("http://www.twitter.com/MVTeachers", "MVTeachers")</f>
        <v>MVTeachers</v>
      </c>
      <c r="B20270" s="65" t="s">
        <v>9742</v>
      </c>
    </row>
    <row r="20271" spans="1:2" x14ac:dyDescent="0.25">
      <c r="A20271" s="64" t="str">
        <f>HYPERLINK("http://www.twitter.com/SusanMcCourt1", "SusanMcCourt1")</f>
        <v>SusanMcCourt1</v>
      </c>
      <c r="B20271" s="65" t="s">
        <v>138</v>
      </c>
    </row>
    <row r="20272" spans="1:2" x14ac:dyDescent="0.25">
      <c r="A20272" s="64" t="str">
        <f>HYPERLINK("http://www.twitter.com/chrisleogue", "chrisleogue")</f>
        <v>chrisleogue</v>
      </c>
      <c r="B20272" s="65"/>
    </row>
    <row r="20273" spans="1:2" x14ac:dyDescent="0.25">
      <c r="A20273" s="64" t="str">
        <f>HYPERLINK("http://www.twitter.com/afmcgillivray", "afmcgillivray")</f>
        <v>afmcgillivray</v>
      </c>
      <c r="B20273" s="65" t="s">
        <v>138</v>
      </c>
    </row>
    <row r="20274" spans="1:2" x14ac:dyDescent="0.25">
      <c r="A20274" s="64" t="str">
        <f>HYPERLINK("http://www.twitter.com/FunnyloverXD", "FunnyloverXD")</f>
        <v>FunnyloverXD</v>
      </c>
      <c r="B20274" s="65"/>
    </row>
    <row r="20275" spans="1:2" x14ac:dyDescent="0.25">
      <c r="A20275" s="64" t="str">
        <f>HYPERLINK("http://www.twitter.com/lohmita", "lohmita")</f>
        <v>lohmita</v>
      </c>
      <c r="B20275" s="65" t="s">
        <v>9743</v>
      </c>
    </row>
    <row r="20276" spans="1:2" x14ac:dyDescent="0.25">
      <c r="A20276" s="64" t="str">
        <f>HYPERLINK("http://www.twitter.com/banrister", "banrister")</f>
        <v>banrister</v>
      </c>
      <c r="B20276" s="65" t="s">
        <v>9744</v>
      </c>
    </row>
    <row r="20277" spans="1:2" x14ac:dyDescent="0.25">
      <c r="A20277" s="64" t="str">
        <f>HYPERLINK("http://www.twitter.com/Lola_Linnitt", "Lola_Linnitt")</f>
        <v>Lola_Linnitt</v>
      </c>
      <c r="B20277" s="65" t="s">
        <v>5770</v>
      </c>
    </row>
    <row r="20278" spans="1:2" x14ac:dyDescent="0.25">
      <c r="A20278" s="64" t="str">
        <f>HYPERLINK("http://www.twitter.com/DavidBarclay2", "DavidBarclay2")</f>
        <v>DavidBarclay2</v>
      </c>
      <c r="B20278" s="65"/>
    </row>
    <row r="20279" spans="1:2" x14ac:dyDescent="0.25">
      <c r="A20279" s="64" t="str">
        <f>HYPERLINK("http://www.twitter.com/ReemHKattan", "ReemHKattan")</f>
        <v>ReemHKattan</v>
      </c>
      <c r="B20279" s="65" t="s">
        <v>9745</v>
      </c>
    </row>
    <row r="20280" spans="1:2" x14ac:dyDescent="0.25">
      <c r="A20280" s="64" t="str">
        <f>HYPERLINK("http://www.twitter.com/FionnMacCool", "FionnMacCool")</f>
        <v>FionnMacCool</v>
      </c>
      <c r="B20280" s="65"/>
    </row>
    <row r="20281" spans="1:2" x14ac:dyDescent="0.25">
      <c r="A20281" s="64" t="str">
        <f>HYPERLINK("http://www.twitter.com/lukatate", "lukatate")</f>
        <v>lukatate</v>
      </c>
      <c r="B20281" s="65"/>
    </row>
    <row r="20282" spans="1:2" x14ac:dyDescent="0.25">
      <c r="A20282" s="64" t="str">
        <f>HYPERLINK("http://www.twitter.com/Chambersmcm", "Chambersmcm")</f>
        <v>Chambersmcm</v>
      </c>
      <c r="B20282" s="65"/>
    </row>
    <row r="20283" spans="1:2" x14ac:dyDescent="0.25">
      <c r="A20283" s="64" t="str">
        <f>HYPERLINK("http://www.twitter.com/krisp131", "krisp131")</f>
        <v>krisp131</v>
      </c>
      <c r="B20283" s="65" t="s">
        <v>3990</v>
      </c>
    </row>
    <row r="20284" spans="1:2" x14ac:dyDescent="0.25">
      <c r="A20284" s="64" t="str">
        <f>HYPERLINK("http://www.twitter.com/annmonfries", "annmonfries")</f>
        <v>annmonfries</v>
      </c>
      <c r="B20284" s="65"/>
    </row>
    <row r="20285" spans="1:2" x14ac:dyDescent="0.25">
      <c r="A20285" s="64" t="str">
        <f>HYPERLINK("http://www.twitter.com/Louise243", "Louise243")</f>
        <v>Louise243</v>
      </c>
      <c r="B20285" s="65" t="s">
        <v>9746</v>
      </c>
    </row>
    <row r="20286" spans="1:2" x14ac:dyDescent="0.25">
      <c r="A20286" s="64" t="str">
        <f>HYPERLINK("http://www.twitter.com/meganhoyle", "meganhoyle")</f>
        <v>meganhoyle</v>
      </c>
      <c r="B20286" s="65" t="s">
        <v>7600</v>
      </c>
    </row>
    <row r="20287" spans="1:2" x14ac:dyDescent="0.25">
      <c r="A20287" s="64" t="str">
        <f>HYPERLINK("http://www.twitter.com/greenginaf", "greenginaf")</f>
        <v>greenginaf</v>
      </c>
      <c r="B20287" s="65" t="s">
        <v>9747</v>
      </c>
    </row>
    <row r="20288" spans="1:2" x14ac:dyDescent="0.25">
      <c r="A20288" s="64" t="str">
        <f>HYPERLINK("http://www.twitter.com/garlict", "garlict")</f>
        <v>garlict</v>
      </c>
      <c r="B20288" s="65" t="s">
        <v>110</v>
      </c>
    </row>
    <row r="20289" spans="1:2" x14ac:dyDescent="0.25">
      <c r="A20289" s="64" t="str">
        <f>HYPERLINK("http://www.twitter.com/beingsocheerful", "beingsocheerful")</f>
        <v>beingsocheerful</v>
      </c>
      <c r="B20289" s="65"/>
    </row>
    <row r="20290" spans="1:2" x14ac:dyDescent="0.25">
      <c r="A20290" s="64" t="str">
        <f>HYPERLINK("http://www.twitter.com/Jspendlebury", "Jspendlebury")</f>
        <v>Jspendlebury</v>
      </c>
      <c r="B20290" s="65"/>
    </row>
    <row r="20291" spans="1:2" x14ac:dyDescent="0.25">
      <c r="A20291" s="64" t="str">
        <f>HYPERLINK("http://www.twitter.com/RuthDevlin", "RuthDevlin")</f>
        <v>RuthDevlin</v>
      </c>
      <c r="B20291" s="65"/>
    </row>
    <row r="20292" spans="1:2" x14ac:dyDescent="0.25">
      <c r="A20292" s="64" t="str">
        <f>HYPERLINK("http://www.twitter.com/83Dazzle", "83Dazzle")</f>
        <v>83Dazzle</v>
      </c>
      <c r="B20292" s="65"/>
    </row>
    <row r="20293" spans="1:2" x14ac:dyDescent="0.25">
      <c r="A20293" s="64" t="str">
        <f>HYPERLINK("http://www.twitter.com/annarkee", "annarkee")</f>
        <v>annarkee</v>
      </c>
      <c r="B20293" s="65"/>
    </row>
    <row r="20294" spans="1:2" x14ac:dyDescent="0.25">
      <c r="A20294" s="64" t="str">
        <f>HYPERLINK("http://www.twitter.com/poshenglishchap", "poshenglishchap")</f>
        <v>poshenglishchap</v>
      </c>
      <c r="B20294" s="65"/>
    </row>
    <row r="20295" spans="1:2" x14ac:dyDescent="0.25">
      <c r="A20295" s="64" t="str">
        <f>HYPERLINK("http://www.twitter.com/jane_scanlon", "jane_scanlon")</f>
        <v>jane_scanlon</v>
      </c>
      <c r="B20295" s="65" t="s">
        <v>9748</v>
      </c>
    </row>
    <row r="20296" spans="1:2" x14ac:dyDescent="0.25">
      <c r="A20296" s="64" t="str">
        <f>HYPERLINK("http://www.twitter.com/EmmaSamms1", "EmmaSamms1")</f>
        <v>EmmaSamms1</v>
      </c>
      <c r="B20296" s="65" t="s">
        <v>70</v>
      </c>
    </row>
    <row r="20297" spans="1:2" x14ac:dyDescent="0.25">
      <c r="A20297" s="64" t="str">
        <f>HYPERLINK("http://www.twitter.com/NottsCC", "NottsCC")</f>
        <v>NottsCC</v>
      </c>
      <c r="B20297" s="65" t="s">
        <v>9749</v>
      </c>
    </row>
    <row r="20298" spans="1:2" x14ac:dyDescent="0.25">
      <c r="A20298" s="64" t="str">
        <f>HYPERLINK("http://www.twitter.com/Steven_McG_", "Steven_McG_")</f>
        <v>Steven_McG_</v>
      </c>
      <c r="B20298" s="65" t="s">
        <v>318</v>
      </c>
    </row>
    <row r="20299" spans="1:2" x14ac:dyDescent="0.25">
      <c r="A20299" s="64" t="str">
        <f>HYPERLINK("http://www.twitter.com/amyjanesmith", "amyjanesmith")</f>
        <v>amyjanesmith</v>
      </c>
      <c r="B20299" s="65" t="s">
        <v>4394</v>
      </c>
    </row>
    <row r="20300" spans="1:2" x14ac:dyDescent="0.25">
      <c r="A20300" s="64" t="str">
        <f>HYPERLINK("http://www.twitter.com/dalmailing", "dalmailing")</f>
        <v>dalmailing</v>
      </c>
      <c r="B20300" s="65" t="s">
        <v>487</v>
      </c>
    </row>
    <row r="20301" spans="1:2" x14ac:dyDescent="0.25">
      <c r="A20301" s="64" t="str">
        <f>HYPERLINK("http://www.twitter.com/Pablo_Calvo_", "Pablo_Calvo_")</f>
        <v>Pablo_Calvo_</v>
      </c>
      <c r="B20301" s="65"/>
    </row>
    <row r="20302" spans="1:2" x14ac:dyDescent="0.25">
      <c r="A20302" s="64" t="str">
        <f>HYPERLINK("http://www.twitter.com/northedinarts", "northedinarts")</f>
        <v>northedinarts</v>
      </c>
      <c r="B20302" s="65" t="s">
        <v>24</v>
      </c>
    </row>
    <row r="20303" spans="1:2" x14ac:dyDescent="0.25">
      <c r="A20303" s="64" t="str">
        <f>HYPERLINK("http://www.twitter.com/AnyaLipska", "AnyaLipska")</f>
        <v>AnyaLipska</v>
      </c>
      <c r="B20303" s="65" t="s">
        <v>9533</v>
      </c>
    </row>
    <row r="20304" spans="1:2" x14ac:dyDescent="0.25">
      <c r="A20304" s="64" t="str">
        <f>HYPERLINK("http://www.twitter.com/Patrickjb", "Patrickjb")</f>
        <v>Patrickjb</v>
      </c>
      <c r="B20304" s="65"/>
    </row>
    <row r="20305" spans="1:2" x14ac:dyDescent="0.25">
      <c r="A20305" s="64" t="str">
        <f>HYPERLINK("http://www.twitter.com/MichaelMcCallu8", "MichaelMcCallu8")</f>
        <v>MichaelMcCallu8</v>
      </c>
      <c r="B20305" s="65" t="s">
        <v>9750</v>
      </c>
    </row>
    <row r="20306" spans="1:2" x14ac:dyDescent="0.25">
      <c r="A20306" s="64" t="str">
        <f>HYPERLINK("http://www.twitter.com/roseesmeralda", "roseesmeralda")</f>
        <v>roseesmeralda</v>
      </c>
      <c r="B20306" s="65" t="s">
        <v>36</v>
      </c>
    </row>
    <row r="20307" spans="1:2" x14ac:dyDescent="0.25">
      <c r="A20307" s="64" t="str">
        <f>HYPERLINK("http://www.twitter.com/LauraKalpakian", "LauraKalpakian")</f>
        <v>LauraKalpakian</v>
      </c>
      <c r="B20307" s="65"/>
    </row>
    <row r="20308" spans="1:2" x14ac:dyDescent="0.25">
      <c r="A20308" s="64" t="str">
        <f>HYPERLINK("http://www.twitter.com/Jungooooooo", "Jungooooooo")</f>
        <v>Jungooooooo</v>
      </c>
      <c r="B20308" s="65" t="s">
        <v>36</v>
      </c>
    </row>
    <row r="20309" spans="1:2" x14ac:dyDescent="0.25">
      <c r="A20309" s="64" t="str">
        <f>HYPERLINK("http://www.twitter.com/craftscotland", "craftscotland")</f>
        <v>craftscotland</v>
      </c>
      <c r="B20309" s="65" t="s">
        <v>517</v>
      </c>
    </row>
    <row r="20310" spans="1:2" x14ac:dyDescent="0.25">
      <c r="A20310" s="64" t="str">
        <f>HYPERLINK("http://www.twitter.com/Aaronwill11", "Aaronwill11")</f>
        <v>Aaronwill11</v>
      </c>
      <c r="B20310" s="65" t="s">
        <v>5667</v>
      </c>
    </row>
    <row r="20311" spans="1:2" x14ac:dyDescent="0.25">
      <c r="A20311" s="64" t="str">
        <f>HYPERLINK("http://www.twitter.com/CreativeToot", "CreativeToot")</f>
        <v>CreativeToot</v>
      </c>
      <c r="B20311" s="65" t="s">
        <v>24</v>
      </c>
    </row>
    <row r="20312" spans="1:2" x14ac:dyDescent="0.25">
      <c r="A20312" s="64" t="str">
        <f>HYPERLINK("http://www.twitter.com/alisonm78", "alisonm78")</f>
        <v>alisonm78</v>
      </c>
      <c r="B20312" s="65" t="s">
        <v>4132</v>
      </c>
    </row>
    <row r="20313" spans="1:2" x14ac:dyDescent="0.25">
      <c r="A20313" s="64" t="str">
        <f>HYPERLINK("http://www.twitter.com/BForeigners", "BForeigners")</f>
        <v>BForeigners</v>
      </c>
      <c r="B20313" s="65" t="s">
        <v>296</v>
      </c>
    </row>
    <row r="20314" spans="1:2" x14ac:dyDescent="0.25">
      <c r="A20314" s="64" t="str">
        <f>HYPERLINK("http://www.twitter.com/jecathcart", "jecathcart")</f>
        <v>jecathcart</v>
      </c>
      <c r="B20314" s="65" t="s">
        <v>138</v>
      </c>
    </row>
    <row r="20315" spans="1:2" x14ac:dyDescent="0.25">
      <c r="A20315" s="64" t="str">
        <f>HYPERLINK("http://www.twitter.com/BBCSSO", "BBCSSO")</f>
        <v>BBCSSO</v>
      </c>
      <c r="B20315" s="65" t="s">
        <v>1508</v>
      </c>
    </row>
    <row r="20316" spans="1:2" x14ac:dyDescent="0.25">
      <c r="A20316" s="64" t="str">
        <f>HYPERLINK("http://www.twitter.com/LauracleT", "LauracleT")</f>
        <v>LauracleT</v>
      </c>
      <c r="B20316" s="65" t="s">
        <v>138</v>
      </c>
    </row>
    <row r="20317" spans="1:2" x14ac:dyDescent="0.25">
      <c r="A20317" s="64" t="str">
        <f>HYPERLINK("http://www.twitter.com/ShakerLibrary", "ShakerLibrary")</f>
        <v>ShakerLibrary</v>
      </c>
      <c r="B20317" s="65" t="s">
        <v>9751</v>
      </c>
    </row>
    <row r="20318" spans="1:2" x14ac:dyDescent="0.25">
      <c r="A20318" s="64" t="str">
        <f>HYPERLINK("http://www.twitter.com/mikewasson", "mikewasson")</f>
        <v>mikewasson</v>
      </c>
      <c r="B20318" s="65" t="s">
        <v>9752</v>
      </c>
    </row>
    <row r="20319" spans="1:2" x14ac:dyDescent="0.25">
      <c r="A20319" s="64" t="str">
        <f>HYPERLINK("http://www.twitter.com/Unalloyed2", "Unalloyed2")</f>
        <v>Unalloyed2</v>
      </c>
      <c r="B20319" s="65" t="s">
        <v>9753</v>
      </c>
    </row>
    <row r="20320" spans="1:2" x14ac:dyDescent="0.25">
      <c r="A20320" s="64" t="str">
        <f>HYPERLINK("http://www.twitter.com/SSbirrell1512", "SSbirrell1512")</f>
        <v>SSbirrell1512</v>
      </c>
      <c r="B20320" s="65" t="s">
        <v>232</v>
      </c>
    </row>
    <row r="20321" spans="1:2" x14ac:dyDescent="0.25">
      <c r="A20321" s="64" t="str">
        <f>HYPERLINK("http://www.twitter.com/MCHFTJetLibrary", "MCHFTJetLibrary")</f>
        <v>MCHFTJetLibrary</v>
      </c>
      <c r="B20321" s="65" t="s">
        <v>2315</v>
      </c>
    </row>
    <row r="20322" spans="1:2" x14ac:dyDescent="0.25">
      <c r="A20322" s="64" t="str">
        <f>HYPERLINK("http://www.twitter.com/MacqueenHector", "MacqueenHector")</f>
        <v>MacqueenHector</v>
      </c>
      <c r="B20322" s="65" t="s">
        <v>24</v>
      </c>
    </row>
    <row r="20323" spans="1:2" x14ac:dyDescent="0.25">
      <c r="A20323" s="64" t="str">
        <f>HYPERLINK("http://www.twitter.com/flodcat", "flodcat")</f>
        <v>flodcat</v>
      </c>
      <c r="B20323" s="65"/>
    </row>
    <row r="20324" spans="1:2" x14ac:dyDescent="0.25">
      <c r="A20324" s="64" t="str">
        <f>HYPERLINK("http://www.twitter.com/Mark_E_Peterson", "Mark_E_Peterson")</f>
        <v>Mark_E_Peterson</v>
      </c>
      <c r="B20324" s="65" t="s">
        <v>9754</v>
      </c>
    </row>
    <row r="20325" spans="1:2" x14ac:dyDescent="0.25">
      <c r="A20325" s="64" t="str">
        <f>HYPERLINK("http://www.twitter.com/florathehuman", "florathehuman")</f>
        <v>florathehuman</v>
      </c>
      <c r="B20325" s="65" t="s">
        <v>487</v>
      </c>
    </row>
    <row r="20326" spans="1:2" x14ac:dyDescent="0.25">
      <c r="A20326" s="64" t="str">
        <f>HYPERLINK("http://www.twitter.com/rosemarymorgan", "rosemarymorgan")</f>
        <v>rosemarymorgan</v>
      </c>
      <c r="B20326" s="65" t="s">
        <v>9755</v>
      </c>
    </row>
    <row r="20327" spans="1:2" x14ac:dyDescent="0.25">
      <c r="A20327" s="64" t="str">
        <f>HYPERLINK("http://www.twitter.com/allanpint", "allanpint")</f>
        <v>allanpint</v>
      </c>
      <c r="B20327" s="65" t="s">
        <v>601</v>
      </c>
    </row>
    <row r="20328" spans="1:2" x14ac:dyDescent="0.25">
      <c r="A20328" s="64" t="str">
        <f>HYPERLINK("http://www.twitter.com/nattyj", "nattyj")</f>
        <v>nattyj</v>
      </c>
      <c r="B20328" s="65" t="s">
        <v>9756</v>
      </c>
    </row>
    <row r="20329" spans="1:2" x14ac:dyDescent="0.25">
      <c r="A20329" s="64" t="str">
        <f>HYPERLINK("http://www.twitter.com/dhenjyoji", "dhenjyoji")</f>
        <v>dhenjyoji</v>
      </c>
      <c r="B20329" s="65"/>
    </row>
    <row r="20330" spans="1:2" x14ac:dyDescent="0.25">
      <c r="A20330" s="64" t="str">
        <f>HYPERLINK("http://www.twitter.com/moragmacp", "moragmacp")</f>
        <v>moragmacp</v>
      </c>
      <c r="B20330" s="65" t="s">
        <v>4052</v>
      </c>
    </row>
    <row r="20331" spans="1:2" x14ac:dyDescent="0.25">
      <c r="A20331" s="64" t="str">
        <f>HYPERLINK("http://www.twitter.com/alanlcastle", "alanlcastle")</f>
        <v>alanlcastle</v>
      </c>
      <c r="B20331" s="65"/>
    </row>
    <row r="20332" spans="1:2" x14ac:dyDescent="0.25">
      <c r="A20332" s="64" t="str">
        <f>HYPERLINK("http://www.twitter.com/pashld", "pashld")</f>
        <v>pashld</v>
      </c>
      <c r="B20332" s="65" t="s">
        <v>808</v>
      </c>
    </row>
    <row r="20333" spans="1:2" x14ac:dyDescent="0.25">
      <c r="A20333" s="64" t="str">
        <f>HYPERLINK("http://www.twitter.com/petertreaddaway", "petertreaddaway")</f>
        <v>petertreaddaway</v>
      </c>
      <c r="B20333" s="65" t="s">
        <v>9757</v>
      </c>
    </row>
    <row r="20334" spans="1:2" x14ac:dyDescent="0.25">
      <c r="A20334" s="64" t="str">
        <f>HYPERLINK("http://www.twitter.com/fifibooks", "fifibooks")</f>
        <v>fifibooks</v>
      </c>
      <c r="B20334" s="65" t="s">
        <v>9758</v>
      </c>
    </row>
    <row r="20335" spans="1:2" x14ac:dyDescent="0.25">
      <c r="A20335" s="64" t="str">
        <f>HYPERLINK("http://www.twitter.com/TotnesLibrary", "TotnesLibrary")</f>
        <v>TotnesLibrary</v>
      </c>
      <c r="B20335" s="65"/>
    </row>
    <row r="20336" spans="1:2" x14ac:dyDescent="0.25">
      <c r="A20336" s="64" t="str">
        <f>HYPERLINK("http://www.twitter.com/dmcrookall", "dmcrookall")</f>
        <v>dmcrookall</v>
      </c>
      <c r="B20336" s="65" t="s">
        <v>642</v>
      </c>
    </row>
    <row r="20337" spans="1:2" x14ac:dyDescent="0.25">
      <c r="A20337" s="64" t="str">
        <f>HYPERLINK("http://www.twitter.com/MoorCitizens", "MoorCitizens")</f>
        <v>MoorCitizens</v>
      </c>
      <c r="B20337" s="65" t="s">
        <v>9759</v>
      </c>
    </row>
    <row r="20338" spans="1:2" x14ac:dyDescent="0.25">
      <c r="A20338" s="64" t="str">
        <f>HYPERLINK("http://www.twitter.com/RolandDolores", "RolandDolores")</f>
        <v>RolandDolores</v>
      </c>
      <c r="B20338" s="65"/>
    </row>
    <row r="20339" spans="1:2" x14ac:dyDescent="0.25">
      <c r="A20339" s="64" t="str">
        <f>HYPERLINK("http://www.twitter.com/andreaaathomson", "andreaaathomson")</f>
        <v>andreaaathomson</v>
      </c>
      <c r="B20339" s="65" t="s">
        <v>487</v>
      </c>
    </row>
    <row r="20340" spans="1:2" x14ac:dyDescent="0.25">
      <c r="A20340" s="64" t="str">
        <f>HYPERLINK("http://www.twitter.com/Ali913abbas", "Ali913abbas")</f>
        <v>Ali913abbas</v>
      </c>
      <c r="B20340" s="65"/>
    </row>
    <row r="20341" spans="1:2" x14ac:dyDescent="0.25">
      <c r="A20341" s="64" t="str">
        <f>HYPERLINK("http://www.twitter.com/wittycomby", "wittycomby")</f>
        <v>wittycomby</v>
      </c>
      <c r="B20341" s="65"/>
    </row>
    <row r="20342" spans="1:2" x14ac:dyDescent="0.25">
      <c r="A20342" s="64" t="str">
        <f>HYPERLINK("http://www.twitter.com/kaylees_mum", "kaylees_mum")</f>
        <v>kaylees_mum</v>
      </c>
      <c r="B20342" s="65" t="s">
        <v>9760</v>
      </c>
    </row>
    <row r="20343" spans="1:2" x14ac:dyDescent="0.25">
      <c r="A20343" s="64" t="str">
        <f>HYPERLINK("http://www.twitter.com/Lizorkney", "Lizorkney")</f>
        <v>Lizorkney</v>
      </c>
      <c r="B20343" s="65" t="s">
        <v>4227</v>
      </c>
    </row>
    <row r="20344" spans="1:2" x14ac:dyDescent="0.25">
      <c r="A20344" s="64" t="str">
        <f>HYPERLINK("http://www.twitter.com/emily24601", "emily24601")</f>
        <v>emily24601</v>
      </c>
      <c r="B20344" s="65" t="s">
        <v>9761</v>
      </c>
    </row>
    <row r="20345" spans="1:2" x14ac:dyDescent="0.25">
      <c r="A20345" s="64" t="str">
        <f>HYPERLINK("http://www.twitter.com/farragher", "farragher")</f>
        <v>farragher</v>
      </c>
      <c r="B20345" s="65" t="s">
        <v>4062</v>
      </c>
    </row>
    <row r="20346" spans="1:2" x14ac:dyDescent="0.25">
      <c r="A20346" s="64" t="str">
        <f>HYPERLINK("http://www.twitter.com/RitchNeil", "RitchNeil")</f>
        <v>RitchNeil</v>
      </c>
      <c r="B20346" s="65"/>
    </row>
    <row r="20347" spans="1:2" x14ac:dyDescent="0.25">
      <c r="A20347" s="64" t="str">
        <f>HYPERLINK("http://www.twitter.com/helenhowden", "helenhowden")</f>
        <v>helenhowden</v>
      </c>
      <c r="B20347" s="65"/>
    </row>
    <row r="20348" spans="1:2" x14ac:dyDescent="0.25">
      <c r="A20348" s="64" t="str">
        <f>HYPERLINK("http://www.twitter.com/FearghasKelly", "FearghasKelly")</f>
        <v>FearghasKelly</v>
      </c>
      <c r="B20348" s="65" t="s">
        <v>318</v>
      </c>
    </row>
    <row r="20349" spans="1:2" x14ac:dyDescent="0.25">
      <c r="A20349" s="64" t="str">
        <f>HYPERLINK("http://www.twitter.com/scot_freedom", "scot_freedom")</f>
        <v>scot_freedom</v>
      </c>
      <c r="B20349" s="65" t="s">
        <v>517</v>
      </c>
    </row>
    <row r="20350" spans="1:2" x14ac:dyDescent="0.25">
      <c r="A20350" s="64" t="str">
        <f>HYPERLINK("http://www.twitter.com/drpaulitious", "drpaulitious")</f>
        <v>drpaulitious</v>
      </c>
      <c r="B20350" s="65" t="s">
        <v>9762</v>
      </c>
    </row>
    <row r="20351" spans="1:2" x14ac:dyDescent="0.25">
      <c r="A20351" s="64" t="str">
        <f>HYPERLINK("http://www.twitter.com/wendyslavin", "wendyslavin")</f>
        <v>wendyslavin</v>
      </c>
      <c r="B20351" s="65" t="s">
        <v>9763</v>
      </c>
    </row>
    <row r="20352" spans="1:2" x14ac:dyDescent="0.25">
      <c r="A20352" s="64" t="str">
        <f>HYPERLINK("http://www.twitter.com/RickyTelford", "RickyTelford")</f>
        <v>RickyTelford</v>
      </c>
      <c r="B20352" s="65"/>
    </row>
    <row r="20353" spans="1:2" x14ac:dyDescent="0.25">
      <c r="A20353" s="64" t="str">
        <f>HYPERLINK("http://www.twitter.com/thirdmandesign", "thirdmandesign")</f>
        <v>thirdmandesign</v>
      </c>
      <c r="B20353" s="65" t="s">
        <v>4634</v>
      </c>
    </row>
    <row r="20354" spans="1:2" x14ac:dyDescent="0.25">
      <c r="A20354" s="64" t="str">
        <f>HYPERLINK("http://www.twitter.com/AndrewMarr9", "AndrewMarr9")</f>
        <v>AndrewMarr9</v>
      </c>
      <c r="B20354" s="65"/>
    </row>
    <row r="20355" spans="1:2" x14ac:dyDescent="0.25">
      <c r="A20355" s="64" t="str">
        <f>HYPERLINK("http://www.twitter.com/Riversdalelib", "Riversdalelib")</f>
        <v>Riversdalelib</v>
      </c>
      <c r="B20355" s="65" t="s">
        <v>9764</v>
      </c>
    </row>
    <row r="20356" spans="1:2" x14ac:dyDescent="0.25">
      <c r="A20356" s="64" t="str">
        <f>HYPERLINK("http://www.twitter.com/harrietBsouth", "harrietBsouth")</f>
        <v>harrietBsouth</v>
      </c>
      <c r="B20356" s="65" t="s">
        <v>4681</v>
      </c>
    </row>
    <row r="20357" spans="1:2" x14ac:dyDescent="0.25">
      <c r="A20357" s="64" t="str">
        <f>HYPERLINK("http://www.twitter.com/Genevievela", "Genevievela")</f>
        <v>Genevievela</v>
      </c>
      <c r="B20357" s="65" t="s">
        <v>4254</v>
      </c>
    </row>
    <row r="20358" spans="1:2" x14ac:dyDescent="0.25">
      <c r="A20358" s="64" t="str">
        <f>HYPERLINK("http://www.twitter.com/Sushmi", "Sushmi")</f>
        <v>Sushmi</v>
      </c>
      <c r="B20358" s="65" t="s">
        <v>36</v>
      </c>
    </row>
    <row r="20359" spans="1:2" x14ac:dyDescent="0.25">
      <c r="A20359" s="64" t="str">
        <f>HYPERLINK("http://www.twitter.com/KatyConnolly", "KatyConnolly")</f>
        <v>KatyConnolly</v>
      </c>
      <c r="B20359" s="65" t="s">
        <v>9765</v>
      </c>
    </row>
    <row r="20360" spans="1:2" x14ac:dyDescent="0.25">
      <c r="A20360" s="64" t="str">
        <f>HYPERLINK("http://www.twitter.com/ASLIBRARIES", "ASLIBRARIES")</f>
        <v>ASLIBRARIES</v>
      </c>
      <c r="B20360" s="65" t="s">
        <v>4291</v>
      </c>
    </row>
    <row r="20361" spans="1:2" x14ac:dyDescent="0.25">
      <c r="A20361" s="64" t="str">
        <f>HYPERLINK("http://www.twitter.com/LouiseTobin4", "LouiseTobin4")</f>
        <v>LouiseTobin4</v>
      </c>
      <c r="B20361" s="65" t="s">
        <v>6472</v>
      </c>
    </row>
    <row r="20362" spans="1:2" x14ac:dyDescent="0.25">
      <c r="A20362" s="64" t="str">
        <f>HYPERLINK("http://www.twitter.com/JMBurns99", "JMBurns99")</f>
        <v>JMBurns99</v>
      </c>
      <c r="B20362" s="65" t="s">
        <v>4062</v>
      </c>
    </row>
    <row r="20363" spans="1:2" x14ac:dyDescent="0.25">
      <c r="A20363" s="64" t="str">
        <f>HYPERLINK("http://www.twitter.com/LauraRooneyF", "LauraRooneyF")</f>
        <v>LauraRooneyF</v>
      </c>
      <c r="B20363" s="65" t="s">
        <v>9766</v>
      </c>
    </row>
    <row r="20364" spans="1:2" x14ac:dyDescent="0.25">
      <c r="A20364" s="64" t="str">
        <f>HYPERLINK("http://www.twitter.com/AnnieOSullivan", "AnnieOSullivan")</f>
        <v>AnnieOSullivan</v>
      </c>
      <c r="B20364" s="65"/>
    </row>
    <row r="20365" spans="1:2" x14ac:dyDescent="0.25">
      <c r="A20365" s="64" t="str">
        <f>HYPERLINK("http://www.twitter.com/FourthEngine", "FourthEngine")</f>
        <v>FourthEngine</v>
      </c>
      <c r="B20365" s="65" t="s">
        <v>1873</v>
      </c>
    </row>
    <row r="20366" spans="1:2" x14ac:dyDescent="0.25">
      <c r="A20366" s="64" t="str">
        <f>HYPERLINK("http://www.twitter.com/AliAHPDem", "AliAHPDem")</f>
        <v>AliAHPDem</v>
      </c>
      <c r="B20366" s="65" t="s">
        <v>4238</v>
      </c>
    </row>
    <row r="20367" spans="1:2" x14ac:dyDescent="0.25">
      <c r="A20367" s="64" t="str">
        <f>HYPERLINK("http://www.twitter.com/CMcTranslator", "CMcTranslator")</f>
        <v>CMcTranslator</v>
      </c>
      <c r="B20367" s="65" t="s">
        <v>70</v>
      </c>
    </row>
    <row r="20368" spans="1:2" x14ac:dyDescent="0.25">
      <c r="A20368" s="64" t="str">
        <f>HYPERLINK("http://www.twitter.com/jen2lee", "jen2lee")</f>
        <v>jen2lee</v>
      </c>
      <c r="B20368" s="65" t="s">
        <v>9767</v>
      </c>
    </row>
    <row r="20369" spans="1:2" x14ac:dyDescent="0.25">
      <c r="A20369" s="64" t="str">
        <f>HYPERLINK("http://www.twitter.com/ontherideau", "ontherideau")</f>
        <v>ontherideau</v>
      </c>
      <c r="B20369" s="65" t="s">
        <v>9768</v>
      </c>
    </row>
    <row r="20370" spans="1:2" x14ac:dyDescent="0.25">
      <c r="A20370" s="64" t="str">
        <f>HYPERLINK("http://www.twitter.com/RachelHopkins90", "RachelHopkins90")</f>
        <v>RachelHopkins90</v>
      </c>
      <c r="B20370" s="65" t="s">
        <v>96</v>
      </c>
    </row>
    <row r="20371" spans="1:2" x14ac:dyDescent="0.25">
      <c r="A20371" s="64" t="str">
        <f>HYPERLINK("http://www.twitter.com/DFarrellBanks", "DFarrellBanks")</f>
        <v>DFarrellBanks</v>
      </c>
      <c r="B20371" s="65"/>
    </row>
    <row r="20372" spans="1:2" x14ac:dyDescent="0.25">
      <c r="A20372" s="64" t="str">
        <f>HYPERLINK("http://www.twitter.com/HeatherParryUK", "HeatherParryUK")</f>
        <v>HeatherParryUK</v>
      </c>
      <c r="B20372" s="65" t="s">
        <v>9769</v>
      </c>
    </row>
    <row r="20373" spans="1:2" x14ac:dyDescent="0.25">
      <c r="A20373" s="64" t="str">
        <f>HYPERLINK("http://www.twitter.com/EvieEviem", "EvieEviem")</f>
        <v>EvieEviem</v>
      </c>
      <c r="B20373" s="65" t="s">
        <v>9770</v>
      </c>
    </row>
    <row r="20374" spans="1:2" x14ac:dyDescent="0.25">
      <c r="A20374" s="64" t="str">
        <f>HYPERLINK("http://www.twitter.com/rarewren", "rarewren")</f>
        <v>rarewren</v>
      </c>
      <c r="B20374" s="65" t="s">
        <v>9771</v>
      </c>
    </row>
    <row r="20375" spans="1:2" x14ac:dyDescent="0.25">
      <c r="A20375" s="64" t="str">
        <f>HYPERLINK("http://www.twitter.com/TheLinties", "TheLinties")</f>
        <v>TheLinties</v>
      </c>
      <c r="B20375" s="65" t="s">
        <v>517</v>
      </c>
    </row>
    <row r="20376" spans="1:2" x14ac:dyDescent="0.25">
      <c r="A20376" s="64" t="str">
        <f>HYPERLINK("http://www.twitter.com/leavesonline", "leavesonline")</f>
        <v>leavesonline</v>
      </c>
      <c r="B20376" s="65" t="s">
        <v>36</v>
      </c>
    </row>
    <row r="20377" spans="1:2" x14ac:dyDescent="0.25">
      <c r="A20377" s="64" t="str">
        <f>HYPERLINK("http://www.twitter.com/KirsteenMulhern", "KirsteenMulhern")</f>
        <v>KirsteenMulhern</v>
      </c>
      <c r="B20377" s="65" t="s">
        <v>5007</v>
      </c>
    </row>
    <row r="20378" spans="1:2" x14ac:dyDescent="0.25">
      <c r="A20378" s="64" t="str">
        <f>HYPERLINK("http://www.twitter.com/SummitCountyLib", "SummitCountyLib")</f>
        <v>SummitCountyLib</v>
      </c>
      <c r="B20378" s="65" t="s">
        <v>5462</v>
      </c>
    </row>
    <row r="20379" spans="1:2" x14ac:dyDescent="0.25">
      <c r="A20379" s="64" t="str">
        <f>HYPERLINK("http://www.twitter.com/busstop_kris10", "busstop_kris10")</f>
        <v>busstop_kris10</v>
      </c>
      <c r="B20379" s="65" t="s">
        <v>9772</v>
      </c>
    </row>
    <row r="20380" spans="1:2" x14ac:dyDescent="0.25">
      <c r="A20380" s="64" t="str">
        <f>HYPERLINK("http://www.twitter.com/OfficialHJass", "OfficialHJass")</f>
        <v>OfficialHJass</v>
      </c>
      <c r="B20380" s="65" t="s">
        <v>9773</v>
      </c>
    </row>
    <row r="20381" spans="1:2" x14ac:dyDescent="0.25">
      <c r="A20381" s="64" t="str">
        <f>HYPERLINK("http://www.twitter.com/PendousStu", "PendousStu")</f>
        <v>PendousStu</v>
      </c>
      <c r="B20381" s="65" t="s">
        <v>9269</v>
      </c>
    </row>
    <row r="20382" spans="1:2" x14ac:dyDescent="0.25">
      <c r="A20382" s="64" t="str">
        <f>HYPERLINK("http://www.twitter.com/SuePerdooper", "SuePerdooper")</f>
        <v>SuePerdooper</v>
      </c>
      <c r="B20382" s="65" t="s">
        <v>9774</v>
      </c>
    </row>
    <row r="20383" spans="1:2" x14ac:dyDescent="0.25">
      <c r="A20383" s="64" t="str">
        <f>HYPERLINK("http://www.twitter.com/JackToff1", "JackToff1")</f>
        <v>JackToff1</v>
      </c>
      <c r="B20383" s="65" t="s">
        <v>9269</v>
      </c>
    </row>
    <row r="20384" spans="1:2" x14ac:dyDescent="0.25">
      <c r="A20384" s="64" t="str">
        <f>HYPERLINK("http://www.twitter.com/FlyingAunt", "FlyingAunt")</f>
        <v>FlyingAunt</v>
      </c>
      <c r="B20384" s="65" t="s">
        <v>6981</v>
      </c>
    </row>
    <row r="20385" spans="1:2" x14ac:dyDescent="0.25">
      <c r="A20385" s="64" t="str">
        <f>HYPERLINK("http://www.twitter.com/kapten_grogg", "kapten_grogg")</f>
        <v>kapten_grogg</v>
      </c>
      <c r="B20385" s="65" t="s">
        <v>6153</v>
      </c>
    </row>
    <row r="20386" spans="1:2" x14ac:dyDescent="0.25">
      <c r="A20386" s="64" t="str">
        <f>HYPERLINK("http://www.twitter.com/JonathanTrew", "JonathanTrew")</f>
        <v>JonathanTrew</v>
      </c>
      <c r="B20386" s="65"/>
    </row>
    <row r="20387" spans="1:2" x14ac:dyDescent="0.25">
      <c r="A20387" s="64" t="str">
        <f>HYPERLINK("http://www.twitter.com/beeeeds", "beeeeds")</f>
        <v>beeeeds</v>
      </c>
      <c r="B20387" s="65" t="s">
        <v>9775</v>
      </c>
    </row>
    <row r="20388" spans="1:2" x14ac:dyDescent="0.25">
      <c r="A20388" s="64" t="str">
        <f>HYPERLINK("http://www.twitter.com/ediesinc27", "ediesinc27")</f>
        <v>ediesinc27</v>
      </c>
      <c r="B20388" s="65"/>
    </row>
    <row r="20389" spans="1:2" x14ac:dyDescent="0.25">
      <c r="A20389" s="64" t="str">
        <f>HYPERLINK("http://www.twitter.com/bookideasblog", "bookideasblog")</f>
        <v>bookideasblog</v>
      </c>
      <c r="B20389" s="65" t="s">
        <v>3688</v>
      </c>
    </row>
    <row r="20390" spans="1:2" x14ac:dyDescent="0.25">
      <c r="A20390" s="64" t="str">
        <f>HYPERLINK("http://www.twitter.com/after_henry", "after_henry")</f>
        <v>after_henry</v>
      </c>
      <c r="B20390" s="65" t="s">
        <v>9776</v>
      </c>
    </row>
    <row r="20391" spans="1:2" x14ac:dyDescent="0.25">
      <c r="A20391" s="64" t="str">
        <f>HYPERLINK("http://www.twitter.com/HossLib", "HossLib")</f>
        <v>HossLib</v>
      </c>
      <c r="B20391" s="65" t="s">
        <v>4237</v>
      </c>
    </row>
    <row r="20392" spans="1:2" x14ac:dyDescent="0.25">
      <c r="A20392" s="64" t="str">
        <f>HYPERLINK("http://www.twitter.com/happytoread", "happytoread")</f>
        <v>happytoread</v>
      </c>
      <c r="B20392" s="65" t="s">
        <v>6939</v>
      </c>
    </row>
    <row r="20393" spans="1:2" x14ac:dyDescent="0.25">
      <c r="A20393" s="64" t="str">
        <f>HYPERLINK("http://www.twitter.com/UniversalPallet", "UniversalPallet")</f>
        <v>UniversalPallet</v>
      </c>
      <c r="B20393" s="65" t="s">
        <v>9777</v>
      </c>
    </row>
    <row r="20394" spans="1:2" x14ac:dyDescent="0.25">
      <c r="A20394" s="64" t="str">
        <f>HYPERLINK("http://www.twitter.com/MyCityLibrary", "MyCityLibrary")</f>
        <v>MyCityLibrary</v>
      </c>
      <c r="B20394" s="65" t="s">
        <v>4675</v>
      </c>
    </row>
    <row r="20395" spans="1:2" x14ac:dyDescent="0.25">
      <c r="A20395" s="64" t="str">
        <f>HYPERLINK("http://www.twitter.com/BltnImaginators", "BltnImaginators")</f>
        <v>BltnImaginators</v>
      </c>
      <c r="B20395" s="65" t="s">
        <v>9778</v>
      </c>
    </row>
    <row r="20396" spans="1:2" x14ac:dyDescent="0.25">
      <c r="A20396" s="64" t="str">
        <f>HYPERLINK("http://www.twitter.com/scotgenealogist", "scotgenealogist")</f>
        <v>scotgenealogist</v>
      </c>
      <c r="B20396" s="65"/>
    </row>
    <row r="20397" spans="1:2" x14ac:dyDescent="0.25">
      <c r="A20397" s="64" t="str">
        <f>HYPERLINK("http://www.twitter.com/JaswardM", "JaswardM")</f>
        <v>JaswardM</v>
      </c>
      <c r="B20397" s="65" t="s">
        <v>20</v>
      </c>
    </row>
    <row r="20398" spans="1:2" x14ac:dyDescent="0.25">
      <c r="A20398" s="64" t="str">
        <f>HYPERLINK("http://www.twitter.com/jeanquinn42", "jeanquinn42")</f>
        <v>jeanquinn42</v>
      </c>
      <c r="B20398" s="65"/>
    </row>
    <row r="20399" spans="1:2" x14ac:dyDescent="0.25">
      <c r="A20399" s="64" t="str">
        <f>HYPERLINK("http://www.twitter.com/checkley_adrian", "checkley_adrian")</f>
        <v>checkley_adrian</v>
      </c>
      <c r="B20399" s="65"/>
    </row>
    <row r="20400" spans="1:2" x14ac:dyDescent="0.25">
      <c r="A20400" s="64" t="str">
        <f>HYPERLINK("http://www.twitter.com/lindanewbery", "lindanewbery")</f>
        <v>lindanewbery</v>
      </c>
      <c r="B20400" s="65" t="s">
        <v>1180</v>
      </c>
    </row>
    <row r="20401" spans="1:2" x14ac:dyDescent="0.25">
      <c r="A20401" s="64" t="str">
        <f>HYPERLINK("http://www.twitter.com/YAARP_Orkney", "YAARP_Orkney")</f>
        <v>YAARP_Orkney</v>
      </c>
      <c r="B20401" s="65" t="s">
        <v>9779</v>
      </c>
    </row>
    <row r="20402" spans="1:2" x14ac:dyDescent="0.25">
      <c r="A20402" s="64" t="str">
        <f>HYPERLINK("http://www.twitter.com/ArnoldQuavers", "ArnoldQuavers")</f>
        <v>ArnoldQuavers</v>
      </c>
      <c r="B20402" s="65" t="s">
        <v>70</v>
      </c>
    </row>
    <row r="20403" spans="1:2" x14ac:dyDescent="0.25">
      <c r="A20403" s="64" t="str">
        <f>HYPERLINK("http://www.twitter.com/adwarner", "adwarner")</f>
        <v>adwarner</v>
      </c>
      <c r="B20403" s="65" t="s">
        <v>4446</v>
      </c>
    </row>
    <row r="20404" spans="1:2" x14ac:dyDescent="0.25">
      <c r="A20404" s="64" t="str">
        <f>HYPERLINK("http://www.twitter.com/skalibrarian", "skalibrarian")</f>
        <v>skalibrarian</v>
      </c>
      <c r="B20404" s="65" t="s">
        <v>4110</v>
      </c>
    </row>
    <row r="20405" spans="1:2" x14ac:dyDescent="0.25">
      <c r="A20405" s="64" t="str">
        <f>HYPERLINK("http://www.twitter.com/PunkRoddy", "PunkRoddy")</f>
        <v>PunkRoddy</v>
      </c>
      <c r="B20405" s="65"/>
    </row>
    <row r="20406" spans="1:2" x14ac:dyDescent="0.25">
      <c r="A20406" s="64" t="str">
        <f>HYPERLINK("http://www.twitter.com/shpl", "shpl")</f>
        <v>shpl</v>
      </c>
      <c r="B20406" s="65" t="s">
        <v>9780</v>
      </c>
    </row>
    <row r="20407" spans="1:2" x14ac:dyDescent="0.25">
      <c r="A20407" s="64" t="str">
        <f>HYPERLINK("http://www.twitter.com/rayne_tilly", "rayne_tilly")</f>
        <v>rayne_tilly</v>
      </c>
      <c r="B20407" s="65" t="s">
        <v>9781</v>
      </c>
    </row>
    <row r="20408" spans="1:2" x14ac:dyDescent="0.25">
      <c r="A20408" s="64" t="str">
        <f>HYPERLINK("http://www.twitter.com/NPLReads", "NPLReads")</f>
        <v>NPLReads</v>
      </c>
      <c r="B20408" s="65" t="s">
        <v>9782</v>
      </c>
    </row>
    <row r="20409" spans="1:2" x14ac:dyDescent="0.25">
      <c r="A20409" s="64" t="str">
        <f>HYPERLINK("http://www.twitter.com/ScotDigiCH", "ScotDigiCH")</f>
        <v>ScotDigiCH</v>
      </c>
      <c r="B20409" s="65" t="s">
        <v>138</v>
      </c>
    </row>
    <row r="20410" spans="1:2" x14ac:dyDescent="0.25">
      <c r="A20410" s="64" t="str">
        <f>HYPERLINK("http://www.twitter.com/suilven99", "suilven99")</f>
        <v>suilven99</v>
      </c>
      <c r="B20410" s="65"/>
    </row>
    <row r="20411" spans="1:2" x14ac:dyDescent="0.25">
      <c r="A20411" s="64" t="str">
        <f>HYPERLINK("http://www.twitter.com/KS_Ant", "KS_Ant")</f>
        <v>KS_Ant</v>
      </c>
      <c r="B20411" s="65"/>
    </row>
    <row r="20412" spans="1:2" x14ac:dyDescent="0.25">
      <c r="A20412" s="64" t="str">
        <f>HYPERLINK("http://www.twitter.com/karenmac21", "karenmac21")</f>
        <v>karenmac21</v>
      </c>
      <c r="B20412" s="65"/>
    </row>
    <row r="20413" spans="1:2" x14ac:dyDescent="0.25">
      <c r="A20413" s="64" t="str">
        <f>HYPERLINK("http://www.twitter.com/Schrottvogel", "Schrottvogel")</f>
        <v>Schrottvogel</v>
      </c>
      <c r="B20413" s="65" t="s">
        <v>9783</v>
      </c>
    </row>
    <row r="20414" spans="1:2" x14ac:dyDescent="0.25">
      <c r="A20414" s="64" t="str">
        <f>HYPERLINK("http://www.twitter.com/AndyIndex", "AndyIndex")</f>
        <v>AndyIndex</v>
      </c>
      <c r="B20414" s="65" t="s">
        <v>3817</v>
      </c>
    </row>
    <row r="20415" spans="1:2" x14ac:dyDescent="0.25">
      <c r="A20415" s="64" t="str">
        <f>HYPERLINK("http://www.twitter.com/CapnDarcy", "CapnDarcy")</f>
        <v>CapnDarcy</v>
      </c>
      <c r="B20415" s="65"/>
    </row>
    <row r="20416" spans="1:2" x14ac:dyDescent="0.25">
      <c r="A20416" s="64" t="str">
        <f>HYPERLINK("http://www.twitter.com/butterfliesOTM", "butterfliesOTM")</f>
        <v>butterfliesOTM</v>
      </c>
      <c r="B20416" s="65" t="s">
        <v>517</v>
      </c>
    </row>
    <row r="20417" spans="1:2" x14ac:dyDescent="0.25">
      <c r="A20417" s="64" t="str">
        <f>HYPERLINK("http://www.twitter.com/LAS_QI", "LAS_QI")</f>
        <v>LAS_QI</v>
      </c>
      <c r="B20417" s="65" t="s">
        <v>9784</v>
      </c>
    </row>
    <row r="20418" spans="1:2" x14ac:dyDescent="0.25">
      <c r="A20418" s="64" t="str">
        <f>HYPERLINK("http://www.twitter.com/stewdrev", "stewdrev")</f>
        <v>stewdrev</v>
      </c>
      <c r="B20418" s="65"/>
    </row>
    <row r="20419" spans="1:2" x14ac:dyDescent="0.25">
      <c r="A20419" s="64" t="str">
        <f>HYPERLINK("http://www.twitter.com/LateLovePoems", "LateLovePoems")</f>
        <v>LateLovePoems</v>
      </c>
      <c r="B20419" s="65" t="s">
        <v>9785</v>
      </c>
    </row>
    <row r="20420" spans="1:2" x14ac:dyDescent="0.25">
      <c r="A20420" s="64" t="str">
        <f>HYPERLINK("http://www.twitter.com/JojoMaryRussell", "JojoMaryRussell")</f>
        <v>JojoMaryRussell</v>
      </c>
      <c r="B20420" s="65" t="s">
        <v>4070</v>
      </c>
    </row>
    <row r="20421" spans="1:2" x14ac:dyDescent="0.25">
      <c r="A20421" s="64" t="str">
        <f>HYPERLINK("http://www.twitter.com/DarkEagle321", "DarkEagle321")</f>
        <v>DarkEagle321</v>
      </c>
      <c r="B20421" s="65"/>
    </row>
    <row r="20422" spans="1:2" x14ac:dyDescent="0.25">
      <c r="A20422" s="64" t="str">
        <f>HYPERLINK("http://www.twitter.com/vonnie_d", "vonnie_d")</f>
        <v>vonnie_d</v>
      </c>
      <c r="B20422" s="65" t="s">
        <v>4366</v>
      </c>
    </row>
    <row r="20423" spans="1:2" x14ac:dyDescent="0.25">
      <c r="A20423" s="64" t="str">
        <f>HYPERLINK("http://www.twitter.com/manojsahoo485", "manojsahoo485")</f>
        <v>manojsahoo485</v>
      </c>
      <c r="B20423" s="65" t="s">
        <v>4492</v>
      </c>
    </row>
    <row r="20424" spans="1:2" x14ac:dyDescent="0.25">
      <c r="A20424" s="64" t="str">
        <f>HYPERLINK("http://www.twitter.com/famron", "famron")</f>
        <v>famron</v>
      </c>
      <c r="B20424" s="65" t="s">
        <v>9786</v>
      </c>
    </row>
    <row r="20425" spans="1:2" x14ac:dyDescent="0.25">
      <c r="A20425" s="64" t="str">
        <f>HYPERLINK("http://www.twitter.com/ciruna", "ciruna")</f>
        <v>ciruna</v>
      </c>
      <c r="B20425" s="65" t="s">
        <v>248</v>
      </c>
    </row>
    <row r="20426" spans="1:2" x14ac:dyDescent="0.25">
      <c r="A20426" s="64" t="str">
        <f>HYPERLINK("http://www.twitter.com/peigi", "peigi")</f>
        <v>peigi</v>
      </c>
      <c r="B20426" s="65" t="s">
        <v>24</v>
      </c>
    </row>
    <row r="20427" spans="1:2" x14ac:dyDescent="0.25">
      <c r="A20427" s="64" t="str">
        <f>HYPERLINK("http://www.twitter.com/IndieLibraries", "IndieLibraries")</f>
        <v>IndieLibraries</v>
      </c>
      <c r="B20427" s="65" t="s">
        <v>4149</v>
      </c>
    </row>
    <row r="20428" spans="1:2" x14ac:dyDescent="0.25">
      <c r="A20428" s="64" t="str">
        <f>HYPERLINK("http://www.twitter.com/heatheph", "heatheph")</f>
        <v>heatheph</v>
      </c>
      <c r="B20428" s="65" t="s">
        <v>517</v>
      </c>
    </row>
    <row r="20429" spans="1:2" x14ac:dyDescent="0.25">
      <c r="A20429" s="64" t="str">
        <f>HYPERLINK("http://www.twitter.com/LibFriendsTwit", "LibFriendsTwit")</f>
        <v>LibFriendsTwit</v>
      </c>
      <c r="B20429" s="65" t="s">
        <v>296</v>
      </c>
    </row>
    <row r="20430" spans="1:2" x14ac:dyDescent="0.25">
      <c r="A20430" s="64" t="str">
        <f>HYPERLINK("http://www.twitter.com/susannah_sh", "susannah_sh")</f>
        <v>susannah_sh</v>
      </c>
      <c r="B20430" s="65" t="s">
        <v>9787</v>
      </c>
    </row>
    <row r="20431" spans="1:2" x14ac:dyDescent="0.25">
      <c r="A20431" s="64" t="str">
        <f>HYPERLINK("http://www.twitter.com/JuleJarvis", "JuleJarvis")</f>
        <v>JuleJarvis</v>
      </c>
      <c r="B20431" s="65"/>
    </row>
    <row r="20432" spans="1:2" x14ac:dyDescent="0.25">
      <c r="A20432" s="64" t="str">
        <f>HYPERLINK("http://www.twitter.com/JuliaMacB", "JuliaMacB")</f>
        <v>JuliaMacB</v>
      </c>
      <c r="B20432" s="65" t="s">
        <v>8287</v>
      </c>
    </row>
    <row r="20433" spans="1:2" x14ac:dyDescent="0.25">
      <c r="A20433" s="64" t="str">
        <f>HYPERLINK("http://www.twitter.com/SelenaKillick", "SelenaKillick")</f>
        <v>SelenaKillick</v>
      </c>
      <c r="B20433" s="65" t="s">
        <v>70</v>
      </c>
    </row>
    <row r="20434" spans="1:2" x14ac:dyDescent="0.25">
      <c r="A20434" s="64" t="str">
        <f>HYPERLINK("http://www.twitter.com/LiveLoveLeith", "LiveLoveLeith")</f>
        <v>LiveLoveLeith</v>
      </c>
      <c r="B20434" s="65" t="s">
        <v>9788</v>
      </c>
    </row>
    <row r="20435" spans="1:2" x14ac:dyDescent="0.25">
      <c r="A20435" s="64" t="str">
        <f>HYPERLINK("http://www.twitter.com/amyrobyn", "amyrobyn")</f>
        <v>amyrobyn</v>
      </c>
      <c r="B20435" s="65" t="s">
        <v>24</v>
      </c>
    </row>
    <row r="20436" spans="1:2" x14ac:dyDescent="0.25">
      <c r="A20436" s="64" t="str">
        <f>HYPERLINK("http://www.twitter.com/sarahvale6", "sarahvale6")</f>
        <v>sarahvale6</v>
      </c>
      <c r="B20436" s="65"/>
    </row>
    <row r="20437" spans="1:2" x14ac:dyDescent="0.25">
      <c r="A20437" s="64" t="str">
        <f>HYPERLINK("http://www.twitter.com/headtotone", "headtotone")</f>
        <v>headtotone</v>
      </c>
      <c r="B20437" s="65" t="s">
        <v>36</v>
      </c>
    </row>
    <row r="20438" spans="1:2" x14ac:dyDescent="0.25">
      <c r="A20438" s="64" t="str">
        <f>HYPERLINK("http://www.twitter.com/LUCLibraries", "LUCLibraries")</f>
        <v>LUCLibraries</v>
      </c>
      <c r="B20438" s="65" t="s">
        <v>4329</v>
      </c>
    </row>
    <row r="20439" spans="1:2" x14ac:dyDescent="0.25">
      <c r="A20439" s="64" t="str">
        <f>HYPERLINK("http://www.twitter.com/ASCELUK", "ASCELUK")</f>
        <v>ASCELUK</v>
      </c>
      <c r="B20439" s="65" t="s">
        <v>70</v>
      </c>
    </row>
    <row r="20440" spans="1:2" x14ac:dyDescent="0.25">
      <c r="A20440" s="64" t="str">
        <f>HYPERLINK("http://www.twitter.com/maisy_mns", "maisy_mns")</f>
        <v>maisy_mns</v>
      </c>
      <c r="B20440" s="65" t="s">
        <v>517</v>
      </c>
    </row>
    <row r="20441" spans="1:2" x14ac:dyDescent="0.25">
      <c r="A20441" s="64" t="str">
        <f>HYPERLINK("http://www.twitter.com/sarahevb", "sarahevb")</f>
        <v>sarahevb</v>
      </c>
      <c r="B20441" s="65"/>
    </row>
    <row r="20442" spans="1:2" x14ac:dyDescent="0.25">
      <c r="A20442" s="64" t="str">
        <f>HYPERLINK("http://www.twitter.com/HeraldGoodLife", "HeraldGoodLife")</f>
        <v>HeraldGoodLife</v>
      </c>
      <c r="B20442" s="65" t="s">
        <v>9789</v>
      </c>
    </row>
    <row r="20443" spans="1:2" x14ac:dyDescent="0.25">
      <c r="A20443" s="64" t="str">
        <f>HYPERLINK("http://www.twitter.com/orkneyescapes", "orkneyescapes")</f>
        <v>orkneyescapes</v>
      </c>
      <c r="B20443" s="65" t="s">
        <v>4403</v>
      </c>
    </row>
    <row r="20444" spans="1:2" x14ac:dyDescent="0.25">
      <c r="A20444" s="64" t="str">
        <f>HYPERLINK("http://www.twitter.com/TobyonTV", "TobyonTV")</f>
        <v>TobyonTV</v>
      </c>
      <c r="B20444" s="65"/>
    </row>
    <row r="20445" spans="1:2" x14ac:dyDescent="0.25">
      <c r="A20445" s="64" t="str">
        <f>HYPERLINK("http://www.twitter.com/allinatangle", "allinatangle")</f>
        <v>allinatangle</v>
      </c>
      <c r="B20445" s="65"/>
    </row>
    <row r="20446" spans="1:2" x14ac:dyDescent="0.25">
      <c r="A20446" s="64" t="str">
        <f>HYPERLINK("http://www.twitter.com/Youmademe_Miss", "Youmademe_Miss")</f>
        <v>Youmademe_Miss</v>
      </c>
      <c r="B20446" s="65"/>
    </row>
    <row r="20447" spans="1:2" x14ac:dyDescent="0.25">
      <c r="A20447" s="64" t="str">
        <f>HYPERLINK("http://www.twitter.com/TheRealMrsBalfy", "TheRealMrsBalfy")</f>
        <v>TheRealMrsBalfy</v>
      </c>
      <c r="B20447" s="65"/>
    </row>
    <row r="20448" spans="1:2" x14ac:dyDescent="0.25">
      <c r="A20448" s="64" t="str">
        <f>HYPERLINK("http://www.twitter.com/bredebieb", "bredebieb")</f>
        <v>bredebieb</v>
      </c>
      <c r="B20448" s="65" t="s">
        <v>9790</v>
      </c>
    </row>
    <row r="20449" spans="1:2" x14ac:dyDescent="0.25">
      <c r="A20449" s="64" t="str">
        <f>HYPERLINK("http://www.twitter.com/cwbrodeur", "cwbrodeur")</f>
        <v>cwbrodeur</v>
      </c>
      <c r="B20449" s="65"/>
    </row>
    <row r="20450" spans="1:2" x14ac:dyDescent="0.25">
      <c r="A20450" s="64" t="str">
        <f>HYPERLINK("http://www.twitter.com/wheatonliz", "wheatonliz")</f>
        <v>wheatonliz</v>
      </c>
      <c r="B20450" s="65"/>
    </row>
    <row r="20451" spans="1:2" x14ac:dyDescent="0.25">
      <c r="A20451" s="64" t="str">
        <f>HYPERLINK("http://www.twitter.com/KayGoodall", "KayGoodall")</f>
        <v>KayGoodall</v>
      </c>
      <c r="B20451" s="65" t="s">
        <v>24</v>
      </c>
    </row>
    <row r="20452" spans="1:2" x14ac:dyDescent="0.25">
      <c r="A20452" s="64" t="str">
        <f>HYPERLINK("http://www.twitter.com/SconeWright", "SconeWright")</f>
        <v>SconeWright</v>
      </c>
      <c r="B20452" s="65"/>
    </row>
    <row r="20453" spans="1:2" x14ac:dyDescent="0.25">
      <c r="A20453" s="64" t="str">
        <f>HYPERLINK("http://www.twitter.com/lauraclewis", "lauraclewis")</f>
        <v>lauraclewis</v>
      </c>
      <c r="B20453" s="65" t="s">
        <v>24</v>
      </c>
    </row>
    <row r="20454" spans="1:2" x14ac:dyDescent="0.25">
      <c r="A20454" s="64" t="str">
        <f>HYPERLINK("http://www.twitter.com/vrotermundt", "vrotermundt")</f>
        <v>vrotermundt</v>
      </c>
      <c r="B20454" s="65" t="s">
        <v>9791</v>
      </c>
    </row>
    <row r="20455" spans="1:2" x14ac:dyDescent="0.25">
      <c r="A20455" s="64" t="str">
        <f>HYPERLINK("http://www.twitter.com/joanpickersgill", "joanpickersgill")</f>
        <v>joanpickersgill</v>
      </c>
      <c r="B20455" s="65"/>
    </row>
    <row r="20456" spans="1:2" x14ac:dyDescent="0.25">
      <c r="A20456" s="64" t="str">
        <f>HYPERLINK("http://www.twitter.com/GerryCoutts", "GerryCoutts")</f>
        <v>GerryCoutts</v>
      </c>
      <c r="B20456" s="65" t="s">
        <v>138</v>
      </c>
    </row>
    <row r="20457" spans="1:2" x14ac:dyDescent="0.25">
      <c r="A20457" s="64" t="str">
        <f>HYPERLINK("http://www.twitter.com/fisherknit", "fisherknit")</f>
        <v>fisherknit</v>
      </c>
      <c r="B20457" s="65" t="s">
        <v>9262</v>
      </c>
    </row>
    <row r="20458" spans="1:2" x14ac:dyDescent="0.25">
      <c r="A20458" s="64" t="str">
        <f>HYPERLINK("http://www.twitter.com/hiMcRae", "hiMcRae")</f>
        <v>hiMcRae</v>
      </c>
      <c r="B20458" s="65" t="s">
        <v>9792</v>
      </c>
    </row>
    <row r="20459" spans="1:2" x14ac:dyDescent="0.25">
      <c r="A20459" s="64" t="str">
        <f>HYPERLINK("http://www.twitter.com/StpnLibrarian", "StpnLibrarian")</f>
        <v>StpnLibrarian</v>
      </c>
      <c r="B20459" s="65" t="s">
        <v>9793</v>
      </c>
    </row>
    <row r="20460" spans="1:2" x14ac:dyDescent="0.25">
      <c r="A20460" s="64" t="str">
        <f>HYPERLINK("http://www.twitter.com/HvVelzen", "HvVelzen")</f>
        <v>HvVelzen</v>
      </c>
      <c r="B20460" s="65"/>
    </row>
    <row r="20461" spans="1:2" x14ac:dyDescent="0.25">
      <c r="A20461" s="64" t="str">
        <f>HYPERLINK("http://www.twitter.com/Architarist", "Architarist")</f>
        <v>Architarist</v>
      </c>
      <c r="B20461" s="65" t="s">
        <v>1377</v>
      </c>
    </row>
    <row r="20462" spans="1:2" x14ac:dyDescent="0.25">
      <c r="A20462" s="64" t="str">
        <f>HYPERLINK("http://www.twitter.com/ab_x_", "ab_x_")</f>
        <v>ab_x_</v>
      </c>
      <c r="B20462" s="65" t="s">
        <v>9794</v>
      </c>
    </row>
    <row r="20463" spans="1:2" x14ac:dyDescent="0.25">
      <c r="A20463" s="64" t="str">
        <f>HYPERLINK("http://www.twitter.com/SueLMC3", "SueLMC3")</f>
        <v>SueLMC3</v>
      </c>
      <c r="B20463" s="65"/>
    </row>
    <row r="20464" spans="1:2" x14ac:dyDescent="0.25">
      <c r="A20464" s="64" t="str">
        <f>HYPERLINK("http://www.twitter.com/VillageStories", "VillageStories")</f>
        <v>VillageStories</v>
      </c>
      <c r="B20464" s="65" t="s">
        <v>138</v>
      </c>
    </row>
    <row r="20465" spans="1:2" x14ac:dyDescent="0.25">
      <c r="A20465" s="64" t="str">
        <f>HYPERLINK("http://www.twitter.com/GoggleboxF", "GoggleboxF")</f>
        <v>GoggleboxF</v>
      </c>
      <c r="B20465" s="65"/>
    </row>
    <row r="20466" spans="1:2" x14ac:dyDescent="0.25">
      <c r="A20466" s="64" t="str">
        <f>HYPERLINK("http://www.twitter.com/juliehancock3", "juliehancock3")</f>
        <v>juliehancock3</v>
      </c>
      <c r="B20466" s="65" t="s">
        <v>6738</v>
      </c>
    </row>
    <row r="20467" spans="1:2" x14ac:dyDescent="0.25">
      <c r="A20467" s="64" t="str">
        <f>HYPERLINK("http://www.twitter.com/hugefoodlover", "hugefoodlover")</f>
        <v>hugefoodlover</v>
      </c>
      <c r="B20467" s="65" t="s">
        <v>9795</v>
      </c>
    </row>
    <row r="20468" spans="1:2" x14ac:dyDescent="0.25">
      <c r="A20468" s="64" t="str">
        <f>HYPERLINK("http://www.twitter.com/_diminish", "_diminish")</f>
        <v>_diminish</v>
      </c>
      <c r="B20468" s="65" t="s">
        <v>9791</v>
      </c>
    </row>
    <row r="20469" spans="1:2" x14ac:dyDescent="0.25">
      <c r="A20469" s="64" t="str">
        <f>HYPERLINK("http://www.twitter.com/dianej388", "dianej388")</f>
        <v>dianej388</v>
      </c>
      <c r="B20469" s="65" t="s">
        <v>3762</v>
      </c>
    </row>
    <row r="20470" spans="1:2" x14ac:dyDescent="0.25">
      <c r="A20470" s="64" t="str">
        <f>HYPERLINK("http://www.twitter.com/Pattiesupper", "Pattiesupper")</f>
        <v>Pattiesupper</v>
      </c>
      <c r="B20470" s="65"/>
    </row>
    <row r="20471" spans="1:2" x14ac:dyDescent="0.25">
      <c r="A20471" s="64" t="str">
        <f>HYPERLINK("http://www.twitter.com/jobettysmith", "jobettysmith")</f>
        <v>jobettysmith</v>
      </c>
      <c r="B20471" s="65" t="s">
        <v>9796</v>
      </c>
    </row>
    <row r="20472" spans="1:2" x14ac:dyDescent="0.25">
      <c r="A20472" s="64" t="str">
        <f>HYPERLINK("http://www.twitter.com/InformationMan2", "InformationMan2")</f>
        <v>InformationMan2</v>
      </c>
      <c r="B20472" s="65"/>
    </row>
    <row r="20473" spans="1:2" x14ac:dyDescent="0.25">
      <c r="A20473" s="64" t="str">
        <f>HYPERLINK("http://www.twitter.com/ashleyodell", "ashleyodell")</f>
        <v>ashleyodell</v>
      </c>
      <c r="B20473" s="65" t="s">
        <v>9797</v>
      </c>
    </row>
    <row r="20474" spans="1:2" x14ac:dyDescent="0.25">
      <c r="A20474" s="64" t="str">
        <f>HYPERLINK("http://www.twitter.com/InMyMargins", "InMyMargins")</f>
        <v>InMyMargins</v>
      </c>
      <c r="B20474" s="65" t="s">
        <v>9798</v>
      </c>
    </row>
    <row r="20475" spans="1:2" x14ac:dyDescent="0.25">
      <c r="A20475" s="64" t="str">
        <f>HYPERLINK("http://www.twitter.com/guerra_melinda", "guerra_melinda")</f>
        <v>guerra_melinda</v>
      </c>
      <c r="B20475" s="65"/>
    </row>
    <row r="20476" spans="1:2" x14ac:dyDescent="0.25">
      <c r="A20476" s="64" t="str">
        <f>HYPERLINK("http://www.twitter.com/tkgafs", "tkgafs")</f>
        <v>tkgafs</v>
      </c>
      <c r="B20476" s="65" t="s">
        <v>9799</v>
      </c>
    </row>
    <row r="20477" spans="1:2" x14ac:dyDescent="0.25">
      <c r="A20477" s="64" t="str">
        <f>HYPERLINK("http://www.twitter.com/mabilicabill", "mabilicabill")</f>
        <v>mabilicabill</v>
      </c>
      <c r="B20477" s="65" t="s">
        <v>6680</v>
      </c>
    </row>
    <row r="20478" spans="1:2" x14ac:dyDescent="0.25">
      <c r="A20478" s="64" t="str">
        <f>HYPERLINK("http://www.twitter.com/janeek", "janeek")</f>
        <v>janeek</v>
      </c>
      <c r="B20478" s="65"/>
    </row>
    <row r="20479" spans="1:2" x14ac:dyDescent="0.25">
      <c r="A20479" s="64" t="str">
        <f>HYPERLINK("http://www.twitter.com/Marshall78Karen", "Marshall78Karen")</f>
        <v>Marshall78Karen</v>
      </c>
      <c r="B20479" s="65" t="s">
        <v>2007</v>
      </c>
    </row>
    <row r="20480" spans="1:2" x14ac:dyDescent="0.25">
      <c r="A20480" s="64" t="str">
        <f>HYPERLINK("http://www.twitter.com/MorrisLeigh", "MorrisLeigh")</f>
        <v>MorrisLeigh</v>
      </c>
      <c r="B20480" s="65" t="s">
        <v>296</v>
      </c>
    </row>
    <row r="20481" spans="1:2" x14ac:dyDescent="0.25">
      <c r="A20481" s="64" t="str">
        <f>HYPERLINK("http://www.twitter.com/borrowedbread", "borrowedbread")</f>
        <v>borrowedbread</v>
      </c>
      <c r="B20481" s="65" t="s">
        <v>487</v>
      </c>
    </row>
    <row r="20482" spans="1:2" x14ac:dyDescent="0.25">
      <c r="A20482" s="64" t="str">
        <f>HYPERLINK("http://www.twitter.com/NordicNoirBuzz", "NordicNoirBuzz")</f>
        <v>NordicNoirBuzz</v>
      </c>
      <c r="B20482" s="65"/>
    </row>
    <row r="20483" spans="1:2" x14ac:dyDescent="0.25">
      <c r="A20483" s="64" t="str">
        <f>HYPERLINK("http://www.twitter.com/OllyRobbins", "OllyRobbins")</f>
        <v>OllyRobbins</v>
      </c>
      <c r="B20483" s="65" t="s">
        <v>9800</v>
      </c>
    </row>
    <row r="20484" spans="1:2" x14ac:dyDescent="0.25">
      <c r="A20484" s="64" t="str">
        <f>HYPERLINK("http://www.twitter.com/georgina2533", "georgina2533")</f>
        <v>georgina2533</v>
      </c>
      <c r="B20484" s="65"/>
    </row>
    <row r="20485" spans="1:2" x14ac:dyDescent="0.25">
      <c r="A20485" s="64" t="str">
        <f>HYPERLINK("http://www.twitter.com/InvernessLawyer", "InvernessLawyer")</f>
        <v>InvernessLawyer</v>
      </c>
      <c r="B20485" s="65" t="s">
        <v>4050</v>
      </c>
    </row>
    <row r="20486" spans="1:2" x14ac:dyDescent="0.25">
      <c r="A20486" s="64" t="str">
        <f>HYPERLINK("http://www.twitter.com/learnlendlib", "learnlendlib")</f>
        <v>learnlendlib</v>
      </c>
      <c r="B20486" s="65" t="s">
        <v>517</v>
      </c>
    </row>
    <row r="20487" spans="1:2" x14ac:dyDescent="0.25">
      <c r="A20487" s="64" t="str">
        <f>HYPERLINK("http://www.twitter.com/GraemeLeask", "GraemeLeask")</f>
        <v>GraemeLeask</v>
      </c>
      <c r="B20487" s="65"/>
    </row>
    <row r="20488" spans="1:2" x14ac:dyDescent="0.25">
      <c r="A20488" s="64" t="str">
        <f>HYPERLINK("http://www.twitter.com/VelocityDigi", "VelocityDigi")</f>
        <v>VelocityDigi</v>
      </c>
      <c r="B20488" s="65" t="s">
        <v>4313</v>
      </c>
    </row>
    <row r="20489" spans="1:2" x14ac:dyDescent="0.25">
      <c r="A20489" s="64" t="str">
        <f>HYPERLINK("http://www.twitter.com/rjlmitchell", "rjlmitchell")</f>
        <v>rjlmitchell</v>
      </c>
      <c r="B20489" s="65" t="s">
        <v>138</v>
      </c>
    </row>
    <row r="20490" spans="1:2" x14ac:dyDescent="0.25">
      <c r="A20490" s="64" t="str">
        <f>HYPERLINK("http://www.twitter.com/mattwmusic", "mattwmusic")</f>
        <v>mattwmusic</v>
      </c>
      <c r="B20490" s="65" t="s">
        <v>2213</v>
      </c>
    </row>
    <row r="20491" spans="1:2" x14ac:dyDescent="0.25">
      <c r="A20491" s="64" t="str">
        <f>HYPERLINK("http://www.twitter.com/Helena_Sindelar", "Helena_Sindelar")</f>
        <v>Helena_Sindelar</v>
      </c>
      <c r="B20491" s="65" t="s">
        <v>4237</v>
      </c>
    </row>
    <row r="20492" spans="1:2" x14ac:dyDescent="0.25">
      <c r="A20492" s="64" t="str">
        <f>HYPERLINK("http://www.twitter.com/blacklaceknits", "blacklaceknits")</f>
        <v>blacklaceknits</v>
      </c>
      <c r="B20492" s="65" t="s">
        <v>6351</v>
      </c>
    </row>
    <row r="20493" spans="1:2" x14ac:dyDescent="0.25">
      <c r="A20493" s="64" t="str">
        <f>HYPERLINK("http://www.twitter.com/CrawleyAOG", "CrawleyAOG")</f>
        <v>CrawleyAOG</v>
      </c>
      <c r="B20493" s="65" t="s">
        <v>9801</v>
      </c>
    </row>
    <row r="20494" spans="1:2" x14ac:dyDescent="0.25">
      <c r="A20494" s="64" t="str">
        <f>HYPERLINK("http://www.twitter.com/violacariad", "violacariad")</f>
        <v>violacariad</v>
      </c>
      <c r="B20494" s="65" t="s">
        <v>9802</v>
      </c>
    </row>
    <row r="20495" spans="1:2" x14ac:dyDescent="0.25">
      <c r="A20495" s="64" t="str">
        <f>HYPERLINK("http://www.twitter.com/chezy14", "chezy14")</f>
        <v>chezy14</v>
      </c>
      <c r="B20495" s="65" t="s">
        <v>517</v>
      </c>
    </row>
    <row r="20496" spans="1:2" x14ac:dyDescent="0.25">
      <c r="A20496" s="64" t="str">
        <f>HYPERLINK("http://www.twitter.com/billtoon3", "billtoon3")</f>
        <v>billtoon3</v>
      </c>
      <c r="B20496" s="65"/>
    </row>
    <row r="20497" spans="1:2" x14ac:dyDescent="0.25">
      <c r="A20497" s="64" t="str">
        <f>HYPERLINK("http://www.twitter.com/lovely6295", "lovely6295")</f>
        <v>lovely6295</v>
      </c>
      <c r="B20497" s="65"/>
    </row>
    <row r="20498" spans="1:2" x14ac:dyDescent="0.25">
      <c r="A20498" s="64" t="str">
        <f>HYPERLINK("http://www.twitter.com/LibSpence", "LibSpence")</f>
        <v>LibSpence</v>
      </c>
      <c r="B20498" s="65" t="s">
        <v>8020</v>
      </c>
    </row>
    <row r="20499" spans="1:2" x14ac:dyDescent="0.25">
      <c r="A20499" s="64" t="str">
        <f>HYPERLINK("http://www.twitter.com/cathimi", "cathimi")</f>
        <v>cathimi</v>
      </c>
      <c r="B20499" s="65" t="s">
        <v>296</v>
      </c>
    </row>
    <row r="20500" spans="1:2" x14ac:dyDescent="0.25">
      <c r="A20500" s="64" t="str">
        <f>HYPERLINK("http://www.twitter.com/jillamena13", "jillamena13")</f>
        <v>jillamena13</v>
      </c>
      <c r="B20500" s="65"/>
    </row>
    <row r="20501" spans="1:2" x14ac:dyDescent="0.25">
      <c r="A20501" s="64" t="str">
        <f>HYPERLINK("http://www.twitter.com/SDMilne", "SDMilne")</f>
        <v>SDMilne</v>
      </c>
      <c r="B20501" s="65" t="s">
        <v>9803</v>
      </c>
    </row>
    <row r="20502" spans="1:2" x14ac:dyDescent="0.25">
      <c r="A20502" s="64" t="str">
        <f>HYPERLINK("http://www.twitter.com/Orac_K9", "Orac_K9")</f>
        <v>Orac_K9</v>
      </c>
      <c r="B20502" s="65" t="s">
        <v>4127</v>
      </c>
    </row>
    <row r="20503" spans="1:2" x14ac:dyDescent="0.25">
      <c r="A20503" s="64" t="str">
        <f>HYPERLINK("http://www.twitter.com/johnraemackay", "johnraemackay")</f>
        <v>johnraemackay</v>
      </c>
      <c r="B20503" s="65"/>
    </row>
    <row r="20504" spans="1:2" x14ac:dyDescent="0.25">
      <c r="A20504" s="64" t="str">
        <f>HYPERLINK("http://www.twitter.com/RooMrsroo", "RooMrsroo")</f>
        <v>RooMrsroo</v>
      </c>
      <c r="B20504" s="65"/>
    </row>
    <row r="20505" spans="1:2" x14ac:dyDescent="0.25">
      <c r="A20505" s="64" t="str">
        <f>HYPERLINK("http://www.twitter.com/jaymepsantos", "jaymepsantos")</f>
        <v>jaymepsantos</v>
      </c>
      <c r="B20505" s="65" t="s">
        <v>9804</v>
      </c>
    </row>
    <row r="20506" spans="1:2" x14ac:dyDescent="0.25">
      <c r="A20506" s="64" t="str">
        <f>HYPERLINK("http://www.twitter.com/totallypetsy", "totallypetsy")</f>
        <v>totallypetsy</v>
      </c>
      <c r="B20506" s="65" t="s">
        <v>9805</v>
      </c>
    </row>
    <row r="20507" spans="1:2" x14ac:dyDescent="0.25">
      <c r="A20507" s="64" t="str">
        <f>HYPERLINK("http://www.twitter.com/allotmentgirl", "allotmentgirl")</f>
        <v>allotmentgirl</v>
      </c>
      <c r="B20507" s="65"/>
    </row>
    <row r="20508" spans="1:2" x14ac:dyDescent="0.25">
      <c r="A20508" s="64" t="str">
        <f>HYPERLINK("http://www.twitter.com/matt_parkin", "matt_parkin")</f>
        <v>matt_parkin</v>
      </c>
      <c r="B20508" s="65" t="s">
        <v>9806</v>
      </c>
    </row>
    <row r="20509" spans="1:2" x14ac:dyDescent="0.25">
      <c r="A20509" s="64" t="str">
        <f>HYPERLINK("http://www.twitter.com/HeleneFowkes", "HeleneFowkes")</f>
        <v>HeleneFowkes</v>
      </c>
      <c r="B20509" s="65" t="s">
        <v>857</v>
      </c>
    </row>
    <row r="20510" spans="1:2" x14ac:dyDescent="0.25">
      <c r="A20510" s="64" t="str">
        <f>HYPERLINK("http://www.twitter.com/Wendoverdrive", "Wendoverdrive")</f>
        <v>Wendoverdrive</v>
      </c>
      <c r="B20510" s="65" t="s">
        <v>9807</v>
      </c>
    </row>
    <row r="20511" spans="1:2" x14ac:dyDescent="0.25">
      <c r="A20511" s="64" t="str">
        <f>HYPERLINK("http://www.twitter.com/PownallParkLTC", "PownallParkLTC")</f>
        <v>PownallParkLTC</v>
      </c>
      <c r="B20511" s="65" t="s">
        <v>7447</v>
      </c>
    </row>
    <row r="20512" spans="1:2" x14ac:dyDescent="0.25">
      <c r="A20512" s="64" t="str">
        <f>HYPERLINK("http://www.twitter.com/colourlssideas", "colourlssideas")</f>
        <v>colourlssideas</v>
      </c>
      <c r="B20512" s="65" t="s">
        <v>9808</v>
      </c>
    </row>
    <row r="20513" spans="1:2" x14ac:dyDescent="0.25">
      <c r="A20513" s="64" t="str">
        <f>HYPERLINK("http://www.twitter.com/sittytonfarmer", "sittytonfarmer")</f>
        <v>sittytonfarmer</v>
      </c>
      <c r="B20513" s="65" t="s">
        <v>5807</v>
      </c>
    </row>
    <row r="20514" spans="1:2" x14ac:dyDescent="0.25">
      <c r="A20514" s="64" t="str">
        <f>HYPERLINK("http://www.twitter.com/ProfKarenSayer", "ProfKarenSayer")</f>
        <v>ProfKarenSayer</v>
      </c>
      <c r="B20514" s="65"/>
    </row>
    <row r="20515" spans="1:2" x14ac:dyDescent="0.25">
      <c r="A20515" s="64" t="str">
        <f>HYPERLINK("http://www.twitter.com/VisitSWScotland", "VisitSWScotland")</f>
        <v>VisitSWScotland</v>
      </c>
      <c r="B20515" s="65" t="s">
        <v>5748</v>
      </c>
    </row>
    <row r="20516" spans="1:2" x14ac:dyDescent="0.25">
      <c r="A20516" s="64" t="str">
        <f>HYPERLINK("http://www.twitter.com/DawnW2605", "DawnW2605")</f>
        <v>DawnW2605</v>
      </c>
      <c r="B20516" s="65" t="s">
        <v>1328</v>
      </c>
    </row>
    <row r="20517" spans="1:2" x14ac:dyDescent="0.25">
      <c r="A20517" s="64" t="str">
        <f>HYPERLINK("http://www.twitter.com/BarbaraNairn", "BarbaraNairn")</f>
        <v>BarbaraNairn</v>
      </c>
      <c r="B20517" s="65" t="s">
        <v>517</v>
      </c>
    </row>
    <row r="20518" spans="1:2" x14ac:dyDescent="0.25">
      <c r="A20518" s="64" t="str">
        <f>HYPERLINK("http://www.twitter.com/SublimeScotland", "SublimeScotland")</f>
        <v>SublimeScotland</v>
      </c>
      <c r="B20518" s="65" t="s">
        <v>2007</v>
      </c>
    </row>
    <row r="20519" spans="1:2" x14ac:dyDescent="0.25">
      <c r="A20519" s="64" t="str">
        <f>HYPERLINK("http://www.twitter.com/RealDBell", "RealDBell")</f>
        <v>RealDBell</v>
      </c>
      <c r="B20519" s="65"/>
    </row>
    <row r="20520" spans="1:2" x14ac:dyDescent="0.25">
      <c r="A20520" s="64" t="str">
        <f>HYPERLINK("http://www.twitter.com/marypenarts", "marypenarts")</f>
        <v>marypenarts</v>
      </c>
      <c r="B20520" s="65" t="s">
        <v>767</v>
      </c>
    </row>
    <row r="20521" spans="1:2" x14ac:dyDescent="0.25">
      <c r="A20521" s="64" t="str">
        <f>HYPERLINK("http://www.twitter.com/sydnaldo", "sydnaldo")</f>
        <v>sydnaldo</v>
      </c>
      <c r="B20521" s="65" t="s">
        <v>5360</v>
      </c>
    </row>
    <row r="20522" spans="1:2" x14ac:dyDescent="0.25">
      <c r="A20522" s="64" t="str">
        <f>HYPERLINK("http://www.twitter.com/JamesLbass", "JamesLbass")</f>
        <v>JamesLbass</v>
      </c>
      <c r="B20522" s="65" t="s">
        <v>318</v>
      </c>
    </row>
    <row r="20523" spans="1:2" x14ac:dyDescent="0.25">
      <c r="A20523" s="64" t="str">
        <f>HYPERLINK("http://www.twitter.com/nnas_office", "nnas_office")</f>
        <v>nnas_office</v>
      </c>
      <c r="B20523" s="65"/>
    </row>
    <row r="20524" spans="1:2" x14ac:dyDescent="0.25">
      <c r="A20524" s="64" t="str">
        <f>HYPERLINK("http://www.twitter.com/Billygamble", "Billygamble")</f>
        <v>Billygamble</v>
      </c>
      <c r="B20524" s="65" t="s">
        <v>9809</v>
      </c>
    </row>
    <row r="20525" spans="1:2" x14ac:dyDescent="0.25">
      <c r="A20525" s="64" t="str">
        <f>HYPERLINK("http://www.twitter.com/Haiverer", "Haiverer")</f>
        <v>Haiverer</v>
      </c>
      <c r="B20525" s="65" t="s">
        <v>517</v>
      </c>
    </row>
    <row r="20526" spans="1:2" x14ac:dyDescent="0.25">
      <c r="A20526" s="64" t="str">
        <f>HYPERLINK("http://www.twitter.com/mike_mcgrail", "mike_mcgrail")</f>
        <v>mike_mcgrail</v>
      </c>
      <c r="B20526" s="65" t="s">
        <v>487</v>
      </c>
    </row>
    <row r="20527" spans="1:2" x14ac:dyDescent="0.25">
      <c r="A20527" s="64" t="str">
        <f>HYPERLINK("http://www.twitter.com/DavidsonnSally", "DavidsonnSally")</f>
        <v>DavidsonnSally</v>
      </c>
      <c r="B20527" s="65"/>
    </row>
    <row r="20528" spans="1:2" x14ac:dyDescent="0.25">
      <c r="A20528" s="64" t="str">
        <f>HYPERLINK("http://www.twitter.com/rebcour", "rebcour")</f>
        <v>rebcour</v>
      </c>
      <c r="B20528" s="65" t="s">
        <v>9810</v>
      </c>
    </row>
    <row r="20529" spans="1:2" x14ac:dyDescent="0.25">
      <c r="A20529" s="64" t="str">
        <f>HYPERLINK("http://www.twitter.com/DrSKBarker", "DrSKBarker")</f>
        <v>DrSKBarker</v>
      </c>
      <c r="B20529" s="65" t="s">
        <v>9811</v>
      </c>
    </row>
    <row r="20530" spans="1:2" x14ac:dyDescent="0.25">
      <c r="A20530" s="64" t="str">
        <f>HYPERLINK("http://www.twitter.com/rurallibrarian1", "rurallibrarian1")</f>
        <v>rurallibrarian1</v>
      </c>
      <c r="B20530" s="65" t="s">
        <v>9812</v>
      </c>
    </row>
    <row r="20531" spans="1:2" x14ac:dyDescent="0.25">
      <c r="A20531" s="64" t="str">
        <f>HYPERLINK("http://www.twitter.com/chezthoms", "chezthoms")</f>
        <v>chezthoms</v>
      </c>
      <c r="B20531" s="65"/>
    </row>
    <row r="20532" spans="1:2" x14ac:dyDescent="0.25">
      <c r="A20532" s="64" t="str">
        <f>HYPERLINK("http://www.twitter.com/KlCochrane", "KlCochrane")</f>
        <v>KlCochrane</v>
      </c>
      <c r="B20532" s="65"/>
    </row>
    <row r="20533" spans="1:2" x14ac:dyDescent="0.25">
      <c r="A20533" s="64" t="str">
        <f>HYPERLINK("http://www.twitter.com/janeoxyz", "janeoxyz")</f>
        <v>janeoxyz</v>
      </c>
      <c r="B20533" s="65" t="s">
        <v>9813</v>
      </c>
    </row>
    <row r="20534" spans="1:2" x14ac:dyDescent="0.25">
      <c r="A20534" s="64" t="str">
        <f>HYPERLINK("http://www.twitter.com/shewgirl", "shewgirl")</f>
        <v>shewgirl</v>
      </c>
      <c r="B20534" s="65" t="s">
        <v>3779</v>
      </c>
    </row>
    <row r="20535" spans="1:2" x14ac:dyDescent="0.25">
      <c r="A20535" s="64" t="str">
        <f>HYPERLINK("http://www.twitter.com/blancheee_n", "blancheee_n")</f>
        <v>blancheee_n</v>
      </c>
      <c r="B20535" s="65" t="s">
        <v>4644</v>
      </c>
    </row>
    <row r="20536" spans="1:2" x14ac:dyDescent="0.25">
      <c r="A20536" s="64" t="str">
        <f>HYPERLINK("http://www.twitter.com/laura__watson", "laura__watson")</f>
        <v>laura__watson</v>
      </c>
      <c r="B20536" s="65"/>
    </row>
    <row r="20537" spans="1:2" x14ac:dyDescent="0.25">
      <c r="A20537" s="64" t="str">
        <f>HYPERLINK("http://www.twitter.com/SandyLilley", "SandyLilley")</f>
        <v>SandyLilley</v>
      </c>
      <c r="B20537" s="65" t="s">
        <v>9814</v>
      </c>
    </row>
    <row r="20538" spans="1:2" x14ac:dyDescent="0.25">
      <c r="A20538" s="64" t="str">
        <f>HYPERLINK("http://www.twitter.com/paisleypiranhas", "paisleypiranhas")</f>
        <v>paisleypiranhas</v>
      </c>
      <c r="B20538" s="65"/>
    </row>
    <row r="20539" spans="1:2" x14ac:dyDescent="0.25">
      <c r="A20539" s="64" t="str">
        <f>HYPERLINK("http://www.twitter.com/blue_green01", "blue_green01")</f>
        <v>blue_green01</v>
      </c>
      <c r="B20539" s="65"/>
    </row>
    <row r="20540" spans="1:2" x14ac:dyDescent="0.25">
      <c r="A20540" s="64" t="str">
        <f>HYPERLINK("http://www.twitter.com/TamiKuhn", "TamiKuhn")</f>
        <v>TamiKuhn</v>
      </c>
      <c r="B20540" s="65" t="s">
        <v>4039</v>
      </c>
    </row>
    <row r="20541" spans="1:2" x14ac:dyDescent="0.25">
      <c r="A20541" s="64" t="str">
        <f>HYPERLINK("http://www.twitter.com/ZaherVacha", "ZaherVacha")</f>
        <v>ZaherVacha</v>
      </c>
      <c r="B20541" s="65" t="s">
        <v>4052</v>
      </c>
    </row>
    <row r="20542" spans="1:2" x14ac:dyDescent="0.25">
      <c r="A20542" s="64" t="str">
        <f>HYPERLINK("http://www.twitter.com/FraminghamKids", "FraminghamKids")</f>
        <v>FraminghamKids</v>
      </c>
      <c r="B20542" s="65" t="s">
        <v>9815</v>
      </c>
    </row>
    <row r="20543" spans="1:2" x14ac:dyDescent="0.25">
      <c r="A20543" s="64" t="str">
        <f>HYPERLINK("http://www.twitter.com/LauraWoodBerg", "LauraWoodBerg")</f>
        <v>LauraWoodBerg</v>
      </c>
      <c r="B20543" s="65" t="s">
        <v>9816</v>
      </c>
    </row>
    <row r="20544" spans="1:2" x14ac:dyDescent="0.25">
      <c r="A20544" s="64" t="str">
        <f>HYPERLINK("http://www.twitter.com/RuthieMac1", "RuthieMac1")</f>
        <v>RuthieMac1</v>
      </c>
      <c r="B20544" s="65" t="s">
        <v>9817</v>
      </c>
    </row>
    <row r="20545" spans="1:2" x14ac:dyDescent="0.25">
      <c r="A20545" s="64" t="str">
        <f>HYPERLINK("http://www.twitter.com/shawnee226", "shawnee226")</f>
        <v>shawnee226</v>
      </c>
      <c r="B20545" s="65" t="s">
        <v>9818</v>
      </c>
    </row>
    <row r="20546" spans="1:2" x14ac:dyDescent="0.25">
      <c r="A20546" s="64" t="str">
        <f>HYPERLINK("http://www.twitter.com/shugfonzarelli", "shugfonzarelli")</f>
        <v>shugfonzarelli</v>
      </c>
      <c r="B20546" s="65" t="s">
        <v>2007</v>
      </c>
    </row>
    <row r="20547" spans="1:2" x14ac:dyDescent="0.25">
      <c r="A20547" s="64" t="str">
        <f>HYPERLINK("http://www.twitter.com/karenkmd", "karenkmd")</f>
        <v>karenkmd</v>
      </c>
      <c r="B20547" s="65" t="s">
        <v>180</v>
      </c>
    </row>
    <row r="20548" spans="1:2" x14ac:dyDescent="0.25">
      <c r="A20548" s="64" t="str">
        <f>HYPERLINK("http://www.twitter.com/ecrlib", "ecrlib")</f>
        <v>ecrlib</v>
      </c>
      <c r="B20548" s="65" t="s">
        <v>9819</v>
      </c>
    </row>
    <row r="20549" spans="1:2" x14ac:dyDescent="0.25">
      <c r="A20549" s="64" t="str">
        <f>HYPERLINK("http://www.twitter.com/SparkLabel", "SparkLabel")</f>
        <v>SparkLabel</v>
      </c>
      <c r="B20549" s="65" t="s">
        <v>36</v>
      </c>
    </row>
    <row r="20550" spans="1:2" x14ac:dyDescent="0.25">
      <c r="A20550" s="64" t="str">
        <f>HYPERLINK("http://www.twitter.com/LeVostreGC", "LeVostreGC")</f>
        <v>LeVostreGC</v>
      </c>
      <c r="B20550" s="65" t="s">
        <v>9820</v>
      </c>
    </row>
    <row r="20551" spans="1:2" x14ac:dyDescent="0.25">
      <c r="A20551" s="64" t="str">
        <f>HYPERLINK("http://www.twitter.com/wellparkorkney", "wellparkorkney")</f>
        <v>wellparkorkney</v>
      </c>
      <c r="B20551" s="65" t="s">
        <v>5852</v>
      </c>
    </row>
    <row r="20552" spans="1:2" x14ac:dyDescent="0.25">
      <c r="A20552" s="64" t="str">
        <f>HYPERLINK("http://www.twitter.com/tisallrelative", "tisallrelative")</f>
        <v>tisallrelative</v>
      </c>
      <c r="B20552" s="65" t="s">
        <v>2007</v>
      </c>
    </row>
    <row r="20553" spans="1:2" x14ac:dyDescent="0.25">
      <c r="A20553" s="64" t="str">
        <f>HYPERLINK("http://www.twitter.com/mandybate", "mandybate")</f>
        <v>mandybate</v>
      </c>
      <c r="B20553" s="65" t="s">
        <v>9821</v>
      </c>
    </row>
    <row r="20554" spans="1:2" x14ac:dyDescent="0.25">
      <c r="A20554" s="64" t="str">
        <f>HYPERLINK("http://www.twitter.com/jollygoodbooks", "jollygoodbooks")</f>
        <v>jollygoodbooks</v>
      </c>
      <c r="B20554" s="65" t="s">
        <v>110</v>
      </c>
    </row>
    <row r="20555" spans="1:2" x14ac:dyDescent="0.25">
      <c r="A20555" s="64" t="str">
        <f>HYPERLINK("http://www.twitter.com/SarahHound", "SarahHound")</f>
        <v>SarahHound</v>
      </c>
      <c r="B20555" s="65" t="s">
        <v>9822</v>
      </c>
    </row>
    <row r="20556" spans="1:2" x14ac:dyDescent="0.25">
      <c r="A20556" s="64" t="str">
        <f>HYPERLINK("http://www.twitter.com/DebOwen", "DebOwen")</f>
        <v>DebOwen</v>
      </c>
      <c r="B20556" s="65" t="s">
        <v>77</v>
      </c>
    </row>
    <row r="20557" spans="1:2" x14ac:dyDescent="0.25">
      <c r="A20557" s="64" t="str">
        <f>HYPERLINK("http://www.twitter.com/BiggerPictureTV", "BiggerPictureTV")</f>
        <v>BiggerPictureTV</v>
      </c>
      <c r="B20557" s="65" t="s">
        <v>296</v>
      </c>
    </row>
    <row r="20558" spans="1:2" x14ac:dyDescent="0.25">
      <c r="A20558" s="64" t="str">
        <f>HYPERLINK("http://www.twitter.com/LewishamLibs", "LewishamLibs")</f>
        <v>LewishamLibs</v>
      </c>
      <c r="B20558" s="65" t="s">
        <v>387</v>
      </c>
    </row>
    <row r="20559" spans="1:2" x14ac:dyDescent="0.25">
      <c r="A20559" s="64" t="str">
        <f>HYPERLINK("http://www.twitter.com/StarFish262", "StarFish262")</f>
        <v>StarFish262</v>
      </c>
      <c r="B20559" s="65" t="s">
        <v>9002</v>
      </c>
    </row>
    <row r="20560" spans="1:2" x14ac:dyDescent="0.25">
      <c r="A20560" s="64" t="str">
        <f>HYPERLINK("http://www.twitter.com/UWRColl", "UWRColl")</f>
        <v>UWRColl</v>
      </c>
      <c r="B20560" s="65" t="s">
        <v>9823</v>
      </c>
    </row>
    <row r="20561" spans="1:2" x14ac:dyDescent="0.25">
      <c r="A20561" s="64" t="str">
        <f>HYPERLINK("http://www.twitter.com/queencitymedia", "queencitymedia")</f>
        <v>queencitymedia</v>
      </c>
      <c r="B20561" s="65"/>
    </row>
    <row r="20562" spans="1:2" x14ac:dyDescent="0.25">
      <c r="A20562" s="64" t="str">
        <f>HYPERLINK("http://www.twitter.com/LordPlumpton", "LordPlumpton")</f>
        <v>LordPlumpton</v>
      </c>
      <c r="B20562" s="65" t="s">
        <v>9824</v>
      </c>
    </row>
    <row r="20563" spans="1:2" x14ac:dyDescent="0.25">
      <c r="A20563" s="64" t="str">
        <f>HYPERLINK("http://www.twitter.com/v_mccormack", "v_mccormack")</f>
        <v>v_mccormack</v>
      </c>
      <c r="B20563" s="65" t="s">
        <v>4273</v>
      </c>
    </row>
    <row r="20564" spans="1:2" x14ac:dyDescent="0.25">
      <c r="A20564" s="64" t="str">
        <f>HYPERLINK("http://www.twitter.com/Danvwee", "Danvwee")</f>
        <v>Danvwee</v>
      </c>
      <c r="B20564" s="65" t="s">
        <v>3779</v>
      </c>
    </row>
    <row r="20565" spans="1:2" x14ac:dyDescent="0.25">
      <c r="A20565" s="64" t="str">
        <f>HYPERLINK("http://www.twitter.com/brunniegirl", "brunniegirl")</f>
        <v>brunniegirl</v>
      </c>
      <c r="B20565" s="65" t="s">
        <v>3779</v>
      </c>
    </row>
    <row r="20566" spans="1:2" x14ac:dyDescent="0.25">
      <c r="A20566" s="64" t="str">
        <f>HYPERLINK("http://www.twitter.com/sarahpetchell", "sarahpetchell")</f>
        <v>sarahpetchell</v>
      </c>
      <c r="B20566" s="65" t="s">
        <v>3779</v>
      </c>
    </row>
    <row r="20567" spans="1:2" x14ac:dyDescent="0.25">
      <c r="A20567" s="64" t="str">
        <f>HYPERLINK("http://www.twitter.com/NualaBugeye", "NualaBugeye")</f>
        <v>NualaBugeye</v>
      </c>
      <c r="B20567" s="65" t="s">
        <v>9825</v>
      </c>
    </row>
    <row r="20568" spans="1:2" x14ac:dyDescent="0.25">
      <c r="A20568" s="64" t="str">
        <f>HYPERLINK("http://www.twitter.com/SamJaynePayne", "SamJaynePayne")</f>
        <v>SamJaynePayne</v>
      </c>
      <c r="B20568" s="65" t="s">
        <v>5104</v>
      </c>
    </row>
    <row r="20569" spans="1:2" x14ac:dyDescent="0.25">
      <c r="A20569" s="64" t="str">
        <f>HYPERLINK("http://www.twitter.com/swiltonia", "swiltonia")</f>
        <v>swiltonia</v>
      </c>
      <c r="B20569" s="65" t="s">
        <v>9826</v>
      </c>
    </row>
    <row r="20570" spans="1:2" x14ac:dyDescent="0.25">
      <c r="A20570" s="64" t="str">
        <f>HYPERLINK("http://www.twitter.com/jcfcforever", "jcfcforever")</f>
        <v>jcfcforever</v>
      </c>
      <c r="B20570" s="65"/>
    </row>
    <row r="20571" spans="1:2" x14ac:dyDescent="0.25">
      <c r="A20571" s="64" t="str">
        <f>HYPERLINK("http://www.twitter.com/OrkneyUncovered", "OrkneyUncovered")</f>
        <v>OrkneyUncovered</v>
      </c>
      <c r="B20571" s="65" t="s">
        <v>5412</v>
      </c>
    </row>
    <row r="20572" spans="1:2" x14ac:dyDescent="0.25">
      <c r="A20572" s="64" t="str">
        <f>HYPERLINK("http://www.twitter.com/catherine3113", "catherine3113")</f>
        <v>catherine3113</v>
      </c>
      <c r="B20572" s="65"/>
    </row>
    <row r="20573" spans="1:2" x14ac:dyDescent="0.25">
      <c r="A20573" s="64" t="str">
        <f>HYPERLINK("http://www.twitter.com/ashley_cajun", "ashley_cajun")</f>
        <v>ashley_cajun</v>
      </c>
      <c r="B20573" s="65"/>
    </row>
    <row r="20574" spans="1:2" x14ac:dyDescent="0.25">
      <c r="A20574" s="64" t="str">
        <f>HYPERLINK("http://www.twitter.com/FordPrice", "FordPrice")</f>
        <v>FordPrice</v>
      </c>
      <c r="B20574" s="65"/>
    </row>
    <row r="20575" spans="1:2" x14ac:dyDescent="0.25">
      <c r="A20575" s="64" t="str">
        <f>HYPERLINK("http://www.twitter.com/lizHiggs3", "lizHiggs3")</f>
        <v>lizHiggs3</v>
      </c>
      <c r="B20575" s="65"/>
    </row>
    <row r="20576" spans="1:2" x14ac:dyDescent="0.25">
      <c r="A20576" s="64" t="str">
        <f>HYPERLINK("http://www.twitter.com/binx1972", "binx1972")</f>
        <v>binx1972</v>
      </c>
      <c r="B20576" s="65"/>
    </row>
    <row r="20577" spans="1:2" x14ac:dyDescent="0.25">
      <c r="A20577" s="64" t="str">
        <f>HYPERLINK("http://www.twitter.com/haydjo", "haydjo")</f>
        <v>haydjo</v>
      </c>
      <c r="B20577" s="65"/>
    </row>
    <row r="20578" spans="1:2" x14ac:dyDescent="0.25">
      <c r="A20578" s="64" t="str">
        <f>HYPERLINK("http://www.twitter.com/CamUnivMuseums", "CamUnivMuseums")</f>
        <v>CamUnivMuseums</v>
      </c>
      <c r="B20578" s="65" t="s">
        <v>788</v>
      </c>
    </row>
    <row r="20579" spans="1:2" x14ac:dyDescent="0.25">
      <c r="A20579" s="64" t="str">
        <f>HYPERLINK("http://www.twitter.com/jeanettebuf", "jeanettebuf")</f>
        <v>jeanettebuf</v>
      </c>
      <c r="B20579" s="65"/>
    </row>
    <row r="20580" spans="1:2" x14ac:dyDescent="0.25">
      <c r="A20580" s="64" t="str">
        <f>HYPERLINK("http://www.twitter.com/discgarden", "discgarden")</f>
        <v>discgarden</v>
      </c>
      <c r="B20580" s="65" t="s">
        <v>9827</v>
      </c>
    </row>
    <row r="20581" spans="1:2" x14ac:dyDescent="0.25">
      <c r="A20581" s="64" t="str">
        <f>HYPERLINK("http://www.twitter.com/blackisleveg", "blackisleveg")</f>
        <v>blackisleveg</v>
      </c>
      <c r="B20581" s="65" t="s">
        <v>5119</v>
      </c>
    </row>
    <row r="20582" spans="1:2" x14ac:dyDescent="0.25">
      <c r="A20582" s="64" t="str">
        <f>HYPERLINK("http://www.twitter.com/MirandaWhiting", "MirandaWhiting")</f>
        <v>MirandaWhiting</v>
      </c>
      <c r="B20582" s="65"/>
    </row>
    <row r="20583" spans="1:2" x14ac:dyDescent="0.25">
      <c r="A20583" s="64" t="str">
        <f>HYPERLINK("http://www.twitter.com/NJWaugh", "NJWaugh")</f>
        <v>NJWaugh</v>
      </c>
      <c r="B20583" s="65" t="s">
        <v>36</v>
      </c>
    </row>
    <row r="20584" spans="1:2" x14ac:dyDescent="0.25">
      <c r="A20584" s="64" t="str">
        <f>HYPERLINK("http://www.twitter.com/lucykturner", "lucykturner")</f>
        <v>lucykturner</v>
      </c>
      <c r="B20584" s="65" t="s">
        <v>36</v>
      </c>
    </row>
    <row r="20585" spans="1:2" x14ac:dyDescent="0.25">
      <c r="A20585" s="64" t="str">
        <f>HYPERLINK("http://www.twitter.com/UniRdg_EngLit", "UniRdg_EngLit")</f>
        <v>UniRdg_EngLit</v>
      </c>
      <c r="B20585" s="65" t="s">
        <v>9828</v>
      </c>
    </row>
    <row r="20586" spans="1:2" x14ac:dyDescent="0.25">
      <c r="A20586" s="64" t="str">
        <f>HYPERLINK("http://www.twitter.com/Kedabraz", "Kedabraz")</f>
        <v>Kedabraz</v>
      </c>
      <c r="B20586" s="65" t="s">
        <v>1377</v>
      </c>
    </row>
    <row r="20587" spans="1:2" x14ac:dyDescent="0.25">
      <c r="A20587" s="64" t="str">
        <f>HYPERLINK("http://www.twitter.com/lindsmgreen", "lindsmgreen")</f>
        <v>lindsmgreen</v>
      </c>
      <c r="B20587" s="65" t="s">
        <v>296</v>
      </c>
    </row>
    <row r="20588" spans="1:2" x14ac:dyDescent="0.25">
      <c r="A20588" s="64" t="str">
        <f>HYPERLINK("http://www.twitter.com/NeetyHudson", "NeetyHudson")</f>
        <v>NeetyHudson</v>
      </c>
      <c r="B20588" s="65" t="s">
        <v>296</v>
      </c>
    </row>
    <row r="20589" spans="1:2" x14ac:dyDescent="0.25">
      <c r="A20589" s="64" t="str">
        <f>HYPERLINK("http://www.twitter.com/LizDawes", "LizDawes")</f>
        <v>LizDawes</v>
      </c>
      <c r="B20589" s="65" t="s">
        <v>36</v>
      </c>
    </row>
    <row r="20590" spans="1:2" x14ac:dyDescent="0.25">
      <c r="A20590" s="64" t="str">
        <f>HYPERLINK("http://www.twitter.com/CerysTrayner", "CerysTrayner")</f>
        <v>CerysTrayner</v>
      </c>
      <c r="B20590" s="65"/>
    </row>
    <row r="20591" spans="1:2" x14ac:dyDescent="0.25">
      <c r="A20591" s="64" t="str">
        <f>HYPERLINK("http://www.twitter.com/Yassa_Yassa", "Yassa_Yassa")</f>
        <v>Yassa_Yassa</v>
      </c>
      <c r="B20591" s="65" t="s">
        <v>7181</v>
      </c>
    </row>
    <row r="20592" spans="1:2" x14ac:dyDescent="0.25">
      <c r="A20592" s="64" t="str">
        <f>HYPERLINK("http://www.twitter.com/The_Dolphin_Pub", "The_Dolphin_Pub")</f>
        <v>The_Dolphin_Pub</v>
      </c>
      <c r="B20592" s="65" t="s">
        <v>3633</v>
      </c>
    </row>
    <row r="20593" spans="1:2" x14ac:dyDescent="0.25">
      <c r="A20593" s="64" t="str">
        <f>HYPERLINK("http://www.twitter.com/DebraFerreday", "DebraFerreday")</f>
        <v>DebraFerreday</v>
      </c>
      <c r="B20593" s="65" t="s">
        <v>5275</v>
      </c>
    </row>
    <row r="20594" spans="1:2" x14ac:dyDescent="0.25">
      <c r="A20594" s="64" t="str">
        <f>HYPERLINK("http://www.twitter.com/Tessadjua", "Tessadjua")</f>
        <v>Tessadjua</v>
      </c>
      <c r="B20594" s="65"/>
    </row>
    <row r="20595" spans="1:2" x14ac:dyDescent="0.25">
      <c r="A20595" s="64" t="str">
        <f>HYPERLINK("http://www.twitter.com/HeeleyHeritage", "HeeleyHeritage")</f>
        <v>HeeleyHeritage</v>
      </c>
      <c r="B20595" s="65" t="s">
        <v>9829</v>
      </c>
    </row>
    <row r="20596" spans="1:2" x14ac:dyDescent="0.25">
      <c r="A20596" s="64" t="str">
        <f>HYPERLINK("http://www.twitter.com/timgollins", "timgollins")</f>
        <v>timgollins</v>
      </c>
      <c r="B20596" s="65" t="s">
        <v>24</v>
      </c>
    </row>
    <row r="20597" spans="1:2" x14ac:dyDescent="0.25">
      <c r="A20597" s="64" t="str">
        <f>HYPERLINK("http://www.twitter.com/BurghHallDunoon", "BurghHallDunoon")</f>
        <v>BurghHallDunoon</v>
      </c>
      <c r="B20597" s="65" t="s">
        <v>9830</v>
      </c>
    </row>
    <row r="20598" spans="1:2" x14ac:dyDescent="0.25">
      <c r="A20598" s="64" t="str">
        <f>HYPERLINK("http://www.twitter.com/OrkneyFC", "OrkneyFC")</f>
        <v>OrkneyFC</v>
      </c>
      <c r="B20598" s="65" t="s">
        <v>5667</v>
      </c>
    </row>
    <row r="20599" spans="1:2" x14ac:dyDescent="0.25">
      <c r="A20599" s="64" t="str">
        <f>HYPERLINK("http://www.twitter.com/CrossLaneHouse", "CrossLaneHouse")</f>
        <v>CrossLaneHouse</v>
      </c>
      <c r="B20599" s="65" t="s">
        <v>9831</v>
      </c>
    </row>
    <row r="20600" spans="1:2" x14ac:dyDescent="0.25">
      <c r="A20600" s="64" t="str">
        <f>HYPERLINK("http://www.twitter.com/HilaryCopeland", "HilaryCopeland")</f>
        <v>HilaryCopeland</v>
      </c>
      <c r="B20600" s="65" t="s">
        <v>135</v>
      </c>
    </row>
    <row r="20601" spans="1:2" x14ac:dyDescent="0.25">
      <c r="A20601" s="64" t="str">
        <f>HYPERLINK("http://www.twitter.com/NetherLassie", "NetherLassie")</f>
        <v>NetherLassie</v>
      </c>
      <c r="B20601" s="65"/>
    </row>
    <row r="20602" spans="1:2" x14ac:dyDescent="0.25">
      <c r="A20602" s="64" t="str">
        <f>HYPERLINK("http://www.twitter.com/annabellpoop", "annabellpoop")</f>
        <v>annabellpoop</v>
      </c>
      <c r="B20602" s="65" t="s">
        <v>9832</v>
      </c>
    </row>
    <row r="20603" spans="1:2" x14ac:dyDescent="0.25">
      <c r="A20603" s="64" t="str">
        <f>HYPERLINK("http://www.twitter.com/StarrGrubbs", "StarrGrubbs")</f>
        <v>StarrGrubbs</v>
      </c>
      <c r="B20603" s="65" t="s">
        <v>8218</v>
      </c>
    </row>
    <row r="20604" spans="1:2" x14ac:dyDescent="0.25">
      <c r="A20604" s="64" t="str">
        <f>HYPERLINK("http://www.twitter.com/ChatterboxHello", "ChatterboxHello")</f>
        <v>ChatterboxHello</v>
      </c>
      <c r="B20604" s="65" t="s">
        <v>9833</v>
      </c>
    </row>
    <row r="20605" spans="1:2" x14ac:dyDescent="0.25">
      <c r="A20605" s="64" t="str">
        <f>HYPERLINK("http://www.twitter.com/StephanieMeece", "StephanieMeece")</f>
        <v>StephanieMeece</v>
      </c>
      <c r="B20605" s="65" t="s">
        <v>36</v>
      </c>
    </row>
    <row r="20606" spans="1:2" x14ac:dyDescent="0.25">
      <c r="A20606" s="64" t="str">
        <f>HYPERLINK("http://www.twitter.com/DPMiddleton", "DPMiddleton")</f>
        <v>DPMiddleton</v>
      </c>
      <c r="B20606" s="65" t="s">
        <v>2289</v>
      </c>
    </row>
    <row r="20607" spans="1:2" x14ac:dyDescent="0.25">
      <c r="A20607" s="64" t="str">
        <f>HYPERLINK("http://www.twitter.com/lamacd2306", "lamacd2306")</f>
        <v>lamacd2306</v>
      </c>
      <c r="B20607" s="65"/>
    </row>
    <row r="20608" spans="1:2" x14ac:dyDescent="0.25">
      <c r="A20608" s="64" t="str">
        <f>HYPERLINK("http://www.twitter.com/Rhona59951622", "Rhona59951622")</f>
        <v>Rhona59951622</v>
      </c>
      <c r="B20608" s="65"/>
    </row>
    <row r="20609" spans="1:2" x14ac:dyDescent="0.25">
      <c r="A20609" s="64" t="str">
        <f>HYPERLINK("http://www.twitter.com/k8mapp", "k8mapp")</f>
        <v>k8mapp</v>
      </c>
      <c r="B20609" s="65"/>
    </row>
    <row r="20610" spans="1:2" x14ac:dyDescent="0.25">
      <c r="A20610" s="64" t="str">
        <f>HYPERLINK("http://www.twitter.com/jenifer_ellis", "jenifer_ellis")</f>
        <v>jenifer_ellis</v>
      </c>
      <c r="B20610" s="65"/>
    </row>
    <row r="20611" spans="1:2" x14ac:dyDescent="0.25">
      <c r="A20611" s="64" t="str">
        <f>HYPERLINK("http://www.twitter.com/MrsKIRigby", "MrsKIRigby")</f>
        <v>MrsKIRigby</v>
      </c>
      <c r="B20611" s="65"/>
    </row>
    <row r="20612" spans="1:2" x14ac:dyDescent="0.25">
      <c r="A20612" s="64" t="str">
        <f>HYPERLINK("http://www.twitter.com/Travel___5_0", "Travel___5_0")</f>
        <v>Travel___5_0</v>
      </c>
      <c r="B20612" s="65"/>
    </row>
    <row r="20613" spans="1:2" x14ac:dyDescent="0.25">
      <c r="A20613" s="64" t="str">
        <f>HYPERLINK("http://www.twitter.com/marbernard", "marbernard")</f>
        <v>marbernard</v>
      </c>
      <c r="B20613" s="65" t="s">
        <v>3933</v>
      </c>
    </row>
    <row r="20614" spans="1:2" x14ac:dyDescent="0.25">
      <c r="A20614" s="64" t="str">
        <f>HYPERLINK("http://www.twitter.com/josprackland", "josprackland")</f>
        <v>josprackland</v>
      </c>
      <c r="B20614" s="65" t="s">
        <v>8520</v>
      </c>
    </row>
    <row r="20615" spans="1:2" x14ac:dyDescent="0.25">
      <c r="A20615" s="64" t="str">
        <f>HYPERLINK("http://www.twitter.com/sallyent", "sallyent")</f>
        <v>sallyent</v>
      </c>
      <c r="B20615" s="65" t="s">
        <v>5923</v>
      </c>
    </row>
    <row r="20616" spans="1:2" x14ac:dyDescent="0.25">
      <c r="A20616" s="64" t="str">
        <f>HYPERLINK("http://www.twitter.com/balticmill", "balticmill")</f>
        <v>balticmill</v>
      </c>
      <c r="B20616" s="65" t="s">
        <v>9834</v>
      </c>
    </row>
    <row r="20617" spans="1:2" x14ac:dyDescent="0.25">
      <c r="A20617" s="64" t="str">
        <f>HYPERLINK("http://www.twitter.com/sarahduce", "sarahduce")</f>
        <v>sarahduce</v>
      </c>
      <c r="B20617" s="65"/>
    </row>
    <row r="20618" spans="1:2" x14ac:dyDescent="0.25">
      <c r="A20618" s="64" t="str">
        <f>HYPERLINK("http://www.twitter.com/JimmiHiggs", "JimmiHiggs")</f>
        <v>JimmiHiggs</v>
      </c>
      <c r="B20618" s="65" t="s">
        <v>9835</v>
      </c>
    </row>
    <row r="20619" spans="1:2" x14ac:dyDescent="0.25">
      <c r="A20619" s="64" t="str">
        <f>HYPERLINK("http://www.twitter.com/elfahy", "elfahy")</f>
        <v>elfahy</v>
      </c>
      <c r="B20619" s="65"/>
    </row>
    <row r="20620" spans="1:2" x14ac:dyDescent="0.25">
      <c r="A20620" s="64" t="str">
        <f>HYPERLINK("http://www.twitter.com/MelvynDewey", "MelvynDewey")</f>
        <v>MelvynDewey</v>
      </c>
      <c r="B20620" s="65"/>
    </row>
    <row r="20621" spans="1:2" x14ac:dyDescent="0.25">
      <c r="A20621" s="64" t="str">
        <f>HYPERLINK("http://www.twitter.com/Cazzak2b", "Cazzak2b")</f>
        <v>Cazzak2b</v>
      </c>
      <c r="B20621" s="65" t="s">
        <v>9836</v>
      </c>
    </row>
    <row r="20622" spans="1:2" x14ac:dyDescent="0.25">
      <c r="A20622" s="64" t="str">
        <f>HYPERLINK("http://www.twitter.com/HumBawBag", "HumBawBag")</f>
        <v>HumBawBag</v>
      </c>
      <c r="B20622" s="65"/>
    </row>
    <row r="20623" spans="1:2" x14ac:dyDescent="0.25">
      <c r="A20623" s="64" t="str">
        <f>HYPERLINK("http://www.twitter.com/CllrDirect", "CllrDirect")</f>
        <v>CllrDirect</v>
      </c>
      <c r="B20623" s="65" t="s">
        <v>70</v>
      </c>
    </row>
    <row r="20624" spans="1:2" x14ac:dyDescent="0.25">
      <c r="A20624" s="64" t="str">
        <f>HYPERLINK("http://www.twitter.com/gkluitenberg", "gkluitenberg")</f>
        <v>gkluitenberg</v>
      </c>
      <c r="B20624" s="65"/>
    </row>
    <row r="20625" spans="1:2" x14ac:dyDescent="0.25">
      <c r="A20625" s="64" t="str">
        <f>HYPERLINK("http://www.twitter.com/OrkneyRocks", "OrkneyRocks")</f>
        <v>OrkneyRocks</v>
      </c>
      <c r="B20625" s="65"/>
    </row>
    <row r="20626" spans="1:2" x14ac:dyDescent="0.25">
      <c r="A20626" s="64" t="str">
        <f>HYPERLINK("http://www.twitter.com/0Point8", "0Point8")</f>
        <v>0Point8</v>
      </c>
      <c r="B20626" s="65" t="s">
        <v>9837</v>
      </c>
    </row>
    <row r="20627" spans="1:2" x14ac:dyDescent="0.25">
      <c r="A20627" s="64" t="str">
        <f>HYPERLINK("http://www.twitter.com/Joshy_No4", "Joshy_No4")</f>
        <v>Joshy_No4</v>
      </c>
      <c r="B20627" s="65" t="s">
        <v>110</v>
      </c>
    </row>
    <row r="20628" spans="1:2" x14ac:dyDescent="0.25">
      <c r="A20628" s="64" t="str">
        <f>HYPERLINK("http://www.twitter.com/52tartanrose", "52tartanrose")</f>
        <v>52tartanrose</v>
      </c>
      <c r="B20628" s="65"/>
    </row>
    <row r="20629" spans="1:2" x14ac:dyDescent="0.25">
      <c r="A20629" s="64" t="str">
        <f>HYPERLINK("http://www.twitter.com/Kbain_Artsy", "Kbain_Artsy")</f>
        <v>Kbain_Artsy</v>
      </c>
      <c r="B20629" s="65" t="s">
        <v>24</v>
      </c>
    </row>
    <row r="20630" spans="1:2" x14ac:dyDescent="0.25">
      <c r="A20630" s="64" t="str">
        <f>HYPERLINK("http://www.twitter.com/kuip_je", "kuip_je")</f>
        <v>kuip_je</v>
      </c>
      <c r="B20630" s="65"/>
    </row>
    <row r="20631" spans="1:2" x14ac:dyDescent="0.25">
      <c r="A20631" s="64" t="str">
        <f>HYPERLINK("http://www.twitter.com/un_cul_terreux", "un_cul_terreux")</f>
        <v>un_cul_terreux</v>
      </c>
      <c r="B20631" s="65" t="s">
        <v>9838</v>
      </c>
    </row>
    <row r="20632" spans="1:2" x14ac:dyDescent="0.25">
      <c r="A20632" s="64" t="str">
        <f>HYPERLINK("http://www.twitter.com/FXArchives", "FXArchives")</f>
        <v>FXArchives</v>
      </c>
      <c r="B20632" s="65" t="s">
        <v>9839</v>
      </c>
    </row>
    <row r="20633" spans="1:2" x14ac:dyDescent="0.25">
      <c r="A20633" s="64" t="str">
        <f>HYPERLINK("http://www.twitter.com/QldLitAwards", "QldLitAwards")</f>
        <v>QldLitAwards</v>
      </c>
      <c r="B20633" s="65" t="s">
        <v>4273</v>
      </c>
    </row>
    <row r="20634" spans="1:2" x14ac:dyDescent="0.25">
      <c r="A20634" s="64" t="str">
        <f>HYPERLINK("http://www.twitter.com/HillsCollegeLib", "HillsCollegeLib")</f>
        <v>HillsCollegeLib</v>
      </c>
      <c r="B20634" s="65"/>
    </row>
    <row r="20635" spans="1:2" x14ac:dyDescent="0.25">
      <c r="A20635" s="64" t="str">
        <f>HYPERLINK("http://www.twitter.com/xfionaaa", "xfionaaa")</f>
        <v>xfionaaa</v>
      </c>
      <c r="B20635" s="65" t="s">
        <v>9840</v>
      </c>
    </row>
    <row r="20636" spans="1:2" x14ac:dyDescent="0.25">
      <c r="A20636" s="64" t="str">
        <f>HYPERLINK("http://www.twitter.com/CindyJoyner123", "CindyJoyner123")</f>
        <v>CindyJoyner123</v>
      </c>
      <c r="B20636" s="65" t="s">
        <v>7679</v>
      </c>
    </row>
    <row r="20637" spans="1:2" x14ac:dyDescent="0.25">
      <c r="A20637" s="64" t="str">
        <f>HYPERLINK("http://www.twitter.com/olivembrown", "olivembrown")</f>
        <v>olivembrown</v>
      </c>
      <c r="B20637" s="65"/>
    </row>
    <row r="20638" spans="1:2" x14ac:dyDescent="0.25">
      <c r="A20638" s="64" t="str">
        <f>HYPERLINK("http://www.twitter.com/lyndynn", "lyndynn")</f>
        <v>lyndynn</v>
      </c>
      <c r="B20638" s="65" t="s">
        <v>9841</v>
      </c>
    </row>
    <row r="20639" spans="1:2" x14ac:dyDescent="0.25">
      <c r="A20639" s="64" t="str">
        <f>HYPERLINK("http://www.twitter.com/gilloptom", "gilloptom")</f>
        <v>gilloptom</v>
      </c>
      <c r="B20639" s="65"/>
    </row>
    <row r="20640" spans="1:2" x14ac:dyDescent="0.25">
      <c r="A20640" s="64" t="str">
        <f>HYPERLINK("http://www.twitter.com/SLQedge", "SLQedge")</f>
        <v>SLQedge</v>
      </c>
      <c r="B20640" s="65" t="s">
        <v>4273</v>
      </c>
    </row>
    <row r="20641" spans="1:2" x14ac:dyDescent="0.25">
      <c r="A20641" s="64" t="str">
        <f>HYPERLINK("http://www.twitter.com/tartanheart09", "tartanheart09")</f>
        <v>tartanheart09</v>
      </c>
      <c r="B20641" s="65"/>
    </row>
    <row r="20642" spans="1:2" x14ac:dyDescent="0.25">
      <c r="A20642" s="64" t="str">
        <f>HYPERLINK("http://www.twitter.com/fmmmacleod", "fmmmacleod")</f>
        <v>fmmmacleod</v>
      </c>
      <c r="B20642" s="65" t="s">
        <v>1841</v>
      </c>
    </row>
    <row r="20643" spans="1:2" x14ac:dyDescent="0.25">
      <c r="A20643" s="64" t="str">
        <f>HYPERLINK("http://www.twitter.com/ZoeTomlinson2", "ZoeTomlinson2")</f>
        <v>ZoeTomlinson2</v>
      </c>
      <c r="B20643" s="65" t="s">
        <v>9842</v>
      </c>
    </row>
    <row r="20644" spans="1:2" x14ac:dyDescent="0.25">
      <c r="A20644" s="64" t="str">
        <f>HYPERLINK("http://www.twitter.com/MyraCPaterson", "MyraCPaterson")</f>
        <v>MyraCPaterson</v>
      </c>
      <c r="B20644" s="65" t="s">
        <v>138</v>
      </c>
    </row>
    <row r="20645" spans="1:2" x14ac:dyDescent="0.25">
      <c r="A20645" s="64" t="str">
        <f>HYPERLINK("http://www.twitter.com/septemberbooks", "septemberbooks")</f>
        <v>septemberbooks</v>
      </c>
      <c r="B20645" s="65" t="s">
        <v>36</v>
      </c>
    </row>
    <row r="20646" spans="1:2" x14ac:dyDescent="0.25">
      <c r="A20646" s="64" t="str">
        <f>HYPERLINK("http://www.twitter.com/mdgnoj", "mdgnoj")</f>
        <v>mdgnoj</v>
      </c>
      <c r="B20646" s="65" t="s">
        <v>9843</v>
      </c>
    </row>
    <row r="20647" spans="1:2" x14ac:dyDescent="0.25">
      <c r="A20647" s="64" t="str">
        <f>HYPERLINK("http://www.twitter.com/Shaimaa_mhmdd", "Shaimaa_mhmdd")</f>
        <v>Shaimaa_mhmdd</v>
      </c>
      <c r="B20647" s="65" t="s">
        <v>9844</v>
      </c>
    </row>
    <row r="20648" spans="1:2" x14ac:dyDescent="0.25">
      <c r="A20648" s="64" t="str">
        <f>HYPERLINK("http://www.twitter.com/GMG110", "GMG110")</f>
        <v>GMG110</v>
      </c>
      <c r="B20648" s="65"/>
    </row>
    <row r="20649" spans="1:2" x14ac:dyDescent="0.25">
      <c r="A20649" s="64" t="str">
        <f>HYPERLINK("http://www.twitter.com/MatthewJones56", "MatthewJones56")</f>
        <v>MatthewJones56</v>
      </c>
      <c r="B20649" s="65" t="s">
        <v>9845</v>
      </c>
    </row>
    <row r="20650" spans="1:2" x14ac:dyDescent="0.25">
      <c r="A20650" s="64" t="str">
        <f>HYPERLINK("http://www.twitter.com/JamesAtkinson81", "JamesAtkinson81")</f>
        <v>JamesAtkinson81</v>
      </c>
      <c r="B20650" s="65" t="s">
        <v>9846</v>
      </c>
    </row>
    <row r="20651" spans="1:2" x14ac:dyDescent="0.25">
      <c r="A20651" s="64" t="str">
        <f>HYPERLINK("http://www.twitter.com/verstelle", "verstelle")</f>
        <v>verstelle</v>
      </c>
      <c r="B20651" s="65"/>
    </row>
    <row r="20652" spans="1:2" x14ac:dyDescent="0.25">
      <c r="A20652" s="64" t="str">
        <f>HYPERLINK("http://www.twitter.com/sgayles186", "sgayles186")</f>
        <v>sgayles186</v>
      </c>
      <c r="B20652" s="65" t="s">
        <v>9847</v>
      </c>
    </row>
    <row r="20653" spans="1:2" x14ac:dyDescent="0.25">
      <c r="A20653" s="64" t="str">
        <f>HYPERLINK("http://www.twitter.com/Muntpunt", "Muntpunt")</f>
        <v>Muntpunt</v>
      </c>
      <c r="B20653" s="65" t="s">
        <v>9848</v>
      </c>
    </row>
    <row r="20654" spans="1:2" x14ac:dyDescent="0.25">
      <c r="A20654" s="64" t="str">
        <f>HYPERLINK("http://www.twitter.com/aukje40", "aukje40")</f>
        <v>aukje40</v>
      </c>
      <c r="B20654" s="65"/>
    </row>
    <row r="20655" spans="1:2" x14ac:dyDescent="0.25">
      <c r="A20655" s="64" t="str">
        <f>HYPERLINK("http://www.twitter.com/Bibliotheekblad", "Bibliotheekblad")</f>
        <v>Bibliotheekblad</v>
      </c>
      <c r="B20655" s="65" t="s">
        <v>9849</v>
      </c>
    </row>
    <row r="20656" spans="1:2" x14ac:dyDescent="0.25">
      <c r="A20656" s="64" t="str">
        <f>HYPERLINK("http://www.twitter.com/rouxinola", "rouxinola")</f>
        <v>rouxinola</v>
      </c>
      <c r="B20656" s="65" t="s">
        <v>477</v>
      </c>
    </row>
    <row r="20657" spans="1:2" x14ac:dyDescent="0.25">
      <c r="A20657" s="64" t="str">
        <f>HYPERLINK("http://www.twitter.com/Irmazeisstraat", "Irmazeisstraat")</f>
        <v>Irmazeisstraat</v>
      </c>
      <c r="B20657" s="65" t="s">
        <v>6728</v>
      </c>
    </row>
    <row r="20658" spans="1:2" x14ac:dyDescent="0.25">
      <c r="A20658" s="64" t="str">
        <f>HYPERLINK("http://www.twitter.com/tanya_weaver", "tanya_weaver")</f>
        <v>tanya_weaver</v>
      </c>
      <c r="B20658" s="65" t="s">
        <v>9850</v>
      </c>
    </row>
    <row r="20659" spans="1:2" x14ac:dyDescent="0.25">
      <c r="A20659" s="64" t="str">
        <f>HYPERLINK("http://www.twitter.com/labellehelene", "labellehelene")</f>
        <v>labellehelene</v>
      </c>
      <c r="B20659" s="65" t="s">
        <v>9851</v>
      </c>
    </row>
    <row r="20660" spans="1:2" x14ac:dyDescent="0.25">
      <c r="A20660" s="64" t="str">
        <f>HYPERLINK("http://www.twitter.com/southcoastjoy", "southcoastjoy")</f>
        <v>southcoastjoy</v>
      </c>
      <c r="B20660" s="65" t="s">
        <v>1790</v>
      </c>
    </row>
    <row r="20661" spans="1:2" x14ac:dyDescent="0.25">
      <c r="A20661" s="64" t="str">
        <f>HYPERLINK("http://www.twitter.com/theuntidycook", "theuntidycook")</f>
        <v>theuntidycook</v>
      </c>
      <c r="B20661" s="65" t="s">
        <v>3988</v>
      </c>
    </row>
    <row r="20662" spans="1:2" x14ac:dyDescent="0.25">
      <c r="A20662" s="64" t="str">
        <f>HYPERLINK("http://www.twitter.com/MrsTrellis", "MrsTrellis")</f>
        <v>MrsTrellis</v>
      </c>
      <c r="B20662" s="65" t="s">
        <v>9852</v>
      </c>
    </row>
    <row r="20663" spans="1:2" x14ac:dyDescent="0.25">
      <c r="A20663" s="64" t="str">
        <f>HYPERLINK("http://www.twitter.com/AnneliesBib", "AnneliesBib")</f>
        <v>AnneliesBib</v>
      </c>
      <c r="B20663" s="65"/>
    </row>
    <row r="20664" spans="1:2" x14ac:dyDescent="0.25">
      <c r="A20664" s="64" t="str">
        <f>HYPERLINK("http://www.twitter.com/Facilitysafety", "Facilitysafety")</f>
        <v>Facilitysafety</v>
      </c>
      <c r="B20664" s="65" t="s">
        <v>9853</v>
      </c>
    </row>
    <row r="20665" spans="1:2" x14ac:dyDescent="0.25">
      <c r="A20665" s="64" t="str">
        <f>HYPERLINK("http://www.twitter.com/bibieper", "bibieper")</f>
        <v>bibieper</v>
      </c>
      <c r="B20665" s="65" t="s">
        <v>9854</v>
      </c>
    </row>
    <row r="20666" spans="1:2" x14ac:dyDescent="0.25">
      <c r="A20666" s="64" t="str">
        <f>HYPERLINK("http://www.twitter.com/ClaireElles", "ClaireElles")</f>
        <v>ClaireElles</v>
      </c>
      <c r="B20666" s="65" t="s">
        <v>526</v>
      </c>
    </row>
    <row r="20667" spans="1:2" x14ac:dyDescent="0.25">
      <c r="A20667" s="64" t="str">
        <f>HYPERLINK("http://www.twitter.com/David_Janssen", "David_Janssen")</f>
        <v>David_Janssen</v>
      </c>
      <c r="B20667" s="65" t="s">
        <v>9855</v>
      </c>
    </row>
    <row r="20668" spans="1:2" x14ac:dyDescent="0.25">
      <c r="A20668" s="64" t="str">
        <f>HYPERLINK("http://www.twitter.com/YorkLibraries", "YorkLibraries")</f>
        <v>YorkLibraries</v>
      </c>
      <c r="B20668" s="65" t="s">
        <v>430</v>
      </c>
    </row>
    <row r="20669" spans="1:2" x14ac:dyDescent="0.25">
      <c r="A20669" s="64" t="str">
        <f>HYPERLINK("http://www.twitter.com/seatonniels", "seatonniels")</f>
        <v>seatonniels</v>
      </c>
      <c r="B20669" s="65"/>
    </row>
    <row r="20670" spans="1:2" x14ac:dyDescent="0.25">
      <c r="A20670" s="64" t="str">
        <f>HYPERLINK("http://www.twitter.com/rupes_v", "rupes_v")</f>
        <v>rupes_v</v>
      </c>
      <c r="B20670" s="65"/>
    </row>
    <row r="20671" spans="1:2" x14ac:dyDescent="0.25">
      <c r="A20671" s="64" t="str">
        <f>HYPERLINK("http://www.twitter.com/DeidreBrock", "DeidreBrock")</f>
        <v>DeidreBrock</v>
      </c>
      <c r="B20671" s="65" t="s">
        <v>24</v>
      </c>
    </row>
    <row r="20672" spans="1:2" x14ac:dyDescent="0.25">
      <c r="A20672" s="64" t="str">
        <f>HYPERLINK("http://www.twitter.com/alex_stitchcity", "alex_stitchcity")</f>
        <v>alex_stitchcity</v>
      </c>
      <c r="B20672" s="65" t="s">
        <v>1213</v>
      </c>
    </row>
    <row r="20673" spans="1:2" x14ac:dyDescent="0.25">
      <c r="A20673" s="64" t="str">
        <f>HYPERLINK("http://www.twitter.com/CreateHighland", "CreateHighland")</f>
        <v>CreateHighland</v>
      </c>
      <c r="B20673" s="65" t="s">
        <v>4609</v>
      </c>
    </row>
    <row r="20674" spans="1:2" x14ac:dyDescent="0.25">
      <c r="A20674" s="64" t="str">
        <f>HYPERLINK("http://www.twitter.com/cathy_bailey", "cathy_bailey")</f>
        <v>cathy_bailey</v>
      </c>
      <c r="B20674" s="65" t="s">
        <v>4309</v>
      </c>
    </row>
    <row r="20675" spans="1:2" x14ac:dyDescent="0.25">
      <c r="A20675" s="64" t="str">
        <f>HYPERLINK("http://www.twitter.com/kbeddoe", "kbeddoe")</f>
        <v>kbeddoe</v>
      </c>
      <c r="B20675" s="65" t="s">
        <v>4237</v>
      </c>
    </row>
    <row r="20676" spans="1:2" x14ac:dyDescent="0.25">
      <c r="A20676" s="64" t="str">
        <f>HYPERLINK("http://www.twitter.com/janiekibble", "janiekibble")</f>
        <v>janiekibble</v>
      </c>
      <c r="B20676" s="65"/>
    </row>
    <row r="20677" spans="1:2" x14ac:dyDescent="0.25">
      <c r="A20677" s="64" t="str">
        <f>HYPERLINK("http://www.twitter.com/johnbrissenden", "johnbrissenden")</f>
        <v>johnbrissenden</v>
      </c>
      <c r="B20677" s="65"/>
    </row>
    <row r="20678" spans="1:2" x14ac:dyDescent="0.25">
      <c r="A20678" s="64" t="str">
        <f>HYPERLINK("http://www.twitter.com/SaintFrankly", "SaintFrankly")</f>
        <v>SaintFrankly</v>
      </c>
      <c r="B20678" s="65" t="s">
        <v>9856</v>
      </c>
    </row>
    <row r="20679" spans="1:2" x14ac:dyDescent="0.25">
      <c r="A20679" s="64" t="str">
        <f>HYPERLINK("http://www.twitter.com/brainstormclout", "brainstormclout")</f>
        <v>brainstormclout</v>
      </c>
      <c r="B20679" s="65" t="s">
        <v>3816</v>
      </c>
    </row>
    <row r="20680" spans="1:2" x14ac:dyDescent="0.25">
      <c r="A20680" s="64" t="str">
        <f>HYPERLINK("http://www.twitter.com/BeatonLM", "BeatonLM")</f>
        <v>BeatonLM</v>
      </c>
      <c r="B20680" s="65"/>
    </row>
    <row r="20681" spans="1:2" x14ac:dyDescent="0.25">
      <c r="A20681" s="64" t="str">
        <f>HYPERLINK("http://www.twitter.com/davidstockan", "davidstockan")</f>
        <v>davidstockan</v>
      </c>
      <c r="B20681" s="65" t="s">
        <v>9817</v>
      </c>
    </row>
    <row r="20682" spans="1:2" x14ac:dyDescent="0.25">
      <c r="A20682" s="64" t="str">
        <f>HYPERLINK("http://www.twitter.com/amy_holds", "amy_holds")</f>
        <v>amy_holds</v>
      </c>
      <c r="B20682" s="65"/>
    </row>
    <row r="20683" spans="1:2" x14ac:dyDescent="0.25">
      <c r="A20683" s="64" t="str">
        <f>HYPERLINK("http://www.twitter.com/ZoeZg1", "ZoeZg1")</f>
        <v>ZoeZg1</v>
      </c>
      <c r="B20683" s="65"/>
    </row>
    <row r="20684" spans="1:2" x14ac:dyDescent="0.25">
      <c r="A20684" s="64" t="str">
        <f>HYPERLINK("http://www.twitter.com/JPGouldBourn", "JPGouldBourn")</f>
        <v>JPGouldBourn</v>
      </c>
      <c r="B20684" s="65"/>
    </row>
    <row r="20685" spans="1:2" x14ac:dyDescent="0.25">
      <c r="A20685" s="64" t="str">
        <f>HYPERLINK("http://www.twitter.com/tweetofthunder", "tweetofthunder")</f>
        <v>tweetofthunder</v>
      </c>
      <c r="B20685" s="65" t="s">
        <v>9857</v>
      </c>
    </row>
    <row r="20686" spans="1:2" x14ac:dyDescent="0.25">
      <c r="A20686" s="64" t="str">
        <f>HYPERLINK("http://www.twitter.com/Ooh_Matron", "Ooh_Matron")</f>
        <v>Ooh_Matron</v>
      </c>
      <c r="B20686" s="65" t="s">
        <v>9858</v>
      </c>
    </row>
    <row r="20687" spans="1:2" x14ac:dyDescent="0.25">
      <c r="A20687" s="64" t="str">
        <f>HYPERLINK("http://www.twitter.com/SPMA", "SPMA")</f>
        <v>SPMA</v>
      </c>
      <c r="B20687" s="65" t="s">
        <v>4149</v>
      </c>
    </row>
    <row r="20688" spans="1:2" x14ac:dyDescent="0.25">
      <c r="A20688" s="64" t="str">
        <f>HYPERLINK("http://www.twitter.com/ricmann1977", "ricmann1977")</f>
        <v>ricmann1977</v>
      </c>
      <c r="B20688" s="65" t="s">
        <v>36</v>
      </c>
    </row>
    <row r="20689" spans="1:2" x14ac:dyDescent="0.25">
      <c r="A20689" s="64" t="str">
        <f>HYPERLINK("http://www.twitter.com/Kenny5481", "Kenny5481")</f>
        <v>Kenny5481</v>
      </c>
      <c r="B20689" s="65"/>
    </row>
    <row r="20690" spans="1:2" x14ac:dyDescent="0.25">
      <c r="A20690" s="64" t="str">
        <f>HYPERLINK("http://www.twitter.com/jangobrecht", "jangobrecht")</f>
        <v>jangobrecht</v>
      </c>
      <c r="B20690" s="65" t="s">
        <v>487</v>
      </c>
    </row>
    <row r="20691" spans="1:2" x14ac:dyDescent="0.25">
      <c r="A20691" s="64" t="str">
        <f>HYPERLINK("http://www.twitter.com/PSKMatt", "PSKMatt")</f>
        <v>PSKMatt</v>
      </c>
      <c r="B20691" s="65"/>
    </row>
    <row r="20692" spans="1:2" x14ac:dyDescent="0.25">
      <c r="A20692" s="64" t="str">
        <f>HYPERLINK("http://www.twitter.com/Gruffsdad", "Gruffsdad")</f>
        <v>Gruffsdad</v>
      </c>
      <c r="B20692" s="65" t="s">
        <v>9859</v>
      </c>
    </row>
    <row r="20693" spans="1:2" x14ac:dyDescent="0.25">
      <c r="A20693" s="64" t="str">
        <f>HYPERLINK("http://www.twitter.com/NiamhPuirseil", "NiamhPuirseil")</f>
        <v>NiamhPuirseil</v>
      </c>
      <c r="B20693" s="65" t="s">
        <v>9860</v>
      </c>
    </row>
    <row r="20694" spans="1:2" x14ac:dyDescent="0.25">
      <c r="A20694" s="64" t="str">
        <f>HYPERLINK("http://www.twitter.com/YawningHorses", "YawningHorses")</f>
        <v>YawningHorses</v>
      </c>
      <c r="B20694" s="65"/>
    </row>
    <row r="20695" spans="1:2" x14ac:dyDescent="0.25">
      <c r="A20695" s="64" t="str">
        <f>HYPERLINK("http://www.twitter.com/PapayDev", "PapayDev")</f>
        <v>PapayDev</v>
      </c>
      <c r="B20695" s="65"/>
    </row>
    <row r="20696" spans="1:2" x14ac:dyDescent="0.25">
      <c r="A20696" s="64" t="str">
        <f>HYPERLINK("http://www.twitter.com/RizkiSudarmawan", "RizkiSudarmawan")</f>
        <v>RizkiSudarmawan</v>
      </c>
      <c r="B20696" s="65" t="s">
        <v>9861</v>
      </c>
    </row>
    <row r="20697" spans="1:2" x14ac:dyDescent="0.25">
      <c r="A20697" s="64" t="str">
        <f>HYPERLINK("http://www.twitter.com/SarahJHutchings", "SarahJHutchings")</f>
        <v>SarahJHutchings</v>
      </c>
      <c r="B20697" s="65" t="s">
        <v>2102</v>
      </c>
    </row>
    <row r="20698" spans="1:2" x14ac:dyDescent="0.25">
      <c r="A20698" s="64" t="str">
        <f>HYPERLINK("http://www.twitter.com/Sam_Matty", "Sam_Matty")</f>
        <v>Sam_Matty</v>
      </c>
      <c r="B20698" s="65"/>
    </row>
    <row r="20699" spans="1:2" x14ac:dyDescent="0.25">
      <c r="A20699" s="64" t="str">
        <f>HYPERLINK("http://www.twitter.com/bookmarkblair", "bookmarkblair")</f>
        <v>bookmarkblair</v>
      </c>
      <c r="B20699" s="65" t="s">
        <v>517</v>
      </c>
    </row>
    <row r="20700" spans="1:2" x14ac:dyDescent="0.25">
      <c r="A20700" s="64" t="str">
        <f>HYPERLINK("http://www.twitter.com/achjohnston", "achjohnston")</f>
        <v>achjohnston</v>
      </c>
      <c r="B20700" s="65"/>
    </row>
    <row r="20701" spans="1:2" x14ac:dyDescent="0.25">
      <c r="A20701" s="64" t="str">
        <f>HYPERLINK("http://www.twitter.com/msruthieq", "msruthieq")</f>
        <v>msruthieq</v>
      </c>
      <c r="B20701" s="65"/>
    </row>
    <row r="20702" spans="1:2" x14ac:dyDescent="0.25">
      <c r="A20702" s="64" t="str">
        <f>HYPERLINK("http://www.twitter.com/HECTORLOPEZ33", "HECTORLOPEZ33")</f>
        <v>HECTORLOPEZ33</v>
      </c>
      <c r="B20702" s="65"/>
    </row>
    <row r="20703" spans="1:2" x14ac:dyDescent="0.25">
      <c r="A20703" s="64" t="str">
        <f>HYPERLINK("http://www.twitter.com/joefraz78", "joefraz78")</f>
        <v>joefraz78</v>
      </c>
      <c r="B20703" s="65"/>
    </row>
    <row r="20704" spans="1:2" x14ac:dyDescent="0.25">
      <c r="A20704" s="64" t="str">
        <f>HYPERLINK("http://www.twitter.com/_tonytonee", "_tonytonee")</f>
        <v>_tonytonee</v>
      </c>
      <c r="B20704" s="65" t="s">
        <v>9862</v>
      </c>
    </row>
    <row r="20705" spans="1:2" x14ac:dyDescent="0.25">
      <c r="A20705" s="64" t="str">
        <f>HYPERLINK("http://www.twitter.com/RoviraGarcia", "RoviraGarcia")</f>
        <v>RoviraGarcia</v>
      </c>
      <c r="B20705" s="65" t="s">
        <v>9863</v>
      </c>
    </row>
    <row r="20706" spans="1:2" x14ac:dyDescent="0.25">
      <c r="A20706" s="64" t="str">
        <f>HYPERLINK("http://www.twitter.com/jod999", "jod999")</f>
        <v>jod999</v>
      </c>
      <c r="B20706" s="65" t="s">
        <v>3779</v>
      </c>
    </row>
    <row r="20707" spans="1:2" x14ac:dyDescent="0.25">
      <c r="A20707" s="64" t="str">
        <f>HYPERLINK("http://www.twitter.com/TrueOrgAu", "TrueOrgAu")</f>
        <v>TrueOrgAu</v>
      </c>
      <c r="B20707" s="65" t="s">
        <v>3988</v>
      </c>
    </row>
    <row r="20708" spans="1:2" x14ac:dyDescent="0.25">
      <c r="A20708" s="64" t="str">
        <f>HYPERLINK("http://www.twitter.com/tashaddad", "tashaddad")</f>
        <v>tashaddad</v>
      </c>
      <c r="B20708" s="65" t="s">
        <v>5075</v>
      </c>
    </row>
    <row r="20709" spans="1:2" x14ac:dyDescent="0.25">
      <c r="A20709" s="64" t="str">
        <f>HYPERLINK("http://www.twitter.com/njh297", "njh297")</f>
        <v>njh297</v>
      </c>
      <c r="B20709" s="65"/>
    </row>
    <row r="20710" spans="1:2" x14ac:dyDescent="0.25">
      <c r="A20710" s="64" t="str">
        <f>HYPERLINK("http://www.twitter.com/ReneeHPH", "ReneeHPH")</f>
        <v>ReneeHPH</v>
      </c>
      <c r="B20710" s="65"/>
    </row>
    <row r="20711" spans="1:2" x14ac:dyDescent="0.25">
      <c r="A20711" s="64" t="str">
        <f>HYPERLINK("http://www.twitter.com/TrippygirlR", "TrippygirlR")</f>
        <v>TrippygirlR</v>
      </c>
      <c r="B20711" s="65" t="s">
        <v>248</v>
      </c>
    </row>
    <row r="20712" spans="1:2" x14ac:dyDescent="0.25">
      <c r="A20712" s="64" t="str">
        <f>HYPERLINK("http://www.twitter.com/LondonArtsBase", "LondonArtsBase")</f>
        <v>LondonArtsBase</v>
      </c>
      <c r="B20712" s="65"/>
    </row>
    <row r="20713" spans="1:2" x14ac:dyDescent="0.25">
      <c r="A20713" s="64" t="str">
        <f>HYPERLINK("http://www.twitter.com/EEPaul", "EEPaul")</f>
        <v>EEPaul</v>
      </c>
      <c r="B20713" s="65" t="s">
        <v>9864</v>
      </c>
    </row>
    <row r="20714" spans="1:2" x14ac:dyDescent="0.25">
      <c r="A20714" s="64" t="str">
        <f>HYPERLINK("http://www.twitter.com/DaubPeter", "DaubPeter")</f>
        <v>DaubPeter</v>
      </c>
      <c r="B20714" s="65"/>
    </row>
    <row r="20715" spans="1:2" x14ac:dyDescent="0.25">
      <c r="A20715" s="64" t="str">
        <f>HYPERLINK("http://www.twitter.com/fja556", "fja556")</f>
        <v>fja556</v>
      </c>
      <c r="B20715" s="65" t="s">
        <v>477</v>
      </c>
    </row>
    <row r="20716" spans="1:2" x14ac:dyDescent="0.25">
      <c r="A20716" s="64" t="str">
        <f>HYPERLINK("http://www.twitter.com/AlecNDrew", "AlecNDrew")</f>
        <v>AlecNDrew</v>
      </c>
      <c r="B20716" s="65" t="s">
        <v>138</v>
      </c>
    </row>
    <row r="20717" spans="1:2" x14ac:dyDescent="0.25">
      <c r="A20717" s="64" t="str">
        <f>HYPERLINK("http://www.twitter.com/antnewsom", "antnewsom")</f>
        <v>antnewsom</v>
      </c>
      <c r="B20717" s="65" t="s">
        <v>36</v>
      </c>
    </row>
    <row r="20718" spans="1:2" x14ac:dyDescent="0.25">
      <c r="A20718" s="64" t="str">
        <f>HYPERLINK("http://www.twitter.com/CaerphillyLib", "CaerphillyLib")</f>
        <v>CaerphillyLib</v>
      </c>
      <c r="B20718" s="65" t="s">
        <v>1072</v>
      </c>
    </row>
    <row r="20719" spans="1:2" x14ac:dyDescent="0.25">
      <c r="A20719" s="64" t="str">
        <f>HYPERLINK("http://www.twitter.com/manorbedw", "manorbedw")</f>
        <v>manorbedw</v>
      </c>
      <c r="B20719" s="65" t="s">
        <v>9865</v>
      </c>
    </row>
    <row r="20720" spans="1:2" x14ac:dyDescent="0.25">
      <c r="A20720" s="64" t="str">
        <f>HYPERLINK("http://www.twitter.com/HNCLib", "HNCLib")</f>
        <v>HNCLib</v>
      </c>
      <c r="B20720" s="65" t="s">
        <v>1719</v>
      </c>
    </row>
    <row r="20721" spans="1:2" x14ac:dyDescent="0.25">
      <c r="A20721" s="64" t="str">
        <f>HYPERLINK("http://www.twitter.com/kateclushy", "kateclushy")</f>
        <v>kateclushy</v>
      </c>
      <c r="B20721" s="65"/>
    </row>
    <row r="20722" spans="1:2" x14ac:dyDescent="0.25">
      <c r="A20722" s="64" t="str">
        <f>HYPERLINK("http://www.twitter.com/librarychampion", "librarychampion")</f>
        <v>librarychampion</v>
      </c>
      <c r="B20722" s="65" t="s">
        <v>9866</v>
      </c>
    </row>
    <row r="20723" spans="1:2" x14ac:dyDescent="0.25">
      <c r="A20723" s="64" t="str">
        <f>HYPERLINK("http://www.twitter.com/LeeCornell1", "LeeCornell1")</f>
        <v>LeeCornell1</v>
      </c>
      <c r="B20723" s="65"/>
    </row>
    <row r="20724" spans="1:2" x14ac:dyDescent="0.25">
      <c r="A20724" s="64" t="str">
        <f>HYPERLINK("http://www.twitter.com/OctaviaKingsley", "OctaviaKingsley")</f>
        <v>OctaviaKingsley</v>
      </c>
      <c r="B20724" s="65" t="s">
        <v>6464</v>
      </c>
    </row>
    <row r="20725" spans="1:2" x14ac:dyDescent="0.25">
      <c r="A20725" s="64" t="str">
        <f>HYPERLINK("http://www.twitter.com/ValerieGFrank", "ValerieGFrank")</f>
        <v>ValerieGFrank</v>
      </c>
      <c r="B20725" s="65" t="s">
        <v>9867</v>
      </c>
    </row>
    <row r="20726" spans="1:2" x14ac:dyDescent="0.25">
      <c r="A20726" s="64" t="str">
        <f>HYPERLINK("http://www.twitter.com/MoffatBookEv", "MoffatBookEv")</f>
        <v>MoffatBookEv</v>
      </c>
      <c r="B20726" s="65" t="s">
        <v>9868</v>
      </c>
    </row>
    <row r="20727" spans="1:2" x14ac:dyDescent="0.25">
      <c r="A20727" s="64" t="str">
        <f>HYPERLINK("http://www.twitter.com/susanhillwriter", "susanhillwriter")</f>
        <v>susanhillwriter</v>
      </c>
      <c r="B20727" s="65" t="s">
        <v>9869</v>
      </c>
    </row>
    <row r="20728" spans="1:2" x14ac:dyDescent="0.25">
      <c r="A20728" s="64" t="str">
        <f>HYPERLINK("http://www.twitter.com/miriamvowen", "miriamvowen")</f>
        <v>miriamvowen</v>
      </c>
      <c r="B20728" s="65" t="s">
        <v>517</v>
      </c>
    </row>
    <row r="20729" spans="1:2" x14ac:dyDescent="0.25">
      <c r="A20729" s="64" t="str">
        <f>HYPERLINK("http://www.twitter.com/BiblioK8", "BiblioK8")</f>
        <v>BiblioK8</v>
      </c>
      <c r="B20729" s="65" t="s">
        <v>296</v>
      </c>
    </row>
    <row r="20730" spans="1:2" x14ac:dyDescent="0.25">
      <c r="A20730" s="64" t="str">
        <f>HYPERLINK("http://www.twitter.com/ZachSorrells", "ZachSorrells")</f>
        <v>ZachSorrells</v>
      </c>
      <c r="B20730" s="65" t="s">
        <v>318</v>
      </c>
    </row>
    <row r="20731" spans="1:2" x14ac:dyDescent="0.25">
      <c r="A20731" s="64" t="str">
        <f>HYPERLINK("http://www.twitter.com/SummerRiseiom", "SummerRiseiom")</f>
        <v>SummerRiseiom</v>
      </c>
      <c r="B20731" s="65" t="s">
        <v>5366</v>
      </c>
    </row>
    <row r="20732" spans="1:2" x14ac:dyDescent="0.25">
      <c r="A20732" s="64" t="str">
        <f>HYPERLINK("http://www.twitter.com/petewilliams68", "petewilliams68")</f>
        <v>petewilliams68</v>
      </c>
      <c r="B20732" s="65" t="s">
        <v>36</v>
      </c>
    </row>
    <row r="20733" spans="1:2" x14ac:dyDescent="0.25">
      <c r="A20733" s="64" t="str">
        <f>HYPERLINK("http://www.twitter.com/mickfortune", "mickfortune")</f>
        <v>mickfortune</v>
      </c>
      <c r="B20733" s="65" t="s">
        <v>9870</v>
      </c>
    </row>
    <row r="20734" spans="1:2" x14ac:dyDescent="0.25">
      <c r="A20734" s="64" t="str">
        <f>HYPERLINK("http://www.twitter.com/piecedwork", "piecedwork")</f>
        <v>piecedwork</v>
      </c>
      <c r="B20734" s="65"/>
    </row>
    <row r="20735" spans="1:2" x14ac:dyDescent="0.25">
      <c r="A20735" s="64" t="str">
        <f>HYPERLINK("http://www.twitter.com/at_work_CR", "at_work_CR")</f>
        <v>at_work_CR</v>
      </c>
      <c r="B20735" s="65" t="s">
        <v>138</v>
      </c>
    </row>
    <row r="20736" spans="1:2" x14ac:dyDescent="0.25">
      <c r="A20736" s="64" t="str">
        <f>HYPERLINK("http://www.twitter.com/Bylykbashi", "Bylykbashi")</f>
        <v>Bylykbashi</v>
      </c>
      <c r="B20736" s="65" t="s">
        <v>110</v>
      </c>
    </row>
    <row r="20737" spans="1:2" x14ac:dyDescent="0.25">
      <c r="A20737" s="64" t="str">
        <f>HYPERLINK("http://www.twitter.com/gillisim", "gillisim")</f>
        <v>gillisim</v>
      </c>
      <c r="B20737" s="65" t="s">
        <v>9871</v>
      </c>
    </row>
    <row r="20738" spans="1:2" x14ac:dyDescent="0.25">
      <c r="A20738" s="64" t="str">
        <f>HYPERLINK("http://www.twitter.com/plopsausage", "plopsausage")</f>
        <v>plopsausage</v>
      </c>
      <c r="B20738" s="65" t="s">
        <v>36</v>
      </c>
    </row>
    <row r="20739" spans="1:2" x14ac:dyDescent="0.25">
      <c r="A20739" s="64" t="str">
        <f>HYPERLINK("http://www.twitter.com/MillerRT", "MillerRT")</f>
        <v>MillerRT</v>
      </c>
      <c r="B20739" s="65" t="s">
        <v>4867</v>
      </c>
    </row>
    <row r="20740" spans="1:2" x14ac:dyDescent="0.25">
      <c r="A20740" s="64" t="str">
        <f>HYPERLINK("http://www.twitter.com/Allthelibraries", "Allthelibraries")</f>
        <v>Allthelibraries</v>
      </c>
      <c r="B20740" s="65" t="s">
        <v>36</v>
      </c>
    </row>
    <row r="20741" spans="1:2" x14ac:dyDescent="0.25">
      <c r="A20741" s="64" t="str">
        <f>HYPERLINK("http://www.twitter.com/bibliotekaargh", "bibliotekaargh")</f>
        <v>bibliotekaargh</v>
      </c>
      <c r="B20741" s="65"/>
    </row>
    <row r="20742" spans="1:2" x14ac:dyDescent="0.25">
      <c r="A20742" s="64" t="str">
        <f>HYPERLINK("http://www.twitter.com/RADLibrary", "RADLibrary")</f>
        <v>RADLibrary</v>
      </c>
      <c r="B20742" s="65" t="s">
        <v>9872</v>
      </c>
    </row>
    <row r="20743" spans="1:2" x14ac:dyDescent="0.25">
      <c r="A20743" s="64" t="str">
        <f>HYPERLINK("http://www.twitter.com/NatureActivity", "NatureActivity")</f>
        <v>NatureActivity</v>
      </c>
      <c r="B20743" s="65" t="s">
        <v>296</v>
      </c>
    </row>
    <row r="20744" spans="1:2" x14ac:dyDescent="0.25">
      <c r="A20744" s="64" t="str">
        <f>HYPERLINK("http://www.twitter.com/ukelazy", "ukelazy")</f>
        <v>ukelazy</v>
      </c>
      <c r="B20744" s="65" t="s">
        <v>3779</v>
      </c>
    </row>
    <row r="20745" spans="1:2" x14ac:dyDescent="0.25">
      <c r="A20745" s="64" t="str">
        <f>HYPERLINK("http://www.twitter.com/spawneedave", "spawneedave")</f>
        <v>spawneedave</v>
      </c>
      <c r="B20745" s="65" t="s">
        <v>9873</v>
      </c>
    </row>
    <row r="20746" spans="1:2" x14ac:dyDescent="0.25">
      <c r="A20746" s="64" t="str">
        <f>HYPERLINK("http://www.twitter.com/causeuk", "causeuk")</f>
        <v>causeuk</v>
      </c>
      <c r="B20746" s="65" t="s">
        <v>70</v>
      </c>
    </row>
    <row r="20747" spans="1:2" x14ac:dyDescent="0.25">
      <c r="A20747" s="64" t="str">
        <f>HYPERLINK("http://www.twitter.com/JohnRaeSociety", "JohnRaeSociety")</f>
        <v>JohnRaeSociety</v>
      </c>
      <c r="B20747" s="65"/>
    </row>
    <row r="20748" spans="1:2" x14ac:dyDescent="0.25">
      <c r="A20748" s="64" t="str">
        <f>HYPERLINK("http://www.twitter.com/sheencr", "sheencr")</f>
        <v>sheencr</v>
      </c>
      <c r="B20748" s="65"/>
    </row>
    <row r="20749" spans="1:2" x14ac:dyDescent="0.25">
      <c r="A20749" s="64" t="str">
        <f>HYPERLINK("http://www.twitter.com/mcrhistfest", "mcrhistfest")</f>
        <v>mcrhistfest</v>
      </c>
      <c r="B20749" s="65" t="s">
        <v>2289</v>
      </c>
    </row>
    <row r="20750" spans="1:2" x14ac:dyDescent="0.25">
      <c r="A20750" s="64" t="str">
        <f>HYPERLINK("http://www.twitter.com/Kateri_", "Kateri_")</f>
        <v>Kateri_</v>
      </c>
      <c r="B20750" s="65" t="s">
        <v>9874</v>
      </c>
    </row>
    <row r="20751" spans="1:2" x14ac:dyDescent="0.25">
      <c r="A20751" s="64" t="str">
        <f>HYPERLINK("http://www.twitter.com/monkhabit", "monkhabit")</f>
        <v>monkhabit</v>
      </c>
      <c r="B20751" s="65"/>
    </row>
    <row r="20752" spans="1:2" x14ac:dyDescent="0.25">
      <c r="A20752" s="64" t="str">
        <f>HYPERLINK("http://www.twitter.com/loveandp0ison", "loveandp0ison")</f>
        <v>loveandp0ison</v>
      </c>
      <c r="B20752" s="65"/>
    </row>
    <row r="20753" spans="1:2" x14ac:dyDescent="0.25">
      <c r="A20753" s="64" t="str">
        <f>HYPERLINK("http://www.twitter.com/dannypattison1", "dannypattison1")</f>
        <v>dannypattison1</v>
      </c>
      <c r="B20753" s="65" t="s">
        <v>36</v>
      </c>
    </row>
    <row r="20754" spans="1:2" x14ac:dyDescent="0.25">
      <c r="A20754" s="64" t="str">
        <f>HYPERLINK("http://www.twitter.com/maplehoff", "maplehoff")</f>
        <v>maplehoff</v>
      </c>
      <c r="B20754" s="65" t="s">
        <v>9875</v>
      </c>
    </row>
    <row r="20755" spans="1:2" x14ac:dyDescent="0.25">
      <c r="A20755" s="64" t="str">
        <f>HYPERLINK("http://www.twitter.com/_parallelogram_", "_parallelogram_")</f>
        <v>_parallelogram_</v>
      </c>
      <c r="B20755" s="65" t="s">
        <v>3988</v>
      </c>
    </row>
    <row r="20756" spans="1:2" x14ac:dyDescent="0.25">
      <c r="A20756" s="64" t="str">
        <f>HYPERLINK("http://www.twitter.com/librarychick440", "librarychick440")</f>
        <v>librarychick440</v>
      </c>
      <c r="B20756" s="65" t="s">
        <v>3988</v>
      </c>
    </row>
    <row r="20757" spans="1:2" x14ac:dyDescent="0.25">
      <c r="A20757" s="64" t="str">
        <f>HYPERLINK("http://www.twitter.com/WillORNG", "WillORNG")</f>
        <v>WillORNG</v>
      </c>
      <c r="B20757" s="65" t="s">
        <v>9876</v>
      </c>
    </row>
    <row r="20758" spans="1:2" x14ac:dyDescent="0.25">
      <c r="A20758" s="64" t="str">
        <f>HYPERLINK("http://www.twitter.com/ev0donnell", "ev0donnell")</f>
        <v>ev0donnell</v>
      </c>
      <c r="B20758" s="65" t="s">
        <v>9877</v>
      </c>
    </row>
    <row r="20759" spans="1:2" x14ac:dyDescent="0.25">
      <c r="A20759" s="64" t="str">
        <f>HYPERLINK("http://www.twitter.com/Graham_Purvis", "Graham_Purvis")</f>
        <v>Graham_Purvis</v>
      </c>
      <c r="B20759" s="65" t="s">
        <v>9878</v>
      </c>
    </row>
    <row r="20760" spans="1:2" x14ac:dyDescent="0.25">
      <c r="A20760" s="64" t="str">
        <f>HYPERLINK("http://www.twitter.com/nickinmasham", "nickinmasham")</f>
        <v>nickinmasham</v>
      </c>
      <c r="B20760" s="65" t="s">
        <v>9879</v>
      </c>
    </row>
    <row r="20761" spans="1:2" x14ac:dyDescent="0.25">
      <c r="A20761" s="64" t="str">
        <f>HYPERLINK("http://www.twitter.com/laurindathomas", "laurindathomas")</f>
        <v>laurindathomas</v>
      </c>
      <c r="B20761" s="65" t="s">
        <v>4436</v>
      </c>
    </row>
    <row r="20762" spans="1:2" x14ac:dyDescent="0.25">
      <c r="A20762" s="64" t="str">
        <f>HYPERLINK("http://www.twitter.com/GHaveaux", "GHaveaux")</f>
        <v>GHaveaux</v>
      </c>
      <c r="B20762" s="65"/>
    </row>
    <row r="20763" spans="1:2" x14ac:dyDescent="0.25">
      <c r="A20763" s="64" t="str">
        <f>HYPERLINK("http://www.twitter.com/sw15womble", "sw15womble")</f>
        <v>sw15womble</v>
      </c>
      <c r="B20763" s="65"/>
    </row>
    <row r="20764" spans="1:2" x14ac:dyDescent="0.25">
      <c r="A20764" s="64" t="str">
        <f>HYPERLINK("http://www.twitter.com/layleevj", "layleevj")</f>
        <v>layleevj</v>
      </c>
      <c r="B20764" s="65" t="s">
        <v>7303</v>
      </c>
    </row>
    <row r="20765" spans="1:2" x14ac:dyDescent="0.25">
      <c r="A20765" s="64" t="str">
        <f>HYPERLINK("http://www.twitter.com/datalibsam", "datalibsam")</f>
        <v>datalibsam</v>
      </c>
      <c r="B20765" s="65" t="s">
        <v>4222</v>
      </c>
    </row>
    <row r="20766" spans="1:2" x14ac:dyDescent="0.25">
      <c r="A20766" s="64" t="str">
        <f>HYPERLINK("http://www.twitter.com/joygunn", "joygunn")</f>
        <v>joygunn</v>
      </c>
      <c r="B20766" s="65"/>
    </row>
    <row r="20767" spans="1:2" x14ac:dyDescent="0.25">
      <c r="A20767" s="64" t="str">
        <f>HYPERLINK("http://www.twitter.com/mysticsway", "mysticsway")</f>
        <v>mysticsway</v>
      </c>
      <c r="B20767" s="65" t="s">
        <v>6307</v>
      </c>
    </row>
    <row r="20768" spans="1:2" x14ac:dyDescent="0.25">
      <c r="A20768" s="64" t="str">
        <f>HYPERLINK("http://www.twitter.com/nogginthemog", "nogginthemog")</f>
        <v>nogginthemog</v>
      </c>
      <c r="B20768" s="65" t="s">
        <v>36</v>
      </c>
    </row>
    <row r="20769" spans="1:2" x14ac:dyDescent="0.25">
      <c r="A20769" s="64" t="str">
        <f>HYPERLINK("http://www.twitter.com/glhunt31", "glhunt31")</f>
        <v>glhunt31</v>
      </c>
      <c r="B20769" s="65" t="s">
        <v>3995</v>
      </c>
    </row>
    <row r="20770" spans="1:2" x14ac:dyDescent="0.25">
      <c r="A20770" s="64" t="str">
        <f>HYPERLINK("http://www.twitter.com/Trinity_Library", "Trinity_Library")</f>
        <v>Trinity_Library</v>
      </c>
      <c r="B20770" s="65" t="s">
        <v>2222</v>
      </c>
    </row>
    <row r="20771" spans="1:2" x14ac:dyDescent="0.25">
      <c r="A20771" s="64" t="str">
        <f>HYPERLINK("http://www.twitter.com/Gediman2", "Gediman2")</f>
        <v>Gediman2</v>
      </c>
      <c r="B20771" s="65" t="s">
        <v>9880</v>
      </c>
    </row>
    <row r="20772" spans="1:2" x14ac:dyDescent="0.25">
      <c r="A20772" s="64" t="str">
        <f>HYPERLINK("http://www.twitter.com/BundyLib", "BundyLib")</f>
        <v>BundyLib</v>
      </c>
      <c r="B20772" s="65" t="s">
        <v>9881</v>
      </c>
    </row>
    <row r="20773" spans="1:2" x14ac:dyDescent="0.25">
      <c r="A20773" s="64" t="str">
        <f>HYPERLINK("http://www.twitter.com/beckorio", "beckorio")</f>
        <v>beckorio</v>
      </c>
      <c r="B20773" s="65" t="s">
        <v>9882</v>
      </c>
    </row>
    <row r="20774" spans="1:2" x14ac:dyDescent="0.25">
      <c r="A20774" s="64" t="str">
        <f>HYPERLINK("http://www.twitter.com/MissStewartWPS", "MissStewartWPS")</f>
        <v>MissStewartWPS</v>
      </c>
      <c r="B20774" s="65"/>
    </row>
    <row r="20775" spans="1:2" x14ac:dyDescent="0.25">
      <c r="A20775" s="64" t="str">
        <f>HYPERLINK("http://www.twitter.com/victoriachurch", "victoriachurch")</f>
        <v>victoriachurch</v>
      </c>
      <c r="B20775" s="65" t="s">
        <v>9883</v>
      </c>
    </row>
    <row r="20776" spans="1:2" x14ac:dyDescent="0.25">
      <c r="A20776" s="64" t="str">
        <f>HYPERLINK("http://www.twitter.com/chazzerh", "chazzerh")</f>
        <v>chazzerh</v>
      </c>
      <c r="B20776" s="65" t="s">
        <v>4169</v>
      </c>
    </row>
    <row r="20777" spans="1:2" x14ac:dyDescent="0.25">
      <c r="A20777" s="64" t="str">
        <f>HYPERLINK("http://www.twitter.com/LauSqu7", "LauSqu7")</f>
        <v>LauSqu7</v>
      </c>
      <c r="B20777" s="65" t="s">
        <v>318</v>
      </c>
    </row>
    <row r="20778" spans="1:2" x14ac:dyDescent="0.25">
      <c r="A20778" s="64" t="str">
        <f>HYPERLINK("http://www.twitter.com/catrionaduggan", "catrionaduggan")</f>
        <v>catrionaduggan</v>
      </c>
      <c r="B20778" s="65" t="s">
        <v>138</v>
      </c>
    </row>
    <row r="20779" spans="1:2" x14ac:dyDescent="0.25">
      <c r="A20779" s="64" t="str">
        <f>HYPERLINK("http://www.twitter.com/RyanLongstaff", "RyanLongstaff")</f>
        <v>RyanLongstaff</v>
      </c>
      <c r="B20779" s="65" t="s">
        <v>70</v>
      </c>
    </row>
    <row r="20780" spans="1:2" x14ac:dyDescent="0.25">
      <c r="A20780" s="64" t="str">
        <f>HYPERLINK("http://www.twitter.com/frecklesblu", "frecklesblu")</f>
        <v>frecklesblu</v>
      </c>
      <c r="B20780" s="65"/>
    </row>
    <row r="20781" spans="1:2" x14ac:dyDescent="0.25">
      <c r="A20781" s="64" t="str">
        <f>HYPERLINK("http://www.twitter.com/Tinnyredroof", "Tinnyredroof")</f>
        <v>Tinnyredroof</v>
      </c>
      <c r="B20781" s="65"/>
    </row>
    <row r="20782" spans="1:2" x14ac:dyDescent="0.25">
      <c r="A20782" s="64" t="str">
        <f>HYPERLINK("http://www.twitter.com/LynneWheater", "LynneWheater")</f>
        <v>LynneWheater</v>
      </c>
      <c r="B20782" s="65" t="s">
        <v>296</v>
      </c>
    </row>
    <row r="20783" spans="1:2" x14ac:dyDescent="0.25">
      <c r="A20783" s="64" t="str">
        <f>HYPERLINK("http://www.twitter.com/msladylibrarian", "msladylibrarian")</f>
        <v>msladylibrarian</v>
      </c>
      <c r="B20783" s="65"/>
    </row>
    <row r="20784" spans="1:2" x14ac:dyDescent="0.25">
      <c r="A20784" s="64" t="str">
        <f>HYPERLINK("http://www.twitter.com/_Joolze_", "_Joolze_")</f>
        <v>_Joolze_</v>
      </c>
      <c r="B20784" s="65"/>
    </row>
    <row r="20785" spans="1:2" x14ac:dyDescent="0.25">
      <c r="A20785" s="64" t="str">
        <f>HYPERLINK("http://www.twitter.com/Estalwin", "Estalwin")</f>
        <v>Estalwin</v>
      </c>
      <c r="B20785" s="65"/>
    </row>
    <row r="20786" spans="1:2" x14ac:dyDescent="0.25">
      <c r="A20786" s="64" t="str">
        <f>HYPERLINK("http://www.twitter.com/Heather_Gordier", "Heather_Gordier")</f>
        <v>Heather_Gordier</v>
      </c>
      <c r="B20786" s="65" t="s">
        <v>9884</v>
      </c>
    </row>
    <row r="20787" spans="1:2" x14ac:dyDescent="0.25">
      <c r="A20787" s="64" t="str">
        <f>HYPERLINK("http://www.twitter.com/LouHJones", "LouHJones")</f>
        <v>LouHJones</v>
      </c>
      <c r="B20787" s="65" t="s">
        <v>9737</v>
      </c>
    </row>
    <row r="20788" spans="1:2" x14ac:dyDescent="0.25">
      <c r="A20788" s="64" t="str">
        <f>HYPERLINK("http://www.twitter.com/electricaye", "electricaye")</f>
        <v>electricaye</v>
      </c>
      <c r="B20788" s="65" t="s">
        <v>9885</v>
      </c>
    </row>
    <row r="20789" spans="1:2" x14ac:dyDescent="0.25">
      <c r="A20789" s="64" t="str">
        <f>HYPERLINK("http://www.twitter.com/OurCatGodfrey", "OurCatGodfrey")</f>
        <v>OurCatGodfrey</v>
      </c>
      <c r="B20789" s="65" t="s">
        <v>24</v>
      </c>
    </row>
    <row r="20790" spans="1:2" x14ac:dyDescent="0.25">
      <c r="A20790" s="64" t="str">
        <f>HYPERLINK("http://www.twitter.com/WestwoodFOL", "WestwoodFOL")</f>
        <v>WestwoodFOL</v>
      </c>
      <c r="B20790" s="65" t="s">
        <v>9886</v>
      </c>
    </row>
    <row r="20791" spans="1:2" x14ac:dyDescent="0.25">
      <c r="A20791" s="64" t="str">
        <f>HYPERLINK("http://www.twitter.com/Jen_Haughton", "Jen_Haughton")</f>
        <v>Jen_Haughton</v>
      </c>
      <c r="B20791" s="65" t="s">
        <v>5415</v>
      </c>
    </row>
    <row r="20792" spans="1:2" x14ac:dyDescent="0.25">
      <c r="A20792" s="64" t="str">
        <f>HYPERLINK("http://www.twitter.com/iamstellina", "iamstellina")</f>
        <v>iamstellina</v>
      </c>
      <c r="B20792" s="65" t="s">
        <v>36</v>
      </c>
    </row>
    <row r="20793" spans="1:2" x14ac:dyDescent="0.25">
      <c r="A20793" s="64" t="str">
        <f>HYPERLINK("http://www.twitter.com/DonnaSmith02", "DonnaSmith02")</f>
        <v>DonnaSmith02</v>
      </c>
      <c r="B20793" s="65" t="s">
        <v>8161</v>
      </c>
    </row>
    <row r="20794" spans="1:2" x14ac:dyDescent="0.25">
      <c r="A20794" s="64" t="str">
        <f>HYPERLINK("http://www.twitter.com/MidLibraries", "MidLibraries")</f>
        <v>MidLibraries</v>
      </c>
      <c r="B20794" s="65" t="s">
        <v>1305</v>
      </c>
    </row>
    <row r="20795" spans="1:2" x14ac:dyDescent="0.25">
      <c r="A20795" s="64" t="str">
        <f>HYPERLINK("http://www.twitter.com/lecyberflaneur", "lecyberflaneur")</f>
        <v>lecyberflaneur</v>
      </c>
      <c r="B20795" s="65" t="s">
        <v>36</v>
      </c>
    </row>
    <row r="20796" spans="1:2" x14ac:dyDescent="0.25">
      <c r="A20796" s="64" t="str">
        <f>HYPERLINK("http://www.twitter.com/roflmoose", "roflmoose")</f>
        <v>roflmoose</v>
      </c>
      <c r="B20796" s="65"/>
    </row>
    <row r="20797" spans="1:2" x14ac:dyDescent="0.25">
      <c r="A20797" s="64" t="str">
        <f>HYPERLINK("http://www.twitter.com/robindthomas", "robindthomas")</f>
        <v>robindthomas</v>
      </c>
      <c r="B20797" s="65" t="s">
        <v>36</v>
      </c>
    </row>
    <row r="20798" spans="1:2" x14ac:dyDescent="0.25">
      <c r="A20798" s="64" t="str">
        <f>HYPERLINK("http://www.twitter.com/MichLLavipour", "MichLLavipour")</f>
        <v>MichLLavipour</v>
      </c>
      <c r="B20798" s="65"/>
    </row>
    <row r="20799" spans="1:2" x14ac:dyDescent="0.25">
      <c r="A20799" s="64" t="str">
        <f>HYPERLINK("http://www.twitter.com/ElohElae", "ElohElae")</f>
        <v>ElohElae</v>
      </c>
      <c r="B20799" s="65" t="s">
        <v>36</v>
      </c>
    </row>
    <row r="20800" spans="1:2" x14ac:dyDescent="0.25">
      <c r="A20800" s="64" t="str">
        <f>HYPERLINK("http://www.twitter.com/Michelle_N__", "Michelle_N__")</f>
        <v>Michelle_N__</v>
      </c>
      <c r="B20800" s="65"/>
    </row>
    <row r="20801" spans="1:2" x14ac:dyDescent="0.25">
      <c r="A20801" s="64" t="str">
        <f>HYPERLINK("http://www.twitter.com/claudiabavi", "claudiabavi")</f>
        <v>claudiabavi</v>
      </c>
      <c r="B20801" s="65" t="s">
        <v>1377</v>
      </c>
    </row>
    <row r="20802" spans="1:2" x14ac:dyDescent="0.25">
      <c r="A20802" s="64" t="str">
        <f>HYPERLINK("http://www.twitter.com/shermyerm", "shermyerm")</f>
        <v>shermyerm</v>
      </c>
      <c r="B20802" s="65" t="s">
        <v>477</v>
      </c>
    </row>
    <row r="20803" spans="1:2" x14ac:dyDescent="0.25">
      <c r="A20803" s="64" t="str">
        <f>HYPERLINK("http://www.twitter.com/BridieFalls", "BridieFalls")</f>
        <v>BridieFalls</v>
      </c>
      <c r="B20803" s="65" t="s">
        <v>36</v>
      </c>
    </row>
    <row r="20804" spans="1:2" x14ac:dyDescent="0.25">
      <c r="A20804" s="64" t="str">
        <f>HYPERLINK("http://www.twitter.com/DrBadger", "DrBadger")</f>
        <v>DrBadger</v>
      </c>
      <c r="B20804" s="65" t="s">
        <v>36</v>
      </c>
    </row>
    <row r="20805" spans="1:2" x14ac:dyDescent="0.25">
      <c r="A20805" s="64" t="str">
        <f>HYPERLINK("http://www.twitter.com/alexdalman", "alexdalman")</f>
        <v>alexdalman</v>
      </c>
      <c r="B20805" s="65" t="s">
        <v>36</v>
      </c>
    </row>
    <row r="20806" spans="1:2" x14ac:dyDescent="0.25">
      <c r="A20806" s="64" t="str">
        <f>HYPERLINK("http://www.twitter.com/alandooney", "alandooney")</f>
        <v>alandooney</v>
      </c>
      <c r="B20806" s="65" t="s">
        <v>9887</v>
      </c>
    </row>
    <row r="20807" spans="1:2" x14ac:dyDescent="0.25">
      <c r="A20807" s="64" t="str">
        <f>HYPERLINK("http://www.twitter.com/CharlotteMaxus", "CharlotteMaxus")</f>
        <v>CharlotteMaxus</v>
      </c>
      <c r="B20807" s="65"/>
    </row>
    <row r="20808" spans="1:2" x14ac:dyDescent="0.25">
      <c r="A20808" s="64" t="str">
        <f>HYPERLINK("http://www.twitter.com/samalalala", "samalalala")</f>
        <v>samalalala</v>
      </c>
      <c r="B20808" s="65" t="s">
        <v>9888</v>
      </c>
    </row>
    <row r="20809" spans="1:2" x14ac:dyDescent="0.25">
      <c r="A20809" s="64" t="str">
        <f>HYPERLINK("http://www.twitter.com/_MBay", "_MBay")</f>
        <v>_MBay</v>
      </c>
      <c r="B20809" s="65" t="s">
        <v>9889</v>
      </c>
    </row>
    <row r="20810" spans="1:2" x14ac:dyDescent="0.25">
      <c r="A20810" s="64" t="str">
        <f>HYPERLINK("http://www.twitter.com/LoraSlessor", "LoraSlessor")</f>
        <v>LoraSlessor</v>
      </c>
      <c r="B20810" s="65"/>
    </row>
    <row r="20811" spans="1:2" x14ac:dyDescent="0.25">
      <c r="A20811" s="64" t="str">
        <f>HYPERLINK("http://www.twitter.com/gadgetsense", "gadgetsense")</f>
        <v>gadgetsense</v>
      </c>
      <c r="B20811" s="65" t="s">
        <v>9890</v>
      </c>
    </row>
    <row r="20812" spans="1:2" x14ac:dyDescent="0.25">
      <c r="A20812" s="64" t="str">
        <f>HYPERLINK("http://www.twitter.com/CrispinBennett", "CrispinBennett")</f>
        <v>CrispinBennett</v>
      </c>
      <c r="B20812" s="65"/>
    </row>
    <row r="20813" spans="1:2" x14ac:dyDescent="0.25">
      <c r="A20813" s="64" t="str">
        <f>HYPERLINK("http://www.twitter.com/rte_co", "rte_co")</f>
        <v>rte_co</v>
      </c>
      <c r="B20813" s="65" t="s">
        <v>3760</v>
      </c>
    </row>
    <row r="20814" spans="1:2" x14ac:dyDescent="0.25">
      <c r="A20814" s="64" t="str">
        <f>HYPERLINK("http://www.twitter.com/domwilkins", "domwilkins")</f>
        <v>domwilkins</v>
      </c>
      <c r="B20814" s="65" t="s">
        <v>70</v>
      </c>
    </row>
    <row r="20815" spans="1:2" x14ac:dyDescent="0.25">
      <c r="A20815" s="64" t="str">
        <f>HYPERLINK("http://www.twitter.com/thehoff5", "thehoff5")</f>
        <v>thehoff5</v>
      </c>
      <c r="B20815" s="65" t="s">
        <v>9891</v>
      </c>
    </row>
    <row r="20816" spans="1:2" x14ac:dyDescent="0.25">
      <c r="A20816" s="64" t="str">
        <f>HYPERLINK("http://www.twitter.com/stevenorkney", "stevenorkney")</f>
        <v>stevenorkney</v>
      </c>
      <c r="B20816" s="65" t="s">
        <v>318</v>
      </c>
    </row>
    <row r="20817" spans="1:2" x14ac:dyDescent="0.25">
      <c r="A20817" s="64" t="str">
        <f>HYPERLINK("http://www.twitter.com/Martinjcampbell", "Martinjcampbell")</f>
        <v>Martinjcampbell</v>
      </c>
      <c r="B20817" s="65" t="s">
        <v>9892</v>
      </c>
    </row>
    <row r="20818" spans="1:2" x14ac:dyDescent="0.25">
      <c r="A20818" s="64" t="str">
        <f>HYPERLINK("http://www.twitter.com/Library_Jan", "Library_Jan")</f>
        <v>Library_Jan</v>
      </c>
      <c r="B20818" s="65"/>
    </row>
    <row r="20819" spans="1:2" x14ac:dyDescent="0.25">
      <c r="A20819" s="64" t="str">
        <f>HYPERLINK("http://www.twitter.com/SabhalMorOstaig", "SabhalMorOstaig")</f>
        <v>SabhalMorOstaig</v>
      </c>
      <c r="B20819" s="65" t="s">
        <v>4454</v>
      </c>
    </row>
    <row r="20820" spans="1:2" x14ac:dyDescent="0.25">
      <c r="A20820" s="64" t="str">
        <f>HYPERLINK("http://www.twitter.com/deeptulip", "deeptulip")</f>
        <v>deeptulip</v>
      </c>
      <c r="B20820" s="65" t="s">
        <v>24</v>
      </c>
    </row>
    <row r="20821" spans="1:2" x14ac:dyDescent="0.25">
      <c r="A20821" s="64" t="str">
        <f>HYPERLINK("http://www.twitter.com/sdb", "sdb")</f>
        <v>sdb</v>
      </c>
      <c r="B20821" s="65" t="s">
        <v>773</v>
      </c>
    </row>
    <row r="20822" spans="1:2" x14ac:dyDescent="0.25">
      <c r="A20822" s="64" t="str">
        <f>HYPERLINK("http://www.twitter.com/paulag9g", "paulag9g")</f>
        <v>paulag9g</v>
      </c>
      <c r="B20822" s="65"/>
    </row>
    <row r="20823" spans="1:2" x14ac:dyDescent="0.25">
      <c r="A20823" s="64" t="str">
        <f>HYPERLINK("http://www.twitter.com/samwake", "samwake")</f>
        <v>samwake</v>
      </c>
      <c r="B20823" s="65" t="s">
        <v>219</v>
      </c>
    </row>
    <row r="20824" spans="1:2" x14ac:dyDescent="0.25">
      <c r="A20824" s="64" t="str">
        <f>HYPERLINK("http://www.twitter.com/miriamattwood", "miriamattwood")</f>
        <v>miriamattwood</v>
      </c>
      <c r="B20824" s="65" t="s">
        <v>24</v>
      </c>
    </row>
    <row r="20825" spans="1:2" x14ac:dyDescent="0.25">
      <c r="A20825" s="64" t="str">
        <f>HYPERLINK("http://www.twitter.com/ukschizophrenic", "ukschizophrenic")</f>
        <v>ukschizophrenic</v>
      </c>
      <c r="B20825" s="65" t="s">
        <v>477</v>
      </c>
    </row>
    <row r="20826" spans="1:2" x14ac:dyDescent="0.25">
      <c r="A20826" s="64" t="str">
        <f>HYPERLINK("http://www.twitter.com/kate_hazell", "kate_hazell")</f>
        <v>kate_hazell</v>
      </c>
      <c r="B20826" s="65" t="s">
        <v>477</v>
      </c>
    </row>
    <row r="20827" spans="1:2" x14ac:dyDescent="0.25">
      <c r="A20827" s="64" t="str">
        <f>HYPERLINK("http://www.twitter.com/alandburra", "alandburra")</f>
        <v>alandburra</v>
      </c>
      <c r="B20827" s="65" t="s">
        <v>24</v>
      </c>
    </row>
    <row r="20828" spans="1:2" x14ac:dyDescent="0.25">
      <c r="A20828" s="64" t="str">
        <f>HYPERLINK("http://www.twitter.com/carolynmandache", "carolynmandache")</f>
        <v>carolynmandache</v>
      </c>
      <c r="B20828" s="65" t="s">
        <v>517</v>
      </c>
    </row>
    <row r="20829" spans="1:2" x14ac:dyDescent="0.25">
      <c r="A20829" s="64" t="str">
        <f>HYPERLINK("http://www.twitter.com/revhillers", "revhillers")</f>
        <v>revhillers</v>
      </c>
      <c r="B20829" s="65" t="s">
        <v>9893</v>
      </c>
    </row>
    <row r="20830" spans="1:2" x14ac:dyDescent="0.25">
      <c r="A20830" s="64" t="str">
        <f>HYPERLINK("http://www.twitter.com/kumanokarasu", "kumanokarasu")</f>
        <v>kumanokarasu</v>
      </c>
      <c r="B20830" s="65" t="s">
        <v>9894</v>
      </c>
    </row>
    <row r="20831" spans="1:2" x14ac:dyDescent="0.25">
      <c r="A20831" s="64" t="str">
        <f>HYPERLINK("http://www.twitter.com/bouncemarketing", "bouncemarketing")</f>
        <v>bouncemarketing</v>
      </c>
      <c r="B20831" s="65" t="s">
        <v>5687</v>
      </c>
    </row>
    <row r="20832" spans="1:2" x14ac:dyDescent="0.25">
      <c r="A20832" s="64" t="str">
        <f>HYPERLINK("http://www.twitter.com/mensan98th", "mensan98th")</f>
        <v>mensan98th</v>
      </c>
      <c r="B20832" s="65" t="s">
        <v>3785</v>
      </c>
    </row>
    <row r="20833" spans="1:2" x14ac:dyDescent="0.25">
      <c r="A20833" s="64" t="str">
        <f>HYPERLINK("http://www.twitter.com/ambrosen", "ambrosen")</f>
        <v>ambrosen</v>
      </c>
      <c r="B20833" s="65" t="s">
        <v>3483</v>
      </c>
    </row>
    <row r="20834" spans="1:2" x14ac:dyDescent="0.25">
      <c r="A20834" s="64" t="str">
        <f>HYPERLINK("http://www.twitter.com/ek_neale", "ek_neale")</f>
        <v>ek_neale</v>
      </c>
      <c r="B20834" s="65" t="s">
        <v>9895</v>
      </c>
    </row>
    <row r="20835" spans="1:2" x14ac:dyDescent="0.25">
      <c r="A20835" s="64" t="str">
        <f>HYPERLINK("http://www.twitter.com/library_save", "library_save")</f>
        <v>library_save</v>
      </c>
      <c r="B20835" s="65" t="s">
        <v>9896</v>
      </c>
    </row>
    <row r="20836" spans="1:2" x14ac:dyDescent="0.25">
      <c r="A20836" s="64" t="str">
        <f>HYPERLINK("http://www.twitter.com/leefmclean", "leefmclean")</f>
        <v>leefmclean</v>
      </c>
      <c r="B20836" s="65" t="s">
        <v>9897</v>
      </c>
    </row>
    <row r="20837" spans="1:2" x14ac:dyDescent="0.25">
      <c r="A20837" s="64" t="str">
        <f>HYPERLINK("http://www.twitter.com/Lala_Spencer", "Lala_Spencer")</f>
        <v>Lala_Spencer</v>
      </c>
      <c r="B20837" s="65"/>
    </row>
    <row r="20838" spans="1:2" x14ac:dyDescent="0.25">
      <c r="A20838" s="64" t="str">
        <f>HYPERLINK("http://www.twitter.com/SianLewin", "SianLewin")</f>
        <v>SianLewin</v>
      </c>
      <c r="B20838" s="65" t="s">
        <v>36</v>
      </c>
    </row>
    <row r="20839" spans="1:2" x14ac:dyDescent="0.25">
      <c r="A20839" s="64" t="str">
        <f>HYPERLINK("http://www.twitter.com/phd_at_work", "phd_at_work")</f>
        <v>phd_at_work</v>
      </c>
      <c r="B20839" s="65" t="s">
        <v>9898</v>
      </c>
    </row>
    <row r="20840" spans="1:2" x14ac:dyDescent="0.25">
      <c r="A20840" s="64" t="str">
        <f>HYPERLINK("http://www.twitter.com/GeorgeMorgan13", "GeorgeMorgan13")</f>
        <v>GeorgeMorgan13</v>
      </c>
      <c r="B20840" s="65"/>
    </row>
    <row r="20841" spans="1:2" x14ac:dyDescent="0.25">
      <c r="A20841" s="64" t="str">
        <f>HYPERLINK("http://www.twitter.com/delpaterson", "delpaterson")</f>
        <v>delpaterson</v>
      </c>
      <c r="B20841" s="65" t="s">
        <v>3213</v>
      </c>
    </row>
    <row r="20842" spans="1:2" x14ac:dyDescent="0.25">
      <c r="A20842" s="64" t="str">
        <f>HYPERLINK("http://www.twitter.com/gwynethmarshman", "gwynethmarshman")</f>
        <v>gwynethmarshman</v>
      </c>
      <c r="B20842" s="65" t="s">
        <v>9899</v>
      </c>
    </row>
    <row r="20843" spans="1:2" x14ac:dyDescent="0.25">
      <c r="A20843" s="64" t="str">
        <f>HYPERLINK("http://www.twitter.com/evemcconnachie", "evemcconnachie")</f>
        <v>evemcconnachie</v>
      </c>
      <c r="B20843" s="65" t="s">
        <v>138</v>
      </c>
    </row>
    <row r="20844" spans="1:2" x14ac:dyDescent="0.25">
      <c r="A20844" s="64" t="str">
        <f>HYPERLINK("http://www.twitter.com/ZoeTheWilson", "ZoeTheWilson")</f>
        <v>ZoeTheWilson</v>
      </c>
      <c r="B20844" s="65" t="s">
        <v>517</v>
      </c>
    </row>
    <row r="20845" spans="1:2" x14ac:dyDescent="0.25">
      <c r="A20845" s="64" t="str">
        <f>HYPERLINK("http://www.twitter.com/kdwriting", "kdwriting")</f>
        <v>kdwriting</v>
      </c>
      <c r="B20845" s="65" t="s">
        <v>9900</v>
      </c>
    </row>
    <row r="20846" spans="1:2" x14ac:dyDescent="0.25">
      <c r="A20846" s="64" t="str">
        <f>HYPERLINK("http://www.twitter.com/anneleenphoto", "anneleenphoto")</f>
        <v>anneleenphoto</v>
      </c>
      <c r="B20846" s="65" t="s">
        <v>24</v>
      </c>
    </row>
    <row r="20847" spans="1:2" x14ac:dyDescent="0.25">
      <c r="A20847" s="64" t="str">
        <f>HYPERLINK("http://www.twitter.com/LynneMackenziee", "LynneMackenziee")</f>
        <v>LynneMackenziee</v>
      </c>
      <c r="B20847" s="65" t="s">
        <v>9901</v>
      </c>
    </row>
    <row r="20848" spans="1:2" x14ac:dyDescent="0.25">
      <c r="A20848" s="64" t="str">
        <f>HYPERLINK("http://www.twitter.com/silenttosound", "silenttosound")</f>
        <v>silenttosound</v>
      </c>
      <c r="B20848" s="65" t="s">
        <v>9902</v>
      </c>
    </row>
    <row r="20849" spans="1:2" x14ac:dyDescent="0.25">
      <c r="A20849" s="64" t="str">
        <f>HYPERLINK("http://www.twitter.com/ACOSVO", "ACOSVO")</f>
        <v>ACOSVO</v>
      </c>
      <c r="B20849" s="65" t="s">
        <v>487</v>
      </c>
    </row>
    <row r="20850" spans="1:2" x14ac:dyDescent="0.25">
      <c r="A20850" s="64" t="str">
        <f>HYPERLINK("http://www.twitter.com/thisismakeworks", "thisismakeworks")</f>
        <v>thisismakeworks</v>
      </c>
      <c r="B20850" s="65" t="s">
        <v>517</v>
      </c>
    </row>
    <row r="20851" spans="1:2" x14ac:dyDescent="0.25">
      <c r="A20851" s="64" t="str">
        <f>HYPERLINK("http://www.twitter.com/RubyIsla_CM", "RubyIsla_CM")</f>
        <v>RubyIsla_CM</v>
      </c>
      <c r="B20851" s="65" t="s">
        <v>36</v>
      </c>
    </row>
    <row r="20852" spans="1:2" x14ac:dyDescent="0.25">
      <c r="A20852" s="64" t="str">
        <f>HYPERLINK("http://www.twitter.com/jennylm54", "jennylm54")</f>
        <v>jennylm54</v>
      </c>
      <c r="B20852" s="65"/>
    </row>
    <row r="20853" spans="1:2" x14ac:dyDescent="0.25">
      <c r="A20853" s="64" t="str">
        <f>HYPERLINK("http://www.twitter.com/blakecollider", "blakecollider")</f>
        <v>blakecollider</v>
      </c>
      <c r="B20853" s="65" t="s">
        <v>9903</v>
      </c>
    </row>
    <row r="20854" spans="1:2" x14ac:dyDescent="0.25">
      <c r="A20854" s="64" t="str">
        <f>HYPERLINK("http://www.twitter.com/ellenkesterton", "ellenkesterton")</f>
        <v>ellenkesterton</v>
      </c>
      <c r="B20854" s="65" t="s">
        <v>3650</v>
      </c>
    </row>
    <row r="20855" spans="1:2" x14ac:dyDescent="0.25">
      <c r="A20855" s="64" t="str">
        <f>HYPERLINK("http://www.twitter.com/kellyjaynemo", "kellyjaynemo")</f>
        <v>kellyjaynemo</v>
      </c>
      <c r="B20855" s="65" t="s">
        <v>4057</v>
      </c>
    </row>
    <row r="20856" spans="1:2" x14ac:dyDescent="0.25">
      <c r="A20856" s="64" t="str">
        <f>HYPERLINK("http://www.twitter.com/ayearinbeadnell", "ayearinbeadnell")</f>
        <v>ayearinbeadnell</v>
      </c>
      <c r="B20856" s="65" t="s">
        <v>9904</v>
      </c>
    </row>
    <row r="20857" spans="1:2" x14ac:dyDescent="0.25">
      <c r="A20857" s="64" t="str">
        <f>HYPERLINK("http://www.twitter.com/j_dougl", "j_dougl")</f>
        <v>j_dougl</v>
      </c>
      <c r="B20857" s="65" t="s">
        <v>517</v>
      </c>
    </row>
    <row r="20858" spans="1:2" x14ac:dyDescent="0.25">
      <c r="A20858" s="64" t="str">
        <f>HYPERLINK("http://www.twitter.com/SamuelW59329633", "SamuelW59329633")</f>
        <v>SamuelW59329633</v>
      </c>
      <c r="B20858" s="65"/>
    </row>
    <row r="20859" spans="1:2" x14ac:dyDescent="0.25">
      <c r="A20859" s="64" t="str">
        <f>HYPERLINK("http://www.twitter.com/bibliojenni", "bibliojenni")</f>
        <v>bibliojenni</v>
      </c>
      <c r="B20859" s="65"/>
    </row>
    <row r="20860" spans="1:2" x14ac:dyDescent="0.25">
      <c r="A20860" s="64" t="str">
        <f>HYPERLINK("http://www.twitter.com/uwlibservices", "uwlibservices")</f>
        <v>uwlibservices</v>
      </c>
      <c r="B20860" s="65" t="s">
        <v>1592</v>
      </c>
    </row>
    <row r="20861" spans="1:2" x14ac:dyDescent="0.25">
      <c r="A20861" s="64" t="str">
        <f>HYPERLINK("http://www.twitter.com/AnnCraig134", "AnnCraig134")</f>
        <v>AnnCraig134</v>
      </c>
      <c r="B20861" s="65" t="s">
        <v>9905</v>
      </c>
    </row>
    <row r="20862" spans="1:2" x14ac:dyDescent="0.25">
      <c r="A20862" s="64" t="str">
        <f>HYPERLINK("http://www.twitter.com/FaeryGothmother", "FaeryGothmother")</f>
        <v>FaeryGothmother</v>
      </c>
      <c r="B20862" s="65"/>
    </row>
    <row r="20863" spans="1:2" x14ac:dyDescent="0.25">
      <c r="A20863" s="64" t="str">
        <f>HYPERLINK("http://www.twitter.com/grukalty", "grukalty")</f>
        <v>grukalty</v>
      </c>
      <c r="B20863" s="65" t="s">
        <v>9906</v>
      </c>
    </row>
    <row r="20864" spans="1:2" x14ac:dyDescent="0.25">
      <c r="A20864" s="64" t="str">
        <f>HYPERLINK("http://www.twitter.com/LittleBooBooks", "LittleBooBooks")</f>
        <v>LittleBooBooks</v>
      </c>
      <c r="B20864" s="65"/>
    </row>
    <row r="20865" spans="1:2" x14ac:dyDescent="0.25">
      <c r="A20865" s="64" t="str">
        <f>HYPERLINK("http://www.twitter.com/TheGreatGetaway", "TheGreatGetaway")</f>
        <v>TheGreatGetaway</v>
      </c>
      <c r="B20865" s="65" t="s">
        <v>517</v>
      </c>
    </row>
    <row r="20866" spans="1:2" x14ac:dyDescent="0.25">
      <c r="A20866" s="64" t="str">
        <f>HYPERLINK("http://www.twitter.com/mobbbls", "mobbbls")</f>
        <v>mobbbls</v>
      </c>
      <c r="B20866" s="65"/>
    </row>
    <row r="20867" spans="1:2" x14ac:dyDescent="0.25">
      <c r="A20867" s="64" t="str">
        <f>HYPERLINK("http://www.twitter.com/vinayakhya0", "vinayakhya0")</f>
        <v>vinayakhya0</v>
      </c>
      <c r="B20867" s="65" t="s">
        <v>6797</v>
      </c>
    </row>
    <row r="20868" spans="1:2" x14ac:dyDescent="0.25">
      <c r="A20868" s="64" t="str">
        <f>HYPERLINK("http://www.twitter.com/Mel12369", "Mel12369")</f>
        <v>Mel12369</v>
      </c>
      <c r="B20868" s="65"/>
    </row>
    <row r="20869" spans="1:2" x14ac:dyDescent="0.25">
      <c r="A20869" s="64" t="str">
        <f>HYPERLINK("http://www.twitter.com/CluthaDubh", "CluthaDubh")</f>
        <v>CluthaDubh</v>
      </c>
      <c r="B20869" s="65" t="s">
        <v>9907</v>
      </c>
    </row>
    <row r="20870" spans="1:2" x14ac:dyDescent="0.25">
      <c r="A20870" s="64" t="str">
        <f>HYPERLINK("http://www.twitter.com/flunkerts", "flunkerts")</f>
        <v>flunkerts</v>
      </c>
      <c r="B20870" s="65" t="s">
        <v>9654</v>
      </c>
    </row>
    <row r="20871" spans="1:2" x14ac:dyDescent="0.25">
      <c r="A20871" s="64" t="str">
        <f>HYPERLINK("http://www.twitter.com/runcatgirlrun", "runcatgirlrun")</f>
        <v>runcatgirlrun</v>
      </c>
      <c r="B20871" s="65"/>
    </row>
    <row r="20872" spans="1:2" x14ac:dyDescent="0.25">
      <c r="A20872" s="64" t="str">
        <f>HYPERLINK("http://www.twitter.com/VeronaLibrary", "VeronaLibrary")</f>
        <v>VeronaLibrary</v>
      </c>
      <c r="B20872" s="65" t="s">
        <v>9908</v>
      </c>
    </row>
    <row r="20873" spans="1:2" x14ac:dyDescent="0.25">
      <c r="A20873" s="64" t="str">
        <f>HYPERLINK("http://www.twitter.com/robinedds", "robinedds")</f>
        <v>robinedds</v>
      </c>
      <c r="B20873" s="65" t="s">
        <v>36</v>
      </c>
    </row>
    <row r="20874" spans="1:2" x14ac:dyDescent="0.25">
      <c r="A20874" s="64" t="str">
        <f>HYPERLINK("http://www.twitter.com/RaintreePub", "RaintreePub")</f>
        <v>RaintreePub</v>
      </c>
      <c r="B20874" s="65"/>
    </row>
    <row r="20875" spans="1:2" x14ac:dyDescent="0.25">
      <c r="A20875" s="64" t="str">
        <f>HYPERLINK("http://www.twitter.com/PhenoNews", "PhenoNews")</f>
        <v>PhenoNews</v>
      </c>
      <c r="B20875" s="65" t="s">
        <v>9909</v>
      </c>
    </row>
    <row r="20876" spans="1:2" x14ac:dyDescent="0.25">
      <c r="A20876" s="64" t="str">
        <f>HYPERLINK("http://www.twitter.com/JSavageTweets", "JSavageTweets")</f>
        <v>JSavageTweets</v>
      </c>
      <c r="B20876" s="65" t="s">
        <v>9910</v>
      </c>
    </row>
    <row r="20877" spans="1:2" x14ac:dyDescent="0.25">
      <c r="A20877" s="64" t="str">
        <f>HYPERLINK("http://www.twitter.com/elspethwyllie", "elspethwyllie")</f>
        <v>elspethwyllie</v>
      </c>
      <c r="B20877" s="65" t="s">
        <v>36</v>
      </c>
    </row>
    <row r="20878" spans="1:2" x14ac:dyDescent="0.25">
      <c r="A20878" s="64" t="str">
        <f>HYPERLINK("http://www.twitter.com/norskieMN", "norskieMN")</f>
        <v>norskieMN</v>
      </c>
      <c r="B20878" s="65" t="s">
        <v>9911</v>
      </c>
    </row>
    <row r="20879" spans="1:2" x14ac:dyDescent="0.25">
      <c r="A20879" s="64" t="str">
        <f>HYPERLINK("http://www.twitter.com/kee20005", "kee20005")</f>
        <v>kee20005</v>
      </c>
      <c r="B20879" s="65"/>
    </row>
    <row r="20880" spans="1:2" x14ac:dyDescent="0.25">
      <c r="A20880" s="64" t="str">
        <f>HYPERLINK("http://www.twitter.com/britgolfmuseum", "britgolfmuseum")</f>
        <v>britgolfmuseum</v>
      </c>
      <c r="B20880" s="65" t="s">
        <v>396</v>
      </c>
    </row>
    <row r="20881" spans="1:2" x14ac:dyDescent="0.25">
      <c r="A20881" s="64" t="str">
        <f>HYPERLINK("http://www.twitter.com/carolburke92", "carolburke92")</f>
        <v>carolburke92</v>
      </c>
      <c r="B20881" s="65"/>
    </row>
    <row r="20882" spans="1:2" x14ac:dyDescent="0.25">
      <c r="A20882" s="64" t="str">
        <f>HYPERLINK("http://www.twitter.com/Casbo28", "Casbo28")</f>
        <v>Casbo28</v>
      </c>
      <c r="B20882" s="65" t="s">
        <v>24</v>
      </c>
    </row>
    <row r="20883" spans="1:2" x14ac:dyDescent="0.25">
      <c r="A20883" s="64" t="str">
        <f>HYPERLINK("http://www.twitter.com/Christs_Library", "Christs_Library")</f>
        <v>Christs_Library</v>
      </c>
      <c r="B20883" s="65" t="s">
        <v>3202</v>
      </c>
    </row>
    <row r="20884" spans="1:2" x14ac:dyDescent="0.25">
      <c r="A20884" s="64" t="str">
        <f>HYPERLINK("http://www.twitter.com/BeccaMeriel", "BeccaMeriel")</f>
        <v>BeccaMeriel</v>
      </c>
      <c r="B20884" s="65" t="s">
        <v>9912</v>
      </c>
    </row>
    <row r="20885" spans="1:2" x14ac:dyDescent="0.25">
      <c r="A20885" s="64" t="str">
        <f>HYPERLINK("http://www.twitter.com/swiller_lorna", "swiller_lorna")</f>
        <v>swiller_lorna</v>
      </c>
      <c r="B20885" s="65" t="s">
        <v>296</v>
      </c>
    </row>
    <row r="20886" spans="1:2" x14ac:dyDescent="0.25">
      <c r="A20886" s="64" t="str">
        <f>HYPERLINK("http://www.twitter.com/shalom_kumar", "shalom_kumar")</f>
        <v>shalom_kumar</v>
      </c>
      <c r="B20886" s="65" t="s">
        <v>4601</v>
      </c>
    </row>
    <row r="20887" spans="1:2" x14ac:dyDescent="0.25">
      <c r="A20887" s="64" t="str">
        <f>HYPERLINK("http://www.twitter.com/McfarlaneLesley", "McfarlaneLesley")</f>
        <v>McfarlaneLesley</v>
      </c>
      <c r="B20887" s="65" t="s">
        <v>9913</v>
      </c>
    </row>
    <row r="20888" spans="1:2" x14ac:dyDescent="0.25">
      <c r="A20888" s="64" t="str">
        <f>HYPERLINK("http://www.twitter.com/Jgreig74", "Jgreig74")</f>
        <v>Jgreig74</v>
      </c>
      <c r="B20888" s="65" t="s">
        <v>9914</v>
      </c>
    </row>
    <row r="20889" spans="1:2" x14ac:dyDescent="0.25">
      <c r="A20889" s="64" t="str">
        <f>HYPERLINK("http://www.twitter.com/bucketsTP", "bucketsTP")</f>
        <v>bucketsTP</v>
      </c>
      <c r="B20889" s="65" t="s">
        <v>9915</v>
      </c>
    </row>
    <row r="20890" spans="1:2" x14ac:dyDescent="0.25">
      <c r="A20890" s="64" t="str">
        <f>HYPERLINK("http://www.twitter.com/zkcmerve", "zkcmerve")</f>
        <v>zkcmerve</v>
      </c>
      <c r="B20890" s="65" t="s">
        <v>9916</v>
      </c>
    </row>
    <row r="20891" spans="1:2" x14ac:dyDescent="0.25">
      <c r="A20891" s="64" t="str">
        <f>HYPERLINK("http://www.twitter.com/blueuk808", "blueuk808")</f>
        <v>blueuk808</v>
      </c>
      <c r="B20891" s="65" t="s">
        <v>9917</v>
      </c>
    </row>
    <row r="20892" spans="1:2" x14ac:dyDescent="0.25">
      <c r="A20892" s="64" t="str">
        <f>HYPERLINK("http://www.twitter.com/MrsGratton", "MrsGratton")</f>
        <v>MrsGratton</v>
      </c>
      <c r="B20892" s="65" t="s">
        <v>9918</v>
      </c>
    </row>
    <row r="20893" spans="1:2" x14ac:dyDescent="0.25">
      <c r="A20893" s="64" t="str">
        <f>HYPERLINK("http://www.twitter.com/nec_tamen", "nec_tamen")</f>
        <v>nec_tamen</v>
      </c>
      <c r="B20893" s="65" t="s">
        <v>569</v>
      </c>
    </row>
    <row r="20894" spans="1:2" x14ac:dyDescent="0.25">
      <c r="A20894" s="64" t="str">
        <f>HYPERLINK("http://www.twitter.com/martian3102", "martian3102")</f>
        <v>martian3102</v>
      </c>
      <c r="B20894" s="65"/>
    </row>
    <row r="20895" spans="1:2" x14ac:dyDescent="0.25">
      <c r="A20895" s="64" t="str">
        <f>HYPERLINK("http://www.twitter.com/ryanbevan84", "ryanbevan84")</f>
        <v>ryanbevan84</v>
      </c>
      <c r="B20895" s="65"/>
    </row>
    <row r="20896" spans="1:2" x14ac:dyDescent="0.25">
      <c r="A20896" s="64" t="str">
        <f>HYPERLINK("http://www.twitter.com/neilkjames", "neilkjames")</f>
        <v>neilkjames</v>
      </c>
      <c r="B20896" s="65"/>
    </row>
    <row r="20897" spans="1:2" x14ac:dyDescent="0.25">
      <c r="A20897" s="64" t="str">
        <f>HYPERLINK("http://www.twitter.com/Ali3506", "Ali3506")</f>
        <v>Ali3506</v>
      </c>
      <c r="B20897" s="65" t="s">
        <v>8413</v>
      </c>
    </row>
    <row r="20898" spans="1:2" x14ac:dyDescent="0.25">
      <c r="A20898" s="64" t="str">
        <f>HYPERLINK("http://www.twitter.com/mrs_mundane", "mrs_mundane")</f>
        <v>mrs_mundane</v>
      </c>
      <c r="B20898" s="65"/>
    </row>
    <row r="20899" spans="1:2" x14ac:dyDescent="0.25">
      <c r="A20899" s="64" t="str">
        <f>HYPERLINK("http://www.twitter.com/kat5958", "kat5958")</f>
        <v>kat5958</v>
      </c>
      <c r="B20899" s="65" t="s">
        <v>808</v>
      </c>
    </row>
    <row r="20900" spans="1:2" x14ac:dyDescent="0.25">
      <c r="A20900" s="64" t="str">
        <f>HYPERLINK("http://www.twitter.com/jlf1000", "jlf1000")</f>
        <v>jlf1000</v>
      </c>
      <c r="B20900" s="65"/>
    </row>
    <row r="20901" spans="1:2" x14ac:dyDescent="0.25">
      <c r="A20901" s="64" t="str">
        <f>HYPERLINK("http://www.twitter.com/Rochelle4Real", "Rochelle4Real")</f>
        <v>Rochelle4Real</v>
      </c>
      <c r="B20901" s="65" t="s">
        <v>7728</v>
      </c>
    </row>
    <row r="20902" spans="1:2" x14ac:dyDescent="0.25">
      <c r="A20902" s="64" t="str">
        <f>HYPERLINK("http://www.twitter.com/Robert1295", "Robert1295")</f>
        <v>Robert1295</v>
      </c>
      <c r="B20902" s="65"/>
    </row>
    <row r="20903" spans="1:2" x14ac:dyDescent="0.25">
      <c r="A20903" s="64" t="str">
        <f>HYPERLINK("http://www.twitter.com/BalEngMedDram", "BalEngMedDram")</f>
        <v>BalEngMedDram</v>
      </c>
      <c r="B20903" s="65" t="s">
        <v>487</v>
      </c>
    </row>
    <row r="20904" spans="1:2" x14ac:dyDescent="0.25">
      <c r="A20904" s="64" t="str">
        <f>HYPERLINK("http://www.twitter.com/SewLittleToSay", "SewLittleToSay")</f>
        <v>SewLittleToSay</v>
      </c>
      <c r="B20904" s="65" t="s">
        <v>2631</v>
      </c>
    </row>
    <row r="20905" spans="1:2" x14ac:dyDescent="0.25">
      <c r="A20905" s="64" t="str">
        <f>HYPERLINK("http://www.twitter.com/themayfly", "themayfly")</f>
        <v>themayfly</v>
      </c>
      <c r="B20905" s="65" t="s">
        <v>2007</v>
      </c>
    </row>
    <row r="20906" spans="1:2" x14ac:dyDescent="0.25">
      <c r="A20906" s="64" t="str">
        <f>HYPERLINK("http://www.twitter.com/jumbleofwords", "jumbleofwords")</f>
        <v>jumbleofwords</v>
      </c>
      <c r="B20906" s="65" t="s">
        <v>310</v>
      </c>
    </row>
    <row r="20907" spans="1:2" x14ac:dyDescent="0.25">
      <c r="A20907" s="64" t="str">
        <f>HYPERLINK("http://www.twitter.com/littlemisshusky", "littlemisshusky")</f>
        <v>littlemisshusky</v>
      </c>
      <c r="B20907" s="65" t="s">
        <v>9919</v>
      </c>
    </row>
    <row r="20908" spans="1:2" x14ac:dyDescent="0.25">
      <c r="A20908" s="64" t="str">
        <f>HYPERLINK("http://www.twitter.com/carlintuppence", "carlintuppence")</f>
        <v>carlintuppence</v>
      </c>
      <c r="B20908" s="65"/>
    </row>
    <row r="20909" spans="1:2" x14ac:dyDescent="0.25">
      <c r="A20909" s="64" t="str">
        <f>HYPERLINK("http://www.twitter.com/mmargaretssmith", "mmargaretssmith")</f>
        <v>mmargaretssmith</v>
      </c>
      <c r="B20909" s="65" t="s">
        <v>318</v>
      </c>
    </row>
    <row r="20910" spans="1:2" x14ac:dyDescent="0.25">
      <c r="A20910" s="64" t="str">
        <f>HYPERLINK("http://www.twitter.com/smokymozzarella", "smokymozzarella")</f>
        <v>smokymozzarella</v>
      </c>
      <c r="B20910" s="65"/>
    </row>
    <row r="20911" spans="1:2" x14ac:dyDescent="0.25">
      <c r="A20911" s="64" t="str">
        <f>HYPERLINK("http://www.twitter.com/HelenMilburn", "HelenMilburn")</f>
        <v>HelenMilburn</v>
      </c>
      <c r="B20911" s="65" t="s">
        <v>487</v>
      </c>
    </row>
    <row r="20912" spans="1:2" x14ac:dyDescent="0.25">
      <c r="A20912" s="64" t="str">
        <f>HYPERLINK("http://www.twitter.com/Emma__Wray", "Emma__Wray")</f>
        <v>Emma__Wray</v>
      </c>
      <c r="B20912" s="65"/>
    </row>
    <row r="20913" spans="1:2" x14ac:dyDescent="0.25">
      <c r="A20913" s="64" t="str">
        <f>HYPERLINK("http://www.twitter.com/idrawfamuspeepl", "idrawfamuspeepl")</f>
        <v>idrawfamuspeepl</v>
      </c>
      <c r="B20913" s="65"/>
    </row>
    <row r="20914" spans="1:2" x14ac:dyDescent="0.25">
      <c r="A20914" s="64" t="str">
        <f>HYPERLINK("http://www.twitter.com/Ensign_Harford", "Ensign_Harford")</f>
        <v>Ensign_Harford</v>
      </c>
      <c r="B20914" s="65" t="s">
        <v>9920</v>
      </c>
    </row>
    <row r="20915" spans="1:2" x14ac:dyDescent="0.25">
      <c r="A20915" s="64" t="str">
        <f>HYPERLINK("http://www.twitter.com/BookShowRTE", "BookShowRTE")</f>
        <v>BookShowRTE</v>
      </c>
      <c r="B20915" s="65"/>
    </row>
    <row r="20916" spans="1:2" x14ac:dyDescent="0.25">
      <c r="A20916" s="64" t="str">
        <f>HYPERLINK("http://www.twitter.com/JenniferDBegg", "JenniferDBegg")</f>
        <v>JenniferDBegg</v>
      </c>
      <c r="B20916" s="65" t="s">
        <v>9921</v>
      </c>
    </row>
    <row r="20917" spans="1:2" x14ac:dyDescent="0.25">
      <c r="A20917" s="64" t="str">
        <f>HYPERLINK("http://www.twitter.com/patlawrence62", "patlawrence62")</f>
        <v>patlawrence62</v>
      </c>
      <c r="B20917" s="65"/>
    </row>
    <row r="20918" spans="1:2" x14ac:dyDescent="0.25">
      <c r="A20918" s="64" t="str">
        <f>HYPERLINK("http://www.twitter.com/SouthRonaldsay", "SouthRonaldsay")</f>
        <v>SouthRonaldsay</v>
      </c>
      <c r="B20918" s="65"/>
    </row>
    <row r="20919" spans="1:2" x14ac:dyDescent="0.25">
      <c r="A20919" s="64" t="str">
        <f>HYPERLINK("http://www.twitter.com/ASutters", "ASutters")</f>
        <v>ASutters</v>
      </c>
      <c r="B20919" s="65" t="s">
        <v>9922</v>
      </c>
    </row>
    <row r="20920" spans="1:2" x14ac:dyDescent="0.25">
      <c r="A20920" s="64" t="str">
        <f>HYPERLINK("http://www.twitter.com/nicoleniniyi", "nicoleniniyi")</f>
        <v>nicoleniniyi</v>
      </c>
      <c r="B20920" s="65" t="s">
        <v>9923</v>
      </c>
    </row>
    <row r="20921" spans="1:2" x14ac:dyDescent="0.25">
      <c r="A20921" s="64" t="str">
        <f>HYPERLINK("http://www.twitter.com/peartonjohnson", "peartonjohnson")</f>
        <v>peartonjohnson</v>
      </c>
      <c r="B20921" s="65"/>
    </row>
    <row r="20922" spans="1:2" x14ac:dyDescent="0.25">
      <c r="A20922" s="64" t="str">
        <f>HYPERLINK("http://www.twitter.com/juxtagon", "juxtagon")</f>
        <v>juxtagon</v>
      </c>
      <c r="B20922" s="65" t="s">
        <v>517</v>
      </c>
    </row>
    <row r="20923" spans="1:2" x14ac:dyDescent="0.25">
      <c r="A20923" s="64" t="str">
        <f>HYPERLINK("http://www.twitter.com/impaintingstars", "impaintingstars")</f>
        <v>impaintingstars</v>
      </c>
      <c r="B20923" s="65" t="s">
        <v>9924</v>
      </c>
    </row>
    <row r="20924" spans="1:2" x14ac:dyDescent="0.25">
      <c r="A20924" s="64" t="str">
        <f>HYPERLINK("http://www.twitter.com/morv49", "morv49")</f>
        <v>morv49</v>
      </c>
      <c r="B20924" s="65" t="s">
        <v>517</v>
      </c>
    </row>
    <row r="20925" spans="1:2" x14ac:dyDescent="0.25">
      <c r="A20925" s="64" t="str">
        <f>HYPERLINK("http://www.twitter.com/Ann77Cooper", "Ann77Cooper")</f>
        <v>Ann77Cooper</v>
      </c>
      <c r="B20925" s="65"/>
    </row>
    <row r="20926" spans="1:2" x14ac:dyDescent="0.25">
      <c r="A20926" s="64" t="str">
        <f>HYPERLINK("http://www.twitter.com/CCh1255", "CCh1255")</f>
        <v>CCh1255</v>
      </c>
      <c r="B20926" s="65" t="s">
        <v>4327</v>
      </c>
    </row>
    <row r="20927" spans="1:2" x14ac:dyDescent="0.25">
      <c r="A20927" s="64" t="str">
        <f>HYPERLINK("http://www.twitter.com/KelGF", "KelGF")</f>
        <v>KelGF</v>
      </c>
      <c r="B20927" s="65"/>
    </row>
    <row r="20928" spans="1:2" x14ac:dyDescent="0.25">
      <c r="A20928" s="64" t="str">
        <f>HYPERLINK("http://www.twitter.com/lauradavies24", "lauradavies24")</f>
        <v>lauradavies24</v>
      </c>
      <c r="B20928" s="65" t="s">
        <v>9925</v>
      </c>
    </row>
    <row r="20929" spans="1:2" x14ac:dyDescent="0.25">
      <c r="A20929" s="64" t="str">
        <f>HYPERLINK("http://www.twitter.com/diggrrl", "diggrrl")</f>
        <v>diggrrl</v>
      </c>
      <c r="B20929" s="65" t="s">
        <v>9926</v>
      </c>
    </row>
    <row r="20930" spans="1:2" x14ac:dyDescent="0.25">
      <c r="A20930" s="64" t="str">
        <f>HYPERLINK("http://www.twitter.com/pf280976", "pf280976")</f>
        <v>pf280976</v>
      </c>
      <c r="B20930" s="65" t="s">
        <v>517</v>
      </c>
    </row>
    <row r="20931" spans="1:2" x14ac:dyDescent="0.25">
      <c r="A20931" s="64" t="str">
        <f>HYPERLINK("http://www.twitter.com/khui07", "khui07")</f>
        <v>khui07</v>
      </c>
      <c r="B20931" s="65" t="s">
        <v>4273</v>
      </c>
    </row>
    <row r="20932" spans="1:2" x14ac:dyDescent="0.25">
      <c r="A20932" s="64" t="str">
        <f>HYPERLINK("http://www.twitter.com/andallthatstash", "andallthatstash")</f>
        <v>andallthatstash</v>
      </c>
      <c r="B20932" s="65" t="s">
        <v>36</v>
      </c>
    </row>
    <row r="20933" spans="1:2" x14ac:dyDescent="0.25">
      <c r="A20933" s="64" t="str">
        <f>HYPERLINK("http://www.twitter.com/LucyTranslator", "LucyTranslator")</f>
        <v>LucyTranslator</v>
      </c>
      <c r="B20933" s="65" t="s">
        <v>9927</v>
      </c>
    </row>
    <row r="20934" spans="1:2" x14ac:dyDescent="0.25">
      <c r="A20934" s="64" t="str">
        <f>HYPERLINK("http://www.twitter.com/comp_sct73", "comp_sct73")</f>
        <v>comp_sct73</v>
      </c>
      <c r="B20934" s="65"/>
    </row>
    <row r="20935" spans="1:2" x14ac:dyDescent="0.25">
      <c r="A20935" s="64" t="str">
        <f>HYPERLINK("http://www.twitter.com/Abby_loves_cake", "Abby_loves_cake")</f>
        <v>Abby_loves_cake</v>
      </c>
      <c r="B20935" s="65" t="s">
        <v>9928</v>
      </c>
    </row>
    <row r="20936" spans="1:2" x14ac:dyDescent="0.25">
      <c r="A20936" s="64" t="str">
        <f>HYPERLINK("http://www.twitter.com/Mathonar", "Mathonar")</f>
        <v>Mathonar</v>
      </c>
      <c r="B20936" s="65" t="s">
        <v>232</v>
      </c>
    </row>
    <row r="20937" spans="1:2" x14ac:dyDescent="0.25">
      <c r="A20937" s="64" t="str">
        <f>HYPERLINK("http://www.twitter.com/ClaireBakerMSP", "ClaireBakerMSP")</f>
        <v>ClaireBakerMSP</v>
      </c>
      <c r="B20937" s="65" t="s">
        <v>421</v>
      </c>
    </row>
    <row r="20938" spans="1:2" x14ac:dyDescent="0.25">
      <c r="A20938" s="64" t="str">
        <f>HYPERLINK("http://www.twitter.com/isleofcolonsay", "isleofcolonsay")</f>
        <v>isleofcolonsay</v>
      </c>
      <c r="B20938" s="65" t="s">
        <v>9597</v>
      </c>
    </row>
    <row r="20939" spans="1:2" x14ac:dyDescent="0.25">
      <c r="A20939" s="64" t="str">
        <f>HYPERLINK("http://www.twitter.com/StirlingReidos", "StirlingReidos")</f>
        <v>StirlingReidos</v>
      </c>
      <c r="B20939" s="65" t="s">
        <v>9929</v>
      </c>
    </row>
    <row r="20940" spans="1:2" x14ac:dyDescent="0.25">
      <c r="A20940" s="64" t="str">
        <f>HYPERLINK("http://www.twitter.com/gossy_b", "gossy_b")</f>
        <v>gossy_b</v>
      </c>
      <c r="B20940" s="65" t="s">
        <v>2602</v>
      </c>
    </row>
    <row r="20941" spans="1:2" x14ac:dyDescent="0.25">
      <c r="A20941" s="64" t="str">
        <f>HYPERLINK("http://www.twitter.com/DadsRockEdin", "DadsRockEdin")</f>
        <v>DadsRockEdin</v>
      </c>
      <c r="B20941" s="65" t="s">
        <v>487</v>
      </c>
    </row>
    <row r="20942" spans="1:2" x14ac:dyDescent="0.25">
      <c r="A20942" s="64" t="str">
        <f>HYPERLINK("http://www.twitter.com/Knittymu", "Knittymu")</f>
        <v>Knittymu</v>
      </c>
      <c r="B20942" s="65" t="s">
        <v>9262</v>
      </c>
    </row>
    <row r="20943" spans="1:2" x14ac:dyDescent="0.25">
      <c r="A20943" s="64" t="str">
        <f>HYPERLINK("http://www.twitter.com/ParryKylie", "ParryKylie")</f>
        <v>ParryKylie</v>
      </c>
      <c r="B20943" s="65" t="s">
        <v>9930</v>
      </c>
    </row>
    <row r="20944" spans="1:2" x14ac:dyDescent="0.25">
      <c r="A20944" s="64" t="str">
        <f>HYPERLINK("http://www.twitter.com/McDermottQC", "McDermottQC")</f>
        <v>McDermottQC</v>
      </c>
      <c r="B20944" s="65"/>
    </row>
    <row r="20945" spans="1:2" x14ac:dyDescent="0.25">
      <c r="A20945" s="64" t="str">
        <f>HYPERLINK("http://www.twitter.com/amandarasmussen", "amandarasmussen")</f>
        <v>amandarasmussen</v>
      </c>
      <c r="B20945" s="65" t="s">
        <v>4147</v>
      </c>
    </row>
    <row r="20946" spans="1:2" x14ac:dyDescent="0.25">
      <c r="A20946" s="64" t="str">
        <f>HYPERLINK("http://www.twitter.com/BethanLlyfrgell", "BethanLlyfrgell")</f>
        <v>BethanLlyfrgell</v>
      </c>
      <c r="B20946" s="65" t="s">
        <v>9931</v>
      </c>
    </row>
    <row r="20947" spans="1:2" x14ac:dyDescent="0.25">
      <c r="A20947" s="64" t="str">
        <f>HYPERLINK("http://www.twitter.com/payneyofmount", "payneyofmount")</f>
        <v>payneyofmount</v>
      </c>
      <c r="B20947" s="65"/>
    </row>
    <row r="20948" spans="1:2" x14ac:dyDescent="0.25">
      <c r="A20948" s="64" t="str">
        <f>HYPERLINK("http://www.twitter.com/PaulaLWaters", "PaulaLWaters")</f>
        <v>PaulaLWaters</v>
      </c>
      <c r="B20948" s="65" t="s">
        <v>2185</v>
      </c>
    </row>
    <row r="20949" spans="1:2" x14ac:dyDescent="0.25">
      <c r="A20949" s="64" t="str">
        <f>HYPERLINK("http://www.twitter.com/buckleup", "buckleup")</f>
        <v>buckleup</v>
      </c>
      <c r="B20949" s="65" t="s">
        <v>4237</v>
      </c>
    </row>
    <row r="20950" spans="1:2" x14ac:dyDescent="0.25">
      <c r="A20950" s="64" t="str">
        <f>HYPERLINK("http://www.twitter.com/fbtrail", "fbtrail")</f>
        <v>fbtrail</v>
      </c>
      <c r="B20950" s="65"/>
    </row>
    <row r="20951" spans="1:2" x14ac:dyDescent="0.25">
      <c r="A20951" s="64" t="str">
        <f>HYPERLINK("http://www.twitter.com/LauraSparling", "LauraSparling")</f>
        <v>LauraSparling</v>
      </c>
      <c r="B20951" s="65" t="s">
        <v>788</v>
      </c>
    </row>
    <row r="20952" spans="1:2" x14ac:dyDescent="0.25">
      <c r="A20952" s="64" t="str">
        <f>HYPERLINK("http://www.twitter.com/Cataranda", "Cataranda")</f>
        <v>Cataranda</v>
      </c>
      <c r="B20952" s="65"/>
    </row>
    <row r="20953" spans="1:2" x14ac:dyDescent="0.25">
      <c r="A20953" s="64" t="str">
        <f>HYPERLINK("http://www.twitter.com/badfatcat3", "badfatcat3")</f>
        <v>badfatcat3</v>
      </c>
      <c r="B20953" s="65"/>
    </row>
    <row r="20954" spans="1:2" x14ac:dyDescent="0.25">
      <c r="A20954" s="64" t="str">
        <f>HYPERLINK("http://www.twitter.com/riley_john", "riley_john")</f>
        <v>riley_john</v>
      </c>
      <c r="B20954" s="65"/>
    </row>
    <row r="20955" spans="1:2" x14ac:dyDescent="0.25">
      <c r="A20955" s="64" t="str">
        <f>HYPERLINK("http://www.twitter.com/mariegr3", "mariegr3")</f>
        <v>mariegr3</v>
      </c>
      <c r="B20955" s="65"/>
    </row>
    <row r="20956" spans="1:2" x14ac:dyDescent="0.25">
      <c r="A20956" s="64" t="str">
        <f>HYPERLINK("http://www.twitter.com/thefibermouse", "thefibermouse")</f>
        <v>thefibermouse</v>
      </c>
      <c r="B20956" s="65" t="s">
        <v>8670</v>
      </c>
    </row>
    <row r="20957" spans="1:2" x14ac:dyDescent="0.25">
      <c r="A20957" s="64" t="str">
        <f>HYPERLINK("http://www.twitter.com/AndrewMDavidson", "AndrewMDavidson")</f>
        <v>AndrewMDavidson</v>
      </c>
      <c r="B20957" s="65" t="s">
        <v>3799</v>
      </c>
    </row>
    <row r="20958" spans="1:2" x14ac:dyDescent="0.25">
      <c r="A20958" s="64" t="str">
        <f>HYPERLINK("http://www.twitter.com/ShropInfo", "ShropInfo")</f>
        <v>ShropInfo</v>
      </c>
      <c r="B20958" s="65" t="s">
        <v>2185</v>
      </c>
    </row>
    <row r="20959" spans="1:2" x14ac:dyDescent="0.25">
      <c r="A20959" s="64" t="str">
        <f>HYPERLINK("http://www.twitter.com/DooferDog", "DooferDog")</f>
        <v>DooferDog</v>
      </c>
      <c r="B20959" s="65" t="s">
        <v>1537</v>
      </c>
    </row>
    <row r="20960" spans="1:2" x14ac:dyDescent="0.25">
      <c r="A20960" s="64" t="str">
        <f>HYPERLINK("http://www.twitter.com/GroveBookshop", "GroveBookshop")</f>
        <v>GroveBookshop</v>
      </c>
      <c r="B20960" s="65" t="s">
        <v>9932</v>
      </c>
    </row>
    <row r="20961" spans="1:2" x14ac:dyDescent="0.25">
      <c r="A20961" s="64" t="str">
        <f>HYPERLINK("http://www.twitter.com/Nic_Kerr74", "Nic_Kerr74")</f>
        <v>Nic_Kerr74</v>
      </c>
      <c r="B20961" s="65" t="s">
        <v>517</v>
      </c>
    </row>
    <row r="20962" spans="1:2" x14ac:dyDescent="0.25">
      <c r="A20962" s="64" t="str">
        <f>HYPERLINK("http://www.twitter.com/MariaHiggins1", "MariaHiggins1")</f>
        <v>MariaHiggins1</v>
      </c>
      <c r="B20962" s="65"/>
    </row>
    <row r="20963" spans="1:2" x14ac:dyDescent="0.25">
      <c r="A20963" s="64" t="str">
        <f>HYPERLINK("http://www.twitter.com/steveprentice", "steveprentice")</f>
        <v>steveprentice</v>
      </c>
      <c r="B20963" s="65" t="s">
        <v>711</v>
      </c>
    </row>
    <row r="20964" spans="1:2" x14ac:dyDescent="0.25">
      <c r="A20964" s="64" t="str">
        <f>HYPERLINK("http://www.twitter.com/_smidge", "_smidge")</f>
        <v>_smidge</v>
      </c>
      <c r="B20964" s="65" t="s">
        <v>487</v>
      </c>
    </row>
    <row r="20965" spans="1:2" x14ac:dyDescent="0.25">
      <c r="A20965" s="64" t="str">
        <f>HYPERLINK("http://www.twitter.com/sarahleeyoga", "sarahleeyoga")</f>
        <v>sarahleeyoga</v>
      </c>
      <c r="B20965" s="65" t="s">
        <v>9933</v>
      </c>
    </row>
    <row r="20966" spans="1:2" x14ac:dyDescent="0.25">
      <c r="A20966" s="64" t="str">
        <f>HYPERLINK("http://www.twitter.com/Kmblance", "Kmblance")</f>
        <v>Kmblance</v>
      </c>
      <c r="B20966" s="65" t="s">
        <v>24</v>
      </c>
    </row>
    <row r="20967" spans="1:2" x14ac:dyDescent="0.25">
      <c r="A20967" s="64" t="str">
        <f>HYPERLINK("http://www.twitter.com/DarbyshireMike", "DarbyshireMike")</f>
        <v>DarbyshireMike</v>
      </c>
      <c r="B20967" s="65" t="s">
        <v>9934</v>
      </c>
    </row>
    <row r="20968" spans="1:2" x14ac:dyDescent="0.25">
      <c r="A20968" s="64" t="str">
        <f>HYPERLINK("http://www.twitter.com/bigrainyday", "bigrainyday")</f>
        <v>bigrainyday</v>
      </c>
      <c r="B20968" s="65" t="s">
        <v>24</v>
      </c>
    </row>
    <row r="20969" spans="1:2" x14ac:dyDescent="0.25">
      <c r="A20969" s="64" t="str">
        <f>HYPERLINK("http://www.twitter.com/sebemina", "sebemina")</f>
        <v>sebemina</v>
      </c>
      <c r="B20969" s="65" t="s">
        <v>9935</v>
      </c>
    </row>
    <row r="20970" spans="1:2" x14ac:dyDescent="0.25">
      <c r="A20970" s="64" t="str">
        <f>HYPERLINK("http://www.twitter.com/perthcityswim", "perthcityswim")</f>
        <v>perthcityswim</v>
      </c>
      <c r="B20970" s="65" t="s">
        <v>3773</v>
      </c>
    </row>
    <row r="20971" spans="1:2" x14ac:dyDescent="0.25">
      <c r="A20971" s="64" t="str">
        <f>HYPERLINK("http://www.twitter.com/davidpotts", "davidpotts")</f>
        <v>davidpotts</v>
      </c>
      <c r="B20971" s="65" t="s">
        <v>3665</v>
      </c>
    </row>
    <row r="20972" spans="1:2" x14ac:dyDescent="0.25">
      <c r="A20972" s="64" t="str">
        <f>HYPERLINK("http://www.twitter.com/theunsungs", "theunsungs")</f>
        <v>theunsungs</v>
      </c>
      <c r="B20972" s="65" t="s">
        <v>36</v>
      </c>
    </row>
    <row r="20973" spans="1:2" x14ac:dyDescent="0.25">
      <c r="A20973" s="64" t="str">
        <f>HYPERLINK("http://www.twitter.com/bwhitneybeth", "bwhitneybeth")</f>
        <v>bwhitneybeth</v>
      </c>
      <c r="B20973" s="65"/>
    </row>
    <row r="20974" spans="1:2" x14ac:dyDescent="0.25">
      <c r="A20974" s="64" t="str">
        <f>HYPERLINK("http://www.twitter.com/ParkesLibrary", "ParkesLibrary")</f>
        <v>ParkesLibrary</v>
      </c>
      <c r="B20974" s="65" t="s">
        <v>9936</v>
      </c>
    </row>
    <row r="20975" spans="1:2" x14ac:dyDescent="0.25">
      <c r="A20975" s="64" t="str">
        <f>HYPERLINK("http://www.twitter.com/JojoSheehan", "JojoSheehan")</f>
        <v>JojoSheehan</v>
      </c>
      <c r="B20975" s="65"/>
    </row>
    <row r="20976" spans="1:2" x14ac:dyDescent="0.25">
      <c r="A20976" s="64" t="str">
        <f>HYPERLINK("http://www.twitter.com/SkateRumple", "SkateRumple")</f>
        <v>SkateRumple</v>
      </c>
      <c r="B20976" s="65" t="s">
        <v>9937</v>
      </c>
    </row>
    <row r="20977" spans="1:2" x14ac:dyDescent="0.25">
      <c r="A20977" s="64" t="str">
        <f>HYPERLINK("http://www.twitter.com/Talking_Spheres", "Talking_Spheres")</f>
        <v>Talking_Spheres</v>
      </c>
      <c r="B20977" s="65" t="s">
        <v>9938</v>
      </c>
    </row>
    <row r="20978" spans="1:2" x14ac:dyDescent="0.25">
      <c r="A20978" s="64" t="str">
        <f>HYPERLINK("http://www.twitter.com/MediaCymoedd", "MediaCymoedd")</f>
        <v>MediaCymoedd</v>
      </c>
      <c r="B20978" s="65" t="s">
        <v>9939</v>
      </c>
    </row>
    <row r="20979" spans="1:2" x14ac:dyDescent="0.25">
      <c r="A20979" s="64" t="str">
        <f>HYPERLINK("http://www.twitter.com/frances_hopkins", "frances_hopkins")</f>
        <v>frances_hopkins</v>
      </c>
      <c r="B20979" s="65" t="s">
        <v>5970</v>
      </c>
    </row>
    <row r="20980" spans="1:2" x14ac:dyDescent="0.25">
      <c r="A20980" s="64" t="str">
        <f>HYPERLINK("http://www.twitter.com/ArtlinkEdin", "ArtlinkEdin")</f>
        <v>ArtlinkEdin</v>
      </c>
      <c r="B20980" s="65" t="s">
        <v>24</v>
      </c>
    </row>
    <row r="20981" spans="1:2" x14ac:dyDescent="0.25">
      <c r="A20981" s="64" t="str">
        <f>HYPERLINK("http://www.twitter.com/NoraKathleenM", "NoraKathleenM")</f>
        <v>NoraKathleenM</v>
      </c>
      <c r="B20981" s="65" t="s">
        <v>36</v>
      </c>
    </row>
    <row r="20982" spans="1:2" x14ac:dyDescent="0.25">
      <c r="A20982" s="64" t="str">
        <f>HYPERLINK("http://www.twitter.com/chrisellaway", "chrisellaway")</f>
        <v>chrisellaway</v>
      </c>
      <c r="B20982" s="65"/>
    </row>
    <row r="20983" spans="1:2" x14ac:dyDescent="0.25">
      <c r="A20983" s="64" t="str">
        <f>HYPERLINK("http://www.twitter.com/nlsimaging", "nlsimaging")</f>
        <v>nlsimaging</v>
      </c>
      <c r="B20983" s="65" t="s">
        <v>487</v>
      </c>
    </row>
    <row r="20984" spans="1:2" x14ac:dyDescent="0.25">
      <c r="A20984" s="64" t="str">
        <f>HYPERLINK("http://www.twitter.com/RCNLibraries", "RCNLibraries")</f>
        <v>RCNLibraries</v>
      </c>
      <c r="B20984" s="65" t="s">
        <v>557</v>
      </c>
    </row>
    <row r="20985" spans="1:2" x14ac:dyDescent="0.25">
      <c r="A20985" s="64" t="str">
        <f>HYPERLINK("http://www.twitter.com/djadams77", "djadams77")</f>
        <v>djadams77</v>
      </c>
      <c r="B20985" s="65"/>
    </row>
    <row r="20986" spans="1:2" x14ac:dyDescent="0.25">
      <c r="A20986" s="64" t="str">
        <f>HYPERLINK("http://www.twitter.com/inkpapertime", "inkpapertime")</f>
        <v>inkpapertime</v>
      </c>
      <c r="B20986" s="65"/>
    </row>
    <row r="20987" spans="1:2" x14ac:dyDescent="0.25">
      <c r="A20987" s="64" t="str">
        <f>HYPERLINK("http://www.twitter.com/amycrossmenzies", "amycrossmenzies")</f>
        <v>amycrossmenzies</v>
      </c>
      <c r="B20987" s="65" t="s">
        <v>9940</v>
      </c>
    </row>
    <row r="20988" spans="1:2" x14ac:dyDescent="0.25">
      <c r="A20988" s="64" t="str">
        <f>HYPERLINK("http://www.twitter.com/ClairWals", "ClairWals")</f>
        <v>ClairWals</v>
      </c>
      <c r="B20988" s="65" t="s">
        <v>9941</v>
      </c>
    </row>
    <row r="20989" spans="1:2" x14ac:dyDescent="0.25">
      <c r="A20989" s="64" t="str">
        <f>HYPERLINK("http://www.twitter.com/apilot70", "apilot70")</f>
        <v>apilot70</v>
      </c>
      <c r="B20989" s="65"/>
    </row>
    <row r="20990" spans="1:2" x14ac:dyDescent="0.25">
      <c r="A20990" s="64" t="str">
        <f>HYPERLINK("http://www.twitter.com/KarenEKPhotos", "KarenEKPhotos")</f>
        <v>KarenEKPhotos</v>
      </c>
      <c r="B20990" s="65" t="s">
        <v>4868</v>
      </c>
    </row>
    <row r="20991" spans="1:2" x14ac:dyDescent="0.25">
      <c r="A20991" s="64" t="str">
        <f>HYPERLINK("http://www.twitter.com/StridentPublish", "StridentPublish")</f>
        <v>StridentPublish</v>
      </c>
      <c r="B20991" s="65" t="s">
        <v>70</v>
      </c>
    </row>
    <row r="20992" spans="1:2" x14ac:dyDescent="0.25">
      <c r="A20992" s="64" t="str">
        <f>HYPERLINK("http://www.twitter.com/CloudwatcherUno", "CloudwatcherUno")</f>
        <v>CloudwatcherUno</v>
      </c>
      <c r="B20992" s="65" t="s">
        <v>9942</v>
      </c>
    </row>
    <row r="20993" spans="1:2" x14ac:dyDescent="0.25">
      <c r="A20993" s="64" t="str">
        <f>HYPERLINK("http://www.twitter.com/foubikr", "foubikr")</f>
        <v>foubikr</v>
      </c>
      <c r="B20993" s="65"/>
    </row>
    <row r="20994" spans="1:2" x14ac:dyDescent="0.25">
      <c r="A20994" s="64" t="str">
        <f>HYPERLINK("http://www.twitter.com/StevenMcMenemy", "StevenMcMenemy")</f>
        <v>StevenMcMenemy</v>
      </c>
      <c r="B20994" s="65" t="s">
        <v>232</v>
      </c>
    </row>
    <row r="20995" spans="1:2" x14ac:dyDescent="0.25">
      <c r="A20995" s="64" t="str">
        <f>HYPERLINK("http://www.twitter.com/chrisjhwilson", "chrisjhwilson")</f>
        <v>chrisjhwilson</v>
      </c>
      <c r="B20995" s="65" t="s">
        <v>9943</v>
      </c>
    </row>
    <row r="20996" spans="1:2" x14ac:dyDescent="0.25">
      <c r="A20996" s="64" t="str">
        <f>HYPERLINK("http://www.twitter.com/bibwetteren", "bibwetteren")</f>
        <v>bibwetteren</v>
      </c>
      <c r="B20996" s="65" t="s">
        <v>9944</v>
      </c>
    </row>
    <row r="20997" spans="1:2" x14ac:dyDescent="0.25">
      <c r="A20997" s="64" t="str">
        <f>HYPERLINK("http://www.twitter.com/Oshine261", "Oshine261")</f>
        <v>Oshine261</v>
      </c>
      <c r="B20997" s="65"/>
    </row>
    <row r="20998" spans="1:2" x14ac:dyDescent="0.25">
      <c r="A20998" s="64" t="str">
        <f>HYPERLINK("http://www.twitter.com/ramensoft", "ramensoft")</f>
        <v>ramensoft</v>
      </c>
      <c r="B20998" s="65" t="s">
        <v>1482</v>
      </c>
    </row>
    <row r="20999" spans="1:2" x14ac:dyDescent="0.25">
      <c r="A20999" s="64" t="str">
        <f>HYPERLINK("http://www.twitter.com/cjbrom", "cjbrom")</f>
        <v>cjbrom</v>
      </c>
      <c r="B20999" s="65" t="s">
        <v>4436</v>
      </c>
    </row>
    <row r="21000" spans="1:2" x14ac:dyDescent="0.25">
      <c r="A21000" s="64" t="str">
        <f>HYPERLINK("http://www.twitter.com/Marajade69", "Marajade69")</f>
        <v>Marajade69</v>
      </c>
      <c r="B21000" s="65"/>
    </row>
    <row r="21001" spans="1:2" x14ac:dyDescent="0.25">
      <c r="A21001" s="64" t="str">
        <f>HYPERLINK("http://www.twitter.com/Roneee_M", "Roneee_M")</f>
        <v>Roneee_M</v>
      </c>
      <c r="B21001" s="65" t="s">
        <v>427</v>
      </c>
    </row>
    <row r="21002" spans="1:2" x14ac:dyDescent="0.25">
      <c r="A21002" s="64" t="str">
        <f>HYPERLINK("http://www.twitter.com/fraserjbwalker", "fraserjbwalker")</f>
        <v>fraserjbwalker</v>
      </c>
      <c r="B21002" s="65" t="s">
        <v>4829</v>
      </c>
    </row>
    <row r="21003" spans="1:2" x14ac:dyDescent="0.25">
      <c r="A21003" s="64" t="str">
        <f>HYPERLINK("http://www.twitter.com/lizziebooks", "lizziebooks")</f>
        <v>lizziebooks</v>
      </c>
      <c r="B21003" s="65" t="s">
        <v>6452</v>
      </c>
    </row>
    <row r="21004" spans="1:2" x14ac:dyDescent="0.25">
      <c r="A21004" s="64" t="str">
        <f>HYPERLINK("http://www.twitter.com/DorsetMag", "DorsetMag")</f>
        <v>DorsetMag</v>
      </c>
      <c r="B21004" s="65" t="s">
        <v>3262</v>
      </c>
    </row>
    <row r="21005" spans="1:2" x14ac:dyDescent="0.25">
      <c r="A21005" s="64" t="str">
        <f>HYPERLINK("http://www.twitter.com/hollynick", "hollynick")</f>
        <v>hollynick</v>
      </c>
      <c r="B21005" s="65" t="s">
        <v>4533</v>
      </c>
    </row>
    <row r="21006" spans="1:2" x14ac:dyDescent="0.25">
      <c r="A21006" s="64" t="str">
        <f>HYPERLINK("http://www.twitter.com/Leila_Creative", "Leila_Creative")</f>
        <v>Leila_Creative</v>
      </c>
      <c r="B21006" s="65" t="s">
        <v>4040</v>
      </c>
    </row>
    <row r="21007" spans="1:2" x14ac:dyDescent="0.25">
      <c r="A21007" s="64" t="str">
        <f>HYPERLINK("http://www.twitter.com/OutlandishTour", "OutlandishTour")</f>
        <v>OutlandishTour</v>
      </c>
      <c r="B21007" s="65" t="s">
        <v>70</v>
      </c>
    </row>
    <row r="21008" spans="1:2" x14ac:dyDescent="0.25">
      <c r="A21008" s="64" t="str">
        <f>HYPERLINK("http://www.twitter.com/agnesmartin99", "agnesmartin99")</f>
        <v>agnesmartin99</v>
      </c>
      <c r="B21008" s="65"/>
    </row>
    <row r="21009" spans="1:2" x14ac:dyDescent="0.25">
      <c r="A21009" s="64" t="str">
        <f>HYPERLINK("http://www.twitter.com/VHX3", "VHX3")</f>
        <v>VHX3</v>
      </c>
      <c r="B21009" s="65" t="s">
        <v>4118</v>
      </c>
    </row>
    <row r="21010" spans="1:2" x14ac:dyDescent="0.25">
      <c r="A21010" s="64" t="str">
        <f>HYPERLINK("http://www.twitter.com/oldscotcan", "oldscotcan")</f>
        <v>oldscotcan</v>
      </c>
      <c r="B21010" s="65" t="s">
        <v>9945</v>
      </c>
    </row>
    <row r="21011" spans="1:2" x14ac:dyDescent="0.25">
      <c r="A21011" s="64" t="str">
        <f>HYPERLINK("http://www.twitter.com/andydavey", "andydavey")</f>
        <v>andydavey</v>
      </c>
      <c r="B21011" s="65" t="s">
        <v>4436</v>
      </c>
    </row>
    <row r="21012" spans="1:2" x14ac:dyDescent="0.25">
      <c r="A21012" s="64" t="str">
        <f>HYPERLINK("http://www.twitter.com/WhitebaitJ", "WhitebaitJ")</f>
        <v>WhitebaitJ</v>
      </c>
      <c r="B21012" s="65" t="s">
        <v>9946</v>
      </c>
    </row>
    <row r="21013" spans="1:2" x14ac:dyDescent="0.25">
      <c r="A21013" s="64" t="str">
        <f>HYPERLINK("http://www.twitter.com/careyjo113", "careyjo113")</f>
        <v>careyjo113</v>
      </c>
      <c r="B21013" s="65" t="s">
        <v>9947</v>
      </c>
    </row>
    <row r="21014" spans="1:2" x14ac:dyDescent="0.25">
      <c r="A21014" s="64" t="str">
        <f>HYPERLINK("http://www.twitter.com/EilScan", "EilScan")</f>
        <v>EilScan</v>
      </c>
      <c r="B21014" s="65" t="s">
        <v>4254</v>
      </c>
    </row>
    <row r="21015" spans="1:2" x14ac:dyDescent="0.25">
      <c r="A21015" s="64" t="str">
        <f>HYPERLINK("http://www.twitter.com/Philippa_Perry", "Philippa_Perry")</f>
        <v>Philippa_Perry</v>
      </c>
      <c r="B21015" s="65" t="s">
        <v>110</v>
      </c>
    </row>
    <row r="21016" spans="1:2" x14ac:dyDescent="0.25">
      <c r="A21016" s="64" t="str">
        <f>HYPERLINK("http://www.twitter.com/curiousiguana", "curiousiguana")</f>
        <v>curiousiguana</v>
      </c>
      <c r="B21016" s="65" t="s">
        <v>9948</v>
      </c>
    </row>
    <row r="21017" spans="1:2" x14ac:dyDescent="0.25">
      <c r="A21017" s="64" t="str">
        <f>HYPERLINK("http://www.twitter.com/Hecate90", "Hecate90")</f>
        <v>Hecate90</v>
      </c>
      <c r="B21017" s="65"/>
    </row>
    <row r="21018" spans="1:2" x14ac:dyDescent="0.25">
      <c r="A21018" s="64" t="str">
        <f>HYPERLINK("http://www.twitter.com/HensonHorse", "HensonHorse")</f>
        <v>HensonHorse</v>
      </c>
      <c r="B21018" s="65"/>
    </row>
    <row r="21019" spans="1:2" x14ac:dyDescent="0.25">
      <c r="A21019" s="64" t="str">
        <f>HYPERLINK("http://www.twitter.com/tinaweyll", "tinaweyll")</f>
        <v>tinaweyll</v>
      </c>
      <c r="B21019" s="65" t="s">
        <v>6894</v>
      </c>
    </row>
    <row r="21020" spans="1:2" x14ac:dyDescent="0.25">
      <c r="A21020" s="64" t="str">
        <f>HYPERLINK("http://www.twitter.com/Finona2014", "Finona2014")</f>
        <v>Finona2014</v>
      </c>
      <c r="B21020" s="65"/>
    </row>
    <row r="21021" spans="1:2" x14ac:dyDescent="0.25">
      <c r="A21021" s="64" t="str">
        <f>HYPERLINK("http://www.twitter.com/thelightoutside", "thelightoutside")</f>
        <v>thelightoutside</v>
      </c>
      <c r="B21021" s="65" t="s">
        <v>9949</v>
      </c>
    </row>
    <row r="21022" spans="1:2" x14ac:dyDescent="0.25">
      <c r="A21022" s="64" t="str">
        <f>HYPERLINK("http://www.twitter.com/miekohayashi", "miekohayashi")</f>
        <v>miekohayashi</v>
      </c>
      <c r="B21022" s="65" t="s">
        <v>9950</v>
      </c>
    </row>
    <row r="21023" spans="1:2" x14ac:dyDescent="0.25">
      <c r="A21023" s="64" t="str">
        <f>HYPERLINK("http://www.twitter.com/nomolos56", "nomolos56")</f>
        <v>nomolos56</v>
      </c>
      <c r="B21023" s="65" t="s">
        <v>9951</v>
      </c>
    </row>
    <row r="21024" spans="1:2" x14ac:dyDescent="0.25">
      <c r="A21024" s="64" t="str">
        <f>HYPERLINK("http://www.twitter.com/MumwithaviewUK", "MumwithaviewUK")</f>
        <v>MumwithaviewUK</v>
      </c>
      <c r="B21024" s="65" t="s">
        <v>36</v>
      </c>
    </row>
    <row r="21025" spans="1:2" x14ac:dyDescent="0.25">
      <c r="A21025" s="64" t="str">
        <f>HYPERLINK("http://www.twitter.com/infoactivist", "infoactivist")</f>
        <v>infoactivist</v>
      </c>
      <c r="B21025" s="65" t="s">
        <v>6054</v>
      </c>
    </row>
    <row r="21026" spans="1:2" x14ac:dyDescent="0.25">
      <c r="A21026" s="64" t="str">
        <f>HYPERLINK("http://www.twitter.com/mizjwilliams", "mizjwilliams")</f>
        <v>mizjwilliams</v>
      </c>
      <c r="B21026" s="65" t="s">
        <v>9952</v>
      </c>
    </row>
    <row r="21027" spans="1:2" x14ac:dyDescent="0.25">
      <c r="A21027" s="64" t="str">
        <f>HYPERLINK("http://www.twitter.com/_emilyoram", "_emilyoram")</f>
        <v>_emilyoram</v>
      </c>
      <c r="B21027" s="65" t="s">
        <v>477</v>
      </c>
    </row>
    <row r="21028" spans="1:2" x14ac:dyDescent="0.25">
      <c r="A21028" s="64" t="str">
        <f>HYPERLINK("http://www.twitter.com/triciakings", "triciakings")</f>
        <v>triciakings</v>
      </c>
      <c r="B21028" s="65"/>
    </row>
    <row r="21029" spans="1:2" x14ac:dyDescent="0.25">
      <c r="A21029" s="64" t="str">
        <f>HYPERLINK("http://www.twitter.com/morningsidejohn", "morningsidejohn")</f>
        <v>morningsidejohn</v>
      </c>
      <c r="B21029" s="65"/>
    </row>
    <row r="21030" spans="1:2" x14ac:dyDescent="0.25">
      <c r="A21030" s="64" t="str">
        <f>HYPERLINK("http://www.twitter.com/LSProductions", "LSProductions")</f>
        <v>LSProductions</v>
      </c>
      <c r="B21030" s="65" t="s">
        <v>9953</v>
      </c>
    </row>
    <row r="21031" spans="1:2" x14ac:dyDescent="0.25">
      <c r="A21031" s="64" t="str">
        <f>HYPERLINK("http://www.twitter.com/STGAGuides", "STGAGuides")</f>
        <v>STGAGuides</v>
      </c>
      <c r="B21031" s="65" t="s">
        <v>517</v>
      </c>
    </row>
    <row r="21032" spans="1:2" x14ac:dyDescent="0.25">
      <c r="A21032" s="64" t="str">
        <f>HYPERLINK("http://www.twitter.com/ramirekani", "ramirekani")</f>
        <v>ramirekani</v>
      </c>
      <c r="B21032" s="65" t="s">
        <v>9954</v>
      </c>
    </row>
    <row r="21033" spans="1:2" x14ac:dyDescent="0.25">
      <c r="A21033" s="64" t="str">
        <f>HYPERLINK("http://www.twitter.com/ZetaBooks", "ZetaBooks")</f>
        <v>ZetaBooks</v>
      </c>
      <c r="B21033" s="65" t="s">
        <v>9955</v>
      </c>
    </row>
    <row r="21034" spans="1:2" x14ac:dyDescent="0.25">
      <c r="A21034" s="64" t="str">
        <f>HYPERLINK("http://www.twitter.com/DebTibbert", "DebTibbert")</f>
        <v>DebTibbert</v>
      </c>
      <c r="B21034" s="65"/>
    </row>
    <row r="21035" spans="1:2" x14ac:dyDescent="0.25">
      <c r="A21035" s="64" t="str">
        <f>HYPERLINK("http://www.twitter.com/BiblioDeb", "BiblioDeb")</f>
        <v>BiblioDeb</v>
      </c>
      <c r="B21035" s="65" t="s">
        <v>8731</v>
      </c>
    </row>
    <row r="21036" spans="1:2" x14ac:dyDescent="0.25">
      <c r="A21036" s="64" t="str">
        <f>HYPERLINK("http://www.twitter.com/9helen4", "9helen4")</f>
        <v>9helen4</v>
      </c>
      <c r="B21036" s="65" t="s">
        <v>9956</v>
      </c>
    </row>
    <row r="21037" spans="1:2" x14ac:dyDescent="0.25">
      <c r="A21037" s="64" t="str">
        <f>HYPERLINK("http://www.twitter.com/RebeccaHewitt41", "RebeccaHewitt41")</f>
        <v>RebeccaHewitt41</v>
      </c>
      <c r="B21037" s="65"/>
    </row>
    <row r="21038" spans="1:2" x14ac:dyDescent="0.25">
      <c r="A21038" s="64" t="str">
        <f>HYPERLINK("http://www.twitter.com/EmmaPeattie", "EmmaPeattie")</f>
        <v>EmmaPeattie</v>
      </c>
      <c r="B21038" s="65" t="s">
        <v>355</v>
      </c>
    </row>
    <row r="21039" spans="1:2" x14ac:dyDescent="0.25">
      <c r="A21039" s="64" t="str">
        <f>HYPERLINK("http://www.twitter.com/FXLibrary", "FXLibrary")</f>
        <v>FXLibrary</v>
      </c>
      <c r="B21039" s="65" t="s">
        <v>1353</v>
      </c>
    </row>
    <row r="21040" spans="1:2" x14ac:dyDescent="0.25">
      <c r="A21040" s="64" t="str">
        <f>HYPERLINK("http://www.twitter.com/fivekingdoms", "fivekingdoms")</f>
        <v>fivekingdoms</v>
      </c>
      <c r="B21040" s="65"/>
    </row>
    <row r="21041" spans="1:2" x14ac:dyDescent="0.25">
      <c r="A21041" s="64" t="str">
        <f>HYPERLINK("http://www.twitter.com/toowist", "toowist")</f>
        <v>toowist</v>
      </c>
      <c r="B21041" s="65" t="s">
        <v>517</v>
      </c>
    </row>
    <row r="21042" spans="1:2" x14ac:dyDescent="0.25">
      <c r="A21042" s="64" t="str">
        <f>HYPERLINK("http://www.twitter.com/AnAshleyAbroad", "AnAshleyAbroad")</f>
        <v>AnAshleyAbroad</v>
      </c>
      <c r="B21042" s="65" t="s">
        <v>318</v>
      </c>
    </row>
    <row r="21043" spans="1:2" x14ac:dyDescent="0.25">
      <c r="A21043" s="64" t="str">
        <f>HYPERLINK("http://www.twitter.com/littlebirchleaf", "littlebirchleaf")</f>
        <v>littlebirchleaf</v>
      </c>
      <c r="B21043" s="65" t="s">
        <v>9957</v>
      </c>
    </row>
    <row r="21044" spans="1:2" x14ac:dyDescent="0.25">
      <c r="A21044" s="64" t="str">
        <f>HYPERLINK("http://www.twitter.com/OffTheShelf", "OffTheShelf")</f>
        <v>OffTheShelf</v>
      </c>
      <c r="B21044" s="65"/>
    </row>
    <row r="21045" spans="1:2" x14ac:dyDescent="0.25">
      <c r="A21045" s="64" t="str">
        <f>HYPERLINK("http://www.twitter.com/PagodaPN", "PagodaPN")</f>
        <v>PagodaPN</v>
      </c>
      <c r="B21045" s="65" t="s">
        <v>24</v>
      </c>
    </row>
    <row r="21046" spans="1:2" x14ac:dyDescent="0.25">
      <c r="A21046" s="64" t="str">
        <f>HYPERLINK("http://www.twitter.com/bethsbakeryork", "bethsbakeryork")</f>
        <v>bethsbakeryork</v>
      </c>
      <c r="B21046" s="65"/>
    </row>
    <row r="21047" spans="1:2" x14ac:dyDescent="0.25">
      <c r="A21047" s="64" t="str">
        <f>HYPERLINK("http://www.twitter.com/Ashleyr295", "Ashleyr295")</f>
        <v>Ashleyr295</v>
      </c>
      <c r="B21047" s="65" t="s">
        <v>4019</v>
      </c>
    </row>
    <row r="21048" spans="1:2" x14ac:dyDescent="0.25">
      <c r="A21048" s="64" t="str">
        <f>HYPERLINK("http://www.twitter.com/HelenRBA", "HelenRBA")</f>
        <v>HelenRBA</v>
      </c>
      <c r="B21048" s="65"/>
    </row>
    <row r="21049" spans="1:2" x14ac:dyDescent="0.25">
      <c r="A21049" s="64" t="str">
        <f>HYPERLINK("http://www.twitter.com/janinethemean", "janinethemean")</f>
        <v>janinethemean</v>
      </c>
      <c r="B21049" s="65" t="s">
        <v>36</v>
      </c>
    </row>
    <row r="21050" spans="1:2" x14ac:dyDescent="0.25">
      <c r="A21050" s="64" t="str">
        <f>HYPERLINK("http://www.twitter.com/Aero_Emma", "Aero_Emma")</f>
        <v>Aero_Emma</v>
      </c>
      <c r="B21050" s="65" t="s">
        <v>9958</v>
      </c>
    </row>
    <row r="21051" spans="1:2" x14ac:dyDescent="0.25">
      <c r="A21051" s="64" t="str">
        <f>HYPERLINK("http://www.twitter.com/LoriWatsonmusic", "LoriWatsonmusic")</f>
        <v>LoriWatsonmusic</v>
      </c>
      <c r="B21051" s="65" t="s">
        <v>517</v>
      </c>
    </row>
    <row r="21052" spans="1:2" x14ac:dyDescent="0.25">
      <c r="A21052" s="64" t="str">
        <f>HYPERLINK("http://www.twitter.com/toctter", "toctter")</f>
        <v>toctter</v>
      </c>
      <c r="B21052" s="65"/>
    </row>
    <row r="21053" spans="1:2" x14ac:dyDescent="0.25">
      <c r="A21053" s="64" t="str">
        <f>HYPERLINK("http://www.twitter.com/Lauren_K_E", "Lauren_K_E")</f>
        <v>Lauren_K_E</v>
      </c>
      <c r="B21053" s="65"/>
    </row>
    <row r="21054" spans="1:2" x14ac:dyDescent="0.25">
      <c r="A21054" s="64" t="str">
        <f>HYPERLINK("http://www.twitter.com/emiliana1c", "emiliana1c")</f>
        <v>emiliana1c</v>
      </c>
      <c r="B21054" s="65"/>
    </row>
    <row r="21055" spans="1:2" x14ac:dyDescent="0.25">
      <c r="A21055" s="64" t="str">
        <f>HYPERLINK("http://www.twitter.com/evajacobus", "evajacobus")</f>
        <v>evajacobus</v>
      </c>
      <c r="B21055" s="65"/>
    </row>
    <row r="21056" spans="1:2" x14ac:dyDescent="0.25">
      <c r="A21056" s="64" t="str">
        <f>HYPERLINK("http://www.twitter.com/ThatRagdoll", "ThatRagdoll")</f>
        <v>ThatRagdoll</v>
      </c>
      <c r="B21056" s="65" t="s">
        <v>296</v>
      </c>
    </row>
    <row r="21057" spans="1:2" x14ac:dyDescent="0.25">
      <c r="A21057" s="64" t="str">
        <f>HYPERLINK("http://www.twitter.com/countdante67", "countdante67")</f>
        <v>countdante67</v>
      </c>
      <c r="B21057" s="65" t="s">
        <v>9959</v>
      </c>
    </row>
    <row r="21058" spans="1:2" x14ac:dyDescent="0.25">
      <c r="A21058" s="64" t="str">
        <f>HYPERLINK("http://www.twitter.com/sioncorn", "sioncorn")</f>
        <v>sioncorn</v>
      </c>
      <c r="B21058" s="65" t="s">
        <v>9960</v>
      </c>
    </row>
    <row r="21059" spans="1:2" x14ac:dyDescent="0.25">
      <c r="A21059" s="64" t="str">
        <f>HYPERLINK("http://www.twitter.com/will_jackson", "will_jackson")</f>
        <v>will_jackson</v>
      </c>
      <c r="B21059" s="65" t="s">
        <v>1949</v>
      </c>
    </row>
    <row r="21060" spans="1:2" x14ac:dyDescent="0.25">
      <c r="A21060" s="64" t="str">
        <f>HYPERLINK("http://www.twitter.com/Nevermindchummy", "Nevermindchummy")</f>
        <v>Nevermindchummy</v>
      </c>
      <c r="B21060" s="65" t="s">
        <v>2595</v>
      </c>
    </row>
    <row r="21061" spans="1:2" x14ac:dyDescent="0.25">
      <c r="A21061" s="64" t="str">
        <f>HYPERLINK("http://www.twitter.com/Scoop_Dogg_Sky", "Scoop_Dogg_Sky")</f>
        <v>Scoop_Dogg_Sky</v>
      </c>
      <c r="B21061" s="65" t="s">
        <v>36</v>
      </c>
    </row>
    <row r="21062" spans="1:2" x14ac:dyDescent="0.25">
      <c r="A21062" s="64" t="str">
        <f>HYPERLINK("http://www.twitter.com/ggwrighty", "ggwrighty")</f>
        <v>ggwrighty</v>
      </c>
      <c r="B21062" s="65" t="s">
        <v>8350</v>
      </c>
    </row>
    <row r="21063" spans="1:2" x14ac:dyDescent="0.25">
      <c r="A21063" s="64" t="str">
        <f>HYPERLINK("http://www.twitter.com/Loora182", "Loora182")</f>
        <v>Loora182</v>
      </c>
      <c r="B21063" s="65" t="s">
        <v>517</v>
      </c>
    </row>
    <row r="21064" spans="1:2" x14ac:dyDescent="0.25">
      <c r="A21064" s="64" t="str">
        <f>HYPERLINK("http://www.twitter.com/eagullcry", "eagullcry")</f>
        <v>eagullcry</v>
      </c>
      <c r="B21064" s="65" t="s">
        <v>9961</v>
      </c>
    </row>
    <row r="21065" spans="1:2" x14ac:dyDescent="0.25">
      <c r="A21065" s="64" t="str">
        <f>HYPERLINK("http://www.twitter.com/SueHLawrence", "SueHLawrence")</f>
        <v>SueHLawrence</v>
      </c>
      <c r="B21065" s="65" t="s">
        <v>24</v>
      </c>
    </row>
    <row r="21066" spans="1:2" x14ac:dyDescent="0.25">
      <c r="A21066" s="64" t="str">
        <f>HYPERLINK("http://www.twitter.com/FTPLibrary", "FTPLibrary")</f>
        <v>FTPLibrary</v>
      </c>
      <c r="B21066" s="65" t="s">
        <v>9962</v>
      </c>
    </row>
    <row r="21067" spans="1:2" x14ac:dyDescent="0.25">
      <c r="A21067" s="64" t="str">
        <f>HYPERLINK("http://www.twitter.com/TraffLibraries", "TraffLibraries")</f>
        <v>TraffLibraries</v>
      </c>
      <c r="B21067" s="65" t="s">
        <v>825</v>
      </c>
    </row>
    <row r="21068" spans="1:2" x14ac:dyDescent="0.25">
      <c r="A21068" s="64" t="str">
        <f>HYPERLINK("http://www.twitter.com/CCollegeLRC", "CCollegeLRC")</f>
        <v>CCollegeLRC</v>
      </c>
      <c r="B21068" s="65" t="s">
        <v>5436</v>
      </c>
    </row>
    <row r="21069" spans="1:2" x14ac:dyDescent="0.25">
      <c r="A21069" s="64" t="str">
        <f>HYPERLINK("http://www.twitter.com/mo_mac", "mo_mac")</f>
        <v>mo_mac</v>
      </c>
      <c r="B21069" s="65" t="s">
        <v>517</v>
      </c>
    </row>
    <row r="21070" spans="1:2" x14ac:dyDescent="0.25">
      <c r="A21070" s="64" t="str">
        <f>HYPERLINK("http://www.twitter.com/NiamhODriscoll8", "NiamhODriscoll8")</f>
        <v>NiamhODriscoll8</v>
      </c>
      <c r="B21070" s="65" t="s">
        <v>517</v>
      </c>
    </row>
    <row r="21071" spans="1:2" x14ac:dyDescent="0.25">
      <c r="A21071" s="64" t="str">
        <f>HYPERLINK("http://www.twitter.com/Shane_Strachan", "Shane_Strachan")</f>
        <v>Shane_Strachan</v>
      </c>
      <c r="B21071" s="65" t="s">
        <v>569</v>
      </c>
    </row>
    <row r="21072" spans="1:2" x14ac:dyDescent="0.25">
      <c r="A21072" s="64" t="str">
        <f>HYPERLINK("http://www.twitter.com/StMichaelsLibOx", "StMichaelsLibOx")</f>
        <v>StMichaelsLibOx</v>
      </c>
      <c r="B21072" s="65" t="s">
        <v>505</v>
      </c>
    </row>
    <row r="21073" spans="1:2" x14ac:dyDescent="0.25">
      <c r="A21073" s="64" t="str">
        <f>HYPERLINK("http://www.twitter.com/teachernaught", "teachernaught")</f>
        <v>teachernaught</v>
      </c>
      <c r="B21073" s="65"/>
    </row>
    <row r="21074" spans="1:2" x14ac:dyDescent="0.25">
      <c r="A21074" s="64" t="str">
        <f>HYPERLINK("http://www.twitter.com/aecap", "aecap")</f>
        <v>aecap</v>
      </c>
      <c r="B21074" s="65" t="s">
        <v>4273</v>
      </c>
    </row>
    <row r="21075" spans="1:2" x14ac:dyDescent="0.25">
      <c r="A21075" s="64" t="str">
        <f>HYPERLINK("http://www.twitter.com/cazmoran", "cazmoran")</f>
        <v>cazmoran</v>
      </c>
      <c r="B21075" s="65"/>
    </row>
    <row r="21076" spans="1:2" x14ac:dyDescent="0.25">
      <c r="A21076" s="64" t="str">
        <f>HYPERLINK("http://www.twitter.com/annanmaja", "annanmaja")</f>
        <v>annanmaja</v>
      </c>
      <c r="B21076" s="65" t="s">
        <v>8510</v>
      </c>
    </row>
    <row r="21077" spans="1:2" x14ac:dyDescent="0.25">
      <c r="A21077" s="64" t="str">
        <f>HYPERLINK("http://www.twitter.com/WiganLibraries", "WiganLibraries")</f>
        <v>WiganLibraries</v>
      </c>
      <c r="B21077" s="65" t="s">
        <v>863</v>
      </c>
    </row>
    <row r="21078" spans="1:2" x14ac:dyDescent="0.25">
      <c r="A21078" s="64" t="str">
        <f>HYPERLINK("http://www.twitter.com/grace_houghton", "grace_houghton")</f>
        <v>grace_houghton</v>
      </c>
      <c r="B21078" s="65" t="s">
        <v>2007</v>
      </c>
    </row>
    <row r="21079" spans="1:2" x14ac:dyDescent="0.25">
      <c r="A21079" s="64" t="str">
        <f>HYPERLINK("http://www.twitter.com/blueworks2", "blueworks2")</f>
        <v>blueworks2</v>
      </c>
      <c r="B21079" s="65"/>
    </row>
    <row r="21080" spans="1:2" x14ac:dyDescent="0.25">
      <c r="A21080" s="64" t="str">
        <f>HYPERLINK("http://www.twitter.com/emergentsmakers", "emergentsmakers")</f>
        <v>emergentsmakers</v>
      </c>
      <c r="B21080" s="65" t="s">
        <v>5397</v>
      </c>
    </row>
    <row r="21081" spans="1:2" x14ac:dyDescent="0.25">
      <c r="A21081" s="64" t="str">
        <f>HYPERLINK("http://www.twitter.com/TheSandsOrkney", "TheSandsOrkney")</f>
        <v>TheSandsOrkney</v>
      </c>
      <c r="B21081" s="65" t="s">
        <v>9963</v>
      </c>
    </row>
    <row r="21082" spans="1:2" x14ac:dyDescent="0.25">
      <c r="A21082" s="64" t="str">
        <f>HYPERLINK("http://www.twitter.com/beckytopia", "beckytopia")</f>
        <v>beckytopia</v>
      </c>
      <c r="B21082" s="65" t="s">
        <v>5355</v>
      </c>
    </row>
    <row r="21083" spans="1:2" x14ac:dyDescent="0.25">
      <c r="A21083" s="64" t="str">
        <f>HYPERLINK("http://www.twitter.com/gravbeast", "gravbeast")</f>
        <v>gravbeast</v>
      </c>
      <c r="B21083" s="65" t="s">
        <v>3988</v>
      </c>
    </row>
    <row r="21084" spans="1:2" x14ac:dyDescent="0.25">
      <c r="A21084" s="64" t="str">
        <f>HYPERLINK("http://www.twitter.com/IanBTownsend", "IanBTownsend")</f>
        <v>IanBTownsend</v>
      </c>
      <c r="B21084" s="65" t="s">
        <v>9964</v>
      </c>
    </row>
    <row r="21085" spans="1:2" x14ac:dyDescent="0.25">
      <c r="A21085" s="64" t="str">
        <f>HYPERLINK("http://www.twitter.com/hankandkath", "hankandkath")</f>
        <v>hankandkath</v>
      </c>
      <c r="B21085" s="65" t="s">
        <v>5223</v>
      </c>
    </row>
    <row r="21086" spans="1:2" x14ac:dyDescent="0.25">
      <c r="A21086" s="64" t="str">
        <f>HYPERLINK("http://www.twitter.com/minchinlib", "minchinlib")</f>
        <v>minchinlib</v>
      </c>
      <c r="B21086" s="65" t="s">
        <v>3140</v>
      </c>
    </row>
    <row r="21087" spans="1:2" x14ac:dyDescent="0.25">
      <c r="A21087" s="64" t="str">
        <f>HYPERLINK("http://www.twitter.com/Gruffexterior", "Gruffexterior")</f>
        <v>Gruffexterior</v>
      </c>
      <c r="B21087" s="65" t="s">
        <v>36</v>
      </c>
    </row>
    <row r="21088" spans="1:2" x14ac:dyDescent="0.25">
      <c r="A21088" s="64" t="str">
        <f>HYPERLINK("http://www.twitter.com/StefwithanEF", "StefwithanEF")</f>
        <v>StefwithanEF</v>
      </c>
      <c r="B21088" s="65" t="s">
        <v>138</v>
      </c>
    </row>
    <row r="21089" spans="1:2" x14ac:dyDescent="0.25">
      <c r="A21089" s="64" t="str">
        <f>HYPERLINK("http://www.twitter.com/mndl8188", "mndl8188")</f>
        <v>mndl8188</v>
      </c>
      <c r="B21089" s="65"/>
    </row>
    <row r="21090" spans="1:2" x14ac:dyDescent="0.25">
      <c r="A21090" s="64" t="str">
        <f>HYPERLINK("http://www.twitter.com/Luckyloolaa", "Luckyloolaa")</f>
        <v>Luckyloolaa</v>
      </c>
      <c r="B21090" s="65"/>
    </row>
    <row r="21091" spans="1:2" x14ac:dyDescent="0.25">
      <c r="A21091" s="64" t="str">
        <f>HYPERLINK("http://www.twitter.com/YouthActive_YS", "YouthActive_YS")</f>
        <v>YouthActive_YS</v>
      </c>
      <c r="B21091" s="65" t="s">
        <v>2007</v>
      </c>
    </row>
    <row r="21092" spans="1:2" x14ac:dyDescent="0.25">
      <c r="A21092" s="64" t="str">
        <f>HYPERLINK("http://www.twitter.com/creativebiscuit", "creativebiscuit")</f>
        <v>creativebiscuit</v>
      </c>
      <c r="B21092" s="65" t="s">
        <v>9965</v>
      </c>
    </row>
    <row r="21093" spans="1:2" x14ac:dyDescent="0.25">
      <c r="A21093" s="64" t="str">
        <f>HYPERLINK("http://www.twitter.com/mungtosh", "mungtosh")</f>
        <v>mungtosh</v>
      </c>
      <c r="B21093" s="65" t="s">
        <v>517</v>
      </c>
    </row>
    <row r="21094" spans="1:2" x14ac:dyDescent="0.25">
      <c r="A21094" s="64" t="str">
        <f>HYPERLINK("http://www.twitter.com/fitevanslibrary", "fitevanslibrary")</f>
        <v>fitevanslibrary</v>
      </c>
      <c r="B21094" s="65" t="s">
        <v>9966</v>
      </c>
    </row>
    <row r="21095" spans="1:2" x14ac:dyDescent="0.25">
      <c r="A21095" s="64" t="str">
        <f>HYPERLINK("http://www.twitter.com/joannekane1", "joannekane1")</f>
        <v>joannekane1</v>
      </c>
      <c r="B21095" s="65" t="s">
        <v>9967</v>
      </c>
    </row>
    <row r="21096" spans="1:2" x14ac:dyDescent="0.25">
      <c r="A21096" s="64" t="str">
        <f>HYPERLINK("http://www.twitter.com/ellen_forkin", "ellen_forkin")</f>
        <v>ellen_forkin</v>
      </c>
      <c r="B21096" s="65" t="s">
        <v>5000</v>
      </c>
    </row>
    <row r="21097" spans="1:2" x14ac:dyDescent="0.25">
      <c r="A21097" s="64" t="str">
        <f>HYPERLINK("http://www.twitter.com/SaraGardner", "SaraGardner")</f>
        <v>SaraGardner</v>
      </c>
      <c r="B21097" s="65" t="s">
        <v>70</v>
      </c>
    </row>
    <row r="21098" spans="1:2" x14ac:dyDescent="0.25">
      <c r="A21098" s="64" t="str">
        <f>HYPERLINK("http://www.twitter.com/IngridThomson8", "IngridThomson8")</f>
        <v>IngridThomson8</v>
      </c>
      <c r="B21098" s="65" t="s">
        <v>9968</v>
      </c>
    </row>
    <row r="21099" spans="1:2" x14ac:dyDescent="0.25">
      <c r="A21099" s="64" t="str">
        <f>HYPERLINK("http://www.twitter.com/OfficialJWMag", "OfficialJWMag")</f>
        <v>OfficialJWMag</v>
      </c>
      <c r="B21099" s="65"/>
    </row>
    <row r="21100" spans="1:2" x14ac:dyDescent="0.25">
      <c r="A21100" s="64" t="str">
        <f>HYPERLINK("http://www.twitter.com/grungeviking", "grungeviking")</f>
        <v>grungeviking</v>
      </c>
      <c r="B21100" s="65" t="s">
        <v>9969</v>
      </c>
    </row>
    <row r="21101" spans="1:2" x14ac:dyDescent="0.25">
      <c r="A21101" s="64" t="str">
        <f>HYPERLINK("http://www.twitter.com/murieljohnston6", "murieljohnston6")</f>
        <v>murieljohnston6</v>
      </c>
      <c r="B21101" s="65"/>
    </row>
    <row r="21102" spans="1:2" x14ac:dyDescent="0.25">
      <c r="A21102" s="64" t="str">
        <f>HYPERLINK("http://www.twitter.com/ITYDarling", "ITYDarling")</f>
        <v>ITYDarling</v>
      </c>
      <c r="B21102" s="65" t="s">
        <v>122</v>
      </c>
    </row>
    <row r="21103" spans="1:2" x14ac:dyDescent="0.25">
      <c r="A21103" s="64" t="str">
        <f>HYPERLINK("http://www.twitter.com/calbion", "calbion")</f>
        <v>calbion</v>
      </c>
      <c r="B21103" s="65" t="s">
        <v>9970</v>
      </c>
    </row>
    <row r="21104" spans="1:2" x14ac:dyDescent="0.25">
      <c r="A21104" s="64" t="str">
        <f>HYPERLINK("http://www.twitter.com/thebridgeawards", "thebridgeawards")</f>
        <v>thebridgeawards</v>
      </c>
      <c r="B21104" s="65"/>
    </row>
    <row r="21105" spans="1:2" x14ac:dyDescent="0.25">
      <c r="A21105" s="64" t="str">
        <f>HYPERLINK("http://www.twitter.com/shona251162", "shona251162")</f>
        <v>shona251162</v>
      </c>
      <c r="B21105" s="65" t="s">
        <v>296</v>
      </c>
    </row>
    <row r="21106" spans="1:2" x14ac:dyDescent="0.25">
      <c r="A21106" s="64" t="str">
        <f>HYPERLINK("http://www.twitter.com/StarterPat", "StarterPat")</f>
        <v>StarterPat</v>
      </c>
      <c r="B21106" s="65"/>
    </row>
    <row r="21107" spans="1:2" x14ac:dyDescent="0.25">
      <c r="A21107" s="64" t="str">
        <f>HYPERLINK("http://www.twitter.com/Caroline1Taylor", "Caroline1Taylor")</f>
        <v>Caroline1Taylor</v>
      </c>
      <c r="B21107" s="65" t="s">
        <v>9570</v>
      </c>
    </row>
    <row r="21108" spans="1:2" x14ac:dyDescent="0.25">
      <c r="A21108" s="64" t="str">
        <f>HYPERLINK("http://www.twitter.com/kirstinlamb", "kirstinlamb")</f>
        <v>kirstinlamb</v>
      </c>
      <c r="B21108" s="65" t="s">
        <v>24</v>
      </c>
    </row>
    <row r="21109" spans="1:2" x14ac:dyDescent="0.25">
      <c r="A21109" s="64" t="str">
        <f>HYPERLINK("http://www.twitter.com/BIndrakshi", "BIndrakshi")</f>
        <v>BIndrakshi</v>
      </c>
      <c r="B21109" s="65" t="s">
        <v>9971</v>
      </c>
    </row>
    <row r="21110" spans="1:2" x14ac:dyDescent="0.25">
      <c r="A21110" s="64" t="str">
        <f>HYPERLINK("http://www.twitter.com/cjk100", "cjk100")</f>
        <v>cjk100</v>
      </c>
      <c r="B21110" s="65" t="s">
        <v>36</v>
      </c>
    </row>
    <row r="21111" spans="1:2" x14ac:dyDescent="0.25">
      <c r="A21111" s="64" t="str">
        <f>HYPERLINK("http://www.twitter.com/DarlLibs", "DarlLibs")</f>
        <v>DarlLibs</v>
      </c>
      <c r="B21111" s="65" t="s">
        <v>1003</v>
      </c>
    </row>
    <row r="21112" spans="1:2" x14ac:dyDescent="0.25">
      <c r="A21112" s="64" t="str">
        <f>HYPERLINK("http://www.twitter.com/PlayThief", "PlayThief")</f>
        <v>PlayThief</v>
      </c>
      <c r="B21112" s="65" t="s">
        <v>9972</v>
      </c>
    </row>
    <row r="21113" spans="1:2" x14ac:dyDescent="0.25">
      <c r="A21113" s="64" t="str">
        <f>HYPERLINK("http://www.twitter.com/uofglibrary", "uofglibrary")</f>
        <v>uofglibrary</v>
      </c>
      <c r="B21113" s="65" t="s">
        <v>138</v>
      </c>
    </row>
    <row r="21114" spans="1:2" x14ac:dyDescent="0.25">
      <c r="A21114" s="64" t="str">
        <f>HYPERLINK("http://www.twitter.com/RuthbarrRuth", "RuthbarrRuth")</f>
        <v>RuthbarrRuth</v>
      </c>
      <c r="B21114" s="65"/>
    </row>
    <row r="21115" spans="1:2" x14ac:dyDescent="0.25">
      <c r="A21115" s="64" t="str">
        <f>HYPERLINK("http://www.twitter.com/CarnegieLib", "CarnegieLib")</f>
        <v>CarnegieLib</v>
      </c>
      <c r="B21115" s="65" t="s">
        <v>9973</v>
      </c>
    </row>
    <row r="21116" spans="1:2" x14ac:dyDescent="0.25">
      <c r="A21116" s="64" t="str">
        <f>HYPERLINK("http://www.twitter.com/wendyrides", "wendyrides")</f>
        <v>wendyrides</v>
      </c>
      <c r="B21116" s="65" t="s">
        <v>9974</v>
      </c>
    </row>
    <row r="21117" spans="1:2" x14ac:dyDescent="0.25">
      <c r="A21117" s="64" t="str">
        <f>HYPERLINK("http://www.twitter.com/CaldicotHub", "CaldicotHub")</f>
        <v>CaldicotHub</v>
      </c>
      <c r="B21117" s="65" t="s">
        <v>1441</v>
      </c>
    </row>
    <row r="21118" spans="1:2" x14ac:dyDescent="0.25">
      <c r="A21118" s="64" t="str">
        <f>HYPERLINK("http://www.twitter.com/CalidrisForlag", "CalidrisForlag")</f>
        <v>CalidrisForlag</v>
      </c>
      <c r="B21118" s="65" t="s">
        <v>5417</v>
      </c>
    </row>
    <row r="21119" spans="1:2" x14ac:dyDescent="0.25">
      <c r="A21119" s="64" t="str">
        <f>HYPERLINK("http://www.twitter.com/CrowdTAuthor", "CrowdTAuthor")</f>
        <v>CrowdTAuthor</v>
      </c>
      <c r="B21119" s="65" t="s">
        <v>4149</v>
      </c>
    </row>
    <row r="21120" spans="1:2" x14ac:dyDescent="0.25">
      <c r="A21120" s="64" t="str">
        <f>HYPERLINK("http://www.twitter.com/sueracpot", "sueracpot")</f>
        <v>sueracpot</v>
      </c>
      <c r="B21120" s="65"/>
    </row>
    <row r="21121" spans="1:2" x14ac:dyDescent="0.25">
      <c r="A21121" s="64" t="str">
        <f>HYPERLINK("http://www.twitter.com/PaddyFreeland", "PaddyFreeland")</f>
        <v>PaddyFreeland</v>
      </c>
      <c r="B21121" s="65" t="s">
        <v>110</v>
      </c>
    </row>
    <row r="21122" spans="1:2" x14ac:dyDescent="0.25">
      <c r="A21122" s="64" t="str">
        <f>HYPERLINK("http://www.twitter.com/LAMKlibrary", "LAMKlibrary")</f>
        <v>LAMKlibrary</v>
      </c>
      <c r="B21122" s="65" t="s">
        <v>9975</v>
      </c>
    </row>
    <row r="21123" spans="1:2" x14ac:dyDescent="0.25">
      <c r="A21123" s="64" t="str">
        <f>HYPERLINK("http://www.twitter.com/Jane_Belton", "Jane_Belton")</f>
        <v>Jane_Belton</v>
      </c>
      <c r="B21123" s="65" t="s">
        <v>9976</v>
      </c>
    </row>
    <row r="21124" spans="1:2" x14ac:dyDescent="0.25">
      <c r="A21124" s="64" t="str">
        <f>HYPERLINK("http://www.twitter.com/CCScotland", "CCScotland")</f>
        <v>CCScotland</v>
      </c>
      <c r="B21124" s="65" t="s">
        <v>24</v>
      </c>
    </row>
    <row r="21125" spans="1:2" x14ac:dyDescent="0.25">
      <c r="A21125" s="64" t="str">
        <f>HYPERLINK("http://www.twitter.com/EALeisure", "EALeisure")</f>
        <v>EALeisure</v>
      </c>
      <c r="B21125" s="65" t="s">
        <v>8565</v>
      </c>
    </row>
    <row r="21126" spans="1:2" x14ac:dyDescent="0.25">
      <c r="A21126" s="64" t="str">
        <f>HYPERLINK("http://www.twitter.com/JCameronAuthor", "JCameronAuthor")</f>
        <v>JCameronAuthor</v>
      </c>
      <c r="B21126" s="65" t="s">
        <v>9977</v>
      </c>
    </row>
    <row r="21127" spans="1:2" x14ac:dyDescent="0.25">
      <c r="A21127" s="64" t="str">
        <f>HYPERLINK("http://www.twitter.com/OssettObserver", "OssettObserver")</f>
        <v>OssettObserver</v>
      </c>
      <c r="B21127" s="65" t="s">
        <v>9978</v>
      </c>
    </row>
    <row r="21128" spans="1:2" x14ac:dyDescent="0.25">
      <c r="A21128" s="64" t="str">
        <f>HYPERLINK("http://www.twitter.com/NickPoole1", "NickPoole1")</f>
        <v>NickPoole1</v>
      </c>
      <c r="B21128" s="65" t="s">
        <v>36</v>
      </c>
    </row>
    <row r="21129" spans="1:2" x14ac:dyDescent="0.25">
      <c r="A21129" s="64" t="str">
        <f>HYPERLINK("http://www.twitter.com/tensaskia", "tensaskia")</f>
        <v>tensaskia</v>
      </c>
      <c r="B21129" s="65"/>
    </row>
    <row r="21130" spans="1:2" x14ac:dyDescent="0.25">
      <c r="A21130" s="64" t="str">
        <f>HYPERLINK("http://www.twitter.com/MaggieJones190", "MaggieJones190")</f>
        <v>MaggieJones190</v>
      </c>
      <c r="B21130" s="65"/>
    </row>
    <row r="21131" spans="1:2" x14ac:dyDescent="0.25">
      <c r="A21131" s="64" t="str">
        <f>HYPERLINK("http://www.twitter.com/bigbendotcom", "bigbendotcom")</f>
        <v>bigbendotcom</v>
      </c>
      <c r="B21131" s="65" t="s">
        <v>9979</v>
      </c>
    </row>
    <row r="21132" spans="1:2" x14ac:dyDescent="0.25">
      <c r="A21132" s="64" t="str">
        <f>HYPERLINK("http://www.twitter.com/tweetsbynadine", "tweetsbynadine")</f>
        <v>tweetsbynadine</v>
      </c>
      <c r="B21132" s="65" t="s">
        <v>569</v>
      </c>
    </row>
    <row r="21133" spans="1:2" x14ac:dyDescent="0.25">
      <c r="A21133" s="64" t="str">
        <f>HYPERLINK("http://www.twitter.com/melinda_mjoyb39", "melinda_mjoyb39")</f>
        <v>melinda_mjoyb39</v>
      </c>
      <c r="B21133" s="65"/>
    </row>
    <row r="21134" spans="1:2" x14ac:dyDescent="0.25">
      <c r="A21134" s="64" t="str">
        <f>HYPERLINK("http://www.twitter.com/MichelleJ1308", "MichelleJ1308")</f>
        <v>MichelleJ1308</v>
      </c>
      <c r="B21134" s="65" t="s">
        <v>808</v>
      </c>
    </row>
    <row r="21135" spans="1:2" x14ac:dyDescent="0.25">
      <c r="A21135" s="64" t="str">
        <f>HYPERLINK("http://www.twitter.com/CharltonLibrary", "CharltonLibrary")</f>
        <v>CharltonLibrary</v>
      </c>
      <c r="B21135" s="65" t="s">
        <v>9980</v>
      </c>
    </row>
    <row r="21136" spans="1:2" x14ac:dyDescent="0.25">
      <c r="A21136" s="64" t="str">
        <f>HYPERLINK("http://www.twitter.com/Library_Claire", "Library_Claire")</f>
        <v>Library_Claire</v>
      </c>
      <c r="B21136" s="65" t="s">
        <v>9981</v>
      </c>
    </row>
    <row r="21137" spans="1:2" x14ac:dyDescent="0.25">
      <c r="A21137" s="64" t="str">
        <f>HYPERLINK("http://www.twitter.com/AMcclue", "AMcclue")</f>
        <v>AMcclue</v>
      </c>
      <c r="B21137" s="65"/>
    </row>
    <row r="21138" spans="1:2" x14ac:dyDescent="0.25">
      <c r="A21138" s="64" t="str">
        <f>HYPERLINK("http://www.twitter.com/anniecl4", "anniecl4")</f>
        <v>anniecl4</v>
      </c>
      <c r="B21138" s="65" t="s">
        <v>4409</v>
      </c>
    </row>
    <row r="21139" spans="1:2" x14ac:dyDescent="0.25">
      <c r="A21139" s="64" t="str">
        <f>HYPERLINK("http://www.twitter.com/eia69", "eia69")</f>
        <v>eia69</v>
      </c>
      <c r="B21139" s="65"/>
    </row>
    <row r="21140" spans="1:2" x14ac:dyDescent="0.25">
      <c r="A21140" s="64" t="str">
        <f>HYPERLINK("http://www.twitter.com/culture_public", "culture_public")</f>
        <v>culture_public</v>
      </c>
      <c r="B21140" s="65" t="s">
        <v>517</v>
      </c>
    </row>
    <row r="21141" spans="1:2" x14ac:dyDescent="0.25">
      <c r="A21141" s="64" t="str">
        <f>HYPERLINK("http://www.twitter.com/native8550", "native8550")</f>
        <v>native8550</v>
      </c>
      <c r="B21141" s="65"/>
    </row>
    <row r="21142" spans="1:2" x14ac:dyDescent="0.25">
      <c r="A21142" s="64" t="str">
        <f>HYPERLINK("http://www.twitter.com/MichlalaLibrary", "MichlalaLibrary")</f>
        <v>MichlalaLibrary</v>
      </c>
      <c r="B21142" s="65" t="s">
        <v>9982</v>
      </c>
    </row>
    <row r="21143" spans="1:2" x14ac:dyDescent="0.25">
      <c r="A21143" s="64" t="str">
        <f>HYPERLINK("http://www.twitter.com/sephryngrey", "sephryngrey")</f>
        <v>sephryngrey</v>
      </c>
      <c r="B21143" s="65" t="s">
        <v>6263</v>
      </c>
    </row>
    <row r="21144" spans="1:2" x14ac:dyDescent="0.25">
      <c r="A21144" s="64" t="str">
        <f>HYPERLINK("http://www.twitter.com/highlandhottubs", "highlandhottubs")</f>
        <v>highlandhottubs</v>
      </c>
      <c r="B21144" s="65" t="s">
        <v>9983</v>
      </c>
    </row>
    <row r="21145" spans="1:2" x14ac:dyDescent="0.25">
      <c r="A21145" s="64" t="str">
        <f>HYPERLINK("http://www.twitter.com/HMSPortland", "HMSPortland")</f>
        <v>HMSPortland</v>
      </c>
      <c r="B21145" s="65"/>
    </row>
    <row r="21146" spans="1:2" x14ac:dyDescent="0.25">
      <c r="A21146" s="64" t="str">
        <f>HYPERLINK("http://www.twitter.com/Orcadian1", "Orcadian1")</f>
        <v>Orcadian1</v>
      </c>
      <c r="B21146" s="65" t="s">
        <v>3799</v>
      </c>
    </row>
    <row r="21147" spans="1:2" x14ac:dyDescent="0.25">
      <c r="A21147" s="64" t="str">
        <f>HYPERLINK("http://www.twitter.com/dawsondecorator", "dawsondecorator")</f>
        <v>dawsondecorator</v>
      </c>
      <c r="B21147" s="65" t="s">
        <v>6393</v>
      </c>
    </row>
    <row r="21148" spans="1:2" x14ac:dyDescent="0.25">
      <c r="A21148" s="64" t="str">
        <f>HYPERLINK("http://www.twitter.com/ReindeerHerd", "ReindeerHerd")</f>
        <v>ReindeerHerd</v>
      </c>
      <c r="B21148" s="65" t="s">
        <v>9984</v>
      </c>
    </row>
    <row r="21149" spans="1:2" x14ac:dyDescent="0.25">
      <c r="A21149" s="64" t="str">
        <f>HYPERLINK("http://www.twitter.com/spidermonkeyloo", "spidermonkeyloo")</f>
        <v>spidermonkeyloo</v>
      </c>
      <c r="B21149" s="65" t="s">
        <v>2564</v>
      </c>
    </row>
    <row r="21150" spans="1:2" x14ac:dyDescent="0.25">
      <c r="A21150" s="64" t="str">
        <f>HYPERLINK("http://www.twitter.com/andrewavramenko", "andrewavramenko")</f>
        <v>andrewavramenko</v>
      </c>
      <c r="B21150" s="65" t="s">
        <v>9985</v>
      </c>
    </row>
    <row r="21151" spans="1:2" x14ac:dyDescent="0.25">
      <c r="A21151" s="64" t="str">
        <f>HYPERLINK("http://www.twitter.com/Hepesh", "Hepesh")</f>
        <v>Hepesh</v>
      </c>
      <c r="B21151" s="65" t="s">
        <v>9986</v>
      </c>
    </row>
    <row r="21152" spans="1:2" x14ac:dyDescent="0.25">
      <c r="A21152" s="64" t="str">
        <f>HYPERLINK("http://www.twitter.com/IFPHStuPro", "IFPHStuPro")</f>
        <v>IFPHStuPro</v>
      </c>
      <c r="B21152" s="65" t="s">
        <v>9987</v>
      </c>
    </row>
    <row r="21153" spans="1:2" x14ac:dyDescent="0.25">
      <c r="A21153" s="64" t="str">
        <f>HYPERLINK("http://www.twitter.com/JanetWestcott", "JanetWestcott")</f>
        <v>JanetWestcott</v>
      </c>
      <c r="B21153" s="65" t="s">
        <v>9988</v>
      </c>
    </row>
    <row r="21154" spans="1:2" x14ac:dyDescent="0.25">
      <c r="A21154" s="64" t="str">
        <f>HYPERLINK("http://www.twitter.com/Tomeen_Murphy", "Tomeen_Murphy")</f>
        <v>Tomeen_Murphy</v>
      </c>
      <c r="B21154" s="65" t="s">
        <v>9989</v>
      </c>
    </row>
    <row r="21155" spans="1:2" x14ac:dyDescent="0.25">
      <c r="A21155" s="64" t="str">
        <f>HYPERLINK("http://www.twitter.com/Queenofkingdom1", "Queenofkingdom1")</f>
        <v>Queenofkingdom1</v>
      </c>
      <c r="B21155" s="65"/>
    </row>
    <row r="21156" spans="1:2" x14ac:dyDescent="0.25">
      <c r="A21156" s="64" t="str">
        <f>HYPERLINK("http://www.twitter.com/amyjbrownlee", "amyjbrownlee")</f>
        <v>amyjbrownlee</v>
      </c>
      <c r="B21156" s="65" t="s">
        <v>4215</v>
      </c>
    </row>
    <row r="21157" spans="1:2" x14ac:dyDescent="0.25">
      <c r="A21157" s="64" t="str">
        <f>HYPERLINK("http://www.twitter.com/cmkempe", "cmkempe")</f>
        <v>cmkempe</v>
      </c>
      <c r="B21157" s="65" t="s">
        <v>232</v>
      </c>
    </row>
    <row r="21158" spans="1:2" x14ac:dyDescent="0.25">
      <c r="A21158" s="64" t="str">
        <f>HYPERLINK("http://www.twitter.com/GrahamWynd", "GrahamWynd")</f>
        <v>GrahamWynd</v>
      </c>
      <c r="B21158" s="65" t="s">
        <v>232</v>
      </c>
    </row>
    <row r="21159" spans="1:2" x14ac:dyDescent="0.25">
      <c r="A21159" s="64" t="str">
        <f>HYPERLINK("http://www.twitter.com/EmmaSHart", "EmmaSHart")</f>
        <v>EmmaSHart</v>
      </c>
      <c r="B21159" s="65"/>
    </row>
    <row r="21160" spans="1:2" x14ac:dyDescent="0.25">
      <c r="A21160" s="64" t="str">
        <f>HYPERLINK("http://www.twitter.com/armblueboy", "armblueboy")</f>
        <v>armblueboy</v>
      </c>
      <c r="B21160" s="65"/>
    </row>
    <row r="21161" spans="1:2" x14ac:dyDescent="0.25">
      <c r="A21161" s="64" t="str">
        <f>HYPERLINK("http://www.twitter.com/ailsabcd", "ailsabcd")</f>
        <v>ailsabcd</v>
      </c>
      <c r="B21161" s="65" t="s">
        <v>517</v>
      </c>
    </row>
    <row r="21162" spans="1:2" x14ac:dyDescent="0.25">
      <c r="A21162" s="64" t="str">
        <f>HYPERLINK("http://www.twitter.com/lottie_johnson", "lottie_johnson")</f>
        <v>lottie_johnson</v>
      </c>
      <c r="B21162" s="65" t="s">
        <v>9990</v>
      </c>
    </row>
    <row r="21163" spans="1:2" x14ac:dyDescent="0.25">
      <c r="A21163" s="64" t="str">
        <f>HYPERLINK("http://www.twitter.com/helencurtis", "helencurtis")</f>
        <v>helencurtis</v>
      </c>
      <c r="B21163" s="65" t="s">
        <v>9991</v>
      </c>
    </row>
    <row r="21164" spans="1:2" x14ac:dyDescent="0.25">
      <c r="A21164" s="64" t="str">
        <f>HYPERLINK("http://www.twitter.com/benvenables", "benvenables")</f>
        <v>benvenables</v>
      </c>
      <c r="B21164" s="65"/>
    </row>
    <row r="21165" spans="1:2" x14ac:dyDescent="0.25">
      <c r="A21165" s="64" t="str">
        <f>HYPERLINK("http://www.twitter.com/welshpoetrycomp", "welshpoetrycomp")</f>
        <v>welshpoetrycomp</v>
      </c>
      <c r="B21165" s="65" t="s">
        <v>9992</v>
      </c>
    </row>
    <row r="21166" spans="1:2" x14ac:dyDescent="0.25">
      <c r="A21166" s="64" t="str">
        <f>HYPERLINK("http://www.twitter.com/sputniknz57", "sputniknz57")</f>
        <v>sputniknz57</v>
      </c>
      <c r="B21166" s="65"/>
    </row>
    <row r="21167" spans="1:2" x14ac:dyDescent="0.25">
      <c r="A21167" s="64" t="str">
        <f>HYPERLINK("http://www.twitter.com/JaneHebdon", "JaneHebdon")</f>
        <v>JaneHebdon</v>
      </c>
      <c r="B21167" s="65"/>
    </row>
    <row r="21168" spans="1:2" x14ac:dyDescent="0.25">
      <c r="A21168" s="64" t="str">
        <f>HYPERLINK("http://www.twitter.com/CatInPaekak", "CatInPaekak")</f>
        <v>CatInPaekak</v>
      </c>
      <c r="B21168" s="65" t="s">
        <v>4117</v>
      </c>
    </row>
    <row r="21169" spans="1:2" x14ac:dyDescent="0.25">
      <c r="A21169" s="64" t="str">
        <f>HYPERLINK("http://www.twitter.com/ksaunders0", "ksaunders0")</f>
        <v>ksaunders0</v>
      </c>
      <c r="B21169" s="65" t="s">
        <v>9810</v>
      </c>
    </row>
    <row r="21170" spans="1:2" x14ac:dyDescent="0.25">
      <c r="A21170" s="64" t="str">
        <f>HYPERLINK("http://www.twitter.com/NAA_online", "NAA_online")</f>
        <v>NAA_online</v>
      </c>
      <c r="B21170" s="65" t="s">
        <v>9993</v>
      </c>
    </row>
    <row r="21171" spans="1:2" x14ac:dyDescent="0.25">
      <c r="A21171" s="64" t="str">
        <f>HYPERLINK("http://www.twitter.com/GracieWrenBooks", "GracieWrenBooks")</f>
        <v>GracieWrenBooks</v>
      </c>
      <c r="B21171" s="65" t="s">
        <v>296</v>
      </c>
    </row>
    <row r="21172" spans="1:2" x14ac:dyDescent="0.25">
      <c r="A21172" s="64" t="str">
        <f>HYPERLINK("http://www.twitter.com/kyyria_6", "kyyria_6")</f>
        <v>kyyria_6</v>
      </c>
      <c r="B21172" s="65" t="s">
        <v>9994</v>
      </c>
    </row>
    <row r="21173" spans="1:2" x14ac:dyDescent="0.25">
      <c r="A21173" s="64" t="str">
        <f>HYPERLINK("http://www.twitter.com/ObtuseLibrarian", "ObtuseLibrarian")</f>
        <v>ObtuseLibrarian</v>
      </c>
      <c r="B21173" s="65"/>
    </row>
    <row r="21174" spans="1:2" x14ac:dyDescent="0.25">
      <c r="A21174" s="64" t="str">
        <f>HYPERLINK("http://www.twitter.com/verge_walton", "verge_walton")</f>
        <v>verge_walton</v>
      </c>
      <c r="B21174" s="65"/>
    </row>
    <row r="21175" spans="1:2" x14ac:dyDescent="0.25">
      <c r="A21175" s="64" t="str">
        <f>HYPERLINK("http://www.twitter.com/orkneymrsbatman", "orkneymrsbatman")</f>
        <v>orkneymrsbatman</v>
      </c>
      <c r="B21175" s="65" t="s">
        <v>3762</v>
      </c>
    </row>
    <row r="21176" spans="1:2" x14ac:dyDescent="0.25">
      <c r="A21176" s="64" t="str">
        <f>HYPERLINK("http://www.twitter.com/mayfieldlady", "mayfieldlady")</f>
        <v>mayfieldlady</v>
      </c>
      <c r="B21176" s="65" t="s">
        <v>9995</v>
      </c>
    </row>
    <row r="21177" spans="1:2" x14ac:dyDescent="0.25">
      <c r="A21177" s="64" t="str">
        <f>HYPERLINK("http://www.twitter.com/rayoneillbar1", "rayoneillbar1")</f>
        <v>rayoneillbar1</v>
      </c>
      <c r="B21177" s="65"/>
    </row>
    <row r="21178" spans="1:2" x14ac:dyDescent="0.25">
      <c r="A21178" s="64" t="str">
        <f>HYPERLINK("http://www.twitter.com/gerry_deane", "gerry_deane")</f>
        <v>gerry_deane</v>
      </c>
      <c r="B21178" s="65" t="s">
        <v>6472</v>
      </c>
    </row>
    <row r="21179" spans="1:2" x14ac:dyDescent="0.25">
      <c r="A21179" s="64" t="str">
        <f>HYPERLINK("http://www.twitter.com/grannybiddy", "grannybiddy")</f>
        <v>grannybiddy</v>
      </c>
      <c r="B21179" s="65" t="s">
        <v>9996</v>
      </c>
    </row>
    <row r="21180" spans="1:2" x14ac:dyDescent="0.25">
      <c r="A21180" s="64" t="str">
        <f>HYPERLINK("http://www.twitter.com/sslibrarianship", "sslibrarianship")</f>
        <v>sslibrarianship</v>
      </c>
      <c r="B21180" s="65" t="s">
        <v>4317</v>
      </c>
    </row>
    <row r="21181" spans="1:2" x14ac:dyDescent="0.25">
      <c r="A21181" s="64" t="str">
        <f>HYPERLINK("http://www.twitter.com/susieisnothere", "susieisnothere")</f>
        <v>susieisnothere</v>
      </c>
      <c r="B21181" s="65" t="s">
        <v>9997</v>
      </c>
    </row>
    <row r="21182" spans="1:2" x14ac:dyDescent="0.25">
      <c r="A21182" s="64" t="str">
        <f>HYPERLINK("http://www.twitter.com/ShaleMuseum", "ShaleMuseum")</f>
        <v>ShaleMuseum</v>
      </c>
      <c r="B21182" s="65" t="s">
        <v>4264</v>
      </c>
    </row>
    <row r="21183" spans="1:2" x14ac:dyDescent="0.25">
      <c r="A21183" s="64" t="str">
        <f>HYPERLINK("http://www.twitter.com/ALALibrary", "ALALibrary")</f>
        <v>ALALibrary</v>
      </c>
      <c r="B21183" s="65" t="s">
        <v>3863</v>
      </c>
    </row>
    <row r="21184" spans="1:2" x14ac:dyDescent="0.25">
      <c r="A21184" s="64" t="str">
        <f>HYPERLINK("http://www.twitter.com/emmaeanthony", "emmaeanthony")</f>
        <v>emmaeanthony</v>
      </c>
      <c r="B21184" s="65" t="s">
        <v>953</v>
      </c>
    </row>
    <row r="21185" spans="1:2" x14ac:dyDescent="0.25">
      <c r="A21185" s="64" t="str">
        <f>HYPERLINK("http://www.twitter.com/LucieWhitmore", "LucieWhitmore")</f>
        <v>LucieWhitmore</v>
      </c>
      <c r="B21185" s="65" t="s">
        <v>24</v>
      </c>
    </row>
    <row r="21186" spans="1:2" x14ac:dyDescent="0.25">
      <c r="A21186" s="64" t="str">
        <f>HYPERLINK("http://www.twitter.com/JacRiding", "JacRiding")</f>
        <v>JacRiding</v>
      </c>
      <c r="B21186" s="65" t="s">
        <v>36</v>
      </c>
    </row>
    <row r="21187" spans="1:2" x14ac:dyDescent="0.25">
      <c r="A21187" s="64" t="str">
        <f>HYPERLINK("http://www.twitter.com/EloisePoole", "EloisePoole")</f>
        <v>EloisePoole</v>
      </c>
      <c r="B21187" s="65" t="s">
        <v>33</v>
      </c>
    </row>
    <row r="21188" spans="1:2" x14ac:dyDescent="0.25">
      <c r="A21188" s="64" t="str">
        <f>HYPERLINK("http://www.twitter.com/100nron", "100nron")</f>
        <v>100nron</v>
      </c>
      <c r="B21188" s="65"/>
    </row>
    <row r="21189" spans="1:2" x14ac:dyDescent="0.25">
      <c r="A21189" s="64" t="str">
        <f>HYPERLINK("http://www.twitter.com/rumacgregor", "rumacgregor")</f>
        <v>rumacgregor</v>
      </c>
      <c r="B21189" s="65"/>
    </row>
    <row r="21190" spans="1:2" x14ac:dyDescent="0.25">
      <c r="A21190" s="64" t="str">
        <f>HYPERLINK("http://www.twitter.com/covlibraries", "covlibraries")</f>
        <v>covlibraries</v>
      </c>
      <c r="B21190" s="65" t="s">
        <v>688</v>
      </c>
    </row>
    <row r="21191" spans="1:2" x14ac:dyDescent="0.25">
      <c r="A21191" s="64" t="str">
        <f>HYPERLINK("http://www.twitter.com/flamingstarlet", "flamingstarlet")</f>
        <v>flamingstarlet</v>
      </c>
      <c r="B21191" s="65"/>
    </row>
    <row r="21192" spans="1:2" x14ac:dyDescent="0.25">
      <c r="A21192" s="64" t="str">
        <f>HYPERLINK("http://www.twitter.com/Donnafoulis", "Donnafoulis")</f>
        <v>Donnafoulis</v>
      </c>
      <c r="B21192" s="65" t="s">
        <v>67</v>
      </c>
    </row>
    <row r="21193" spans="1:2" x14ac:dyDescent="0.25">
      <c r="A21193" s="64" t="str">
        <f>HYPERLINK("http://www.twitter.com/dark_fell", "dark_fell")</f>
        <v>dark_fell</v>
      </c>
      <c r="B21193" s="65" t="s">
        <v>6714</v>
      </c>
    </row>
    <row r="21194" spans="1:2" x14ac:dyDescent="0.25">
      <c r="A21194" s="64" t="str">
        <f>HYPERLINK("http://www.twitter.com/JennyHawke1", "JennyHawke1")</f>
        <v>JennyHawke1</v>
      </c>
      <c r="B21194" s="65"/>
    </row>
    <row r="21195" spans="1:2" x14ac:dyDescent="0.25">
      <c r="A21195" s="64" t="str">
        <f>HYPERLINK("http://www.twitter.com/debbytree", "debbytree")</f>
        <v>debbytree</v>
      </c>
      <c r="B21195" s="65" t="s">
        <v>4840</v>
      </c>
    </row>
    <row r="21196" spans="1:2" x14ac:dyDescent="0.25">
      <c r="A21196" s="64" t="str">
        <f>HYPERLINK("http://www.twitter.com/mistressnemo", "mistressnemo")</f>
        <v>mistressnemo</v>
      </c>
      <c r="B21196" s="65"/>
    </row>
    <row r="21197" spans="1:2" x14ac:dyDescent="0.25">
      <c r="A21197" s="64" t="str">
        <f>HYPERLINK("http://www.twitter.com/jobaker54", "jobaker54")</f>
        <v>jobaker54</v>
      </c>
      <c r="B21197" s="65" t="s">
        <v>9998</v>
      </c>
    </row>
    <row r="21198" spans="1:2" x14ac:dyDescent="0.25">
      <c r="A21198" s="64" t="str">
        <f>HYPERLINK("http://www.twitter.com/StalHighLib", "StalHighLib")</f>
        <v>StalHighLib</v>
      </c>
      <c r="B21198" s="65" t="s">
        <v>2001</v>
      </c>
    </row>
    <row r="21199" spans="1:2" x14ac:dyDescent="0.25">
      <c r="A21199" s="64" t="str">
        <f>HYPERLINK("http://www.twitter.com/sulcusandjirehs", "sulcusandjirehs")</f>
        <v>sulcusandjirehs</v>
      </c>
      <c r="B21199" s="65" t="s">
        <v>9999</v>
      </c>
    </row>
    <row r="21200" spans="1:2" x14ac:dyDescent="0.25">
      <c r="A21200" s="64" t="str">
        <f>HYPERLINK("http://www.twitter.com/FollyJester", "FollyJester")</f>
        <v>FollyJester</v>
      </c>
      <c r="B21200" s="65" t="s">
        <v>4895</v>
      </c>
    </row>
    <row r="21201" spans="1:2" x14ac:dyDescent="0.25">
      <c r="A21201" s="64" t="str">
        <f>HYPERLINK("http://www.twitter.com/Jrwmccarthy", "Jrwmccarthy")</f>
        <v>Jrwmccarthy</v>
      </c>
      <c r="B21201" s="65" t="s">
        <v>318</v>
      </c>
    </row>
    <row r="21202" spans="1:2" x14ac:dyDescent="0.25">
      <c r="A21202" s="64" t="str">
        <f>HYPERLINK("http://www.twitter.com/bekahglynn", "bekahglynn")</f>
        <v>bekahglynn</v>
      </c>
      <c r="B21202" s="65" t="s">
        <v>33</v>
      </c>
    </row>
    <row r="21203" spans="1:2" x14ac:dyDescent="0.25">
      <c r="A21203" s="64" t="str">
        <f>HYPERLINK("http://www.twitter.com/cherrybops", "cherrybops")</f>
        <v>cherrybops</v>
      </c>
      <c r="B21203" s="65"/>
    </row>
    <row r="21204" spans="1:2" x14ac:dyDescent="0.25">
      <c r="A21204" s="64" t="str">
        <f>HYPERLINK("http://www.twitter.com/imnotbitterbut", "imnotbitterbut")</f>
        <v>imnotbitterbut</v>
      </c>
      <c r="B21204" s="65" t="s">
        <v>1328</v>
      </c>
    </row>
    <row r="21205" spans="1:2" x14ac:dyDescent="0.25">
      <c r="A21205" s="64" t="str">
        <f>HYPERLINK("http://www.twitter.com/UNLumsden", "UNLumsden")</f>
        <v>UNLumsden</v>
      </c>
      <c r="B21205" s="65" t="s">
        <v>10000</v>
      </c>
    </row>
    <row r="21206" spans="1:2" x14ac:dyDescent="0.25">
      <c r="A21206" s="64" t="str">
        <f>HYPERLINK("http://www.twitter.com/EveHarvey", "EveHarvey")</f>
        <v>EveHarvey</v>
      </c>
      <c r="B21206" s="65" t="s">
        <v>24</v>
      </c>
    </row>
    <row r="21207" spans="1:2" x14ac:dyDescent="0.25">
      <c r="A21207" s="64" t="str">
        <f>HYPERLINK("http://www.twitter.com/jbennell", "jbennell")</f>
        <v>jbennell</v>
      </c>
      <c r="B21207" s="65" t="s">
        <v>3682</v>
      </c>
    </row>
    <row r="21208" spans="1:2" x14ac:dyDescent="0.25">
      <c r="A21208" s="64" t="str">
        <f>HYPERLINK("http://www.twitter.com/Shellbla", "Shellbla")</f>
        <v>Shellbla</v>
      </c>
      <c r="B21208" s="65"/>
    </row>
    <row r="21209" spans="1:2" x14ac:dyDescent="0.25">
      <c r="A21209" s="64" t="str">
        <f>HYPERLINK("http://www.twitter.com/indiespiritbath", "indiespiritbath")</f>
        <v>indiespiritbath</v>
      </c>
      <c r="B21209" s="65" t="s">
        <v>10001</v>
      </c>
    </row>
    <row r="21210" spans="1:2" x14ac:dyDescent="0.25">
      <c r="A21210" s="64" t="str">
        <f>HYPERLINK("http://www.twitter.com/KIS_Kate", "KIS_Kate")</f>
        <v>KIS_Kate</v>
      </c>
      <c r="B21210" s="65"/>
    </row>
    <row r="21211" spans="1:2" x14ac:dyDescent="0.25">
      <c r="A21211" s="64" t="str">
        <f>HYPERLINK("http://www.twitter.com/MissLauren1987", "MissLauren1987")</f>
        <v>MissLauren1987</v>
      </c>
      <c r="B21211" s="65"/>
    </row>
    <row r="21212" spans="1:2" x14ac:dyDescent="0.25">
      <c r="A21212" s="64" t="str">
        <f>HYPERLINK("http://www.twitter.com/panjelley", "panjelley")</f>
        <v>panjelley</v>
      </c>
      <c r="B21212" s="65"/>
    </row>
    <row r="21213" spans="1:2" x14ac:dyDescent="0.25">
      <c r="A21213" s="64" t="str">
        <f>HYPERLINK("http://www.twitter.com/annaloren", "annaloren")</f>
        <v>annaloren</v>
      </c>
      <c r="B21213" s="65" t="s">
        <v>3816</v>
      </c>
    </row>
    <row r="21214" spans="1:2" x14ac:dyDescent="0.25">
      <c r="A21214" s="64" t="str">
        <f>HYPERLINK("http://www.twitter.com/Martha_P_Ryan", "Martha_P_Ryan")</f>
        <v>Martha_P_Ryan</v>
      </c>
      <c r="B21214" s="65" t="s">
        <v>10002</v>
      </c>
    </row>
    <row r="21215" spans="1:2" x14ac:dyDescent="0.25">
      <c r="A21215" s="64" t="str">
        <f>HYPERLINK("http://www.twitter.com/HistoricalStats", "HistoricalStats")</f>
        <v>HistoricalStats</v>
      </c>
      <c r="B21215" s="65" t="s">
        <v>36</v>
      </c>
    </row>
    <row r="21216" spans="1:2" x14ac:dyDescent="0.25">
      <c r="A21216" s="64" t="str">
        <f>HYPERLINK("http://www.twitter.com/PauldMcNamee", "PauldMcNamee")</f>
        <v>PauldMcNamee</v>
      </c>
      <c r="B21216" s="65"/>
    </row>
    <row r="21217" spans="1:2" x14ac:dyDescent="0.25">
      <c r="A21217" s="64" t="str">
        <f>HYPERLINK("http://www.twitter.com/richperkinslib", "richperkinslib")</f>
        <v>richperkinslib</v>
      </c>
      <c r="B21217" s="65"/>
    </row>
    <row r="21218" spans="1:2" x14ac:dyDescent="0.25">
      <c r="A21218" s="64" t="str">
        <f>HYPERLINK("http://www.twitter.com/shc_orkney", "shc_orkney")</f>
        <v>shc_orkney</v>
      </c>
      <c r="B21218" s="65" t="s">
        <v>20</v>
      </c>
    </row>
    <row r="21219" spans="1:2" x14ac:dyDescent="0.25">
      <c r="A21219" s="64" t="str">
        <f>HYPERLINK("http://www.twitter.com/lisacaswell", "lisacaswell")</f>
        <v>lisacaswell</v>
      </c>
      <c r="B21219" s="65"/>
    </row>
    <row r="21220" spans="1:2" x14ac:dyDescent="0.25">
      <c r="A21220" s="64" t="str">
        <f>HYPERLINK("http://www.twitter.com/nancycarsonauth", "nancycarsonauth")</f>
        <v>nancycarsonauth</v>
      </c>
      <c r="B21220" s="65" t="s">
        <v>2557</v>
      </c>
    </row>
    <row r="21221" spans="1:2" x14ac:dyDescent="0.25">
      <c r="A21221" s="64" t="str">
        <f>HYPERLINK("http://www.twitter.com/s_greenhalgh", "s_greenhalgh")</f>
        <v>s_greenhalgh</v>
      </c>
      <c r="B21221" s="65" t="s">
        <v>505</v>
      </c>
    </row>
    <row r="21222" spans="1:2" x14ac:dyDescent="0.25">
      <c r="A21222" s="64" t="str">
        <f>HYPERLINK("http://www.twitter.com/rhimack_", "rhimack_")</f>
        <v>rhimack_</v>
      </c>
      <c r="B21222" s="65" t="s">
        <v>569</v>
      </c>
    </row>
    <row r="21223" spans="1:2" x14ac:dyDescent="0.25">
      <c r="A21223" s="64" t="str">
        <f>HYPERLINK("http://www.twitter.com/Tezza2406", "Tezza2406")</f>
        <v>Tezza2406</v>
      </c>
      <c r="B21223" s="65" t="s">
        <v>20</v>
      </c>
    </row>
    <row r="21224" spans="1:2" x14ac:dyDescent="0.25">
      <c r="A21224" s="64" t="str">
        <f>HYPERLINK("http://www.twitter.com/STAMATAKISMICHA", "STAMATAKISMICHA")</f>
        <v>STAMATAKISMICHA</v>
      </c>
      <c r="B21224" s="65" t="s">
        <v>10003</v>
      </c>
    </row>
    <row r="21225" spans="1:2" x14ac:dyDescent="0.25">
      <c r="A21225" s="64" t="str">
        <f>HYPERLINK("http://www.twitter.com/JudithGatito", "JudithGatito")</f>
        <v>JudithGatito</v>
      </c>
      <c r="B21225" s="65" t="s">
        <v>517</v>
      </c>
    </row>
    <row r="21226" spans="1:2" x14ac:dyDescent="0.25">
      <c r="A21226" s="64" t="str">
        <f>HYPERLINK("http://www.twitter.com/EvvMamaevv", "EvvMamaevv")</f>
        <v>EvvMamaevv</v>
      </c>
      <c r="B21226" s="65"/>
    </row>
    <row r="21227" spans="1:2" x14ac:dyDescent="0.25">
      <c r="A21227" s="64" t="str">
        <f>HYPERLINK("http://www.twitter.com/Niamhscello", "Niamhscello")</f>
        <v>Niamhscello</v>
      </c>
      <c r="B21227" s="65" t="s">
        <v>36</v>
      </c>
    </row>
    <row r="21228" spans="1:2" x14ac:dyDescent="0.25">
      <c r="A21228" s="64" t="str">
        <f>HYPERLINK("http://www.twitter.com/PalaceStores", "PalaceStores")</f>
        <v>PalaceStores</v>
      </c>
      <c r="B21228" s="65" t="s">
        <v>10004</v>
      </c>
    </row>
    <row r="21229" spans="1:2" x14ac:dyDescent="0.25">
      <c r="A21229" s="64" t="str">
        <f>HYPERLINK("http://www.twitter.com/BicyColin", "BicyColin")</f>
        <v>BicyColin</v>
      </c>
      <c r="B21229" s="65" t="s">
        <v>138</v>
      </c>
    </row>
    <row r="21230" spans="1:2" x14ac:dyDescent="0.25">
      <c r="A21230" s="64" t="str">
        <f>HYPERLINK("http://www.twitter.com/Janibach", "Janibach")</f>
        <v>Janibach</v>
      </c>
      <c r="B21230" s="65" t="s">
        <v>7754</v>
      </c>
    </row>
    <row r="21231" spans="1:2" x14ac:dyDescent="0.25">
      <c r="A21231" s="64" t="str">
        <f>HYPERLINK("http://www.twitter.com/arohagurl", "arohagurl")</f>
        <v>arohagurl</v>
      </c>
      <c r="B21231" s="65" t="s">
        <v>10005</v>
      </c>
    </row>
    <row r="21232" spans="1:2" x14ac:dyDescent="0.25">
      <c r="A21232" s="64" t="str">
        <f>HYPERLINK("http://www.twitter.com/drkatedevlin", "drkatedevlin")</f>
        <v>drkatedevlin</v>
      </c>
      <c r="B21232" s="65" t="s">
        <v>477</v>
      </c>
    </row>
    <row r="21233" spans="1:2" x14ac:dyDescent="0.25">
      <c r="A21233" s="64" t="str">
        <f>HYPERLINK("http://www.twitter.com/tonightmatthew", "tonightmatthew")</f>
        <v>tonightmatthew</v>
      </c>
      <c r="B21233" s="65" t="s">
        <v>3559</v>
      </c>
    </row>
    <row r="21234" spans="1:2" x14ac:dyDescent="0.25">
      <c r="A21234" s="64" t="str">
        <f>HYPERLINK("http://www.twitter.com/CrawleyLibrary", "CrawleyLibrary")</f>
        <v>CrawleyLibrary</v>
      </c>
      <c r="B21234" s="65" t="s">
        <v>730</v>
      </c>
    </row>
    <row r="21235" spans="1:2" x14ac:dyDescent="0.25">
      <c r="A21235" s="64" t="str">
        <f>HYPERLINK("http://www.twitter.com/missanfield", "missanfield")</f>
        <v>missanfield</v>
      </c>
      <c r="B21235" s="65" t="s">
        <v>10006</v>
      </c>
    </row>
    <row r="21236" spans="1:2" x14ac:dyDescent="0.25">
      <c r="A21236" s="64" t="str">
        <f>HYPERLINK("http://www.twitter.com/IanM70", "IanM70")</f>
        <v>IanM70</v>
      </c>
      <c r="B21236" s="65" t="s">
        <v>10007</v>
      </c>
    </row>
    <row r="21237" spans="1:2" x14ac:dyDescent="0.25">
      <c r="A21237" s="64" t="str">
        <f>HYPERLINK("http://www.twitter.com/cocoa95g", "cocoa95g")</f>
        <v>cocoa95g</v>
      </c>
      <c r="B21237" s="65" t="s">
        <v>7816</v>
      </c>
    </row>
    <row r="21238" spans="1:2" x14ac:dyDescent="0.25">
      <c r="A21238" s="64" t="str">
        <f>HYPERLINK("http://www.twitter.com/graham_herbing", "graham_herbing")</f>
        <v>graham_herbing</v>
      </c>
      <c r="B21238" s="65" t="s">
        <v>10008</v>
      </c>
    </row>
    <row r="21239" spans="1:2" x14ac:dyDescent="0.25">
      <c r="A21239" s="64" t="str">
        <f>HYPERLINK("http://www.twitter.com/castlecapturer", "castlecapturer")</f>
        <v>castlecapturer</v>
      </c>
      <c r="B21239" s="65" t="s">
        <v>5933</v>
      </c>
    </row>
    <row r="21240" spans="1:2" x14ac:dyDescent="0.25">
      <c r="A21240" s="64" t="str">
        <f>HYPERLINK("http://www.twitter.com/AndyMcH", "AndyMcH")</f>
        <v>AndyMcH</v>
      </c>
      <c r="B21240" s="65" t="s">
        <v>5687</v>
      </c>
    </row>
    <row r="21241" spans="1:2" x14ac:dyDescent="0.25">
      <c r="A21241" s="64" t="str">
        <f>HYPERLINK("http://www.twitter.com/mkcallaway", "mkcallaway")</f>
        <v>mkcallaway</v>
      </c>
      <c r="B21241" s="65" t="s">
        <v>10009</v>
      </c>
    </row>
    <row r="21242" spans="1:2" x14ac:dyDescent="0.25">
      <c r="A21242" s="64" t="str">
        <f>HYPERLINK("http://www.twitter.com/miss_c4", "miss_c4")</f>
        <v>miss_c4</v>
      </c>
      <c r="B21242" s="65" t="s">
        <v>10010</v>
      </c>
    </row>
    <row r="21243" spans="1:2" x14ac:dyDescent="0.25">
      <c r="A21243" s="64" t="str">
        <f>HYPERLINK("http://www.twitter.com/SheilaB01", "SheilaB01")</f>
        <v>SheilaB01</v>
      </c>
      <c r="B21243" s="65" t="s">
        <v>508</v>
      </c>
    </row>
    <row r="21244" spans="1:2" x14ac:dyDescent="0.25">
      <c r="A21244" s="64" t="str">
        <f>HYPERLINK("http://www.twitter.com/shellieblum", "shellieblum")</f>
        <v>shellieblum</v>
      </c>
      <c r="B21244" s="65" t="s">
        <v>10011</v>
      </c>
    </row>
    <row r="21245" spans="1:2" x14ac:dyDescent="0.25">
      <c r="A21245" s="64" t="str">
        <f>HYPERLINK("http://www.twitter.com/hannahfox", "hannahfox")</f>
        <v>hannahfox</v>
      </c>
      <c r="B21245" s="65" t="s">
        <v>2997</v>
      </c>
    </row>
    <row r="21246" spans="1:2" x14ac:dyDescent="0.25">
      <c r="A21246" s="64" t="str">
        <f>HYPERLINK("http://www.twitter.com/VisitingViking", "VisitingViking")</f>
        <v>VisitingViking</v>
      </c>
      <c r="B21246" s="65" t="s">
        <v>10012</v>
      </c>
    </row>
    <row r="21247" spans="1:2" x14ac:dyDescent="0.25">
      <c r="A21247" s="64" t="str">
        <f>HYPERLINK("http://www.twitter.com/HertsLibraries", "HertsLibraries")</f>
        <v>HertsLibraries</v>
      </c>
      <c r="B21247" s="65" t="s">
        <v>3659</v>
      </c>
    </row>
    <row r="21248" spans="1:2" x14ac:dyDescent="0.25">
      <c r="A21248" s="64" t="str">
        <f>HYPERLINK("http://www.twitter.com/ChelmsCouncil", "ChelmsCouncil")</f>
        <v>ChelmsCouncil</v>
      </c>
      <c r="B21248" s="65" t="s">
        <v>4762</v>
      </c>
    </row>
    <row r="21249" spans="1:2" x14ac:dyDescent="0.25">
      <c r="A21249" s="64" t="str">
        <f>HYPERLINK("http://www.twitter.com/glynrconolly", "glynrconolly")</f>
        <v>glynrconolly</v>
      </c>
      <c r="B21249" s="65"/>
    </row>
    <row r="21250" spans="1:2" x14ac:dyDescent="0.25">
      <c r="A21250" s="64" t="str">
        <f>HYPERLINK("http://www.twitter.com/HistoriaFrankie", "HistoriaFrankie")</f>
        <v>HistoriaFrankie</v>
      </c>
      <c r="B21250" s="65" t="s">
        <v>1490</v>
      </c>
    </row>
    <row r="21251" spans="1:2" x14ac:dyDescent="0.25">
      <c r="A21251" s="64" t="str">
        <f>HYPERLINK("http://www.twitter.com/Blondegirlfrnd", "Blondegirlfrnd")</f>
        <v>Blondegirlfrnd</v>
      </c>
      <c r="B21251" s="65" t="s">
        <v>5014</v>
      </c>
    </row>
    <row r="21252" spans="1:2" x14ac:dyDescent="0.25">
      <c r="A21252" s="64" t="str">
        <f>HYPERLINK("http://www.twitter.com/CarolynEd1", "CarolynEd1")</f>
        <v>CarolynEd1</v>
      </c>
      <c r="B21252" s="65" t="s">
        <v>36</v>
      </c>
    </row>
    <row r="21253" spans="1:2" x14ac:dyDescent="0.25">
      <c r="A21253" s="64" t="str">
        <f>HYPERLINK("http://www.twitter.com/MargoWaddell", "MargoWaddell")</f>
        <v>MargoWaddell</v>
      </c>
      <c r="B21253" s="65"/>
    </row>
    <row r="21254" spans="1:2" x14ac:dyDescent="0.25">
      <c r="A21254" s="64" t="str">
        <f>HYPERLINK("http://www.twitter.com/Julie_ERobinson", "Julie_ERobinson")</f>
        <v>Julie_ERobinson</v>
      </c>
      <c r="B21254" s="65"/>
    </row>
    <row r="21255" spans="1:2" x14ac:dyDescent="0.25">
      <c r="A21255" s="64" t="str">
        <f>HYPERLINK("http://www.twitter.com/Kindness58", "Kindness58")</f>
        <v>Kindness58</v>
      </c>
      <c r="B21255" s="65" t="s">
        <v>36</v>
      </c>
    </row>
    <row r="21256" spans="1:2" x14ac:dyDescent="0.25">
      <c r="A21256" s="64" t="str">
        <f>HYPERLINK("http://www.twitter.com/jennbutterworth", "jennbutterworth")</f>
        <v>jennbutterworth</v>
      </c>
      <c r="B21256" s="65" t="s">
        <v>138</v>
      </c>
    </row>
    <row r="21257" spans="1:2" x14ac:dyDescent="0.25">
      <c r="A21257" s="64" t="str">
        <f>HYPERLINK("http://www.twitter.com/RCPSGlibrary", "RCPSGlibrary")</f>
        <v>RCPSGlibrary</v>
      </c>
      <c r="B21257" s="65" t="s">
        <v>74</v>
      </c>
    </row>
    <row r="21258" spans="1:2" x14ac:dyDescent="0.25">
      <c r="A21258" s="64" t="str">
        <f>HYPERLINK("http://www.twitter.com/SJCSouthsea", "SJCSouthsea")</f>
        <v>SJCSouthsea</v>
      </c>
      <c r="B21258" s="65" t="s">
        <v>10013</v>
      </c>
    </row>
    <row r="21259" spans="1:2" x14ac:dyDescent="0.25">
      <c r="A21259" s="64" t="str">
        <f>HYPERLINK("http://www.twitter.com/thepeagreenroom", "thepeagreenroom")</f>
        <v>thepeagreenroom</v>
      </c>
      <c r="B21259" s="65" t="s">
        <v>24</v>
      </c>
    </row>
    <row r="21260" spans="1:2" x14ac:dyDescent="0.25">
      <c r="A21260" s="64" t="str">
        <f>HYPERLINK("http://www.twitter.com/hf_tweets", "hf_tweets")</f>
        <v>hf_tweets</v>
      </c>
      <c r="B21260" s="65" t="s">
        <v>487</v>
      </c>
    </row>
    <row r="21261" spans="1:2" x14ac:dyDescent="0.25">
      <c r="A21261" s="64" t="str">
        <f>HYPERLINK("http://www.twitter.com/squeezingshrop", "squeezingshrop")</f>
        <v>squeezingshrop</v>
      </c>
      <c r="B21261" s="65" t="s">
        <v>10014</v>
      </c>
    </row>
    <row r="21262" spans="1:2" x14ac:dyDescent="0.25">
      <c r="A21262" s="64" t="str">
        <f>HYPERLINK("http://www.twitter.com/JaneCaseyAuthor", "JaneCaseyAuthor")</f>
        <v>JaneCaseyAuthor</v>
      </c>
      <c r="B21262" s="65" t="s">
        <v>36</v>
      </c>
    </row>
    <row r="21263" spans="1:2" x14ac:dyDescent="0.25">
      <c r="A21263" s="64" t="str">
        <f>HYPERLINK("http://www.twitter.com/JusticeTrousers", "JusticeTrousers")</f>
        <v>JusticeTrousers</v>
      </c>
      <c r="B21263" s="65" t="s">
        <v>10015</v>
      </c>
    </row>
    <row r="21264" spans="1:2" x14ac:dyDescent="0.25">
      <c r="A21264" s="64" t="str">
        <f>HYPERLINK("http://www.twitter.com/NinaCaballero1", "NinaCaballero1")</f>
        <v>NinaCaballero1</v>
      </c>
      <c r="B21264" s="65" t="s">
        <v>4152</v>
      </c>
    </row>
    <row r="21265" spans="1:2" x14ac:dyDescent="0.25">
      <c r="A21265" s="64" t="str">
        <f>HYPERLINK("http://www.twitter.com/TheDesignTrust", "TheDesignTrust")</f>
        <v>TheDesignTrust</v>
      </c>
      <c r="B21265" s="65" t="s">
        <v>36</v>
      </c>
    </row>
    <row r="21266" spans="1:2" x14ac:dyDescent="0.25">
      <c r="A21266" s="64" t="str">
        <f>HYPERLINK("http://www.twitter.com/LTangoPromotion", "LTangoPromotion")</f>
        <v>LTangoPromotion</v>
      </c>
      <c r="B21266" s="65" t="s">
        <v>296</v>
      </c>
    </row>
    <row r="21267" spans="1:2" x14ac:dyDescent="0.25">
      <c r="A21267" s="64" t="str">
        <f>HYPERLINK("http://www.twitter.com/RhianIsaac1", "RhianIsaac1")</f>
        <v>RhianIsaac1</v>
      </c>
      <c r="B21267" s="65"/>
    </row>
    <row r="21268" spans="1:2" x14ac:dyDescent="0.25">
      <c r="A21268" s="64" t="str">
        <f>HYPERLINK("http://www.twitter.com/neviepiecakes", "neviepiecakes")</f>
        <v>neviepiecakes</v>
      </c>
      <c r="B21268" s="65" t="s">
        <v>10016</v>
      </c>
    </row>
    <row r="21269" spans="1:2" x14ac:dyDescent="0.25">
      <c r="A21269" s="64" t="str">
        <f>HYPERLINK("http://www.twitter.com/RoseEllenCherry", "RoseEllenCherry")</f>
        <v>RoseEllenCherry</v>
      </c>
      <c r="B21269" s="65" t="s">
        <v>514</v>
      </c>
    </row>
    <row r="21270" spans="1:2" x14ac:dyDescent="0.25">
      <c r="A21270" s="64" t="str">
        <f>HYPERLINK("http://www.twitter.com/SilverMelakai", "SilverMelakai")</f>
        <v>SilverMelakai</v>
      </c>
      <c r="B21270" s="65" t="s">
        <v>4273</v>
      </c>
    </row>
    <row r="21271" spans="1:2" x14ac:dyDescent="0.25">
      <c r="A21271" s="64" t="str">
        <f>HYPERLINK("http://www.twitter.com/Garthcc68", "Garthcc68")</f>
        <v>Garthcc68</v>
      </c>
      <c r="B21271" s="65" t="s">
        <v>5398</v>
      </c>
    </row>
    <row r="21272" spans="1:2" x14ac:dyDescent="0.25">
      <c r="A21272" s="64" t="str">
        <f>HYPERLINK("http://www.twitter.com/tillas_cathrine", "tillas_cathrine")</f>
        <v>tillas_cathrine</v>
      </c>
      <c r="B21272" s="65"/>
    </row>
    <row r="21273" spans="1:2" x14ac:dyDescent="0.25">
      <c r="A21273" s="64" t="str">
        <f>HYPERLINK("http://www.twitter.com/PGScotCulture", "PGScotCulture")</f>
        <v>PGScotCulture</v>
      </c>
      <c r="B21273" s="65" t="s">
        <v>10017</v>
      </c>
    </row>
    <row r="21274" spans="1:2" x14ac:dyDescent="0.25">
      <c r="A21274" s="64" t="str">
        <f>HYPERLINK("http://www.twitter.com/hina3661", "hina3661")</f>
        <v>hina3661</v>
      </c>
      <c r="B21274" s="65"/>
    </row>
    <row r="21275" spans="1:2" x14ac:dyDescent="0.25">
      <c r="A21275" s="64" t="str">
        <f>HYPERLINK("http://www.twitter.com/lamlibs", "lamlibs")</f>
        <v>lamlibs</v>
      </c>
      <c r="B21275" s="65" t="s">
        <v>572</v>
      </c>
    </row>
    <row r="21276" spans="1:2" x14ac:dyDescent="0.25">
      <c r="A21276" s="64" t="str">
        <f>HYPERLINK("http://www.twitter.com/kendonaldsontwi", "kendonaldsontwi")</f>
        <v>kendonaldsontwi</v>
      </c>
      <c r="B21276" s="65" t="s">
        <v>10018</v>
      </c>
    </row>
    <row r="21277" spans="1:2" x14ac:dyDescent="0.25">
      <c r="A21277" s="64" t="str">
        <f>HYPERLINK("http://www.twitter.com/SuttonLibraries", "SuttonLibraries")</f>
        <v>SuttonLibraries</v>
      </c>
      <c r="B21277" s="65" t="s">
        <v>675</v>
      </c>
    </row>
    <row r="21278" spans="1:2" x14ac:dyDescent="0.25">
      <c r="A21278" s="64" t="str">
        <f>HYPERLINK("http://www.twitter.com/fingallibraries", "fingallibraries")</f>
        <v>fingallibraries</v>
      </c>
      <c r="B21278" s="65" t="s">
        <v>10019</v>
      </c>
    </row>
    <row r="21279" spans="1:2" x14ac:dyDescent="0.25">
      <c r="A21279" s="64" t="str">
        <f>HYPERLINK("http://www.twitter.com/johnmcintosh408", "johnmcintosh408")</f>
        <v>johnmcintosh408</v>
      </c>
      <c r="B21279" s="65"/>
    </row>
    <row r="21280" spans="1:2" x14ac:dyDescent="0.25">
      <c r="A21280" s="64" t="str">
        <f>HYPERLINK("http://www.twitter.com/SRUCEnvironment", "SRUCEnvironment")</f>
        <v>SRUCEnvironment</v>
      </c>
      <c r="B21280" s="65"/>
    </row>
    <row r="21281" spans="1:2" x14ac:dyDescent="0.25">
      <c r="A21281" s="64" t="str">
        <f>HYPERLINK("http://www.twitter.com/jainesykes", "jainesykes")</f>
        <v>jainesykes</v>
      </c>
      <c r="B21281" s="65"/>
    </row>
    <row r="21282" spans="1:2" x14ac:dyDescent="0.25">
      <c r="A21282" s="64" t="str">
        <f>HYPERLINK("http://www.twitter.com/AnnFHubbard", "AnnFHubbard")</f>
        <v>AnnFHubbard</v>
      </c>
      <c r="B21282" s="65"/>
    </row>
    <row r="21283" spans="1:2" x14ac:dyDescent="0.25">
      <c r="A21283" s="64" t="str">
        <f>HYPERLINK("http://www.twitter.com/efd4d5d74f72426", "efd4d5d74f72426")</f>
        <v>efd4d5d74f72426</v>
      </c>
      <c r="B21283" s="65"/>
    </row>
    <row r="21284" spans="1:2" x14ac:dyDescent="0.25">
      <c r="A21284" s="64" t="str">
        <f>HYPERLINK("http://www.twitter.com/GemmaBurns83", "GemmaBurns83")</f>
        <v>GemmaBurns83</v>
      </c>
      <c r="B21284" s="65" t="s">
        <v>10020</v>
      </c>
    </row>
    <row r="21285" spans="1:2" x14ac:dyDescent="0.25">
      <c r="A21285" s="64" t="str">
        <f>HYPERLINK("http://www.twitter.com/TimMcKinstry", "TimMcKinstry")</f>
        <v>TimMcKinstry</v>
      </c>
      <c r="B21285" s="65" t="s">
        <v>2595</v>
      </c>
    </row>
    <row r="21286" spans="1:2" x14ac:dyDescent="0.25">
      <c r="A21286" s="64" t="str">
        <f>HYPERLINK("http://www.twitter.com/SlBrodersen", "SlBrodersen")</f>
        <v>SlBrodersen</v>
      </c>
      <c r="B21286" s="65" t="s">
        <v>4010</v>
      </c>
    </row>
    <row r="21287" spans="1:2" x14ac:dyDescent="0.25">
      <c r="A21287" s="64" t="str">
        <f>HYPERLINK("http://www.twitter.com/kieranolibrary", "kieranolibrary")</f>
        <v>kieranolibrary</v>
      </c>
      <c r="B21287" s="65" t="s">
        <v>10021</v>
      </c>
    </row>
    <row r="21288" spans="1:2" x14ac:dyDescent="0.25">
      <c r="A21288" s="64" t="str">
        <f>HYPERLINK("http://www.twitter.com/KrazyKlaws5290", "KrazyKlaws5290")</f>
        <v>KrazyKlaws5290</v>
      </c>
      <c r="B21288" s="65" t="s">
        <v>3040</v>
      </c>
    </row>
    <row r="21289" spans="1:2" x14ac:dyDescent="0.25">
      <c r="A21289" s="64" t="str">
        <f>HYPERLINK("http://www.twitter.com/beanstalk10", "beanstalk10")</f>
        <v>beanstalk10</v>
      </c>
      <c r="B21289" s="65"/>
    </row>
    <row r="21290" spans="1:2" x14ac:dyDescent="0.25">
      <c r="A21290" s="64" t="str">
        <f>HYPERLINK("http://www.twitter.com/sheilabeth13", "sheilabeth13")</f>
        <v>sheilabeth13</v>
      </c>
      <c r="B21290" s="65"/>
    </row>
    <row r="21291" spans="1:2" x14ac:dyDescent="0.25">
      <c r="A21291" s="64" t="str">
        <f>HYPERLINK("http://www.twitter.com/fuzzle7777", "fuzzle7777")</f>
        <v>fuzzle7777</v>
      </c>
      <c r="B21291" s="65" t="s">
        <v>1490</v>
      </c>
    </row>
    <row r="21292" spans="1:2" x14ac:dyDescent="0.25">
      <c r="A21292" s="64" t="str">
        <f>HYPERLINK("http://www.twitter.com/neilreidptk", "neilreidptk")</f>
        <v>neilreidptk</v>
      </c>
      <c r="B21292" s="65" t="s">
        <v>10022</v>
      </c>
    </row>
    <row r="21293" spans="1:2" x14ac:dyDescent="0.25">
      <c r="A21293" s="64" t="str">
        <f>HYPERLINK("http://www.twitter.com/020_82NBR", "020_82NBR")</f>
        <v>020_82NBR</v>
      </c>
      <c r="B21293" s="65"/>
    </row>
    <row r="21294" spans="1:2" x14ac:dyDescent="0.25">
      <c r="A21294" s="64" t="str">
        <f>HYPERLINK("http://www.twitter.com/EmilieCBurack", "EmilieCBurack")</f>
        <v>EmilieCBurack</v>
      </c>
      <c r="B21294" s="65" t="s">
        <v>7722</v>
      </c>
    </row>
    <row r="21295" spans="1:2" x14ac:dyDescent="0.25">
      <c r="A21295" s="64" t="str">
        <f>HYPERLINK("http://www.twitter.com/LesleyAnders", "LesleyAnders")</f>
        <v>LesleyAnders</v>
      </c>
      <c r="B21295" s="65"/>
    </row>
    <row r="21296" spans="1:2" x14ac:dyDescent="0.25">
      <c r="A21296" s="64" t="str">
        <f>HYPERLINK("http://www.twitter.com/SPplastics", "SPplastics")</f>
        <v>SPplastics</v>
      </c>
      <c r="B21296" s="65" t="s">
        <v>10023</v>
      </c>
    </row>
    <row r="21297" spans="1:2" x14ac:dyDescent="0.25">
      <c r="A21297" s="64" t="str">
        <f>HYPERLINK("http://www.twitter.com/LearnDevon", "LearnDevon")</f>
        <v>LearnDevon</v>
      </c>
      <c r="B21297" s="65" t="s">
        <v>203</v>
      </c>
    </row>
    <row r="21298" spans="1:2" x14ac:dyDescent="0.25">
      <c r="A21298" s="64" t="str">
        <f>HYPERLINK("http://www.twitter.com/abbiegarrington", "abbiegarrington")</f>
        <v>abbiegarrington</v>
      </c>
      <c r="B21298" s="65" t="s">
        <v>24</v>
      </c>
    </row>
    <row r="21299" spans="1:2" x14ac:dyDescent="0.25">
      <c r="A21299" s="64" t="str">
        <f>HYPERLINK("http://www.twitter.com/jeremycripps", "jeremycripps")</f>
        <v>jeremycripps</v>
      </c>
      <c r="B21299" s="65" t="s">
        <v>10024</v>
      </c>
    </row>
    <row r="21300" spans="1:2" x14ac:dyDescent="0.25">
      <c r="A21300" s="64" t="str">
        <f>HYPERLINK("http://www.twitter.com/TraceyJGarrett", "TraceyJGarrett")</f>
        <v>TraceyJGarrett</v>
      </c>
      <c r="B21300" s="65"/>
    </row>
    <row r="21301" spans="1:2" x14ac:dyDescent="0.25">
      <c r="A21301" s="64" t="str">
        <f>HYPERLINK("http://www.twitter.com/Grl_Rdr", "Grl_Rdr")</f>
        <v>Grl_Rdr</v>
      </c>
      <c r="B21301" s="65"/>
    </row>
    <row r="21302" spans="1:2" x14ac:dyDescent="0.25">
      <c r="A21302" s="64" t="str">
        <f>HYPERLINK("http://www.twitter.com/Jacqui_Church", "Jacqui_Church")</f>
        <v>Jacqui_Church</v>
      </c>
      <c r="B21302" s="65"/>
    </row>
    <row r="21303" spans="1:2" x14ac:dyDescent="0.25">
      <c r="A21303" s="64" t="str">
        <f>HYPERLINK("http://www.twitter.com/sazarkle", "sazarkle")</f>
        <v>sazarkle</v>
      </c>
      <c r="B21303" s="65" t="s">
        <v>10025</v>
      </c>
    </row>
    <row r="21304" spans="1:2" x14ac:dyDescent="0.25">
      <c r="A21304" s="64" t="str">
        <f>HYPERLINK("http://www.twitter.com/mpi062", "mpi062")</f>
        <v>mpi062</v>
      </c>
      <c r="B21304" s="65"/>
    </row>
    <row r="21305" spans="1:2" x14ac:dyDescent="0.25">
      <c r="A21305" s="64" t="str">
        <f>HYPERLINK("http://www.twitter.com/jenloo82", "jenloo82")</f>
        <v>jenloo82</v>
      </c>
      <c r="B21305" s="65" t="s">
        <v>5976</v>
      </c>
    </row>
    <row r="21306" spans="1:2" x14ac:dyDescent="0.25">
      <c r="A21306" s="64" t="str">
        <f>HYPERLINK("http://www.twitter.com/TheSkizzlebies", "TheSkizzlebies")</f>
        <v>TheSkizzlebies</v>
      </c>
      <c r="B21306" s="65" t="s">
        <v>10026</v>
      </c>
    </row>
    <row r="21307" spans="1:2" x14ac:dyDescent="0.25">
      <c r="A21307" s="64" t="str">
        <f>HYPERLINK("http://www.twitter.com/trimroy", "trimroy")</f>
        <v>trimroy</v>
      </c>
      <c r="B21307" s="65" t="s">
        <v>10027</v>
      </c>
    </row>
    <row r="21308" spans="1:2" x14ac:dyDescent="0.25">
      <c r="A21308" s="64" t="str">
        <f>HYPERLINK("http://www.twitter.com/oRoseyo", "oRoseyo")</f>
        <v>oRoseyo</v>
      </c>
      <c r="B21308" s="65" t="s">
        <v>630</v>
      </c>
    </row>
    <row r="21309" spans="1:2" x14ac:dyDescent="0.25">
      <c r="A21309" s="64" t="str">
        <f>HYPERLINK("http://www.twitter.com/TheSharedReader", "TheSharedReader")</f>
        <v>TheSharedReader</v>
      </c>
      <c r="B21309" s="65" t="s">
        <v>10028</v>
      </c>
    </row>
    <row r="21310" spans="1:2" x14ac:dyDescent="0.25">
      <c r="A21310" s="64" t="str">
        <f>HYPERLINK("http://www.twitter.com/Magdaleena998", "Magdaleena998")</f>
        <v>Magdaleena998</v>
      </c>
      <c r="B21310" s="65"/>
    </row>
    <row r="21311" spans="1:2" x14ac:dyDescent="0.25">
      <c r="A21311" s="64" t="str">
        <f>HYPERLINK("http://www.twitter.com/DavorGoldie", "DavorGoldie")</f>
        <v>DavorGoldie</v>
      </c>
      <c r="B21311" s="65" t="s">
        <v>10029</v>
      </c>
    </row>
    <row r="21312" spans="1:2" x14ac:dyDescent="0.25">
      <c r="A21312" s="64" t="str">
        <f>HYPERLINK("http://www.twitter.com/libgal79", "libgal79")</f>
        <v>libgal79</v>
      </c>
      <c r="B21312" s="65" t="s">
        <v>10030</v>
      </c>
    </row>
    <row r="21313" spans="1:2" x14ac:dyDescent="0.25">
      <c r="A21313" s="64" t="str">
        <f>HYPERLINK("http://www.twitter.com/hurstvillelmg", "hurstvillelmg")</f>
        <v>hurstvillelmg</v>
      </c>
      <c r="B21313" s="65" t="s">
        <v>10031</v>
      </c>
    </row>
    <row r="21314" spans="1:2" x14ac:dyDescent="0.25">
      <c r="A21314" s="64" t="str">
        <f>HYPERLINK("http://www.twitter.com/michelleramsell", "michelleramsell")</f>
        <v>michelleramsell</v>
      </c>
      <c r="B21314" s="65" t="s">
        <v>10032</v>
      </c>
    </row>
    <row r="21315" spans="1:2" x14ac:dyDescent="0.25">
      <c r="A21315" s="64" t="str">
        <f>HYPERLINK("http://www.twitter.com/annabison1", "annabison1")</f>
        <v>annabison1</v>
      </c>
      <c r="B21315" s="65" t="s">
        <v>5212</v>
      </c>
    </row>
    <row r="21316" spans="1:2" x14ac:dyDescent="0.25">
      <c r="A21316" s="64" t="str">
        <f>HYPERLINK("http://www.twitter.com/onke_jim", "onke_jim")</f>
        <v>onke_jim</v>
      </c>
      <c r="B21316" s="65" t="s">
        <v>10033</v>
      </c>
    </row>
    <row r="21317" spans="1:2" x14ac:dyDescent="0.25">
      <c r="A21317" s="64" t="str">
        <f>HYPERLINK("http://www.twitter.com/jlgr14", "jlgr14")</f>
        <v>jlgr14</v>
      </c>
      <c r="B21317" s="65"/>
    </row>
    <row r="21318" spans="1:2" x14ac:dyDescent="0.25">
      <c r="A21318" s="64" t="str">
        <f>HYPERLINK("http://www.twitter.com/LynnRailston", "LynnRailston")</f>
        <v>LynnRailston</v>
      </c>
      <c r="B21318" s="65"/>
    </row>
    <row r="21319" spans="1:2" x14ac:dyDescent="0.25">
      <c r="A21319" s="64" t="str">
        <f>HYPERLINK("http://www.twitter.com/gillyg76", "gillyg76")</f>
        <v>gillyg76</v>
      </c>
      <c r="B21319" s="65" t="s">
        <v>24</v>
      </c>
    </row>
    <row r="21320" spans="1:2" x14ac:dyDescent="0.25">
      <c r="A21320" s="64" t="str">
        <f>HYPERLINK("http://www.twitter.com/Chumlee90", "Chumlee90")</f>
        <v>Chumlee90</v>
      </c>
      <c r="B21320" s="65"/>
    </row>
    <row r="21321" spans="1:2" x14ac:dyDescent="0.25">
      <c r="A21321" s="64" t="str">
        <f>HYPERLINK("http://www.twitter.com/Jamboz99", "Jamboz99")</f>
        <v>Jamboz99</v>
      </c>
      <c r="B21321" s="65"/>
    </row>
    <row r="21322" spans="1:2" x14ac:dyDescent="0.25">
      <c r="A21322" s="64" t="str">
        <f>HYPERLINK("http://www.twitter.com/SAndracki", "SAndracki")</f>
        <v>SAndracki</v>
      </c>
      <c r="B21322" s="65"/>
    </row>
    <row r="21323" spans="1:2" x14ac:dyDescent="0.25">
      <c r="A21323" s="64" t="str">
        <f>HYPERLINK("http://www.twitter.com/juliebaby40", "juliebaby40")</f>
        <v>juliebaby40</v>
      </c>
      <c r="B21323" s="65"/>
    </row>
    <row r="21324" spans="1:2" x14ac:dyDescent="0.25">
      <c r="A21324" s="64" t="str">
        <f>HYPERLINK("http://www.twitter.com/LucinaMagic", "LucinaMagic")</f>
        <v>LucinaMagic</v>
      </c>
      <c r="B21324" s="65"/>
    </row>
    <row r="21325" spans="1:2" x14ac:dyDescent="0.25">
      <c r="A21325" s="64" t="str">
        <f>HYPERLINK("http://www.twitter.com/BramleyLibrary", "BramleyLibrary")</f>
        <v>BramleyLibrary</v>
      </c>
      <c r="B21325" s="65" t="s">
        <v>3284</v>
      </c>
    </row>
    <row r="21326" spans="1:2" x14ac:dyDescent="0.25">
      <c r="A21326" s="64" t="str">
        <f>HYPERLINK("http://www.twitter.com/RonBurges1964", "RonBurges1964")</f>
        <v>RonBurges1964</v>
      </c>
      <c r="B21326" s="65"/>
    </row>
    <row r="21327" spans="1:2" x14ac:dyDescent="0.25">
      <c r="A21327" s="64" t="str">
        <f>HYPERLINK("http://www.twitter.com/megbatty17", "megbatty17")</f>
        <v>megbatty17</v>
      </c>
      <c r="B21327" s="65" t="s">
        <v>3948</v>
      </c>
    </row>
    <row r="21328" spans="1:2" x14ac:dyDescent="0.25">
      <c r="A21328" s="64" t="str">
        <f>HYPERLINK("http://www.twitter.com/redsibboE17", "redsibboE17")</f>
        <v>redsibboE17</v>
      </c>
      <c r="B21328" s="65" t="s">
        <v>6667</v>
      </c>
    </row>
    <row r="21329" spans="1:2" x14ac:dyDescent="0.25">
      <c r="A21329" s="64" t="str">
        <f>HYPERLINK("http://www.twitter.com/steds_library", "steds_library")</f>
        <v>steds_library</v>
      </c>
      <c r="B21329" s="65" t="s">
        <v>2280</v>
      </c>
    </row>
    <row r="21330" spans="1:2" x14ac:dyDescent="0.25">
      <c r="A21330" s="64" t="str">
        <f>HYPERLINK("http://www.twitter.com/janskene", "janskene")</f>
        <v>janskene</v>
      </c>
      <c r="B21330" s="65" t="s">
        <v>477</v>
      </c>
    </row>
    <row r="21331" spans="1:2" x14ac:dyDescent="0.25">
      <c r="A21331" s="64" t="str">
        <f>HYPERLINK("http://www.twitter.com/MereGreenLib", "MereGreenLib")</f>
        <v>MereGreenLib</v>
      </c>
      <c r="B21331" s="65" t="s">
        <v>1462</v>
      </c>
    </row>
    <row r="21332" spans="1:2" x14ac:dyDescent="0.25">
      <c r="A21332" s="64" t="str">
        <f>HYPERLINK("http://www.twitter.com/IngaNicolson", "IngaNicolson")</f>
        <v>IngaNicolson</v>
      </c>
      <c r="B21332" s="65"/>
    </row>
    <row r="21333" spans="1:2" x14ac:dyDescent="0.25">
      <c r="A21333" s="64" t="str">
        <f>HYPERLINK("http://www.twitter.com/dwarmstr", "dwarmstr")</f>
        <v>dwarmstr</v>
      </c>
      <c r="B21333" s="65"/>
    </row>
    <row r="21334" spans="1:2" x14ac:dyDescent="0.25">
      <c r="A21334" s="64" t="str">
        <f>HYPERLINK("http://www.twitter.com/fuiuk", "fuiuk")</f>
        <v>fuiuk</v>
      </c>
      <c r="B21334" s="65" t="s">
        <v>10034</v>
      </c>
    </row>
    <row r="21335" spans="1:2" x14ac:dyDescent="0.25">
      <c r="A21335" s="64" t="str">
        <f>HYPERLINK("http://www.twitter.com/PiCSviv", "PiCSviv")</f>
        <v>PiCSviv</v>
      </c>
      <c r="B21335" s="65" t="s">
        <v>4147</v>
      </c>
    </row>
    <row r="21336" spans="1:2" x14ac:dyDescent="0.25">
      <c r="A21336" s="64" t="str">
        <f>HYPERLINK("http://www.twitter.com/CindyFra1", "CindyFra1")</f>
        <v>CindyFra1</v>
      </c>
      <c r="B21336" s="65" t="s">
        <v>5591</v>
      </c>
    </row>
    <row r="21337" spans="1:2" x14ac:dyDescent="0.25">
      <c r="A21337" s="64" t="str">
        <f>HYPERLINK("http://www.twitter.com/antunes1268", "antunes1268")</f>
        <v>antunes1268</v>
      </c>
      <c r="B21337" s="65"/>
    </row>
    <row r="21338" spans="1:2" x14ac:dyDescent="0.25">
      <c r="A21338" s="64" t="str">
        <f>HYPERLINK("http://www.twitter.com/MyKingsley", "MyKingsley")</f>
        <v>MyKingsley</v>
      </c>
      <c r="B21338" s="65" t="s">
        <v>10035</v>
      </c>
    </row>
    <row r="21339" spans="1:2" x14ac:dyDescent="0.25">
      <c r="A21339" s="64" t="str">
        <f>HYPERLINK("http://www.twitter.com/Somers_Library", "Somers_Library")</f>
        <v>Somers_Library</v>
      </c>
      <c r="B21339" s="65" t="s">
        <v>10036</v>
      </c>
    </row>
    <row r="21340" spans="1:2" x14ac:dyDescent="0.25">
      <c r="A21340" s="64" t="str">
        <f>HYPERLINK("http://www.twitter.com/scrawlpunk", "scrawlpunk")</f>
        <v>scrawlpunk</v>
      </c>
      <c r="B21340" s="65"/>
    </row>
    <row r="21341" spans="1:2" x14ac:dyDescent="0.25">
      <c r="A21341" s="64" t="str">
        <f>HYPERLINK("http://www.twitter.com/velmadoo", "velmadoo")</f>
        <v>velmadoo</v>
      </c>
      <c r="B21341" s="65" t="s">
        <v>1876</v>
      </c>
    </row>
    <row r="21342" spans="1:2" x14ac:dyDescent="0.25">
      <c r="A21342" s="64" t="str">
        <f>HYPERLINK("http://www.twitter.com/VBarton42", "VBarton42")</f>
        <v>VBarton42</v>
      </c>
      <c r="B21342" s="65" t="s">
        <v>10037</v>
      </c>
    </row>
    <row r="21343" spans="1:2" x14ac:dyDescent="0.25">
      <c r="A21343" s="64" t="str">
        <f>HYPERLINK("http://www.twitter.com/aileendcook", "aileendcook")</f>
        <v>aileendcook</v>
      </c>
      <c r="B21343" s="65" t="s">
        <v>10038</v>
      </c>
    </row>
    <row r="21344" spans="1:2" x14ac:dyDescent="0.25">
      <c r="A21344" s="64" t="str">
        <f>HYPERLINK("http://www.twitter.com/PriaulxUser", "PriaulxUser")</f>
        <v>PriaulxUser</v>
      </c>
      <c r="B21344" s="65" t="s">
        <v>10039</v>
      </c>
    </row>
    <row r="21345" spans="1:2" x14ac:dyDescent="0.25">
      <c r="A21345" s="64" t="str">
        <f>HYPERLINK("http://www.twitter.com/jo_puzmama", "jo_puzmama")</f>
        <v>jo_puzmama</v>
      </c>
      <c r="B21345" s="65"/>
    </row>
    <row r="21346" spans="1:2" x14ac:dyDescent="0.25">
      <c r="A21346" s="64" t="str">
        <f>HYPERLINK("http://www.twitter.com/findthepatternz", "findthepatternz")</f>
        <v>findthepatternz</v>
      </c>
      <c r="B21346" s="65" t="s">
        <v>10040</v>
      </c>
    </row>
    <row r="21347" spans="1:2" x14ac:dyDescent="0.25">
      <c r="A21347" s="64" t="str">
        <f>HYPERLINK("http://www.twitter.com/blakktulip", "blakktulip")</f>
        <v>blakktulip</v>
      </c>
      <c r="B21347" s="65"/>
    </row>
    <row r="21348" spans="1:2" x14ac:dyDescent="0.25">
      <c r="A21348" s="64" t="str">
        <f>HYPERLINK("http://www.twitter.com/canbaylibraries", "canbaylibraries")</f>
        <v>canbaylibraries</v>
      </c>
      <c r="B21348" s="65" t="s">
        <v>10041</v>
      </c>
    </row>
    <row r="21349" spans="1:2" x14ac:dyDescent="0.25">
      <c r="A21349" s="64" t="str">
        <f>HYPERLINK("http://www.twitter.com/davidgwynnjones", "davidgwynnjones")</f>
        <v>davidgwynnjones</v>
      </c>
      <c r="B21349" s="65" t="s">
        <v>10042</v>
      </c>
    </row>
    <row r="21350" spans="1:2" x14ac:dyDescent="0.25">
      <c r="A21350" s="64" t="str">
        <f>HYPERLINK("http://www.twitter.com/woodlousehousem", "woodlousehousem")</f>
        <v>woodlousehousem</v>
      </c>
      <c r="B21350" s="65"/>
    </row>
    <row r="21351" spans="1:2" x14ac:dyDescent="0.25">
      <c r="A21351" s="64" t="str">
        <f>HYPERLINK("http://www.twitter.com/cyclepath45", "cyclepath45")</f>
        <v>cyclepath45</v>
      </c>
      <c r="B21351" s="65" t="s">
        <v>5876</v>
      </c>
    </row>
    <row r="21352" spans="1:2" x14ac:dyDescent="0.25">
      <c r="A21352" s="64" t="str">
        <f>HYPERLINK("http://www.twitter.com/sallyrob15", "sallyrob15")</f>
        <v>sallyrob15</v>
      </c>
      <c r="B21352" s="65"/>
    </row>
    <row r="21353" spans="1:2" x14ac:dyDescent="0.25">
      <c r="A21353" s="64" t="str">
        <f>HYPERLINK("http://www.twitter.com/lisarobb", "lisarobb")</f>
        <v>lisarobb</v>
      </c>
      <c r="B21353" s="65" t="s">
        <v>517</v>
      </c>
    </row>
    <row r="21354" spans="1:2" x14ac:dyDescent="0.25">
      <c r="A21354" s="64" t="str">
        <f>HYPERLINK("http://www.twitter.com/MCC_Lib", "MCC_Lib")</f>
        <v>MCC_Lib</v>
      </c>
      <c r="B21354" s="65" t="s">
        <v>10043</v>
      </c>
    </row>
    <row r="21355" spans="1:2" x14ac:dyDescent="0.25">
      <c r="A21355" s="64" t="str">
        <f>HYPERLINK("http://www.twitter.com/flipforwork", "flipforwork")</f>
        <v>flipforwork</v>
      </c>
      <c r="B21355" s="65"/>
    </row>
    <row r="21356" spans="1:2" x14ac:dyDescent="0.25">
      <c r="A21356" s="64" t="str">
        <f>HYPERLINK("http://www.twitter.com/NHSGArchives", "NHSGArchives")</f>
        <v>NHSGArchives</v>
      </c>
      <c r="B21356" s="65" t="s">
        <v>10044</v>
      </c>
    </row>
    <row r="21357" spans="1:2" x14ac:dyDescent="0.25">
      <c r="A21357" s="64" t="str">
        <f>HYPERLINK("http://www.twitter.com/Redmolly2", "Redmolly2")</f>
        <v>Redmolly2</v>
      </c>
      <c r="B21357" s="65"/>
    </row>
    <row r="21358" spans="1:2" x14ac:dyDescent="0.25">
      <c r="A21358" s="64" t="str">
        <f>HYPERLINK("http://www.twitter.com/jayarmstrong_", "jayarmstrong_")</f>
        <v>jayarmstrong_</v>
      </c>
      <c r="B21358" s="65" t="s">
        <v>70</v>
      </c>
    </row>
    <row r="21359" spans="1:2" x14ac:dyDescent="0.25">
      <c r="A21359" s="64" t="str">
        <f>HYPERLINK("http://www.twitter.com/storyteller_int", "storyteller_int")</f>
        <v>storyteller_int</v>
      </c>
      <c r="B21359" s="65" t="s">
        <v>1295</v>
      </c>
    </row>
    <row r="21360" spans="1:2" x14ac:dyDescent="0.25">
      <c r="A21360" s="64" t="str">
        <f>HYPERLINK("http://www.twitter.com/scott_forbes", "scott_forbes")</f>
        <v>scott_forbes</v>
      </c>
      <c r="B21360" s="65" t="s">
        <v>67</v>
      </c>
    </row>
    <row r="21361" spans="1:2" x14ac:dyDescent="0.25">
      <c r="A21361" s="64" t="str">
        <f>HYPERLINK("http://www.twitter.com/tuhin_garai", "tuhin_garai")</f>
        <v>tuhin_garai</v>
      </c>
      <c r="B21361" s="65"/>
    </row>
    <row r="21362" spans="1:2" x14ac:dyDescent="0.25">
      <c r="A21362" s="64" t="str">
        <f>HYPERLINK("http://www.twitter.com/RCSEdArchive", "RCSEdArchive")</f>
        <v>RCSEdArchive</v>
      </c>
      <c r="B21362" s="65" t="s">
        <v>24</v>
      </c>
    </row>
    <row r="21363" spans="1:2" x14ac:dyDescent="0.25">
      <c r="A21363" s="64" t="str">
        <f>HYPERLINK("http://www.twitter.com/evdougherty", "evdougherty")</f>
        <v>evdougherty</v>
      </c>
      <c r="B21363" s="65" t="s">
        <v>24</v>
      </c>
    </row>
    <row r="21364" spans="1:2" x14ac:dyDescent="0.25">
      <c r="A21364" s="64" t="str">
        <f>HYPERLINK("http://www.twitter.com/jamie0pearce", "jamie0pearce")</f>
        <v>jamie0pearce</v>
      </c>
      <c r="B21364" s="65" t="s">
        <v>10045</v>
      </c>
    </row>
    <row r="21365" spans="1:2" x14ac:dyDescent="0.25">
      <c r="A21365" s="64" t="str">
        <f>HYPERLINK("http://www.twitter.com/costingwales", "costingwales")</f>
        <v>costingwales</v>
      </c>
      <c r="B21365" s="65" t="s">
        <v>1221</v>
      </c>
    </row>
    <row r="21366" spans="1:2" x14ac:dyDescent="0.25">
      <c r="A21366" s="64" t="str">
        <f>HYPERLINK("http://www.twitter.com/zclibrary", "zclibrary")</f>
        <v>zclibrary</v>
      </c>
      <c r="B21366" s="65" t="s">
        <v>6500</v>
      </c>
    </row>
    <row r="21367" spans="1:2" x14ac:dyDescent="0.25">
      <c r="A21367" s="64" t="str">
        <f>HYPERLINK("http://www.twitter.com/Poca_Hontas_", "Poca_Hontas_")</f>
        <v>Poca_Hontas_</v>
      </c>
      <c r="B21367" s="65" t="s">
        <v>4537</v>
      </c>
    </row>
    <row r="21368" spans="1:2" x14ac:dyDescent="0.25">
      <c r="A21368" s="64" t="str">
        <f>HYPERLINK("http://www.twitter.com/KatieFreeman1", "KatieFreeman1")</f>
        <v>KatieFreeman1</v>
      </c>
      <c r="B21368" s="65" t="s">
        <v>1046</v>
      </c>
    </row>
    <row r="21369" spans="1:2" x14ac:dyDescent="0.25">
      <c r="A21369" s="64" t="str">
        <f>HYPERLINK("http://www.twitter.com/alyssaharad", "alyssaharad")</f>
        <v>alyssaharad</v>
      </c>
      <c r="B21369" s="65" t="s">
        <v>10046</v>
      </c>
    </row>
    <row r="21370" spans="1:2" x14ac:dyDescent="0.25">
      <c r="A21370" s="64" t="str">
        <f>HYPERLINK("http://www.twitter.com/StevenHeddle", "StevenHeddle")</f>
        <v>StevenHeddle</v>
      </c>
      <c r="B21370" s="65" t="s">
        <v>4227</v>
      </c>
    </row>
    <row r="21371" spans="1:2" x14ac:dyDescent="0.25">
      <c r="A21371" s="64" t="str">
        <f>HYPERLINK("http://www.twitter.com/Capulus_Vulpus", "Capulus_Vulpus")</f>
        <v>Capulus_Vulpus</v>
      </c>
      <c r="B21371" s="65" t="s">
        <v>10047</v>
      </c>
    </row>
    <row r="21372" spans="1:2" x14ac:dyDescent="0.25">
      <c r="A21372" s="64" t="str">
        <f>HYPERLINK("http://www.twitter.com/hackleyref", "hackleyref")</f>
        <v>hackleyref</v>
      </c>
      <c r="B21372" s="65" t="s">
        <v>10048</v>
      </c>
    </row>
    <row r="21373" spans="1:2" x14ac:dyDescent="0.25">
      <c r="A21373" s="64" t="str">
        <f>HYPERLINK("http://www.twitter.com/mattytong", "mattytong")</f>
        <v>mattytong</v>
      </c>
      <c r="B21373" s="65" t="s">
        <v>36</v>
      </c>
    </row>
    <row r="21374" spans="1:2" x14ac:dyDescent="0.25">
      <c r="A21374" s="64" t="str">
        <f>HYPERLINK("http://www.twitter.com/DorsetSky", "DorsetSky")</f>
        <v>DorsetSky</v>
      </c>
      <c r="B21374" s="65"/>
    </row>
    <row r="21375" spans="1:2" x14ac:dyDescent="0.25">
      <c r="A21375" s="64" t="str">
        <f>HYPERLINK("http://www.twitter.com/Jenny_R_Lee", "Jenny_R_Lee")</f>
        <v>Jenny_R_Lee</v>
      </c>
      <c r="B21375" s="65" t="s">
        <v>9758</v>
      </c>
    </row>
    <row r="21376" spans="1:2" x14ac:dyDescent="0.25">
      <c r="A21376" s="64" t="str">
        <f>HYPERLINK("http://www.twitter.com/CarolineRussell", "CarolineRussell")</f>
        <v>CarolineRussell</v>
      </c>
      <c r="B21376" s="65" t="s">
        <v>36</v>
      </c>
    </row>
    <row r="21377" spans="1:2" x14ac:dyDescent="0.25">
      <c r="A21377" s="64" t="str">
        <f>HYPERLINK("http://www.twitter.com/giovannagiova14", "giovannagiova14")</f>
        <v>giovannagiova14</v>
      </c>
      <c r="B21377" s="65"/>
    </row>
    <row r="21378" spans="1:2" x14ac:dyDescent="0.25">
      <c r="A21378" s="64" t="str">
        <f>HYPERLINK("http://www.twitter.com/mrcakey", "mrcakey")</f>
        <v>mrcakey</v>
      </c>
      <c r="B21378" s="65" t="s">
        <v>10049</v>
      </c>
    </row>
    <row r="21379" spans="1:2" x14ac:dyDescent="0.25">
      <c r="A21379" s="64" t="str">
        <f>HYPERLINK("http://www.twitter.com/mutecypher", "mutecypher")</f>
        <v>mutecypher</v>
      </c>
      <c r="B21379" s="65" t="s">
        <v>10050</v>
      </c>
    </row>
    <row r="21380" spans="1:2" x14ac:dyDescent="0.25">
      <c r="A21380" s="64" t="str">
        <f>HYPERLINK("http://www.twitter.com/AlisonLarkinTEA", "AlisonLarkinTEA")</f>
        <v>AlisonLarkinTEA</v>
      </c>
      <c r="B21380" s="65" t="s">
        <v>4039</v>
      </c>
    </row>
    <row r="21381" spans="1:2" x14ac:dyDescent="0.25">
      <c r="A21381" s="64" t="str">
        <f>HYPERLINK("http://www.twitter.com/ushawcollege", "ushawcollege")</f>
        <v>ushawcollege</v>
      </c>
      <c r="B21381" s="65" t="s">
        <v>10051</v>
      </c>
    </row>
    <row r="21382" spans="1:2" x14ac:dyDescent="0.25">
      <c r="A21382" s="64" t="str">
        <f>HYPERLINK("http://www.twitter.com/sgodson", "sgodson")</f>
        <v>sgodson</v>
      </c>
      <c r="B21382" s="65" t="s">
        <v>10052</v>
      </c>
    </row>
    <row r="21383" spans="1:2" x14ac:dyDescent="0.25">
      <c r="A21383" s="64" t="str">
        <f>HYPERLINK("http://www.twitter.com/skaillhouse", "skaillhouse")</f>
        <v>skaillhouse</v>
      </c>
      <c r="B21383" s="65" t="s">
        <v>20</v>
      </c>
    </row>
    <row r="21384" spans="1:2" x14ac:dyDescent="0.25">
      <c r="A21384" s="64" t="str">
        <f>HYPERLINK("http://www.twitter.com/DangerousMere", "DangerousMere")</f>
        <v>DangerousMere</v>
      </c>
      <c r="B21384" s="65" t="s">
        <v>3779</v>
      </c>
    </row>
    <row r="21385" spans="1:2" x14ac:dyDescent="0.25">
      <c r="A21385" s="64" t="str">
        <f>HYPERLINK("http://www.twitter.com/Historian4Hire", "Historian4Hire")</f>
        <v>Historian4Hire</v>
      </c>
      <c r="B21385" s="65"/>
    </row>
    <row r="21386" spans="1:2" x14ac:dyDescent="0.25">
      <c r="A21386" s="64" t="str">
        <f>HYPERLINK("http://www.twitter.com/RuthDavey1", "RuthDavey1")</f>
        <v>RuthDavey1</v>
      </c>
      <c r="B21386" s="65"/>
    </row>
    <row r="21387" spans="1:2" x14ac:dyDescent="0.25">
      <c r="A21387" s="64" t="str">
        <f>HYPERLINK("http://www.twitter.com/notoriousjwc", "notoriousjwc")</f>
        <v>notoriousjwc</v>
      </c>
      <c r="B21387" s="65" t="s">
        <v>10053</v>
      </c>
    </row>
    <row r="21388" spans="1:2" x14ac:dyDescent="0.25">
      <c r="A21388" s="64" t="str">
        <f>HYPERLINK("http://www.twitter.com/FestivalRevolt", "FestivalRevolt")</f>
        <v>FestivalRevolt</v>
      </c>
      <c r="B21388" s="65"/>
    </row>
    <row r="21389" spans="1:2" x14ac:dyDescent="0.25">
      <c r="A21389" s="64" t="str">
        <f>HYPERLINK("http://www.twitter.com/westings", "westings")</f>
        <v>westings</v>
      </c>
      <c r="B21389" s="65" t="s">
        <v>2134</v>
      </c>
    </row>
    <row r="21390" spans="1:2" x14ac:dyDescent="0.25">
      <c r="A21390" s="64" t="str">
        <f>HYPERLINK("http://www.twitter.com/LucyOwl", "LucyOwl")</f>
        <v>LucyOwl</v>
      </c>
      <c r="B21390" s="65" t="s">
        <v>33</v>
      </c>
    </row>
    <row r="21391" spans="1:2" x14ac:dyDescent="0.25">
      <c r="A21391" s="64" t="str">
        <f>HYPERLINK("http://www.twitter.com/Eloise23", "Eloise23")</f>
        <v>Eloise23</v>
      </c>
      <c r="B21391" s="65"/>
    </row>
    <row r="21392" spans="1:2" x14ac:dyDescent="0.25">
      <c r="A21392" s="64" t="str">
        <f>HYPERLINK("http://www.twitter.com/BTextileArchive", "BTextileArchive")</f>
        <v>BTextileArchive</v>
      </c>
      <c r="B21392" s="65" t="s">
        <v>10054</v>
      </c>
    </row>
    <row r="21393" spans="1:2" x14ac:dyDescent="0.25">
      <c r="A21393" s="64" t="str">
        <f>HYPERLINK("http://www.twitter.com/mullerism", "mullerism")</f>
        <v>mullerism</v>
      </c>
      <c r="B21393" s="65" t="s">
        <v>427</v>
      </c>
    </row>
    <row r="21394" spans="1:2" x14ac:dyDescent="0.25">
      <c r="A21394" s="64" t="str">
        <f>HYPERLINK("http://www.twitter.com/TomeOnMyHands", "TomeOnMyHands")</f>
        <v>TomeOnMyHands</v>
      </c>
      <c r="B21394" s="65"/>
    </row>
    <row r="21395" spans="1:2" x14ac:dyDescent="0.25">
      <c r="A21395" s="64" t="str">
        <f>HYPERLINK("http://www.twitter.com/louisebichan", "louisebichan")</f>
        <v>louisebichan</v>
      </c>
      <c r="B21395" s="65" t="s">
        <v>318</v>
      </c>
    </row>
    <row r="21396" spans="1:2" x14ac:dyDescent="0.25">
      <c r="A21396" s="64" t="str">
        <f>HYPERLINK("http://www.twitter.com/MakmalPSB", "MakmalPSB")</f>
        <v>MakmalPSB</v>
      </c>
      <c r="B21396" s="65" t="s">
        <v>10055</v>
      </c>
    </row>
    <row r="21397" spans="1:2" x14ac:dyDescent="0.25">
      <c r="A21397" s="64" t="str">
        <f>HYPERLINK("http://www.twitter.com/BonadventureJr", "BonadventureJr")</f>
        <v>BonadventureJr</v>
      </c>
      <c r="B21397" s="65"/>
    </row>
    <row r="21398" spans="1:2" x14ac:dyDescent="0.25">
      <c r="A21398" s="64" t="str">
        <f>HYPERLINK("http://www.twitter.com/indro63", "indro63")</f>
        <v>indro63</v>
      </c>
      <c r="B21398" s="65"/>
    </row>
    <row r="21399" spans="1:2" x14ac:dyDescent="0.25">
      <c r="A21399" s="64" t="str">
        <f>HYPERLINK("http://www.twitter.com/thekelburrows", "thekelburrows")</f>
        <v>thekelburrows</v>
      </c>
      <c r="B21399" s="65"/>
    </row>
    <row r="21400" spans="1:2" x14ac:dyDescent="0.25">
      <c r="A21400" s="64" t="str">
        <f>HYPERLINK("http://www.twitter.com/BlackwellsAbdn", "BlackwellsAbdn")</f>
        <v>BlackwellsAbdn</v>
      </c>
      <c r="B21400" s="65" t="s">
        <v>10056</v>
      </c>
    </row>
    <row r="21401" spans="1:2" x14ac:dyDescent="0.25">
      <c r="A21401" s="64" t="str">
        <f>HYPERLINK("http://www.twitter.com/admacp", "admacp")</f>
        <v>admacp</v>
      </c>
      <c r="B21401" s="65"/>
    </row>
    <row r="21402" spans="1:2" x14ac:dyDescent="0.25">
      <c r="A21402" s="64" t="str">
        <f>HYPERLINK("http://www.twitter.com/Alisondrem", "Alisondrem")</f>
        <v>Alisondrem</v>
      </c>
      <c r="B21402" s="65"/>
    </row>
    <row r="21403" spans="1:2" x14ac:dyDescent="0.25">
      <c r="A21403" s="64" t="str">
        <f>HYPERLINK("http://www.twitter.com/SuzeLikesCake", "SuzeLikesCake")</f>
        <v>SuzeLikesCake</v>
      </c>
      <c r="B21403" s="65" t="s">
        <v>10057</v>
      </c>
    </row>
    <row r="21404" spans="1:2" x14ac:dyDescent="0.25">
      <c r="A21404" s="64" t="str">
        <f>HYPERLINK("http://www.twitter.com/kennymcelroy1", "kennymcelroy1")</f>
        <v>kennymcelroy1</v>
      </c>
      <c r="B21404" s="65" t="s">
        <v>4959</v>
      </c>
    </row>
    <row r="21405" spans="1:2" x14ac:dyDescent="0.25">
      <c r="A21405" s="64" t="str">
        <f>HYPERLINK("http://www.twitter.com/arthurascii", "arthurascii")</f>
        <v>arthurascii</v>
      </c>
      <c r="B21405" s="65" t="s">
        <v>10058</v>
      </c>
    </row>
    <row r="21406" spans="1:2" x14ac:dyDescent="0.25">
      <c r="A21406" s="64" t="str">
        <f>HYPERLINK("http://www.twitter.com/Macfack", "Macfack")</f>
        <v>Macfack</v>
      </c>
      <c r="B21406" s="65" t="s">
        <v>24</v>
      </c>
    </row>
    <row r="21407" spans="1:2" x14ac:dyDescent="0.25">
      <c r="A21407" s="64" t="str">
        <f>HYPERLINK("http://www.twitter.com/ExeterLibrary", "ExeterLibrary")</f>
        <v>ExeterLibrary</v>
      </c>
      <c r="B21407" s="65" t="s">
        <v>418</v>
      </c>
    </row>
    <row r="21408" spans="1:2" x14ac:dyDescent="0.25">
      <c r="A21408" s="64" t="str">
        <f>HYPERLINK("http://www.twitter.com/DeeCee334", "DeeCee334")</f>
        <v>DeeCee334</v>
      </c>
      <c r="B21408" s="65" t="s">
        <v>2007</v>
      </c>
    </row>
    <row r="21409" spans="1:2" x14ac:dyDescent="0.25">
      <c r="A21409" s="64" t="str">
        <f>HYPERLINK("http://www.twitter.com/chalj61", "chalj61")</f>
        <v>chalj61</v>
      </c>
      <c r="B21409" s="65"/>
    </row>
    <row r="21410" spans="1:2" x14ac:dyDescent="0.25">
      <c r="A21410" s="64" t="str">
        <f>HYPERLINK("http://www.twitter.com/Costingtheearth", "Costingtheearth")</f>
        <v>Costingtheearth</v>
      </c>
      <c r="B21410" s="65" t="s">
        <v>10059</v>
      </c>
    </row>
    <row r="21411" spans="1:2" x14ac:dyDescent="0.25">
      <c r="A21411" s="64" t="str">
        <f>HYPERLINK("http://www.twitter.com/Millingtonshire", "Millingtonshire")</f>
        <v>Millingtonshire</v>
      </c>
      <c r="B21411" s="65" t="s">
        <v>2843</v>
      </c>
    </row>
    <row r="21412" spans="1:2" x14ac:dyDescent="0.25">
      <c r="A21412" s="64" t="str">
        <f>HYPERLINK("http://www.twitter.com/booksaremybag", "booksaremybag")</f>
        <v>booksaremybag</v>
      </c>
      <c r="B21412" s="65" t="s">
        <v>10060</v>
      </c>
    </row>
    <row r="21413" spans="1:2" x14ac:dyDescent="0.25">
      <c r="A21413" s="64" t="str">
        <f>HYPERLINK("http://www.twitter.com/RustyJames95", "RustyJames95")</f>
        <v>RustyJames95</v>
      </c>
      <c r="B21413" s="65" t="s">
        <v>3793</v>
      </c>
    </row>
    <row r="21414" spans="1:2" x14ac:dyDescent="0.25">
      <c r="A21414" s="64" t="str">
        <f>HYPERLINK("http://www.twitter.com/AliceGravesy", "AliceGravesy")</f>
        <v>AliceGravesy</v>
      </c>
      <c r="B21414" s="65" t="s">
        <v>505</v>
      </c>
    </row>
    <row r="21415" spans="1:2" x14ac:dyDescent="0.25">
      <c r="A21415" s="64" t="str">
        <f>HYPERLINK("http://www.twitter.com/hannalizzi_", "hannalizzi_")</f>
        <v>hannalizzi_</v>
      </c>
      <c r="B21415" s="65" t="s">
        <v>10061</v>
      </c>
    </row>
    <row r="21416" spans="1:2" x14ac:dyDescent="0.25">
      <c r="A21416" s="64" t="str">
        <f>HYPERLINK("http://www.twitter.com/gfdunne", "gfdunne")</f>
        <v>gfdunne</v>
      </c>
      <c r="B21416" s="65" t="s">
        <v>10062</v>
      </c>
    </row>
    <row r="21417" spans="1:2" x14ac:dyDescent="0.25">
      <c r="A21417" s="64" t="str">
        <f>HYPERLINK("http://www.twitter.com/dominicg97", "dominicg97")</f>
        <v>dominicg97</v>
      </c>
      <c r="B21417" s="65"/>
    </row>
    <row r="21418" spans="1:2" x14ac:dyDescent="0.25">
      <c r="A21418" s="64" t="str">
        <f>HYPERLINK("http://www.twitter.com/CatMcManamon", "CatMcManamon")</f>
        <v>CatMcManamon</v>
      </c>
      <c r="B21418" s="65" t="s">
        <v>10063</v>
      </c>
    </row>
    <row r="21419" spans="1:2" x14ac:dyDescent="0.25">
      <c r="A21419" s="64" t="str">
        <f>HYPERLINK("http://www.twitter.com/Beth_Murray92", "Beth_Murray92")</f>
        <v>Beth_Murray92</v>
      </c>
      <c r="B21419" s="65" t="s">
        <v>4227</v>
      </c>
    </row>
    <row r="21420" spans="1:2" x14ac:dyDescent="0.25">
      <c r="A21420" s="64" t="str">
        <f>HYPERLINK("http://www.twitter.com/OAS_Orkney", "OAS_Orkney")</f>
        <v>OAS_Orkney</v>
      </c>
      <c r="B21420" s="65" t="s">
        <v>20</v>
      </c>
    </row>
    <row r="21421" spans="1:2" x14ac:dyDescent="0.25">
      <c r="A21421" s="64" t="str">
        <f>HYPERLINK("http://www.twitter.com/alisonbeckett7", "alisonbeckett7")</f>
        <v>alisonbeckett7</v>
      </c>
      <c r="B21421" s="65"/>
    </row>
    <row r="21422" spans="1:2" x14ac:dyDescent="0.25">
      <c r="A21422" s="64" t="str">
        <f>HYPERLINK("http://www.twitter.com/stuartneville", "stuartneville")</f>
        <v>stuartneville</v>
      </c>
      <c r="B21422" s="65" t="s">
        <v>7488</v>
      </c>
    </row>
    <row r="21423" spans="1:2" x14ac:dyDescent="0.25">
      <c r="A21423" s="64" t="str">
        <f>HYPERLINK("http://www.twitter.com/ollymursfansxox", "ollymursfansxox")</f>
        <v>ollymursfansxox</v>
      </c>
      <c r="B21423" s="65"/>
    </row>
    <row r="21424" spans="1:2" x14ac:dyDescent="0.25">
      <c r="A21424" s="64" t="str">
        <f>HYPERLINK("http://www.twitter.com/AaronnoraA", "AaronnoraA")</f>
        <v>AaronnoraA</v>
      </c>
      <c r="B21424" s="65" t="s">
        <v>4019</v>
      </c>
    </row>
    <row r="21425" spans="1:2" x14ac:dyDescent="0.25">
      <c r="A21425" s="64" t="str">
        <f>HYPERLINK("http://www.twitter.com/LauraKnowledge", "LauraKnowledge")</f>
        <v>LauraKnowledge</v>
      </c>
      <c r="B21425" s="65" t="s">
        <v>138</v>
      </c>
    </row>
    <row r="21426" spans="1:2" x14ac:dyDescent="0.25">
      <c r="A21426" s="64" t="str">
        <f>HYPERLINK("http://www.twitter.com/hearn_julia", "hearn_julia")</f>
        <v>hearn_julia</v>
      </c>
      <c r="B21426" s="65" t="s">
        <v>36</v>
      </c>
    </row>
    <row r="21427" spans="1:2" x14ac:dyDescent="0.25">
      <c r="A21427" s="64" t="str">
        <f>HYPERLINK("http://www.twitter.com/AhmadAAAG", "AhmadAAAG")</f>
        <v>AhmadAAAG</v>
      </c>
      <c r="B21427" s="65" t="s">
        <v>10064</v>
      </c>
    </row>
    <row r="21428" spans="1:2" x14ac:dyDescent="0.25">
      <c r="A21428" s="64" t="str">
        <f>HYPERLINK("http://www.twitter.com/hattirose", "hattirose")</f>
        <v>hattirose</v>
      </c>
      <c r="B21428" s="65" t="s">
        <v>3137</v>
      </c>
    </row>
    <row r="21429" spans="1:2" x14ac:dyDescent="0.25">
      <c r="A21429" s="64" t="str">
        <f>HYPERLINK("http://www.twitter.com/trowynt", "trowynt")</f>
        <v>trowynt</v>
      </c>
      <c r="B21429" s="65" t="s">
        <v>5567</v>
      </c>
    </row>
    <row r="21430" spans="1:2" x14ac:dyDescent="0.25">
      <c r="A21430" s="64" t="str">
        <f>HYPERLINK("http://www.twitter.com/kmnaylor9", "kmnaylor9")</f>
        <v>kmnaylor9</v>
      </c>
      <c r="B21430" s="65"/>
    </row>
    <row r="21431" spans="1:2" x14ac:dyDescent="0.25">
      <c r="A21431" s="64" t="str">
        <f>HYPERLINK("http://www.twitter.com/Spinnery1963", "Spinnery1963")</f>
        <v>Spinnery1963</v>
      </c>
      <c r="B21431" s="65" t="s">
        <v>4145</v>
      </c>
    </row>
    <row r="21432" spans="1:2" x14ac:dyDescent="0.25">
      <c r="A21432" s="64" t="str">
        <f>HYPERLINK("http://www.twitter.com/atheistaid", "atheistaid")</f>
        <v>atheistaid</v>
      </c>
      <c r="B21432" s="65"/>
    </row>
    <row r="21433" spans="1:2" x14ac:dyDescent="0.25">
      <c r="A21433" s="64" t="str">
        <f>HYPERLINK("http://www.twitter.com/MissJenniep", "MissJenniep")</f>
        <v>MissJenniep</v>
      </c>
      <c r="B21433" s="65" t="s">
        <v>477</v>
      </c>
    </row>
    <row r="21434" spans="1:2" x14ac:dyDescent="0.25">
      <c r="A21434" s="64" t="str">
        <f>HYPERLINK("http://www.twitter.com/BridgnorthLib", "BridgnorthLib")</f>
        <v>BridgnorthLib</v>
      </c>
      <c r="B21434" s="65" t="s">
        <v>1259</v>
      </c>
    </row>
    <row r="21435" spans="1:2" x14ac:dyDescent="0.25">
      <c r="A21435" s="64" t="str">
        <f>HYPERLINK("http://www.twitter.com/ireid3176", "ireid3176")</f>
        <v>ireid3176</v>
      </c>
      <c r="B21435" s="65" t="s">
        <v>4238</v>
      </c>
    </row>
    <row r="21436" spans="1:2" x14ac:dyDescent="0.25">
      <c r="A21436" s="64" t="str">
        <f>HYPERLINK("http://www.twitter.com/paul_martin11", "paul_martin11")</f>
        <v>paul_martin11</v>
      </c>
      <c r="B21436" s="65"/>
    </row>
    <row r="21437" spans="1:2" x14ac:dyDescent="0.25">
      <c r="A21437" s="64" t="str">
        <f>HYPERLINK("http://www.twitter.com/8birdsong", "8birdsong")</f>
        <v>8birdsong</v>
      </c>
      <c r="B21437" s="65"/>
    </row>
    <row r="21438" spans="1:2" x14ac:dyDescent="0.25">
      <c r="A21438" s="64" t="str">
        <f>HYPERLINK("http://www.twitter.com/CematkinsonUser", "CematkinsonUser")</f>
        <v>CematkinsonUser</v>
      </c>
      <c r="B21438" s="65" t="s">
        <v>10004</v>
      </c>
    </row>
    <row r="21439" spans="1:2" x14ac:dyDescent="0.25">
      <c r="A21439" s="64" t="str">
        <f>HYPERLINK("http://www.twitter.com/Carolinesattic", "Carolinesattic")</f>
        <v>Carolinesattic</v>
      </c>
      <c r="B21439" s="65" t="s">
        <v>10065</v>
      </c>
    </row>
    <row r="21440" spans="1:2" x14ac:dyDescent="0.25">
      <c r="A21440" s="64" t="str">
        <f>HYPERLINK("http://www.twitter.com/mrs_h_coops", "mrs_h_coops")</f>
        <v>mrs_h_coops</v>
      </c>
      <c r="B21440" s="65" t="s">
        <v>10066</v>
      </c>
    </row>
    <row r="21441" spans="1:2" x14ac:dyDescent="0.25">
      <c r="A21441" s="64" t="str">
        <f>HYPERLINK("http://www.twitter.com/jaffacakespider", "jaffacakespider")</f>
        <v>jaffacakespider</v>
      </c>
      <c r="B21441" s="65"/>
    </row>
    <row r="21442" spans="1:2" x14ac:dyDescent="0.25">
      <c r="A21442" s="64" t="str">
        <f>HYPERLINK("http://www.twitter.com/Orkneybaywatch", "Orkneybaywatch")</f>
        <v>Orkneybaywatch</v>
      </c>
      <c r="B21442" s="65"/>
    </row>
    <row r="21443" spans="1:2" x14ac:dyDescent="0.25">
      <c r="A21443" s="64" t="str">
        <f>HYPERLINK("http://www.twitter.com/archifydd", "archifydd")</f>
        <v>archifydd</v>
      </c>
      <c r="B21443" s="65" t="s">
        <v>4632</v>
      </c>
    </row>
    <row r="21444" spans="1:2" x14ac:dyDescent="0.25">
      <c r="A21444" s="64" t="str">
        <f>HYPERLINK("http://www.twitter.com/godfreycomplex", "godfreycomplex")</f>
        <v>godfreycomplex</v>
      </c>
      <c r="B21444" s="65" t="s">
        <v>10067</v>
      </c>
    </row>
    <row r="21445" spans="1:2" x14ac:dyDescent="0.25">
      <c r="A21445" s="64" t="str">
        <f>HYPERLINK("http://www.twitter.com/BrawlsHector", "BrawlsHector")</f>
        <v>BrawlsHector</v>
      </c>
      <c r="B21445" s="65"/>
    </row>
    <row r="21446" spans="1:2" x14ac:dyDescent="0.25">
      <c r="A21446" s="64" t="str">
        <f>HYPERLINK("http://www.twitter.com/claremackint0sh", "claremackint0sh")</f>
        <v>claremackint0sh</v>
      </c>
      <c r="B21446" s="65" t="s">
        <v>10068</v>
      </c>
    </row>
    <row r="21447" spans="1:2" x14ac:dyDescent="0.25">
      <c r="A21447" s="64" t="str">
        <f>HYPERLINK("http://www.twitter.com/jodenan", "jodenan")</f>
        <v>jodenan</v>
      </c>
      <c r="B21447" s="65"/>
    </row>
    <row r="21448" spans="1:2" x14ac:dyDescent="0.25">
      <c r="A21448" s="64" t="str">
        <f>HYPERLINK("http://www.twitter.com/HardenKurt", "HardenKurt")</f>
        <v>HardenKurt</v>
      </c>
      <c r="B21448" s="65" t="s">
        <v>10069</v>
      </c>
    </row>
    <row r="21449" spans="1:2" x14ac:dyDescent="0.25">
      <c r="A21449" s="64" t="str">
        <f>HYPERLINK("http://www.twitter.com/Danistronger", "Danistronger")</f>
        <v>Danistronger</v>
      </c>
      <c r="B21449" s="65" t="s">
        <v>10070</v>
      </c>
    </row>
    <row r="21450" spans="1:2" x14ac:dyDescent="0.25">
      <c r="A21450" s="64" t="str">
        <f>HYPERLINK("http://www.twitter.com/CooperaliCooper", "CooperaliCooper")</f>
        <v>CooperaliCooper</v>
      </c>
      <c r="B21450" s="65"/>
    </row>
    <row r="21451" spans="1:2" x14ac:dyDescent="0.25">
      <c r="A21451" s="64" t="str">
        <f>HYPERLINK("http://www.twitter.com/leka_john", "leka_john")</f>
        <v>leka_john</v>
      </c>
      <c r="B21451" s="65"/>
    </row>
    <row r="21452" spans="1:2" x14ac:dyDescent="0.25">
      <c r="A21452" s="64" t="str">
        <f>HYPERLINK("http://www.twitter.com/bridiefly", "bridiefly")</f>
        <v>bridiefly</v>
      </c>
      <c r="B21452" s="65"/>
    </row>
    <row r="21453" spans="1:2" x14ac:dyDescent="0.25">
      <c r="A21453" s="64" t="str">
        <f>HYPERLINK("http://www.twitter.com/Bubbled", "Bubbled")</f>
        <v>Bubbled</v>
      </c>
      <c r="B21453" s="65" t="s">
        <v>1490</v>
      </c>
    </row>
    <row r="21454" spans="1:2" x14ac:dyDescent="0.25">
      <c r="A21454" s="64" t="str">
        <f>HYPERLINK("http://www.twitter.com/ArchieStubbs", "ArchieStubbs")</f>
        <v>ArchieStubbs</v>
      </c>
      <c r="B21454" s="65" t="s">
        <v>10071</v>
      </c>
    </row>
    <row r="21455" spans="1:2" x14ac:dyDescent="0.25">
      <c r="A21455" s="64" t="str">
        <f>HYPERLINK("http://www.twitter.com/louwiz23", "louwiz23")</f>
        <v>louwiz23</v>
      </c>
      <c r="B21455" s="65" t="s">
        <v>9648</v>
      </c>
    </row>
    <row r="21456" spans="1:2" x14ac:dyDescent="0.25">
      <c r="A21456" s="64" t="str">
        <f>HYPERLINK("http://www.twitter.com/wendydurham2", "wendydurham2")</f>
        <v>wendydurham2</v>
      </c>
      <c r="B21456" s="65" t="s">
        <v>10072</v>
      </c>
    </row>
    <row r="21457" spans="1:2" x14ac:dyDescent="0.25">
      <c r="A21457" s="64" t="str">
        <f>HYPERLINK("http://www.twitter.com/cmahoneyhansen", "cmahoneyhansen")</f>
        <v>cmahoneyhansen</v>
      </c>
      <c r="B21457" s="65"/>
    </row>
    <row r="21458" spans="1:2" x14ac:dyDescent="0.25">
      <c r="A21458" s="64" t="str">
        <f>HYPERLINK("http://www.twitter.com/Lrobox", "Lrobox")</f>
        <v>Lrobox</v>
      </c>
      <c r="B21458" s="65"/>
    </row>
    <row r="21459" spans="1:2" x14ac:dyDescent="0.25">
      <c r="A21459" s="64" t="str">
        <f>HYPERLINK("http://www.twitter.com/HelloPeriP", "HelloPeriP")</f>
        <v>HelloPeriP</v>
      </c>
      <c r="B21459" s="65" t="s">
        <v>5819</v>
      </c>
    </row>
    <row r="21460" spans="1:2" x14ac:dyDescent="0.25">
      <c r="A21460" s="64" t="str">
        <f>HYPERLINK("http://www.twitter.com/trashii", "trashii")</f>
        <v>trashii</v>
      </c>
      <c r="B21460" s="65" t="s">
        <v>9121</v>
      </c>
    </row>
    <row r="21461" spans="1:2" x14ac:dyDescent="0.25">
      <c r="A21461" s="64" t="str">
        <f>HYPERLINK("http://www.twitter.com/ElsieEye", "ElsieEye")</f>
        <v>ElsieEye</v>
      </c>
      <c r="B21461" s="65" t="s">
        <v>10073</v>
      </c>
    </row>
    <row r="21462" spans="1:2" x14ac:dyDescent="0.25">
      <c r="A21462" s="64" t="str">
        <f>HYPERLINK("http://www.twitter.com/limertilly", "limertilly")</f>
        <v>limertilly</v>
      </c>
      <c r="B21462" s="65" t="s">
        <v>1434</v>
      </c>
    </row>
    <row r="21463" spans="1:2" x14ac:dyDescent="0.25">
      <c r="A21463" s="64" t="str">
        <f>HYPERLINK("http://www.twitter.com/hazzer2001", "hazzer2001")</f>
        <v>hazzer2001</v>
      </c>
      <c r="B21463" s="65"/>
    </row>
    <row r="21464" spans="1:2" x14ac:dyDescent="0.25">
      <c r="A21464" s="64" t="str">
        <f>HYPERLINK("http://www.twitter.com/BenLikesBooks", "BenLikesBooks")</f>
        <v>BenLikesBooks</v>
      </c>
      <c r="B21464" s="65" t="s">
        <v>10074</v>
      </c>
    </row>
    <row r="21465" spans="1:2" x14ac:dyDescent="0.25">
      <c r="A21465" s="64" t="str">
        <f>HYPERLINK("http://www.twitter.com/beesley_marie", "beesley_marie")</f>
        <v>beesley_marie</v>
      </c>
      <c r="B21465" s="65"/>
    </row>
    <row r="21466" spans="1:2" x14ac:dyDescent="0.25">
      <c r="A21466" s="64" t="str">
        <f>HYPERLINK("http://www.twitter.com/Dimpal101", "Dimpal101")</f>
        <v>Dimpal101</v>
      </c>
      <c r="B21466" s="65" t="s">
        <v>4629</v>
      </c>
    </row>
    <row r="21467" spans="1:2" x14ac:dyDescent="0.25">
      <c r="A21467" s="64" t="str">
        <f>HYPERLINK("http://www.twitter.com/OrpheusCoote", "OrpheusCoote")</f>
        <v>OrpheusCoote</v>
      </c>
      <c r="B21467" s="65" t="s">
        <v>36</v>
      </c>
    </row>
    <row r="21468" spans="1:2" x14ac:dyDescent="0.25">
      <c r="A21468" s="64" t="str">
        <f>HYPERLINK("http://www.twitter.com/FtWorthLibrary", "FtWorthLibrary")</f>
        <v>FtWorthLibrary</v>
      </c>
      <c r="B21468" s="65" t="s">
        <v>10075</v>
      </c>
    </row>
    <row r="21469" spans="1:2" x14ac:dyDescent="0.25">
      <c r="A21469" s="64" t="str">
        <f>HYPERLINK("http://www.twitter.com/ElbarasiMahmoud", "ElbarasiMahmoud")</f>
        <v>ElbarasiMahmoud</v>
      </c>
      <c r="B21469" s="65" t="s">
        <v>3907</v>
      </c>
    </row>
    <row r="21470" spans="1:2" x14ac:dyDescent="0.25">
      <c r="A21470" s="64" t="str">
        <f>HYPERLINK("http://www.twitter.com/SotonLibraries", "SotonLibraries")</f>
        <v>SotonLibraries</v>
      </c>
      <c r="B21470" s="65" t="s">
        <v>877</v>
      </c>
    </row>
    <row r="21471" spans="1:2" x14ac:dyDescent="0.25">
      <c r="A21471" s="64" t="str">
        <f>HYPERLINK("http://www.twitter.com/arthurphilhs", "arthurphilhs")</f>
        <v>arthurphilhs</v>
      </c>
      <c r="B21471" s="65" t="s">
        <v>10076</v>
      </c>
    </row>
    <row r="21472" spans="1:2" x14ac:dyDescent="0.25">
      <c r="A21472" s="64" t="str">
        <f>HYPERLINK("http://www.twitter.com/bulshamu", "bulshamu")</f>
        <v>bulshamu</v>
      </c>
      <c r="B21472" s="65" t="s">
        <v>10077</v>
      </c>
    </row>
    <row r="21473" spans="1:2" x14ac:dyDescent="0.25">
      <c r="A21473" s="64" t="str">
        <f>HYPERLINK("http://www.twitter.com/rooneye12", "rooneye12")</f>
        <v>rooneye12</v>
      </c>
      <c r="B21473" s="65"/>
    </row>
    <row r="21474" spans="1:2" x14ac:dyDescent="0.25">
      <c r="A21474" s="64" t="str">
        <f>HYPERLINK("http://www.twitter.com/julieann_mchale", "julieann_mchale")</f>
        <v>julieann_mchale</v>
      </c>
      <c r="B21474" s="65" t="s">
        <v>138</v>
      </c>
    </row>
    <row r="21475" spans="1:2" x14ac:dyDescent="0.25">
      <c r="A21475" s="64" t="str">
        <f>HYPERLINK("http://www.twitter.com/vantine", "vantine")</f>
        <v>vantine</v>
      </c>
      <c r="B21475" s="65" t="s">
        <v>10078</v>
      </c>
    </row>
    <row r="21476" spans="1:2" x14ac:dyDescent="0.25">
      <c r="A21476" s="64" t="str">
        <f>HYPERLINK("http://www.twitter.com/twilightcake", "twilightcake")</f>
        <v>twilightcake</v>
      </c>
      <c r="B21476" s="65" t="s">
        <v>4167</v>
      </c>
    </row>
    <row r="21477" spans="1:2" x14ac:dyDescent="0.25">
      <c r="A21477" s="64" t="str">
        <f>HYPERLINK("http://www.twitter.com/Waunalib", "Waunalib")</f>
        <v>Waunalib</v>
      </c>
      <c r="B21477" s="65" t="s">
        <v>10079</v>
      </c>
    </row>
    <row r="21478" spans="1:2" x14ac:dyDescent="0.25">
      <c r="A21478" s="64" t="str">
        <f>HYPERLINK("http://www.twitter.com/hughes_ga", "hughes_ga")</f>
        <v>hughes_ga</v>
      </c>
      <c r="B21478" s="65" t="s">
        <v>10080</v>
      </c>
    </row>
    <row r="21479" spans="1:2" x14ac:dyDescent="0.25">
      <c r="A21479" s="64" t="str">
        <f>HYPERLINK("http://www.twitter.com/AnneNgabia", "AnneNgabia")</f>
        <v>AnneNgabia</v>
      </c>
      <c r="B21479" s="65"/>
    </row>
    <row r="21480" spans="1:2" x14ac:dyDescent="0.25">
      <c r="A21480" s="64" t="str">
        <f>HYPERLINK("http://www.twitter.com/GlasgowComedy", "GlasgowComedy")</f>
        <v>GlasgowComedy</v>
      </c>
      <c r="B21480" s="65" t="s">
        <v>138</v>
      </c>
    </row>
    <row r="21481" spans="1:2" x14ac:dyDescent="0.25">
      <c r="A21481" s="64" t="str">
        <f>HYPERLINK("http://www.twitter.com/_ChristyCollins", "_ChristyCollins")</f>
        <v>_ChristyCollins</v>
      </c>
      <c r="B21481" s="65" t="s">
        <v>4147</v>
      </c>
    </row>
    <row r="21482" spans="1:2" x14ac:dyDescent="0.25">
      <c r="A21482" s="64" t="str">
        <f>HYPERLINK("http://www.twitter.com/mairm76", "mairm76")</f>
        <v>mairm76</v>
      </c>
      <c r="B21482" s="65"/>
    </row>
    <row r="21483" spans="1:2" x14ac:dyDescent="0.25">
      <c r="A21483" s="64" t="str">
        <f>HYPERLINK("http://www.twitter.com/_Melissa247", "_Melissa247")</f>
        <v>_Melissa247</v>
      </c>
      <c r="B21483" s="65" t="s">
        <v>138</v>
      </c>
    </row>
    <row r="21484" spans="1:2" x14ac:dyDescent="0.25">
      <c r="A21484" s="64" t="str">
        <f>HYPERLINK("http://www.twitter.com/shbuch65", "shbuch65")</f>
        <v>shbuch65</v>
      </c>
      <c r="B21484" s="65"/>
    </row>
    <row r="21485" spans="1:2" x14ac:dyDescent="0.25">
      <c r="A21485" s="64" t="str">
        <f>HYPERLINK("http://www.twitter.com/davidames", "davidames")</f>
        <v>davidames</v>
      </c>
      <c r="B21485" s="65" t="s">
        <v>10081</v>
      </c>
    </row>
    <row r="21486" spans="1:2" x14ac:dyDescent="0.25">
      <c r="A21486" s="64" t="str">
        <f>HYPERLINK("http://www.twitter.com/LibraryCornwall", "LibraryCornwall")</f>
        <v>LibraryCornwall</v>
      </c>
      <c r="B21486" s="65"/>
    </row>
    <row r="21487" spans="1:2" x14ac:dyDescent="0.25">
      <c r="A21487" s="64" t="str">
        <f>HYPERLINK("http://www.twitter.com/MacGregorCM", "MacGregorCM")</f>
        <v>MacGregorCM</v>
      </c>
      <c r="B21487" s="65" t="s">
        <v>4237</v>
      </c>
    </row>
    <row r="21488" spans="1:2" x14ac:dyDescent="0.25">
      <c r="A21488" s="64" t="str">
        <f>HYPERLINK("http://www.twitter.com/basedinkew", "basedinkew")</f>
        <v>basedinkew</v>
      </c>
      <c r="B21488" s="65" t="s">
        <v>10082</v>
      </c>
    </row>
    <row r="21489" spans="1:2" x14ac:dyDescent="0.25">
      <c r="A21489" s="64" t="str">
        <f>HYPERLINK("http://www.twitter.com/RichardGeorge37", "RichardGeorge37")</f>
        <v>RichardGeorge37</v>
      </c>
      <c r="B21489" s="65" t="s">
        <v>1221</v>
      </c>
    </row>
    <row r="21490" spans="1:2" x14ac:dyDescent="0.25">
      <c r="A21490" s="64" t="str">
        <f>HYPERLINK("http://www.twitter.com/Schopflin", "Schopflin")</f>
        <v>Schopflin</v>
      </c>
      <c r="B21490" s="65" t="s">
        <v>36</v>
      </c>
    </row>
    <row r="21491" spans="1:2" x14ac:dyDescent="0.25">
      <c r="A21491" s="64" t="str">
        <f>HYPERLINK("http://www.twitter.com/HimeshJPatel", "HimeshJPatel")</f>
        <v>HimeshJPatel</v>
      </c>
      <c r="B21491" s="65" t="s">
        <v>477</v>
      </c>
    </row>
    <row r="21492" spans="1:2" x14ac:dyDescent="0.25">
      <c r="A21492" s="64" t="str">
        <f>HYPERLINK("http://www.twitter.com/weelibrarian", "weelibrarian")</f>
        <v>weelibrarian</v>
      </c>
      <c r="B21492" s="65" t="s">
        <v>10083</v>
      </c>
    </row>
    <row r="21493" spans="1:2" x14ac:dyDescent="0.25">
      <c r="A21493" s="64" t="str">
        <f>HYPERLINK("http://www.twitter.com/cathjoruss", "cathjoruss")</f>
        <v>cathjoruss</v>
      </c>
      <c r="B21493" s="65"/>
    </row>
    <row r="21494" spans="1:2" x14ac:dyDescent="0.25">
      <c r="A21494" s="64" t="str">
        <f>HYPERLINK("http://www.twitter.com/CarolAnneReid1", "CarolAnneReid1")</f>
        <v>CarolAnneReid1</v>
      </c>
      <c r="B21494" s="65"/>
    </row>
    <row r="21495" spans="1:2" x14ac:dyDescent="0.25">
      <c r="A21495" s="64" t="str">
        <f>HYPERLINK("http://www.twitter.com/coatsoff", "coatsoff")</f>
        <v>coatsoff</v>
      </c>
      <c r="B21495" s="65" t="s">
        <v>10084</v>
      </c>
    </row>
    <row r="21496" spans="1:2" x14ac:dyDescent="0.25">
      <c r="A21496" s="64" t="str">
        <f>HYPERLINK("http://www.twitter.com/UWTSDLib", "UWTSDLib")</f>
        <v>UWTSDLib</v>
      </c>
      <c r="B21496" s="65"/>
    </row>
    <row r="21497" spans="1:2" x14ac:dyDescent="0.25">
      <c r="A21497" s="64" t="str">
        <f>HYPERLINK("http://www.twitter.com/McCaigsTower", "McCaigsTower")</f>
        <v>McCaigsTower</v>
      </c>
      <c r="B21497" s="65"/>
    </row>
    <row r="21498" spans="1:2" x14ac:dyDescent="0.25">
      <c r="A21498" s="64" t="str">
        <f>HYPERLINK("http://www.twitter.com/SSLBod", "SSLBod")</f>
        <v>SSLBod</v>
      </c>
      <c r="B21498" s="65" t="s">
        <v>1523</v>
      </c>
    </row>
    <row r="21499" spans="1:2" x14ac:dyDescent="0.25">
      <c r="A21499" s="64" t="str">
        <f>HYPERLINK("http://www.twitter.com/rosiemwscott", "rosiemwscott")</f>
        <v>rosiemwscott</v>
      </c>
      <c r="B21499" s="65" t="s">
        <v>318</v>
      </c>
    </row>
    <row r="21500" spans="1:2" x14ac:dyDescent="0.25">
      <c r="A21500" s="64" t="str">
        <f>HYPERLINK("http://www.twitter.com/igjianc", "igjianc")</f>
        <v>igjianc</v>
      </c>
      <c r="B21500" s="65" t="s">
        <v>102</v>
      </c>
    </row>
    <row r="21501" spans="1:2" x14ac:dyDescent="0.25">
      <c r="A21501" s="64" t="str">
        <f>HYPERLINK("http://www.twitter.com/AmandaCharland", "AmandaCharland")</f>
        <v>AmandaCharland</v>
      </c>
      <c r="B21501" s="65" t="s">
        <v>3853</v>
      </c>
    </row>
    <row r="21502" spans="1:2" x14ac:dyDescent="0.25">
      <c r="A21502" s="64" t="str">
        <f>HYPERLINK("http://www.twitter.com/BirdLife_Malta", "BirdLife_Malta")</f>
        <v>BirdLife_Malta</v>
      </c>
      <c r="B21502" s="65" t="s">
        <v>6901</v>
      </c>
    </row>
    <row r="21503" spans="1:2" x14ac:dyDescent="0.25">
      <c r="A21503" s="64" t="str">
        <f>HYPERLINK("http://www.twitter.com/dreamergirl2110", "dreamergirl2110")</f>
        <v>dreamergirl2110</v>
      </c>
      <c r="B21503" s="65" t="s">
        <v>10085</v>
      </c>
    </row>
    <row r="21504" spans="1:2" x14ac:dyDescent="0.25">
      <c r="A21504" s="64" t="str">
        <f>HYPERLINK("http://www.twitter.com/leonafeens", "leonafeens")</f>
        <v>leonafeens</v>
      </c>
      <c r="B21504" s="65" t="s">
        <v>517</v>
      </c>
    </row>
    <row r="21505" spans="1:2" x14ac:dyDescent="0.25">
      <c r="A21505" s="64" t="str">
        <f>HYPERLINK("http://www.twitter.com/paisleywomble", "paisleywomble")</f>
        <v>paisleywomble</v>
      </c>
      <c r="B21505" s="65" t="s">
        <v>10086</v>
      </c>
    </row>
    <row r="21506" spans="1:2" x14ac:dyDescent="0.25">
      <c r="A21506" s="64" t="str">
        <f>HYPERLINK("http://www.twitter.com/SasJ64", "SasJ64")</f>
        <v>SasJ64</v>
      </c>
      <c r="B21506" s="65"/>
    </row>
    <row r="21507" spans="1:2" x14ac:dyDescent="0.25">
      <c r="A21507" s="64" t="str">
        <f>HYPERLINK("http://www.twitter.com/CazApr1", "CazApr1")</f>
        <v>CazApr1</v>
      </c>
      <c r="B21507" s="65" t="s">
        <v>296</v>
      </c>
    </row>
    <row r="21508" spans="1:2" x14ac:dyDescent="0.25">
      <c r="A21508" s="64" t="str">
        <f>HYPERLINK("http://www.twitter.com/JudyRumbajudy", "JudyRumbajudy")</f>
        <v>JudyRumbajudy</v>
      </c>
      <c r="B21508" s="65"/>
    </row>
    <row r="21509" spans="1:2" x14ac:dyDescent="0.25">
      <c r="A21509" s="64" t="str">
        <f>HYPERLINK("http://www.twitter.com/NorahRingma", "NorahRingma")</f>
        <v>NorahRingma</v>
      </c>
      <c r="B21509" s="65" t="s">
        <v>3948</v>
      </c>
    </row>
    <row r="21510" spans="1:2" x14ac:dyDescent="0.25">
      <c r="A21510" s="64" t="str">
        <f>HYPERLINK("http://www.twitter.com/BudgieAldo", "BudgieAldo")</f>
        <v>BudgieAldo</v>
      </c>
      <c r="B21510" s="65" t="s">
        <v>10087</v>
      </c>
    </row>
    <row r="21511" spans="1:2" x14ac:dyDescent="0.25">
      <c r="A21511" s="64" t="str">
        <f>HYPERLINK("http://www.twitter.com/deb_jeffs", "deb_jeffs")</f>
        <v>deb_jeffs</v>
      </c>
      <c r="B21511" s="65" t="s">
        <v>6393</v>
      </c>
    </row>
    <row r="21512" spans="1:2" x14ac:dyDescent="0.25">
      <c r="A21512" s="64" t="str">
        <f>HYPERLINK("http://www.twitter.com/chrissieevans", "chrissieevans")</f>
        <v>chrissieevans</v>
      </c>
      <c r="B21512" s="65"/>
    </row>
    <row r="21513" spans="1:2" x14ac:dyDescent="0.25">
      <c r="A21513" s="64" t="str">
        <f>HYPERLINK("http://www.twitter.com/BerengariaHCOE", "BerengariaHCOE")</f>
        <v>BerengariaHCOE</v>
      </c>
      <c r="B21513" s="65" t="s">
        <v>10088</v>
      </c>
    </row>
    <row r="21514" spans="1:2" x14ac:dyDescent="0.25">
      <c r="A21514" s="64" t="str">
        <f>HYPERLINK("http://www.twitter.com/GCLSLibrary", "GCLSLibrary")</f>
        <v>GCLSLibrary</v>
      </c>
      <c r="B21514" s="65" t="s">
        <v>10089</v>
      </c>
    </row>
    <row r="21515" spans="1:2" x14ac:dyDescent="0.25">
      <c r="A21515" s="64" t="str">
        <f>HYPERLINK("http://www.twitter.com/CatshillLib", "CatshillLib")</f>
        <v>CatshillLib</v>
      </c>
      <c r="B21515" s="65"/>
    </row>
    <row r="21516" spans="1:2" x14ac:dyDescent="0.25">
      <c r="A21516" s="64" t="str">
        <f>HYPERLINK("http://www.twitter.com/BertramBooks", "BertramBooks")</f>
        <v>BertramBooks</v>
      </c>
      <c r="B21516" s="65" t="s">
        <v>2213</v>
      </c>
    </row>
    <row r="21517" spans="1:2" x14ac:dyDescent="0.25">
      <c r="A21517" s="64" t="str">
        <f>HYPERLINK("http://www.twitter.com/Emefie", "Emefie")</f>
        <v>Emefie</v>
      </c>
      <c r="B21517" s="65" t="s">
        <v>4317</v>
      </c>
    </row>
    <row r="21518" spans="1:2" x14ac:dyDescent="0.25">
      <c r="A21518" s="64" t="str">
        <f>HYPERLINK("http://www.twitter.com/littlemin3", "littlemin3")</f>
        <v>littlemin3</v>
      </c>
      <c r="B21518" s="65"/>
    </row>
    <row r="21519" spans="1:2" x14ac:dyDescent="0.25">
      <c r="A21519" s="64" t="str">
        <f>HYPERLINK("http://www.twitter.com/FSULawRC", "FSULawRC")</f>
        <v>FSULawRC</v>
      </c>
      <c r="B21519" s="65" t="s">
        <v>5665</v>
      </c>
    </row>
    <row r="21520" spans="1:2" x14ac:dyDescent="0.25">
      <c r="A21520" s="64" t="str">
        <f>HYPERLINK("http://www.twitter.com/SLRC_Elaine", "SLRC_Elaine")</f>
        <v>SLRC_Elaine</v>
      </c>
      <c r="B21520" s="65" t="s">
        <v>3798</v>
      </c>
    </row>
    <row r="21521" spans="1:2" x14ac:dyDescent="0.25">
      <c r="A21521" s="64" t="str">
        <f>HYPERLINK("http://www.twitter.com/MacpandaUK", "MacpandaUK")</f>
        <v>MacpandaUK</v>
      </c>
      <c r="B21521" s="65"/>
    </row>
    <row r="21522" spans="1:2" x14ac:dyDescent="0.25">
      <c r="A21522" s="64" t="str">
        <f>HYPERLINK("http://www.twitter.com/libraryjessie", "libraryjessie")</f>
        <v>libraryjessie</v>
      </c>
      <c r="B21522" s="65"/>
    </row>
    <row r="21523" spans="1:2" x14ac:dyDescent="0.25">
      <c r="A21523" s="64" t="str">
        <f>HYPERLINK("http://www.twitter.com/Bibliojo", "Bibliojo")</f>
        <v>Bibliojo</v>
      </c>
      <c r="B21523" s="65" t="s">
        <v>10090</v>
      </c>
    </row>
    <row r="21524" spans="1:2" x14ac:dyDescent="0.25">
      <c r="A21524" s="64" t="str">
        <f>HYPERLINK("http://www.twitter.com/adlib_info", "adlib_info")</f>
        <v>adlib_info</v>
      </c>
      <c r="B21524" s="65" t="s">
        <v>4149</v>
      </c>
    </row>
    <row r="21525" spans="1:2" x14ac:dyDescent="0.25">
      <c r="A21525" s="64" t="str">
        <f>HYPERLINK("http://www.twitter.com/RuthInBarrow", "RuthInBarrow")</f>
        <v>RuthInBarrow</v>
      </c>
      <c r="B21525" s="65" t="s">
        <v>8013</v>
      </c>
    </row>
    <row r="21526" spans="1:2" x14ac:dyDescent="0.25">
      <c r="A21526" s="64" t="str">
        <f>HYPERLINK("http://www.twitter.com/HonitonLibrary", "HonitonLibrary")</f>
        <v>HonitonLibrary</v>
      </c>
      <c r="B21526" s="65" t="s">
        <v>2295</v>
      </c>
    </row>
    <row r="21527" spans="1:2" x14ac:dyDescent="0.25">
      <c r="A21527" s="64" t="str">
        <f>HYPERLINK("http://www.twitter.com/wintertrees2", "wintertrees2")</f>
        <v>wintertrees2</v>
      </c>
      <c r="B21527" s="65" t="s">
        <v>211</v>
      </c>
    </row>
    <row r="21528" spans="1:2" x14ac:dyDescent="0.25">
      <c r="A21528" s="64" t="str">
        <f>HYPERLINK("http://www.twitter.com/HelenEBeale", "HelenEBeale")</f>
        <v>HelenEBeale</v>
      </c>
      <c r="B21528" s="65"/>
    </row>
    <row r="21529" spans="1:2" x14ac:dyDescent="0.25">
      <c r="A21529" s="64" t="str">
        <f>HYPERLINK("http://www.twitter.com/IanIannicholas1", "IanIannicholas1")</f>
        <v>IanIannicholas1</v>
      </c>
      <c r="B21529" s="65" t="s">
        <v>10091</v>
      </c>
    </row>
    <row r="21530" spans="1:2" x14ac:dyDescent="0.25">
      <c r="A21530" s="64" t="str">
        <f>HYPERLINK("http://www.twitter.com/janetparcmaen", "janetparcmaen")</f>
        <v>janetparcmaen</v>
      </c>
      <c r="B21530" s="65" t="s">
        <v>10092</v>
      </c>
    </row>
    <row r="21531" spans="1:2" x14ac:dyDescent="0.25">
      <c r="A21531" s="64" t="str">
        <f>HYPERLINK("http://www.twitter.com/BookMachine", "BookMachine")</f>
        <v>BookMachine</v>
      </c>
      <c r="B21531" s="65" t="s">
        <v>4177</v>
      </c>
    </row>
    <row r="21532" spans="1:2" x14ac:dyDescent="0.25">
      <c r="A21532" s="64" t="str">
        <f>HYPERLINK("http://www.twitter.com/rosannaboscawen", "rosannaboscawen")</f>
        <v>rosannaboscawen</v>
      </c>
      <c r="B21532" s="65" t="s">
        <v>36</v>
      </c>
    </row>
    <row r="21533" spans="1:2" x14ac:dyDescent="0.25">
      <c r="A21533" s="64" t="str">
        <f>HYPERLINK("http://www.twitter.com/MerchLibraries", "MerchLibraries")</f>
        <v>MerchLibraries</v>
      </c>
      <c r="B21533" s="65" t="s">
        <v>3988</v>
      </c>
    </row>
    <row r="21534" spans="1:2" x14ac:dyDescent="0.25">
      <c r="A21534" s="64" t="str">
        <f>HYPERLINK("http://www.twitter.com/murkysmob", "murkysmob")</f>
        <v>murkysmob</v>
      </c>
      <c r="B21534" s="65"/>
    </row>
    <row r="21535" spans="1:2" x14ac:dyDescent="0.25">
      <c r="A21535" s="64" t="str">
        <f>HYPERLINK("http://www.twitter.com/JCKristensen1", "JCKristensen1")</f>
        <v>JCKristensen1</v>
      </c>
      <c r="B21535" s="65" t="s">
        <v>36</v>
      </c>
    </row>
    <row r="21536" spans="1:2" x14ac:dyDescent="0.25">
      <c r="A21536" s="64" t="str">
        <f>HYPERLINK("http://www.twitter.com/DaniRobo", "DaniRobo")</f>
        <v>DaniRobo</v>
      </c>
      <c r="B21536" s="65" t="s">
        <v>10093</v>
      </c>
    </row>
    <row r="21537" spans="1:2" x14ac:dyDescent="0.25">
      <c r="A21537" s="64" t="str">
        <f>HYPERLINK("http://www.twitter.com/writersevent", "writersevent")</f>
        <v>writersevent</v>
      </c>
      <c r="B21537" s="65" t="s">
        <v>10094</v>
      </c>
    </row>
    <row r="21538" spans="1:2" x14ac:dyDescent="0.25">
      <c r="A21538" s="64" t="str">
        <f>HYPERLINK("http://www.twitter.com/gadd_julia", "gadd_julia")</f>
        <v>gadd_julia</v>
      </c>
      <c r="B21538" s="65"/>
    </row>
    <row r="21539" spans="1:2" x14ac:dyDescent="0.25">
      <c r="A21539" s="64" t="str">
        <f>HYPERLINK("http://www.twitter.com/nic_blacklaws", "nic_blacklaws")</f>
        <v>nic_blacklaws</v>
      </c>
      <c r="B21539" s="65" t="s">
        <v>7304</v>
      </c>
    </row>
    <row r="21540" spans="1:2" x14ac:dyDescent="0.25">
      <c r="A21540" s="64" t="str">
        <f>HYPERLINK("http://www.twitter.com/headlinepg", "headlinepg")</f>
        <v>headlinepg</v>
      </c>
      <c r="B21540" s="65" t="s">
        <v>36</v>
      </c>
    </row>
    <row r="21541" spans="1:2" x14ac:dyDescent="0.25">
      <c r="A21541" s="64" t="str">
        <f>HYPERLINK("http://www.twitter.com/Puplett", "Puplett")</f>
        <v>Puplett</v>
      </c>
      <c r="B21541" s="65" t="s">
        <v>4289</v>
      </c>
    </row>
    <row r="21542" spans="1:2" x14ac:dyDescent="0.25">
      <c r="A21542" s="64" t="str">
        <f>HYPERLINK("http://www.twitter.com/blackwellbooks", "blackwellbooks")</f>
        <v>blackwellbooks</v>
      </c>
      <c r="B21542" s="65"/>
    </row>
    <row r="21543" spans="1:2" x14ac:dyDescent="0.25">
      <c r="A21543" s="64" t="str">
        <f>HYPERLINK("http://www.twitter.com/filtercoffee123", "filtercoffee123")</f>
        <v>filtercoffee123</v>
      </c>
      <c r="B21543" s="65"/>
    </row>
    <row r="21544" spans="1:2" x14ac:dyDescent="0.25">
      <c r="A21544" s="64" t="str">
        <f>HYPERLINK("http://www.twitter.com/BlackwellsMcr", "BlackwellsMcr")</f>
        <v>BlackwellsMcr</v>
      </c>
      <c r="B21544" s="65" t="s">
        <v>33</v>
      </c>
    </row>
    <row r="21545" spans="1:2" x14ac:dyDescent="0.25">
      <c r="A21545" s="64" t="str">
        <f>HYPERLINK("http://www.twitter.com/EveGwendo", "EveGwendo")</f>
        <v>EveGwendo</v>
      </c>
      <c r="B21545" s="65"/>
    </row>
    <row r="21546" spans="1:2" x14ac:dyDescent="0.25">
      <c r="A21546" s="64" t="str">
        <f>HYPERLINK("http://www.twitter.com/SporranNation", "SporranNation")</f>
        <v>SporranNation</v>
      </c>
      <c r="B21546" s="65" t="s">
        <v>10095</v>
      </c>
    </row>
    <row r="21547" spans="1:2" x14ac:dyDescent="0.25">
      <c r="A21547" s="64" t="str">
        <f>HYPERLINK("http://www.twitter.com/benlarder", "benlarder")</f>
        <v>benlarder</v>
      </c>
      <c r="B21547" s="65" t="s">
        <v>10096</v>
      </c>
    </row>
    <row r="21548" spans="1:2" x14ac:dyDescent="0.25">
      <c r="A21548" s="64" t="str">
        <f>HYPERLINK("http://www.twitter.com/Miss_Chrissi73", "Miss_Chrissi73")</f>
        <v>Miss_Chrissi73</v>
      </c>
      <c r="B21548" s="65" t="s">
        <v>10097</v>
      </c>
    </row>
    <row r="21549" spans="1:2" x14ac:dyDescent="0.25">
      <c r="A21549" s="64" t="str">
        <f>HYPERLINK("http://www.twitter.com/m3rr1l33", "m3rr1l33")</f>
        <v>m3rr1l33</v>
      </c>
      <c r="B21549" s="65"/>
    </row>
    <row r="21550" spans="1:2" x14ac:dyDescent="0.25">
      <c r="A21550" s="64" t="str">
        <f>HYPERLINK("http://www.twitter.com/Heritagefinch", "Heritagefinch")</f>
        <v>Heritagefinch</v>
      </c>
      <c r="B21550" s="65" t="s">
        <v>1377</v>
      </c>
    </row>
    <row r="21551" spans="1:2" x14ac:dyDescent="0.25">
      <c r="A21551" s="64" t="str">
        <f>HYPERLINK("http://www.twitter.com/VisitScotland", "VisitScotland")</f>
        <v>VisitScotland</v>
      </c>
      <c r="B21551" s="65" t="s">
        <v>517</v>
      </c>
    </row>
    <row r="21552" spans="1:2" x14ac:dyDescent="0.25">
      <c r="A21552" s="64" t="str">
        <f>HYPERLINK("http://www.twitter.com/wildhyperbole", "wildhyperbole")</f>
        <v>wildhyperbole</v>
      </c>
      <c r="B21552" s="65" t="s">
        <v>5745</v>
      </c>
    </row>
    <row r="21553" spans="1:2" x14ac:dyDescent="0.25">
      <c r="A21553" s="64" t="str">
        <f>HYPERLINK("http://www.twitter.com/TraineeCraig", "TraineeCraig")</f>
        <v>TraineeCraig</v>
      </c>
      <c r="B21553" s="65" t="s">
        <v>5785</v>
      </c>
    </row>
    <row r="21554" spans="1:2" x14ac:dyDescent="0.25">
      <c r="A21554" s="64" t="str">
        <f>HYPERLINK("http://www.twitter.com/ovkudriavtseva", "ovkudriavtseva")</f>
        <v>ovkudriavtseva</v>
      </c>
      <c r="B21554" s="65" t="s">
        <v>10098</v>
      </c>
    </row>
    <row r="21555" spans="1:2" x14ac:dyDescent="0.25">
      <c r="A21555" s="64" t="str">
        <f>HYPERLINK("http://www.twitter.com/LowthwaiteBandB", "LowthwaiteBandB")</f>
        <v>LowthwaiteBandB</v>
      </c>
      <c r="B21555" s="65" t="s">
        <v>10099</v>
      </c>
    </row>
    <row r="21556" spans="1:2" x14ac:dyDescent="0.25">
      <c r="A21556" s="64" t="str">
        <f>HYPERLINK("http://www.twitter.com/Islingtonlibs", "Islingtonlibs")</f>
        <v>Islingtonlibs</v>
      </c>
      <c r="B21556" s="65" t="s">
        <v>3643</v>
      </c>
    </row>
    <row r="21557" spans="1:2" x14ac:dyDescent="0.25">
      <c r="A21557" s="64" t="str">
        <f>HYPERLINK("http://www.twitter.com/yorkshirewords", "yorkshirewords")</f>
        <v>yorkshirewords</v>
      </c>
      <c r="B21557" s="65" t="s">
        <v>9845</v>
      </c>
    </row>
    <row r="21558" spans="1:2" x14ac:dyDescent="0.25">
      <c r="A21558" s="64" t="str">
        <f>HYPERLINK("http://www.twitter.com/moo_ward", "moo_ward")</f>
        <v>moo_ward</v>
      </c>
      <c r="B21558" s="65" t="s">
        <v>20</v>
      </c>
    </row>
    <row r="21559" spans="1:2" x14ac:dyDescent="0.25">
      <c r="A21559" s="64" t="str">
        <f>HYPERLINK("http://www.twitter.com/Serieteket", "Serieteket")</f>
        <v>Serieteket</v>
      </c>
      <c r="B21559" s="65" t="s">
        <v>4210</v>
      </c>
    </row>
    <row r="21560" spans="1:2" x14ac:dyDescent="0.25">
      <c r="A21560" s="64" t="str">
        <f>HYPERLINK("http://www.twitter.com/Infolass", "Infolass")</f>
        <v>Infolass</v>
      </c>
      <c r="B21560" s="65" t="s">
        <v>9742</v>
      </c>
    </row>
    <row r="21561" spans="1:2" x14ac:dyDescent="0.25">
      <c r="A21561" s="64" t="str">
        <f>HYPERLINK("http://www.twitter.com/cheerfuljenni", "cheerfuljenni")</f>
        <v>cheerfuljenni</v>
      </c>
      <c r="B21561" s="65" t="s">
        <v>459</v>
      </c>
    </row>
    <row r="21562" spans="1:2" x14ac:dyDescent="0.25">
      <c r="A21562" s="64" t="str">
        <f>HYPERLINK("http://www.twitter.com/MakeABetterOne", "MakeABetterOne")</f>
        <v>MakeABetterOne</v>
      </c>
      <c r="B21562" s="65" t="s">
        <v>517</v>
      </c>
    </row>
    <row r="21563" spans="1:2" x14ac:dyDescent="0.25">
      <c r="A21563" s="64" t="str">
        <f>HYPERLINK("http://www.twitter.com/audjpodge14", "audjpodge14")</f>
        <v>audjpodge14</v>
      </c>
      <c r="B21563" s="65"/>
    </row>
    <row r="21564" spans="1:2" x14ac:dyDescent="0.25">
      <c r="A21564" s="64" t="str">
        <f>HYPERLINK("http://www.twitter.com/karenw_watson", "karenw_watson")</f>
        <v>karenw_watson</v>
      </c>
      <c r="B21564" s="65"/>
    </row>
    <row r="21565" spans="1:2" x14ac:dyDescent="0.25">
      <c r="A21565" s="64" t="str">
        <f>HYPERLINK("http://www.twitter.com/emilyjwhit", "emilyjwhit")</f>
        <v>emilyjwhit</v>
      </c>
      <c r="B21565" s="65"/>
    </row>
    <row r="21566" spans="1:2" x14ac:dyDescent="0.25">
      <c r="A21566" s="64" t="str">
        <f>HYPERLINK("http://www.twitter.com/MitsubishiColt", "MitsubishiColt")</f>
        <v>MitsubishiColt</v>
      </c>
      <c r="B21566" s="65" t="s">
        <v>487</v>
      </c>
    </row>
    <row r="21567" spans="1:2" x14ac:dyDescent="0.25">
      <c r="A21567" s="64" t="str">
        <f>HYPERLINK("http://www.twitter.com/londontochi", "londontochi")</f>
        <v>londontochi</v>
      </c>
      <c r="B21567" s="65"/>
    </row>
    <row r="21568" spans="1:2" x14ac:dyDescent="0.25">
      <c r="A21568" s="64" t="str">
        <f>HYPERLINK("http://www.twitter.com/devonhistorysoc", "devonhistorysoc")</f>
        <v>devonhistorysoc</v>
      </c>
      <c r="B21568" s="65"/>
    </row>
    <row r="21569" spans="1:2" x14ac:dyDescent="0.25">
      <c r="A21569" s="64" t="str">
        <f>HYPERLINK("http://www.twitter.com/mets1964", "mets1964")</f>
        <v>mets1964</v>
      </c>
      <c r="B21569" s="65"/>
    </row>
    <row r="21570" spans="1:2" x14ac:dyDescent="0.25">
      <c r="A21570" s="64" t="str">
        <f>HYPERLINK("http://www.twitter.com/AnnPawley", "AnnPawley")</f>
        <v>AnnPawley</v>
      </c>
      <c r="B21570" s="65" t="s">
        <v>5187</v>
      </c>
    </row>
    <row r="21571" spans="1:2" x14ac:dyDescent="0.25">
      <c r="A21571" s="64" t="str">
        <f>HYPERLINK("http://www.twitter.com/betabetic", "betabetic")</f>
        <v>betabetic</v>
      </c>
      <c r="B21571" s="65" t="s">
        <v>7115</v>
      </c>
    </row>
    <row r="21572" spans="1:2" x14ac:dyDescent="0.25">
      <c r="A21572" s="64" t="str">
        <f>HYPERLINK("http://www.twitter.com/hapsci", "hapsci")</f>
        <v>hapsci</v>
      </c>
      <c r="B21572" s="65" t="s">
        <v>808</v>
      </c>
    </row>
    <row r="21573" spans="1:2" x14ac:dyDescent="0.25">
      <c r="A21573" s="64" t="str">
        <f>HYPERLINK("http://www.twitter.com/chocoholix", "chocoholix")</f>
        <v>chocoholix</v>
      </c>
      <c r="B21573" s="65" t="s">
        <v>10100</v>
      </c>
    </row>
    <row r="21574" spans="1:2" x14ac:dyDescent="0.25">
      <c r="A21574" s="64" t="str">
        <f>HYPERLINK("http://www.twitter.com/Louisecoquio", "Louisecoquio")</f>
        <v>Louisecoquio</v>
      </c>
      <c r="B21574" s="65" t="s">
        <v>1841</v>
      </c>
    </row>
    <row r="21575" spans="1:2" x14ac:dyDescent="0.25">
      <c r="A21575" s="64" t="str">
        <f>HYPERLINK("http://www.twitter.com/JanineU", "JanineU")</f>
        <v>JanineU</v>
      </c>
      <c r="B21575" s="65"/>
    </row>
    <row r="21576" spans="1:2" x14ac:dyDescent="0.25">
      <c r="A21576" s="64" t="str">
        <f>HYPERLINK("http://www.twitter.com/Alasdairdon", "Alasdairdon")</f>
        <v>Alasdairdon</v>
      </c>
      <c r="B21576" s="65" t="s">
        <v>10101</v>
      </c>
    </row>
    <row r="21577" spans="1:2" x14ac:dyDescent="0.25">
      <c r="A21577" s="64" t="str">
        <f>HYPERLINK("http://www.twitter.com/gosling_bill", "gosling_bill")</f>
        <v>gosling_bill</v>
      </c>
      <c r="B21577" s="65"/>
    </row>
    <row r="21578" spans="1:2" x14ac:dyDescent="0.25">
      <c r="A21578" s="64" t="str">
        <f>HYPERLINK("http://www.twitter.com/I_A_Directory", "I_A_Directory")</f>
        <v>I_A_Directory</v>
      </c>
      <c r="B21578" s="65" t="s">
        <v>10102</v>
      </c>
    </row>
    <row r="21579" spans="1:2" x14ac:dyDescent="0.25">
      <c r="A21579" s="64" t="str">
        <f>HYPERLINK("http://www.twitter.com/S_G_Smith", "S_G_Smith")</f>
        <v>S_G_Smith</v>
      </c>
      <c r="B21579" s="65" t="s">
        <v>10103</v>
      </c>
    </row>
    <row r="21580" spans="1:2" x14ac:dyDescent="0.25">
      <c r="A21580" s="64" t="str">
        <f>HYPERLINK("http://www.twitter.com/MikeWhiting01", "MikeWhiting01")</f>
        <v>MikeWhiting01</v>
      </c>
      <c r="B21580" s="65" t="s">
        <v>10104</v>
      </c>
    </row>
    <row r="21581" spans="1:2" x14ac:dyDescent="0.25">
      <c r="A21581" s="64" t="str">
        <f>HYPERLINK("http://www.twitter.com/debhirsch", "debhirsch")</f>
        <v>debhirsch</v>
      </c>
      <c r="B21581" s="65" t="s">
        <v>10105</v>
      </c>
    </row>
    <row r="21582" spans="1:2" x14ac:dyDescent="0.25">
      <c r="A21582" s="64" t="str">
        <f>HYPERLINK("http://www.twitter.com/Lunchquest", "Lunchquest")</f>
        <v>Lunchquest</v>
      </c>
      <c r="B21582" s="65" t="s">
        <v>24</v>
      </c>
    </row>
    <row r="21583" spans="1:2" x14ac:dyDescent="0.25">
      <c r="A21583" s="64" t="str">
        <f>HYPERLINK("http://www.twitter.com/vmg456", "vmg456")</f>
        <v>vmg456</v>
      </c>
      <c r="B21583" s="65" t="s">
        <v>318</v>
      </c>
    </row>
    <row r="21584" spans="1:2" x14ac:dyDescent="0.25">
      <c r="A21584" s="64" t="str">
        <f>HYPERLINK("http://www.twitter.com/lorraine_lorri1", "lorraine_lorri1")</f>
        <v>lorraine_lorri1</v>
      </c>
      <c r="B21584" s="65" t="s">
        <v>1537</v>
      </c>
    </row>
    <row r="21585" spans="1:2" x14ac:dyDescent="0.25">
      <c r="A21585" s="64" t="str">
        <f>HYPERLINK("http://www.twitter.com/GrahamSWoods", "GrahamSWoods")</f>
        <v>GrahamSWoods</v>
      </c>
      <c r="B21585" s="65" t="s">
        <v>296</v>
      </c>
    </row>
    <row r="21586" spans="1:2" x14ac:dyDescent="0.25">
      <c r="A21586" s="64" t="str">
        <f>HYPERLINK("http://www.twitter.com/JoeGregg3", "JoeGregg3")</f>
        <v>JoeGregg3</v>
      </c>
      <c r="B21586" s="65" t="s">
        <v>20</v>
      </c>
    </row>
    <row r="21587" spans="1:2" x14ac:dyDescent="0.25">
      <c r="A21587" s="64" t="str">
        <f>HYPERLINK("http://www.twitter.com/dmcmorra", "dmcmorra")</f>
        <v>dmcmorra</v>
      </c>
      <c r="B21587" s="65" t="s">
        <v>318</v>
      </c>
    </row>
    <row r="21588" spans="1:2" x14ac:dyDescent="0.25">
      <c r="A21588" s="64" t="str">
        <f>HYPERLINK("http://www.twitter.com/HollyRHProjects", "HollyRHProjects")</f>
        <v>HollyRHProjects</v>
      </c>
      <c r="B21588" s="65" t="s">
        <v>10106</v>
      </c>
    </row>
    <row r="21589" spans="1:2" x14ac:dyDescent="0.25">
      <c r="A21589" s="64" t="str">
        <f>HYPERLINK("http://www.twitter.com/bencooper", "bencooper")</f>
        <v>bencooper</v>
      </c>
      <c r="B21589" s="65" t="s">
        <v>318</v>
      </c>
    </row>
    <row r="21590" spans="1:2" x14ac:dyDescent="0.25">
      <c r="A21590" s="64" t="str">
        <f>HYPERLINK("http://www.twitter.com/_irj", "_irj")</f>
        <v>_irj</v>
      </c>
      <c r="B21590" s="65" t="s">
        <v>141</v>
      </c>
    </row>
    <row r="21591" spans="1:2" x14ac:dyDescent="0.25">
      <c r="A21591" s="64" t="str">
        <f>HYPERLINK("http://www.twitter.com/GillianMBird", "GillianMBird")</f>
        <v>GillianMBird</v>
      </c>
      <c r="B21591" s="65" t="s">
        <v>517</v>
      </c>
    </row>
    <row r="21592" spans="1:2" x14ac:dyDescent="0.25">
      <c r="A21592" s="64" t="str">
        <f>HYPERLINK("http://www.twitter.com/itisimplicit", "itisimplicit")</f>
        <v>itisimplicit</v>
      </c>
      <c r="B21592" s="65" t="s">
        <v>477</v>
      </c>
    </row>
    <row r="21593" spans="1:2" x14ac:dyDescent="0.25">
      <c r="A21593" s="64" t="str">
        <f>HYPERLINK("http://www.twitter.com/davejphendy", "davejphendy")</f>
        <v>davejphendy</v>
      </c>
      <c r="B21593" s="65" t="s">
        <v>10107</v>
      </c>
    </row>
    <row r="21594" spans="1:2" x14ac:dyDescent="0.25">
      <c r="A21594" s="64" t="str">
        <f>HYPERLINK("http://www.twitter.com/OddSocksAlex", "OddSocksAlex")</f>
        <v>OddSocksAlex</v>
      </c>
      <c r="B21594" s="65" t="s">
        <v>102</v>
      </c>
    </row>
    <row r="21595" spans="1:2" x14ac:dyDescent="0.25">
      <c r="A21595" s="64" t="str">
        <f>HYPERLINK("http://www.twitter.com/Magnus_Jamieson", "Magnus_Jamieson")</f>
        <v>Magnus_Jamieson</v>
      </c>
      <c r="B21595" s="65" t="s">
        <v>10108</v>
      </c>
    </row>
    <row r="21596" spans="1:2" x14ac:dyDescent="0.25">
      <c r="A21596" s="64" t="str">
        <f>HYPERLINK("http://www.twitter.com/BartleyS", "BartleyS")</f>
        <v>BartleyS</v>
      </c>
      <c r="B21596" s="65" t="s">
        <v>36</v>
      </c>
    </row>
    <row r="21597" spans="1:2" x14ac:dyDescent="0.25">
      <c r="A21597" s="64" t="str">
        <f>HYPERLINK("http://www.twitter.com/BlackwellLiv", "BlackwellLiv")</f>
        <v>BlackwellLiv</v>
      </c>
      <c r="B21597" s="65" t="s">
        <v>102</v>
      </c>
    </row>
    <row r="21598" spans="1:2" x14ac:dyDescent="0.25">
      <c r="A21598" s="64" t="str">
        <f>HYPERLINK("http://www.twitter.com/BlackwellKeele", "BlackwellKeele")</f>
        <v>BlackwellKeele</v>
      </c>
      <c r="B21598" s="65" t="s">
        <v>10109</v>
      </c>
    </row>
    <row r="21599" spans="1:2" x14ac:dyDescent="0.25">
      <c r="A21599" s="64" t="str">
        <f>HYPERLINK("http://www.twitter.com/it_aint_kansas", "it_aint_kansas")</f>
        <v>it_aint_kansas</v>
      </c>
      <c r="B21599" s="65" t="s">
        <v>6058</v>
      </c>
    </row>
    <row r="21600" spans="1:2" x14ac:dyDescent="0.25">
      <c r="A21600" s="64" t="str">
        <f>HYPERLINK("http://www.twitter.com/DerrySketcher", "DerrySketcher")</f>
        <v>DerrySketcher</v>
      </c>
      <c r="B21600" s="65" t="s">
        <v>6058</v>
      </c>
    </row>
    <row r="21601" spans="1:2" x14ac:dyDescent="0.25">
      <c r="A21601" s="64" t="str">
        <f>HYPERLINK("http://www.twitter.com/BlackwellsHH", "BlackwellsHH")</f>
        <v>BlackwellsHH</v>
      </c>
      <c r="B21601" s="65" t="s">
        <v>10110</v>
      </c>
    </row>
    <row r="21602" spans="1:2" x14ac:dyDescent="0.25">
      <c r="A21602" s="64" t="str">
        <f>HYPERLINK("http://www.twitter.com/DecLawn", "DecLawn")</f>
        <v>DecLawn</v>
      </c>
      <c r="B21602" s="65"/>
    </row>
    <row r="21603" spans="1:2" x14ac:dyDescent="0.25">
      <c r="A21603" s="64" t="str">
        <f>HYPERLINK("http://www.twitter.com/SwordMaclean", "SwordMaclean")</f>
        <v>SwordMaclean</v>
      </c>
      <c r="B21603" s="65" t="s">
        <v>10111</v>
      </c>
    </row>
    <row r="21604" spans="1:2" x14ac:dyDescent="0.25">
      <c r="A21604" s="64" t="str">
        <f>HYPERLINK("http://www.twitter.com/weebugphoto", "weebugphoto")</f>
        <v>weebugphoto</v>
      </c>
      <c r="B21604" s="65" t="s">
        <v>1201</v>
      </c>
    </row>
    <row r="21605" spans="1:2" x14ac:dyDescent="0.25">
      <c r="A21605" s="64" t="str">
        <f>HYPERLINK("http://www.twitter.com/blackwelltrent", "blackwelltrent")</f>
        <v>blackwelltrent</v>
      </c>
      <c r="B21605" s="65" t="s">
        <v>10112</v>
      </c>
    </row>
    <row r="21606" spans="1:2" x14ac:dyDescent="0.25">
      <c r="A21606" s="64" t="str">
        <f>HYPERLINK("http://www.twitter.com/scottishannie", "scottishannie")</f>
        <v>scottishannie</v>
      </c>
      <c r="B21606" s="65" t="s">
        <v>10113</v>
      </c>
    </row>
    <row r="21607" spans="1:2" x14ac:dyDescent="0.25">
      <c r="A21607" s="64" t="str">
        <f>HYPERLINK("http://www.twitter.com/InbalHarding", "InbalHarding")</f>
        <v>InbalHarding</v>
      </c>
      <c r="B21607" s="65" t="s">
        <v>10114</v>
      </c>
    </row>
    <row r="21608" spans="1:2" x14ac:dyDescent="0.25">
      <c r="A21608" s="64" t="str">
        <f>HYPERLINK("http://www.twitter.com/SamClements1", "SamClements1")</f>
        <v>SamClements1</v>
      </c>
      <c r="B21608" s="65"/>
    </row>
    <row r="21609" spans="1:2" x14ac:dyDescent="0.25">
      <c r="A21609" s="64" t="str">
        <f>HYPERLINK("http://www.twitter.com/HossackAlan", "HossackAlan")</f>
        <v>HossackAlan</v>
      </c>
      <c r="B21609" s="65" t="s">
        <v>10115</v>
      </c>
    </row>
    <row r="21610" spans="1:2" x14ac:dyDescent="0.25">
      <c r="A21610" s="64" t="str">
        <f>HYPERLINK("http://www.twitter.com/jomit1", "jomit1")</f>
        <v>jomit1</v>
      </c>
      <c r="B21610" s="65"/>
    </row>
    <row r="21611" spans="1:2" x14ac:dyDescent="0.25">
      <c r="A21611" s="64" t="str">
        <f>HYPERLINK("http://www.twitter.com/Oldie_Library", "Oldie_Library")</f>
        <v>Oldie_Library</v>
      </c>
      <c r="B21611" s="65"/>
    </row>
    <row r="21612" spans="1:2" x14ac:dyDescent="0.25">
      <c r="A21612" s="64" t="str">
        <f>HYPERLINK("http://www.twitter.com/JudyRGH", "JudyRGH")</f>
        <v>JudyRGH</v>
      </c>
      <c r="B21612" s="65"/>
    </row>
    <row r="21613" spans="1:2" x14ac:dyDescent="0.25">
      <c r="A21613" s="64" t="str">
        <f>HYPERLINK("http://www.twitter.com/msomersla", "msomersla")</f>
        <v>msomersla</v>
      </c>
      <c r="B21613" s="65"/>
    </row>
    <row r="21614" spans="1:2" x14ac:dyDescent="0.25">
      <c r="A21614" s="64" t="str">
        <f>HYPERLINK("http://www.twitter.com/WestHighMuseum", "WestHighMuseum")</f>
        <v>WestHighMuseum</v>
      </c>
      <c r="B21614" s="65" t="s">
        <v>8524</v>
      </c>
    </row>
    <row r="21615" spans="1:2" x14ac:dyDescent="0.25">
      <c r="A21615" s="64" t="str">
        <f>HYPERLINK("http://www.twitter.com/rodb168", "rodb168")</f>
        <v>rodb168</v>
      </c>
      <c r="B21615" s="65"/>
    </row>
    <row r="21616" spans="1:2" x14ac:dyDescent="0.25">
      <c r="A21616" s="64" t="str">
        <f>HYPERLINK("http://www.twitter.com/julesork33", "julesork33")</f>
        <v>julesork33</v>
      </c>
      <c r="B21616" s="65"/>
    </row>
    <row r="21617" spans="1:2" x14ac:dyDescent="0.25">
      <c r="A21617" s="64" t="str">
        <f>HYPERLINK("http://www.twitter.com/and_bull", "and_bull")</f>
        <v>and_bull</v>
      </c>
      <c r="B21617" s="65" t="s">
        <v>310</v>
      </c>
    </row>
    <row r="21618" spans="1:2" x14ac:dyDescent="0.25">
      <c r="A21618" s="64" t="str">
        <f>HYPERLINK("http://www.twitter.com/AllisMcD", "AllisMcD")</f>
        <v>AllisMcD</v>
      </c>
      <c r="B21618" s="65" t="s">
        <v>296</v>
      </c>
    </row>
    <row r="21619" spans="1:2" x14ac:dyDescent="0.25">
      <c r="A21619" s="64" t="str">
        <f>HYPERLINK("http://www.twitter.com/jinjerjam", "jinjerjam")</f>
        <v>jinjerjam</v>
      </c>
      <c r="B21619" s="65" t="s">
        <v>10116</v>
      </c>
    </row>
    <row r="21620" spans="1:2" x14ac:dyDescent="0.25">
      <c r="A21620" s="64" t="str">
        <f>HYPERLINK("http://www.twitter.com/Martenstyn", "Martenstyn")</f>
        <v>Martenstyn</v>
      </c>
      <c r="B21620" s="65"/>
    </row>
    <row r="21621" spans="1:2" x14ac:dyDescent="0.25">
      <c r="A21621" s="64" t="str">
        <f>HYPERLINK("http://www.twitter.com/bacpau", "bacpau")</f>
        <v>bacpau</v>
      </c>
      <c r="B21621" s="65"/>
    </row>
    <row r="21622" spans="1:2" x14ac:dyDescent="0.25">
      <c r="A21622" s="64" t="str">
        <f>HYPERLINK("http://www.twitter.com/KerryQOTN", "KerryQOTN")</f>
        <v>KerryQOTN</v>
      </c>
      <c r="B21622" s="65" t="s">
        <v>4484</v>
      </c>
    </row>
    <row r="21623" spans="1:2" x14ac:dyDescent="0.25">
      <c r="A21623" s="64" t="str">
        <f>HYPERLINK("http://www.twitter.com/TheYellowBrolly", "TheYellowBrolly")</f>
        <v>TheYellowBrolly</v>
      </c>
      <c r="B21623" s="65" t="s">
        <v>138</v>
      </c>
    </row>
    <row r="21624" spans="1:2" x14ac:dyDescent="0.25">
      <c r="A21624" s="64" t="str">
        <f>HYPERLINK("http://www.twitter.com/tumour", "tumour")</f>
        <v>tumour</v>
      </c>
      <c r="B21624" s="65"/>
    </row>
    <row r="21625" spans="1:2" x14ac:dyDescent="0.25">
      <c r="A21625" s="64" t="str">
        <f>HYPERLINK("http://www.twitter.com/CLFSLibLearn", "CLFSLibLearn")</f>
        <v>CLFSLibLearn</v>
      </c>
      <c r="B21625" s="65"/>
    </row>
    <row r="21626" spans="1:2" x14ac:dyDescent="0.25">
      <c r="A21626" s="64" t="str">
        <f>HYPERLINK("http://www.twitter.com/ShowCultureLove", "ShowCultureLove")</f>
        <v>ShowCultureLove</v>
      </c>
      <c r="B21626" s="65"/>
    </row>
    <row r="21627" spans="1:2" x14ac:dyDescent="0.25">
      <c r="A21627" s="64" t="str">
        <f>HYPERLINK("http://www.twitter.com/sadiebyrrd", "sadiebyrrd")</f>
        <v>sadiebyrrd</v>
      </c>
      <c r="B21627" s="65" t="s">
        <v>10117</v>
      </c>
    </row>
    <row r="21628" spans="1:2" x14ac:dyDescent="0.25">
      <c r="A21628" s="64" t="str">
        <f>HYPERLINK("http://www.twitter.com/monaldonal", "monaldonal")</f>
        <v>monaldonal</v>
      </c>
      <c r="B21628" s="65"/>
    </row>
    <row r="21629" spans="1:2" x14ac:dyDescent="0.25">
      <c r="A21629" s="64" t="str">
        <f>HYPERLINK("http://www.twitter.com/heffalumptrap17", "heffalumptrap17")</f>
        <v>heffalumptrap17</v>
      </c>
      <c r="B21629" s="65"/>
    </row>
    <row r="21630" spans="1:2" x14ac:dyDescent="0.25">
      <c r="A21630" s="64" t="str">
        <f>HYPERLINK("http://www.twitter.com/MaidenheadWI", "MaidenheadWI")</f>
        <v>MaidenheadWI</v>
      </c>
      <c r="B21630" s="65" t="s">
        <v>9577</v>
      </c>
    </row>
    <row r="21631" spans="1:2" x14ac:dyDescent="0.25">
      <c r="A21631" s="64" t="str">
        <f>HYPERLINK("http://www.twitter.com/salzeebar", "salzeebar")</f>
        <v>salzeebar</v>
      </c>
      <c r="B21631" s="65" t="s">
        <v>296</v>
      </c>
    </row>
    <row r="21632" spans="1:2" x14ac:dyDescent="0.25">
      <c r="A21632" s="64" t="str">
        <f>HYPERLINK("http://www.twitter.com/Orko79", "Orko79")</f>
        <v>Orko79</v>
      </c>
      <c r="B21632" s="65"/>
    </row>
    <row r="21633" spans="1:2" x14ac:dyDescent="0.25">
      <c r="A21633" s="64" t="str">
        <f>HYPERLINK("http://www.twitter.com/LMHPhotog", "LMHPhotog")</f>
        <v>LMHPhotog</v>
      </c>
      <c r="B21633" s="65" t="s">
        <v>10118</v>
      </c>
    </row>
    <row r="21634" spans="1:2" x14ac:dyDescent="0.25">
      <c r="A21634" s="64" t="str">
        <f>HYPERLINK("http://www.twitter.com/EdnaStirrat", "EdnaStirrat")</f>
        <v>EdnaStirrat</v>
      </c>
      <c r="B21634" s="65"/>
    </row>
    <row r="21635" spans="1:2" x14ac:dyDescent="0.25">
      <c r="A21635" s="64" t="str">
        <f>HYPERLINK("http://www.twitter.com/UmBongoUK", "UmBongoUK")</f>
        <v>UmBongoUK</v>
      </c>
      <c r="B21635" s="65"/>
    </row>
    <row r="21636" spans="1:2" x14ac:dyDescent="0.25">
      <c r="A21636" s="64" t="str">
        <f>HYPERLINK("http://www.twitter.com/IsabelleGrey", "IsabelleGrey")</f>
        <v>IsabelleGrey</v>
      </c>
      <c r="B21636" s="65" t="s">
        <v>36</v>
      </c>
    </row>
    <row r="21637" spans="1:2" x14ac:dyDescent="0.25">
      <c r="A21637" s="64" t="str">
        <f>HYPERLINK("http://www.twitter.com/Elizamcoffey", "Elizamcoffey")</f>
        <v>Elizamcoffey</v>
      </c>
      <c r="B21637" s="65" t="s">
        <v>4254</v>
      </c>
    </row>
    <row r="21638" spans="1:2" x14ac:dyDescent="0.25">
      <c r="A21638" s="64" t="str">
        <f>HYPERLINK("http://www.twitter.com/orillialibrary", "orillialibrary")</f>
        <v>orillialibrary</v>
      </c>
      <c r="B21638" s="65" t="s">
        <v>10119</v>
      </c>
    </row>
    <row r="21639" spans="1:2" x14ac:dyDescent="0.25">
      <c r="A21639" s="64" t="str">
        <f>HYPERLINK("http://www.twitter.com/SiobhanA1969", "SiobhanA1969")</f>
        <v>SiobhanA1969</v>
      </c>
      <c r="B21639" s="65"/>
    </row>
    <row r="21640" spans="1:2" x14ac:dyDescent="0.25">
      <c r="A21640" s="64" t="str">
        <f>HYPERLINK("http://www.twitter.com/MrGeetsRomo", "MrGeetsRomo")</f>
        <v>MrGeetsRomo</v>
      </c>
      <c r="B21640" s="65"/>
    </row>
    <row r="21641" spans="1:2" x14ac:dyDescent="0.25">
      <c r="A21641" s="64" t="str">
        <f>HYPERLINK("http://www.twitter.com/willcairns", "willcairns")</f>
        <v>willcairns</v>
      </c>
      <c r="B21641" s="65"/>
    </row>
    <row r="21642" spans="1:2" x14ac:dyDescent="0.25">
      <c r="A21642" s="64" t="str">
        <f>HYPERLINK("http://www.twitter.com/RangitikeiLib", "RangitikeiLib")</f>
        <v>RangitikeiLib</v>
      </c>
      <c r="B21642" s="65" t="s">
        <v>10120</v>
      </c>
    </row>
    <row r="21643" spans="1:2" x14ac:dyDescent="0.25">
      <c r="A21643" s="64" t="str">
        <f>HYPERLINK("http://www.twitter.com/shrewsburyabbey", "shrewsburyabbey")</f>
        <v>shrewsburyabbey</v>
      </c>
      <c r="B21643" s="65" t="s">
        <v>10121</v>
      </c>
    </row>
    <row r="21644" spans="1:2" x14ac:dyDescent="0.25">
      <c r="A21644" s="64" t="str">
        <f>HYPERLINK("http://www.twitter.com/annaturbo", "annaturbo")</f>
        <v>annaturbo</v>
      </c>
      <c r="B21644" s="65" t="s">
        <v>6269</v>
      </c>
    </row>
    <row r="21645" spans="1:2" x14ac:dyDescent="0.25">
      <c r="A21645" s="64" t="str">
        <f>HYPERLINK("http://www.twitter.com/DebCoggans", "DebCoggans")</f>
        <v>DebCoggans</v>
      </c>
      <c r="B21645" s="65"/>
    </row>
    <row r="21646" spans="1:2" x14ac:dyDescent="0.25">
      <c r="A21646" s="64" t="str">
        <f>HYPERLINK("http://www.twitter.com/nikkicheshire", "nikkicheshire")</f>
        <v>nikkicheshire</v>
      </c>
      <c r="B21646" s="65" t="s">
        <v>3793</v>
      </c>
    </row>
    <row r="21647" spans="1:2" x14ac:dyDescent="0.25">
      <c r="A21647" s="64" t="str">
        <f>HYPERLINK("http://www.twitter.com/higherutley", "higherutley")</f>
        <v>higherutley</v>
      </c>
      <c r="B21647" s="65"/>
    </row>
    <row r="21648" spans="1:2" x14ac:dyDescent="0.25">
      <c r="A21648" s="64" t="str">
        <f>HYPERLINK("http://www.twitter.com/gordonmacmillan", "gordonmacmillan")</f>
        <v>gordonmacmillan</v>
      </c>
      <c r="B21648" s="65" t="s">
        <v>36</v>
      </c>
    </row>
    <row r="21649" spans="1:2" x14ac:dyDescent="0.25">
      <c r="A21649" s="64" t="str">
        <f>HYPERLINK("http://www.twitter.com/MDraytonLibrary", "MDraytonLibrary")</f>
        <v>MDraytonLibrary</v>
      </c>
      <c r="B21649" s="65" t="s">
        <v>1807</v>
      </c>
    </row>
    <row r="21650" spans="1:2" x14ac:dyDescent="0.25">
      <c r="A21650" s="64" t="str">
        <f>HYPERLINK("http://www.twitter.com/whitebrands", "whitebrands")</f>
        <v>whitebrands</v>
      </c>
      <c r="B21650" s="65" t="s">
        <v>424</v>
      </c>
    </row>
    <row r="21651" spans="1:2" x14ac:dyDescent="0.25">
      <c r="A21651" s="64" t="str">
        <f>HYPERLINK("http://www.twitter.com/mnew", "mnew")</f>
        <v>mnew</v>
      </c>
      <c r="B21651" s="65" t="s">
        <v>296</v>
      </c>
    </row>
    <row r="21652" spans="1:2" x14ac:dyDescent="0.25">
      <c r="A21652" s="64" t="str">
        <f>HYPERLINK("http://www.twitter.com/iestyn", "iestyn")</f>
        <v>iestyn</v>
      </c>
      <c r="B21652" s="65"/>
    </row>
    <row r="21653" spans="1:2" x14ac:dyDescent="0.25">
      <c r="A21653" s="64" t="str">
        <f>HYPERLINK("http://www.twitter.com/Moduflex_info", "Moduflex_info")</f>
        <v>Moduflex_info</v>
      </c>
      <c r="B21653" s="65" t="s">
        <v>10122</v>
      </c>
    </row>
    <row r="21654" spans="1:2" x14ac:dyDescent="0.25">
      <c r="A21654" s="64" t="str">
        <f>HYPERLINK("http://www.twitter.com/SkyeBakingCo", "SkyeBakingCo")</f>
        <v>SkyeBakingCo</v>
      </c>
      <c r="B21654" s="65" t="s">
        <v>4454</v>
      </c>
    </row>
    <row r="21655" spans="1:2" x14ac:dyDescent="0.25">
      <c r="A21655" s="64" t="str">
        <f>HYPERLINK("http://www.twitter.com/HistoryGirlsAye", "HistoryGirlsAye")</f>
        <v>HistoryGirlsAye</v>
      </c>
      <c r="B21655" s="65" t="s">
        <v>517</v>
      </c>
    </row>
    <row r="21656" spans="1:2" x14ac:dyDescent="0.25">
      <c r="A21656" s="64" t="str">
        <f>HYPERLINK("http://www.twitter.com/ScotStoryCentre", "ScotStoryCentre")</f>
        <v>ScotStoryCentre</v>
      </c>
      <c r="B21656" s="65" t="s">
        <v>487</v>
      </c>
    </row>
    <row r="21657" spans="1:2" x14ac:dyDescent="0.25">
      <c r="A21657" s="64" t="str">
        <f>HYPERLINK("http://www.twitter.com/mgth6", "mgth6")</f>
        <v>mgth6</v>
      </c>
      <c r="B21657" s="65" t="s">
        <v>10123</v>
      </c>
    </row>
    <row r="21658" spans="1:2" x14ac:dyDescent="0.25">
      <c r="A21658" s="64" t="str">
        <f>HYPERLINK("http://www.twitter.com/avbellof", "avbellof")</f>
        <v>avbellof</v>
      </c>
      <c r="B21658" s="65"/>
    </row>
    <row r="21659" spans="1:2" x14ac:dyDescent="0.25">
      <c r="A21659" s="64" t="str">
        <f>HYPERLINK("http://www.twitter.com/robotmay", "robotmay")</f>
        <v>robotmay</v>
      </c>
      <c r="B21659" s="65" t="s">
        <v>1146</v>
      </c>
    </row>
    <row r="21660" spans="1:2" x14ac:dyDescent="0.25">
      <c r="A21660" s="64" t="str">
        <f>HYPERLINK("http://www.twitter.com/expatista", "expatista")</f>
        <v>expatista</v>
      </c>
      <c r="B21660" s="65" t="s">
        <v>517</v>
      </c>
    </row>
    <row r="21661" spans="1:2" x14ac:dyDescent="0.25">
      <c r="A21661" s="64" t="str">
        <f>HYPERLINK("http://www.twitter.com/thebur2", "thebur2")</f>
        <v>thebur2</v>
      </c>
      <c r="B21661" s="65" t="s">
        <v>3137</v>
      </c>
    </row>
    <row r="21662" spans="1:2" x14ac:dyDescent="0.25">
      <c r="A21662" s="64" t="str">
        <f>HYPERLINK("http://www.twitter.com/crgn", "crgn")</f>
        <v>crgn</v>
      </c>
      <c r="B21662" s="65" t="s">
        <v>24</v>
      </c>
    </row>
    <row r="21663" spans="1:2" x14ac:dyDescent="0.25">
      <c r="A21663" s="64" t="str">
        <f>HYPERLINK("http://www.twitter.com/jessikart", "jessikart")</f>
        <v>jessikart</v>
      </c>
      <c r="B21663" s="65"/>
    </row>
    <row r="21664" spans="1:2" x14ac:dyDescent="0.25">
      <c r="A21664" s="64" t="str">
        <f>HYPERLINK("http://www.twitter.com/SidcotSchool", "SidcotSchool")</f>
        <v>SidcotSchool</v>
      </c>
      <c r="B21664" s="65" t="s">
        <v>10124</v>
      </c>
    </row>
    <row r="21665" spans="1:2" x14ac:dyDescent="0.25">
      <c r="A21665" s="64" t="str">
        <f>HYPERLINK("http://www.twitter.com/DawestDebra", "DawestDebra")</f>
        <v>DawestDebra</v>
      </c>
      <c r="B21665" s="65" t="s">
        <v>10125</v>
      </c>
    </row>
    <row r="21666" spans="1:2" x14ac:dyDescent="0.25">
      <c r="A21666" s="64" t="str">
        <f>HYPERLINK("http://www.twitter.com/StPaulsColls", "StPaulsColls")</f>
        <v>StPaulsColls</v>
      </c>
      <c r="B21666" s="65"/>
    </row>
    <row r="21667" spans="1:2" x14ac:dyDescent="0.25">
      <c r="A21667" s="64" t="str">
        <f>HYPERLINK("http://www.twitter.com/AuthorAllie1", "AuthorAllie1")</f>
        <v>AuthorAllie1</v>
      </c>
      <c r="B21667" s="65" t="s">
        <v>10126</v>
      </c>
    </row>
    <row r="21668" spans="1:2" x14ac:dyDescent="0.25">
      <c r="A21668" s="64" t="str">
        <f>HYPERLINK("http://www.twitter.com/nronaidm", "nronaidm")</f>
        <v>nronaidm</v>
      </c>
      <c r="B21668" s="65" t="s">
        <v>10127</v>
      </c>
    </row>
    <row r="21669" spans="1:2" x14ac:dyDescent="0.25">
      <c r="A21669" s="64" t="str">
        <f>HYPERLINK("http://www.twitter.com/theotherlivvy", "theotherlivvy")</f>
        <v>theotherlivvy</v>
      </c>
      <c r="B21669" s="65"/>
    </row>
    <row r="21670" spans="1:2" x14ac:dyDescent="0.25">
      <c r="A21670" s="64" t="str">
        <f>HYPERLINK("http://www.twitter.com/SianEva39743918", "SianEva39743918")</f>
        <v>SianEva39743918</v>
      </c>
      <c r="B21670" s="65"/>
    </row>
    <row r="21671" spans="1:2" x14ac:dyDescent="0.25">
      <c r="A21671" s="64" t="str">
        <f>HYPERLINK("http://www.twitter.com/karenmclachlan", "karenmclachlan")</f>
        <v>karenmclachlan</v>
      </c>
      <c r="B21671" s="65"/>
    </row>
    <row r="21672" spans="1:2" x14ac:dyDescent="0.25">
      <c r="A21672" s="64" t="str">
        <f>HYPERLINK("http://www.twitter.com/SusanCornick", "SusanCornick")</f>
        <v>SusanCornick</v>
      </c>
      <c r="B21672" s="65"/>
    </row>
    <row r="21673" spans="1:2" x14ac:dyDescent="0.25">
      <c r="A21673" s="64" t="str">
        <f>HYPERLINK("http://www.twitter.com/bazzimo", "bazzimo")</f>
        <v>bazzimo</v>
      </c>
      <c r="B21673" s="65" t="s">
        <v>5667</v>
      </c>
    </row>
    <row r="21674" spans="1:2" x14ac:dyDescent="0.25">
      <c r="A21674" s="64" t="str">
        <f>HYPERLINK("http://www.twitter.com/GlasgowLib", "GlasgowLib")</f>
        <v>GlasgowLib</v>
      </c>
      <c r="B21674" s="65" t="s">
        <v>138</v>
      </c>
    </row>
    <row r="21675" spans="1:2" x14ac:dyDescent="0.25">
      <c r="A21675" s="64" t="str">
        <f>HYPERLINK("http://www.twitter.com/interpkatherine", "interpkatherine")</f>
        <v>interpkatherine</v>
      </c>
      <c r="B21675" s="65" t="s">
        <v>296</v>
      </c>
    </row>
    <row r="21676" spans="1:2" x14ac:dyDescent="0.25">
      <c r="A21676" s="64" t="str">
        <f>HYPERLINK("http://www.twitter.com/Jimbobfagan", "Jimbobfagan")</f>
        <v>Jimbobfagan</v>
      </c>
      <c r="B21676" s="65" t="s">
        <v>1841</v>
      </c>
    </row>
    <row r="21677" spans="1:2" x14ac:dyDescent="0.25">
      <c r="A21677" s="64" t="str">
        <f>HYPERLINK("http://www.twitter.com/wendy_keiller", "wendy_keiller")</f>
        <v>wendy_keiller</v>
      </c>
      <c r="B21677" s="65"/>
    </row>
    <row r="21678" spans="1:2" x14ac:dyDescent="0.25">
      <c r="A21678" s="64" t="str">
        <f>HYPERLINK("http://www.twitter.com/ewas2", "ewas2")</f>
        <v>ewas2</v>
      </c>
      <c r="B21678" s="65" t="s">
        <v>3948</v>
      </c>
    </row>
    <row r="21679" spans="1:2" x14ac:dyDescent="0.25">
      <c r="A21679" s="64" t="str">
        <f>HYPERLINK("http://www.twitter.com/James__Nesbitt", "James__Nesbitt")</f>
        <v>James__Nesbitt</v>
      </c>
      <c r="B21679" s="65" t="s">
        <v>10128</v>
      </c>
    </row>
    <row r="21680" spans="1:2" x14ac:dyDescent="0.25">
      <c r="A21680" s="64" t="str">
        <f>HYPERLINK("http://www.twitter.com/zoe_westwood", "zoe_westwood")</f>
        <v>zoe_westwood</v>
      </c>
      <c r="B21680" s="65"/>
    </row>
    <row r="21681" spans="1:2" x14ac:dyDescent="0.25">
      <c r="A21681" s="64" t="str">
        <f>HYPERLINK("http://www.twitter.com/VisArtsGlasgow", "VisArtsGlasgow")</f>
        <v>VisArtsGlasgow</v>
      </c>
      <c r="B21681" s="65" t="s">
        <v>138</v>
      </c>
    </row>
    <row r="21682" spans="1:2" x14ac:dyDescent="0.25">
      <c r="A21682" s="64" t="str">
        <f>HYPERLINK("http://www.twitter.com/linneymoss", "linneymoss")</f>
        <v>linneymoss</v>
      </c>
      <c r="B21682" s="65" t="s">
        <v>808</v>
      </c>
    </row>
    <row r="21683" spans="1:2" x14ac:dyDescent="0.25">
      <c r="A21683" s="64" t="str">
        <f>HYPERLINK("http://www.twitter.com/ECKnights", "ECKnights")</f>
        <v>ECKnights</v>
      </c>
      <c r="B21683" s="65"/>
    </row>
    <row r="21684" spans="1:2" x14ac:dyDescent="0.25">
      <c r="A21684" s="64" t="str">
        <f>HYPERLINK("http://www.twitter.com/Supermark69", "Supermark69")</f>
        <v>Supermark69</v>
      </c>
      <c r="B21684" s="65" t="s">
        <v>33</v>
      </c>
    </row>
    <row r="21685" spans="1:2" x14ac:dyDescent="0.25">
      <c r="A21685" s="64" t="str">
        <f>HYPERLINK("http://www.twitter.com/ohreallygillian", "ohreallygillian")</f>
        <v>ohreallygillian</v>
      </c>
      <c r="B21685" s="65" t="s">
        <v>10129</v>
      </c>
    </row>
    <row r="21686" spans="1:2" x14ac:dyDescent="0.25">
      <c r="A21686" s="64" t="str">
        <f>HYPERLINK("http://www.twitter.com/TessaWynn", "TessaWynn")</f>
        <v>TessaWynn</v>
      </c>
      <c r="B21686" s="65"/>
    </row>
    <row r="21687" spans="1:2" x14ac:dyDescent="0.25">
      <c r="A21687" s="64" t="str">
        <f>HYPERLINK("http://www.twitter.com/southerlyjourna", "southerlyjourna")</f>
        <v>southerlyjourna</v>
      </c>
      <c r="B21687" s="65" t="s">
        <v>3817</v>
      </c>
    </row>
    <row r="21688" spans="1:2" x14ac:dyDescent="0.25">
      <c r="A21688" s="64" t="str">
        <f>HYPERLINK("http://www.twitter.com/gnossmusic", "gnossmusic")</f>
        <v>gnossmusic</v>
      </c>
      <c r="B21688" s="65" t="s">
        <v>10130</v>
      </c>
    </row>
    <row r="21689" spans="1:2" x14ac:dyDescent="0.25">
      <c r="A21689" s="64" t="str">
        <f>HYPERLINK("http://www.twitter.com/DebDaveMason", "DebDaveMason")</f>
        <v>DebDaveMason</v>
      </c>
      <c r="B21689" s="65" t="s">
        <v>36</v>
      </c>
    </row>
    <row r="21690" spans="1:2" x14ac:dyDescent="0.25">
      <c r="A21690" s="64" t="str">
        <f>HYPERLINK("http://www.twitter.com/mjh65g", "mjh65g")</f>
        <v>mjh65g</v>
      </c>
      <c r="B21690" s="65"/>
    </row>
    <row r="21691" spans="1:2" x14ac:dyDescent="0.25">
      <c r="A21691" s="64" t="str">
        <f>HYPERLINK("http://www.twitter.com/carriebroon", "carriebroon")</f>
        <v>carriebroon</v>
      </c>
      <c r="B21691" s="65" t="s">
        <v>5104</v>
      </c>
    </row>
    <row r="21692" spans="1:2" x14ac:dyDescent="0.25">
      <c r="A21692" s="64" t="str">
        <f>HYPERLINK("http://www.twitter.com/bjr1983", "bjr1983")</f>
        <v>bjr1983</v>
      </c>
      <c r="B21692" s="65" t="s">
        <v>4851</v>
      </c>
    </row>
    <row r="21693" spans="1:2" x14ac:dyDescent="0.25">
      <c r="A21693" s="64" t="str">
        <f>HYPERLINK("http://www.twitter.com/Cpt_Blade", "Cpt_Blade")</f>
        <v>Cpt_Blade</v>
      </c>
      <c r="B21693" s="65"/>
    </row>
    <row r="21694" spans="1:2" x14ac:dyDescent="0.25">
      <c r="A21694" s="64" t="str">
        <f>HYPERLINK("http://www.twitter.com/MaryMGorn", "MaryMGorn")</f>
        <v>MaryMGorn</v>
      </c>
      <c r="B21694" s="65" t="s">
        <v>10131</v>
      </c>
    </row>
    <row r="21695" spans="1:2" x14ac:dyDescent="0.25">
      <c r="A21695" s="64" t="str">
        <f>HYPERLINK("http://www.twitter.com/connell_guides", "connell_guides")</f>
        <v>connell_guides</v>
      </c>
      <c r="B21695" s="65" t="s">
        <v>36</v>
      </c>
    </row>
    <row r="21696" spans="1:2" x14ac:dyDescent="0.25">
      <c r="A21696" s="64" t="str">
        <f>HYPERLINK("http://www.twitter.com/GoffstownLibry", "GoffstownLibry")</f>
        <v>GoffstownLibry</v>
      </c>
      <c r="B21696" s="65" t="s">
        <v>10132</v>
      </c>
    </row>
    <row r="21697" spans="1:2" x14ac:dyDescent="0.25">
      <c r="A21697" s="64" t="str">
        <f>HYPERLINK("http://www.twitter.com/countrytweeter", "countrytweeter")</f>
        <v>countrytweeter</v>
      </c>
      <c r="B21697" s="65"/>
    </row>
    <row r="21698" spans="1:2" x14ac:dyDescent="0.25">
      <c r="A21698" s="64" t="str">
        <f>HYPERLINK("http://www.twitter.com/Johnston25Liz", "Johnston25Liz")</f>
        <v>Johnston25Liz</v>
      </c>
      <c r="B21698" s="65" t="s">
        <v>20</v>
      </c>
    </row>
    <row r="21699" spans="1:2" x14ac:dyDescent="0.25">
      <c r="A21699" s="64" t="str">
        <f>HYPERLINK("http://www.twitter.com/ruth0atkinson", "ruth0atkinson")</f>
        <v>ruth0atkinson</v>
      </c>
      <c r="B21699" s="65"/>
    </row>
    <row r="21700" spans="1:2" x14ac:dyDescent="0.25">
      <c r="A21700" s="64" t="str">
        <f>HYPERLINK("http://www.twitter.com/sblack505", "sblack505")</f>
        <v>sblack505</v>
      </c>
      <c r="B21700" s="65"/>
    </row>
    <row r="21701" spans="1:2" x14ac:dyDescent="0.25">
      <c r="A21701" s="64" t="str">
        <f>HYPERLINK("http://www.twitter.com/A_J_Lester", "A_J_Lester")</f>
        <v>A_J_Lester</v>
      </c>
      <c r="B21701" s="65" t="s">
        <v>4721</v>
      </c>
    </row>
    <row r="21702" spans="1:2" x14ac:dyDescent="0.25">
      <c r="A21702" s="64" t="str">
        <f>HYPERLINK("http://www.twitter.com/thecoverco", "thecoverco")</f>
        <v>thecoverco</v>
      </c>
      <c r="B21702" s="65"/>
    </row>
    <row r="21703" spans="1:2" x14ac:dyDescent="0.25">
      <c r="A21703" s="64" t="str">
        <f>HYPERLINK("http://www.twitter.com/LucyLibrary", "LucyLibrary")</f>
        <v>LucyLibrary</v>
      </c>
      <c r="B21703" s="65"/>
    </row>
    <row r="21704" spans="1:2" x14ac:dyDescent="0.25">
      <c r="A21704" s="64" t="str">
        <f>HYPERLINK("http://www.twitter.com/adriennemuir", "adriennemuir")</f>
        <v>adriennemuir</v>
      </c>
      <c r="B21704" s="65" t="s">
        <v>808</v>
      </c>
    </row>
    <row r="21705" spans="1:2" x14ac:dyDescent="0.25">
      <c r="A21705" s="64" t="str">
        <f>HYPERLINK("http://www.twitter.com/gusk", "gusk")</f>
        <v>gusk</v>
      </c>
      <c r="B21705" s="65" t="s">
        <v>3919</v>
      </c>
    </row>
    <row r="21706" spans="1:2" x14ac:dyDescent="0.25">
      <c r="A21706" s="64" t="str">
        <f>HYPERLINK("http://www.twitter.com/AlanJacobson", "AlanJacobson")</f>
        <v>AlanJacobson</v>
      </c>
      <c r="B21706" s="65" t="s">
        <v>10133</v>
      </c>
    </row>
    <row r="21707" spans="1:2" x14ac:dyDescent="0.25">
      <c r="A21707" s="64" t="str">
        <f>HYPERLINK("http://www.twitter.com/RootstoShoots1", "RootstoShoots1")</f>
        <v>RootstoShoots1</v>
      </c>
      <c r="B21707" s="65" t="s">
        <v>10134</v>
      </c>
    </row>
    <row r="21708" spans="1:2" x14ac:dyDescent="0.25">
      <c r="A21708" s="64" t="str">
        <f>HYPERLINK("http://www.twitter.com/FraggleJury", "FraggleJury")</f>
        <v>FraggleJury</v>
      </c>
      <c r="B21708" s="65" t="s">
        <v>10135</v>
      </c>
    </row>
    <row r="21709" spans="1:2" x14ac:dyDescent="0.25">
      <c r="A21709" s="64" t="str">
        <f>HYPERLINK("http://www.twitter.com/lucy_b_a", "lucy_b_a")</f>
        <v>lucy_b_a</v>
      </c>
      <c r="B21709" s="65" t="s">
        <v>1649</v>
      </c>
    </row>
    <row r="21710" spans="1:2" x14ac:dyDescent="0.25">
      <c r="A21710" s="64" t="str">
        <f>HYPERLINK("http://www.twitter.com/knitcenter", "knitcenter")</f>
        <v>knitcenter</v>
      </c>
      <c r="B21710" s="65" t="s">
        <v>4436</v>
      </c>
    </row>
    <row r="21711" spans="1:2" x14ac:dyDescent="0.25">
      <c r="A21711" s="64" t="str">
        <f>HYPERLINK("http://www.twitter.com/RachelFell", "RachelFell")</f>
        <v>RachelFell</v>
      </c>
      <c r="B21711" s="65"/>
    </row>
    <row r="21712" spans="1:2" x14ac:dyDescent="0.25">
      <c r="A21712" s="64" t="str">
        <f>HYPERLINK("http://www.twitter.com/k_marwick", "k_marwick")</f>
        <v>k_marwick</v>
      </c>
      <c r="B21712" s="65"/>
    </row>
    <row r="21713" spans="1:2" x14ac:dyDescent="0.25">
      <c r="A21713" s="64" t="str">
        <f>HYPERLINK("http://www.twitter.com/roxydavies1", "roxydavies1")</f>
        <v>roxydavies1</v>
      </c>
      <c r="B21713" s="65"/>
    </row>
    <row r="21714" spans="1:2" x14ac:dyDescent="0.25">
      <c r="A21714" s="64" t="str">
        <f>HYPERLINK("http://www.twitter.com/RedSquirrelPres", "RedSquirrelPres")</f>
        <v>RedSquirrelPres</v>
      </c>
      <c r="B21714" s="65" t="s">
        <v>1328</v>
      </c>
    </row>
    <row r="21715" spans="1:2" x14ac:dyDescent="0.25">
      <c r="A21715" s="64" t="str">
        <f>HYPERLINK("http://www.twitter.com/spitfirekod", "spitfirekod")</f>
        <v>spitfirekod</v>
      </c>
      <c r="B21715" s="65"/>
    </row>
    <row r="21716" spans="1:2" x14ac:dyDescent="0.25">
      <c r="A21716" s="64" t="str">
        <f>HYPERLINK("http://www.twitter.com/Carverdroid", "Carverdroid")</f>
        <v>Carverdroid</v>
      </c>
      <c r="B21716" s="65"/>
    </row>
    <row r="21717" spans="1:2" x14ac:dyDescent="0.25">
      <c r="A21717" s="64" t="str">
        <f>HYPERLINK("http://www.twitter.com/librarychirp", "librarychirp")</f>
        <v>librarychirp</v>
      </c>
      <c r="B21717" s="65" t="s">
        <v>3483</v>
      </c>
    </row>
    <row r="21718" spans="1:2" x14ac:dyDescent="0.25">
      <c r="A21718" s="64" t="str">
        <f>HYPERLINK("http://www.twitter.com/LizLearning", "LizLearning")</f>
        <v>LizLearning</v>
      </c>
      <c r="B21718" s="65"/>
    </row>
    <row r="21719" spans="1:2" x14ac:dyDescent="0.25">
      <c r="A21719" s="64" t="str">
        <f>HYPERLINK("http://www.twitter.com/fordycj", "fordycj")</f>
        <v>fordycj</v>
      </c>
      <c r="B21719" s="65" t="s">
        <v>442</v>
      </c>
    </row>
    <row r="21720" spans="1:2" x14ac:dyDescent="0.25">
      <c r="A21720" s="64" t="str">
        <f>HYPERLINK("http://www.twitter.com/twinnyvinny", "twinnyvinny")</f>
        <v>twinnyvinny</v>
      </c>
      <c r="B21720" s="65" t="s">
        <v>33</v>
      </c>
    </row>
    <row r="21721" spans="1:2" x14ac:dyDescent="0.25">
      <c r="A21721" s="64" t="str">
        <f>HYPERLINK("http://www.twitter.com/Ian12Golightly", "Ian12Golightly")</f>
        <v>Ian12Golightly</v>
      </c>
      <c r="B21721" s="65" t="s">
        <v>477</v>
      </c>
    </row>
    <row r="21722" spans="1:2" x14ac:dyDescent="0.25">
      <c r="A21722" s="64" t="str">
        <f>HYPERLINK("http://www.twitter.com/Kathryn_1962", "Kathryn_1962")</f>
        <v>Kathryn_1962</v>
      </c>
      <c r="B21722" s="65"/>
    </row>
    <row r="21723" spans="1:2" x14ac:dyDescent="0.25">
      <c r="A21723" s="64" t="str">
        <f>HYPERLINK("http://www.twitter.com/Kelleegracie", "Kelleegracie")</f>
        <v>Kelleegracie</v>
      </c>
      <c r="B21723" s="65"/>
    </row>
    <row r="21724" spans="1:2" x14ac:dyDescent="0.25">
      <c r="A21724" s="64" t="str">
        <f>HYPERLINK("http://www.twitter.com/harddie2", "harddie2")</f>
        <v>harddie2</v>
      </c>
      <c r="B21724" s="65"/>
    </row>
    <row r="21725" spans="1:2" x14ac:dyDescent="0.25">
      <c r="A21725" s="64" t="str">
        <f>HYPERLINK("http://www.twitter.com/milesandmark", "milesandmark")</f>
        <v>milesandmark</v>
      </c>
      <c r="B21725" s="65" t="s">
        <v>2580</v>
      </c>
    </row>
    <row r="21726" spans="1:2" x14ac:dyDescent="0.25">
      <c r="A21726" s="64" t="str">
        <f>HYPERLINK("http://www.twitter.com/BloxhamEnglish", "BloxhamEnglish")</f>
        <v>BloxhamEnglish</v>
      </c>
      <c r="B21726" s="65"/>
    </row>
    <row r="21727" spans="1:2" x14ac:dyDescent="0.25">
      <c r="A21727" s="64" t="str">
        <f>HYPERLINK("http://www.twitter.com/MattCare2CV", "MattCare2CV")</f>
        <v>MattCare2CV</v>
      </c>
      <c r="B21727" s="65" t="s">
        <v>10136</v>
      </c>
    </row>
    <row r="21728" spans="1:2" x14ac:dyDescent="0.25">
      <c r="A21728" s="64" t="str">
        <f>HYPERLINK("http://www.twitter.com/LucindaBorer", "LucindaBorer")</f>
        <v>LucindaBorer</v>
      </c>
      <c r="B21728" s="65"/>
    </row>
    <row r="21729" spans="1:2" x14ac:dyDescent="0.25">
      <c r="A21729" s="64" t="str">
        <f>HYPERLINK("http://www.twitter.com/dcm44", "dcm44")</f>
        <v>dcm44</v>
      </c>
      <c r="B21729" s="65" t="s">
        <v>10137</v>
      </c>
    </row>
    <row r="21730" spans="1:2" x14ac:dyDescent="0.25">
      <c r="A21730" s="64" t="str">
        <f>HYPERLINK("http://www.twitter.com/ELFurness", "ELFurness")</f>
        <v>ELFurness</v>
      </c>
      <c r="B21730" s="65"/>
    </row>
    <row r="21731" spans="1:2" x14ac:dyDescent="0.25">
      <c r="A21731" s="64" t="str">
        <f>HYPERLINK("http://www.twitter.com/CirenArch", "CirenArch")</f>
        <v>CirenArch</v>
      </c>
      <c r="B21731" s="65"/>
    </row>
    <row r="21732" spans="1:2" x14ac:dyDescent="0.25">
      <c r="A21732" s="64" t="str">
        <f>HYPERLINK("http://www.twitter.com/stevecook123", "stevecook123")</f>
        <v>stevecook123</v>
      </c>
      <c r="B21732" s="65" t="s">
        <v>36</v>
      </c>
    </row>
    <row r="21733" spans="1:2" x14ac:dyDescent="0.25">
      <c r="A21733" s="64" t="str">
        <f>HYPERLINK("http://www.twitter.com/createTW", "createTW")</f>
        <v>createTW</v>
      </c>
      <c r="B21733" s="65" t="s">
        <v>10138</v>
      </c>
    </row>
    <row r="21734" spans="1:2" x14ac:dyDescent="0.25">
      <c r="A21734" s="64" t="str">
        <f>HYPERLINK("http://www.twitter.com/_jester09_", "_jester09_")</f>
        <v>_jester09_</v>
      </c>
      <c r="B21734" s="65"/>
    </row>
    <row r="21735" spans="1:2" x14ac:dyDescent="0.25">
      <c r="A21735" s="64" t="str">
        <f>HYPERLINK("http://www.twitter.com/immarkosullivan", "immarkosullivan")</f>
        <v>immarkosullivan</v>
      </c>
      <c r="B21735" s="65" t="s">
        <v>10139</v>
      </c>
    </row>
    <row r="21736" spans="1:2" x14ac:dyDescent="0.25">
      <c r="A21736" s="64" t="str">
        <f>HYPERLINK("http://www.twitter.com/ScottRhodie", "ScottRhodie")</f>
        <v>ScottRhodie</v>
      </c>
      <c r="B21736" s="65" t="s">
        <v>4237</v>
      </c>
    </row>
    <row r="21737" spans="1:2" x14ac:dyDescent="0.25">
      <c r="A21737" s="64" t="str">
        <f>HYPERLINK("http://www.twitter.com/GeorgieReade", "GeorgieReade")</f>
        <v>GeorgieReade</v>
      </c>
      <c r="B21737" s="65" t="s">
        <v>6775</v>
      </c>
    </row>
    <row r="21738" spans="1:2" x14ac:dyDescent="0.25">
      <c r="A21738" s="64" t="str">
        <f>HYPERLINK("http://www.twitter.com/emjwarr", "emjwarr")</f>
        <v>emjwarr</v>
      </c>
      <c r="B21738" s="65"/>
    </row>
    <row r="21739" spans="1:2" x14ac:dyDescent="0.25">
      <c r="A21739" s="64" t="str">
        <f>HYPERLINK("http://www.twitter.com/woolborough", "woolborough")</f>
        <v>woolborough</v>
      </c>
      <c r="B21739" s="65"/>
    </row>
    <row r="21740" spans="1:2" x14ac:dyDescent="0.25">
      <c r="A21740" s="64" t="str">
        <f>HYPERLINK("http://www.twitter.com/TigardLibrary", "TigardLibrary")</f>
        <v>TigardLibrary</v>
      </c>
      <c r="B21740" s="65" t="s">
        <v>10140</v>
      </c>
    </row>
    <row r="21741" spans="1:2" x14ac:dyDescent="0.25">
      <c r="A21741" s="64" t="str">
        <f>HYPERLINK("http://www.twitter.com/StateLibraryFL", "StateLibraryFL")</f>
        <v>StateLibraryFL</v>
      </c>
      <c r="B21741" s="65" t="s">
        <v>5665</v>
      </c>
    </row>
    <row r="21742" spans="1:2" x14ac:dyDescent="0.25">
      <c r="A21742" s="64" t="str">
        <f>HYPERLINK("http://www.twitter.com/LivSki", "LivSki")</f>
        <v>LivSki</v>
      </c>
      <c r="B21742" s="65" t="s">
        <v>6750</v>
      </c>
    </row>
    <row r="21743" spans="1:2" x14ac:dyDescent="0.25">
      <c r="A21743" s="64" t="str">
        <f>HYPERLINK("http://www.twitter.com/Ellaberthoud", "Ellaberthoud")</f>
        <v>Ellaberthoud</v>
      </c>
      <c r="B21743" s="65" t="s">
        <v>10141</v>
      </c>
    </row>
    <row r="21744" spans="1:2" x14ac:dyDescent="0.25">
      <c r="A21744" s="64" t="str">
        <f>HYPERLINK("http://www.twitter.com/thenovelcure", "thenovelcure")</f>
        <v>thenovelcure</v>
      </c>
      <c r="B21744" s="65"/>
    </row>
    <row r="21745" spans="1:2" x14ac:dyDescent="0.25">
      <c r="A21745" s="64" t="str">
        <f>HYPERLINK("http://www.twitter.com/AilsaCraigrock", "AilsaCraigrock")</f>
        <v>AilsaCraigrock</v>
      </c>
      <c r="B21745" s="65" t="s">
        <v>10142</v>
      </c>
    </row>
    <row r="21746" spans="1:2" x14ac:dyDescent="0.25">
      <c r="A21746" s="64" t="str">
        <f>HYPERLINK("http://www.twitter.com/csestandard", "csestandard")</f>
        <v>csestandard</v>
      </c>
      <c r="B21746" s="65" t="s">
        <v>2107</v>
      </c>
    </row>
    <row r="21747" spans="1:2" x14ac:dyDescent="0.25">
      <c r="A21747" s="64" t="str">
        <f>HYPERLINK("http://www.twitter.com/PennyStanley13", "PennyStanley13")</f>
        <v>PennyStanley13</v>
      </c>
      <c r="B21747" s="65"/>
    </row>
    <row r="21748" spans="1:2" x14ac:dyDescent="0.25">
      <c r="A21748" s="64" t="str">
        <f>HYPERLINK("http://www.twitter.com/TomBagatelle", "TomBagatelle")</f>
        <v>TomBagatelle</v>
      </c>
      <c r="B21748" s="65"/>
    </row>
    <row r="21749" spans="1:2" x14ac:dyDescent="0.25">
      <c r="A21749" s="64" t="str">
        <f>HYPERLINK("http://www.twitter.com/dianehorsler", "dianehorsler")</f>
        <v>dianehorsler</v>
      </c>
      <c r="B21749" s="65"/>
    </row>
    <row r="21750" spans="1:2" x14ac:dyDescent="0.25">
      <c r="A21750" s="64" t="str">
        <f>HYPERLINK("http://www.twitter.com/BitKitteh", "BitKitteh")</f>
        <v>BitKitteh</v>
      </c>
      <c r="B21750" s="65" t="s">
        <v>4148</v>
      </c>
    </row>
    <row r="21751" spans="1:2" x14ac:dyDescent="0.25">
      <c r="A21751" s="64" t="str">
        <f>HYPERLINK("http://www.twitter.com/FejiroTGE", "FejiroTGE")</f>
        <v>FejiroTGE</v>
      </c>
      <c r="B21751" s="65"/>
    </row>
    <row r="21752" spans="1:2" x14ac:dyDescent="0.25">
      <c r="A21752" s="64" t="str">
        <f>HYPERLINK("http://www.twitter.com/BenJCarlisle", "BenJCarlisle")</f>
        <v>BenJCarlisle</v>
      </c>
      <c r="B21752" s="65" t="s">
        <v>10143</v>
      </c>
    </row>
    <row r="21753" spans="1:2" x14ac:dyDescent="0.25">
      <c r="A21753" s="64" t="str">
        <f>HYPERLINK("http://www.twitter.com/PeckhamLibClub", "PeckhamLibClub")</f>
        <v>PeckhamLibClub</v>
      </c>
      <c r="B21753" s="65" t="s">
        <v>10144</v>
      </c>
    </row>
    <row r="21754" spans="1:2" x14ac:dyDescent="0.25">
      <c r="A21754" s="64" t="str">
        <f>HYPERLINK("http://www.twitter.com/tomthetwit", "tomthetwit")</f>
        <v>tomthetwit</v>
      </c>
      <c r="B21754" s="65" t="s">
        <v>10145</v>
      </c>
    </row>
    <row r="21755" spans="1:2" x14ac:dyDescent="0.25">
      <c r="A21755" s="64" t="str">
        <f>HYPERLINK("http://www.twitter.com/mcpl1965", "mcpl1965")</f>
        <v>mcpl1965</v>
      </c>
      <c r="B21755" s="65" t="s">
        <v>10146</v>
      </c>
    </row>
    <row r="21756" spans="1:2" x14ac:dyDescent="0.25">
      <c r="A21756" s="64" t="str">
        <f>HYPERLINK("http://www.twitter.com/Orkney_tv", "Orkney_tv")</f>
        <v>Orkney_tv</v>
      </c>
      <c r="B21756" s="65" t="s">
        <v>5412</v>
      </c>
    </row>
    <row r="21757" spans="1:2" x14ac:dyDescent="0.25">
      <c r="A21757" s="64" t="str">
        <f>HYPERLINK("http://www.twitter.com/julesmac39", "julesmac39")</f>
        <v>julesmac39</v>
      </c>
      <c r="B21757" s="65"/>
    </row>
    <row r="21758" spans="1:2" x14ac:dyDescent="0.25">
      <c r="A21758" s="64" t="str">
        <f>HYPERLINK("http://www.twitter.com/alles21", "alles21")</f>
        <v>alles21</v>
      </c>
      <c r="B21758" s="65"/>
    </row>
    <row r="21759" spans="1:2" x14ac:dyDescent="0.25">
      <c r="A21759" s="64" t="str">
        <f>HYPERLINK("http://www.twitter.com/Judithlal", "Judithlal")</f>
        <v>Judithlal</v>
      </c>
      <c r="B21759" s="65"/>
    </row>
    <row r="21760" spans="1:2" x14ac:dyDescent="0.25">
      <c r="A21760" s="64" t="str">
        <f>HYPERLINK("http://www.twitter.com/mikereedwrites", "mikereedwrites")</f>
        <v>mikereedwrites</v>
      </c>
      <c r="B21760" s="65" t="s">
        <v>36</v>
      </c>
    </row>
    <row r="21761" spans="1:2" x14ac:dyDescent="0.25">
      <c r="A21761" s="64" t="str">
        <f>HYPERLINK("http://www.twitter.com/Deycaroline", "Deycaroline")</f>
        <v>Deycaroline</v>
      </c>
      <c r="B21761" s="65" t="s">
        <v>10147</v>
      </c>
    </row>
    <row r="21762" spans="1:2" x14ac:dyDescent="0.25">
      <c r="A21762" s="64" t="str">
        <f>HYPERLINK("http://www.twitter.com/oriordanadam", "oriordanadam")</f>
        <v>oriordanadam</v>
      </c>
      <c r="B21762" s="65" t="s">
        <v>10148</v>
      </c>
    </row>
    <row r="21763" spans="1:2" x14ac:dyDescent="0.25">
      <c r="A21763" s="64" t="str">
        <f>HYPERLINK("http://www.twitter.com/DHLawrenceBites", "DHLawrenceBites")</f>
        <v>DHLawrenceBites</v>
      </c>
      <c r="B21763" s="65" t="s">
        <v>296</v>
      </c>
    </row>
    <row r="21764" spans="1:2" x14ac:dyDescent="0.25">
      <c r="A21764" s="64" t="str">
        <f>HYPERLINK("http://www.twitter.com/HarlanSb", "HarlanSb")</f>
        <v>HarlanSb</v>
      </c>
      <c r="B21764" s="65"/>
    </row>
    <row r="21765" spans="1:2" x14ac:dyDescent="0.25">
      <c r="A21765" s="64" t="str">
        <f>HYPERLINK("http://www.twitter.com/FlowersQLD", "FlowersQLD")</f>
        <v>FlowersQLD</v>
      </c>
      <c r="B21765" s="65" t="s">
        <v>3988</v>
      </c>
    </row>
    <row r="21766" spans="1:2" x14ac:dyDescent="0.25">
      <c r="A21766" s="64" t="str">
        <f>HYPERLINK("http://www.twitter.com/catrionacurator", "catrionacurator")</f>
        <v>catrionacurator</v>
      </c>
      <c r="B21766" s="65" t="s">
        <v>3838</v>
      </c>
    </row>
    <row r="21767" spans="1:2" x14ac:dyDescent="0.25">
      <c r="A21767" s="64" t="str">
        <f>HYPERLINK("http://www.twitter.com/FiMcDee", "FiMcDee")</f>
        <v>FiMcDee</v>
      </c>
      <c r="B21767" s="65" t="s">
        <v>138</v>
      </c>
    </row>
    <row r="21768" spans="1:2" x14ac:dyDescent="0.25">
      <c r="A21768" s="64" t="str">
        <f>HYPERLINK("http://www.twitter.com/EstherDallinger", "EstherDallinger")</f>
        <v>EstherDallinger</v>
      </c>
      <c r="B21768" s="65"/>
    </row>
    <row r="21769" spans="1:2" x14ac:dyDescent="0.25">
      <c r="A21769" s="64" t="str">
        <f>HYPERLINK("http://www.twitter.com/RebeccaSimor1", "RebeccaSimor1")</f>
        <v>RebeccaSimor1</v>
      </c>
      <c r="B21769" s="65" t="s">
        <v>36</v>
      </c>
    </row>
    <row r="21770" spans="1:2" x14ac:dyDescent="0.25">
      <c r="A21770" s="64" t="str">
        <f>HYPERLINK("http://www.twitter.com/dln_eintr", "dln_eintr")</f>
        <v>dln_eintr</v>
      </c>
      <c r="B21770" s="65" t="s">
        <v>4210</v>
      </c>
    </row>
    <row r="21771" spans="1:2" x14ac:dyDescent="0.25">
      <c r="A21771" s="64" t="str">
        <f>HYPERLINK("http://www.twitter.com/effieflood", "effieflood")</f>
        <v>effieflood</v>
      </c>
      <c r="B21771" s="65"/>
    </row>
    <row r="21772" spans="1:2" x14ac:dyDescent="0.25">
      <c r="A21772" s="64" t="str">
        <f>HYPERLINK("http://www.twitter.com/BinkingBunnies", "BinkingBunnies")</f>
        <v>BinkingBunnies</v>
      </c>
      <c r="B21772" s="65" t="s">
        <v>477</v>
      </c>
    </row>
    <row r="21773" spans="1:2" x14ac:dyDescent="0.25">
      <c r="A21773" s="64" t="str">
        <f>HYPERLINK("http://www.twitter.com/inbunden", "inbunden")</f>
        <v>inbunden</v>
      </c>
      <c r="B21773" s="65" t="s">
        <v>4210</v>
      </c>
    </row>
    <row r="21774" spans="1:2" x14ac:dyDescent="0.25">
      <c r="A21774" s="64" t="str">
        <f>HYPERLINK("http://www.twitter.com/rhodabharath", "rhodabharath")</f>
        <v>rhodabharath</v>
      </c>
      <c r="B21774" s="65" t="s">
        <v>10149</v>
      </c>
    </row>
    <row r="21775" spans="1:2" x14ac:dyDescent="0.25">
      <c r="A21775" s="64" t="str">
        <f>HYPERLINK("http://www.twitter.com/Sophia_Rich100", "Sophia_Rich100")</f>
        <v>Sophia_Rich100</v>
      </c>
      <c r="B21775" s="65" t="s">
        <v>1873</v>
      </c>
    </row>
    <row r="21776" spans="1:2" x14ac:dyDescent="0.25">
      <c r="A21776" s="64" t="str">
        <f>HYPERLINK("http://www.twitter.com/DebbieFoster8", "DebbieFoster8")</f>
        <v>DebbieFoster8</v>
      </c>
      <c r="B21776" s="65"/>
    </row>
    <row r="21777" spans="1:2" x14ac:dyDescent="0.25">
      <c r="A21777" s="64" t="str">
        <f>HYPERLINK("http://www.twitter.com/cornfleur", "cornfleur")</f>
        <v>cornfleur</v>
      </c>
      <c r="B21777" s="65" t="s">
        <v>3167</v>
      </c>
    </row>
    <row r="21778" spans="1:2" x14ac:dyDescent="0.25">
      <c r="A21778" s="64" t="str">
        <f>HYPERLINK("http://www.twitter.com/SweeneysTweets", "SweeneysTweets")</f>
        <v>SweeneysTweets</v>
      </c>
      <c r="B21778" s="65" t="s">
        <v>10150</v>
      </c>
    </row>
    <row r="21779" spans="1:2" x14ac:dyDescent="0.25">
      <c r="A21779" s="64" t="str">
        <f>HYPERLINK("http://www.twitter.com/SusanMHill", "SusanMHill")</f>
        <v>SusanMHill</v>
      </c>
      <c r="B21779" s="65" t="s">
        <v>9326</v>
      </c>
    </row>
    <row r="21780" spans="1:2" x14ac:dyDescent="0.25">
      <c r="A21780" s="64" t="str">
        <f>HYPERLINK("http://www.twitter.com/StaminaMedia", "StaminaMedia")</f>
        <v>StaminaMedia</v>
      </c>
      <c r="B21780" s="65" t="s">
        <v>10151</v>
      </c>
    </row>
    <row r="21781" spans="1:2" x14ac:dyDescent="0.25">
      <c r="A21781" s="64" t="str">
        <f>HYPERLINK("http://www.twitter.com/Evalyn7", "Evalyn7")</f>
        <v>Evalyn7</v>
      </c>
      <c r="B21781" s="65"/>
    </row>
    <row r="21782" spans="1:2" x14ac:dyDescent="0.25">
      <c r="A21782" s="64" t="str">
        <f>HYPERLINK("http://www.twitter.com/novelthesecond", "novelthesecond")</f>
        <v>novelthesecond</v>
      </c>
      <c r="B21782" s="65" t="s">
        <v>110</v>
      </c>
    </row>
    <row r="21783" spans="1:2" x14ac:dyDescent="0.25">
      <c r="A21783" s="64" t="str">
        <f>HYPERLINK("http://www.twitter.com/HLFNI", "HLFNI")</f>
        <v>HLFNI</v>
      </c>
      <c r="B21783" s="65" t="s">
        <v>248</v>
      </c>
    </row>
    <row r="21784" spans="1:2" x14ac:dyDescent="0.25">
      <c r="A21784" s="64" t="str">
        <f>HYPERLINK("http://www.twitter.com/shirleydavies59", "shirleydavies59")</f>
        <v>shirleydavies59</v>
      </c>
      <c r="B21784" s="65"/>
    </row>
    <row r="21785" spans="1:2" x14ac:dyDescent="0.25">
      <c r="A21785" s="64" t="str">
        <f>HYPERLINK("http://www.twitter.com/charlieseiga", "charlieseiga")</f>
        <v>charlieseiga</v>
      </c>
      <c r="B21785" s="65" t="s">
        <v>102</v>
      </c>
    </row>
    <row r="21786" spans="1:2" x14ac:dyDescent="0.25">
      <c r="A21786" s="64" t="str">
        <f>HYPERLINK("http://www.twitter.com/HarroRonald", "HarroRonald")</f>
        <v>HarroRonald</v>
      </c>
      <c r="B21786" s="65" t="s">
        <v>206</v>
      </c>
    </row>
    <row r="21787" spans="1:2" x14ac:dyDescent="0.25">
      <c r="A21787" s="64" t="str">
        <f>HYPERLINK("http://www.twitter.com/jc_dean", "jc_dean")</f>
        <v>jc_dean</v>
      </c>
      <c r="B21787" s="65" t="s">
        <v>7510</v>
      </c>
    </row>
    <row r="21788" spans="1:2" x14ac:dyDescent="0.25">
      <c r="A21788" s="64" t="str">
        <f>HYPERLINK("http://www.twitter.com/HelenMW82", "HelenMW82")</f>
        <v>HelenMW82</v>
      </c>
      <c r="B21788" s="65" t="s">
        <v>4566</v>
      </c>
    </row>
    <row r="21789" spans="1:2" x14ac:dyDescent="0.25">
      <c r="A21789" s="64" t="str">
        <f>HYPERLINK("http://www.twitter.com/DMBJnr", "DMBJnr")</f>
        <v>DMBJnr</v>
      </c>
      <c r="B21789" s="65" t="s">
        <v>10152</v>
      </c>
    </row>
    <row r="21790" spans="1:2" x14ac:dyDescent="0.25">
      <c r="A21790" s="64" t="str">
        <f>HYPERLINK("http://www.twitter.com/_CallieLimb", "_CallieLimb")</f>
        <v>_CallieLimb</v>
      </c>
      <c r="B21790" s="65" t="s">
        <v>2997</v>
      </c>
    </row>
    <row r="21791" spans="1:2" x14ac:dyDescent="0.25">
      <c r="A21791" s="64" t="str">
        <f>HYPERLINK("http://www.twitter.com/escudo75", "escudo75")</f>
        <v>escudo75</v>
      </c>
      <c r="B21791" s="65" t="s">
        <v>517</v>
      </c>
    </row>
    <row r="21792" spans="1:2" x14ac:dyDescent="0.25">
      <c r="A21792" s="64" t="str">
        <f>HYPERLINK("http://www.twitter.com/luciditylucy", "luciditylucy")</f>
        <v>luciditylucy</v>
      </c>
      <c r="B21792" s="65"/>
    </row>
    <row r="21793" spans="1:2" x14ac:dyDescent="0.25">
      <c r="A21793" s="64" t="str">
        <f>HYPERLINK("http://www.twitter.com/KickingParis", "KickingParis")</f>
        <v>KickingParis</v>
      </c>
      <c r="B21793" s="65" t="s">
        <v>10153</v>
      </c>
    </row>
    <row r="21794" spans="1:2" x14ac:dyDescent="0.25">
      <c r="A21794" s="64" t="str">
        <f>HYPERLINK("http://www.twitter.com/Minil1z", "Minil1z")</f>
        <v>Minil1z</v>
      </c>
      <c r="B21794" s="65" t="s">
        <v>3650</v>
      </c>
    </row>
    <row r="21795" spans="1:2" x14ac:dyDescent="0.25">
      <c r="A21795" s="64" t="str">
        <f>HYPERLINK("http://www.twitter.com/Lydia5859", "Lydia5859")</f>
        <v>Lydia5859</v>
      </c>
      <c r="B21795" s="65"/>
    </row>
    <row r="21796" spans="1:2" x14ac:dyDescent="0.25">
      <c r="A21796" s="64" t="str">
        <f>HYPERLINK("http://www.twitter.com/1ibrary", "1ibrary")</f>
        <v>1ibrary</v>
      </c>
      <c r="B21796" s="65" t="s">
        <v>8192</v>
      </c>
    </row>
    <row r="21797" spans="1:2" x14ac:dyDescent="0.25">
      <c r="A21797" s="64" t="str">
        <f>HYPERLINK("http://www.twitter.com/NewAtListenUP", "NewAtListenUP")</f>
        <v>NewAtListenUP</v>
      </c>
      <c r="B21797" s="65" t="s">
        <v>10154</v>
      </c>
    </row>
    <row r="21798" spans="1:2" x14ac:dyDescent="0.25">
      <c r="A21798" s="64" t="str">
        <f>HYPERLINK("http://www.twitter.com/GSAExhibitions", "GSAExhibitions")</f>
        <v>GSAExhibitions</v>
      </c>
      <c r="B21798" s="65" t="s">
        <v>318</v>
      </c>
    </row>
    <row r="21799" spans="1:2" x14ac:dyDescent="0.25">
      <c r="A21799" s="64" t="str">
        <f>HYPERLINK("http://www.twitter.com/Sue_Jonze", "Sue_Jonze")</f>
        <v>Sue_Jonze</v>
      </c>
      <c r="B21799" s="65"/>
    </row>
    <row r="21800" spans="1:2" x14ac:dyDescent="0.25">
      <c r="A21800" s="64" t="str">
        <f>HYPERLINK("http://www.twitter.com/AndreaBallard13", "AndreaBallard13")</f>
        <v>AndreaBallard13</v>
      </c>
      <c r="B21800" s="65"/>
    </row>
    <row r="21801" spans="1:2" x14ac:dyDescent="0.25">
      <c r="A21801" s="64" t="str">
        <f>HYPERLINK("http://www.twitter.com/sarahjbingham", "sarahjbingham")</f>
        <v>sarahjbingham</v>
      </c>
      <c r="B21801" s="65" t="s">
        <v>24</v>
      </c>
    </row>
    <row r="21802" spans="1:2" x14ac:dyDescent="0.25">
      <c r="A21802" s="64" t="str">
        <f>HYPERLINK("http://www.twitter.com/happywonderfool", "happywonderfool")</f>
        <v>happywonderfool</v>
      </c>
      <c r="B21802" s="65" t="s">
        <v>10155</v>
      </c>
    </row>
    <row r="21803" spans="1:2" x14ac:dyDescent="0.25">
      <c r="A21803" s="64" t="str">
        <f>HYPERLINK("http://www.twitter.com/Annettesmith63", "Annettesmith63")</f>
        <v>Annettesmith63</v>
      </c>
      <c r="B21803" s="65"/>
    </row>
    <row r="21804" spans="1:2" x14ac:dyDescent="0.25">
      <c r="A21804" s="64" t="str">
        <f>HYPERLINK("http://www.twitter.com/somethingwicket", "somethingwicket")</f>
        <v>somethingwicket</v>
      </c>
      <c r="B21804" s="65" t="s">
        <v>10156</v>
      </c>
    </row>
    <row r="21805" spans="1:2" x14ac:dyDescent="0.25">
      <c r="A21805" s="64" t="str">
        <f>HYPERLINK("http://www.twitter.com/HiRezLife", "HiRezLife")</f>
        <v>HiRezLife</v>
      </c>
      <c r="B21805" s="65" t="s">
        <v>7267</v>
      </c>
    </row>
    <row r="21806" spans="1:2" x14ac:dyDescent="0.25">
      <c r="A21806" s="64" t="str">
        <f>HYPERLINK("http://www.twitter.com/littlebossangel", "littlebossangel")</f>
        <v>littlebossangel</v>
      </c>
      <c r="B21806" s="65" t="s">
        <v>477</v>
      </c>
    </row>
    <row r="21807" spans="1:2" x14ac:dyDescent="0.25">
      <c r="A21807" s="64" t="str">
        <f>HYPERLINK("http://www.twitter.com/connor0d", "connor0d")</f>
        <v>connor0d</v>
      </c>
      <c r="B21807" s="65" t="s">
        <v>10157</v>
      </c>
    </row>
    <row r="21808" spans="1:2" x14ac:dyDescent="0.25">
      <c r="A21808" s="64" t="str">
        <f>HYPERLINK("http://www.twitter.com/dmaclean2015", "dmaclean2015")</f>
        <v>dmaclean2015</v>
      </c>
      <c r="B21808" s="65" t="s">
        <v>10158</v>
      </c>
    </row>
    <row r="21809" spans="1:2" x14ac:dyDescent="0.25">
      <c r="A21809" s="64" t="str">
        <f>HYPERLINK("http://www.twitter.com/LindaFSemple", "LindaFSemple")</f>
        <v>LindaFSemple</v>
      </c>
      <c r="B21809" s="65" t="s">
        <v>10159</v>
      </c>
    </row>
    <row r="21810" spans="1:2" x14ac:dyDescent="0.25">
      <c r="A21810" s="64" t="str">
        <f>HYPERLINK("http://www.twitter.com/TheMattWardle", "TheMattWardle")</f>
        <v>TheMattWardle</v>
      </c>
      <c r="B21810" s="65" t="s">
        <v>296</v>
      </c>
    </row>
    <row r="21811" spans="1:2" x14ac:dyDescent="0.25">
      <c r="A21811" s="64" t="str">
        <f>HYPERLINK("http://www.twitter.com/lynneevans24", "lynneevans24")</f>
        <v>lynneevans24</v>
      </c>
      <c r="B21811" s="65" t="s">
        <v>5956</v>
      </c>
    </row>
    <row r="21812" spans="1:2" x14ac:dyDescent="0.25">
      <c r="A21812" s="64" t="str">
        <f>HYPERLINK("http://www.twitter.com/Ruth2day", "Ruth2day")</f>
        <v>Ruth2day</v>
      </c>
      <c r="B21812" s="65" t="s">
        <v>7071</v>
      </c>
    </row>
    <row r="21813" spans="1:2" x14ac:dyDescent="0.25">
      <c r="A21813" s="64" t="str">
        <f>HYPERLINK("http://www.twitter.com/Bidrom", "Bidrom")</f>
        <v>Bidrom</v>
      </c>
      <c r="B21813" s="65" t="s">
        <v>10160</v>
      </c>
    </row>
    <row r="21814" spans="1:2" x14ac:dyDescent="0.25">
      <c r="A21814" s="64" t="str">
        <f>HYPERLINK("http://www.twitter.com/twickersmith", "twickersmith")</f>
        <v>twickersmith</v>
      </c>
      <c r="B21814" s="65"/>
    </row>
    <row r="21815" spans="1:2" x14ac:dyDescent="0.25">
      <c r="A21815" s="64" t="str">
        <f>HYPERLINK("http://www.twitter.com/tl_gould", "tl_gould")</f>
        <v>tl_gould</v>
      </c>
      <c r="B21815" s="65" t="s">
        <v>24</v>
      </c>
    </row>
    <row r="21816" spans="1:2" x14ac:dyDescent="0.25">
      <c r="A21816" s="64" t="str">
        <f>HYPERLINK("http://www.twitter.com/anannarebecca", "anannarebecca")</f>
        <v>anannarebecca</v>
      </c>
      <c r="B21816" s="65"/>
    </row>
    <row r="21817" spans="1:2" x14ac:dyDescent="0.25">
      <c r="A21817" s="64" t="str">
        <f>HYPERLINK("http://www.twitter.com/MsLadyalta", "MsLadyalta")</f>
        <v>MsLadyalta</v>
      </c>
      <c r="B21817" s="65"/>
    </row>
    <row r="21818" spans="1:2" x14ac:dyDescent="0.25">
      <c r="A21818" s="64" t="str">
        <f>HYPERLINK("http://www.twitter.com/maxhummus", "maxhummus")</f>
        <v>maxhummus</v>
      </c>
      <c r="B21818" s="65" t="s">
        <v>459</v>
      </c>
    </row>
    <row r="21819" spans="1:2" x14ac:dyDescent="0.25">
      <c r="A21819" s="64" t="str">
        <f>HYPERLINK("http://www.twitter.com/notmolliesugden", "notmolliesugden")</f>
        <v>notmolliesugden</v>
      </c>
      <c r="B21819" s="65" t="s">
        <v>4840</v>
      </c>
    </row>
    <row r="21820" spans="1:2" x14ac:dyDescent="0.25">
      <c r="A21820" s="64" t="str">
        <f>HYPERLINK("http://www.twitter.com/Thomas_Westwood", "Thomas_Westwood")</f>
        <v>Thomas_Westwood</v>
      </c>
      <c r="B21820" s="65"/>
    </row>
    <row r="21821" spans="1:2" x14ac:dyDescent="0.25">
      <c r="A21821" s="64" t="str">
        <f>HYPERLINK("http://www.twitter.com/LBFlyawayhome", "LBFlyawayhome")</f>
        <v>LBFlyawayhome</v>
      </c>
      <c r="B21821" s="65" t="s">
        <v>598</v>
      </c>
    </row>
    <row r="21822" spans="1:2" x14ac:dyDescent="0.25">
      <c r="A21822" s="64" t="str">
        <f>HYPERLINK("http://www.twitter.com/EditorJangles", "EditorJangles")</f>
        <v>EditorJangles</v>
      </c>
      <c r="B21822" s="65" t="s">
        <v>477</v>
      </c>
    </row>
    <row r="21823" spans="1:2" x14ac:dyDescent="0.25">
      <c r="A21823" s="64" t="str">
        <f>HYPERLINK("http://www.twitter.com/stedsLibrary1", "stedsLibrary1")</f>
        <v>stedsLibrary1</v>
      </c>
      <c r="B21823" s="65"/>
    </row>
    <row r="21824" spans="1:2" x14ac:dyDescent="0.25">
      <c r="A21824" s="64" t="str">
        <f>HYPERLINK("http://www.twitter.com/lawrie_mac", "lawrie_mac")</f>
        <v>lawrie_mac</v>
      </c>
      <c r="B21824" s="65"/>
    </row>
    <row r="21825" spans="1:2" x14ac:dyDescent="0.25">
      <c r="A21825" s="64" t="str">
        <f>HYPERLINK("http://www.twitter.com/HamptonHighLib", "HamptonHighLib")</f>
        <v>HamptonHighLib</v>
      </c>
      <c r="B21825" s="65" t="s">
        <v>1172</v>
      </c>
    </row>
    <row r="21826" spans="1:2" x14ac:dyDescent="0.25">
      <c r="A21826" s="64" t="str">
        <f>HYPERLINK("http://www.twitter.com/ScottishMuseums", "ScottishMuseums")</f>
        <v>ScottishMuseums</v>
      </c>
      <c r="B21826" s="65" t="s">
        <v>517</v>
      </c>
    </row>
    <row r="21827" spans="1:2" x14ac:dyDescent="0.25">
      <c r="A21827" s="64" t="str">
        <f>HYPERLINK("http://www.twitter.com/SRFDalton", "SRFDalton")</f>
        <v>SRFDalton</v>
      </c>
      <c r="B21827" s="65" t="s">
        <v>10161</v>
      </c>
    </row>
    <row r="21828" spans="1:2" x14ac:dyDescent="0.25">
      <c r="A21828" s="64" t="str">
        <f>HYPERLINK("http://www.twitter.com/KateLyle", "KateLyle")</f>
        <v>KateLyle</v>
      </c>
      <c r="B21828" s="65"/>
    </row>
    <row r="21829" spans="1:2" x14ac:dyDescent="0.25">
      <c r="A21829" s="64" t="str">
        <f>HYPERLINK("http://www.twitter.com/SJG99", "SJG99")</f>
        <v>SJG99</v>
      </c>
      <c r="B21829" s="65" t="s">
        <v>36</v>
      </c>
    </row>
    <row r="21830" spans="1:2" x14ac:dyDescent="0.25">
      <c r="A21830" s="64" t="str">
        <f>HYPERLINK("http://www.twitter.com/ColacLibrary", "ColacLibrary")</f>
        <v>ColacLibrary</v>
      </c>
      <c r="B21830" s="65" t="s">
        <v>10162</v>
      </c>
    </row>
    <row r="21831" spans="1:2" x14ac:dyDescent="0.25">
      <c r="A21831" s="64" t="str">
        <f>HYPERLINK("http://www.twitter.com/ClareBare1305", "ClareBare1305")</f>
        <v>ClareBare1305</v>
      </c>
      <c r="B21831" s="65" t="s">
        <v>257</v>
      </c>
    </row>
    <row r="21832" spans="1:2" x14ac:dyDescent="0.25">
      <c r="A21832" s="64" t="str">
        <f>HYPERLINK("http://www.twitter.com/5stepsfwd4back", "5stepsfwd4back")</f>
        <v>5stepsfwd4back</v>
      </c>
      <c r="B21832" s="65" t="s">
        <v>10163</v>
      </c>
    </row>
    <row r="21833" spans="1:2" x14ac:dyDescent="0.25">
      <c r="A21833" s="64" t="str">
        <f>HYPERLINK("http://www.twitter.com/OgaraRosie", "OgaraRosie")</f>
        <v>OgaraRosie</v>
      </c>
      <c r="B21833" s="65"/>
    </row>
    <row r="21834" spans="1:2" x14ac:dyDescent="0.25">
      <c r="A21834" s="64" t="str">
        <f>HYPERLINK("http://www.twitter.com/worfiebabe", "worfiebabe")</f>
        <v>worfiebabe</v>
      </c>
      <c r="B21834" s="65"/>
    </row>
    <row r="21835" spans="1:2" x14ac:dyDescent="0.25">
      <c r="A21835" s="64" t="str">
        <f>HYPERLINK("http://www.twitter.com/CBentonEvans", "CBentonEvans")</f>
        <v>CBentonEvans</v>
      </c>
      <c r="B21835" s="65" t="s">
        <v>7874</v>
      </c>
    </row>
    <row r="21836" spans="1:2" x14ac:dyDescent="0.25">
      <c r="A21836" s="64" t="str">
        <f>HYPERLINK("http://www.twitter.com/theinnertiger", "theinnertiger")</f>
        <v>theinnertiger</v>
      </c>
      <c r="B21836" s="65" t="s">
        <v>10164</v>
      </c>
    </row>
    <row r="21837" spans="1:2" x14ac:dyDescent="0.25">
      <c r="A21837" s="64" t="str">
        <f>HYPERLINK("http://www.twitter.com/DeafHeritageUK", "DeafHeritageUK")</f>
        <v>DeafHeritageUK</v>
      </c>
      <c r="B21837" s="65" t="s">
        <v>110</v>
      </c>
    </row>
    <row r="21838" spans="1:2" x14ac:dyDescent="0.25">
      <c r="A21838" s="64" t="str">
        <f>HYPERLINK("http://www.twitter.com/pmxfield", "pmxfield")</f>
        <v>pmxfield</v>
      </c>
      <c r="B21838" s="65"/>
    </row>
    <row r="21839" spans="1:2" x14ac:dyDescent="0.25">
      <c r="A21839" s="64" t="str">
        <f>HYPERLINK("http://www.twitter.com/thurrocklibrary", "thurrocklibrary")</f>
        <v>thurrocklibrary</v>
      </c>
      <c r="B21839" s="65" t="s">
        <v>976</v>
      </c>
    </row>
    <row r="21840" spans="1:2" x14ac:dyDescent="0.25">
      <c r="A21840" s="64" t="str">
        <f>HYPERLINK("http://www.twitter.com/IslandXtina", "IslandXtina")</f>
        <v>IslandXtina</v>
      </c>
      <c r="B21840" s="65"/>
    </row>
    <row r="21841" spans="1:2" x14ac:dyDescent="0.25">
      <c r="A21841" s="64" t="str">
        <f>HYPERLINK("http://www.twitter.com/marystraub2", "marystraub2")</f>
        <v>marystraub2</v>
      </c>
      <c r="B21841" s="65"/>
    </row>
    <row r="21842" spans="1:2" x14ac:dyDescent="0.25">
      <c r="A21842" s="64" t="str">
        <f>HYPERLINK("http://www.twitter.com/MariaSienk", "MariaSienk")</f>
        <v>MariaSienk</v>
      </c>
      <c r="B21842" s="65" t="s">
        <v>33</v>
      </c>
    </row>
    <row r="21843" spans="1:2" x14ac:dyDescent="0.25">
      <c r="A21843" s="64" t="str">
        <f>HYPERLINK("http://www.twitter.com/TBones49", "TBones49")</f>
        <v>TBones49</v>
      </c>
      <c r="B21843" s="65" t="s">
        <v>10165</v>
      </c>
    </row>
    <row r="21844" spans="1:2" x14ac:dyDescent="0.25">
      <c r="A21844" s="64" t="str">
        <f>HYPERLINK("http://www.twitter.com/bgardener80", "bgardener80")</f>
        <v>bgardener80</v>
      </c>
      <c r="B21844" s="65"/>
    </row>
    <row r="21845" spans="1:2" x14ac:dyDescent="0.25">
      <c r="A21845" s="64" t="str">
        <f>HYPERLINK("http://www.twitter.com/alpadventurer", "alpadventurer")</f>
        <v>alpadventurer</v>
      </c>
      <c r="B21845" s="65"/>
    </row>
    <row r="21846" spans="1:2" x14ac:dyDescent="0.25">
      <c r="A21846" s="64" t="str">
        <f>HYPERLINK("http://www.twitter.com/ArchShet", "ArchShet")</f>
        <v>ArchShet</v>
      </c>
      <c r="B21846" s="65" t="s">
        <v>4797</v>
      </c>
    </row>
    <row r="21847" spans="1:2" x14ac:dyDescent="0.25">
      <c r="A21847" s="64" t="str">
        <f>HYPERLINK("http://www.twitter.com/F1Ashley", "F1Ashley")</f>
        <v>F1Ashley</v>
      </c>
      <c r="B21847" s="65"/>
    </row>
    <row r="21848" spans="1:2" x14ac:dyDescent="0.25">
      <c r="A21848" s="64" t="str">
        <f>HYPERLINK("http://www.twitter.com/kenhambly01", "kenhambly01")</f>
        <v>kenhambly01</v>
      </c>
      <c r="B21848" s="65"/>
    </row>
    <row r="21849" spans="1:2" x14ac:dyDescent="0.25">
      <c r="A21849" s="64" t="str">
        <f>HYPERLINK("http://www.twitter.com/sandramcarey", "sandramcarey")</f>
        <v>sandramcarey</v>
      </c>
      <c r="B21849" s="65"/>
    </row>
    <row r="21850" spans="1:2" x14ac:dyDescent="0.25">
      <c r="A21850" s="64" t="str">
        <f>HYPERLINK("http://www.twitter.com/ffran57", "ffran57")</f>
        <v>ffran57</v>
      </c>
      <c r="B21850" s="65"/>
    </row>
    <row r="21851" spans="1:2" x14ac:dyDescent="0.25">
      <c r="A21851" s="64" t="str">
        <f>HYPERLINK("http://www.twitter.com/polskey", "polskey")</f>
        <v>polskey</v>
      </c>
      <c r="B21851" s="65" t="s">
        <v>36</v>
      </c>
    </row>
    <row r="21852" spans="1:2" x14ac:dyDescent="0.25">
      <c r="A21852" s="64" t="str">
        <f>HYPERLINK("http://www.twitter.com/Stooshie", "Stooshie")</f>
        <v>Stooshie</v>
      </c>
      <c r="B21852" s="65" t="s">
        <v>10166</v>
      </c>
    </row>
    <row r="21853" spans="1:2" x14ac:dyDescent="0.25">
      <c r="A21853" s="64" t="str">
        <f>HYPERLINK("http://www.twitter.com/irving_lesley", "irving_lesley")</f>
        <v>irving_lesley</v>
      </c>
      <c r="B21853" s="65"/>
    </row>
    <row r="21854" spans="1:2" x14ac:dyDescent="0.25">
      <c r="A21854" s="64" t="str">
        <f>HYPERLINK("http://www.twitter.com/Bobtheb_ilder", "Bobtheb_ilder")</f>
        <v>Bobtheb_ilder</v>
      </c>
      <c r="B21854" s="65" t="s">
        <v>10167</v>
      </c>
    </row>
    <row r="21855" spans="1:2" x14ac:dyDescent="0.25">
      <c r="A21855" s="64" t="str">
        <f>HYPERLINK("http://www.twitter.com/caldamac", "caldamac")</f>
        <v>caldamac</v>
      </c>
      <c r="B21855" s="65" t="s">
        <v>10168</v>
      </c>
    </row>
    <row r="21856" spans="1:2" x14ac:dyDescent="0.25">
      <c r="A21856" s="64" t="str">
        <f>HYPERLINK("http://www.twitter.com/ercockburn", "ercockburn")</f>
        <v>ercockburn</v>
      </c>
      <c r="B21856" s="65" t="s">
        <v>5384</v>
      </c>
    </row>
    <row r="21857" spans="1:2" x14ac:dyDescent="0.25">
      <c r="A21857" s="64" t="str">
        <f>HYPERLINK("http://www.twitter.com/lcolllib", "lcolllib")</f>
        <v>lcolllib</v>
      </c>
      <c r="B21857" s="65" t="s">
        <v>8337</v>
      </c>
    </row>
    <row r="21858" spans="1:2" x14ac:dyDescent="0.25">
      <c r="A21858" s="64" t="str">
        <f>HYPERLINK("http://www.twitter.com/StMarysPSA", "StMarysPSA")</f>
        <v>StMarysPSA</v>
      </c>
      <c r="B21858" s="65" t="s">
        <v>10169</v>
      </c>
    </row>
    <row r="21859" spans="1:2" x14ac:dyDescent="0.25">
      <c r="A21859" s="64" t="str">
        <f>HYPERLINK("http://www.twitter.com/Gimmeahugyou", "Gimmeahugyou")</f>
        <v>Gimmeahugyou</v>
      </c>
      <c r="B21859" s="65" t="s">
        <v>5965</v>
      </c>
    </row>
    <row r="21860" spans="1:2" x14ac:dyDescent="0.25">
      <c r="A21860" s="64" t="str">
        <f>HYPERLINK("http://www.twitter.com/KieraR93", "KieraR93")</f>
        <v>KieraR93</v>
      </c>
      <c r="B21860" s="65" t="s">
        <v>8162</v>
      </c>
    </row>
    <row r="21861" spans="1:2" x14ac:dyDescent="0.25">
      <c r="A21861" s="64" t="str">
        <f>HYPERLINK("http://www.twitter.com/bibliobotic", "bibliobotic")</f>
        <v>bibliobotic</v>
      </c>
      <c r="B21861" s="65" t="s">
        <v>7137</v>
      </c>
    </row>
    <row r="21862" spans="1:2" x14ac:dyDescent="0.25">
      <c r="A21862" s="64" t="str">
        <f>HYPERLINK("http://www.twitter.com/HoyView", "HoyView")</f>
        <v>HoyView</v>
      </c>
      <c r="B21862" s="65"/>
    </row>
    <row r="21863" spans="1:2" x14ac:dyDescent="0.25">
      <c r="A21863" s="64" t="str">
        <f>HYPERLINK("http://www.twitter.com/nikinackynoo1", "nikinackynoo1")</f>
        <v>nikinackynoo1</v>
      </c>
      <c r="B21863" s="65" t="s">
        <v>10170</v>
      </c>
    </row>
    <row r="21864" spans="1:2" x14ac:dyDescent="0.25">
      <c r="A21864" s="64" t="str">
        <f>HYPERLINK("http://www.twitter.com/artoriuslfc", "artoriuslfc")</f>
        <v>artoriuslfc</v>
      </c>
      <c r="B21864" s="65" t="s">
        <v>10171</v>
      </c>
    </row>
    <row r="21865" spans="1:2" x14ac:dyDescent="0.25">
      <c r="A21865" s="64" t="str">
        <f>HYPERLINK("http://www.twitter.com/machapak", "machapak")</f>
        <v>machapak</v>
      </c>
      <c r="B21865" s="65" t="s">
        <v>180</v>
      </c>
    </row>
    <row r="21866" spans="1:2" x14ac:dyDescent="0.25">
      <c r="A21866" s="64" t="str">
        <f>HYPERLINK("http://www.twitter.com/jillallen1", "jillallen1")</f>
        <v>jillallen1</v>
      </c>
      <c r="B21866" s="65"/>
    </row>
    <row r="21867" spans="1:2" x14ac:dyDescent="0.25">
      <c r="A21867" s="64" t="str">
        <f>HYPERLINK("http://www.twitter.com/Ffena", "Ffena")</f>
        <v>Ffena</v>
      </c>
      <c r="B21867" s="65" t="s">
        <v>10172</v>
      </c>
    </row>
    <row r="21868" spans="1:2" x14ac:dyDescent="0.25">
      <c r="A21868" s="64" t="str">
        <f>HYPERLINK("http://www.twitter.com/SaraPMHouston", "SaraPMHouston")</f>
        <v>SaraPMHouston</v>
      </c>
      <c r="B21868" s="65" t="s">
        <v>6808</v>
      </c>
    </row>
    <row r="21869" spans="1:2" x14ac:dyDescent="0.25">
      <c r="A21869" s="64" t="str">
        <f>HYPERLINK("http://www.twitter.com/TRAudio", "TRAudio")</f>
        <v>TRAudio</v>
      </c>
      <c r="B21869" s="65" t="s">
        <v>102</v>
      </c>
    </row>
    <row r="21870" spans="1:2" x14ac:dyDescent="0.25">
      <c r="A21870" s="64" t="str">
        <f>HYPERLINK("http://www.twitter.com/findlay_rhona", "findlay_rhona")</f>
        <v>findlay_rhona</v>
      </c>
      <c r="B21870" s="65"/>
    </row>
    <row r="21871" spans="1:2" x14ac:dyDescent="0.25">
      <c r="A21871" s="64" t="str">
        <f>HYPERLINK("http://www.twitter.com/Specialdiet1", "Specialdiet1")</f>
        <v>Specialdiet1</v>
      </c>
      <c r="B21871" s="65" t="s">
        <v>10173</v>
      </c>
    </row>
    <row r="21872" spans="1:2" x14ac:dyDescent="0.25">
      <c r="A21872" s="64" t="str">
        <f>HYPERLINK("http://www.twitter.com/CarryOnJoan", "CarryOnJoan")</f>
        <v>CarryOnJoan</v>
      </c>
      <c r="B21872" s="65" t="s">
        <v>36</v>
      </c>
    </row>
    <row r="21873" spans="1:2" x14ac:dyDescent="0.25">
      <c r="A21873" s="64" t="str">
        <f>HYPERLINK("http://www.twitter.com/TomMoville", "TomMoville")</f>
        <v>TomMoville</v>
      </c>
      <c r="B21873" s="65" t="s">
        <v>10174</v>
      </c>
    </row>
    <row r="21874" spans="1:2" x14ac:dyDescent="0.25">
      <c r="A21874" s="64" t="str">
        <f>HYPERLINK("http://www.twitter.com/RogierDeWeyden", "RogierDeWeyden")</f>
        <v>RogierDeWeyden</v>
      </c>
      <c r="B21874" s="65" t="s">
        <v>4288</v>
      </c>
    </row>
    <row r="21875" spans="1:2" x14ac:dyDescent="0.25">
      <c r="A21875" s="64" t="str">
        <f>HYPERLINK("http://www.twitter.com/tigerlilygst", "tigerlilygst")</f>
        <v>tigerlilygst</v>
      </c>
      <c r="B21875" s="65"/>
    </row>
    <row r="21876" spans="1:2" x14ac:dyDescent="0.25">
      <c r="A21876" s="64" t="str">
        <f>HYPERLINK("http://www.twitter.com/PenguinTiki", "PenguinTiki")</f>
        <v>PenguinTiki</v>
      </c>
      <c r="B21876" s="65" t="s">
        <v>10175</v>
      </c>
    </row>
    <row r="21877" spans="1:2" x14ac:dyDescent="0.25">
      <c r="A21877" s="64" t="str">
        <f>HYPERLINK("http://www.twitter.com/B_frank_1", "B_frank_1")</f>
        <v>B_frank_1</v>
      </c>
      <c r="B21877" s="65"/>
    </row>
    <row r="21878" spans="1:2" x14ac:dyDescent="0.25">
      <c r="A21878" s="64" t="str">
        <f>HYPERLINK("http://www.twitter.com/ShropLibraries", "ShropLibraries")</f>
        <v>ShropLibraries</v>
      </c>
      <c r="B21878" s="65" t="s">
        <v>2185</v>
      </c>
    </row>
    <row r="21879" spans="1:2" x14ac:dyDescent="0.25">
      <c r="A21879" s="64" t="str">
        <f>HYPERLINK("http://www.twitter.com/Flightdeck007", "Flightdeck007")</f>
        <v>Flightdeck007</v>
      </c>
      <c r="B21879" s="65" t="s">
        <v>3762</v>
      </c>
    </row>
    <row r="21880" spans="1:2" x14ac:dyDescent="0.25">
      <c r="A21880" s="64" t="str">
        <f>HYPERLINK("http://www.twitter.com/OxfamPetergate", "OxfamPetergate")</f>
        <v>OxfamPetergate</v>
      </c>
      <c r="B21880" s="65" t="s">
        <v>1537</v>
      </c>
    </row>
    <row r="21881" spans="1:2" x14ac:dyDescent="0.25">
      <c r="A21881" s="64" t="str">
        <f>HYPERLINK("http://www.twitter.com/MssGalindo", "MssGalindo")</f>
        <v>MssGalindo</v>
      </c>
      <c r="B21881" s="65" t="s">
        <v>3988</v>
      </c>
    </row>
    <row r="21882" spans="1:2" x14ac:dyDescent="0.25">
      <c r="A21882" s="64" t="str">
        <f>HYPERLINK("http://www.twitter.com/simonjryan", "simonjryan")</f>
        <v>simonjryan</v>
      </c>
      <c r="B21882" s="65" t="s">
        <v>10176</v>
      </c>
    </row>
    <row r="21883" spans="1:2" x14ac:dyDescent="0.25">
      <c r="A21883" s="64" t="str">
        <f>HYPERLINK("http://www.twitter.com/_Polyhymnia", "_Polyhymnia")</f>
        <v>_Polyhymnia</v>
      </c>
      <c r="B21883" s="65" t="s">
        <v>10177</v>
      </c>
    </row>
    <row r="21884" spans="1:2" x14ac:dyDescent="0.25">
      <c r="A21884" s="64" t="str">
        <f>HYPERLINK("http://www.twitter.com/boredlaura", "boredlaura")</f>
        <v>boredlaura</v>
      </c>
      <c r="B21884" s="65" t="s">
        <v>318</v>
      </c>
    </row>
    <row r="21885" spans="1:2" x14ac:dyDescent="0.25">
      <c r="A21885" s="64" t="str">
        <f>HYPERLINK("http://www.twitter.com/katie_haden", "katie_haden")</f>
        <v>katie_haden</v>
      </c>
      <c r="B21885" s="65" t="s">
        <v>4147</v>
      </c>
    </row>
    <row r="21886" spans="1:2" x14ac:dyDescent="0.25">
      <c r="A21886" s="64" t="str">
        <f>HYPERLINK("http://www.twitter.com/suianukka", "suianukka")</f>
        <v>suianukka</v>
      </c>
      <c r="B21886" s="65" t="s">
        <v>33</v>
      </c>
    </row>
    <row r="21887" spans="1:2" x14ac:dyDescent="0.25">
      <c r="A21887" s="64" t="str">
        <f>HYPERLINK("http://www.twitter.com/PamMarchantArt", "PamMarchantArt")</f>
        <v>PamMarchantArt</v>
      </c>
      <c r="B21887" s="65" t="s">
        <v>10178</v>
      </c>
    </row>
    <row r="21888" spans="1:2" x14ac:dyDescent="0.25">
      <c r="A21888" s="64" t="str">
        <f>HYPERLINK("http://www.twitter.com/Vicky_hoyle", "Vicky_hoyle")</f>
        <v>Vicky_hoyle</v>
      </c>
      <c r="B21888" s="65" t="s">
        <v>346</v>
      </c>
    </row>
    <row r="21889" spans="1:2" x14ac:dyDescent="0.25">
      <c r="A21889" s="64" t="str">
        <f>HYPERLINK("http://www.twitter.com/nellohora", "nellohora")</f>
        <v>nellohora</v>
      </c>
      <c r="B21889" s="65"/>
    </row>
    <row r="21890" spans="1:2" x14ac:dyDescent="0.25">
      <c r="A21890" s="64" t="str">
        <f>HYPERLINK("http://www.twitter.com/brankamaricic", "brankamaricic")</f>
        <v>brankamaricic</v>
      </c>
      <c r="B21890" s="65" t="s">
        <v>3988</v>
      </c>
    </row>
    <row r="21891" spans="1:2" x14ac:dyDescent="0.25">
      <c r="A21891" s="64" t="str">
        <f>HYPERLINK("http://www.twitter.com/bookmiscellany", "bookmiscellany")</f>
        <v>bookmiscellany</v>
      </c>
      <c r="B21891" s="65" t="s">
        <v>296</v>
      </c>
    </row>
    <row r="21892" spans="1:2" x14ac:dyDescent="0.25">
      <c r="A21892" s="64" t="str">
        <f>HYPERLINK("http://www.twitter.com/MJR2013", "MJR2013")</f>
        <v>MJR2013</v>
      </c>
      <c r="B21892" s="65" t="s">
        <v>3778</v>
      </c>
    </row>
    <row r="21893" spans="1:2" x14ac:dyDescent="0.25">
      <c r="A21893" s="64" t="str">
        <f>HYPERLINK("http://www.twitter.com/The_Necromancer", "The_Necromancer")</f>
        <v>The_Necromancer</v>
      </c>
      <c r="B21893" s="65" t="s">
        <v>36</v>
      </c>
    </row>
    <row r="21894" spans="1:2" x14ac:dyDescent="0.25">
      <c r="A21894" s="64" t="str">
        <f>HYPERLINK("http://www.twitter.com/jengreen", "jengreen")</f>
        <v>jengreen</v>
      </c>
      <c r="B21894" s="65" t="s">
        <v>3778</v>
      </c>
    </row>
    <row r="21895" spans="1:2" x14ac:dyDescent="0.25">
      <c r="A21895" s="64" t="str">
        <f>HYPERLINK("http://www.twitter.com/kaka227", "kaka227")</f>
        <v>kaka227</v>
      </c>
      <c r="B21895" s="65" t="s">
        <v>138</v>
      </c>
    </row>
    <row r="21896" spans="1:2" x14ac:dyDescent="0.25">
      <c r="A21896" s="64" t="str">
        <f>HYPERLINK("http://www.twitter.com/rongunn55", "rongunn55")</f>
        <v>rongunn55</v>
      </c>
      <c r="B21896" s="65"/>
    </row>
    <row r="21897" spans="1:2" x14ac:dyDescent="0.25">
      <c r="A21897" s="64" t="str">
        <f>HYPERLINK("http://www.twitter.com/chinaeyez74", "chinaeyez74")</f>
        <v>chinaeyez74</v>
      </c>
      <c r="B21897" s="65" t="s">
        <v>1377</v>
      </c>
    </row>
    <row r="21898" spans="1:2" x14ac:dyDescent="0.25">
      <c r="A21898" s="64" t="str">
        <f>HYPERLINK("http://www.twitter.com/ImmyKaur", "ImmyKaur")</f>
        <v>ImmyKaur</v>
      </c>
      <c r="B21898" s="65" t="s">
        <v>10179</v>
      </c>
    </row>
    <row r="21899" spans="1:2" x14ac:dyDescent="0.25">
      <c r="A21899" s="64" t="str">
        <f>HYPERLINK("http://www.twitter.com/zzzcccaaa1", "zzzcccaaa1")</f>
        <v>zzzcccaaa1</v>
      </c>
      <c r="B21899" s="65" t="s">
        <v>10180</v>
      </c>
    </row>
    <row r="21900" spans="1:2" x14ac:dyDescent="0.25">
      <c r="A21900" s="64" t="str">
        <f>HYPERLINK("http://www.twitter.com/kate_is_busy", "kate_is_busy")</f>
        <v>kate_is_busy</v>
      </c>
      <c r="B21900" s="65" t="s">
        <v>33</v>
      </c>
    </row>
    <row r="21901" spans="1:2" x14ac:dyDescent="0.25">
      <c r="A21901" s="64" t="str">
        <f>HYPERLINK("http://www.twitter.com/HbnormanNorman", "HbnormanNorman")</f>
        <v>HbnormanNorman</v>
      </c>
      <c r="B21901" s="65"/>
    </row>
    <row r="21902" spans="1:2" x14ac:dyDescent="0.25">
      <c r="A21902" s="64" t="str">
        <f>HYPERLINK("http://www.twitter.com/KayRowntree", "KayRowntree")</f>
        <v>KayRowntree</v>
      </c>
      <c r="B21902" s="65"/>
    </row>
    <row r="21903" spans="1:2" x14ac:dyDescent="0.25">
      <c r="A21903" s="64" t="str">
        <f>HYPERLINK("http://www.twitter.com/margaretlatour", "margaretlatour")</f>
        <v>margaretlatour</v>
      </c>
      <c r="B21903" s="65"/>
    </row>
    <row r="21904" spans="1:2" x14ac:dyDescent="0.25">
      <c r="A21904" s="64" t="str">
        <f>HYPERLINK("http://www.twitter.com/judesaxonhouse", "judesaxonhouse")</f>
        <v>judesaxonhouse</v>
      </c>
      <c r="B21904" s="65" t="s">
        <v>4122</v>
      </c>
    </row>
    <row r="21905" spans="1:2" x14ac:dyDescent="0.25">
      <c r="A21905" s="64" t="str">
        <f>HYPERLINK("http://www.twitter.com/mandipa39", "mandipa39")</f>
        <v>mandipa39</v>
      </c>
      <c r="B21905" s="65"/>
    </row>
    <row r="21906" spans="1:2" x14ac:dyDescent="0.25">
      <c r="A21906" s="64" t="str">
        <f>HYPERLINK("http://www.twitter.com/juhnaylaffs", "juhnaylaffs")</f>
        <v>juhnaylaffs</v>
      </c>
      <c r="B21906" s="65" t="s">
        <v>5110</v>
      </c>
    </row>
    <row r="21907" spans="1:2" x14ac:dyDescent="0.25">
      <c r="A21907" s="64" t="str">
        <f>HYPERLINK("http://www.twitter.com/amychatwin", "amychatwin")</f>
        <v>amychatwin</v>
      </c>
      <c r="B21907" s="65" t="s">
        <v>1479</v>
      </c>
    </row>
    <row r="21908" spans="1:2" x14ac:dyDescent="0.25">
      <c r="A21908" s="64" t="str">
        <f>HYPERLINK("http://www.twitter.com/b184w78", "b184w78")</f>
        <v>b184w78</v>
      </c>
      <c r="B21908" s="65"/>
    </row>
    <row r="21909" spans="1:2" x14ac:dyDescent="0.25">
      <c r="A21909" s="64" t="str">
        <f>HYPERLINK("http://www.twitter.com/PhylSumner", "PhylSumner")</f>
        <v>PhylSumner</v>
      </c>
      <c r="B21909" s="65"/>
    </row>
    <row r="21910" spans="1:2" x14ac:dyDescent="0.25">
      <c r="A21910" s="64" t="str">
        <f>HYPERLINK("http://www.twitter.com/truffs01", "truffs01")</f>
        <v>truffs01</v>
      </c>
      <c r="B21910" s="65"/>
    </row>
    <row r="21911" spans="1:2" x14ac:dyDescent="0.25">
      <c r="A21911" s="64" t="str">
        <f>HYPERLINK("http://www.twitter.com/revrodders", "revrodders")</f>
        <v>revrodders</v>
      </c>
      <c r="B21911" s="65"/>
    </row>
    <row r="21912" spans="1:2" x14ac:dyDescent="0.25">
      <c r="A21912" s="64" t="str">
        <f>HYPERLINK("http://www.twitter.com/CathyLibrary", "CathyLibrary")</f>
        <v>CathyLibrary</v>
      </c>
      <c r="B21912" s="65" t="s">
        <v>33</v>
      </c>
    </row>
    <row r="21913" spans="1:2" x14ac:dyDescent="0.25">
      <c r="A21913" s="64" t="str">
        <f>HYPERLINK("http://www.twitter.com/Fenn1Lois", "Fenn1Lois")</f>
        <v>Fenn1Lois</v>
      </c>
      <c r="B21913" s="65"/>
    </row>
    <row r="21914" spans="1:2" x14ac:dyDescent="0.25">
      <c r="A21914" s="64" t="str">
        <f>HYPERLINK("http://www.twitter.com/tinamolyneux", "tinamolyneux")</f>
        <v>tinamolyneux</v>
      </c>
      <c r="B21914" s="65"/>
    </row>
    <row r="21915" spans="1:2" x14ac:dyDescent="0.25">
      <c r="A21915" s="64" t="str">
        <f>HYPERLINK("http://www.twitter.com/SanktPauliBlade", "SanktPauliBlade")</f>
        <v>SanktPauliBlade</v>
      </c>
      <c r="B21915" s="65"/>
    </row>
    <row r="21916" spans="1:2" x14ac:dyDescent="0.25">
      <c r="A21916" s="64" t="str">
        <f>HYPERLINK("http://www.twitter.com/geordiemark4", "geordiemark4")</f>
        <v>geordiemark4</v>
      </c>
      <c r="B21916" s="65" t="s">
        <v>10181</v>
      </c>
    </row>
    <row r="21917" spans="1:2" x14ac:dyDescent="0.25">
      <c r="A21917" s="64" t="str">
        <f>HYPERLINK("http://www.twitter.com/SDSBUB1963", "SDSBUB1963")</f>
        <v>SDSBUB1963</v>
      </c>
      <c r="B21917" s="65"/>
    </row>
    <row r="21918" spans="1:2" x14ac:dyDescent="0.25">
      <c r="A21918" s="64" t="str">
        <f>HYPERLINK("http://www.twitter.com/Pippin_chinook", "Pippin_chinook")</f>
        <v>Pippin_chinook</v>
      </c>
      <c r="B21918" s="65"/>
    </row>
    <row r="21919" spans="1:2" x14ac:dyDescent="0.25">
      <c r="A21919" s="64" t="str">
        <f>HYPERLINK("http://www.twitter.com/1strinstead", "1strinstead")</f>
        <v>1strinstead</v>
      </c>
      <c r="B21919" s="65"/>
    </row>
    <row r="21920" spans="1:2" x14ac:dyDescent="0.25">
      <c r="A21920" s="64" t="str">
        <f>HYPERLINK("http://www.twitter.com/Rapid1111", "Rapid1111")</f>
        <v>Rapid1111</v>
      </c>
      <c r="B21920" s="65"/>
    </row>
    <row r="21921" spans="1:2" x14ac:dyDescent="0.25">
      <c r="A21921" s="64" t="str">
        <f>HYPERLINK("http://www.twitter.com/lenabellina", "lenabellina")</f>
        <v>lenabellina</v>
      </c>
      <c r="B21921" s="65" t="s">
        <v>2007</v>
      </c>
    </row>
    <row r="21922" spans="1:2" x14ac:dyDescent="0.25">
      <c r="A21922" s="64" t="str">
        <f>HYPERLINK("http://www.twitter.com/WelshCowboysFan", "WelshCowboysFan")</f>
        <v>WelshCowboysFan</v>
      </c>
      <c r="B21922" s="65" t="s">
        <v>749</v>
      </c>
    </row>
    <row r="21923" spans="1:2" x14ac:dyDescent="0.25">
      <c r="A21923" s="64" t="str">
        <f>HYPERLINK("http://www.twitter.com/OneVegBoxPlease", "OneVegBoxPlease")</f>
        <v>OneVegBoxPlease</v>
      </c>
      <c r="B21923" s="65"/>
    </row>
    <row r="21924" spans="1:2" x14ac:dyDescent="0.25">
      <c r="A21924" s="64" t="str">
        <f>HYPERLINK("http://www.twitter.com/mf6060", "mf6060")</f>
        <v>mf6060</v>
      </c>
      <c r="B21924" s="65" t="s">
        <v>7874</v>
      </c>
    </row>
    <row r="21925" spans="1:2" x14ac:dyDescent="0.25">
      <c r="A21925" s="64" t="str">
        <f>HYPERLINK("http://www.twitter.com/lilykingbooks", "lilykingbooks")</f>
        <v>lilykingbooks</v>
      </c>
      <c r="B21925" s="65"/>
    </row>
    <row r="21926" spans="1:2" x14ac:dyDescent="0.25">
      <c r="A21926" s="64" t="str">
        <f>HYPERLINK("http://www.twitter.com/LizzieFMH", "LizzieFMH")</f>
        <v>LizzieFMH</v>
      </c>
      <c r="B21926" s="65" t="s">
        <v>10182</v>
      </c>
    </row>
    <row r="21927" spans="1:2" x14ac:dyDescent="0.25">
      <c r="A21927" s="64" t="str">
        <f>HYPERLINK("http://www.twitter.com/madbeardycat", "madbeardycat")</f>
        <v>madbeardycat</v>
      </c>
      <c r="B21927" s="65" t="s">
        <v>4126</v>
      </c>
    </row>
    <row r="21928" spans="1:2" x14ac:dyDescent="0.25">
      <c r="A21928" s="64" t="str">
        <f>HYPERLINK("http://www.twitter.com/jonnysmiffy", "jonnysmiffy")</f>
        <v>jonnysmiffy</v>
      </c>
      <c r="B21928" s="65"/>
    </row>
    <row r="21929" spans="1:2" x14ac:dyDescent="0.25">
      <c r="A21929" s="64" t="str">
        <f>HYPERLINK("http://www.twitter.com/Chinooklibs", "Chinooklibs")</f>
        <v>Chinooklibs</v>
      </c>
      <c r="B21929" s="65" t="s">
        <v>10183</v>
      </c>
    </row>
    <row r="21930" spans="1:2" x14ac:dyDescent="0.25">
      <c r="A21930" s="64" t="str">
        <f>HYPERLINK("http://www.twitter.com/noblebirdies", "noblebirdies")</f>
        <v>noblebirdies</v>
      </c>
      <c r="B21930" s="65" t="s">
        <v>2580</v>
      </c>
    </row>
    <row r="21931" spans="1:2" x14ac:dyDescent="0.25">
      <c r="A21931" s="64" t="str">
        <f>HYPERLINK("http://www.twitter.com/CllrSDixon", "CllrSDixon")</f>
        <v>CllrSDixon</v>
      </c>
      <c r="B21931" s="65" t="s">
        <v>77</v>
      </c>
    </row>
    <row r="21932" spans="1:2" x14ac:dyDescent="0.25">
      <c r="A21932" s="64" t="str">
        <f>HYPERLINK("http://www.twitter.com/JennyDonald1", "JennyDonald1")</f>
        <v>JennyDonald1</v>
      </c>
      <c r="B21932" s="65"/>
    </row>
    <row r="21933" spans="1:2" x14ac:dyDescent="0.25">
      <c r="A21933" s="64" t="str">
        <f>HYPERLINK("http://www.twitter.com/BlideTrust", "BlideTrust")</f>
        <v>BlideTrust</v>
      </c>
      <c r="B21933" s="65" t="s">
        <v>10184</v>
      </c>
    </row>
    <row r="21934" spans="1:2" x14ac:dyDescent="0.25">
      <c r="A21934" s="64" t="str">
        <f>HYPERLINK("http://www.twitter.com/EmVicW", "EmVicW")</f>
        <v>EmVicW</v>
      </c>
      <c r="B21934" s="65" t="s">
        <v>10185</v>
      </c>
    </row>
    <row r="21935" spans="1:2" x14ac:dyDescent="0.25">
      <c r="A21935" s="64" t="str">
        <f>HYPERLINK("http://www.twitter.com/RachelSargeant3", "RachelSargeant3")</f>
        <v>RachelSargeant3</v>
      </c>
      <c r="B21935" s="65"/>
    </row>
    <row r="21936" spans="1:2" x14ac:dyDescent="0.25">
      <c r="A21936" s="64" t="str">
        <f>HYPERLINK("http://www.twitter.com/Mick_Wallace14", "Mick_Wallace14")</f>
        <v>Mick_Wallace14</v>
      </c>
      <c r="B21936" s="65"/>
    </row>
    <row r="21937" spans="1:2" x14ac:dyDescent="0.25">
      <c r="A21937" s="64" t="str">
        <f>HYPERLINK("http://www.twitter.com/HelenaAttlee", "HelenaAttlee")</f>
        <v>HelenaAttlee</v>
      </c>
      <c r="B21937" s="65"/>
    </row>
    <row r="21938" spans="1:2" x14ac:dyDescent="0.25">
      <c r="A21938" s="64" t="str">
        <f>HYPERLINK("http://www.twitter.com/srpoldham", "srpoldham")</f>
        <v>srpoldham</v>
      </c>
      <c r="B21938" s="65" t="s">
        <v>3896</v>
      </c>
    </row>
    <row r="21939" spans="1:2" x14ac:dyDescent="0.25">
      <c r="A21939" s="64" t="str">
        <f>HYPERLINK("http://www.twitter.com/bencollins01", "bencollins01")</f>
        <v>bencollins01</v>
      </c>
      <c r="B21939" s="65" t="s">
        <v>4867</v>
      </c>
    </row>
    <row r="21940" spans="1:2" x14ac:dyDescent="0.25">
      <c r="A21940" s="64" t="str">
        <f>HYPERLINK("http://www.twitter.com/historiographus", "historiographus")</f>
        <v>historiographus</v>
      </c>
      <c r="B21940" s="65"/>
    </row>
    <row r="21941" spans="1:2" x14ac:dyDescent="0.25">
      <c r="A21941" s="64" t="str">
        <f>HYPERLINK("http://www.twitter.com/BentonAlison", "BentonAlison")</f>
        <v>BentonAlison</v>
      </c>
      <c r="B21941" s="65"/>
    </row>
    <row r="21942" spans="1:2" x14ac:dyDescent="0.25">
      <c r="A21942" s="64" t="str">
        <f>HYPERLINK("http://www.twitter.com/AnnaSemmens", "AnnaSemmens")</f>
        <v>AnnaSemmens</v>
      </c>
      <c r="B21942" s="65" t="s">
        <v>36</v>
      </c>
    </row>
    <row r="21943" spans="1:2" x14ac:dyDescent="0.25">
      <c r="A21943" s="64" t="str">
        <f>HYPERLINK("http://www.twitter.com/artizanlibrary", "artizanlibrary")</f>
        <v>artizanlibrary</v>
      </c>
      <c r="B21943" s="65" t="s">
        <v>1382</v>
      </c>
    </row>
    <row r="21944" spans="1:2" x14ac:dyDescent="0.25">
      <c r="A21944" s="64" t="str">
        <f>HYPERLINK("http://www.twitter.com/ArchivesUEL", "ArchivesUEL")</f>
        <v>ArchivesUEL</v>
      </c>
      <c r="B21944" s="65" t="s">
        <v>10186</v>
      </c>
    </row>
    <row r="21945" spans="1:2" x14ac:dyDescent="0.25">
      <c r="A21945" s="64" t="str">
        <f>HYPERLINK("http://www.twitter.com/rach6222", "rach6222")</f>
        <v>rach6222</v>
      </c>
      <c r="B21945" s="65" t="s">
        <v>5212</v>
      </c>
    </row>
    <row r="21946" spans="1:2" x14ac:dyDescent="0.25">
      <c r="A21946" s="64" t="str">
        <f>HYPERLINK("http://www.twitter.com/RuthWrite8", "RuthWrite8")</f>
        <v>RuthWrite8</v>
      </c>
      <c r="B21946" s="65" t="s">
        <v>8528</v>
      </c>
    </row>
    <row r="21947" spans="1:2" x14ac:dyDescent="0.25">
      <c r="A21947" s="64" t="str">
        <f>HYPERLINK("http://www.twitter.com/PickledTink12", "PickledTink12")</f>
        <v>PickledTink12</v>
      </c>
      <c r="B21947" s="65" t="s">
        <v>10187</v>
      </c>
    </row>
    <row r="21948" spans="1:2" x14ac:dyDescent="0.25">
      <c r="A21948" s="64" t="str">
        <f>HYPERLINK("http://www.twitter.com/FolkestoneLRC", "FolkestoneLRC")</f>
        <v>FolkestoneLRC</v>
      </c>
      <c r="B21948" s="65" t="s">
        <v>3601</v>
      </c>
    </row>
    <row r="21949" spans="1:2" x14ac:dyDescent="0.25">
      <c r="A21949" s="64" t="str">
        <f>HYPERLINK("http://www.twitter.com/ChorltonBkshop", "ChorltonBkshop")</f>
        <v>ChorltonBkshop</v>
      </c>
      <c r="B21949" s="65" t="s">
        <v>10188</v>
      </c>
    </row>
    <row r="21950" spans="1:2" x14ac:dyDescent="0.25">
      <c r="A21950" s="64" t="str">
        <f>HYPERLINK("http://www.twitter.com/CPIbooksUK", "CPIbooksUK")</f>
        <v>CPIbooksUK</v>
      </c>
      <c r="B21950" s="65" t="s">
        <v>70</v>
      </c>
    </row>
    <row r="21951" spans="1:2" x14ac:dyDescent="0.25">
      <c r="A21951" s="64" t="str">
        <f>HYPERLINK("http://www.twitter.com/mrhyde", "mrhyde")</f>
        <v>mrhyde</v>
      </c>
      <c r="B21951" s="65" t="s">
        <v>24</v>
      </c>
    </row>
    <row r="21952" spans="1:2" x14ac:dyDescent="0.25">
      <c r="A21952" s="64" t="str">
        <f>HYPERLINK("http://www.twitter.com/verityjwatkins", "verityjwatkins")</f>
        <v>verityjwatkins</v>
      </c>
      <c r="B21952" s="65" t="s">
        <v>36</v>
      </c>
    </row>
    <row r="21953" spans="1:2" x14ac:dyDescent="0.25">
      <c r="A21953" s="64" t="str">
        <f>HYPERLINK("http://www.twitter.com/wellcomebkprize", "wellcomebkprize")</f>
        <v>wellcomebkprize</v>
      </c>
      <c r="B21953" s="65"/>
    </row>
    <row r="21954" spans="1:2" x14ac:dyDescent="0.25">
      <c r="A21954" s="64" t="str">
        <f>HYPERLINK("http://www.twitter.com/FindResearchGrp", "FindResearchGrp")</f>
        <v>FindResearchGrp</v>
      </c>
      <c r="B21954" s="65" t="s">
        <v>4149</v>
      </c>
    </row>
    <row r="21955" spans="1:2" x14ac:dyDescent="0.25">
      <c r="A21955" s="64" t="str">
        <f>HYPERLINK("http://www.twitter.com/readingchook", "readingchook")</f>
        <v>readingchook</v>
      </c>
      <c r="B21955" s="65" t="s">
        <v>1479</v>
      </c>
    </row>
    <row r="21956" spans="1:2" x14ac:dyDescent="0.25">
      <c r="A21956" s="64" t="str">
        <f>HYPERLINK("http://www.twitter.com/MarkeyJim", "MarkeyJim")</f>
        <v>MarkeyJim</v>
      </c>
      <c r="B21956" s="65"/>
    </row>
    <row r="21957" spans="1:2" x14ac:dyDescent="0.25">
      <c r="A21957" s="64" t="str">
        <f>HYPERLINK("http://www.twitter.com/tomelchas03", "tomelchas03")</f>
        <v>tomelchas03</v>
      </c>
      <c r="B21957" s="65"/>
    </row>
    <row r="21958" spans="1:2" x14ac:dyDescent="0.25">
      <c r="A21958" s="64" t="str">
        <f>HYPERLINK("http://www.twitter.com/caseleysamuel", "caseleysamuel")</f>
        <v>caseleysamuel</v>
      </c>
      <c r="B21958" s="65"/>
    </row>
    <row r="21959" spans="1:2" x14ac:dyDescent="0.25">
      <c r="A21959" s="64" t="str">
        <f>HYPERLINK("http://www.twitter.com/JaneMKirby", "JaneMKirby")</f>
        <v>JaneMKirby</v>
      </c>
      <c r="B21959" s="65"/>
    </row>
    <row r="21960" spans="1:2" x14ac:dyDescent="0.25">
      <c r="A21960" s="64" t="str">
        <f>HYPERLINK("http://www.twitter.com/YLBookshop", "YLBookshop")</f>
        <v>YLBookshop</v>
      </c>
      <c r="B21960" s="65" t="s">
        <v>10189</v>
      </c>
    </row>
    <row r="21961" spans="1:2" x14ac:dyDescent="0.25">
      <c r="A21961" s="64" t="str">
        <f>HYPERLINK("http://www.twitter.com/bibbywoman", "bibbywoman")</f>
        <v>bibbywoman</v>
      </c>
      <c r="B21961" s="65" t="s">
        <v>10190</v>
      </c>
    </row>
    <row r="21962" spans="1:2" x14ac:dyDescent="0.25">
      <c r="A21962" s="64" t="str">
        <f>HYPERLINK("http://www.twitter.com/EHennell", "EHennell")</f>
        <v>EHennell</v>
      </c>
      <c r="B21962" s="65" t="s">
        <v>33</v>
      </c>
    </row>
    <row r="21963" spans="1:2" x14ac:dyDescent="0.25">
      <c r="A21963" s="64" t="str">
        <f>HYPERLINK("http://www.twitter.com/saharaarens", "saharaarens")</f>
        <v>saharaarens</v>
      </c>
      <c r="B21963" s="65" t="s">
        <v>10191</v>
      </c>
    </row>
    <row r="21964" spans="1:2" x14ac:dyDescent="0.25">
      <c r="A21964" s="64" t="str">
        <f>HYPERLINK("http://www.twitter.com/sarahonline_", "sarahonline_")</f>
        <v>sarahonline_</v>
      </c>
      <c r="B21964" s="65" t="s">
        <v>10192</v>
      </c>
    </row>
    <row r="21965" spans="1:2" x14ac:dyDescent="0.25">
      <c r="A21965" s="64" t="str">
        <f>HYPERLINK("http://www.twitter.com/purewestmedia", "purewestmedia")</f>
        <v>purewestmedia</v>
      </c>
      <c r="B21965" s="65" t="s">
        <v>4187</v>
      </c>
    </row>
    <row r="21966" spans="1:2" x14ac:dyDescent="0.25">
      <c r="A21966" s="64" t="str">
        <f>HYPERLINK("http://www.twitter.com/popsjohnston", "popsjohnston")</f>
        <v>popsjohnston</v>
      </c>
      <c r="B21966" s="65" t="s">
        <v>10193</v>
      </c>
    </row>
    <row r="21967" spans="1:2" x14ac:dyDescent="0.25">
      <c r="A21967" s="64" t="str">
        <f>HYPERLINK("http://www.twitter.com/h_ahartley", "h_ahartley")</f>
        <v>h_ahartley</v>
      </c>
      <c r="B21967" s="65" t="s">
        <v>10194</v>
      </c>
    </row>
    <row r="21968" spans="1:2" x14ac:dyDescent="0.25">
      <c r="A21968" s="64" t="str">
        <f>HYPERLINK("http://www.twitter.com/BonnieWildie", "BonnieWildie")</f>
        <v>BonnieWildie</v>
      </c>
      <c r="B21968" s="65"/>
    </row>
    <row r="21969" spans="1:2" x14ac:dyDescent="0.25">
      <c r="A21969" s="64" t="str">
        <f>HYPERLINK("http://www.twitter.com/annaedwardsnews", "annaedwardsnews")</f>
        <v>annaedwardsnews</v>
      </c>
      <c r="B21969" s="65" t="s">
        <v>36</v>
      </c>
    </row>
    <row r="21970" spans="1:2" x14ac:dyDescent="0.25">
      <c r="A21970" s="64" t="str">
        <f>HYPERLINK("http://www.twitter.com/sososlowly", "sososlowly")</f>
        <v>sososlowly</v>
      </c>
      <c r="B21970" s="65" t="s">
        <v>4766</v>
      </c>
    </row>
    <row r="21971" spans="1:2" x14ac:dyDescent="0.25">
      <c r="A21971" s="64" t="str">
        <f>HYPERLINK("http://www.twitter.com/tashmac91", "tashmac91")</f>
        <v>tashmac91</v>
      </c>
      <c r="B21971" s="65" t="s">
        <v>10195</v>
      </c>
    </row>
    <row r="21972" spans="1:2" x14ac:dyDescent="0.25">
      <c r="A21972" s="64" t="str">
        <f>HYPERLINK("http://www.twitter.com/TheVicarAgain", "TheVicarAgain")</f>
        <v>TheVicarAgain</v>
      </c>
      <c r="B21972" s="65" t="s">
        <v>1885</v>
      </c>
    </row>
    <row r="21973" spans="1:2" x14ac:dyDescent="0.25">
      <c r="A21973" s="64" t="str">
        <f>HYPERLINK("http://www.twitter.com/GailMacleod", "GailMacleod")</f>
        <v>GailMacleod</v>
      </c>
      <c r="B21973" s="65" t="s">
        <v>36</v>
      </c>
    </row>
    <row r="21974" spans="1:2" x14ac:dyDescent="0.25">
      <c r="A21974" s="64" t="str">
        <f>HYPERLINK("http://www.twitter.com/Gilly_Pom", "Gilly_Pom")</f>
        <v>Gilly_Pom</v>
      </c>
      <c r="B21974" s="65"/>
    </row>
    <row r="21975" spans="1:2" x14ac:dyDescent="0.25">
      <c r="A21975" s="64" t="str">
        <f>HYPERLINK("http://www.twitter.com/gardenballs", "gardenballs")</f>
        <v>gardenballs</v>
      </c>
      <c r="B21975" s="65" t="s">
        <v>369</v>
      </c>
    </row>
    <row r="21976" spans="1:2" x14ac:dyDescent="0.25">
      <c r="A21976" s="64" t="str">
        <f>HYPERLINK("http://www.twitter.com/KTNap", "KTNap")</f>
        <v>KTNap</v>
      </c>
      <c r="B21976" s="65"/>
    </row>
    <row r="21977" spans="1:2" x14ac:dyDescent="0.25">
      <c r="A21977" s="64" t="str">
        <f>HYPERLINK("http://www.twitter.com/mexicoseventy", "mexicoseventy")</f>
        <v>mexicoseventy</v>
      </c>
      <c r="B21977" s="65"/>
    </row>
    <row r="21978" spans="1:2" x14ac:dyDescent="0.25">
      <c r="A21978" s="64" t="str">
        <f>HYPERLINK("http://www.twitter.com/LMunnoch", "LMunnoch")</f>
        <v>LMunnoch</v>
      </c>
      <c r="B21978" s="65" t="s">
        <v>10196</v>
      </c>
    </row>
    <row r="21979" spans="1:2" x14ac:dyDescent="0.25">
      <c r="A21979" s="64" t="str">
        <f>HYPERLINK("http://www.twitter.com/Alimoooo", "Alimoooo")</f>
        <v>Alimoooo</v>
      </c>
      <c r="B21979" s="65" t="s">
        <v>5702</v>
      </c>
    </row>
    <row r="21980" spans="1:2" x14ac:dyDescent="0.25">
      <c r="A21980" s="64" t="str">
        <f>HYPERLINK("http://www.twitter.com/groatbags", "groatbags")</f>
        <v>groatbags</v>
      </c>
      <c r="B21980" s="65"/>
    </row>
    <row r="21981" spans="1:2" x14ac:dyDescent="0.25">
      <c r="A21981" s="64" t="str">
        <f>HYPERLINK("http://www.twitter.com/LizNetherway", "LizNetherway")</f>
        <v>LizNetherway</v>
      </c>
      <c r="B21981" s="65" t="s">
        <v>10197</v>
      </c>
    </row>
    <row r="21982" spans="1:2" x14ac:dyDescent="0.25">
      <c r="A21982" s="64" t="str">
        <f>HYPERLINK("http://www.twitter.com/RevJaney", "RevJaney")</f>
        <v>RevJaney</v>
      </c>
      <c r="B21982" s="65"/>
    </row>
    <row r="21983" spans="1:2" x14ac:dyDescent="0.25">
      <c r="A21983" s="64" t="str">
        <f>HYPERLINK("http://www.twitter.com/kelli_pollard", "kelli_pollard")</f>
        <v>kelli_pollard</v>
      </c>
      <c r="B21983" s="65" t="s">
        <v>3660</v>
      </c>
    </row>
    <row r="21984" spans="1:2" x14ac:dyDescent="0.25">
      <c r="A21984" s="64" t="str">
        <f>HYPERLINK("http://www.twitter.com/eleanortingle", "eleanortingle")</f>
        <v>eleanortingle</v>
      </c>
      <c r="B21984" s="65"/>
    </row>
    <row r="21985" spans="1:2" x14ac:dyDescent="0.25">
      <c r="A21985" s="64" t="str">
        <f>HYPERLINK("http://www.twitter.com/Blincb", "Blincb")</f>
        <v>Blincb</v>
      </c>
      <c r="B21985" s="65" t="s">
        <v>526</v>
      </c>
    </row>
    <row r="21986" spans="1:2" x14ac:dyDescent="0.25">
      <c r="A21986" s="64" t="str">
        <f>HYPERLINK("http://www.twitter.com/anglicanmenorca", "anglicanmenorca")</f>
        <v>anglicanmenorca</v>
      </c>
      <c r="B21986" s="65" t="s">
        <v>10198</v>
      </c>
    </row>
    <row r="21987" spans="1:2" x14ac:dyDescent="0.25">
      <c r="A21987" s="64" t="str">
        <f>HYPERLINK("http://www.twitter.com/mathshysteria", "mathshysteria")</f>
        <v>mathshysteria</v>
      </c>
      <c r="B21987" s="65" t="s">
        <v>3660</v>
      </c>
    </row>
    <row r="21988" spans="1:2" x14ac:dyDescent="0.25">
      <c r="A21988" s="64" t="str">
        <f>HYPERLINK("http://www.twitter.com/SuzeApplePips", "SuzeApplePips")</f>
        <v>SuzeApplePips</v>
      </c>
      <c r="B21988" s="65" t="s">
        <v>36</v>
      </c>
    </row>
    <row r="21989" spans="1:2" x14ac:dyDescent="0.25">
      <c r="A21989" s="64" t="str">
        <f>HYPERLINK("http://www.twitter.com/JoDawson72", "JoDawson72")</f>
        <v>JoDawson72</v>
      </c>
      <c r="B21989" s="65" t="s">
        <v>10199</v>
      </c>
    </row>
    <row r="21990" spans="1:2" x14ac:dyDescent="0.25">
      <c r="A21990" s="64" t="str">
        <f>HYPERLINK("http://www.twitter.com/AnnabelCopeman", "AnnabelCopeman")</f>
        <v>AnnabelCopeman</v>
      </c>
      <c r="B21990" s="65"/>
    </row>
    <row r="21991" spans="1:2" x14ac:dyDescent="0.25">
      <c r="A21991" s="64" t="str">
        <f>HYPERLINK("http://www.twitter.com/glossycat2442", "glossycat2442")</f>
        <v>glossycat2442</v>
      </c>
      <c r="B21991" s="65"/>
    </row>
    <row r="21992" spans="1:2" x14ac:dyDescent="0.25">
      <c r="A21992" s="64" t="str">
        <f>HYPERLINK("http://www.twitter.com/LynnMcNeill", "LynnMcNeill")</f>
        <v>LynnMcNeill</v>
      </c>
      <c r="B21992" s="65"/>
    </row>
    <row r="21993" spans="1:2" x14ac:dyDescent="0.25">
      <c r="A21993" s="64" t="str">
        <f>HYPERLINK("http://www.twitter.com/SGJupp", "SGJupp")</f>
        <v>SGJupp</v>
      </c>
      <c r="B21993" s="65" t="s">
        <v>10200</v>
      </c>
    </row>
    <row r="21994" spans="1:2" x14ac:dyDescent="0.25">
      <c r="A21994" s="64" t="str">
        <f>HYPERLINK("http://www.twitter.com/HelenWillan", "HelenWillan")</f>
        <v>HelenWillan</v>
      </c>
      <c r="B21994" s="65"/>
    </row>
    <row r="21995" spans="1:2" x14ac:dyDescent="0.25">
      <c r="A21995" s="64" t="str">
        <f>HYPERLINK("http://www.twitter.com/tiscooperwoman", "tiscooperwoman")</f>
        <v>tiscooperwoman</v>
      </c>
      <c r="B21995" s="65" t="s">
        <v>10201</v>
      </c>
    </row>
    <row r="21996" spans="1:2" x14ac:dyDescent="0.25">
      <c r="A21996" s="64" t="str">
        <f>HYPERLINK("http://www.twitter.com/TerryiStanley", "TerryiStanley")</f>
        <v>TerryiStanley</v>
      </c>
      <c r="B21996" s="65" t="s">
        <v>10202</v>
      </c>
    </row>
    <row r="21997" spans="1:2" x14ac:dyDescent="0.25">
      <c r="A21997" s="64" t="str">
        <f>HYPERLINK("http://www.twitter.com/SoniaBelfield", "SoniaBelfield")</f>
        <v>SoniaBelfield</v>
      </c>
      <c r="B21997" s="65" t="s">
        <v>7977</v>
      </c>
    </row>
    <row r="21998" spans="1:2" x14ac:dyDescent="0.25">
      <c r="A21998" s="64" t="str">
        <f>HYPERLINK("http://www.twitter.com/m_malpractice", "m_malpractice")</f>
        <v>m_malpractice</v>
      </c>
      <c r="B21998" s="65" t="s">
        <v>9169</v>
      </c>
    </row>
    <row r="21999" spans="1:2" x14ac:dyDescent="0.25">
      <c r="A21999" s="64" t="str">
        <f>HYPERLINK("http://www.twitter.com/JuneRTes", "JuneRTes")</f>
        <v>JuneRTes</v>
      </c>
      <c r="B21999" s="65" t="s">
        <v>4117</v>
      </c>
    </row>
    <row r="22000" spans="1:2" x14ac:dyDescent="0.25">
      <c r="A22000" s="64" t="str">
        <f>HYPERLINK("http://www.twitter.com/SinclairDr", "SinclairDr")</f>
        <v>SinclairDr</v>
      </c>
      <c r="B22000" s="65"/>
    </row>
    <row r="22001" spans="1:2" x14ac:dyDescent="0.25">
      <c r="A22001" s="64" t="str">
        <f>HYPERLINK("http://www.twitter.com/AndoverGS", "AndoverGS")</f>
        <v>AndoverGS</v>
      </c>
      <c r="B22001" s="65" t="s">
        <v>10203</v>
      </c>
    </row>
    <row r="22002" spans="1:2" x14ac:dyDescent="0.25">
      <c r="A22002" s="64" t="str">
        <f>HYPERLINK("http://www.twitter.com/yrosered", "yrosered")</f>
        <v>yrosered</v>
      </c>
      <c r="B22002" s="65"/>
    </row>
    <row r="22003" spans="1:2" x14ac:dyDescent="0.25">
      <c r="A22003" s="64" t="str">
        <f>HYPERLINK("http://www.twitter.com/PigeonGod", "PigeonGod")</f>
        <v>PigeonGod</v>
      </c>
      <c r="B22003" s="65" t="s">
        <v>10204</v>
      </c>
    </row>
    <row r="22004" spans="1:2" x14ac:dyDescent="0.25">
      <c r="A22004" s="64" t="str">
        <f>HYPERLINK("http://www.twitter.com/RachaelEgan1", "RachaelEgan1")</f>
        <v>RachaelEgan1</v>
      </c>
      <c r="B22004" s="65"/>
    </row>
    <row r="22005" spans="1:2" x14ac:dyDescent="0.25">
      <c r="A22005" s="64" t="str">
        <f>HYPERLINK("http://www.twitter.com/safcgreen", "safcgreen")</f>
        <v>safcgreen</v>
      </c>
      <c r="B22005" s="65" t="s">
        <v>10205</v>
      </c>
    </row>
    <row r="22006" spans="1:2" x14ac:dyDescent="0.25">
      <c r="A22006" s="64" t="str">
        <f>HYPERLINK("http://www.twitter.com/LizLib", "LizLib")</f>
        <v>LizLib</v>
      </c>
      <c r="B22006" s="65"/>
    </row>
    <row r="22007" spans="1:2" x14ac:dyDescent="0.25">
      <c r="A22007" s="64" t="str">
        <f>HYPERLINK("http://www.twitter.com/darkladyfiona74", "darkladyfiona74")</f>
        <v>darkladyfiona74</v>
      </c>
      <c r="B22007" s="65" t="s">
        <v>33</v>
      </c>
    </row>
    <row r="22008" spans="1:2" x14ac:dyDescent="0.25">
      <c r="A22008" s="64" t="str">
        <f>HYPERLINK("http://www.twitter.com/LauraWise5", "LauraWise5")</f>
        <v>LauraWise5</v>
      </c>
      <c r="B22008" s="65" t="s">
        <v>10206</v>
      </c>
    </row>
    <row r="22009" spans="1:2" x14ac:dyDescent="0.25">
      <c r="A22009" s="64" t="str">
        <f>HYPERLINK("http://www.twitter.com/flatnadreich7", "flatnadreich7")</f>
        <v>flatnadreich7</v>
      </c>
      <c r="B22009" s="65" t="s">
        <v>10207</v>
      </c>
    </row>
    <row r="22010" spans="1:2" x14ac:dyDescent="0.25">
      <c r="A22010" s="64" t="str">
        <f>HYPERLINK("http://www.twitter.com/gretairving", "gretairving")</f>
        <v>gretairving</v>
      </c>
      <c r="B22010" s="65" t="s">
        <v>1532</v>
      </c>
    </row>
    <row r="22011" spans="1:2" x14ac:dyDescent="0.25">
      <c r="A22011" s="64" t="str">
        <f>HYPERLINK("http://www.twitter.com/CaseyBird", "CaseyBird")</f>
        <v>CaseyBird</v>
      </c>
      <c r="B22011" s="65"/>
    </row>
    <row r="22012" spans="1:2" x14ac:dyDescent="0.25">
      <c r="A22012" s="64" t="str">
        <f>HYPERLINK("http://www.twitter.com/MarkITurner", "MarkITurner")</f>
        <v>MarkITurner</v>
      </c>
      <c r="B22012" s="65" t="s">
        <v>10208</v>
      </c>
    </row>
    <row r="22013" spans="1:2" x14ac:dyDescent="0.25">
      <c r="A22013" s="64" t="str">
        <f>HYPERLINK("http://www.twitter.com/zeldafoxburr", "zeldafoxburr")</f>
        <v>zeldafoxburr</v>
      </c>
      <c r="B22013" s="65"/>
    </row>
    <row r="22014" spans="1:2" x14ac:dyDescent="0.25">
      <c r="A22014" s="64" t="str">
        <f>HYPERLINK("http://www.twitter.com/Ginnywoos", "Ginnywoos")</f>
        <v>Ginnywoos</v>
      </c>
      <c r="B22014" s="65"/>
    </row>
    <row r="22015" spans="1:2" x14ac:dyDescent="0.25">
      <c r="A22015" s="64" t="str">
        <f>HYPERLINK("http://www.twitter.com/tmaait", "tmaait")</f>
        <v>tmaait</v>
      </c>
      <c r="B22015" s="65"/>
    </row>
    <row r="22016" spans="1:2" x14ac:dyDescent="0.25">
      <c r="A22016" s="64" t="str">
        <f>HYPERLINK("http://www.twitter.com/ShuttersLetters", "ShuttersLetters")</f>
        <v>ShuttersLetters</v>
      </c>
      <c r="B22016" s="65" t="s">
        <v>2270</v>
      </c>
    </row>
    <row r="22017" spans="1:2" x14ac:dyDescent="0.25">
      <c r="A22017" s="64" t="str">
        <f>HYPERLINK("http://www.twitter.com/Arleta1", "Arleta1")</f>
        <v>Arleta1</v>
      </c>
      <c r="B22017" s="65" t="s">
        <v>6334</v>
      </c>
    </row>
    <row r="22018" spans="1:2" x14ac:dyDescent="0.25">
      <c r="A22018" s="64" t="str">
        <f>HYPERLINK("http://www.twitter.com/tripletrouble95", "tripletrouble95")</f>
        <v>tripletrouble95</v>
      </c>
      <c r="B22018" s="65"/>
    </row>
    <row r="22019" spans="1:2" x14ac:dyDescent="0.25">
      <c r="A22019" s="64" t="str">
        <f>HYPERLINK("http://www.twitter.com/tommoridley", "tommoridley")</f>
        <v>tommoridley</v>
      </c>
      <c r="B22019" s="65"/>
    </row>
    <row r="22020" spans="1:2" x14ac:dyDescent="0.25">
      <c r="A22020" s="64" t="str">
        <f>HYPERLINK("http://www.twitter.com/helenwalton58", "helenwalton58")</f>
        <v>helenwalton58</v>
      </c>
      <c r="B22020" s="65" t="s">
        <v>10209</v>
      </c>
    </row>
    <row r="22021" spans="1:2" x14ac:dyDescent="0.25">
      <c r="A22021" s="64" t="str">
        <f>HYPERLINK("http://www.twitter.com/smlomax", "smlomax")</f>
        <v>smlomax</v>
      </c>
      <c r="B22021" s="65" t="s">
        <v>10210</v>
      </c>
    </row>
    <row r="22022" spans="1:2" x14ac:dyDescent="0.25">
      <c r="A22022" s="64" t="str">
        <f>HYPERLINK("http://www.twitter.com/Judithacork", "Judithacork")</f>
        <v>Judithacork</v>
      </c>
      <c r="B22022" s="65"/>
    </row>
    <row r="22023" spans="1:2" x14ac:dyDescent="0.25">
      <c r="A22023" s="64" t="str">
        <f>HYPERLINK("http://www.twitter.com/realemmaevans", "realemmaevans")</f>
        <v>realemmaevans</v>
      </c>
      <c r="B22023" s="65"/>
    </row>
    <row r="22024" spans="1:2" x14ac:dyDescent="0.25">
      <c r="A22024" s="64" t="str">
        <f>HYPERLINK("http://www.twitter.com/terrycarruk", "terrycarruk")</f>
        <v>terrycarruk</v>
      </c>
      <c r="B22024" s="65" t="s">
        <v>296</v>
      </c>
    </row>
    <row r="22025" spans="1:2" x14ac:dyDescent="0.25">
      <c r="A22025" s="64" t="str">
        <f>HYPERLINK("http://www.twitter.com/shiny_kit", "shiny_kit")</f>
        <v>shiny_kit</v>
      </c>
      <c r="B22025" s="65" t="s">
        <v>857</v>
      </c>
    </row>
    <row r="22026" spans="1:2" x14ac:dyDescent="0.25">
      <c r="A22026" s="64" t="str">
        <f>HYPERLINK("http://www.twitter.com/mcible59", "mcible59")</f>
        <v>mcible59</v>
      </c>
      <c r="B22026" s="65"/>
    </row>
    <row r="22027" spans="1:2" x14ac:dyDescent="0.25">
      <c r="A22027" s="64" t="str">
        <f>HYPERLINK("http://www.twitter.com/weeweegie", "weeweegie")</f>
        <v>weeweegie</v>
      </c>
      <c r="B22027" s="65"/>
    </row>
    <row r="22028" spans="1:2" x14ac:dyDescent="0.25">
      <c r="A22028" s="64" t="str">
        <f>HYPERLINK("http://www.twitter.com/waycoolgardens", "waycoolgardens")</f>
        <v>waycoolgardens</v>
      </c>
      <c r="B22028" s="65"/>
    </row>
    <row r="22029" spans="1:2" x14ac:dyDescent="0.25">
      <c r="A22029" s="64" t="str">
        <f>HYPERLINK("http://www.twitter.com/doodoolee", "doodoolee")</f>
        <v>doodoolee</v>
      </c>
      <c r="B22029" s="65" t="s">
        <v>10211</v>
      </c>
    </row>
    <row r="22030" spans="1:2" x14ac:dyDescent="0.25">
      <c r="A22030" s="64" t="str">
        <f>HYPERLINK("http://www.twitter.com/kategas1973", "kategas1973")</f>
        <v>kategas1973</v>
      </c>
      <c r="B22030" s="65"/>
    </row>
    <row r="22031" spans="1:2" x14ac:dyDescent="0.25">
      <c r="A22031" s="64" t="str">
        <f>HYPERLINK("http://www.twitter.com/TAH64", "TAH64")</f>
        <v>TAH64</v>
      </c>
      <c r="B22031" s="65"/>
    </row>
    <row r="22032" spans="1:2" x14ac:dyDescent="0.25">
      <c r="A22032" s="64" t="str">
        <f>HYPERLINK("http://www.twitter.com/Wilouuuuuuu", "Wilouuuuuuu")</f>
        <v>Wilouuuuuuu</v>
      </c>
      <c r="B22032" s="65" t="s">
        <v>10212</v>
      </c>
    </row>
    <row r="22033" spans="1:2" x14ac:dyDescent="0.25">
      <c r="A22033" s="64" t="str">
        <f>HYPERLINK("http://www.twitter.com/bandgeek91", "bandgeek91")</f>
        <v>bandgeek91</v>
      </c>
      <c r="B22033" s="65" t="s">
        <v>1739</v>
      </c>
    </row>
    <row r="22034" spans="1:2" x14ac:dyDescent="0.25">
      <c r="A22034" s="64" t="str">
        <f>HYPERLINK("http://www.twitter.com/boobaaloulabell", "boobaaloulabell")</f>
        <v>boobaaloulabell</v>
      </c>
      <c r="B22034" s="65" t="s">
        <v>7105</v>
      </c>
    </row>
    <row r="22035" spans="1:2" x14ac:dyDescent="0.25">
      <c r="A22035" s="64" t="str">
        <f>HYPERLINK("http://www.twitter.com/constantruth", "constantruth")</f>
        <v>constantruth</v>
      </c>
      <c r="B22035" s="65" t="s">
        <v>5366</v>
      </c>
    </row>
    <row r="22036" spans="1:2" x14ac:dyDescent="0.25">
      <c r="A22036" s="64" t="str">
        <f>HYPERLINK("http://www.twitter.com/smpeter", "smpeter")</f>
        <v>smpeter</v>
      </c>
      <c r="B22036" s="65"/>
    </row>
    <row r="22037" spans="1:2" x14ac:dyDescent="0.25">
      <c r="A22037" s="64" t="str">
        <f>HYPERLINK("http://www.twitter.com/infoexplora", "infoexplora")</f>
        <v>infoexplora</v>
      </c>
      <c r="B22037" s="65" t="s">
        <v>8699</v>
      </c>
    </row>
    <row r="22038" spans="1:2" x14ac:dyDescent="0.25">
      <c r="A22038" s="64" t="str">
        <f>HYPERLINK("http://www.twitter.com/rosyprue", "rosyprue")</f>
        <v>rosyprue</v>
      </c>
      <c r="B22038" s="65" t="s">
        <v>10213</v>
      </c>
    </row>
    <row r="22039" spans="1:2" x14ac:dyDescent="0.25">
      <c r="A22039" s="64" t="str">
        <f>HYPERLINK("http://www.twitter.com/beccyship", "beccyship")</f>
        <v>beccyship</v>
      </c>
      <c r="B22039" s="65"/>
    </row>
    <row r="22040" spans="1:2" x14ac:dyDescent="0.25">
      <c r="A22040" s="64" t="str">
        <f>HYPERLINK("http://www.twitter.com/RebeccaCourt_33", "RebeccaCourt_33")</f>
        <v>RebeccaCourt_33</v>
      </c>
      <c r="B22040" s="65" t="s">
        <v>5058</v>
      </c>
    </row>
    <row r="22041" spans="1:2" x14ac:dyDescent="0.25">
      <c r="A22041" s="64" t="str">
        <f>HYPERLINK("http://www.twitter.com/d0dgy", "d0dgy")</f>
        <v>d0dgy</v>
      </c>
      <c r="B22041" s="65" t="s">
        <v>10214</v>
      </c>
    </row>
    <row r="22042" spans="1:2" x14ac:dyDescent="0.25">
      <c r="A22042" s="64" t="str">
        <f>HYPERLINK("http://www.twitter.com/ClaireLawrie", "ClaireLawrie")</f>
        <v>ClaireLawrie</v>
      </c>
      <c r="B22042" s="65"/>
    </row>
    <row r="22043" spans="1:2" x14ac:dyDescent="0.25">
      <c r="A22043" s="64" t="str">
        <f>HYPERLINK("http://www.twitter.com/448325", "448325")</f>
        <v>448325</v>
      </c>
      <c r="B22043" s="65" t="s">
        <v>10215</v>
      </c>
    </row>
    <row r="22044" spans="1:2" x14ac:dyDescent="0.25">
      <c r="A22044" s="64" t="str">
        <f>HYPERLINK("http://www.twitter.com/purplepumpkin22", "purplepumpkin22")</f>
        <v>purplepumpkin22</v>
      </c>
      <c r="B22044" s="65"/>
    </row>
    <row r="22045" spans="1:2" x14ac:dyDescent="0.25">
      <c r="A22045" s="64" t="str">
        <f>HYPERLINK("http://www.twitter.com/murrayrosie", "murrayrosie")</f>
        <v>murrayrosie</v>
      </c>
      <c r="B22045" s="65"/>
    </row>
    <row r="22046" spans="1:2" x14ac:dyDescent="0.25">
      <c r="A22046" s="64" t="str">
        <f>HYPERLINK("http://www.twitter.com/kirstiewiseman1", "kirstiewiseman1")</f>
        <v>kirstiewiseman1</v>
      </c>
      <c r="B22046" s="65"/>
    </row>
    <row r="22047" spans="1:2" x14ac:dyDescent="0.25">
      <c r="A22047" s="64" t="str">
        <f>HYPERLINK("http://www.twitter.com/Julidy1_FLO", "Julidy1_FLO")</f>
        <v>Julidy1_FLO</v>
      </c>
      <c r="B22047" s="65" t="s">
        <v>20</v>
      </c>
    </row>
    <row r="22048" spans="1:2" x14ac:dyDescent="0.25">
      <c r="A22048" s="64" t="str">
        <f>HYPERLINK("http://www.twitter.com/MagsArnold", "MagsArnold")</f>
        <v>MagsArnold</v>
      </c>
      <c r="B22048" s="65"/>
    </row>
    <row r="22049" spans="1:2" x14ac:dyDescent="0.25">
      <c r="A22049" s="64" t="str">
        <f>HYPERLINK("http://www.twitter.com/emmawhite110812", "emmawhite110812")</f>
        <v>emmawhite110812</v>
      </c>
      <c r="B22049" s="65"/>
    </row>
    <row r="22050" spans="1:2" x14ac:dyDescent="0.25">
      <c r="A22050" s="64" t="str">
        <f>HYPERLINK("http://www.twitter.com/fionamach", "fionamach")</f>
        <v>fionamach</v>
      </c>
      <c r="B22050" s="65"/>
    </row>
    <row r="22051" spans="1:2" x14ac:dyDescent="0.25">
      <c r="A22051" s="64" t="str">
        <f>HYPERLINK("http://www.twitter.com/edotgray", "edotgray")</f>
        <v>edotgray</v>
      </c>
      <c r="B22051" s="65" t="s">
        <v>10216</v>
      </c>
    </row>
    <row r="22052" spans="1:2" x14ac:dyDescent="0.25">
      <c r="A22052" s="64" t="str">
        <f>HYPERLINK("http://www.twitter.com/anthonyjcherry", "anthonyjcherry")</f>
        <v>anthonyjcherry</v>
      </c>
      <c r="B22052" s="65" t="s">
        <v>10217</v>
      </c>
    </row>
    <row r="22053" spans="1:2" x14ac:dyDescent="0.25">
      <c r="A22053" s="64" t="str">
        <f>HYPERLINK("http://www.twitter.com/treaclescone", "treaclescone")</f>
        <v>treaclescone</v>
      </c>
      <c r="B22053" s="65" t="s">
        <v>517</v>
      </c>
    </row>
    <row r="22054" spans="1:2" x14ac:dyDescent="0.25">
      <c r="A22054" s="64" t="str">
        <f>HYPERLINK("http://www.twitter.com/Carlos_delMambo", "Carlos_delMambo")</f>
        <v>Carlos_delMambo</v>
      </c>
      <c r="B22054" s="65"/>
    </row>
    <row r="22055" spans="1:2" x14ac:dyDescent="0.25">
      <c r="A22055" s="64" t="str">
        <f>HYPERLINK("http://www.twitter.com/RachelGardnerRA", "RachelGardnerRA")</f>
        <v>RachelGardnerRA</v>
      </c>
      <c r="B22055" s="65" t="s">
        <v>36</v>
      </c>
    </row>
    <row r="22056" spans="1:2" x14ac:dyDescent="0.25">
      <c r="A22056" s="64" t="str">
        <f>HYPERLINK("http://www.twitter.com/Cocoa_In_Soho", "Cocoa_In_Soho")</f>
        <v>Cocoa_In_Soho</v>
      </c>
      <c r="B22056" s="65" t="s">
        <v>296</v>
      </c>
    </row>
    <row r="22057" spans="1:2" x14ac:dyDescent="0.25">
      <c r="A22057" s="64" t="str">
        <f>HYPERLINK("http://www.twitter.com/bobsmum1404", "bobsmum1404")</f>
        <v>bobsmum1404</v>
      </c>
      <c r="B22057" s="65"/>
    </row>
    <row r="22058" spans="1:2" x14ac:dyDescent="0.25">
      <c r="A22058" s="64" t="str">
        <f>HYPERLINK("http://www.twitter.com/turbrech", "turbrech")</f>
        <v>turbrech</v>
      </c>
      <c r="B22058" s="65" t="s">
        <v>4049</v>
      </c>
    </row>
    <row r="22059" spans="1:2" x14ac:dyDescent="0.25">
      <c r="A22059" s="64" t="str">
        <f>HYPERLINK("http://www.twitter.com/TaniaJBerry", "TaniaJBerry")</f>
        <v>TaniaJBerry</v>
      </c>
      <c r="B22059" s="65" t="s">
        <v>10218</v>
      </c>
    </row>
    <row r="22060" spans="1:2" x14ac:dyDescent="0.25">
      <c r="A22060" s="64" t="str">
        <f>HYPERLINK("http://www.twitter.com/Rachwebbo", "Rachwebbo")</f>
        <v>Rachwebbo</v>
      </c>
      <c r="B22060" s="65"/>
    </row>
    <row r="22061" spans="1:2" x14ac:dyDescent="0.25">
      <c r="A22061" s="64" t="str">
        <f>HYPERLINK("http://www.twitter.com/juliegotheridge", "juliegotheridge")</f>
        <v>juliegotheridge</v>
      </c>
      <c r="B22061" s="65" t="s">
        <v>4111</v>
      </c>
    </row>
    <row r="22062" spans="1:2" x14ac:dyDescent="0.25">
      <c r="A22062" s="64" t="str">
        <f>HYPERLINK("http://www.twitter.com/pilgrimexplorer", "pilgrimexplorer")</f>
        <v>pilgrimexplorer</v>
      </c>
      <c r="B22062" s="65" t="s">
        <v>8204</v>
      </c>
    </row>
    <row r="22063" spans="1:2" x14ac:dyDescent="0.25">
      <c r="A22063" s="64" t="str">
        <f>HYPERLINK("http://www.twitter.com/MarkoSmyth", "MarkoSmyth")</f>
        <v>MarkoSmyth</v>
      </c>
      <c r="B22063" s="65"/>
    </row>
    <row r="22064" spans="1:2" x14ac:dyDescent="0.25">
      <c r="A22064" s="64" t="str">
        <f>HYPERLINK("http://www.twitter.com/cdseifert", "cdseifert")</f>
        <v>cdseifert</v>
      </c>
      <c r="B22064" s="65"/>
    </row>
    <row r="22065" spans="1:2" x14ac:dyDescent="0.25">
      <c r="A22065" s="64" t="str">
        <f>HYPERLINK("http://www.twitter.com/SmithSister", "SmithSister")</f>
        <v>SmithSister</v>
      </c>
      <c r="B22065" s="65"/>
    </row>
    <row r="22066" spans="1:2" x14ac:dyDescent="0.25">
      <c r="A22066" s="64" t="str">
        <f>HYPERLINK("http://www.twitter.com/jhreed17", "jhreed17")</f>
        <v>jhreed17</v>
      </c>
      <c r="B22066" s="65"/>
    </row>
    <row r="22067" spans="1:2" x14ac:dyDescent="0.25">
      <c r="A22067" s="64" t="str">
        <f>HYPERLINK("http://www.twitter.com/nikvitko", "nikvitko")</f>
        <v>nikvitko</v>
      </c>
      <c r="B22067" s="65"/>
    </row>
    <row r="22068" spans="1:2" x14ac:dyDescent="0.25">
      <c r="A22068" s="64" t="str">
        <f>HYPERLINK("http://www.twitter.com/rettiwt218", "rettiwt218")</f>
        <v>rettiwt218</v>
      </c>
      <c r="B22068" s="65"/>
    </row>
    <row r="22069" spans="1:2" x14ac:dyDescent="0.25">
      <c r="A22069" s="64" t="str">
        <f>HYPERLINK("http://www.twitter.com/mascara_face", "mascara_face")</f>
        <v>mascara_face</v>
      </c>
      <c r="B22069" s="65"/>
    </row>
    <row r="22070" spans="1:2" x14ac:dyDescent="0.25">
      <c r="A22070" s="64" t="str">
        <f>HYPERLINK("http://www.twitter.com/Dougie_Pollok", "Dougie_Pollok")</f>
        <v>Dougie_Pollok</v>
      </c>
      <c r="B22070" s="65" t="s">
        <v>4231</v>
      </c>
    </row>
    <row r="22071" spans="1:2" x14ac:dyDescent="0.25">
      <c r="A22071" s="64" t="str">
        <f>HYPERLINK("http://www.twitter.com/MannyMeow", "MannyMeow")</f>
        <v>MannyMeow</v>
      </c>
      <c r="B22071" s="65"/>
    </row>
    <row r="22072" spans="1:2" x14ac:dyDescent="0.25">
      <c r="A22072" s="64" t="str">
        <f>HYPERLINK("http://www.twitter.com/sparklyhorse", "sparklyhorse")</f>
        <v>sparklyhorse</v>
      </c>
      <c r="B22072" s="65" t="s">
        <v>36</v>
      </c>
    </row>
    <row r="22073" spans="1:2" x14ac:dyDescent="0.25">
      <c r="A22073" s="64" t="str">
        <f>HYPERLINK("http://www.twitter.com/LordTrifle", "LordTrifle")</f>
        <v>LordTrifle</v>
      </c>
      <c r="B22073" s="65" t="s">
        <v>10219</v>
      </c>
    </row>
    <row r="22074" spans="1:2" x14ac:dyDescent="0.25">
      <c r="A22074" s="64" t="str">
        <f>HYPERLINK("http://www.twitter.com/cabgirl72", "cabgirl72")</f>
        <v>cabgirl72</v>
      </c>
      <c r="B22074" s="65" t="s">
        <v>10220</v>
      </c>
    </row>
    <row r="22075" spans="1:2" x14ac:dyDescent="0.25">
      <c r="A22075" s="64" t="str">
        <f>HYPERLINK("http://www.twitter.com/1RooBear", "1RooBear")</f>
        <v>1RooBear</v>
      </c>
      <c r="B22075" s="65"/>
    </row>
    <row r="22076" spans="1:2" x14ac:dyDescent="0.25">
      <c r="A22076" s="64" t="str">
        <f>HYPERLINK("http://www.twitter.com/DinnyDumDrops", "DinnyDumDrops")</f>
        <v>DinnyDumDrops</v>
      </c>
      <c r="B22076" s="65"/>
    </row>
    <row r="22077" spans="1:2" x14ac:dyDescent="0.25">
      <c r="A22077" s="64" t="str">
        <f>HYPERLINK("http://www.twitter.com/Watty1967", "Watty1967")</f>
        <v>Watty1967</v>
      </c>
      <c r="B22077" s="65"/>
    </row>
    <row r="22078" spans="1:2" x14ac:dyDescent="0.25">
      <c r="A22078" s="64" t="str">
        <f>HYPERLINK("http://www.twitter.com/taunton39", "taunton39")</f>
        <v>taunton39</v>
      </c>
      <c r="B22078" s="65" t="s">
        <v>10221</v>
      </c>
    </row>
    <row r="22079" spans="1:2" x14ac:dyDescent="0.25">
      <c r="A22079" s="64" t="str">
        <f>HYPERLINK("http://www.twitter.com/Skaro7", "Skaro7")</f>
        <v>Skaro7</v>
      </c>
      <c r="B22079" s="65" t="s">
        <v>315</v>
      </c>
    </row>
    <row r="22080" spans="1:2" x14ac:dyDescent="0.25">
      <c r="A22080" s="64" t="str">
        <f>HYPERLINK("http://www.twitter.com/MarieAshby", "MarieAshby")</f>
        <v>MarieAshby</v>
      </c>
      <c r="B22080" s="65" t="s">
        <v>1876</v>
      </c>
    </row>
    <row r="22081" spans="1:2" x14ac:dyDescent="0.25">
      <c r="A22081" s="64" t="str">
        <f>HYPERLINK("http://www.twitter.com/teachercat", "teachercat")</f>
        <v>teachercat</v>
      </c>
      <c r="B22081" s="65" t="s">
        <v>96</v>
      </c>
    </row>
    <row r="22082" spans="1:2" x14ac:dyDescent="0.25">
      <c r="A22082" s="64" t="str">
        <f>HYPERLINK("http://www.twitter.com/martingorman7", "martingorman7")</f>
        <v>martingorman7</v>
      </c>
      <c r="B22082" s="65" t="s">
        <v>517</v>
      </c>
    </row>
    <row r="22083" spans="1:2" x14ac:dyDescent="0.25">
      <c r="A22083" s="64" t="str">
        <f>HYPERLINK("http://www.twitter.com/MoosecowMoore", "MoosecowMoore")</f>
        <v>MoosecowMoore</v>
      </c>
      <c r="B22083" s="65"/>
    </row>
    <row r="22084" spans="1:2" x14ac:dyDescent="0.25">
      <c r="A22084" s="64" t="str">
        <f>HYPERLINK("http://www.twitter.com/ramtopsgrum", "ramtopsgrum")</f>
        <v>ramtopsgrum</v>
      </c>
      <c r="B22084" s="65" t="s">
        <v>10222</v>
      </c>
    </row>
    <row r="22085" spans="1:2" x14ac:dyDescent="0.25">
      <c r="A22085" s="64" t="str">
        <f>HYPERLINK("http://www.twitter.com/jazemack", "jazemack")</f>
        <v>jazemack</v>
      </c>
      <c r="B22085" s="65"/>
    </row>
    <row r="22086" spans="1:2" x14ac:dyDescent="0.25">
      <c r="A22086" s="64" t="str">
        <f>HYPERLINK("http://www.twitter.com/DillyTante", "DillyTante")</f>
        <v>DillyTante</v>
      </c>
      <c r="B22086" s="65" t="s">
        <v>10223</v>
      </c>
    </row>
    <row r="22087" spans="1:2" x14ac:dyDescent="0.25">
      <c r="A22087" s="64" t="str">
        <f>HYPERLINK("http://www.twitter.com/meganmcwilliams", "meganmcwilliams")</f>
        <v>meganmcwilliams</v>
      </c>
      <c r="B22087" s="65"/>
    </row>
    <row r="22088" spans="1:2" x14ac:dyDescent="0.25">
      <c r="A22088" s="64" t="str">
        <f>HYPERLINK("http://www.twitter.com/Helen_S_Porter", "Helen_S_Porter")</f>
        <v>Helen_S_Porter</v>
      </c>
      <c r="B22088" s="65" t="s">
        <v>477</v>
      </c>
    </row>
    <row r="22089" spans="1:2" x14ac:dyDescent="0.25">
      <c r="A22089" s="64" t="str">
        <f>HYPERLINK("http://www.twitter.com/sarahejb", "sarahejb")</f>
        <v>sarahejb</v>
      </c>
      <c r="B22089" s="65" t="s">
        <v>10224</v>
      </c>
    </row>
    <row r="22090" spans="1:2" x14ac:dyDescent="0.25">
      <c r="A22090" s="64" t="str">
        <f>HYPERLINK("http://www.twitter.com/dameades", "dameades")</f>
        <v>dameades</v>
      </c>
      <c r="B22090" s="65" t="s">
        <v>5064</v>
      </c>
    </row>
    <row r="22091" spans="1:2" x14ac:dyDescent="0.25">
      <c r="A22091" s="64" t="str">
        <f>HYPERLINK("http://www.twitter.com/fishydog71", "fishydog71")</f>
        <v>fishydog71</v>
      </c>
      <c r="B22091" s="65" t="s">
        <v>10225</v>
      </c>
    </row>
    <row r="22092" spans="1:2" x14ac:dyDescent="0.25">
      <c r="A22092" s="64" t="str">
        <f>HYPERLINK("http://www.twitter.com/mrsmoneypenny1", "mrsmoneypenny1")</f>
        <v>mrsmoneypenny1</v>
      </c>
      <c r="B22092" s="65" t="s">
        <v>10226</v>
      </c>
    </row>
    <row r="22093" spans="1:2" x14ac:dyDescent="0.25">
      <c r="A22093" s="64" t="str">
        <f>HYPERLINK("http://www.twitter.com/mrammons", "mrammons")</f>
        <v>mrammons</v>
      </c>
      <c r="B22093" s="65"/>
    </row>
    <row r="22094" spans="1:2" x14ac:dyDescent="0.25">
      <c r="A22094" s="64" t="str">
        <f>HYPERLINK("http://www.twitter.com/fionawatt9", "fionawatt9")</f>
        <v>fionawatt9</v>
      </c>
      <c r="B22094" s="65"/>
    </row>
    <row r="22095" spans="1:2" x14ac:dyDescent="0.25">
      <c r="A22095" s="64" t="str">
        <f>HYPERLINK("http://www.twitter.com/rachael2302", "rachael2302")</f>
        <v>rachael2302</v>
      </c>
      <c r="B22095" s="65" t="s">
        <v>102</v>
      </c>
    </row>
    <row r="22096" spans="1:2" x14ac:dyDescent="0.25">
      <c r="A22096" s="64" t="str">
        <f>HYPERLINK("http://www.twitter.com/Smaylors", "Smaylors")</f>
        <v>Smaylors</v>
      </c>
      <c r="B22096" s="65"/>
    </row>
    <row r="22097" spans="1:2" x14ac:dyDescent="0.25">
      <c r="A22097" s="64" t="str">
        <f>HYPERLINK("http://www.twitter.com/jennymcgilvray", "jennymcgilvray")</f>
        <v>jennymcgilvray</v>
      </c>
      <c r="B22097" s="65"/>
    </row>
    <row r="22098" spans="1:2" x14ac:dyDescent="0.25">
      <c r="A22098" s="64" t="str">
        <f>HYPERLINK("http://www.twitter.com/64louise", "64louise")</f>
        <v>64louise</v>
      </c>
      <c r="B22098" s="65"/>
    </row>
    <row r="22099" spans="1:2" x14ac:dyDescent="0.25">
      <c r="A22099" s="64" t="str">
        <f>HYPERLINK("http://www.twitter.com/EdstromHelga", "EdstromHelga")</f>
        <v>EdstromHelga</v>
      </c>
      <c r="B22099" s="65" t="s">
        <v>6939</v>
      </c>
    </row>
    <row r="22100" spans="1:2" x14ac:dyDescent="0.25">
      <c r="A22100" s="64" t="str">
        <f>HYPERLINK("http://www.twitter.com/pam_ful", "pam_ful")</f>
        <v>pam_ful</v>
      </c>
      <c r="B22100" s="65" t="s">
        <v>5064</v>
      </c>
    </row>
    <row r="22101" spans="1:2" x14ac:dyDescent="0.25">
      <c r="A22101" s="64" t="str">
        <f>HYPERLINK("http://www.twitter.com/cbranney9", "cbranney9")</f>
        <v>cbranney9</v>
      </c>
      <c r="B22101" s="65"/>
    </row>
    <row r="22102" spans="1:2" x14ac:dyDescent="0.25">
      <c r="A22102" s="64" t="str">
        <f>HYPERLINK("http://www.twitter.com/maryneivens", "maryneivens")</f>
        <v>maryneivens</v>
      </c>
      <c r="B22102" s="65" t="s">
        <v>10227</v>
      </c>
    </row>
    <row r="22103" spans="1:2" x14ac:dyDescent="0.25">
      <c r="A22103" s="64" t="str">
        <f>HYPERLINK("http://www.twitter.com/Susarella", "Susarella")</f>
        <v>Susarella</v>
      </c>
      <c r="B22103" s="65" t="s">
        <v>10228</v>
      </c>
    </row>
    <row r="22104" spans="1:2" x14ac:dyDescent="0.25">
      <c r="A22104" s="64" t="str">
        <f>HYPERLINK("http://www.twitter.com/nrommum", "nrommum")</f>
        <v>nrommum</v>
      </c>
      <c r="B22104" s="65"/>
    </row>
    <row r="22105" spans="1:2" x14ac:dyDescent="0.25">
      <c r="A22105" s="64" t="str">
        <f>HYPERLINK("http://www.twitter.com/nikkisills22", "nikkisills22")</f>
        <v>nikkisills22</v>
      </c>
      <c r="B22105" s="65" t="s">
        <v>10229</v>
      </c>
    </row>
    <row r="22106" spans="1:2" x14ac:dyDescent="0.25">
      <c r="A22106" s="64" t="str">
        <f>HYPERLINK("http://www.twitter.com/Lizzyd28", "Lizzyd28")</f>
        <v>Lizzyd28</v>
      </c>
      <c r="B22106" s="65" t="s">
        <v>10230</v>
      </c>
    </row>
    <row r="22107" spans="1:2" x14ac:dyDescent="0.25">
      <c r="A22107" s="64" t="str">
        <f>HYPERLINK("http://www.twitter.com/anita_jamieson", "anita_jamieson")</f>
        <v>anita_jamieson</v>
      </c>
      <c r="B22107" s="65" t="s">
        <v>115</v>
      </c>
    </row>
    <row r="22108" spans="1:2" x14ac:dyDescent="0.25">
      <c r="A22108" s="64" t="str">
        <f>HYPERLINK("http://www.twitter.com/LucidaBright62", "LucidaBright62")</f>
        <v>LucidaBright62</v>
      </c>
      <c r="B22108" s="65" t="s">
        <v>10231</v>
      </c>
    </row>
    <row r="22109" spans="1:2" x14ac:dyDescent="0.25">
      <c r="A22109" s="64" t="str">
        <f>HYPERLINK("http://www.twitter.com/Jenna_Higham", "Jenna_Higham")</f>
        <v>Jenna_Higham</v>
      </c>
      <c r="B22109" s="65" t="s">
        <v>3682</v>
      </c>
    </row>
    <row r="22110" spans="1:2" x14ac:dyDescent="0.25">
      <c r="A22110" s="64" t="str">
        <f>HYPERLINK("http://www.twitter.com/ClarioMcB", "ClarioMcB")</f>
        <v>ClarioMcB</v>
      </c>
      <c r="B22110" s="65" t="s">
        <v>418</v>
      </c>
    </row>
    <row r="22111" spans="1:2" x14ac:dyDescent="0.25">
      <c r="A22111" s="64" t="str">
        <f>HYPERLINK("http://www.twitter.com/susba_sjb", "susba_sjb")</f>
        <v>susba_sjb</v>
      </c>
      <c r="B22111" s="65"/>
    </row>
    <row r="22112" spans="1:2" x14ac:dyDescent="0.25">
      <c r="A22112" s="64" t="str">
        <f>HYPERLINK("http://www.twitter.com/karljustkarl", "karljustkarl")</f>
        <v>karljustkarl</v>
      </c>
      <c r="B22112" s="65" t="s">
        <v>10232</v>
      </c>
    </row>
    <row r="22113" spans="1:2" x14ac:dyDescent="0.25">
      <c r="A22113" s="64" t="str">
        <f>HYPERLINK("http://www.twitter.com/TearlachMacDaid", "TearlachMacDaid")</f>
        <v>TearlachMacDaid</v>
      </c>
      <c r="B22113" s="65" t="s">
        <v>10233</v>
      </c>
    </row>
    <row r="22114" spans="1:2" x14ac:dyDescent="0.25">
      <c r="A22114" s="64" t="str">
        <f>HYPERLINK("http://www.twitter.com/_beth_eve", "_beth_eve")</f>
        <v>_beth_eve</v>
      </c>
      <c r="B22114" s="65"/>
    </row>
    <row r="22115" spans="1:2" x14ac:dyDescent="0.25">
      <c r="A22115" s="64" t="str">
        <f>HYPERLINK("http://www.twitter.com/julianstone1", "julianstone1")</f>
        <v>julianstone1</v>
      </c>
      <c r="B22115" s="65" t="s">
        <v>10234</v>
      </c>
    </row>
    <row r="22116" spans="1:2" x14ac:dyDescent="0.25">
      <c r="A22116" s="64" t="str">
        <f>HYPERLINK("http://www.twitter.com/majordufus", "majordufus")</f>
        <v>majordufus</v>
      </c>
      <c r="B22116" s="65" t="s">
        <v>1490</v>
      </c>
    </row>
    <row r="22117" spans="1:2" x14ac:dyDescent="0.25">
      <c r="A22117" s="64" t="str">
        <f>HYPERLINK("http://www.twitter.com/mizeiden", "mizeiden")</f>
        <v>mizeiden</v>
      </c>
      <c r="B22117" s="65" t="s">
        <v>10235</v>
      </c>
    </row>
    <row r="22118" spans="1:2" x14ac:dyDescent="0.25">
      <c r="A22118" s="64" t="str">
        <f>HYPERLINK("http://www.twitter.com/LauraNappies", "LauraNappies")</f>
        <v>LauraNappies</v>
      </c>
      <c r="B22118" s="65"/>
    </row>
    <row r="22119" spans="1:2" x14ac:dyDescent="0.25">
      <c r="A22119" s="64" t="str">
        <f>HYPERLINK("http://www.twitter.com/terrythomas1", "terrythomas1")</f>
        <v>terrythomas1</v>
      </c>
      <c r="B22119" s="65" t="s">
        <v>10236</v>
      </c>
    </row>
    <row r="22120" spans="1:2" x14ac:dyDescent="0.25">
      <c r="A22120" s="64" t="str">
        <f>HYPERLINK("http://www.twitter.com/1967_dutton", "1967_dutton")</f>
        <v>1967_dutton</v>
      </c>
      <c r="B22120" s="65" t="s">
        <v>10237</v>
      </c>
    </row>
    <row r="22121" spans="1:2" x14ac:dyDescent="0.25">
      <c r="A22121" s="64" t="str">
        <f>HYPERLINK("http://www.twitter.com/HelenRuthChild", "HelenRuthChild")</f>
        <v>HelenRuthChild</v>
      </c>
      <c r="B22121" s="65" t="s">
        <v>10238</v>
      </c>
    </row>
    <row r="22122" spans="1:2" x14ac:dyDescent="0.25">
      <c r="A22122" s="64" t="str">
        <f>HYPERLINK("http://www.twitter.com/peterfenn99", "peterfenn99")</f>
        <v>peterfenn99</v>
      </c>
      <c r="B22122" s="65" t="s">
        <v>4061</v>
      </c>
    </row>
    <row r="22123" spans="1:2" x14ac:dyDescent="0.25">
      <c r="A22123" s="64" t="str">
        <f>HYPERLINK("http://www.twitter.com/HPL1964", "HPL1964")</f>
        <v>HPL1964</v>
      </c>
      <c r="B22123" s="65" t="s">
        <v>5976</v>
      </c>
    </row>
    <row r="22124" spans="1:2" x14ac:dyDescent="0.25">
      <c r="A22124" s="64" t="str">
        <f>HYPERLINK("http://www.twitter.com/ETrooms", "ETrooms")</f>
        <v>ETrooms</v>
      </c>
      <c r="B22124" s="65"/>
    </row>
    <row r="22125" spans="1:2" x14ac:dyDescent="0.25">
      <c r="A22125" s="64" t="str">
        <f>HYPERLINK("http://www.twitter.com/elainedagmar", "elainedagmar")</f>
        <v>elainedagmar</v>
      </c>
      <c r="B22125" s="65"/>
    </row>
    <row r="22126" spans="1:2" x14ac:dyDescent="0.25">
      <c r="A22126" s="64" t="str">
        <f>HYPERLINK("http://www.twitter.com/celiafaith", "celiafaith")</f>
        <v>celiafaith</v>
      </c>
      <c r="B22126" s="65" t="s">
        <v>677</v>
      </c>
    </row>
    <row r="22127" spans="1:2" x14ac:dyDescent="0.25">
      <c r="A22127" s="64" t="str">
        <f>HYPERLINK("http://www.twitter.com/penelopethoma19", "penelopethoma19")</f>
        <v>penelopethoma19</v>
      </c>
      <c r="B22127" s="65"/>
    </row>
    <row r="22128" spans="1:2" x14ac:dyDescent="0.25">
      <c r="A22128" s="64" t="str">
        <f>HYPERLINK("http://www.twitter.com/LincolnMedia", "LincolnMedia")</f>
        <v>LincolnMedia</v>
      </c>
      <c r="B22128" s="65" t="s">
        <v>10239</v>
      </c>
    </row>
    <row r="22129" spans="1:2" x14ac:dyDescent="0.25">
      <c r="A22129" s="64" t="str">
        <f>HYPERLINK("http://www.twitter.com/JenniC1977", "JenniC1977")</f>
        <v>JenniC1977</v>
      </c>
      <c r="B22129" s="65" t="s">
        <v>5203</v>
      </c>
    </row>
    <row r="22130" spans="1:2" x14ac:dyDescent="0.25">
      <c r="A22130" s="64" t="str">
        <f>HYPERLINK("http://www.twitter.com/bhca", "bhca")</f>
        <v>bhca</v>
      </c>
      <c r="B22130" s="65"/>
    </row>
    <row r="22131" spans="1:2" x14ac:dyDescent="0.25">
      <c r="A22131" s="64" t="str">
        <f>HYPERLINK("http://www.twitter.com/lilypuss", "lilypuss")</f>
        <v>lilypuss</v>
      </c>
      <c r="B22131" s="65" t="s">
        <v>10240</v>
      </c>
    </row>
    <row r="22132" spans="1:2" x14ac:dyDescent="0.25">
      <c r="A22132" s="64" t="str">
        <f>HYPERLINK("http://www.twitter.com/suzicresswell", "suzicresswell")</f>
        <v>suzicresswell</v>
      </c>
      <c r="B22132" s="65" t="s">
        <v>1841</v>
      </c>
    </row>
    <row r="22133" spans="1:2" x14ac:dyDescent="0.25">
      <c r="A22133" s="64" t="str">
        <f>HYPERLINK("http://www.twitter.com/58Bethan", "58Bethan")</f>
        <v>58Bethan</v>
      </c>
      <c r="B22133" s="65" t="s">
        <v>1218</v>
      </c>
    </row>
    <row r="22134" spans="1:2" x14ac:dyDescent="0.25">
      <c r="A22134" s="64" t="str">
        <f>HYPERLINK("http://www.twitter.com/SueHowlett5", "SueHowlett5")</f>
        <v>SueHowlett5</v>
      </c>
      <c r="B22134" s="65" t="s">
        <v>10241</v>
      </c>
    </row>
    <row r="22135" spans="1:2" x14ac:dyDescent="0.25">
      <c r="A22135" s="64" t="str">
        <f>HYPERLINK("http://www.twitter.com/revkatebottley", "revkatebottley")</f>
        <v>revkatebottley</v>
      </c>
      <c r="B22135" s="65" t="s">
        <v>10242</v>
      </c>
    </row>
    <row r="22136" spans="1:2" x14ac:dyDescent="0.25">
      <c r="A22136" s="64" t="str">
        <f>HYPERLINK("http://www.twitter.com/coledenis1", "coledenis1")</f>
        <v>coledenis1</v>
      </c>
      <c r="B22136" s="65"/>
    </row>
    <row r="22137" spans="1:2" x14ac:dyDescent="0.25">
      <c r="A22137" s="64" t="str">
        <f>HYPERLINK("http://www.twitter.com/TriciaLennie", "TriciaLennie")</f>
        <v>TriciaLennie</v>
      </c>
      <c r="B22137" s="65" t="s">
        <v>1739</v>
      </c>
    </row>
    <row r="22138" spans="1:2" x14ac:dyDescent="0.25">
      <c r="A22138" s="64" t="str">
        <f>HYPERLINK("http://www.twitter.com/clairerawes", "clairerawes")</f>
        <v>clairerawes</v>
      </c>
      <c r="B22138" s="65" t="s">
        <v>10243</v>
      </c>
    </row>
    <row r="22139" spans="1:2" x14ac:dyDescent="0.25">
      <c r="A22139" s="64" t="str">
        <f>HYPERLINK("http://www.twitter.com/dicksinbarba", "dicksinbarba")</f>
        <v>dicksinbarba</v>
      </c>
      <c r="B22139" s="65"/>
    </row>
    <row r="22140" spans="1:2" x14ac:dyDescent="0.25">
      <c r="A22140" s="64" t="str">
        <f>HYPERLINK("http://www.twitter.com/verabling", "verabling")</f>
        <v>verabling</v>
      </c>
      <c r="B22140" s="65"/>
    </row>
    <row r="22141" spans="1:2" x14ac:dyDescent="0.25">
      <c r="A22141" s="64" t="str">
        <f>HYPERLINK("http://www.twitter.com/AnnafreuchPeter", "AnnafreuchPeter")</f>
        <v>AnnafreuchPeter</v>
      </c>
      <c r="B22141" s="65"/>
    </row>
    <row r="22142" spans="1:2" x14ac:dyDescent="0.25">
      <c r="A22142" s="64" t="str">
        <f>HYPERLINK("http://www.twitter.com/gillj33", "gillj33")</f>
        <v>gillj33</v>
      </c>
      <c r="B22142" s="65"/>
    </row>
    <row r="22143" spans="1:2" x14ac:dyDescent="0.25">
      <c r="A22143" s="64" t="str">
        <f>HYPERLINK("http://www.twitter.com/LouiseBowley", "LouiseBowley")</f>
        <v>LouiseBowley</v>
      </c>
      <c r="B22143" s="65" t="s">
        <v>4233</v>
      </c>
    </row>
    <row r="22144" spans="1:2" x14ac:dyDescent="0.25">
      <c r="A22144" s="64" t="str">
        <f>HYPERLINK("http://www.twitter.com/SarahGiles6", "SarahGiles6")</f>
        <v>SarahGiles6</v>
      </c>
      <c r="B22144" s="65"/>
    </row>
    <row r="22145" spans="1:2" x14ac:dyDescent="0.25">
      <c r="A22145" s="64" t="str">
        <f>HYPERLINK("http://www.twitter.com/docsavage57", "docsavage57")</f>
        <v>docsavage57</v>
      </c>
      <c r="B22145" s="65"/>
    </row>
    <row r="22146" spans="1:2" x14ac:dyDescent="0.25">
      <c r="A22146" s="64" t="str">
        <f>HYPERLINK("http://www.twitter.com/HistoryBS", "HistoryBS")</f>
        <v>HistoryBS</v>
      </c>
      <c r="B22146" s="65"/>
    </row>
    <row r="22147" spans="1:2" x14ac:dyDescent="0.25">
      <c r="A22147" s="64" t="str">
        <f>HYPERLINK("http://www.twitter.com/CCRGMac", "CCRGMac")</f>
        <v>CCRGMac</v>
      </c>
      <c r="B22147" s="65" t="s">
        <v>9085</v>
      </c>
    </row>
    <row r="22148" spans="1:2" x14ac:dyDescent="0.25">
      <c r="A22148" s="64" t="str">
        <f>HYPERLINK("http://www.twitter.com/RMClarke_", "RMClarke_")</f>
        <v>RMClarke_</v>
      </c>
      <c r="B22148" s="65" t="s">
        <v>4254</v>
      </c>
    </row>
    <row r="22149" spans="1:2" x14ac:dyDescent="0.25">
      <c r="A22149" s="64" t="str">
        <f>HYPERLINK("http://www.twitter.com/5HungryLadies", "5HungryLadies")</f>
        <v>5HungryLadies</v>
      </c>
      <c r="B22149" s="65" t="s">
        <v>3760</v>
      </c>
    </row>
    <row r="22150" spans="1:2" x14ac:dyDescent="0.25">
      <c r="A22150" s="64" t="str">
        <f>HYPERLINK("http://www.twitter.com/OpenStudioComms", "OpenStudioComms")</f>
        <v>OpenStudioComms</v>
      </c>
      <c r="B22150" s="65" t="s">
        <v>10244</v>
      </c>
    </row>
    <row r="22151" spans="1:2" x14ac:dyDescent="0.25">
      <c r="A22151" s="64" t="str">
        <f>HYPERLINK("http://www.twitter.com/snugmidget", "snugmidget")</f>
        <v>snugmidget</v>
      </c>
      <c r="B22151" s="65" t="s">
        <v>2608</v>
      </c>
    </row>
    <row r="22152" spans="1:2" x14ac:dyDescent="0.25">
      <c r="A22152" s="64" t="str">
        <f>HYPERLINK("http://www.twitter.com/deliport", "deliport")</f>
        <v>deliport</v>
      </c>
      <c r="B22152" s="65" t="s">
        <v>10245</v>
      </c>
    </row>
    <row r="22153" spans="1:2" x14ac:dyDescent="0.25">
      <c r="A22153" s="64" t="str">
        <f>HYPERLINK("http://www.twitter.com/karenwa25966194", "karenwa25966194")</f>
        <v>karenwa25966194</v>
      </c>
      <c r="B22153" s="65"/>
    </row>
    <row r="22154" spans="1:2" x14ac:dyDescent="0.25">
      <c r="A22154" s="64" t="str">
        <f>HYPERLINK("http://www.twitter.com/openplaques", "openplaques")</f>
        <v>openplaques</v>
      </c>
      <c r="B22154" s="65"/>
    </row>
    <row r="22155" spans="1:2" x14ac:dyDescent="0.25">
      <c r="A22155" s="64" t="str">
        <f>HYPERLINK("http://www.twitter.com/suesmee", "suesmee")</f>
        <v>suesmee</v>
      </c>
      <c r="B22155" s="65" t="s">
        <v>10246</v>
      </c>
    </row>
    <row r="22156" spans="1:2" x14ac:dyDescent="0.25">
      <c r="A22156" s="64" t="str">
        <f>HYPERLINK("http://www.twitter.com/seahorseholt", "seahorseholt")</f>
        <v>seahorseholt</v>
      </c>
      <c r="B22156" s="65" t="s">
        <v>10247</v>
      </c>
    </row>
    <row r="22157" spans="1:2" x14ac:dyDescent="0.25">
      <c r="A22157" s="64" t="str">
        <f>HYPERLINK("http://www.twitter.com/redravery", "redravery")</f>
        <v>redravery</v>
      </c>
      <c r="B22157" s="65"/>
    </row>
    <row r="22158" spans="1:2" x14ac:dyDescent="0.25">
      <c r="A22158" s="64" t="str">
        <f>HYPERLINK("http://www.twitter.com/Alisonjbird", "Alisonjbird")</f>
        <v>Alisonjbird</v>
      </c>
      <c r="B22158" s="65"/>
    </row>
    <row r="22159" spans="1:2" x14ac:dyDescent="0.25">
      <c r="A22159" s="64" t="str">
        <f>HYPERLINK("http://www.twitter.com/WessexControls", "WessexControls")</f>
        <v>WessexControls</v>
      </c>
      <c r="B22159" s="65"/>
    </row>
    <row r="22160" spans="1:2" x14ac:dyDescent="0.25">
      <c r="A22160" s="64" t="str">
        <f>HYPERLINK("http://www.twitter.com/Shotoverplain", "Shotoverplain")</f>
        <v>Shotoverplain</v>
      </c>
      <c r="B22160" s="65"/>
    </row>
    <row r="22161" spans="1:2" x14ac:dyDescent="0.25">
      <c r="A22161" s="64" t="str">
        <f>HYPERLINK("http://www.twitter.com/Gardeninrain", "Gardeninrain")</f>
        <v>Gardeninrain</v>
      </c>
      <c r="B22161" s="65" t="s">
        <v>10248</v>
      </c>
    </row>
    <row r="22162" spans="1:2" x14ac:dyDescent="0.25">
      <c r="A22162" s="64" t="str">
        <f>HYPERLINK("http://www.twitter.com/ThermofaxScreen", "ThermofaxScreen")</f>
        <v>ThermofaxScreen</v>
      </c>
      <c r="B22162" s="65" t="s">
        <v>10249</v>
      </c>
    </row>
    <row r="22163" spans="1:2" x14ac:dyDescent="0.25">
      <c r="A22163" s="64" t="str">
        <f>HYPERLINK("http://www.twitter.com/annadisney", "annadisney")</f>
        <v>annadisney</v>
      </c>
      <c r="B22163" s="65" t="s">
        <v>505</v>
      </c>
    </row>
    <row r="22164" spans="1:2" x14ac:dyDescent="0.25">
      <c r="A22164" s="64" t="str">
        <f>HYPERLINK("http://www.twitter.com/lindamcquone", "lindamcquone")</f>
        <v>lindamcquone</v>
      </c>
      <c r="B22164" s="65"/>
    </row>
    <row r="22165" spans="1:2" x14ac:dyDescent="0.25">
      <c r="A22165" s="64" t="str">
        <f>HYPERLINK("http://www.twitter.com/hwawalkerwalker", "hwawalkerwalker")</f>
        <v>hwawalkerwalker</v>
      </c>
      <c r="B22165" s="65"/>
    </row>
    <row r="22166" spans="1:2" x14ac:dyDescent="0.25">
      <c r="A22166" s="64" t="str">
        <f>HYPERLINK("http://www.twitter.com/LetsReadOm", "LetsReadOm")</f>
        <v>LetsReadOm</v>
      </c>
      <c r="B22166" s="65" t="s">
        <v>10250</v>
      </c>
    </row>
    <row r="22167" spans="1:2" x14ac:dyDescent="0.25">
      <c r="A22167" s="64" t="str">
        <f>HYPERLINK("http://www.twitter.com/elementaryVW", "elementaryVW")</f>
        <v>elementaryVW</v>
      </c>
      <c r="B22167" s="65" t="s">
        <v>1192</v>
      </c>
    </row>
    <row r="22168" spans="1:2" x14ac:dyDescent="0.25">
      <c r="A22168" s="64" t="str">
        <f>HYPERLINK("http://www.twitter.com/vickyplum101", "vickyplum101")</f>
        <v>vickyplum101</v>
      </c>
      <c r="B22168" s="65"/>
    </row>
    <row r="22169" spans="1:2" x14ac:dyDescent="0.25">
      <c r="A22169" s="64" t="str">
        <f>HYPERLINK("http://www.twitter.com/EmmaButcher_", "EmmaButcher_")</f>
        <v>EmmaButcher_</v>
      </c>
      <c r="B22169" s="65" t="s">
        <v>477</v>
      </c>
    </row>
    <row r="22170" spans="1:2" x14ac:dyDescent="0.25">
      <c r="A22170" s="64" t="str">
        <f>HYPERLINK("http://www.twitter.com/BSPLibrary", "BSPLibrary")</f>
        <v>BSPLibrary</v>
      </c>
      <c r="B22170" s="65" t="s">
        <v>10251</v>
      </c>
    </row>
    <row r="22171" spans="1:2" x14ac:dyDescent="0.25">
      <c r="A22171" s="64" t="str">
        <f>HYPERLINK("http://www.twitter.com/Carey_C2", "Carey_C2")</f>
        <v>Carey_C2</v>
      </c>
      <c r="B22171" s="65"/>
    </row>
    <row r="22172" spans="1:2" x14ac:dyDescent="0.25">
      <c r="A22172" s="64" t="str">
        <f>HYPERLINK("http://www.twitter.com/treetangle", "treetangle")</f>
        <v>treetangle</v>
      </c>
      <c r="B22172" s="65"/>
    </row>
    <row r="22173" spans="1:2" x14ac:dyDescent="0.25">
      <c r="A22173" s="64" t="str">
        <f>HYPERLINK("http://www.twitter.com/wylielikekylie", "wylielikekylie")</f>
        <v>wylielikekylie</v>
      </c>
      <c r="B22173" s="65"/>
    </row>
    <row r="22174" spans="1:2" x14ac:dyDescent="0.25">
      <c r="A22174" s="64" t="str">
        <f>HYPERLINK("http://www.twitter.com/jmac29", "jmac29")</f>
        <v>jmac29</v>
      </c>
      <c r="B22174" s="65"/>
    </row>
    <row r="22175" spans="1:2" x14ac:dyDescent="0.25">
      <c r="A22175" s="64" t="str">
        <f>HYPERLINK("http://www.twitter.com/CarolineMcKoen", "CarolineMcKoen")</f>
        <v>CarolineMcKoen</v>
      </c>
      <c r="B22175" s="65"/>
    </row>
    <row r="22176" spans="1:2" x14ac:dyDescent="0.25">
      <c r="A22176" s="64" t="str">
        <f>HYPERLINK("http://www.twitter.com/F1Annie", "F1Annie")</f>
        <v>F1Annie</v>
      </c>
      <c r="B22176" s="65" t="s">
        <v>10252</v>
      </c>
    </row>
    <row r="22177" spans="1:2" x14ac:dyDescent="0.25">
      <c r="A22177" s="64" t="str">
        <f>HYPERLINK("http://www.twitter.com/Marvellous_Prod", "Marvellous_Prod")</f>
        <v>Marvellous_Prod</v>
      </c>
      <c r="B22177" s="65" t="s">
        <v>296</v>
      </c>
    </row>
    <row r="22178" spans="1:2" x14ac:dyDescent="0.25">
      <c r="A22178" s="64" t="str">
        <f>HYPERLINK("http://www.twitter.com/MariaBrosnan", "MariaBrosnan")</f>
        <v>MariaBrosnan</v>
      </c>
      <c r="B22178" s="65" t="s">
        <v>110</v>
      </c>
    </row>
    <row r="22179" spans="1:2" x14ac:dyDescent="0.25">
      <c r="A22179" s="64" t="str">
        <f>HYPERLINK("http://www.twitter.com/HannahScottJ", "HannahScottJ")</f>
        <v>HannahScottJ</v>
      </c>
      <c r="B22179" s="65"/>
    </row>
    <row r="22180" spans="1:2" x14ac:dyDescent="0.25">
      <c r="A22180" s="64" t="str">
        <f>HYPERLINK("http://www.twitter.com/HilaryMarchant", "HilaryMarchant")</f>
        <v>HilaryMarchant</v>
      </c>
      <c r="B22180" s="65" t="s">
        <v>10253</v>
      </c>
    </row>
    <row r="22181" spans="1:2" x14ac:dyDescent="0.25">
      <c r="A22181" s="64" t="str">
        <f>HYPERLINK("http://www.twitter.com/PhilMorandi", "PhilMorandi")</f>
        <v>PhilMorandi</v>
      </c>
      <c r="B22181" s="65" t="s">
        <v>70</v>
      </c>
    </row>
    <row r="22182" spans="1:2" x14ac:dyDescent="0.25">
      <c r="A22182" s="64" t="str">
        <f>HYPERLINK("http://www.twitter.com/nan_chick", "nan_chick")</f>
        <v>nan_chick</v>
      </c>
      <c r="B22182" s="65"/>
    </row>
    <row r="22183" spans="1:2" x14ac:dyDescent="0.25">
      <c r="A22183" s="64" t="str">
        <f>HYPERLINK("http://www.twitter.com/Hannahhen", "Hannahhen")</f>
        <v>Hannahhen</v>
      </c>
      <c r="B22183" s="65" t="s">
        <v>10254</v>
      </c>
    </row>
    <row r="22184" spans="1:2" x14ac:dyDescent="0.25">
      <c r="A22184" s="64" t="str">
        <f>HYPERLINK("http://www.twitter.com/ReinderMD", "ReinderMD")</f>
        <v>ReinderMD</v>
      </c>
      <c r="B22184" s="65" t="s">
        <v>10255</v>
      </c>
    </row>
    <row r="22185" spans="1:2" x14ac:dyDescent="0.25">
      <c r="A22185" s="64" t="str">
        <f>HYPERLINK("http://www.twitter.com/liz_lizanderson", "liz_lizanderson")</f>
        <v>liz_lizanderson</v>
      </c>
      <c r="B22185" s="65"/>
    </row>
    <row r="22186" spans="1:2" x14ac:dyDescent="0.25">
      <c r="A22186" s="64" t="str">
        <f>HYPERLINK("http://www.twitter.com/CscoCs", "CscoCs")</f>
        <v>CscoCs</v>
      </c>
      <c r="B22186" s="65" t="s">
        <v>4789</v>
      </c>
    </row>
    <row r="22187" spans="1:2" x14ac:dyDescent="0.25">
      <c r="A22187" s="64" t="str">
        <f>HYPERLINK("http://www.twitter.com/FrancescaProud", "FrancescaProud")</f>
        <v>FrancescaProud</v>
      </c>
      <c r="B22187" s="65" t="s">
        <v>1765</v>
      </c>
    </row>
    <row r="22188" spans="1:2" x14ac:dyDescent="0.25">
      <c r="A22188" s="64" t="str">
        <f>HYPERLINK("http://www.twitter.com/lloydwakeling", "lloydwakeling")</f>
        <v>lloydwakeling</v>
      </c>
      <c r="B22188" s="65"/>
    </row>
    <row r="22189" spans="1:2" x14ac:dyDescent="0.25">
      <c r="A22189" s="64" t="str">
        <f>HYPERLINK("http://www.twitter.com/LeonDTaylor", "LeonDTaylor")</f>
        <v>LeonDTaylor</v>
      </c>
      <c r="B22189" s="65"/>
    </row>
    <row r="22190" spans="1:2" x14ac:dyDescent="0.25">
      <c r="A22190" s="64" t="str">
        <f>HYPERLINK("http://www.twitter.com/eavesjon", "eavesjon")</f>
        <v>eavesjon</v>
      </c>
      <c r="B22190" s="65" t="s">
        <v>10256</v>
      </c>
    </row>
    <row r="22191" spans="1:2" x14ac:dyDescent="0.25">
      <c r="A22191" s="64" t="str">
        <f>HYPERLINK("http://www.twitter.com/gailscottspicer", "gailscottspicer")</f>
        <v>gailscottspicer</v>
      </c>
      <c r="B22191" s="65"/>
    </row>
    <row r="22192" spans="1:2" x14ac:dyDescent="0.25">
      <c r="A22192" s="64" t="str">
        <f>HYPERLINK("http://www.twitter.com/chestnutmeats", "chestnutmeats")</f>
        <v>chestnutmeats</v>
      </c>
      <c r="B22192" s="65" t="s">
        <v>456</v>
      </c>
    </row>
    <row r="22193" spans="1:2" x14ac:dyDescent="0.25">
      <c r="A22193" s="64" t="str">
        <f>HYPERLINK("http://www.twitter.com/BradHook_FRICS", "BradHook_FRICS")</f>
        <v>BradHook_FRICS</v>
      </c>
      <c r="B22193" s="65" t="s">
        <v>10257</v>
      </c>
    </row>
    <row r="22194" spans="1:2" x14ac:dyDescent="0.25">
      <c r="A22194" s="64" t="str">
        <f>HYPERLINK("http://www.twitter.com/Junevre", "Junevre")</f>
        <v>Junevre</v>
      </c>
      <c r="B22194" s="65"/>
    </row>
    <row r="22195" spans="1:2" x14ac:dyDescent="0.25">
      <c r="A22195" s="64" t="str">
        <f>HYPERLINK("http://www.twitter.com/TPWesty", "TPWesty")</f>
        <v>TPWesty</v>
      </c>
      <c r="B22195" s="65"/>
    </row>
    <row r="22196" spans="1:2" x14ac:dyDescent="0.25">
      <c r="A22196" s="64" t="str">
        <f>HYPERLINK("http://www.twitter.com/ablogfrommydog", "ablogfrommydog")</f>
        <v>ablogfrommydog</v>
      </c>
      <c r="B22196" s="65" t="s">
        <v>10258</v>
      </c>
    </row>
    <row r="22197" spans="1:2" x14ac:dyDescent="0.25">
      <c r="A22197" s="64" t="str">
        <f>HYPERLINK("http://www.twitter.com/cantusetech", "cantusetech")</f>
        <v>cantusetech</v>
      </c>
      <c r="B22197" s="65"/>
    </row>
    <row r="22198" spans="1:2" x14ac:dyDescent="0.25">
      <c r="A22198" s="64" t="str">
        <f>HYPERLINK("http://www.twitter.com/DebsHeaphy", "DebsHeaphy")</f>
        <v>DebsHeaphy</v>
      </c>
      <c r="B22198" s="65" t="s">
        <v>10259</v>
      </c>
    </row>
    <row r="22199" spans="1:2" x14ac:dyDescent="0.25">
      <c r="A22199" s="64" t="str">
        <f>HYPERLINK("http://www.twitter.com/JanCottam", "JanCottam")</f>
        <v>JanCottam</v>
      </c>
      <c r="B22199" s="65"/>
    </row>
    <row r="22200" spans="1:2" x14ac:dyDescent="0.25">
      <c r="A22200" s="64" t="str">
        <f>HYPERLINK("http://www.twitter.com/lebroonie", "lebroonie")</f>
        <v>lebroonie</v>
      </c>
      <c r="B22200" s="65"/>
    </row>
    <row r="22201" spans="1:2" x14ac:dyDescent="0.25">
      <c r="A22201" s="64" t="str">
        <f>HYPERLINK("http://www.twitter.com/lainey1510", "lainey1510")</f>
        <v>lainey1510</v>
      </c>
      <c r="B22201" s="65" t="s">
        <v>4782</v>
      </c>
    </row>
    <row r="22202" spans="1:2" x14ac:dyDescent="0.25">
      <c r="A22202" s="64" t="str">
        <f>HYPERLINK("http://www.twitter.com/TenAcreWines", "TenAcreWines")</f>
        <v>TenAcreWines</v>
      </c>
      <c r="B22202" s="65" t="s">
        <v>10260</v>
      </c>
    </row>
    <row r="22203" spans="1:2" x14ac:dyDescent="0.25">
      <c r="A22203" s="64" t="str">
        <f>HYPERLINK("http://www.twitter.com/kathryn_bayly", "kathryn_bayly")</f>
        <v>kathryn_bayly</v>
      </c>
      <c r="B22203" s="65" t="s">
        <v>514</v>
      </c>
    </row>
    <row r="22204" spans="1:2" x14ac:dyDescent="0.25">
      <c r="A22204" s="64" t="str">
        <f>HYPERLINK("http://www.twitter.com/nibles3", "nibles3")</f>
        <v>nibles3</v>
      </c>
      <c r="B22204" s="65"/>
    </row>
    <row r="22205" spans="1:2" x14ac:dyDescent="0.25">
      <c r="A22205" s="64" t="str">
        <f>HYPERLINK("http://www.twitter.com/TerryChapman45", "TerryChapman45")</f>
        <v>TerryChapman45</v>
      </c>
      <c r="B22205" s="65"/>
    </row>
    <row r="22206" spans="1:2" x14ac:dyDescent="0.25">
      <c r="A22206" s="64" t="str">
        <f>HYPERLINK("http://www.twitter.com/KDHDouglas", "KDHDouglas")</f>
        <v>KDHDouglas</v>
      </c>
      <c r="B22206" s="65" t="s">
        <v>24</v>
      </c>
    </row>
    <row r="22207" spans="1:2" x14ac:dyDescent="0.25">
      <c r="A22207" s="64" t="str">
        <f>HYPERLINK("http://www.twitter.com/hull_hell", "hull_hell")</f>
        <v>hull_hell</v>
      </c>
      <c r="B22207" s="65" t="s">
        <v>10261</v>
      </c>
    </row>
    <row r="22208" spans="1:2" x14ac:dyDescent="0.25">
      <c r="A22208" s="64" t="str">
        <f>HYPERLINK("http://www.twitter.com/nixie772", "nixie772")</f>
        <v>nixie772</v>
      </c>
      <c r="B22208" s="65"/>
    </row>
    <row r="22209" spans="1:2" x14ac:dyDescent="0.25">
      <c r="A22209" s="64" t="str">
        <f>HYPERLINK("http://www.twitter.com/AndrewBrinsford", "AndrewBrinsford")</f>
        <v>AndrewBrinsford</v>
      </c>
      <c r="B22209" s="65" t="s">
        <v>6602</v>
      </c>
    </row>
    <row r="22210" spans="1:2" x14ac:dyDescent="0.25">
      <c r="A22210" s="64" t="str">
        <f>HYPERLINK("http://www.twitter.com/bohemiandoris", "bohemiandoris")</f>
        <v>bohemiandoris</v>
      </c>
      <c r="B22210" s="65"/>
    </row>
    <row r="22211" spans="1:2" x14ac:dyDescent="0.25">
      <c r="A22211" s="64" t="str">
        <f>HYPERLINK("http://www.twitter.com/63carolrae", "63carolrae")</f>
        <v>63carolrae</v>
      </c>
      <c r="B22211" s="65"/>
    </row>
    <row r="22212" spans="1:2" x14ac:dyDescent="0.25">
      <c r="A22212" s="64" t="str">
        <f>HYPERLINK("http://www.twitter.com/GillyMacmillan", "GillyMacmillan")</f>
        <v>GillyMacmillan</v>
      </c>
      <c r="B22212" s="65" t="s">
        <v>1873</v>
      </c>
    </row>
    <row r="22213" spans="1:2" x14ac:dyDescent="0.25">
      <c r="A22213" s="64" t="str">
        <f>HYPERLINK("http://www.twitter.com/riperesident", "riperesident")</f>
        <v>riperesident</v>
      </c>
      <c r="B22213" s="65"/>
    </row>
    <row r="22214" spans="1:2" x14ac:dyDescent="0.25">
      <c r="A22214" s="64" t="str">
        <f>HYPERLINK("http://www.twitter.com/SarahMeadowcro1", "SarahMeadowcro1")</f>
        <v>SarahMeadowcro1</v>
      </c>
      <c r="B22214" s="65"/>
    </row>
    <row r="22215" spans="1:2" x14ac:dyDescent="0.25">
      <c r="A22215" s="64" t="str">
        <f>HYPERLINK("http://www.twitter.com/IsHutchins", "IsHutchins")</f>
        <v>IsHutchins</v>
      </c>
      <c r="B22215" s="65" t="s">
        <v>5255</v>
      </c>
    </row>
    <row r="22216" spans="1:2" x14ac:dyDescent="0.25">
      <c r="A22216" s="64" t="str">
        <f>HYPERLINK("http://www.twitter.com/lfnixon", "lfnixon")</f>
        <v>lfnixon</v>
      </c>
      <c r="B22216" s="65"/>
    </row>
    <row r="22217" spans="1:2" x14ac:dyDescent="0.25">
      <c r="A22217" s="64" t="str">
        <f>HYPERLINK("http://www.twitter.com/AndrewCarlin3", "AndrewCarlin3")</f>
        <v>AndrewCarlin3</v>
      </c>
      <c r="B22217" s="65" t="s">
        <v>93</v>
      </c>
    </row>
    <row r="22218" spans="1:2" x14ac:dyDescent="0.25">
      <c r="A22218" s="64" t="str">
        <f>HYPERLINK("http://www.twitter.com/roleyderrick", "roleyderrick")</f>
        <v>roleyderrick</v>
      </c>
      <c r="B22218" s="65"/>
    </row>
    <row r="22219" spans="1:2" x14ac:dyDescent="0.25">
      <c r="A22219" s="64" t="str">
        <f>HYPERLINK("http://www.twitter.com/AndyChapWriter", "AndyChapWriter")</f>
        <v>AndyChapWriter</v>
      </c>
      <c r="B22219" s="65" t="s">
        <v>296</v>
      </c>
    </row>
    <row r="22220" spans="1:2" x14ac:dyDescent="0.25">
      <c r="A22220" s="64" t="str">
        <f>HYPERLINK("http://www.twitter.com/dunnen", "dunnen")</f>
        <v>dunnen</v>
      </c>
      <c r="B22220" s="65"/>
    </row>
    <row r="22221" spans="1:2" x14ac:dyDescent="0.25">
      <c r="A22221" s="64" t="str">
        <f>HYPERLINK("http://www.twitter.com/SaaraSamin", "SaaraSamin")</f>
        <v>SaaraSamin</v>
      </c>
      <c r="B22221" s="65" t="s">
        <v>7116</v>
      </c>
    </row>
    <row r="22222" spans="1:2" x14ac:dyDescent="0.25">
      <c r="A22222" s="64" t="str">
        <f>HYPERLINK("http://www.twitter.com/RobCook222", "RobCook222")</f>
        <v>RobCook222</v>
      </c>
      <c r="B22222" s="65" t="s">
        <v>10262</v>
      </c>
    </row>
    <row r="22223" spans="1:2" x14ac:dyDescent="0.25">
      <c r="A22223" s="64" t="str">
        <f>HYPERLINK("http://www.twitter.com/youthjournos", "youthjournos")</f>
        <v>youthjournos</v>
      </c>
      <c r="B22223" s="65" t="s">
        <v>10263</v>
      </c>
    </row>
    <row r="22224" spans="1:2" x14ac:dyDescent="0.25">
      <c r="A22224" s="64" t="str">
        <f>HYPERLINK("http://www.twitter.com/patsos1", "patsos1")</f>
        <v>patsos1</v>
      </c>
      <c r="B22224" s="65"/>
    </row>
    <row r="22225" spans="1:2" x14ac:dyDescent="0.25">
      <c r="A22225" s="64" t="str">
        <f>HYPERLINK("http://www.twitter.com/snowgoose45", "snowgoose45")</f>
        <v>snowgoose45</v>
      </c>
      <c r="B22225" s="65" t="s">
        <v>8006</v>
      </c>
    </row>
    <row r="22226" spans="1:2" x14ac:dyDescent="0.25">
      <c r="A22226" s="64" t="str">
        <f>HYPERLINK("http://www.twitter.com/AshyC83", "AshyC83")</f>
        <v>AshyC83</v>
      </c>
      <c r="B22226" s="65"/>
    </row>
    <row r="22227" spans="1:2" x14ac:dyDescent="0.25">
      <c r="A22227" s="64" t="str">
        <f>HYPERLINK("http://www.twitter.com/FionaBuchanan7", "FionaBuchanan7")</f>
        <v>FionaBuchanan7</v>
      </c>
      <c r="B22227" s="65" t="s">
        <v>10264</v>
      </c>
    </row>
    <row r="22228" spans="1:2" x14ac:dyDescent="0.25">
      <c r="A22228" s="64" t="str">
        <f>HYPERLINK("http://www.twitter.com/Gaz_Walker", "Gaz_Walker")</f>
        <v>Gaz_Walker</v>
      </c>
      <c r="B22228" s="65"/>
    </row>
    <row r="22229" spans="1:2" x14ac:dyDescent="0.25">
      <c r="A22229" s="64" t="str">
        <f>HYPERLINK("http://www.twitter.com/Icedgem79", "Icedgem79")</f>
        <v>Icedgem79</v>
      </c>
      <c r="B22229" s="65" t="s">
        <v>10265</v>
      </c>
    </row>
    <row r="22230" spans="1:2" x14ac:dyDescent="0.25">
      <c r="A22230" s="64" t="str">
        <f>HYPERLINK("http://www.twitter.com/bramblejac", "bramblejac")</f>
        <v>bramblejac</v>
      </c>
      <c r="B22230" s="65"/>
    </row>
    <row r="22231" spans="1:2" x14ac:dyDescent="0.25">
      <c r="A22231" s="64" t="str">
        <f>HYPERLINK("http://www.twitter.com/thyme2", "thyme2")</f>
        <v>thyme2</v>
      </c>
      <c r="B22231" s="65"/>
    </row>
    <row r="22232" spans="1:2" x14ac:dyDescent="0.25">
      <c r="A22232" s="64" t="str">
        <f>HYPERLINK("http://www.twitter.com/TheresaLynn12", "TheresaLynn12")</f>
        <v>TheresaLynn12</v>
      </c>
      <c r="B22232" s="65" t="s">
        <v>1482</v>
      </c>
    </row>
    <row r="22233" spans="1:2" x14ac:dyDescent="0.25">
      <c r="A22233" s="64" t="str">
        <f>HYPERLINK("http://www.twitter.com/Otter_Count", "Otter_Count")</f>
        <v>Otter_Count</v>
      </c>
      <c r="B22233" s="65"/>
    </row>
    <row r="22234" spans="1:2" x14ac:dyDescent="0.25">
      <c r="A22234" s="64" t="str">
        <f>HYPERLINK("http://www.twitter.com/lynneekennedy", "lynneekennedy")</f>
        <v>lynneekennedy</v>
      </c>
      <c r="B22234" s="65" t="s">
        <v>10266</v>
      </c>
    </row>
    <row r="22235" spans="1:2" x14ac:dyDescent="0.25">
      <c r="A22235" s="64" t="str">
        <f>HYPERLINK("http://www.twitter.com/msclaydigger", "msclaydigger")</f>
        <v>msclaydigger</v>
      </c>
      <c r="B22235" s="65"/>
    </row>
    <row r="22236" spans="1:2" x14ac:dyDescent="0.25">
      <c r="A22236" s="64" t="str">
        <f>HYPERLINK("http://www.twitter.com/rattlesdenbees", "rattlesdenbees")</f>
        <v>rattlesdenbees</v>
      </c>
      <c r="B22236" s="65" t="s">
        <v>10267</v>
      </c>
    </row>
    <row r="22237" spans="1:2" x14ac:dyDescent="0.25">
      <c r="A22237" s="64" t="str">
        <f>HYPERLINK("http://www.twitter.com/JohnGillies10", "JohnGillies10")</f>
        <v>JohnGillies10</v>
      </c>
      <c r="B22237" s="65"/>
    </row>
    <row r="22238" spans="1:2" x14ac:dyDescent="0.25">
      <c r="A22238" s="64" t="str">
        <f>HYPERLINK("http://www.twitter.com/AndrewCrummy", "AndrewCrummy")</f>
        <v>AndrewCrummy</v>
      </c>
      <c r="B22238" s="65"/>
    </row>
    <row r="22239" spans="1:2" x14ac:dyDescent="0.25">
      <c r="A22239" s="64" t="str">
        <f>HYPERLINK("http://www.twitter.com/artschoolboy", "artschoolboy")</f>
        <v>artschoolboy</v>
      </c>
      <c r="B22239" s="65" t="s">
        <v>36</v>
      </c>
    </row>
    <row r="22240" spans="1:2" x14ac:dyDescent="0.25">
      <c r="A22240" s="64" t="str">
        <f>HYPERLINK("http://www.twitter.com/jackytheluddite", "jackytheluddite")</f>
        <v>jackytheluddite</v>
      </c>
      <c r="B22240" s="65"/>
    </row>
    <row r="22241" spans="1:2" x14ac:dyDescent="0.25">
      <c r="A22241" s="64" t="str">
        <f>HYPERLINK("http://www.twitter.com/lapthorn", "lapthorn")</f>
        <v>lapthorn</v>
      </c>
      <c r="B22241" s="65" t="s">
        <v>10268</v>
      </c>
    </row>
    <row r="22242" spans="1:2" x14ac:dyDescent="0.25">
      <c r="A22242" s="64" t="str">
        <f>HYPERLINK("http://www.twitter.com/Zooglo", "Zooglo")</f>
        <v>Zooglo</v>
      </c>
      <c r="B22242" s="65"/>
    </row>
    <row r="22243" spans="1:2" x14ac:dyDescent="0.25">
      <c r="A22243" s="64" t="str">
        <f>HYPERLINK("http://www.twitter.com/LittleBustard", "LittleBustard")</f>
        <v>LittleBustard</v>
      </c>
      <c r="B22243" s="65" t="s">
        <v>10269</v>
      </c>
    </row>
    <row r="22244" spans="1:2" x14ac:dyDescent="0.25">
      <c r="A22244" s="64" t="str">
        <f>HYPERLINK("http://www.twitter.com/1vampali", "1vampali")</f>
        <v>1vampali</v>
      </c>
      <c r="B22244" s="65" t="s">
        <v>1490</v>
      </c>
    </row>
    <row r="22245" spans="1:2" x14ac:dyDescent="0.25">
      <c r="A22245" s="64" t="str">
        <f>HYPERLINK("http://www.twitter.com/Mr_Sparrowlegs", "Mr_Sparrowlegs")</f>
        <v>Mr_Sparrowlegs</v>
      </c>
      <c r="B22245" s="65" t="s">
        <v>9223</v>
      </c>
    </row>
    <row r="22246" spans="1:2" x14ac:dyDescent="0.25">
      <c r="A22246" s="64" t="str">
        <f>HYPERLINK("http://www.twitter.com/JuanFelipeMuro", "JuanFelipeMuro")</f>
        <v>JuanFelipeMuro</v>
      </c>
      <c r="B22246" s="65" t="s">
        <v>10270</v>
      </c>
    </row>
    <row r="22247" spans="1:2" x14ac:dyDescent="0.25">
      <c r="A22247" s="64" t="str">
        <f>HYPERLINK("http://www.twitter.com/chrismcg21", "chrismcg21")</f>
        <v>chrismcg21</v>
      </c>
      <c r="B22247" s="65" t="s">
        <v>10271</v>
      </c>
    </row>
    <row r="22248" spans="1:2" x14ac:dyDescent="0.25">
      <c r="A22248" s="64" t="str">
        <f>HYPERLINK("http://www.twitter.com/FinePluck", "FinePluck")</f>
        <v>FinePluck</v>
      </c>
      <c r="B22248" s="65" t="s">
        <v>10272</v>
      </c>
    </row>
    <row r="22249" spans="1:2" x14ac:dyDescent="0.25">
      <c r="A22249" s="64" t="str">
        <f>HYPERLINK("http://www.twitter.com/MsAnneWilliams", "MsAnneWilliams")</f>
        <v>MsAnneWilliams</v>
      </c>
      <c r="B22249" s="65" t="s">
        <v>10273</v>
      </c>
    </row>
    <row r="22250" spans="1:2" x14ac:dyDescent="0.25">
      <c r="A22250" s="64" t="str">
        <f>HYPERLINK("http://www.twitter.com/ChrisWright46", "ChrisWright46")</f>
        <v>ChrisWright46</v>
      </c>
      <c r="B22250" s="65" t="s">
        <v>1810</v>
      </c>
    </row>
    <row r="22251" spans="1:2" x14ac:dyDescent="0.25">
      <c r="A22251" s="64" t="str">
        <f>HYPERLINK("http://www.twitter.com/paulparker_56", "paulparker_56")</f>
        <v>paulparker_56</v>
      </c>
      <c r="B22251" s="65" t="s">
        <v>7596</v>
      </c>
    </row>
    <row r="22252" spans="1:2" x14ac:dyDescent="0.25">
      <c r="A22252" s="64" t="str">
        <f>HYPERLINK("http://www.twitter.com/ruthallison12", "ruthallison12")</f>
        <v>ruthallison12</v>
      </c>
      <c r="B22252" s="65"/>
    </row>
    <row r="22253" spans="1:2" x14ac:dyDescent="0.25">
      <c r="A22253" s="64" t="str">
        <f>HYPERLINK("http://www.twitter.com/jameshobbsart", "jameshobbsart")</f>
        <v>jameshobbsart</v>
      </c>
      <c r="B22253" s="65" t="s">
        <v>7287</v>
      </c>
    </row>
    <row r="22254" spans="1:2" x14ac:dyDescent="0.25">
      <c r="A22254" s="64" t="str">
        <f>HYPERLINK("http://www.twitter.com/janehissey", "janehissey")</f>
        <v>janehissey</v>
      </c>
      <c r="B22254" s="65" t="s">
        <v>5965</v>
      </c>
    </row>
    <row r="22255" spans="1:2" x14ac:dyDescent="0.25">
      <c r="A22255" s="64" t="str">
        <f>HYPERLINK("http://www.twitter.com/the_beanbag", "the_beanbag")</f>
        <v>the_beanbag</v>
      </c>
      <c r="B22255" s="65" t="s">
        <v>296</v>
      </c>
    </row>
    <row r="22256" spans="1:2" x14ac:dyDescent="0.25">
      <c r="A22256" s="64" t="str">
        <f>HYPERLINK("http://www.twitter.com/tiggersrealmumy", "tiggersrealmumy")</f>
        <v>tiggersrealmumy</v>
      </c>
      <c r="B22256" s="65"/>
    </row>
    <row r="22257" spans="1:2" x14ac:dyDescent="0.25">
      <c r="A22257" s="64" t="str">
        <f>HYPERLINK("http://www.twitter.com/El_Tibbo", "El_Tibbo")</f>
        <v>El_Tibbo</v>
      </c>
      <c r="B22257" s="65" t="s">
        <v>4210</v>
      </c>
    </row>
    <row r="22258" spans="1:2" x14ac:dyDescent="0.25">
      <c r="A22258" s="64" t="str">
        <f>HYPERLINK("http://www.twitter.com/teadragon", "teadragon")</f>
        <v>teadragon</v>
      </c>
      <c r="B22258" s="65" t="s">
        <v>10274</v>
      </c>
    </row>
    <row r="22259" spans="1:2" x14ac:dyDescent="0.25">
      <c r="A22259" s="64" t="str">
        <f>HYPERLINK("http://www.twitter.com/levitt0", "levitt0")</f>
        <v>levitt0</v>
      </c>
      <c r="B22259" s="65" t="s">
        <v>2454</v>
      </c>
    </row>
    <row r="22260" spans="1:2" x14ac:dyDescent="0.25">
      <c r="A22260" s="64" t="str">
        <f>HYPERLINK("http://www.twitter.com/Daniels_Andrew", "Daniels_Andrew")</f>
        <v>Daniels_Andrew</v>
      </c>
      <c r="B22260" s="65" t="s">
        <v>10275</v>
      </c>
    </row>
    <row r="22261" spans="1:2" x14ac:dyDescent="0.25">
      <c r="A22261" s="64" t="str">
        <f>HYPERLINK("http://www.twitter.com/neil_clarky", "neil_clarky")</f>
        <v>neil_clarky</v>
      </c>
      <c r="B22261" s="65" t="s">
        <v>720</v>
      </c>
    </row>
    <row r="22262" spans="1:2" x14ac:dyDescent="0.25">
      <c r="A22262" s="64" t="str">
        <f>HYPERLINK("http://www.twitter.com/ColinDaykin", "ColinDaykin")</f>
        <v>ColinDaykin</v>
      </c>
      <c r="B22262" s="65" t="s">
        <v>5047</v>
      </c>
    </row>
    <row r="22263" spans="1:2" x14ac:dyDescent="0.25">
      <c r="A22263" s="64" t="str">
        <f>HYPERLINK("http://www.twitter.com/EmmaShoard", "EmmaShoard")</f>
        <v>EmmaShoard</v>
      </c>
      <c r="B22263" s="65"/>
    </row>
    <row r="22264" spans="1:2" x14ac:dyDescent="0.25">
      <c r="A22264" s="64" t="str">
        <f>HYPERLINK("http://www.twitter.com/JamesDixonMusic", "JamesDixonMusic")</f>
        <v>JamesDixonMusic</v>
      </c>
      <c r="B22264" s="65" t="s">
        <v>4361</v>
      </c>
    </row>
    <row r="22265" spans="1:2" x14ac:dyDescent="0.25">
      <c r="A22265" s="64" t="str">
        <f>HYPERLINK("http://www.twitter.com/AngleseyHist", "AngleseyHist")</f>
        <v>AngleseyHist</v>
      </c>
      <c r="B22265" s="65" t="s">
        <v>10276</v>
      </c>
    </row>
    <row r="22266" spans="1:2" x14ac:dyDescent="0.25">
      <c r="A22266" s="64" t="str">
        <f>HYPERLINK("http://www.twitter.com/BAHSoc", "BAHSoc")</f>
        <v>BAHSoc</v>
      </c>
      <c r="B22266" s="65"/>
    </row>
    <row r="22267" spans="1:2" x14ac:dyDescent="0.25">
      <c r="A22267" s="64" t="str">
        <f>HYPERLINK("http://www.twitter.com/jerrymandarin", "jerrymandarin")</f>
        <v>jerrymandarin</v>
      </c>
      <c r="B22267" s="65" t="s">
        <v>2102</v>
      </c>
    </row>
    <row r="22268" spans="1:2" x14ac:dyDescent="0.25">
      <c r="A22268" s="64" t="str">
        <f>HYPERLINK("http://www.twitter.com/Sara_Scanlon", "Sara_Scanlon")</f>
        <v>Sara_Scanlon</v>
      </c>
      <c r="B22268" s="65"/>
    </row>
    <row r="22269" spans="1:2" x14ac:dyDescent="0.25">
      <c r="A22269" s="64" t="str">
        <f>HYPERLINK("http://www.twitter.com/JeremiahVintage", "JeremiahVintage")</f>
        <v>JeremiahVintage</v>
      </c>
      <c r="B22269" s="65" t="s">
        <v>10277</v>
      </c>
    </row>
    <row r="22270" spans="1:2" x14ac:dyDescent="0.25">
      <c r="A22270" s="64" t="str">
        <f>HYPERLINK("http://www.twitter.com/JessicaFermor", "JessicaFermor")</f>
        <v>JessicaFermor</v>
      </c>
      <c r="B22270" s="65" t="s">
        <v>36</v>
      </c>
    </row>
    <row r="22271" spans="1:2" x14ac:dyDescent="0.25">
      <c r="A22271" s="64" t="str">
        <f>HYPERLINK("http://www.twitter.com/zzClaire", "zzClaire")</f>
        <v>zzClaire</v>
      </c>
      <c r="B22271" s="65"/>
    </row>
    <row r="22272" spans="1:2" x14ac:dyDescent="0.25">
      <c r="A22272" s="64" t="str">
        <f>HYPERLINK("http://www.twitter.com/FunnyBikeStuff", "FunnyBikeStuff")</f>
        <v>FunnyBikeStuff</v>
      </c>
      <c r="B22272" s="65" t="s">
        <v>477</v>
      </c>
    </row>
    <row r="22273" spans="1:2" x14ac:dyDescent="0.25">
      <c r="A22273" s="64" t="str">
        <f>HYPERLINK("http://www.twitter.com/tomholbrookboi", "tomholbrookboi")</f>
        <v>tomholbrookboi</v>
      </c>
      <c r="B22273" s="65"/>
    </row>
    <row r="22274" spans="1:2" x14ac:dyDescent="0.25">
      <c r="A22274" s="64" t="str">
        <f>HYPERLINK("http://www.twitter.com/HelenCadierno", "HelenCadierno")</f>
        <v>HelenCadierno</v>
      </c>
      <c r="B22274" s="65" t="s">
        <v>10278</v>
      </c>
    </row>
    <row r="22275" spans="1:2" x14ac:dyDescent="0.25">
      <c r="A22275" s="64" t="str">
        <f>HYPERLINK("http://www.twitter.com/Jenny270393", "Jenny270393")</f>
        <v>Jenny270393</v>
      </c>
      <c r="B22275" s="65" t="s">
        <v>2887</v>
      </c>
    </row>
    <row r="22276" spans="1:2" x14ac:dyDescent="0.25">
      <c r="A22276" s="64" t="str">
        <f>HYPERLINK("http://www.twitter.com/claresalaman", "claresalaman")</f>
        <v>claresalaman</v>
      </c>
      <c r="B22276" s="65" t="s">
        <v>36</v>
      </c>
    </row>
    <row r="22277" spans="1:2" x14ac:dyDescent="0.25">
      <c r="A22277" s="64" t="str">
        <f>HYPERLINK("http://www.twitter.com/yvetteloxton", "yvetteloxton")</f>
        <v>yvetteloxton</v>
      </c>
      <c r="B22277" s="65"/>
    </row>
    <row r="22278" spans="1:2" x14ac:dyDescent="0.25">
      <c r="A22278" s="64" t="str">
        <f>HYPERLINK("http://www.twitter.com/CashmoreJackie", "CashmoreJackie")</f>
        <v>CashmoreJackie</v>
      </c>
      <c r="B22278" s="65" t="s">
        <v>10279</v>
      </c>
    </row>
    <row r="22279" spans="1:2" x14ac:dyDescent="0.25">
      <c r="A22279" s="64" t="str">
        <f>HYPERLINK("http://www.twitter.com/RedTagged", "RedTagged")</f>
        <v>RedTagged</v>
      </c>
      <c r="B22279" s="65"/>
    </row>
    <row r="22280" spans="1:2" x14ac:dyDescent="0.25">
      <c r="A22280" s="64" t="str">
        <f>HYPERLINK("http://www.twitter.com/TownhillPF", "TownhillPF")</f>
        <v>TownhillPF</v>
      </c>
      <c r="B22280" s="65"/>
    </row>
    <row r="22281" spans="1:2" x14ac:dyDescent="0.25">
      <c r="A22281" s="64" t="str">
        <f>HYPERLINK("http://www.twitter.com/PughSusie", "PughSusie")</f>
        <v>PughSusie</v>
      </c>
      <c r="B22281" s="65"/>
    </row>
    <row r="22282" spans="1:2" x14ac:dyDescent="0.25">
      <c r="A22282" s="64" t="str">
        <f>HYPERLINK("http://www.twitter.com/13seh", "13seh")</f>
        <v>13seh</v>
      </c>
      <c r="B22282" s="65" t="s">
        <v>4409</v>
      </c>
    </row>
    <row r="22283" spans="1:2" x14ac:dyDescent="0.25">
      <c r="A22283" s="64" t="str">
        <f>HYPERLINK("http://www.twitter.com/Pipedreamplumb", "Pipedreamplumb")</f>
        <v>Pipedreamplumb</v>
      </c>
      <c r="B22283" s="65" t="s">
        <v>10280</v>
      </c>
    </row>
    <row r="22284" spans="1:2" x14ac:dyDescent="0.25">
      <c r="A22284" s="64" t="str">
        <f>HYPERLINK("http://www.twitter.com/JournoJane", "JournoJane")</f>
        <v>JournoJane</v>
      </c>
      <c r="B22284" s="65" t="s">
        <v>10281</v>
      </c>
    </row>
    <row r="22285" spans="1:2" x14ac:dyDescent="0.25">
      <c r="A22285" s="64" t="str">
        <f>HYPERLINK("http://www.twitter.com/willbowden", "willbowden")</f>
        <v>willbowden</v>
      </c>
      <c r="B22285" s="65" t="s">
        <v>10282</v>
      </c>
    </row>
    <row r="22286" spans="1:2" x14ac:dyDescent="0.25">
      <c r="A22286" s="64" t="str">
        <f>HYPERLINK("http://www.twitter.com/tomwhitney1210", "tomwhitney1210")</f>
        <v>tomwhitney1210</v>
      </c>
      <c r="B22286" s="65"/>
    </row>
    <row r="22287" spans="1:2" x14ac:dyDescent="0.25">
      <c r="A22287" s="64" t="str">
        <f>HYPERLINK("http://www.twitter.com/ElizMolineux", "ElizMolineux")</f>
        <v>ElizMolineux</v>
      </c>
      <c r="B22287" s="65" t="s">
        <v>10283</v>
      </c>
    </row>
    <row r="22288" spans="1:2" x14ac:dyDescent="0.25">
      <c r="A22288" s="64" t="str">
        <f>HYPERLINK("http://www.twitter.com/ClaireMeeLDN", "ClaireMeeLDN")</f>
        <v>ClaireMeeLDN</v>
      </c>
      <c r="B22288" s="65" t="s">
        <v>36</v>
      </c>
    </row>
    <row r="22289" spans="1:2" x14ac:dyDescent="0.25">
      <c r="A22289" s="64" t="str">
        <f>HYPERLINK("http://www.twitter.com/ClareFMM", "ClareFMM")</f>
        <v>ClareFMM</v>
      </c>
      <c r="B22289" s="65" t="s">
        <v>296</v>
      </c>
    </row>
    <row r="22290" spans="1:2" x14ac:dyDescent="0.25">
      <c r="A22290" s="64" t="str">
        <f>HYPERLINK("http://www.twitter.com/dmtonks", "dmtonks")</f>
        <v>dmtonks</v>
      </c>
      <c r="B22290" s="65"/>
    </row>
    <row r="22291" spans="1:2" x14ac:dyDescent="0.25">
      <c r="A22291" s="64" t="str">
        <f>HYPERLINK("http://www.twitter.com/deniseclooney", "deniseclooney")</f>
        <v>deniseclooney</v>
      </c>
      <c r="B22291" s="65" t="s">
        <v>10284</v>
      </c>
    </row>
    <row r="22292" spans="1:2" x14ac:dyDescent="0.25">
      <c r="A22292" s="64" t="str">
        <f>HYPERLINK("http://www.twitter.com/stevebakerj", "stevebakerj")</f>
        <v>stevebakerj</v>
      </c>
      <c r="B22292" s="65" t="s">
        <v>2030</v>
      </c>
    </row>
    <row r="22293" spans="1:2" x14ac:dyDescent="0.25">
      <c r="A22293" s="64" t="str">
        <f>HYPERLINK("http://www.twitter.com/janeturnpenny", "janeturnpenny")</f>
        <v>janeturnpenny</v>
      </c>
      <c r="B22293" s="65"/>
    </row>
    <row r="22294" spans="1:2" x14ac:dyDescent="0.25">
      <c r="A22294" s="64" t="str">
        <f>HYPERLINK("http://www.twitter.com/madalynr", "madalynr")</f>
        <v>madalynr</v>
      </c>
      <c r="B22294" s="65" t="s">
        <v>36</v>
      </c>
    </row>
    <row r="22295" spans="1:2" x14ac:dyDescent="0.25">
      <c r="A22295" s="64" t="str">
        <f>HYPERLINK("http://www.twitter.com/gillianfenwick", "gillianfenwick")</f>
        <v>gillianfenwick</v>
      </c>
      <c r="B22295" s="65" t="s">
        <v>10285</v>
      </c>
    </row>
    <row r="22296" spans="1:2" x14ac:dyDescent="0.25">
      <c r="A22296" s="64" t="str">
        <f>HYPERLINK("http://www.twitter.com/exexcc", "exexcc")</f>
        <v>exexcc</v>
      </c>
      <c r="B22296" s="65"/>
    </row>
    <row r="22297" spans="1:2" x14ac:dyDescent="0.25">
      <c r="A22297" s="64" t="str">
        <f>HYPERLINK("http://www.twitter.com/PottyGill", "PottyGill")</f>
        <v>PottyGill</v>
      </c>
      <c r="B22297" s="65" t="s">
        <v>4501</v>
      </c>
    </row>
    <row r="22298" spans="1:2" x14ac:dyDescent="0.25">
      <c r="A22298" s="64" t="str">
        <f>HYPERLINK("http://www.twitter.com/shannybasar", "shannybasar")</f>
        <v>shannybasar</v>
      </c>
      <c r="B22298" s="65" t="s">
        <v>10286</v>
      </c>
    </row>
    <row r="22299" spans="1:2" x14ac:dyDescent="0.25">
      <c r="A22299" s="64" t="str">
        <f>HYPERLINK("http://www.twitter.com/paisonline", "paisonline")</f>
        <v>paisonline</v>
      </c>
      <c r="B22299" s="65" t="s">
        <v>10287</v>
      </c>
    </row>
    <row r="22300" spans="1:2" x14ac:dyDescent="0.25">
      <c r="A22300" s="64" t="str">
        <f>HYPERLINK("http://www.twitter.com/JamesDaybell", "JamesDaybell")</f>
        <v>JamesDaybell</v>
      </c>
      <c r="B22300" s="65"/>
    </row>
    <row r="22301" spans="1:2" x14ac:dyDescent="0.25">
      <c r="A22301" s="64" t="str">
        <f>HYPERLINK("http://www.twitter.com/SMDaulton", "SMDaulton")</f>
        <v>SMDaulton</v>
      </c>
      <c r="B22301" s="65"/>
    </row>
    <row r="22302" spans="1:2" x14ac:dyDescent="0.25">
      <c r="A22302" s="64" t="str">
        <f>HYPERLINK("http://www.twitter.com/sharrattmix", "sharrattmix")</f>
        <v>sharrattmix</v>
      </c>
      <c r="B22302" s="65"/>
    </row>
    <row r="22303" spans="1:2" x14ac:dyDescent="0.25">
      <c r="A22303" s="64" t="str">
        <f>HYPERLINK("http://www.twitter.com/shed53", "shed53")</f>
        <v>shed53</v>
      </c>
      <c r="B22303" s="65" t="s">
        <v>1885</v>
      </c>
    </row>
    <row r="22304" spans="1:2" x14ac:dyDescent="0.25">
      <c r="A22304" s="64" t="str">
        <f>HYPERLINK("http://www.twitter.com/squeejay", "squeejay")</f>
        <v>squeejay</v>
      </c>
      <c r="B22304" s="65" t="s">
        <v>4325</v>
      </c>
    </row>
    <row r="22305" spans="1:2" x14ac:dyDescent="0.25">
      <c r="A22305" s="64" t="str">
        <f>HYPERLINK("http://www.twitter.com/Cathkinpark", "Cathkinpark")</f>
        <v>Cathkinpark</v>
      </c>
      <c r="B22305" s="65"/>
    </row>
    <row r="22306" spans="1:2" x14ac:dyDescent="0.25">
      <c r="A22306" s="64" t="str">
        <f>HYPERLINK("http://www.twitter.com/GerrySpeirs", "GerrySpeirs")</f>
        <v>GerrySpeirs</v>
      </c>
      <c r="B22306" s="65"/>
    </row>
    <row r="22307" spans="1:2" x14ac:dyDescent="0.25">
      <c r="A22307" s="64" t="str">
        <f>HYPERLINK("http://www.twitter.com/clarehuggett", "clarehuggett")</f>
        <v>clarehuggett</v>
      </c>
      <c r="B22307" s="65"/>
    </row>
    <row r="22308" spans="1:2" x14ac:dyDescent="0.25">
      <c r="A22308" s="64" t="str">
        <f>HYPERLINK("http://www.twitter.com/poss_Abilities", "poss_Abilities")</f>
        <v>poss_Abilities</v>
      </c>
      <c r="B22308" s="65" t="s">
        <v>1669</v>
      </c>
    </row>
    <row r="22309" spans="1:2" x14ac:dyDescent="0.25">
      <c r="A22309" s="64" t="str">
        <f>HYPERLINK("http://www.twitter.com/njbhorn", "njbhorn")</f>
        <v>njbhorn</v>
      </c>
      <c r="B22309" s="65" t="s">
        <v>36</v>
      </c>
    </row>
    <row r="22310" spans="1:2" x14ac:dyDescent="0.25">
      <c r="A22310" s="64" t="str">
        <f>HYPERLINK("http://www.twitter.com/vlegrove", "vlegrove")</f>
        <v>vlegrove</v>
      </c>
      <c r="B22310" s="65"/>
    </row>
    <row r="22311" spans="1:2" x14ac:dyDescent="0.25">
      <c r="A22311" s="64" t="str">
        <f>HYPERLINK("http://www.twitter.com/grovie", "grovie")</f>
        <v>grovie</v>
      </c>
      <c r="B22311" s="65" t="s">
        <v>10288</v>
      </c>
    </row>
    <row r="22312" spans="1:2" x14ac:dyDescent="0.25">
      <c r="A22312" s="64" t="str">
        <f>HYPERLINK("http://www.twitter.com/MargaretPeploe", "MargaretPeploe")</f>
        <v>MargaretPeploe</v>
      </c>
      <c r="B22312" s="65"/>
    </row>
    <row r="22313" spans="1:2" x14ac:dyDescent="0.25">
      <c r="A22313" s="64" t="str">
        <f>HYPERLINK("http://www.twitter.com/LynneJMcEwan", "LynneJMcEwan")</f>
        <v>LynneJMcEwan</v>
      </c>
      <c r="B22313" s="65" t="s">
        <v>10289</v>
      </c>
    </row>
    <row r="22314" spans="1:2" x14ac:dyDescent="0.25">
      <c r="A22314" s="64" t="str">
        <f>HYPERLINK("http://www.twitter.com/SAMWAF53", "SAMWAF53")</f>
        <v>SAMWAF53</v>
      </c>
      <c r="B22314" s="65" t="s">
        <v>3678</v>
      </c>
    </row>
    <row r="22315" spans="1:2" x14ac:dyDescent="0.25">
      <c r="A22315" s="64" t="str">
        <f>HYPERLINK("http://www.twitter.com/wendympgc", "wendympgc")</f>
        <v>wendympgc</v>
      </c>
      <c r="B22315" s="65" t="s">
        <v>10290</v>
      </c>
    </row>
    <row r="22316" spans="1:2" x14ac:dyDescent="0.25">
      <c r="A22316" s="64" t="str">
        <f>HYPERLINK("http://www.twitter.com/RachaelHodgetts", "RachaelHodgetts")</f>
        <v>RachaelHodgetts</v>
      </c>
      <c r="B22316" s="65" t="s">
        <v>4721</v>
      </c>
    </row>
    <row r="22317" spans="1:2" x14ac:dyDescent="0.25">
      <c r="A22317" s="64" t="str">
        <f>HYPERLINK("http://www.twitter.com/Proudtobebrass", "Proudtobebrass")</f>
        <v>Proudtobebrass</v>
      </c>
      <c r="B22317" s="65"/>
    </row>
    <row r="22318" spans="1:2" x14ac:dyDescent="0.25">
      <c r="A22318" s="64" t="str">
        <f>HYPERLINK("http://www.twitter.com/marian_barber", "marian_barber")</f>
        <v>marian_barber</v>
      </c>
      <c r="B22318" s="65" t="s">
        <v>8252</v>
      </c>
    </row>
    <row r="22319" spans="1:2" x14ac:dyDescent="0.25">
      <c r="A22319" s="64" t="str">
        <f>HYPERLINK("http://www.twitter.com/meadowvetchling", "meadowvetchling")</f>
        <v>meadowvetchling</v>
      </c>
      <c r="B22319" s="65" t="s">
        <v>4167</v>
      </c>
    </row>
    <row r="22320" spans="1:2" x14ac:dyDescent="0.25">
      <c r="A22320" s="64" t="str">
        <f>HYPERLINK("http://www.twitter.com/sketrick44", "sketrick44")</f>
        <v>sketrick44</v>
      </c>
      <c r="B22320" s="65" t="s">
        <v>2595</v>
      </c>
    </row>
    <row r="22321" spans="1:2" x14ac:dyDescent="0.25">
      <c r="A22321" s="64" t="str">
        <f>HYPERLINK("http://www.twitter.com/MartynCarey", "MartynCarey")</f>
        <v>MartynCarey</v>
      </c>
      <c r="B22321" s="65" t="s">
        <v>222</v>
      </c>
    </row>
    <row r="22322" spans="1:2" x14ac:dyDescent="0.25">
      <c r="A22322" s="64" t="str">
        <f>HYPERLINK("http://www.twitter.com/nmaksymuik", "nmaksymuik")</f>
        <v>nmaksymuik</v>
      </c>
      <c r="B22322" s="65" t="s">
        <v>138</v>
      </c>
    </row>
    <row r="22323" spans="1:2" x14ac:dyDescent="0.25">
      <c r="A22323" s="64" t="str">
        <f>HYPERLINK("http://www.twitter.com/TamsDillon", "TamsDillon")</f>
        <v>TamsDillon</v>
      </c>
      <c r="B22323" s="65"/>
    </row>
    <row r="22324" spans="1:2" x14ac:dyDescent="0.25">
      <c r="A22324" s="64" t="str">
        <f>HYPERLINK("http://www.twitter.com/DentedSaint", "DentedSaint")</f>
        <v>DentedSaint</v>
      </c>
      <c r="B22324" s="65"/>
    </row>
    <row r="22325" spans="1:2" x14ac:dyDescent="0.25">
      <c r="A22325" s="64" t="str">
        <f>HYPERLINK("http://www.twitter.com/AseeaM", "AseeaM")</f>
        <v>AseeaM</v>
      </c>
      <c r="B22325" s="65" t="s">
        <v>36</v>
      </c>
    </row>
    <row r="22326" spans="1:2" x14ac:dyDescent="0.25">
      <c r="A22326" s="64" t="str">
        <f>HYPERLINK("http://www.twitter.com/Bold_Text", "Bold_Text")</f>
        <v>Bold_Text</v>
      </c>
      <c r="B22326" s="65"/>
    </row>
    <row r="22327" spans="1:2" x14ac:dyDescent="0.25">
      <c r="A22327" s="64" t="str">
        <f>HYPERLINK("http://www.twitter.com/victoriawaller", "victoriawaller")</f>
        <v>victoriawaller</v>
      </c>
      <c r="B22327" s="65"/>
    </row>
    <row r="22328" spans="1:2" x14ac:dyDescent="0.25">
      <c r="A22328" s="64" t="str">
        <f>HYPERLINK("http://www.twitter.com/richvernon", "richvernon")</f>
        <v>richvernon</v>
      </c>
      <c r="B22328" s="65" t="s">
        <v>3665</v>
      </c>
    </row>
    <row r="22329" spans="1:2" x14ac:dyDescent="0.25">
      <c r="A22329" s="64" t="str">
        <f>HYPERLINK("http://www.twitter.com/suzannecagnoli", "suzannecagnoli")</f>
        <v>suzannecagnoli</v>
      </c>
      <c r="B22329" s="65" t="s">
        <v>10291</v>
      </c>
    </row>
    <row r="22330" spans="1:2" x14ac:dyDescent="0.25">
      <c r="A22330" s="64" t="str">
        <f>HYPERLINK("http://www.twitter.com/mcgetrick_jenny", "mcgetrick_jenny")</f>
        <v>mcgetrick_jenny</v>
      </c>
      <c r="B22330" s="65"/>
    </row>
    <row r="22331" spans="1:2" x14ac:dyDescent="0.25">
      <c r="A22331" s="64" t="str">
        <f>HYPERLINK("http://www.twitter.com/Felix226", "Felix226")</f>
        <v>Felix226</v>
      </c>
      <c r="B22331" s="65" t="s">
        <v>517</v>
      </c>
    </row>
    <row r="22332" spans="1:2" x14ac:dyDescent="0.25">
      <c r="A22332" s="64" t="str">
        <f>HYPERLINK("http://www.twitter.com/WormhillBooks", "WormhillBooks")</f>
        <v>WormhillBooks</v>
      </c>
      <c r="B22332" s="65" t="s">
        <v>10292</v>
      </c>
    </row>
    <row r="22333" spans="1:2" x14ac:dyDescent="0.25">
      <c r="A22333" s="64" t="str">
        <f>HYPERLINK("http://www.twitter.com/david_colquhoun", "david_colquhoun")</f>
        <v>david_colquhoun</v>
      </c>
      <c r="B22333" s="65" t="s">
        <v>10293</v>
      </c>
    </row>
    <row r="22334" spans="1:2" x14ac:dyDescent="0.25">
      <c r="A22334" s="64" t="str">
        <f>HYPERLINK("http://www.twitter.com/CAKubicki", "CAKubicki")</f>
        <v>CAKubicki</v>
      </c>
      <c r="B22334" s="65" t="s">
        <v>33</v>
      </c>
    </row>
    <row r="22335" spans="1:2" x14ac:dyDescent="0.25">
      <c r="A22335" s="64" t="str">
        <f>HYPERLINK("http://www.twitter.com/DomGarman", "DomGarman")</f>
        <v>DomGarman</v>
      </c>
      <c r="B22335" s="65" t="s">
        <v>296</v>
      </c>
    </row>
    <row r="22336" spans="1:2" x14ac:dyDescent="0.25">
      <c r="A22336" s="64" t="str">
        <f>HYPERLINK("http://www.twitter.com/GoldieAustin", "GoldieAustin")</f>
        <v>GoldieAustin</v>
      </c>
      <c r="B22336" s="65" t="s">
        <v>10294</v>
      </c>
    </row>
    <row r="22337" spans="1:2" x14ac:dyDescent="0.25">
      <c r="A22337" s="64" t="str">
        <f>HYPERLINK("http://www.twitter.com/MiriamLayton", "MiriamLayton")</f>
        <v>MiriamLayton</v>
      </c>
      <c r="B22337" s="65" t="s">
        <v>8032</v>
      </c>
    </row>
    <row r="22338" spans="1:2" x14ac:dyDescent="0.25">
      <c r="A22338" s="64" t="str">
        <f>HYPERLINK("http://www.twitter.com/Save_IWMLibrary", "Save_IWMLibrary")</f>
        <v>Save_IWMLibrary</v>
      </c>
      <c r="B22338" s="65" t="s">
        <v>4500</v>
      </c>
    </row>
    <row r="22339" spans="1:2" x14ac:dyDescent="0.25">
      <c r="A22339" s="64" t="str">
        <f>HYPERLINK("http://www.twitter.com/ibrocklebank", "ibrocklebank")</f>
        <v>ibrocklebank</v>
      </c>
      <c r="B22339" s="65" t="s">
        <v>10295</v>
      </c>
    </row>
    <row r="22340" spans="1:2" x14ac:dyDescent="0.25">
      <c r="A22340" s="64" t="str">
        <f>HYPERLINK("http://www.twitter.com/tedthornhill", "tedthornhill")</f>
        <v>tedthornhill</v>
      </c>
      <c r="B22340" s="65" t="s">
        <v>36</v>
      </c>
    </row>
    <row r="22341" spans="1:2" x14ac:dyDescent="0.25">
      <c r="A22341" s="64" t="str">
        <f>HYPERLINK("http://www.twitter.com/Sam_S_77", "Sam_S_77")</f>
        <v>Sam_S_77</v>
      </c>
      <c r="B22341" s="65"/>
    </row>
    <row r="22342" spans="1:2" x14ac:dyDescent="0.25">
      <c r="A22342" s="64" t="str">
        <f>HYPERLINK("http://www.twitter.com/emmapemma23", "emmapemma23")</f>
        <v>emmapemma23</v>
      </c>
      <c r="B22342" s="65"/>
    </row>
    <row r="22343" spans="1:2" x14ac:dyDescent="0.25">
      <c r="A22343" s="64" t="str">
        <f>HYPERLINK("http://www.twitter.com/gyllzd", "gyllzd")</f>
        <v>gyllzd</v>
      </c>
      <c r="B22343" s="65" t="s">
        <v>36</v>
      </c>
    </row>
    <row r="22344" spans="1:2" x14ac:dyDescent="0.25">
      <c r="A22344" s="64" t="str">
        <f>HYPERLINK("http://www.twitter.com/FinchWrites", "FinchWrites")</f>
        <v>FinchWrites</v>
      </c>
      <c r="B22344" s="65" t="s">
        <v>10296</v>
      </c>
    </row>
    <row r="22345" spans="1:2" x14ac:dyDescent="0.25">
      <c r="A22345" s="64" t="str">
        <f>HYPERLINK("http://www.twitter.com/SophSaysSmile", "SophSaysSmile")</f>
        <v>SophSaysSmile</v>
      </c>
      <c r="B22345" s="65"/>
    </row>
    <row r="22346" spans="1:2" x14ac:dyDescent="0.25">
      <c r="A22346" s="64" t="str">
        <f>HYPERLINK("http://www.twitter.com/v_cecilia", "v_cecilia")</f>
        <v>v_cecilia</v>
      </c>
      <c r="B22346" s="65"/>
    </row>
    <row r="22347" spans="1:2" x14ac:dyDescent="0.25">
      <c r="A22347" s="64" t="str">
        <f>HYPERLINK("http://www.twitter.com/VarndeanBooks", "VarndeanBooks")</f>
        <v>VarndeanBooks</v>
      </c>
      <c r="B22347" s="65" t="s">
        <v>2102</v>
      </c>
    </row>
    <row r="22348" spans="1:2" x14ac:dyDescent="0.25">
      <c r="A22348" s="64" t="str">
        <f>HYPERLINK("http://www.twitter.com/GoLochaber", "GoLochaber")</f>
        <v>GoLochaber</v>
      </c>
      <c r="B22348" s="65" t="s">
        <v>10297</v>
      </c>
    </row>
    <row r="22349" spans="1:2" x14ac:dyDescent="0.25">
      <c r="A22349" s="64" t="str">
        <f>HYPERLINK("http://www.twitter.com/CultureST", "CultureST")</f>
        <v>CultureST</v>
      </c>
      <c r="B22349" s="65" t="s">
        <v>36</v>
      </c>
    </row>
    <row r="22350" spans="1:2" x14ac:dyDescent="0.25">
      <c r="A22350" s="64" t="str">
        <f>HYPERLINK("http://www.twitter.com/HBrauns", "HBrauns")</f>
        <v>HBrauns</v>
      </c>
      <c r="B22350" s="65"/>
    </row>
    <row r="22351" spans="1:2" x14ac:dyDescent="0.25">
      <c r="A22351" s="64" t="str">
        <f>HYPERLINK("http://www.twitter.com/jacquimacp", "jacquimacp")</f>
        <v>jacquimacp</v>
      </c>
      <c r="B22351" s="65" t="s">
        <v>4187</v>
      </c>
    </row>
    <row r="22352" spans="1:2" x14ac:dyDescent="0.25">
      <c r="A22352" s="64" t="str">
        <f>HYPERLINK("http://www.twitter.com/FriendlyClubMag", "FriendlyClubMag")</f>
        <v>FriendlyClubMag</v>
      </c>
      <c r="B22352" s="65" t="s">
        <v>10298</v>
      </c>
    </row>
    <row r="22353" spans="1:2" x14ac:dyDescent="0.25">
      <c r="A22353" s="64" t="str">
        <f>HYPERLINK("http://www.twitter.com/gininatin", "gininatin")</f>
        <v>gininatin</v>
      </c>
      <c r="B22353" s="65"/>
    </row>
    <row r="22354" spans="1:2" x14ac:dyDescent="0.25">
      <c r="A22354" s="64" t="str">
        <f>HYPERLINK("http://www.twitter.com/gmichaelperry", "gmichaelperry")</f>
        <v>gmichaelperry</v>
      </c>
      <c r="B22354" s="65" t="s">
        <v>3633</v>
      </c>
    </row>
    <row r="22355" spans="1:2" x14ac:dyDescent="0.25">
      <c r="A22355" s="64" t="str">
        <f>HYPERLINK("http://www.twitter.com/lizzycampbell", "lizzycampbell")</f>
        <v>lizzycampbell</v>
      </c>
      <c r="B22355" s="65" t="s">
        <v>110</v>
      </c>
    </row>
    <row r="22356" spans="1:2" x14ac:dyDescent="0.25">
      <c r="A22356" s="64" t="str">
        <f>HYPERLINK("http://www.twitter.com/NoMud_NoLotus_", "NoMud_NoLotus_")</f>
        <v>NoMud_NoLotus_</v>
      </c>
      <c r="B22356" s="65" t="s">
        <v>310</v>
      </c>
    </row>
    <row r="22357" spans="1:2" x14ac:dyDescent="0.25">
      <c r="A22357" s="64" t="str">
        <f>HYPERLINK("http://www.twitter.com/AlastairForsyth", "AlastairForsyth")</f>
        <v>AlastairForsyth</v>
      </c>
      <c r="B22357" s="65" t="s">
        <v>20</v>
      </c>
    </row>
    <row r="22358" spans="1:2" x14ac:dyDescent="0.25">
      <c r="A22358" s="64" t="str">
        <f>HYPERLINK("http://www.twitter.com/dagi_uk", "dagi_uk")</f>
        <v>dagi_uk</v>
      </c>
      <c r="B22358" s="65" t="s">
        <v>296</v>
      </c>
    </row>
    <row r="22359" spans="1:2" x14ac:dyDescent="0.25">
      <c r="A22359" s="64" t="str">
        <f>HYPERLINK("http://www.twitter.com/SonofLincs", "SonofLincs")</f>
        <v>SonofLincs</v>
      </c>
      <c r="B22359" s="65" t="s">
        <v>9555</v>
      </c>
    </row>
    <row r="22360" spans="1:2" x14ac:dyDescent="0.25">
      <c r="A22360" s="64" t="str">
        <f>HYPERLINK("http://www.twitter.com/HildeSol", "HildeSol")</f>
        <v>HildeSol</v>
      </c>
      <c r="B22360" s="65" t="s">
        <v>9486</v>
      </c>
    </row>
    <row r="22361" spans="1:2" x14ac:dyDescent="0.25">
      <c r="A22361" s="64" t="str">
        <f>HYPERLINK("http://www.twitter.com/mycustardpie", "mycustardpie")</f>
        <v>mycustardpie</v>
      </c>
      <c r="B22361" s="65" t="s">
        <v>10299</v>
      </c>
    </row>
    <row r="22362" spans="1:2" x14ac:dyDescent="0.25">
      <c r="A22362" s="64" t="str">
        <f>HYPERLINK("http://www.twitter.com/LibraryRealTalk", "LibraryRealTalk")</f>
        <v>LibraryRealTalk</v>
      </c>
      <c r="B22362" s="65"/>
    </row>
    <row r="22363" spans="1:2" x14ac:dyDescent="0.25">
      <c r="A22363" s="64" t="str">
        <f>HYPERLINK("http://www.twitter.com/ivankaora", "ivankaora")</f>
        <v>ivankaora</v>
      </c>
      <c r="B22363" s="65" t="s">
        <v>2007</v>
      </c>
    </row>
    <row r="22364" spans="1:2" x14ac:dyDescent="0.25">
      <c r="A22364" s="64" t="str">
        <f>HYPERLINK("http://www.twitter.com/PublicInterests", "PublicInterests")</f>
        <v>PublicInterests</v>
      </c>
      <c r="B22364" s="65" t="s">
        <v>10300</v>
      </c>
    </row>
    <row r="22365" spans="1:2" x14ac:dyDescent="0.25">
      <c r="A22365" s="64" t="str">
        <f>HYPERLINK("http://www.twitter.com/croooky", "croooky")</f>
        <v>croooky</v>
      </c>
      <c r="B22365" s="65" t="s">
        <v>1739</v>
      </c>
    </row>
    <row r="22366" spans="1:2" x14ac:dyDescent="0.25">
      <c r="A22366" s="64" t="str">
        <f>HYPERLINK("http://www.twitter.com/aligunn3", "aligunn3")</f>
        <v>aligunn3</v>
      </c>
      <c r="B22366" s="65"/>
    </row>
    <row r="22367" spans="1:2" x14ac:dyDescent="0.25">
      <c r="A22367" s="64" t="str">
        <f>HYPERLINK("http://www.twitter.com/sue_durrand", "sue_durrand")</f>
        <v>sue_durrand</v>
      </c>
      <c r="B22367" s="65"/>
    </row>
    <row r="22368" spans="1:2" x14ac:dyDescent="0.25">
      <c r="A22368" s="64" t="str">
        <f>HYPERLINK("http://www.twitter.com/lnigro88", "lnigro88")</f>
        <v>lnigro88</v>
      </c>
      <c r="B22368" s="65"/>
    </row>
    <row r="22369" spans="1:2" x14ac:dyDescent="0.25">
      <c r="A22369" s="64" t="str">
        <f>HYPERLINK("http://www.twitter.com/kaddolan", "kaddolan")</f>
        <v>kaddolan</v>
      </c>
      <c r="B22369" s="65" t="s">
        <v>5212</v>
      </c>
    </row>
    <row r="22370" spans="1:2" x14ac:dyDescent="0.25">
      <c r="A22370" s="64" t="str">
        <f>HYPERLINK("http://www.twitter.com/ScottishRoutes", "ScottishRoutes")</f>
        <v>ScottishRoutes</v>
      </c>
      <c r="B22370" s="65" t="s">
        <v>24</v>
      </c>
    </row>
    <row r="22371" spans="1:2" x14ac:dyDescent="0.25">
      <c r="A22371" s="64" t="str">
        <f>HYPERLINK("http://www.twitter.com/sea_otter3", "sea_otter3")</f>
        <v>sea_otter3</v>
      </c>
      <c r="B22371" s="65"/>
    </row>
    <row r="22372" spans="1:2" x14ac:dyDescent="0.25">
      <c r="A22372" s="64" t="str">
        <f>HYPERLINK("http://www.twitter.com/brenda_carter3", "brenda_carter3")</f>
        <v>brenda_carter3</v>
      </c>
      <c r="B22372" s="65"/>
    </row>
    <row r="22373" spans="1:2" x14ac:dyDescent="0.25">
      <c r="A22373" s="64" t="str">
        <f>HYPERLINK("http://www.twitter.com/carterlynne47", "carterlynne47")</f>
        <v>carterlynne47</v>
      </c>
      <c r="B22373" s="65" t="s">
        <v>10301</v>
      </c>
    </row>
    <row r="22374" spans="1:2" x14ac:dyDescent="0.25">
      <c r="A22374" s="64" t="str">
        <f>HYPERLINK("http://www.twitter.com/twittificious", "twittificious")</f>
        <v>twittificious</v>
      </c>
      <c r="B22374" s="65" t="s">
        <v>4254</v>
      </c>
    </row>
    <row r="22375" spans="1:2" x14ac:dyDescent="0.25">
      <c r="A22375" s="64" t="str">
        <f>HYPERLINK("http://www.twitter.com/pocketfullofrye", "pocketfullofrye")</f>
        <v>pocketfullofrye</v>
      </c>
      <c r="B22375" s="65"/>
    </row>
    <row r="22376" spans="1:2" x14ac:dyDescent="0.25">
      <c r="A22376" s="64" t="str">
        <f>HYPERLINK("http://www.twitter.com/Thomowen", "Thomowen")</f>
        <v>Thomowen</v>
      </c>
      <c r="B22376" s="65"/>
    </row>
    <row r="22377" spans="1:2" x14ac:dyDescent="0.25">
      <c r="A22377" s="64" t="str">
        <f>HYPERLINK("http://www.twitter.com/geoffsau", "geoffsau")</f>
        <v>geoffsau</v>
      </c>
      <c r="B22377" s="65" t="s">
        <v>33</v>
      </c>
    </row>
    <row r="22378" spans="1:2" x14ac:dyDescent="0.25">
      <c r="A22378" s="64" t="str">
        <f>HYPERLINK("http://www.twitter.com/dilys1234", "dilys1234")</f>
        <v>dilys1234</v>
      </c>
      <c r="B22378" s="65"/>
    </row>
    <row r="22379" spans="1:2" x14ac:dyDescent="0.25">
      <c r="A22379" s="64" t="str">
        <f>HYPERLINK("http://www.twitter.com/VickyGarrington", "VickyGarrington")</f>
        <v>VickyGarrington</v>
      </c>
      <c r="B22379" s="65" t="s">
        <v>487</v>
      </c>
    </row>
    <row r="22380" spans="1:2" x14ac:dyDescent="0.25">
      <c r="A22380" s="64" t="str">
        <f>HYPERLINK("http://www.twitter.com/McpartlinRory", "McpartlinRory")</f>
        <v>McpartlinRory</v>
      </c>
      <c r="B22380" s="65"/>
    </row>
    <row r="22381" spans="1:2" x14ac:dyDescent="0.25">
      <c r="A22381" s="64" t="str">
        <f>HYPERLINK("http://www.twitter.com/lawley_y", "lawley_y")</f>
        <v>lawley_y</v>
      </c>
      <c r="B22381" s="65" t="s">
        <v>4129</v>
      </c>
    </row>
    <row r="22382" spans="1:2" x14ac:dyDescent="0.25">
      <c r="A22382" s="64" t="str">
        <f>HYPERLINK("http://www.twitter.com/CheekyBudgie", "CheekyBudgie")</f>
        <v>CheekyBudgie</v>
      </c>
      <c r="B22382" s="65" t="s">
        <v>10302</v>
      </c>
    </row>
    <row r="22383" spans="1:2" x14ac:dyDescent="0.25">
      <c r="A22383" s="64" t="str">
        <f>HYPERLINK("http://www.twitter.com/skimba", "skimba")</f>
        <v>skimba</v>
      </c>
      <c r="B22383" s="65" t="s">
        <v>1377</v>
      </c>
    </row>
    <row r="22384" spans="1:2" x14ac:dyDescent="0.25">
      <c r="A22384" s="64" t="str">
        <f>HYPERLINK("http://www.twitter.com/raeallen", "raeallen")</f>
        <v>raeallen</v>
      </c>
      <c r="B22384" s="65" t="s">
        <v>1479</v>
      </c>
    </row>
    <row r="22385" spans="1:2" x14ac:dyDescent="0.25">
      <c r="A22385" s="64" t="str">
        <f>HYPERLINK("http://www.twitter.com/jmreilly68", "jmreilly68")</f>
        <v>jmreilly68</v>
      </c>
      <c r="B22385" s="65" t="s">
        <v>6490</v>
      </c>
    </row>
    <row r="22386" spans="1:2" x14ac:dyDescent="0.25">
      <c r="A22386" s="64" t="str">
        <f>HYPERLINK("http://www.twitter.com/SallyRMelb", "SallyRMelb")</f>
        <v>SallyRMelb</v>
      </c>
      <c r="B22386" s="65" t="s">
        <v>3779</v>
      </c>
    </row>
    <row r="22387" spans="1:2" x14ac:dyDescent="0.25">
      <c r="A22387" s="64" t="str">
        <f>HYPERLINK("http://www.twitter.com/XUBE", "XUBE")</f>
        <v>XUBE</v>
      </c>
      <c r="B22387" s="65" t="s">
        <v>110</v>
      </c>
    </row>
    <row r="22388" spans="1:2" x14ac:dyDescent="0.25">
      <c r="A22388" s="64" t="str">
        <f>HYPERLINK("http://www.twitter.com/orivuato", "orivuato")</f>
        <v>orivuato</v>
      </c>
      <c r="B22388" s="65"/>
    </row>
    <row r="22389" spans="1:2" x14ac:dyDescent="0.25">
      <c r="A22389" s="64" t="str">
        <f>HYPERLINK("http://www.twitter.com/louisebradleyis", "louisebradleyis")</f>
        <v>louisebradleyis</v>
      </c>
      <c r="B22389" s="65" t="s">
        <v>361</v>
      </c>
    </row>
    <row r="22390" spans="1:2" x14ac:dyDescent="0.25">
      <c r="A22390" s="64" t="str">
        <f>HYPERLINK("http://www.twitter.com/jcsoultattoo", "jcsoultattoo")</f>
        <v>jcsoultattoo</v>
      </c>
      <c r="B22390" s="65" t="s">
        <v>10303</v>
      </c>
    </row>
    <row r="22391" spans="1:2" x14ac:dyDescent="0.25">
      <c r="A22391" s="64" t="str">
        <f>HYPERLINK("http://www.twitter.com/GwentArchives", "GwentArchives")</f>
        <v>GwentArchives</v>
      </c>
      <c r="B22391" s="65"/>
    </row>
    <row r="22392" spans="1:2" x14ac:dyDescent="0.25">
      <c r="A22392" s="64" t="str">
        <f>HYPERLINK("http://www.twitter.com/edcurtis", "edcurtis")</f>
        <v>edcurtis</v>
      </c>
      <c r="B22392" s="65" t="s">
        <v>10304</v>
      </c>
    </row>
    <row r="22393" spans="1:2" x14ac:dyDescent="0.25">
      <c r="A22393" s="64" t="str">
        <f>HYPERLINK("http://www.twitter.com/moriartyparty", "moriartyparty")</f>
        <v>moriartyparty</v>
      </c>
      <c r="B22393" s="65" t="s">
        <v>10305</v>
      </c>
    </row>
    <row r="22394" spans="1:2" x14ac:dyDescent="0.25">
      <c r="A22394" s="64" t="str">
        <f>HYPERLINK("http://www.twitter.com/WellReadAndy", "WellReadAndy")</f>
        <v>WellReadAndy</v>
      </c>
      <c r="B22394" s="65" t="s">
        <v>10306</v>
      </c>
    </row>
    <row r="22395" spans="1:2" x14ac:dyDescent="0.25">
      <c r="A22395" s="64" t="str">
        <f>HYPERLINK("http://www.twitter.com/Rogeriward", "Rogeriward")</f>
        <v>Rogeriward</v>
      </c>
      <c r="B22395" s="65" t="s">
        <v>4436</v>
      </c>
    </row>
    <row r="22396" spans="1:2" x14ac:dyDescent="0.25">
      <c r="A22396" s="64" t="str">
        <f>HYPERLINK("http://www.twitter.com/hoopsby4", "hoopsby4")</f>
        <v>hoopsby4</v>
      </c>
      <c r="B22396" s="65" t="s">
        <v>3988</v>
      </c>
    </row>
    <row r="22397" spans="1:2" x14ac:dyDescent="0.25">
      <c r="A22397" s="64" t="str">
        <f>HYPERLINK("http://www.twitter.com/Holy_coffee", "Holy_coffee")</f>
        <v>Holy_coffee</v>
      </c>
      <c r="B22397" s="65"/>
    </row>
    <row r="22398" spans="1:2" x14ac:dyDescent="0.25">
      <c r="A22398" s="64" t="str">
        <f>HYPERLINK("http://www.twitter.com/booksbalderdash", "booksbalderdash")</f>
        <v>booksbalderdash</v>
      </c>
      <c r="B22398" s="65" t="s">
        <v>10307</v>
      </c>
    </row>
    <row r="22399" spans="1:2" x14ac:dyDescent="0.25">
      <c r="A22399" s="64" t="str">
        <f>HYPERLINK("http://www.twitter.com/radiantfracture", "radiantfracture")</f>
        <v>radiantfracture</v>
      </c>
      <c r="B22399" s="65"/>
    </row>
    <row r="22400" spans="1:2" x14ac:dyDescent="0.25">
      <c r="A22400" s="64" t="str">
        <f>HYPERLINK("http://www.twitter.com/SusanCButts", "SusanCButts")</f>
        <v>SusanCButts</v>
      </c>
      <c r="B22400" s="65" t="s">
        <v>7286</v>
      </c>
    </row>
    <row r="22401" spans="1:2" x14ac:dyDescent="0.25">
      <c r="A22401" s="64" t="str">
        <f>HYPERLINK("http://www.twitter.com/WordSparks", "WordSparks")</f>
        <v>WordSparks</v>
      </c>
      <c r="B22401" s="65" t="s">
        <v>10308</v>
      </c>
    </row>
    <row r="22402" spans="1:2" x14ac:dyDescent="0.25">
      <c r="A22402" s="64" t="str">
        <f>HYPERLINK("http://www.twitter.com/sue_mayo", "sue_mayo")</f>
        <v>sue_mayo</v>
      </c>
      <c r="B22402" s="65"/>
    </row>
    <row r="22403" spans="1:2" x14ac:dyDescent="0.25">
      <c r="A22403" s="64" t="str">
        <f>HYPERLINK("http://www.twitter.com/Stephen_G_Brown", "Stephen_G_Brown")</f>
        <v>Stephen_G_Brown</v>
      </c>
      <c r="B22403" s="65" t="s">
        <v>4829</v>
      </c>
    </row>
    <row r="22404" spans="1:2" x14ac:dyDescent="0.25">
      <c r="A22404" s="64" t="str">
        <f>HYPERLINK("http://www.twitter.com/mise_eilis", "mise_eilis")</f>
        <v>mise_eilis</v>
      </c>
      <c r="B22404" s="65" t="s">
        <v>4291</v>
      </c>
    </row>
    <row r="22405" spans="1:2" x14ac:dyDescent="0.25">
      <c r="A22405" s="64" t="str">
        <f>HYPERLINK("http://www.twitter.com/nashpowers", "nashpowers")</f>
        <v>nashpowers</v>
      </c>
      <c r="B22405" s="65"/>
    </row>
    <row r="22406" spans="1:2" x14ac:dyDescent="0.25">
      <c r="A22406" s="64" t="str">
        <f>HYPERLINK("http://www.twitter.com/oneleggeddancer", "oneleggeddancer")</f>
        <v>oneleggeddancer</v>
      </c>
      <c r="B22406" s="65" t="s">
        <v>10309</v>
      </c>
    </row>
    <row r="22407" spans="1:2" x14ac:dyDescent="0.25">
      <c r="A22407" s="64" t="str">
        <f>HYPERLINK("http://www.twitter.com/godsavetebe", "godsavetebe")</f>
        <v>godsavetebe</v>
      </c>
      <c r="B22407" s="65" t="s">
        <v>5049</v>
      </c>
    </row>
    <row r="22408" spans="1:2" x14ac:dyDescent="0.25">
      <c r="A22408" s="64" t="str">
        <f>HYPERLINK("http://www.twitter.com/95point2", "95point2")</f>
        <v>95point2</v>
      </c>
      <c r="B22408" s="65" t="s">
        <v>10310</v>
      </c>
    </row>
    <row r="22409" spans="1:2" x14ac:dyDescent="0.25">
      <c r="A22409" s="64" t="str">
        <f>HYPERLINK("http://www.twitter.com/willisrfield", "willisrfield")</f>
        <v>willisrfield</v>
      </c>
      <c r="B22409" s="65"/>
    </row>
    <row r="22410" spans="1:2" x14ac:dyDescent="0.25">
      <c r="A22410" s="64" t="str">
        <f>HYPERLINK("http://www.twitter.com/ten_five_ten", "ten_five_ten")</f>
        <v>ten_five_ten</v>
      </c>
      <c r="B22410" s="65" t="s">
        <v>70</v>
      </c>
    </row>
    <row r="22411" spans="1:2" x14ac:dyDescent="0.25">
      <c r="A22411" s="64" t="str">
        <f>HYPERLINK("http://www.twitter.com/marvellousread", "marvellousread")</f>
        <v>marvellousread</v>
      </c>
      <c r="B22411" s="65"/>
    </row>
    <row r="22412" spans="1:2" x14ac:dyDescent="0.25">
      <c r="A22412" s="64" t="str">
        <f>HYPERLINK("http://www.twitter.com/Morningoldbeans", "Morningoldbeans")</f>
        <v>Morningoldbeans</v>
      </c>
      <c r="B22412" s="65"/>
    </row>
    <row r="22413" spans="1:2" x14ac:dyDescent="0.25">
      <c r="A22413" s="64" t="str">
        <f>HYPERLINK("http://www.twitter.com/infoaddictangie", "infoaddictangie")</f>
        <v>infoaddictangie</v>
      </c>
      <c r="B22413" s="65" t="s">
        <v>3778</v>
      </c>
    </row>
    <row r="22414" spans="1:2" x14ac:dyDescent="0.25">
      <c r="A22414" s="64" t="str">
        <f>HYPERLINK("http://www.twitter.com/WIWilde", "WIWilde")</f>
        <v>WIWilde</v>
      </c>
      <c r="B22414" s="65" t="s">
        <v>10311</v>
      </c>
    </row>
    <row r="22415" spans="1:2" x14ac:dyDescent="0.25">
      <c r="A22415" s="64" t="str">
        <f>HYPERLINK("http://www.twitter.com/kyriakosvog", "kyriakosvog")</f>
        <v>kyriakosvog</v>
      </c>
      <c r="B22415" s="65" t="s">
        <v>487</v>
      </c>
    </row>
    <row r="22416" spans="1:2" x14ac:dyDescent="0.25">
      <c r="A22416" s="64" t="str">
        <f>HYPERLINK("http://www.twitter.com/TwilaCamp", "TwilaCamp")</f>
        <v>TwilaCamp</v>
      </c>
      <c r="B22416" s="65"/>
    </row>
    <row r="22417" spans="1:2" x14ac:dyDescent="0.25">
      <c r="A22417" s="64" t="str">
        <f>HYPERLINK("http://www.twitter.com/ClassicsBuff", "ClassicsBuff")</f>
        <v>ClassicsBuff</v>
      </c>
      <c r="B22417" s="65"/>
    </row>
    <row r="22418" spans="1:2" x14ac:dyDescent="0.25">
      <c r="A22418" s="64" t="str">
        <f>HYPERLINK("http://www.twitter.com/emilygwiazda", "emilygwiazda")</f>
        <v>emilygwiazda</v>
      </c>
      <c r="B22418" s="65" t="s">
        <v>10312</v>
      </c>
    </row>
    <row r="22419" spans="1:2" x14ac:dyDescent="0.25">
      <c r="A22419" s="64" t="str">
        <f>HYPERLINK("http://www.twitter.com/_dgwillia", "_dgwillia")</f>
        <v>_dgwillia</v>
      </c>
      <c r="B22419" s="65"/>
    </row>
    <row r="22420" spans="1:2" x14ac:dyDescent="0.25">
      <c r="A22420" s="64" t="str">
        <f>HYPERLINK("http://www.twitter.com/oceanmedia", "oceanmedia")</f>
        <v>oceanmedia</v>
      </c>
      <c r="B22420" s="65" t="s">
        <v>10313</v>
      </c>
    </row>
    <row r="22421" spans="1:2" x14ac:dyDescent="0.25">
      <c r="A22421" s="64" t="str">
        <f>HYPERLINK("http://www.twitter.com/sabblesabbloid", "sabblesabbloid")</f>
        <v>sabblesabbloid</v>
      </c>
      <c r="B22421" s="65" t="s">
        <v>7716</v>
      </c>
    </row>
    <row r="22422" spans="1:2" x14ac:dyDescent="0.25">
      <c r="A22422" s="64" t="str">
        <f>HYPERLINK("http://www.twitter.com/shroplavender", "shroplavender")</f>
        <v>shroplavender</v>
      </c>
      <c r="B22422" s="65" t="s">
        <v>10314</v>
      </c>
    </row>
    <row r="22423" spans="1:2" x14ac:dyDescent="0.25">
      <c r="A22423" s="64" t="str">
        <f>HYPERLINK("http://www.twitter.com/ntm1230", "ntm1230")</f>
        <v>ntm1230</v>
      </c>
      <c r="B22423" s="65"/>
    </row>
    <row r="22424" spans="1:2" x14ac:dyDescent="0.25">
      <c r="A22424" s="64" t="str">
        <f>HYPERLINK("http://www.twitter.com/MariaSGuedes", "MariaSGuedes")</f>
        <v>MariaSGuedes</v>
      </c>
      <c r="B22424" s="65"/>
    </row>
    <row r="22425" spans="1:2" x14ac:dyDescent="0.25">
      <c r="A22425" s="64" t="str">
        <f>HYPERLINK("http://www.twitter.com/MichaelDuncan88", "MichaelDuncan88")</f>
        <v>MichaelDuncan88</v>
      </c>
      <c r="B22425" s="65"/>
    </row>
    <row r="22426" spans="1:2" x14ac:dyDescent="0.25">
      <c r="A22426" s="64" t="str">
        <f>HYPERLINK("http://www.twitter.com/bbcgenome", "bbcgenome")</f>
        <v>bbcgenome</v>
      </c>
      <c r="B22426" s="65"/>
    </row>
    <row r="22427" spans="1:2" x14ac:dyDescent="0.25">
      <c r="A22427" s="64" t="str">
        <f>HYPERLINK("http://www.twitter.com/htjwalton", "htjwalton")</f>
        <v>htjwalton</v>
      </c>
      <c r="B22427" s="65" t="s">
        <v>70</v>
      </c>
    </row>
    <row r="22428" spans="1:2" x14ac:dyDescent="0.25">
      <c r="A22428" s="64" t="str">
        <f>HYPERLINK("http://www.twitter.com/calmoriarty", "calmoriarty")</f>
        <v>calmoriarty</v>
      </c>
      <c r="B22428" s="65" t="s">
        <v>10315</v>
      </c>
    </row>
    <row r="22429" spans="1:2" x14ac:dyDescent="0.25">
      <c r="A22429" s="64" t="str">
        <f>HYPERLINK("http://www.twitter.com/_HeatherAPalmer", "_HeatherAPalmer")</f>
        <v>_HeatherAPalmer</v>
      </c>
      <c r="B22429" s="65" t="s">
        <v>517</v>
      </c>
    </row>
    <row r="22430" spans="1:2" x14ac:dyDescent="0.25">
      <c r="A22430" s="64" t="str">
        <f>HYPERLINK("http://www.twitter.com/N0rmski41", "N0rmski41")</f>
        <v>N0rmski41</v>
      </c>
      <c r="B22430" s="65"/>
    </row>
    <row r="22431" spans="1:2" x14ac:dyDescent="0.25">
      <c r="A22431" s="64" t="str">
        <f>HYPERLINK("http://www.twitter.com/BookmanDonald", "BookmanDonald")</f>
        <v>BookmanDonald</v>
      </c>
      <c r="B22431" s="65"/>
    </row>
    <row r="22432" spans="1:2" x14ac:dyDescent="0.25">
      <c r="A22432" s="64" t="str">
        <f>HYPERLINK("http://www.twitter.com/jillworldwide", "jillworldwide")</f>
        <v>jillworldwide</v>
      </c>
      <c r="B22432" s="65" t="s">
        <v>7200</v>
      </c>
    </row>
    <row r="22433" spans="1:2" x14ac:dyDescent="0.25">
      <c r="A22433" s="64" t="str">
        <f>HYPERLINK("http://www.twitter.com/Danb396", "Danb396")</f>
        <v>Danb396</v>
      </c>
      <c r="B22433" s="65"/>
    </row>
    <row r="22434" spans="1:2" x14ac:dyDescent="0.25">
      <c r="A22434" s="64" t="str">
        <f>HYPERLINK("http://www.twitter.com/bjorkschauffer", "bjorkschauffer")</f>
        <v>bjorkschauffer</v>
      </c>
      <c r="B22434" s="65" t="s">
        <v>10316</v>
      </c>
    </row>
    <row r="22435" spans="1:2" x14ac:dyDescent="0.25">
      <c r="A22435" s="64" t="str">
        <f>HYPERLINK("http://www.twitter.com/Lissa_Cook", "Lissa_Cook")</f>
        <v>Lissa_Cook</v>
      </c>
      <c r="B22435" s="65" t="s">
        <v>10317</v>
      </c>
    </row>
    <row r="22436" spans="1:2" x14ac:dyDescent="0.25">
      <c r="A22436" s="64" t="str">
        <f>HYPERLINK("http://www.twitter.com/SimMurlock", "SimMurlock")</f>
        <v>SimMurlock</v>
      </c>
      <c r="B22436" s="65" t="s">
        <v>2792</v>
      </c>
    </row>
    <row r="22437" spans="1:2" x14ac:dyDescent="0.25">
      <c r="A22437" s="64" t="str">
        <f>HYPERLINK("http://www.twitter.com/EllipseFP", "EllipseFP")</f>
        <v>EllipseFP</v>
      </c>
      <c r="B22437" s="65"/>
    </row>
    <row r="22438" spans="1:2" x14ac:dyDescent="0.25">
      <c r="A22438" s="64" t="str">
        <f>HYPERLINK("http://www.twitter.com/Terrylorry", "Terrylorry")</f>
        <v>Terrylorry</v>
      </c>
      <c r="B22438" s="65" t="s">
        <v>10318</v>
      </c>
    </row>
    <row r="22439" spans="1:2" x14ac:dyDescent="0.25">
      <c r="A22439" s="64" t="str">
        <f>HYPERLINK("http://www.twitter.com/otley_gill", "otley_gill")</f>
        <v>otley_gill</v>
      </c>
      <c r="B22439" s="65"/>
    </row>
    <row r="22440" spans="1:2" x14ac:dyDescent="0.25">
      <c r="A22440" s="64" t="str">
        <f>HYPERLINK("http://www.twitter.com/laurafjones", "laurafjones")</f>
        <v>laurafjones</v>
      </c>
      <c r="B22440" s="65" t="s">
        <v>487</v>
      </c>
    </row>
    <row r="22441" spans="1:2" x14ac:dyDescent="0.25">
      <c r="A22441" s="64" t="str">
        <f>HYPERLINK("http://www.twitter.com/Hannika83", "Hannika83")</f>
        <v>Hannika83</v>
      </c>
      <c r="B22441" s="65" t="s">
        <v>10319</v>
      </c>
    </row>
    <row r="22442" spans="1:2" x14ac:dyDescent="0.25">
      <c r="A22442" s="64" t="str">
        <f>HYPERLINK("http://www.twitter.com/j2bishop", "j2bishop")</f>
        <v>j2bishop</v>
      </c>
      <c r="B22442" s="65"/>
    </row>
    <row r="22443" spans="1:2" x14ac:dyDescent="0.25">
      <c r="A22443" s="64" t="str">
        <f>HYPERLINK("http://www.twitter.com/soph_shan", "soph_shan")</f>
        <v>soph_shan</v>
      </c>
      <c r="B22443" s="65" t="s">
        <v>3779</v>
      </c>
    </row>
    <row r="22444" spans="1:2" x14ac:dyDescent="0.25">
      <c r="A22444" s="64" t="str">
        <f>HYPERLINK("http://www.twitter.com/TerryTitrubber", "TerryTitrubber")</f>
        <v>TerryTitrubber</v>
      </c>
      <c r="B22444" s="65"/>
    </row>
    <row r="22445" spans="1:2" x14ac:dyDescent="0.25">
      <c r="A22445" s="64" t="str">
        <f>HYPERLINK("http://www.twitter.com/EllaMatildaB", "EllaMatildaB")</f>
        <v>EllaMatildaB</v>
      </c>
      <c r="B22445" s="65" t="s">
        <v>36</v>
      </c>
    </row>
    <row r="22446" spans="1:2" x14ac:dyDescent="0.25">
      <c r="A22446" s="64" t="str">
        <f>HYPERLINK("http://www.twitter.com/lorcanbolster", "lorcanbolster")</f>
        <v>lorcanbolster</v>
      </c>
      <c r="B22446" s="65" t="s">
        <v>10320</v>
      </c>
    </row>
    <row r="22447" spans="1:2" x14ac:dyDescent="0.25">
      <c r="A22447" s="64" t="str">
        <f>HYPERLINK("http://www.twitter.com/kittyvonbertele", "kittyvonbertele")</f>
        <v>kittyvonbertele</v>
      </c>
      <c r="B22447" s="65"/>
    </row>
    <row r="22448" spans="1:2" x14ac:dyDescent="0.25">
      <c r="A22448" s="64" t="str">
        <f>HYPERLINK("http://www.twitter.com/glenn8a", "glenn8a")</f>
        <v>glenn8a</v>
      </c>
      <c r="B22448" s="65"/>
    </row>
    <row r="22449" spans="1:2" x14ac:dyDescent="0.25">
      <c r="A22449" s="64" t="str">
        <f>HYPERLINK("http://www.twitter.com/KottElaine", "KottElaine")</f>
        <v>KottElaine</v>
      </c>
      <c r="B22449" s="65"/>
    </row>
    <row r="22450" spans="1:2" x14ac:dyDescent="0.25">
      <c r="A22450" s="64" t="str">
        <f>HYPERLINK("http://www.twitter.com/goldstartome", "goldstartome")</f>
        <v>goldstartome</v>
      </c>
      <c r="B22450" s="65" t="s">
        <v>10321</v>
      </c>
    </row>
    <row r="22451" spans="1:2" x14ac:dyDescent="0.25">
      <c r="A22451" s="64" t="str">
        <f>HYPERLINK("http://www.twitter.com/josecavy", "josecavy")</f>
        <v>josecavy</v>
      </c>
      <c r="B22451" s="65"/>
    </row>
    <row r="22452" spans="1:2" x14ac:dyDescent="0.25">
      <c r="A22452" s="64" t="str">
        <f>HYPERLINK("http://www.twitter.com/ToriSpratt", "ToriSpratt")</f>
        <v>ToriSpratt</v>
      </c>
      <c r="B22452" s="65"/>
    </row>
    <row r="22453" spans="1:2" x14ac:dyDescent="0.25">
      <c r="A22453" s="64" t="str">
        <f>HYPERLINK("http://www.twitter.com/CrumblepotThree", "CrumblepotThree")</f>
        <v>CrumblepotThree</v>
      </c>
      <c r="B22453" s="65"/>
    </row>
    <row r="22454" spans="1:2" x14ac:dyDescent="0.25">
      <c r="A22454" s="64" t="str">
        <f>HYPERLINK("http://www.twitter.com/TaytoCrispinus", "TaytoCrispinus")</f>
        <v>TaytoCrispinus</v>
      </c>
      <c r="B22454" s="65"/>
    </row>
    <row r="22455" spans="1:2" x14ac:dyDescent="0.25">
      <c r="A22455" s="64" t="str">
        <f>HYPERLINK("http://www.twitter.com/QualiaBird", "QualiaBird")</f>
        <v>QualiaBird</v>
      </c>
      <c r="B22455" s="65" t="s">
        <v>5770</v>
      </c>
    </row>
    <row r="22456" spans="1:2" x14ac:dyDescent="0.25">
      <c r="A22456" s="64" t="str">
        <f>HYPERLINK("http://www.twitter.com/nicholasmeny", "nicholasmeny")</f>
        <v>nicholasmeny</v>
      </c>
      <c r="B22456" s="65" t="s">
        <v>487</v>
      </c>
    </row>
    <row r="22457" spans="1:2" x14ac:dyDescent="0.25">
      <c r="A22457" s="64" t="str">
        <f>HYPERLINK("http://www.twitter.com/CorshamBookshop", "CorshamBookshop")</f>
        <v>CorshamBookshop</v>
      </c>
      <c r="B22457" s="65" t="s">
        <v>10322</v>
      </c>
    </row>
    <row r="22458" spans="1:2" x14ac:dyDescent="0.25">
      <c r="A22458" s="64" t="str">
        <f>HYPERLINK("http://www.twitter.com/NTS_archaeology", "NTS_archaeology")</f>
        <v>NTS_archaeology</v>
      </c>
      <c r="B22458" s="65" t="s">
        <v>517</v>
      </c>
    </row>
    <row r="22459" spans="1:2" x14ac:dyDescent="0.25">
      <c r="A22459" s="64" t="str">
        <f>HYPERLINK("http://www.twitter.com/iangibbins", "iangibbins")</f>
        <v>iangibbins</v>
      </c>
      <c r="B22459" s="65" t="s">
        <v>10323</v>
      </c>
    </row>
    <row r="22460" spans="1:2" x14ac:dyDescent="0.25">
      <c r="A22460" s="64" t="str">
        <f>HYPERLINK("http://www.twitter.com/_GillianHarris", "_GillianHarris")</f>
        <v>_GillianHarris</v>
      </c>
      <c r="B22460" s="65" t="s">
        <v>24</v>
      </c>
    </row>
    <row r="22461" spans="1:2" x14ac:dyDescent="0.25">
      <c r="A22461" s="64" t="str">
        <f>HYPERLINK("http://www.twitter.com/WillJPatterson", "WillJPatterson")</f>
        <v>WillJPatterson</v>
      </c>
      <c r="B22461" s="65" t="s">
        <v>863</v>
      </c>
    </row>
    <row r="22462" spans="1:2" x14ac:dyDescent="0.25">
      <c r="A22462" s="64" t="str">
        <f>HYPERLINK("http://www.twitter.com/AlexLogie", "AlexLogie")</f>
        <v>AlexLogie</v>
      </c>
      <c r="B22462" s="65" t="s">
        <v>296</v>
      </c>
    </row>
    <row r="22463" spans="1:2" x14ac:dyDescent="0.25">
      <c r="A22463" s="64" t="str">
        <f>HYPERLINK("http://www.twitter.com/moodieblack", "moodieblack")</f>
        <v>moodieblack</v>
      </c>
      <c r="B22463" s="65" t="s">
        <v>5138</v>
      </c>
    </row>
    <row r="22464" spans="1:2" x14ac:dyDescent="0.25">
      <c r="A22464" s="64" t="str">
        <f>HYPERLINK("http://www.twitter.com/VA_Scotland", "VA_Scotland")</f>
        <v>VA_Scotland</v>
      </c>
      <c r="B22464" s="65" t="s">
        <v>517</v>
      </c>
    </row>
    <row r="22465" spans="1:2" x14ac:dyDescent="0.25">
      <c r="A22465" s="64" t="str">
        <f>HYPERLINK("http://www.twitter.com/archaeostef", "archaeostef")</f>
        <v>archaeostef</v>
      </c>
      <c r="B22465" s="65"/>
    </row>
    <row r="22466" spans="1:2" x14ac:dyDescent="0.25">
      <c r="A22466" s="64" t="str">
        <f>HYPERLINK("http://www.twitter.com/windship253", "windship253")</f>
        <v>windship253</v>
      </c>
      <c r="B22466" s="65"/>
    </row>
    <row r="22467" spans="1:2" x14ac:dyDescent="0.25">
      <c r="A22467" s="64" t="str">
        <f>HYPERLINK("http://www.twitter.com/helenashton12", "helenashton12")</f>
        <v>helenashton12</v>
      </c>
      <c r="B22467" s="65"/>
    </row>
    <row r="22468" spans="1:2" x14ac:dyDescent="0.25">
      <c r="A22468" s="64" t="str">
        <f>HYPERLINK("http://www.twitter.com/BookmarkPeople", "BookmarkPeople")</f>
        <v>BookmarkPeople</v>
      </c>
      <c r="B22468" s="65" t="s">
        <v>3559</v>
      </c>
    </row>
    <row r="22469" spans="1:2" x14ac:dyDescent="0.25">
      <c r="A22469" s="64" t="str">
        <f>HYPERLINK("http://www.twitter.com/cordeliaks", "cordeliaks")</f>
        <v>cordeliaks</v>
      </c>
      <c r="B22469" s="65" t="s">
        <v>4145</v>
      </c>
    </row>
    <row r="22470" spans="1:2" x14ac:dyDescent="0.25">
      <c r="A22470" s="64" t="str">
        <f>HYPERLINK("http://www.twitter.com/gardenorganicuk", "gardenorganicuk")</f>
        <v>gardenorganicuk</v>
      </c>
      <c r="B22470" s="65" t="s">
        <v>593</v>
      </c>
    </row>
    <row r="22471" spans="1:2" x14ac:dyDescent="0.25">
      <c r="A22471" s="64" t="str">
        <f>HYPERLINK("http://www.twitter.com/GreenSteve_com", "GreenSteve_com")</f>
        <v>GreenSteve_com</v>
      </c>
      <c r="B22471" s="65" t="s">
        <v>36</v>
      </c>
    </row>
    <row r="22472" spans="1:2" x14ac:dyDescent="0.25">
      <c r="A22472" s="64" t="str">
        <f>HYPERLINK("http://www.twitter.com/graybakery", "graybakery")</f>
        <v>graybakery</v>
      </c>
      <c r="B22472" s="65"/>
    </row>
    <row r="22473" spans="1:2" x14ac:dyDescent="0.25">
      <c r="A22473" s="64" t="str">
        <f>HYPERLINK("http://www.twitter.com/bridges_matt", "bridges_matt")</f>
        <v>bridges_matt</v>
      </c>
      <c r="B22473" s="65"/>
    </row>
    <row r="22474" spans="1:2" x14ac:dyDescent="0.25">
      <c r="A22474" s="64" t="str">
        <f>HYPERLINK("http://www.twitter.com/celiamac58", "celiamac58")</f>
        <v>celiamac58</v>
      </c>
      <c r="B22474" s="65"/>
    </row>
    <row r="22475" spans="1:2" x14ac:dyDescent="0.25">
      <c r="A22475" s="64" t="str">
        <f>HYPERLINK("http://www.twitter.com/boabyd", "boabyd")</f>
        <v>boabyd</v>
      </c>
      <c r="B22475" s="65" t="s">
        <v>138</v>
      </c>
    </row>
    <row r="22476" spans="1:2" x14ac:dyDescent="0.25">
      <c r="A22476" s="64" t="str">
        <f>HYPERLINK("http://www.twitter.com/Books_Scissors", "Books_Scissors")</f>
        <v>Books_Scissors</v>
      </c>
      <c r="B22476" s="65" t="s">
        <v>36</v>
      </c>
    </row>
    <row r="22477" spans="1:2" x14ac:dyDescent="0.25">
      <c r="A22477" s="64" t="str">
        <f>HYPERLINK("http://www.twitter.com/AlexEdits", "AlexEdits")</f>
        <v>AlexEdits</v>
      </c>
      <c r="B22477" s="65" t="s">
        <v>24</v>
      </c>
    </row>
    <row r="22478" spans="1:2" x14ac:dyDescent="0.25">
      <c r="A22478" s="64" t="str">
        <f>HYPERLINK("http://www.twitter.com/MiriamDrori", "MiriamDrori")</f>
        <v>MiriamDrori</v>
      </c>
      <c r="B22478" s="65" t="s">
        <v>10324</v>
      </c>
    </row>
    <row r="22479" spans="1:2" x14ac:dyDescent="0.25">
      <c r="A22479" s="64" t="str">
        <f>HYPERLINK("http://www.twitter.com/stephens_ben", "stephens_ben")</f>
        <v>stephens_ben</v>
      </c>
      <c r="B22479" s="65" t="s">
        <v>5522</v>
      </c>
    </row>
    <row r="22480" spans="1:2" x14ac:dyDescent="0.25">
      <c r="A22480" s="64" t="str">
        <f>HYPERLINK("http://www.twitter.com/zizzyathome", "zizzyathome")</f>
        <v>zizzyathome</v>
      </c>
      <c r="B22480" s="65"/>
    </row>
    <row r="22481" spans="1:2" x14ac:dyDescent="0.25">
      <c r="A22481" s="64" t="str">
        <f>HYPERLINK("http://www.twitter.com/Stellarquines", "Stellarquines")</f>
        <v>Stellarquines</v>
      </c>
      <c r="B22481" s="65" t="s">
        <v>24</v>
      </c>
    </row>
    <row r="22482" spans="1:2" x14ac:dyDescent="0.25">
      <c r="A22482" s="64" t="str">
        <f>HYPERLINK("http://www.twitter.com/NSomLibraries", "NSomLibraries")</f>
        <v>NSomLibraries</v>
      </c>
      <c r="B22482" s="65" t="s">
        <v>1235</v>
      </c>
    </row>
    <row r="22483" spans="1:2" x14ac:dyDescent="0.25">
      <c r="A22483" s="64" t="str">
        <f>HYPERLINK("http://www.twitter.com/TivertonMuseum", "TivertonMuseum")</f>
        <v>TivertonMuseum</v>
      </c>
      <c r="B22483" s="65" t="s">
        <v>10325</v>
      </c>
    </row>
    <row r="22484" spans="1:2" x14ac:dyDescent="0.25">
      <c r="A22484" s="64" t="str">
        <f>HYPERLINK("http://www.twitter.com/BtiKomatsu", "BtiKomatsu")</f>
        <v>BtiKomatsu</v>
      </c>
      <c r="B22484" s="65"/>
    </row>
    <row r="22485" spans="1:2" x14ac:dyDescent="0.25">
      <c r="A22485" s="64" t="str">
        <f>HYPERLINK("http://www.twitter.com/ivanovitch57", "ivanovitch57")</f>
        <v>ivanovitch57</v>
      </c>
      <c r="B22485" s="65"/>
    </row>
    <row r="22486" spans="1:2" x14ac:dyDescent="0.25">
      <c r="A22486" s="64" t="str">
        <f>HYPERLINK("http://www.twitter.com/LimeHelen", "LimeHelen")</f>
        <v>LimeHelen</v>
      </c>
      <c r="B22486" s="65"/>
    </row>
    <row r="22487" spans="1:2" x14ac:dyDescent="0.25">
      <c r="A22487" s="64" t="str">
        <f>HYPERLINK("http://www.twitter.com/RitchTamarah", "RitchTamarah")</f>
        <v>RitchTamarah</v>
      </c>
      <c r="B22487" s="65"/>
    </row>
    <row r="22488" spans="1:2" x14ac:dyDescent="0.25">
      <c r="A22488" s="64" t="str">
        <f>HYPERLINK("http://www.twitter.com/Active_Prospect", "Active_Prospect")</f>
        <v>Active_Prospect</v>
      </c>
      <c r="B22488" s="65" t="s">
        <v>10326</v>
      </c>
    </row>
    <row r="22489" spans="1:2" x14ac:dyDescent="0.25">
      <c r="A22489" s="64" t="str">
        <f>HYPERLINK("http://www.twitter.com/revisedontology", "revisedontology")</f>
        <v>revisedontology</v>
      </c>
      <c r="B22489" s="65" t="s">
        <v>10327</v>
      </c>
    </row>
    <row r="22490" spans="1:2" x14ac:dyDescent="0.25">
      <c r="A22490" s="64" t="str">
        <f>HYPERLINK("http://www.twitter.com/SophieBridger", "SophieBridger")</f>
        <v>SophieBridger</v>
      </c>
      <c r="B22490" s="65" t="s">
        <v>487</v>
      </c>
    </row>
    <row r="22491" spans="1:2" x14ac:dyDescent="0.25">
      <c r="A22491" s="64" t="str">
        <f>HYPERLINK("http://www.twitter.com/kmscotia", "kmscotia")</f>
        <v>kmscotia</v>
      </c>
      <c r="B22491" s="65"/>
    </row>
    <row r="22492" spans="1:2" x14ac:dyDescent="0.25">
      <c r="A22492" s="64" t="str">
        <f>HYPERLINK("http://www.twitter.com/Melinda53032219", "Melinda53032219")</f>
        <v>Melinda53032219</v>
      </c>
      <c r="B22492" s="65"/>
    </row>
    <row r="22493" spans="1:2" x14ac:dyDescent="0.25">
      <c r="A22493" s="64" t="str">
        <f>HYPERLINK("http://www.twitter.com/WendyJLewis", "WendyJLewis")</f>
        <v>WendyJLewis</v>
      </c>
      <c r="B22493" s="65" t="s">
        <v>10328</v>
      </c>
    </row>
    <row r="22494" spans="1:2" x14ac:dyDescent="0.25">
      <c r="A22494" s="64" t="str">
        <f>HYPERLINK("http://www.twitter.com/MuzzMan78", "MuzzMan78")</f>
        <v>MuzzMan78</v>
      </c>
      <c r="B22494" s="65" t="s">
        <v>3817</v>
      </c>
    </row>
    <row r="22495" spans="1:2" x14ac:dyDescent="0.25">
      <c r="A22495" s="64" t="str">
        <f>HYPERLINK("http://www.twitter.com/SES3105", "SES3105")</f>
        <v>SES3105</v>
      </c>
      <c r="B22495" s="65"/>
    </row>
    <row r="22496" spans="1:2" x14ac:dyDescent="0.25">
      <c r="A22496" s="64" t="str">
        <f>HYPERLINK("http://www.twitter.com/KirstenCowie", "KirstenCowie")</f>
        <v>KirstenCowie</v>
      </c>
      <c r="B22496" s="65"/>
    </row>
    <row r="22497" spans="1:2" x14ac:dyDescent="0.25">
      <c r="A22497" s="64" t="str">
        <f>HYPERLINK("http://www.twitter.com/TrishSwain1", "TrishSwain1")</f>
        <v>TrishSwain1</v>
      </c>
      <c r="B22497" s="65"/>
    </row>
    <row r="22498" spans="1:2" x14ac:dyDescent="0.25">
      <c r="A22498" s="64" t="str">
        <f>HYPERLINK("http://www.twitter.com/gwension", "gwension")</f>
        <v>gwension</v>
      </c>
      <c r="B22498" s="65" t="s">
        <v>10329</v>
      </c>
    </row>
    <row r="22499" spans="1:2" x14ac:dyDescent="0.25">
      <c r="A22499" s="64" t="str">
        <f>HYPERLINK("http://www.twitter.com/justinabc111", "justinabc111")</f>
        <v>justinabc111</v>
      </c>
      <c r="B22499" s="65"/>
    </row>
    <row r="22500" spans="1:2" x14ac:dyDescent="0.25">
      <c r="A22500" s="64" t="str">
        <f>HYPERLINK("http://www.twitter.com/muttonkidneys", "muttonkidneys")</f>
        <v>muttonkidneys</v>
      </c>
      <c r="B22500" s="65" t="s">
        <v>3951</v>
      </c>
    </row>
    <row r="22501" spans="1:2" x14ac:dyDescent="0.25">
      <c r="A22501" s="64" t="str">
        <f>HYPERLINK("http://www.twitter.com/CookmacCooke", "CookmacCooke")</f>
        <v>CookmacCooke</v>
      </c>
      <c r="B22501" s="65" t="s">
        <v>520</v>
      </c>
    </row>
    <row r="22502" spans="1:2" x14ac:dyDescent="0.25">
      <c r="A22502" s="64" t="str">
        <f>HYPERLINK("http://www.twitter.com/Lettybird", "Lettybird")</f>
        <v>Lettybird</v>
      </c>
      <c r="B22502" s="65"/>
    </row>
    <row r="22503" spans="1:2" x14ac:dyDescent="0.25">
      <c r="A22503" s="64" t="str">
        <f>HYPERLINK("http://www.twitter.com/DeansJulia", "DeansJulia")</f>
        <v>DeansJulia</v>
      </c>
      <c r="B22503" s="65"/>
    </row>
    <row r="22504" spans="1:2" x14ac:dyDescent="0.25">
      <c r="A22504" s="64" t="str">
        <f>HYPERLINK("http://www.twitter.com/peter_qwerty", "peter_qwerty")</f>
        <v>peter_qwerty</v>
      </c>
      <c r="B22504" s="65" t="s">
        <v>10330</v>
      </c>
    </row>
    <row r="22505" spans="1:2" x14ac:dyDescent="0.25">
      <c r="A22505" s="64" t="str">
        <f>HYPERLINK("http://www.twitter.com/redalphababe", "redalphababe")</f>
        <v>redalphababe</v>
      </c>
      <c r="B22505" s="65" t="s">
        <v>10331</v>
      </c>
    </row>
    <row r="22506" spans="1:2" x14ac:dyDescent="0.25">
      <c r="A22506" s="64" t="str">
        <f>HYPERLINK("http://www.twitter.com/dustytrinket", "dustytrinket")</f>
        <v>dustytrinket</v>
      </c>
      <c r="B22506" s="65" t="s">
        <v>10332</v>
      </c>
    </row>
    <row r="22507" spans="1:2" x14ac:dyDescent="0.25">
      <c r="A22507" s="64" t="str">
        <f>HYPERLINK("http://www.twitter.com/BardDavie", "BardDavie")</f>
        <v>BardDavie</v>
      </c>
      <c r="B22507" s="65"/>
    </row>
    <row r="22508" spans="1:2" x14ac:dyDescent="0.25">
      <c r="A22508" s="64" t="str">
        <f>HYPERLINK("http://www.twitter.com/RogerKeens", "RogerKeens")</f>
        <v>RogerKeens</v>
      </c>
      <c r="B22508" s="65" t="s">
        <v>10333</v>
      </c>
    </row>
    <row r="22509" spans="1:2" x14ac:dyDescent="0.25">
      <c r="A22509" s="64" t="str">
        <f>HYPERLINK("http://www.twitter.com/elmcrofter", "elmcrofter")</f>
        <v>elmcrofter</v>
      </c>
      <c r="B22509" s="65" t="s">
        <v>361</v>
      </c>
    </row>
    <row r="22510" spans="1:2" x14ac:dyDescent="0.25">
      <c r="A22510" s="64" t="str">
        <f>HYPERLINK("http://www.twitter.com/5uz1ebentley", "5uz1ebentley")</f>
        <v>5uz1ebentley</v>
      </c>
      <c r="B22510" s="65"/>
    </row>
    <row r="22511" spans="1:2" x14ac:dyDescent="0.25">
      <c r="A22511" s="64" t="str">
        <f>HYPERLINK("http://www.twitter.com/KatyShuroo", "KatyShuroo")</f>
        <v>KatyShuroo</v>
      </c>
      <c r="B22511" s="65" t="s">
        <v>10334</v>
      </c>
    </row>
    <row r="22512" spans="1:2" x14ac:dyDescent="0.25">
      <c r="A22512" s="64" t="str">
        <f>HYPERLINK("http://www.twitter.com/peterdouglasr", "peterdouglasr")</f>
        <v>peterdouglasr</v>
      </c>
      <c r="B22512" s="65" t="s">
        <v>3779</v>
      </c>
    </row>
    <row r="22513" spans="1:2" x14ac:dyDescent="0.25">
      <c r="A22513" s="64" t="str">
        <f>HYPERLINK("http://www.twitter.com/lynnegoodwin13", "lynnegoodwin13")</f>
        <v>lynnegoodwin13</v>
      </c>
      <c r="B22513" s="65"/>
    </row>
    <row r="22514" spans="1:2" x14ac:dyDescent="0.25">
      <c r="A22514" s="64" t="str">
        <f>HYPERLINK("http://www.twitter.com/gravelincs", "gravelincs")</f>
        <v>gravelincs</v>
      </c>
      <c r="B22514" s="65"/>
    </row>
    <row r="22515" spans="1:2" x14ac:dyDescent="0.25">
      <c r="A22515" s="64" t="str">
        <f>HYPERLINK("http://www.twitter.com/MoragPlank", "MoragPlank")</f>
        <v>MoragPlank</v>
      </c>
      <c r="B22515" s="65"/>
    </row>
    <row r="22516" spans="1:2" x14ac:dyDescent="0.25">
      <c r="A22516" s="64" t="str">
        <f>HYPERLINK("http://www.twitter.com/BlakDragonKnits", "BlakDragonKnits")</f>
        <v>BlakDragonKnits</v>
      </c>
      <c r="B22516" s="65" t="s">
        <v>1537</v>
      </c>
    </row>
    <row r="22517" spans="1:2" x14ac:dyDescent="0.25">
      <c r="A22517" s="64" t="str">
        <f>HYPERLINK("http://www.twitter.com/TimSpurs", "TimSpurs")</f>
        <v>TimSpurs</v>
      </c>
      <c r="B22517" s="65" t="s">
        <v>10335</v>
      </c>
    </row>
    <row r="22518" spans="1:2" x14ac:dyDescent="0.25">
      <c r="A22518" s="64" t="str">
        <f>HYPERLINK("http://www.twitter.com/magneticgonorth", "magneticgonorth")</f>
        <v>magneticgonorth</v>
      </c>
      <c r="B22518" s="65" t="s">
        <v>1377</v>
      </c>
    </row>
    <row r="22519" spans="1:2" x14ac:dyDescent="0.25">
      <c r="A22519" s="64" t="str">
        <f>HYPERLINK("http://www.twitter.com/MagicMumla", "MagicMumla")</f>
        <v>MagicMumla</v>
      </c>
      <c r="B22519" s="65"/>
    </row>
    <row r="22520" spans="1:2" x14ac:dyDescent="0.25">
      <c r="A22520" s="64" t="str">
        <f>HYPERLINK("http://www.twitter.com/alsieparish", "alsieparish")</f>
        <v>alsieparish</v>
      </c>
      <c r="B22520" s="65"/>
    </row>
    <row r="22521" spans="1:2" x14ac:dyDescent="0.25">
      <c r="A22521" s="64" t="str">
        <f>HYPERLINK("http://www.twitter.com/piedwarbler1", "piedwarbler1")</f>
        <v>piedwarbler1</v>
      </c>
      <c r="B22521" s="65" t="s">
        <v>10336</v>
      </c>
    </row>
    <row r="22522" spans="1:2" x14ac:dyDescent="0.25">
      <c r="A22522" s="64" t="str">
        <f>HYPERLINK("http://www.twitter.com/catheriner60", "catheriner60")</f>
        <v>catheriner60</v>
      </c>
      <c r="B22522" s="65"/>
    </row>
    <row r="22523" spans="1:2" x14ac:dyDescent="0.25">
      <c r="A22523" s="64" t="str">
        <f>HYPERLINK("http://www.twitter.com/hazelwright46", "hazelwright46")</f>
        <v>hazelwright46</v>
      </c>
      <c r="B22523" s="65" t="s">
        <v>2564</v>
      </c>
    </row>
    <row r="22524" spans="1:2" x14ac:dyDescent="0.25">
      <c r="A22524" s="64" t="str">
        <f>HYPERLINK("http://www.twitter.com/siobhanmcguigan", "siobhanmcguigan")</f>
        <v>siobhanmcguigan</v>
      </c>
      <c r="B22524" s="65" t="s">
        <v>135</v>
      </c>
    </row>
    <row r="22525" spans="1:2" x14ac:dyDescent="0.25">
      <c r="A22525" s="64" t="str">
        <f>HYPERLINK("http://www.twitter.com/salawatson", "salawatson")</f>
        <v>salawatson</v>
      </c>
      <c r="B22525" s="65" t="s">
        <v>5891</v>
      </c>
    </row>
    <row r="22526" spans="1:2" x14ac:dyDescent="0.25">
      <c r="A22526" s="64" t="str">
        <f>HYPERLINK("http://www.twitter.com/stella_carslaw", "stella_carslaw")</f>
        <v>stella_carslaw</v>
      </c>
      <c r="B22526" s="65"/>
    </row>
    <row r="22527" spans="1:2" x14ac:dyDescent="0.25">
      <c r="A22527" s="64" t="str">
        <f>HYPERLINK("http://www.twitter.com/heyjude287_jude", "heyjude287_jude")</f>
        <v>heyjude287_jude</v>
      </c>
      <c r="B22527" s="65"/>
    </row>
    <row r="22528" spans="1:2" x14ac:dyDescent="0.25">
      <c r="A22528" s="64" t="str">
        <f>HYPERLINK("http://www.twitter.com/nmacsweeney", "nmacsweeney")</f>
        <v>nmacsweeney</v>
      </c>
      <c r="B22528" s="65"/>
    </row>
    <row r="22529" spans="1:2" x14ac:dyDescent="0.25">
      <c r="A22529" s="64" t="str">
        <f>HYPERLINK("http://www.twitter.com/ClarkRemarks", "ClarkRemarks")</f>
        <v>ClarkRemarks</v>
      </c>
      <c r="B22529" s="65" t="s">
        <v>10337</v>
      </c>
    </row>
    <row r="22530" spans="1:2" x14ac:dyDescent="0.25">
      <c r="A22530" s="64" t="str">
        <f>HYPERLINK("http://www.twitter.com/Phil_Warsaw", "Phil_Warsaw")</f>
        <v>Phil_Warsaw</v>
      </c>
      <c r="B22530" s="65" t="s">
        <v>7943</v>
      </c>
    </row>
    <row r="22531" spans="1:2" x14ac:dyDescent="0.25">
      <c r="A22531" s="64" t="str">
        <f>HYPERLINK("http://www.twitter.com/nickbanyard", "nickbanyard")</f>
        <v>nickbanyard</v>
      </c>
      <c r="B22531" s="65" t="s">
        <v>1033</v>
      </c>
    </row>
    <row r="22532" spans="1:2" x14ac:dyDescent="0.25">
      <c r="A22532" s="64" t="str">
        <f>HYPERLINK("http://www.twitter.com/BuftonKate", "BuftonKate")</f>
        <v>BuftonKate</v>
      </c>
      <c r="B22532" s="65" t="s">
        <v>8520</v>
      </c>
    </row>
    <row r="22533" spans="1:2" x14ac:dyDescent="0.25">
      <c r="A22533" s="64" t="str">
        <f>HYPERLINK("http://www.twitter.com/gab83", "gab83")</f>
        <v>gab83</v>
      </c>
      <c r="B22533" s="65" t="s">
        <v>10338</v>
      </c>
    </row>
    <row r="22534" spans="1:2" x14ac:dyDescent="0.25">
      <c r="A22534" s="64" t="str">
        <f>HYPERLINK("http://www.twitter.com/jofree1972", "jofree1972")</f>
        <v>jofree1972</v>
      </c>
      <c r="B22534" s="65" t="s">
        <v>36</v>
      </c>
    </row>
    <row r="22535" spans="1:2" x14ac:dyDescent="0.25">
      <c r="A22535" s="64" t="str">
        <f>HYPERLINK("http://www.twitter.com/DixonandFranks", "DixonandFranks")</f>
        <v>DixonandFranks</v>
      </c>
      <c r="B22535" s="65" t="s">
        <v>10339</v>
      </c>
    </row>
    <row r="22536" spans="1:2" x14ac:dyDescent="0.25">
      <c r="A22536" s="64" t="str">
        <f>HYPERLINK("http://www.twitter.com/Diiii", "Diiii")</f>
        <v>Diiii</v>
      </c>
      <c r="B22536" s="65" t="s">
        <v>36</v>
      </c>
    </row>
    <row r="22537" spans="1:2" x14ac:dyDescent="0.25">
      <c r="A22537" s="64" t="str">
        <f>HYPERLINK("http://www.twitter.com/AjayPatel1000", "AjayPatel1000")</f>
        <v>AjayPatel1000</v>
      </c>
      <c r="B22537" s="65" t="s">
        <v>33</v>
      </c>
    </row>
    <row r="22538" spans="1:2" x14ac:dyDescent="0.25">
      <c r="A22538" s="64" t="str">
        <f>HYPERLINK("http://www.twitter.com/Elly183", "Elly183")</f>
        <v>Elly183</v>
      </c>
      <c r="B22538" s="65"/>
    </row>
    <row r="22539" spans="1:2" x14ac:dyDescent="0.25">
      <c r="A22539" s="64" t="str">
        <f>HYPERLINK("http://www.twitter.com/RidlerSimon", "RidlerSimon")</f>
        <v>RidlerSimon</v>
      </c>
      <c r="B22539" s="65"/>
    </row>
    <row r="22540" spans="1:2" x14ac:dyDescent="0.25">
      <c r="A22540" s="64" t="str">
        <f>HYPERLINK("http://www.twitter.com/Charlhere", "Charlhere")</f>
        <v>Charlhere</v>
      </c>
      <c r="B22540" s="65"/>
    </row>
    <row r="22541" spans="1:2" x14ac:dyDescent="0.25">
      <c r="A22541" s="64" t="str">
        <f>HYPERLINK("http://www.twitter.com/therealwendyf", "therealwendyf")</f>
        <v>therealwendyf</v>
      </c>
      <c r="B22541" s="65"/>
    </row>
    <row r="22542" spans="1:2" x14ac:dyDescent="0.25">
      <c r="A22542" s="64" t="str">
        <f>HYPERLINK("http://www.twitter.com/paulshaw376", "paulshaw376")</f>
        <v>paulshaw376</v>
      </c>
      <c r="B22542" s="65" t="s">
        <v>36</v>
      </c>
    </row>
    <row r="22543" spans="1:2" x14ac:dyDescent="0.25">
      <c r="A22543" s="64" t="str">
        <f>HYPERLINK("http://www.twitter.com/louiseroddon", "louiseroddon")</f>
        <v>louiseroddon</v>
      </c>
      <c r="B22543" s="65" t="s">
        <v>1980</v>
      </c>
    </row>
    <row r="22544" spans="1:2" x14ac:dyDescent="0.25">
      <c r="A22544" s="64" t="str">
        <f>HYPERLINK("http://www.twitter.com/megangraff", "megangraff")</f>
        <v>megangraff</v>
      </c>
      <c r="B22544" s="65" t="s">
        <v>10340</v>
      </c>
    </row>
    <row r="22545" spans="1:2" x14ac:dyDescent="0.25">
      <c r="A22545" s="64" t="str">
        <f>HYPERLINK("http://www.twitter.com/MelChurcher", "MelChurcher")</f>
        <v>MelChurcher</v>
      </c>
      <c r="B22545" s="65" t="s">
        <v>296</v>
      </c>
    </row>
    <row r="22546" spans="1:2" x14ac:dyDescent="0.25">
      <c r="A22546" s="64" t="str">
        <f>HYPERLINK("http://www.twitter.com/AngharadTaunton", "AngharadTaunton")</f>
        <v>AngharadTaunton</v>
      </c>
      <c r="B22546" s="65"/>
    </row>
    <row r="22547" spans="1:2" x14ac:dyDescent="0.25">
      <c r="A22547" s="64" t="str">
        <f>HYPERLINK("http://www.twitter.com/roopzRMC", "roopzRMC")</f>
        <v>roopzRMC</v>
      </c>
      <c r="B22547" s="65"/>
    </row>
    <row r="22548" spans="1:2" x14ac:dyDescent="0.25">
      <c r="A22548" s="64" t="str">
        <f>HYPERLINK("http://www.twitter.com/mschristiesmith", "mschristiesmith")</f>
        <v>mschristiesmith</v>
      </c>
      <c r="B22548" s="65" t="s">
        <v>138</v>
      </c>
    </row>
    <row r="22549" spans="1:2" x14ac:dyDescent="0.25">
      <c r="A22549" s="64" t="str">
        <f>HYPERLINK("http://www.twitter.com/cathyparnall", "cathyparnall")</f>
        <v>cathyparnall</v>
      </c>
      <c r="B22549" s="65"/>
    </row>
    <row r="22550" spans="1:2" x14ac:dyDescent="0.25">
      <c r="A22550" s="64" t="str">
        <f>HYPERLINK("http://www.twitter.com/ODwyer_Author", "ODwyer_Author")</f>
        <v>ODwyer_Author</v>
      </c>
      <c r="B22550" s="65" t="s">
        <v>70</v>
      </c>
    </row>
    <row r="22551" spans="1:2" x14ac:dyDescent="0.25">
      <c r="A22551" s="64" t="str">
        <f>HYPERLINK("http://www.twitter.com/QPCSGovPol", "QPCSGovPol")</f>
        <v>QPCSGovPol</v>
      </c>
      <c r="B22551" s="65" t="s">
        <v>10341</v>
      </c>
    </row>
    <row r="22552" spans="1:2" x14ac:dyDescent="0.25">
      <c r="A22552" s="64" t="str">
        <f>HYPERLINK("http://www.twitter.com/theviewtube", "theviewtube")</f>
        <v>theviewtube</v>
      </c>
      <c r="B22552" s="65" t="s">
        <v>10342</v>
      </c>
    </row>
    <row r="22553" spans="1:2" x14ac:dyDescent="0.25">
      <c r="A22553" s="64" t="str">
        <f>HYPERLINK("http://www.twitter.com/weswee", "weswee")</f>
        <v>weswee</v>
      </c>
      <c r="B22553" s="65"/>
    </row>
    <row r="22554" spans="1:2" x14ac:dyDescent="0.25">
      <c r="A22554" s="64" t="str">
        <f>HYPERLINK("http://www.twitter.com/DebbieBlumenau", "DebbieBlumenau")</f>
        <v>DebbieBlumenau</v>
      </c>
      <c r="B22554" s="65" t="s">
        <v>36</v>
      </c>
    </row>
    <row r="22555" spans="1:2" x14ac:dyDescent="0.25">
      <c r="A22555" s="64" t="str">
        <f>HYPERLINK("http://www.twitter.com/ClareJenkins13", "ClareJenkins13")</f>
        <v>ClareJenkins13</v>
      </c>
      <c r="B22555" s="65" t="s">
        <v>459</v>
      </c>
    </row>
    <row r="22556" spans="1:2" x14ac:dyDescent="0.25">
      <c r="A22556" s="64" t="str">
        <f>HYPERLINK("http://www.twitter.com/tCorsieAtIken", "tCorsieAtIken")</f>
        <v>tCorsieAtIken</v>
      </c>
      <c r="B22556" s="65" t="s">
        <v>1295</v>
      </c>
    </row>
    <row r="22557" spans="1:2" x14ac:dyDescent="0.25">
      <c r="A22557" s="64" t="str">
        <f>HYPERLINK("http://www.twitter.com/smashdigital1", "smashdigital1")</f>
        <v>smashdigital1</v>
      </c>
      <c r="B22557" s="65" t="s">
        <v>24</v>
      </c>
    </row>
    <row r="22558" spans="1:2" x14ac:dyDescent="0.25">
      <c r="A22558" s="64" t="str">
        <f>HYPERLINK("http://www.twitter.com/WriteGrwchWstns", "WriteGrwchWstns")</f>
        <v>WriteGrwchWstns</v>
      </c>
      <c r="B22558" s="65"/>
    </row>
    <row r="22559" spans="1:2" x14ac:dyDescent="0.25">
      <c r="A22559" s="64" t="str">
        <f>HYPERLINK("http://www.twitter.com/MrsWumper", "MrsWumper")</f>
        <v>MrsWumper</v>
      </c>
      <c r="B22559" s="65"/>
    </row>
    <row r="22560" spans="1:2" x14ac:dyDescent="0.25">
      <c r="A22560" s="64" t="str">
        <f>HYPERLINK("http://www.twitter.com/yorksastemari", "yorksastemari")</f>
        <v>yorksastemari</v>
      </c>
      <c r="B22560" s="65"/>
    </row>
    <row r="22561" spans="1:2" x14ac:dyDescent="0.25">
      <c r="A22561" s="64" t="str">
        <f>HYPERLINK("http://www.twitter.com/gwj_1", "gwj_1")</f>
        <v>gwj_1</v>
      </c>
      <c r="B22561" s="65"/>
    </row>
    <row r="22562" spans="1:2" x14ac:dyDescent="0.25">
      <c r="A22562" s="64" t="str">
        <f>HYPERLINK("http://www.twitter.com/RossLDG1", "RossLDG1")</f>
        <v>RossLDG1</v>
      </c>
      <c r="B22562" s="65" t="s">
        <v>10344</v>
      </c>
    </row>
    <row r="22563" spans="1:2" x14ac:dyDescent="0.25">
      <c r="A22563" s="64" t="str">
        <f>HYPERLINK("http://www.twitter.com/LittleWonders13", "LittleWonders13")</f>
        <v>LittleWonders13</v>
      </c>
      <c r="B22563" s="65" t="s">
        <v>10345</v>
      </c>
    </row>
    <row r="22564" spans="1:2" x14ac:dyDescent="0.25">
      <c r="A22564" s="64" t="str">
        <f>HYPERLINK("http://www.twitter.com/miffy1967", "miffy1967")</f>
        <v>miffy1967</v>
      </c>
      <c r="B22564" s="65"/>
    </row>
    <row r="22565" spans="1:2" x14ac:dyDescent="0.25">
      <c r="A22565" s="64" t="str">
        <f>HYPERLINK("http://www.twitter.com/drpaulgarcia", "drpaulgarcia")</f>
        <v>drpaulgarcia</v>
      </c>
      <c r="B22565" s="65" t="s">
        <v>4409</v>
      </c>
    </row>
    <row r="22566" spans="1:2" x14ac:dyDescent="0.25">
      <c r="A22566" s="64" t="str">
        <f>HYPERLINK("http://www.twitter.com/SandieHarrigan", "SandieHarrigan")</f>
        <v>SandieHarrigan</v>
      </c>
      <c r="B22566" s="65" t="s">
        <v>3842</v>
      </c>
    </row>
    <row r="22567" spans="1:2" x14ac:dyDescent="0.25">
      <c r="A22567" s="64" t="str">
        <f>HYPERLINK("http://www.twitter.com/clairebrownie", "clairebrownie")</f>
        <v>clairebrownie</v>
      </c>
      <c r="B22567" s="65"/>
    </row>
    <row r="22568" spans="1:2" x14ac:dyDescent="0.25">
      <c r="A22568" s="64" t="str">
        <f>HYPERLINK("http://www.twitter.com/Martywalshie", "Martywalshie")</f>
        <v>Martywalshie</v>
      </c>
      <c r="B22568" s="65"/>
    </row>
    <row r="22569" spans="1:2" x14ac:dyDescent="0.25">
      <c r="A22569" s="64" t="str">
        <f>HYPERLINK("http://www.twitter.com/m_k_saunders", "m_k_saunders")</f>
        <v>m_k_saunders</v>
      </c>
      <c r="B22569" s="65" t="s">
        <v>10346</v>
      </c>
    </row>
    <row r="22570" spans="1:2" x14ac:dyDescent="0.25">
      <c r="A22570" s="64" t="str">
        <f>HYPERLINK("http://www.twitter.com/CarolYoung6", "CarolYoung6")</f>
        <v>CarolYoung6</v>
      </c>
      <c r="B22570" s="65"/>
    </row>
    <row r="22571" spans="1:2" x14ac:dyDescent="0.25">
      <c r="A22571" s="64" t="str">
        <f>HYPERLINK("http://www.twitter.com/Jomarymonk", "Jomarymonk")</f>
        <v>Jomarymonk</v>
      </c>
      <c r="B22571" s="65"/>
    </row>
    <row r="22572" spans="1:2" x14ac:dyDescent="0.25">
      <c r="A22572" s="64" t="str">
        <f>HYPERLINK("http://www.twitter.com/elsewhere55", "elsewhere55")</f>
        <v>elsewhere55</v>
      </c>
      <c r="B22572" s="65" t="s">
        <v>7341</v>
      </c>
    </row>
    <row r="22573" spans="1:2" x14ac:dyDescent="0.25">
      <c r="A22573" s="64" t="str">
        <f>HYPERLINK("http://www.twitter.com/lucyvictoriajo1", "lucyvictoriajo1")</f>
        <v>lucyvictoriajo1</v>
      </c>
      <c r="B22573" s="65"/>
    </row>
    <row r="22574" spans="1:2" x14ac:dyDescent="0.25">
      <c r="A22574" s="64" t="str">
        <f>HYPERLINK("http://www.twitter.com/AJwestgal", "AJwestgal")</f>
        <v>AJwestgal</v>
      </c>
      <c r="B22574" s="65" t="s">
        <v>10347</v>
      </c>
    </row>
    <row r="22575" spans="1:2" x14ac:dyDescent="0.25">
      <c r="A22575" s="64" t="str">
        <f>HYPERLINK("http://www.twitter.com/StephenShandor", "StephenShandor")</f>
        <v>StephenShandor</v>
      </c>
      <c r="B22575" s="65" t="s">
        <v>4001</v>
      </c>
    </row>
    <row r="22576" spans="1:2" x14ac:dyDescent="0.25">
      <c r="A22576" s="64" t="str">
        <f>HYPERLINK("http://www.twitter.com/daysabroad", "daysabroad")</f>
        <v>daysabroad</v>
      </c>
      <c r="B22576" s="65" t="s">
        <v>10348</v>
      </c>
    </row>
    <row r="22577" spans="1:2" x14ac:dyDescent="0.25">
      <c r="A22577" s="64" t="str">
        <f>HYPERLINK("http://www.twitter.com/LibbyAnson", "LibbyAnson")</f>
        <v>LibbyAnson</v>
      </c>
      <c r="B22577" s="65" t="s">
        <v>10349</v>
      </c>
    </row>
    <row r="22578" spans="1:2" x14ac:dyDescent="0.25">
      <c r="A22578" s="64" t="str">
        <f>HYPERLINK("http://www.twitter.com/anni_e", "anni_e")</f>
        <v>anni_e</v>
      </c>
      <c r="B22578" s="65"/>
    </row>
    <row r="22579" spans="1:2" x14ac:dyDescent="0.25">
      <c r="A22579" s="64" t="str">
        <f>HYPERLINK("http://www.twitter.com/TannenBrown", "TannenBrown")</f>
        <v>TannenBrown</v>
      </c>
      <c r="B22579" s="65" t="s">
        <v>36</v>
      </c>
    </row>
    <row r="22580" spans="1:2" x14ac:dyDescent="0.25">
      <c r="A22580" s="64" t="str">
        <f>HYPERLINK("http://www.twitter.com/StephanieRustic", "StephanieRustic")</f>
        <v>StephanieRustic</v>
      </c>
      <c r="B22580" s="65"/>
    </row>
    <row r="22581" spans="1:2" x14ac:dyDescent="0.25">
      <c r="A22581" s="64" t="str">
        <f>HYPERLINK("http://www.twitter.com/Hillfootsbadger", "Hillfootsbadger")</f>
        <v>Hillfootsbadger</v>
      </c>
      <c r="B22581" s="65" t="s">
        <v>6022</v>
      </c>
    </row>
    <row r="22582" spans="1:2" x14ac:dyDescent="0.25">
      <c r="A22582" s="64" t="str">
        <f>HYPERLINK("http://www.twitter.com/Mummyshelper", "Mummyshelper")</f>
        <v>Mummyshelper</v>
      </c>
      <c r="B22582" s="65"/>
    </row>
    <row r="22583" spans="1:2" x14ac:dyDescent="0.25">
      <c r="A22583" s="64" t="str">
        <f>HYPERLINK("http://www.twitter.com/scribe515", "scribe515")</f>
        <v>scribe515</v>
      </c>
      <c r="B22583" s="65" t="s">
        <v>2592</v>
      </c>
    </row>
    <row r="22584" spans="1:2" x14ac:dyDescent="0.25">
      <c r="A22584" s="64" t="str">
        <f>HYPERLINK("http://www.twitter.com/David_Brewster", "David_Brewster")</f>
        <v>David_Brewster</v>
      </c>
      <c r="B22584" s="65" t="s">
        <v>4464</v>
      </c>
    </row>
    <row r="22585" spans="1:2" x14ac:dyDescent="0.25">
      <c r="A22585" s="64" t="str">
        <f>HYPERLINK("http://www.twitter.com/davj09", "davj09")</f>
        <v>davj09</v>
      </c>
      <c r="B22585" s="65"/>
    </row>
    <row r="22586" spans="1:2" x14ac:dyDescent="0.25">
      <c r="A22586" s="64" t="str">
        <f>HYPERLINK("http://www.twitter.com/SNodwell", "SNodwell")</f>
        <v>SNodwell</v>
      </c>
      <c r="B22586" s="65" t="s">
        <v>487</v>
      </c>
    </row>
    <row r="22587" spans="1:2" x14ac:dyDescent="0.25">
      <c r="A22587" s="64" t="str">
        <f>HYPERLINK("http://www.twitter.com/BDevlin1", "BDevlin1")</f>
        <v>BDevlin1</v>
      </c>
      <c r="B22587" s="65" t="s">
        <v>10350</v>
      </c>
    </row>
    <row r="22588" spans="1:2" x14ac:dyDescent="0.25">
      <c r="A22588" s="64" t="str">
        <f>HYPERLINK("http://www.twitter.com/CeciliaUnLtd", "CeciliaUnLtd")</f>
        <v>CeciliaUnLtd</v>
      </c>
      <c r="B22588" s="65" t="s">
        <v>1295</v>
      </c>
    </row>
    <row r="22589" spans="1:2" x14ac:dyDescent="0.25">
      <c r="A22589" s="64" t="str">
        <f>HYPERLINK("http://www.twitter.com/StripeOlt", "StripeOlt")</f>
        <v>StripeOlt</v>
      </c>
      <c r="B22589" s="65" t="s">
        <v>10351</v>
      </c>
    </row>
    <row r="22590" spans="1:2" x14ac:dyDescent="0.25">
      <c r="A22590" s="64" t="str">
        <f>HYPERLINK("http://www.twitter.com/kaardiffboy1", "kaardiffboy1")</f>
        <v>kaardiffboy1</v>
      </c>
      <c r="B22590" s="65"/>
    </row>
    <row r="22591" spans="1:2" x14ac:dyDescent="0.25">
      <c r="A22591" s="64" t="str">
        <f>HYPERLINK("http://www.twitter.com/sebsutcliffe", "sebsutcliffe")</f>
        <v>sebsutcliffe</v>
      </c>
      <c r="B22591" s="65" t="s">
        <v>4826</v>
      </c>
    </row>
    <row r="22592" spans="1:2" x14ac:dyDescent="0.25">
      <c r="A22592" s="64" t="str">
        <f>HYPERLINK("http://www.twitter.com/rachelb_smith", "rachelb_smith")</f>
        <v>rachelb_smith</v>
      </c>
      <c r="B22592" s="65"/>
    </row>
    <row r="22593" spans="1:2" x14ac:dyDescent="0.25">
      <c r="A22593" s="64" t="str">
        <f>HYPERLINK("http://www.twitter.com/WillowKaty", "WillowKaty")</f>
        <v>WillowKaty</v>
      </c>
      <c r="B22593" s="65" t="s">
        <v>10352</v>
      </c>
    </row>
    <row r="22594" spans="1:2" x14ac:dyDescent="0.25">
      <c r="A22594" s="64" t="str">
        <f>HYPERLINK("http://www.twitter.com/RebeccaJWhitney", "RebeccaJWhitney")</f>
        <v>RebeccaJWhitney</v>
      </c>
      <c r="B22594" s="65" t="s">
        <v>1980</v>
      </c>
    </row>
    <row r="22595" spans="1:2" x14ac:dyDescent="0.25">
      <c r="A22595" s="64" t="str">
        <f>HYPERLINK("http://www.twitter.com/pizzeythat", "pizzeythat")</f>
        <v>pizzeythat</v>
      </c>
      <c r="B22595" s="65"/>
    </row>
    <row r="22596" spans="1:2" x14ac:dyDescent="0.25">
      <c r="A22596" s="64" t="str">
        <f>HYPERLINK("http://www.twitter.com/johnnypolitico", "johnnypolitico")</f>
        <v>johnnypolitico</v>
      </c>
      <c r="B22596" s="65" t="s">
        <v>2636</v>
      </c>
    </row>
    <row r="22597" spans="1:2" x14ac:dyDescent="0.25">
      <c r="A22597" s="64" t="str">
        <f>HYPERLINK("http://www.twitter.com/nikola_jenkins", "nikola_jenkins")</f>
        <v>nikola_jenkins</v>
      </c>
      <c r="B22597" s="65" t="s">
        <v>10353</v>
      </c>
    </row>
    <row r="22598" spans="1:2" x14ac:dyDescent="0.25">
      <c r="A22598" s="64" t="str">
        <f>HYPERLINK("http://www.twitter.com/Jdrew3009", "Jdrew3009")</f>
        <v>Jdrew3009</v>
      </c>
      <c r="B22598" s="65"/>
    </row>
    <row r="22599" spans="1:2" x14ac:dyDescent="0.25">
      <c r="A22599" s="64" t="str">
        <f>HYPERLINK("http://www.twitter.com/Beadle_Sally", "Beadle_Sally")</f>
        <v>Beadle_Sally</v>
      </c>
      <c r="B22599" s="65"/>
    </row>
    <row r="22600" spans="1:2" x14ac:dyDescent="0.25">
      <c r="A22600" s="64" t="str">
        <f>HYPERLINK("http://www.twitter.com/donna23394838", "donna23394838")</f>
        <v>donna23394838</v>
      </c>
      <c r="B22600" s="65"/>
    </row>
    <row r="22601" spans="1:2" x14ac:dyDescent="0.25">
      <c r="A22601" s="64" t="str">
        <f>HYPERLINK("http://www.twitter.com/cordwell_sarah", "cordwell_sarah")</f>
        <v>cordwell_sarah</v>
      </c>
      <c r="B22601" s="65"/>
    </row>
    <row r="22602" spans="1:2" x14ac:dyDescent="0.25">
      <c r="A22602" s="64" t="str">
        <f>HYPERLINK("http://www.twitter.com/mcneil_marion", "mcneil_marion")</f>
        <v>mcneil_marion</v>
      </c>
      <c r="B22602" s="65"/>
    </row>
    <row r="22603" spans="1:2" x14ac:dyDescent="0.25">
      <c r="A22603" s="64" t="str">
        <f>HYPERLINK("http://www.twitter.com/fenman3", "fenman3")</f>
        <v>fenman3</v>
      </c>
      <c r="B22603" s="65" t="s">
        <v>10354</v>
      </c>
    </row>
    <row r="22604" spans="1:2" x14ac:dyDescent="0.25">
      <c r="A22604" s="64" t="str">
        <f>HYPERLINK("http://www.twitter.com/status_flatus", "status_flatus")</f>
        <v>status_flatus</v>
      </c>
      <c r="B22604" s="65" t="s">
        <v>4228</v>
      </c>
    </row>
    <row r="22605" spans="1:2" x14ac:dyDescent="0.25">
      <c r="A22605" s="64" t="str">
        <f>HYPERLINK("http://www.twitter.com/JaneAston4", "JaneAston4")</f>
        <v>JaneAston4</v>
      </c>
      <c r="B22605" s="65" t="s">
        <v>10355</v>
      </c>
    </row>
    <row r="22606" spans="1:2" x14ac:dyDescent="0.25">
      <c r="A22606" s="64" t="str">
        <f>HYPERLINK("http://www.twitter.com/lilythechemist", "lilythechemist")</f>
        <v>lilythechemist</v>
      </c>
      <c r="B22606" s="65" t="s">
        <v>10356</v>
      </c>
    </row>
    <row r="22607" spans="1:2" x14ac:dyDescent="0.25">
      <c r="A22607" s="64" t="str">
        <f>HYPERLINK("http://www.twitter.com/jmbcumming", "jmbcumming")</f>
        <v>jmbcumming</v>
      </c>
      <c r="B22607" s="65"/>
    </row>
    <row r="22608" spans="1:2" x14ac:dyDescent="0.25">
      <c r="A22608" s="64" t="str">
        <f>HYPERLINK("http://www.twitter.com/RachelW99900304", "RachelW99900304")</f>
        <v>RachelW99900304</v>
      </c>
      <c r="B22608" s="65"/>
    </row>
    <row r="22609" spans="1:2" x14ac:dyDescent="0.25">
      <c r="A22609" s="64" t="str">
        <f>HYPERLINK("http://www.twitter.com/DotHigham", "DotHigham")</f>
        <v>DotHigham</v>
      </c>
      <c r="B22609" s="65" t="s">
        <v>1221</v>
      </c>
    </row>
    <row r="22610" spans="1:2" x14ac:dyDescent="0.25">
      <c r="A22610" s="64" t="str">
        <f>HYPERLINK("http://www.twitter.com/cabiblophile", "cabiblophile")</f>
        <v>cabiblophile</v>
      </c>
      <c r="B22610" s="65" t="s">
        <v>36</v>
      </c>
    </row>
    <row r="22611" spans="1:2" x14ac:dyDescent="0.25">
      <c r="A22611" s="64" t="str">
        <f>HYPERLINK("http://www.twitter.com/naomipony", "naomipony")</f>
        <v>naomipony</v>
      </c>
      <c r="B22611" s="65"/>
    </row>
    <row r="22612" spans="1:2" x14ac:dyDescent="0.25">
      <c r="A22612" s="64" t="str">
        <f>HYPERLINK("http://www.twitter.com/rosiesanders", "rosiesanders")</f>
        <v>rosiesanders</v>
      </c>
      <c r="B22612" s="65" t="s">
        <v>203</v>
      </c>
    </row>
    <row r="22613" spans="1:2" x14ac:dyDescent="0.25">
      <c r="A22613" s="64" t="str">
        <f>HYPERLINK("http://www.twitter.com/Colin_TBTAMC", "Colin_TBTAMC")</f>
        <v>Colin_TBTAMC</v>
      </c>
      <c r="B22613" s="65" t="s">
        <v>10357</v>
      </c>
    </row>
    <row r="22614" spans="1:2" x14ac:dyDescent="0.25">
      <c r="A22614" s="64" t="str">
        <f>HYPERLINK("http://www.twitter.com/rebscurtis", "rebscurtis")</f>
        <v>rebscurtis</v>
      </c>
      <c r="B22614" s="65"/>
    </row>
    <row r="22615" spans="1:2" x14ac:dyDescent="0.25">
      <c r="A22615" s="64" t="str">
        <f>HYPERLINK("http://www.twitter.com/GeogWin", "GeogWin")</f>
        <v>GeogWin</v>
      </c>
      <c r="B22615" s="65"/>
    </row>
    <row r="22616" spans="1:2" x14ac:dyDescent="0.25">
      <c r="A22616" s="64" t="str">
        <f>HYPERLINK("http://www.twitter.com/kicking_leaves", "kicking_leaves")</f>
        <v>kicking_leaves</v>
      </c>
      <c r="B22616" s="65"/>
    </row>
    <row r="22617" spans="1:2" x14ac:dyDescent="0.25">
      <c r="A22617" s="64" t="str">
        <f>HYPERLINK("http://www.twitter.com/fairiequeen", "fairiequeen")</f>
        <v>fairiequeen</v>
      </c>
      <c r="B22617" s="65"/>
    </row>
    <row r="22618" spans="1:2" x14ac:dyDescent="0.25">
      <c r="A22618" s="64" t="str">
        <f>HYPERLINK("http://www.twitter.com/JohnOllerton", "JohnOllerton")</f>
        <v>JohnOllerton</v>
      </c>
      <c r="B22618" s="65"/>
    </row>
    <row r="22619" spans="1:2" x14ac:dyDescent="0.25">
      <c r="A22619" s="64" t="str">
        <f>HYPERLINK("http://www.twitter.com/rose4threads", "rose4threads")</f>
        <v>rose4threads</v>
      </c>
      <c r="B22619" s="65"/>
    </row>
    <row r="22620" spans="1:2" x14ac:dyDescent="0.25">
      <c r="A22620" s="64" t="str">
        <f>HYPERLINK("http://www.twitter.com/Shirpup", "Shirpup")</f>
        <v>Shirpup</v>
      </c>
      <c r="B22620" s="65"/>
    </row>
    <row r="22621" spans="1:2" x14ac:dyDescent="0.25">
      <c r="A22621" s="64" t="str">
        <f>HYPERLINK("http://www.twitter.com/Alioops14Lee", "Alioops14Lee")</f>
        <v>Alioops14Lee</v>
      </c>
      <c r="B22621" s="65"/>
    </row>
    <row r="22622" spans="1:2" x14ac:dyDescent="0.25">
      <c r="A22622" s="64" t="str">
        <f>HYPERLINK("http://www.twitter.com/ramman68", "ramman68")</f>
        <v>ramman68</v>
      </c>
      <c r="B22622" s="65"/>
    </row>
    <row r="22623" spans="1:2" x14ac:dyDescent="0.25">
      <c r="A22623" s="64" t="str">
        <f>HYPERLINK("http://www.twitter.com/msc_diego", "msc_diego")</f>
        <v>msc_diego</v>
      </c>
      <c r="B22623" s="65"/>
    </row>
    <row r="22624" spans="1:2" x14ac:dyDescent="0.25">
      <c r="A22624" s="64" t="str">
        <f>HYPERLINK("http://www.twitter.com/MooseAllain", "MooseAllain")</f>
        <v>MooseAllain</v>
      </c>
      <c r="B22624" s="65" t="s">
        <v>10358</v>
      </c>
    </row>
    <row r="22625" spans="1:2" x14ac:dyDescent="0.25">
      <c r="A22625" s="64" t="str">
        <f>HYPERLINK("http://www.twitter.com/AnneCMcIntosh", "AnneCMcIntosh")</f>
        <v>AnneCMcIntosh</v>
      </c>
      <c r="B22625" s="65"/>
    </row>
    <row r="22626" spans="1:2" x14ac:dyDescent="0.25">
      <c r="A22626" s="64" t="str">
        <f>HYPERLINK("http://www.twitter.com/louisebookagent", "louisebookagent")</f>
        <v>louisebookagent</v>
      </c>
      <c r="B22626" s="65" t="s">
        <v>477</v>
      </c>
    </row>
    <row r="22627" spans="1:2" x14ac:dyDescent="0.25">
      <c r="A22627" s="64" t="str">
        <f>HYPERLINK("http://www.twitter.com/Anne3382Stewart", "Anne3382Stewart")</f>
        <v>Anne3382Stewart</v>
      </c>
      <c r="B22627" s="65"/>
    </row>
    <row r="22628" spans="1:2" x14ac:dyDescent="0.25">
      <c r="A22628" s="64" t="str">
        <f>HYPERLINK("http://www.twitter.com/ameliaphotos", "ameliaphotos")</f>
        <v>ameliaphotos</v>
      </c>
      <c r="B22628" s="65"/>
    </row>
    <row r="22629" spans="1:2" x14ac:dyDescent="0.25">
      <c r="A22629" s="64" t="str">
        <f>HYPERLINK("http://www.twitter.com/SarahSolomon1", "SarahSolomon1")</f>
        <v>SarahSolomon1</v>
      </c>
      <c r="B22629" s="65"/>
    </row>
    <row r="22630" spans="1:2" x14ac:dyDescent="0.25">
      <c r="A22630" s="64" t="str">
        <f>HYPERLINK("http://www.twitter.com/CliveEisen", "CliveEisen")</f>
        <v>CliveEisen</v>
      </c>
      <c r="B22630" s="65" t="s">
        <v>10359</v>
      </c>
    </row>
    <row r="22631" spans="1:2" x14ac:dyDescent="0.25">
      <c r="A22631" s="64" t="str">
        <f>HYPERLINK("http://www.twitter.com/birchenall", "birchenall")</f>
        <v>birchenall</v>
      </c>
      <c r="B22631" s="65" t="s">
        <v>219</v>
      </c>
    </row>
    <row r="22632" spans="1:2" x14ac:dyDescent="0.25">
      <c r="A22632" s="64" t="str">
        <f>HYPERLINK("http://www.twitter.com/adreferendum", "adreferendum")</f>
        <v>adreferendum</v>
      </c>
      <c r="B22632" s="65" t="s">
        <v>10360</v>
      </c>
    </row>
    <row r="22633" spans="1:2" x14ac:dyDescent="0.25">
      <c r="A22633" s="64" t="str">
        <f>HYPERLINK("http://www.twitter.com/LynnIWilson", "LynnIWilson")</f>
        <v>LynnIWilson</v>
      </c>
      <c r="B22633" s="65" t="s">
        <v>601</v>
      </c>
    </row>
    <row r="22634" spans="1:2" x14ac:dyDescent="0.25">
      <c r="A22634" s="64" t="str">
        <f>HYPERLINK("http://www.twitter.com/Squirrelbasket", "Squirrelbasket")</f>
        <v>Squirrelbasket</v>
      </c>
      <c r="B22634" s="65" t="s">
        <v>1221</v>
      </c>
    </row>
    <row r="22635" spans="1:2" x14ac:dyDescent="0.25">
      <c r="A22635" s="64" t="str">
        <f>HYPERLINK("http://www.twitter.com/MaggieCox41", "MaggieCox41")</f>
        <v>MaggieCox41</v>
      </c>
      <c r="B22635" s="65"/>
    </row>
    <row r="22636" spans="1:2" x14ac:dyDescent="0.25">
      <c r="A22636" s="64" t="str">
        <f>HYPERLINK("http://www.twitter.com/wendyholroyd", "wendyholroyd")</f>
        <v>wendyholroyd</v>
      </c>
      <c r="B22636" s="65" t="s">
        <v>10361</v>
      </c>
    </row>
    <row r="22637" spans="1:2" x14ac:dyDescent="0.25">
      <c r="A22637" s="64" t="str">
        <f>HYPERLINK("http://www.twitter.com/colindwill", "colindwill")</f>
        <v>colindwill</v>
      </c>
      <c r="B22637" s="65" t="s">
        <v>8865</v>
      </c>
    </row>
    <row r="22638" spans="1:2" x14ac:dyDescent="0.25">
      <c r="A22638" s="64" t="str">
        <f>HYPERLINK("http://www.twitter.com/TheSandlings", "TheSandlings")</f>
        <v>TheSandlings</v>
      </c>
      <c r="B22638" s="65" t="s">
        <v>10362</v>
      </c>
    </row>
    <row r="22639" spans="1:2" x14ac:dyDescent="0.25">
      <c r="A22639" s="64" t="str">
        <f>HYPERLINK("http://www.twitter.com/cmp1815", "cmp1815")</f>
        <v>cmp1815</v>
      </c>
      <c r="B22639" s="65"/>
    </row>
    <row r="22640" spans="1:2" x14ac:dyDescent="0.25">
      <c r="A22640" s="64" t="str">
        <f>HYPERLINK("http://www.twitter.com/NualaGormley", "NualaGormley")</f>
        <v>NualaGormley</v>
      </c>
      <c r="B22640" s="65"/>
    </row>
    <row r="22641" spans="1:2" x14ac:dyDescent="0.25">
      <c r="A22641" s="64" t="str">
        <f>HYPERLINK("http://www.twitter.com/mickbailey64", "mickbailey64")</f>
        <v>mickbailey64</v>
      </c>
      <c r="B22641" s="65" t="s">
        <v>5943</v>
      </c>
    </row>
    <row r="22642" spans="1:2" x14ac:dyDescent="0.25">
      <c r="A22642" s="64" t="str">
        <f>HYPERLINK("http://www.twitter.com/SwepInfo", "SwepInfo")</f>
        <v>SwepInfo</v>
      </c>
      <c r="B22642" s="65" t="s">
        <v>2185</v>
      </c>
    </row>
    <row r="22643" spans="1:2" x14ac:dyDescent="0.25">
      <c r="A22643" s="64" t="str">
        <f>HYPERLINK("http://www.twitter.com/Roger_Richards", "Roger_Richards")</f>
        <v>Roger_Richards</v>
      </c>
      <c r="B22643" s="65" t="s">
        <v>10363</v>
      </c>
    </row>
    <row r="22644" spans="1:2" x14ac:dyDescent="0.25">
      <c r="A22644" s="64" t="str">
        <f>HYPERLINK("http://www.twitter.com/polly_comens", "polly_comens")</f>
        <v>polly_comens</v>
      </c>
      <c r="B22644" s="65" t="s">
        <v>10364</v>
      </c>
    </row>
    <row r="22645" spans="1:2" x14ac:dyDescent="0.25">
      <c r="A22645" s="64" t="str">
        <f>HYPERLINK("http://www.twitter.com/swimbikerunsail", "swimbikerunsail")</f>
        <v>swimbikerunsail</v>
      </c>
      <c r="B22645" s="65" t="s">
        <v>36</v>
      </c>
    </row>
    <row r="22646" spans="1:2" x14ac:dyDescent="0.25">
      <c r="A22646" s="64" t="str">
        <f>HYPERLINK("http://www.twitter.com/MJvanRooijen", "MJvanRooijen")</f>
        <v>MJvanRooijen</v>
      </c>
      <c r="B22646" s="65"/>
    </row>
    <row r="22647" spans="1:2" x14ac:dyDescent="0.25">
      <c r="A22647" s="64" t="str">
        <f>HYPERLINK("http://www.twitter.com/celticcarrental", "celticcarrental")</f>
        <v>celticcarrental</v>
      </c>
      <c r="B22647" s="65" t="s">
        <v>517</v>
      </c>
    </row>
    <row r="22648" spans="1:2" x14ac:dyDescent="0.25">
      <c r="A22648" s="64" t="str">
        <f>HYPERLINK("http://www.twitter.com/mike_teare", "mike_teare")</f>
        <v>mike_teare</v>
      </c>
      <c r="B22648" s="65" t="s">
        <v>10365</v>
      </c>
    </row>
    <row r="22649" spans="1:2" x14ac:dyDescent="0.25">
      <c r="A22649" s="64" t="str">
        <f>HYPERLINK("http://www.twitter.com/SchokoladenUte", "SchokoladenUte")</f>
        <v>SchokoladenUte</v>
      </c>
      <c r="B22649" s="65"/>
    </row>
    <row r="22650" spans="1:2" x14ac:dyDescent="0.25">
      <c r="A22650" s="64" t="str">
        <f>HYPERLINK("http://www.twitter.com/RevDib", "RevDib")</f>
        <v>RevDib</v>
      </c>
      <c r="B22650" s="65" t="s">
        <v>3781</v>
      </c>
    </row>
    <row r="22651" spans="1:2" x14ac:dyDescent="0.25">
      <c r="A22651" s="64" t="str">
        <f>HYPERLINK("http://www.twitter.com/jane_mcallister", "jane_mcallister")</f>
        <v>jane_mcallister</v>
      </c>
      <c r="B22651" s="65" t="s">
        <v>36</v>
      </c>
    </row>
    <row r="22652" spans="1:2" x14ac:dyDescent="0.25">
      <c r="A22652" s="64" t="str">
        <f>HYPERLINK("http://www.twitter.com/jve5454", "jve5454")</f>
        <v>jve5454</v>
      </c>
      <c r="B22652" s="65" t="s">
        <v>10366</v>
      </c>
    </row>
    <row r="22653" spans="1:2" x14ac:dyDescent="0.25">
      <c r="A22653" s="64" t="str">
        <f>HYPERLINK("http://www.twitter.com/Bookatweet", "Bookatweet")</f>
        <v>Bookatweet</v>
      </c>
      <c r="B22653" s="65" t="s">
        <v>10367</v>
      </c>
    </row>
    <row r="22654" spans="1:2" x14ac:dyDescent="0.25">
      <c r="A22654" s="64" t="str">
        <f>HYPERLINK("http://www.twitter.com/FannyBlake1", "FannyBlake1")</f>
        <v>FannyBlake1</v>
      </c>
      <c r="B22654" s="65" t="s">
        <v>36</v>
      </c>
    </row>
    <row r="22655" spans="1:2" x14ac:dyDescent="0.25">
      <c r="A22655" s="64" t="str">
        <f>HYPERLINK("http://www.twitter.com/JoannaSwainson", "JoannaSwainson")</f>
        <v>JoannaSwainson</v>
      </c>
      <c r="B22655" s="65" t="s">
        <v>36</v>
      </c>
    </row>
    <row r="22656" spans="1:2" x14ac:dyDescent="0.25">
      <c r="A22656" s="64" t="str">
        <f>HYPERLINK("http://www.twitter.com/sophdudes", "sophdudes")</f>
        <v>sophdudes</v>
      </c>
      <c r="B22656" s="65"/>
    </row>
    <row r="22657" spans="1:2" x14ac:dyDescent="0.25">
      <c r="A22657" s="64" t="str">
        <f>HYPERLINK("http://www.twitter.com/anniefarre1l", "anniefarre1l")</f>
        <v>anniefarre1l</v>
      </c>
      <c r="B22657" s="65" t="s">
        <v>10368</v>
      </c>
    </row>
    <row r="22658" spans="1:2" x14ac:dyDescent="0.25">
      <c r="A22658" s="64" t="str">
        <f>HYPERLINK("http://www.twitter.com/KarinMoorhouse", "KarinMoorhouse")</f>
        <v>KarinMoorhouse</v>
      </c>
      <c r="B22658" s="65" t="s">
        <v>2564</v>
      </c>
    </row>
    <row r="22659" spans="1:2" x14ac:dyDescent="0.25">
      <c r="A22659" s="64" t="str">
        <f>HYPERLINK("http://www.twitter.com/marion_mh", "marion_mh")</f>
        <v>marion_mh</v>
      </c>
      <c r="B22659" s="65"/>
    </row>
    <row r="22660" spans="1:2" x14ac:dyDescent="0.25">
      <c r="A22660" s="64" t="str">
        <f>HYPERLINK("http://www.twitter.com/SueCurd", "SueCurd")</f>
        <v>SueCurd</v>
      </c>
      <c r="B22660" s="65" t="s">
        <v>3645</v>
      </c>
    </row>
    <row r="22661" spans="1:2" x14ac:dyDescent="0.25">
      <c r="A22661" s="64" t="str">
        <f>HYPERLINK("http://www.twitter.com/shastonbraz", "shastonbraz")</f>
        <v>shastonbraz</v>
      </c>
      <c r="B22661" s="65" t="s">
        <v>10369</v>
      </c>
    </row>
    <row r="22662" spans="1:2" x14ac:dyDescent="0.25">
      <c r="A22662" s="64" t="str">
        <f>HYPERLINK("http://www.twitter.com/amsktown", "amsktown")</f>
        <v>amsktown</v>
      </c>
      <c r="B22662" s="65"/>
    </row>
    <row r="22663" spans="1:2" x14ac:dyDescent="0.25">
      <c r="A22663" s="64" t="str">
        <f>HYPERLINK("http://www.twitter.com/Streakyblue1951", "Streakyblue1951")</f>
        <v>Streakyblue1951</v>
      </c>
      <c r="B22663" s="65" t="s">
        <v>1490</v>
      </c>
    </row>
    <row r="22664" spans="1:2" x14ac:dyDescent="0.25">
      <c r="A22664" s="64" t="str">
        <f>HYPERLINK("http://www.twitter.com/_hollyradcliffe", "_hollyradcliffe")</f>
        <v>_hollyradcliffe</v>
      </c>
      <c r="B22664" s="65"/>
    </row>
    <row r="22665" spans="1:2" x14ac:dyDescent="0.25">
      <c r="A22665" s="64" t="str">
        <f>HYPERLINK("http://www.twitter.com/JudasIscariot77", "JudasIscariot77")</f>
        <v>JudasIscariot77</v>
      </c>
      <c r="B22665" s="65" t="s">
        <v>4254</v>
      </c>
    </row>
    <row r="22666" spans="1:2" x14ac:dyDescent="0.25">
      <c r="A22666" s="64" t="str">
        <f>HYPERLINK("http://www.twitter.com/jojoa1", "jojoa1")</f>
        <v>jojoa1</v>
      </c>
      <c r="B22666" s="65" t="s">
        <v>4092</v>
      </c>
    </row>
    <row r="22667" spans="1:2" x14ac:dyDescent="0.25">
      <c r="A22667" s="64" t="str">
        <f>HYPERLINK("http://www.twitter.com/MadlyBarmy", "MadlyBarmy")</f>
        <v>MadlyBarmy</v>
      </c>
      <c r="B22667" s="65"/>
    </row>
    <row r="22668" spans="1:2" x14ac:dyDescent="0.25">
      <c r="A22668" s="64" t="str">
        <f>HYPERLINK("http://www.twitter.com/AmalfiWhiteUK", "AmalfiWhiteUK")</f>
        <v>AmalfiWhiteUK</v>
      </c>
      <c r="B22668" s="65" t="s">
        <v>1885</v>
      </c>
    </row>
    <row r="22669" spans="1:2" x14ac:dyDescent="0.25">
      <c r="A22669" s="64" t="str">
        <f>HYPERLINK("http://www.twitter.com/FionaRussell5", "FionaRussell5")</f>
        <v>FionaRussell5</v>
      </c>
      <c r="B22669" s="65" t="s">
        <v>517</v>
      </c>
    </row>
    <row r="22670" spans="1:2" x14ac:dyDescent="0.25">
      <c r="A22670" s="64" t="str">
        <f>HYPERLINK("http://www.twitter.com/Alt_thought", "Alt_thought")</f>
        <v>Alt_thought</v>
      </c>
      <c r="B22670" s="65"/>
    </row>
    <row r="22671" spans="1:2" x14ac:dyDescent="0.25">
      <c r="A22671" s="64" t="str">
        <f>HYPERLINK("http://www.twitter.com/littletins", "littletins")</f>
        <v>littletins</v>
      </c>
      <c r="B22671" s="65" t="s">
        <v>10370</v>
      </c>
    </row>
    <row r="22672" spans="1:2" x14ac:dyDescent="0.25">
      <c r="A22672" s="64" t="str">
        <f>HYPERLINK("http://www.twitter.com/bonetts", "bonetts")</f>
        <v>bonetts</v>
      </c>
      <c r="B22672" s="65" t="s">
        <v>10371</v>
      </c>
    </row>
    <row r="22673" spans="1:2" x14ac:dyDescent="0.25">
      <c r="A22673" s="64" t="str">
        <f>HYPERLINK("http://www.twitter.com/FreudsBARnGRILL", "FreudsBARnGRILL")</f>
        <v>FreudsBARnGRILL</v>
      </c>
      <c r="B22673" s="65" t="s">
        <v>4210</v>
      </c>
    </row>
    <row r="22674" spans="1:2" x14ac:dyDescent="0.25">
      <c r="A22674" s="64" t="str">
        <f>HYPERLINK("http://www.twitter.com/DiJRob", "DiJRob")</f>
        <v>DiJRob</v>
      </c>
      <c r="B22674" s="65"/>
    </row>
    <row r="22675" spans="1:2" x14ac:dyDescent="0.25">
      <c r="A22675" s="64" t="str">
        <f>HYPERLINK("http://www.twitter.com/Helannsta", "Helannsta")</f>
        <v>Helannsta</v>
      </c>
      <c r="B22675" s="65" t="s">
        <v>10372</v>
      </c>
    </row>
    <row r="22676" spans="1:2" x14ac:dyDescent="0.25">
      <c r="A22676" s="64" t="str">
        <f>HYPERLINK("http://www.twitter.com/TimJamesYoung", "TimJamesYoung")</f>
        <v>TimJamesYoung</v>
      </c>
      <c r="B22676" s="65" t="s">
        <v>4500</v>
      </c>
    </row>
    <row r="22677" spans="1:2" x14ac:dyDescent="0.25">
      <c r="A22677" s="64" t="str">
        <f>HYPERLINK("http://www.twitter.com/ewanrob99", "ewanrob99")</f>
        <v>ewanrob99</v>
      </c>
      <c r="B22677" s="65"/>
    </row>
    <row r="22678" spans="1:2" x14ac:dyDescent="0.25">
      <c r="A22678" s="64" t="str">
        <f>HYPERLINK("http://www.twitter.com/Gilltedd", "Gilltedd")</f>
        <v>Gilltedd</v>
      </c>
      <c r="B22678" s="65" t="s">
        <v>8413</v>
      </c>
    </row>
    <row r="22679" spans="1:2" x14ac:dyDescent="0.25">
      <c r="A22679" s="64" t="str">
        <f>HYPERLINK("http://www.twitter.com/Djofjes", "Djofjes")</f>
        <v>Djofjes</v>
      </c>
      <c r="B22679" s="65" t="s">
        <v>9425</v>
      </c>
    </row>
    <row r="22680" spans="1:2" x14ac:dyDescent="0.25">
      <c r="A22680" s="64" t="str">
        <f>HYPERLINK("http://www.twitter.com/Sa11eGreen", "Sa11eGreen")</f>
        <v>Sa11eGreen</v>
      </c>
      <c r="B22680" s="65" t="s">
        <v>10373</v>
      </c>
    </row>
    <row r="22681" spans="1:2" x14ac:dyDescent="0.25">
      <c r="A22681" s="64" t="str">
        <f>HYPERLINK("http://www.twitter.com/ZumbaSharon1", "ZumbaSharon1")</f>
        <v>ZumbaSharon1</v>
      </c>
      <c r="B22681" s="65" t="s">
        <v>725</v>
      </c>
    </row>
    <row r="22682" spans="1:2" x14ac:dyDescent="0.25">
      <c r="A22682" s="64" t="str">
        <f>HYPERLINK("http://www.twitter.com/B0bHardy", "B0bHardy")</f>
        <v>B0bHardy</v>
      </c>
      <c r="B22682" s="65" t="s">
        <v>10374</v>
      </c>
    </row>
    <row r="22683" spans="1:2" x14ac:dyDescent="0.25">
      <c r="A22683" s="64" t="str">
        <f>HYPERLINK("http://www.twitter.com/RupertH1", "RupertH1")</f>
        <v>RupertH1</v>
      </c>
      <c r="B22683" s="65"/>
    </row>
    <row r="22684" spans="1:2" x14ac:dyDescent="0.25">
      <c r="A22684" s="64" t="str">
        <f>HYPERLINK("http://www.twitter.com/FreddyGriffiths", "FreddyGriffiths")</f>
        <v>FreddyGriffiths</v>
      </c>
      <c r="B22684" s="65" t="s">
        <v>10375</v>
      </c>
    </row>
    <row r="22685" spans="1:2" x14ac:dyDescent="0.25">
      <c r="A22685" s="64" t="str">
        <f>HYPERLINK("http://www.twitter.com/annlawsonoxford", "annlawsonoxford")</f>
        <v>annlawsonoxford</v>
      </c>
      <c r="B22685" s="65" t="s">
        <v>296</v>
      </c>
    </row>
    <row r="22686" spans="1:2" x14ac:dyDescent="0.25">
      <c r="A22686" s="64" t="str">
        <f>HYPERLINK("http://www.twitter.com/littletomma", "littletomma")</f>
        <v>littletomma</v>
      </c>
      <c r="B22686" s="65" t="s">
        <v>10376</v>
      </c>
    </row>
    <row r="22687" spans="1:2" x14ac:dyDescent="0.25">
      <c r="A22687" s="64" t="str">
        <f>HYPERLINK("http://www.twitter.com/johngossa", "johngossa")</f>
        <v>johngossa</v>
      </c>
      <c r="B22687" s="65"/>
    </row>
    <row r="22688" spans="1:2" x14ac:dyDescent="0.25">
      <c r="A22688" s="64" t="str">
        <f>HYPERLINK("http://www.twitter.com/cba500", "cba500")</f>
        <v>cba500</v>
      </c>
      <c r="B22688" s="65" t="s">
        <v>141</v>
      </c>
    </row>
    <row r="22689" spans="1:2" x14ac:dyDescent="0.25">
      <c r="A22689" s="64" t="str">
        <f>HYPERLINK("http://www.twitter.com/singalongajan", "singalongajan")</f>
        <v>singalongajan</v>
      </c>
      <c r="B22689" s="65" t="s">
        <v>10377</v>
      </c>
    </row>
    <row r="22690" spans="1:2" x14ac:dyDescent="0.25">
      <c r="A22690" s="64" t="str">
        <f>HYPERLINK("http://www.twitter.com/RachelDrewer", "RachelDrewer")</f>
        <v>RachelDrewer</v>
      </c>
      <c r="B22690" s="65" t="s">
        <v>1765</v>
      </c>
    </row>
    <row r="22691" spans="1:2" x14ac:dyDescent="0.25">
      <c r="A22691" s="64" t="str">
        <f>HYPERLINK("http://www.twitter.com/acchapman42", "acchapman42")</f>
        <v>acchapman42</v>
      </c>
      <c r="B22691" s="65"/>
    </row>
    <row r="22692" spans="1:2" x14ac:dyDescent="0.25">
      <c r="A22692" s="64" t="str">
        <f>HYPERLINK("http://www.twitter.com/jimslaptop", "jimslaptop")</f>
        <v>jimslaptop</v>
      </c>
      <c r="B22692" s="65" t="s">
        <v>10378</v>
      </c>
    </row>
    <row r="22693" spans="1:2" x14ac:dyDescent="0.25">
      <c r="A22693" s="64" t="str">
        <f>HYPERLINK("http://www.twitter.com/bricshirt", "bricshirt")</f>
        <v>bricshirt</v>
      </c>
      <c r="B22693" s="65"/>
    </row>
    <row r="22694" spans="1:2" x14ac:dyDescent="0.25">
      <c r="A22694" s="64" t="str">
        <f>HYPERLINK("http://www.twitter.com/georgia_kewley", "georgia_kewley")</f>
        <v>georgia_kewley</v>
      </c>
      <c r="B22694" s="65" t="s">
        <v>110</v>
      </c>
    </row>
    <row r="22695" spans="1:2" x14ac:dyDescent="0.25">
      <c r="A22695" s="64" t="str">
        <f>HYPERLINK("http://www.twitter.com/yokelbear", "yokelbear")</f>
        <v>yokelbear</v>
      </c>
      <c r="B22695" s="65" t="s">
        <v>10379</v>
      </c>
    </row>
    <row r="22696" spans="1:2" x14ac:dyDescent="0.25">
      <c r="A22696" s="64" t="str">
        <f>HYPERLINK("http://www.twitter.com/ClaireBlake76", "ClaireBlake76")</f>
        <v>ClaireBlake76</v>
      </c>
      <c r="B22696" s="65"/>
    </row>
    <row r="22697" spans="1:2" x14ac:dyDescent="0.25">
      <c r="A22697" s="64" t="str">
        <f>HYPERLINK("http://www.twitter.com/WAGandBPFriends", "WAGandBPFriends")</f>
        <v>WAGandBPFriends</v>
      </c>
      <c r="B22697" s="65" t="s">
        <v>10380</v>
      </c>
    </row>
    <row r="22698" spans="1:2" x14ac:dyDescent="0.25">
      <c r="A22698" s="64" t="str">
        <f>HYPERLINK("http://www.twitter.com/jomell72", "jomell72")</f>
        <v>jomell72</v>
      </c>
      <c r="B22698" s="65"/>
    </row>
    <row r="22699" spans="1:2" x14ac:dyDescent="0.25">
      <c r="A22699" s="64" t="str">
        <f>HYPERLINK("http://www.twitter.com/brightonaikido", "brightonaikido")</f>
        <v>brightonaikido</v>
      </c>
      <c r="B22699" s="65" t="s">
        <v>5857</v>
      </c>
    </row>
    <row r="22700" spans="1:2" x14ac:dyDescent="0.25">
      <c r="A22700" s="64" t="str">
        <f>HYPERLINK("http://www.twitter.com/Kika_47154", "Kika_47154")</f>
        <v>Kika_47154</v>
      </c>
      <c r="B22700" s="65"/>
    </row>
    <row r="22701" spans="1:2" x14ac:dyDescent="0.25">
      <c r="A22701" s="64" t="str">
        <f>HYPERLINK("http://www.twitter.com/borderedlife", "borderedlife")</f>
        <v>borderedlife</v>
      </c>
      <c r="B22701" s="65" t="s">
        <v>10381</v>
      </c>
    </row>
    <row r="22702" spans="1:2" x14ac:dyDescent="0.25">
      <c r="A22702" s="64" t="str">
        <f>HYPERLINK("http://www.twitter.com/grahamjgrady", "grahamjgrady")</f>
        <v>grahamjgrady</v>
      </c>
      <c r="B22702" s="65" t="s">
        <v>487</v>
      </c>
    </row>
    <row r="22703" spans="1:2" x14ac:dyDescent="0.25">
      <c r="A22703" s="64" t="str">
        <f>HYPERLINK("http://www.twitter.com/enda_lavery", "enda_lavery")</f>
        <v>enda_lavery</v>
      </c>
      <c r="B22703" s="65" t="s">
        <v>2595</v>
      </c>
    </row>
    <row r="22704" spans="1:2" x14ac:dyDescent="0.25">
      <c r="A22704" s="64" t="str">
        <f>HYPERLINK("http://www.twitter.com/alikat54", "alikat54")</f>
        <v>alikat54</v>
      </c>
      <c r="B22704" s="65" t="s">
        <v>10382</v>
      </c>
    </row>
    <row r="22705" spans="1:2" x14ac:dyDescent="0.25">
      <c r="A22705" s="64" t="str">
        <f>HYPERLINK("http://www.twitter.com/pianotuner_tech", "pianotuner_tech")</f>
        <v>pianotuner_tech</v>
      </c>
      <c r="B22705" s="65" t="s">
        <v>4524</v>
      </c>
    </row>
    <row r="22706" spans="1:2" x14ac:dyDescent="0.25">
      <c r="A22706" s="64" t="str">
        <f>HYPERLINK("http://www.twitter.com/swallowsbird", "swallowsbird")</f>
        <v>swallowsbird</v>
      </c>
      <c r="B22706" s="65" t="s">
        <v>10383</v>
      </c>
    </row>
    <row r="22707" spans="1:2" x14ac:dyDescent="0.25">
      <c r="A22707" s="64" t="str">
        <f>HYPERLINK("http://www.twitter.com/adleyglad", "adleyglad")</f>
        <v>adleyglad</v>
      </c>
      <c r="B22707" s="65"/>
    </row>
    <row r="22708" spans="1:2" x14ac:dyDescent="0.25">
      <c r="A22708" s="64" t="str">
        <f>HYPERLINK("http://www.twitter.com/suzannetilley4", "suzannetilley4")</f>
        <v>suzannetilley4</v>
      </c>
      <c r="B22708" s="65"/>
    </row>
    <row r="22709" spans="1:2" x14ac:dyDescent="0.25">
      <c r="A22709" s="64" t="str">
        <f>HYPERLINK("http://www.twitter.com/Matty_bridges", "Matty_bridges")</f>
        <v>Matty_bridges</v>
      </c>
      <c r="B22709" s="65" t="s">
        <v>5307</v>
      </c>
    </row>
    <row r="22710" spans="1:2" x14ac:dyDescent="0.25">
      <c r="A22710" s="64" t="str">
        <f>HYPERLINK("http://www.twitter.com/The_Bookham_One", "The_Bookham_One")</f>
        <v>The_Bookham_One</v>
      </c>
      <c r="B22710" s="65" t="s">
        <v>296</v>
      </c>
    </row>
    <row r="22711" spans="1:2" x14ac:dyDescent="0.25">
      <c r="A22711" s="64" t="str">
        <f>HYPERLINK("http://www.twitter.com/LottieShed", "LottieShed")</f>
        <v>LottieShed</v>
      </c>
      <c r="B22711" s="65" t="s">
        <v>10384</v>
      </c>
    </row>
    <row r="22712" spans="1:2" x14ac:dyDescent="0.25">
      <c r="A22712" s="64" t="str">
        <f>HYPERLINK("http://www.twitter.com/LynniHum", "LynniHum")</f>
        <v>LynniHum</v>
      </c>
      <c r="B22712" s="65"/>
    </row>
    <row r="22713" spans="1:2" x14ac:dyDescent="0.25">
      <c r="A22713" s="64" t="str">
        <f>HYPERLINK("http://www.twitter.com/GDCLyourlibrary", "GDCLyourlibrary")</f>
        <v>GDCLyourlibrary</v>
      </c>
      <c r="B22713" s="65" t="s">
        <v>10385</v>
      </c>
    </row>
    <row r="22714" spans="1:2" x14ac:dyDescent="0.25">
      <c r="A22714" s="64" t="str">
        <f>HYPERLINK("http://www.twitter.com/biddyonabike", "biddyonabike")</f>
        <v>biddyonabike</v>
      </c>
      <c r="B22714" s="65"/>
    </row>
    <row r="22715" spans="1:2" x14ac:dyDescent="0.25">
      <c r="A22715" s="64" t="str">
        <f>HYPERLINK("http://www.twitter.com/gwalltog", "gwalltog")</f>
        <v>gwalltog</v>
      </c>
      <c r="B22715" s="65"/>
    </row>
    <row r="22716" spans="1:2" x14ac:dyDescent="0.25">
      <c r="A22716" s="64" t="str">
        <f>HYPERLINK("http://www.twitter.com/shelfhugger", "shelfhugger")</f>
        <v>shelfhugger</v>
      </c>
      <c r="B22716" s="65" t="s">
        <v>459</v>
      </c>
    </row>
    <row r="22717" spans="1:2" x14ac:dyDescent="0.25">
      <c r="A22717" s="64" t="str">
        <f>HYPERLINK("http://www.twitter.com/Becky_Brewis", "Becky_Brewis")</f>
        <v>Becky_Brewis</v>
      </c>
      <c r="B22717" s="65" t="s">
        <v>36</v>
      </c>
    </row>
    <row r="22718" spans="1:2" x14ac:dyDescent="0.25">
      <c r="A22718" s="64" t="str">
        <f>HYPERLINK("http://www.twitter.com/SimoneTilbrook", "SimoneTilbrook")</f>
        <v>SimoneTilbrook</v>
      </c>
      <c r="B22718" s="65"/>
    </row>
    <row r="22719" spans="1:2" x14ac:dyDescent="0.25">
      <c r="A22719" s="64" t="str">
        <f>HYPERLINK("http://www.twitter.com/artistonabike", "artistonabike")</f>
        <v>artistonabike</v>
      </c>
      <c r="B22719" s="65" t="s">
        <v>6792</v>
      </c>
    </row>
    <row r="22720" spans="1:2" x14ac:dyDescent="0.25">
      <c r="A22720" s="64" t="str">
        <f>HYPERLINK("http://www.twitter.com/accountantnw", "accountantnw")</f>
        <v>accountantnw</v>
      </c>
      <c r="B22720" s="65" t="s">
        <v>33</v>
      </c>
    </row>
    <row r="22721" spans="1:2" x14ac:dyDescent="0.25">
      <c r="A22721" s="64" t="str">
        <f>HYPERLINK("http://www.twitter.com/bernadetterowe8", "bernadetterowe8")</f>
        <v>bernadetterowe8</v>
      </c>
      <c r="B22721" s="65"/>
    </row>
    <row r="22722" spans="1:2" x14ac:dyDescent="0.25">
      <c r="A22722" s="64" t="str">
        <f>HYPERLINK("http://www.twitter.com/joadamsco", "joadamsco")</f>
        <v>joadamsco</v>
      </c>
      <c r="B22722" s="65" t="s">
        <v>517</v>
      </c>
    </row>
    <row r="22723" spans="1:2" x14ac:dyDescent="0.25">
      <c r="A22723" s="64" t="str">
        <f>HYPERLINK("http://www.twitter.com/ozbeeuk", "ozbeeuk")</f>
        <v>ozbeeuk</v>
      </c>
      <c r="B22723" s="65" t="s">
        <v>24</v>
      </c>
    </row>
    <row r="22724" spans="1:2" x14ac:dyDescent="0.25">
      <c r="A22724" s="64" t="str">
        <f>HYPERLINK("http://www.twitter.com/CalumOnMull", "CalumOnMull")</f>
        <v>CalumOnMull</v>
      </c>
      <c r="B22724" s="65" t="s">
        <v>10386</v>
      </c>
    </row>
    <row r="22725" spans="1:2" x14ac:dyDescent="0.25">
      <c r="A22725" s="64" t="str">
        <f>HYPERLINK("http://www.twitter.com/CalumDuncanMCS", "CalumDuncanMCS")</f>
        <v>CalumDuncanMCS</v>
      </c>
      <c r="B22725" s="65" t="s">
        <v>24</v>
      </c>
    </row>
    <row r="22726" spans="1:2" x14ac:dyDescent="0.25">
      <c r="A22726" s="64" t="str">
        <f>HYPERLINK("http://www.twitter.com/NFSAnimation", "NFSAnimation")</f>
        <v>NFSAnimation</v>
      </c>
      <c r="B22726" s="65" t="s">
        <v>2774</v>
      </c>
    </row>
    <row r="22727" spans="1:2" x14ac:dyDescent="0.25">
      <c r="A22727" s="64" t="str">
        <f>HYPERLINK("http://www.twitter.com/theoldwoman", "theoldwoman")</f>
        <v>theoldwoman</v>
      </c>
      <c r="B22727" s="65"/>
    </row>
    <row r="22728" spans="1:2" x14ac:dyDescent="0.25">
      <c r="A22728" s="64" t="str">
        <f>HYPERLINK("http://www.twitter.com/blondiehartnell", "blondiehartnell")</f>
        <v>blondiehartnell</v>
      </c>
      <c r="B22728" s="65" t="s">
        <v>10387</v>
      </c>
    </row>
    <row r="22729" spans="1:2" x14ac:dyDescent="0.25">
      <c r="A22729" s="64" t="str">
        <f>HYPERLINK("http://www.twitter.com/driftw00d", "driftw00d")</f>
        <v>driftw00d</v>
      </c>
      <c r="B22729" s="65" t="s">
        <v>4236</v>
      </c>
    </row>
    <row r="22730" spans="1:2" x14ac:dyDescent="0.25">
      <c r="A22730" s="64" t="str">
        <f>HYPERLINK("http://www.twitter.com/dayglopirate69", "dayglopirate69")</f>
        <v>dayglopirate69</v>
      </c>
      <c r="B22730" s="65"/>
    </row>
    <row r="22731" spans="1:2" x14ac:dyDescent="0.25">
      <c r="A22731" s="64" t="str">
        <f>HYPERLINK("http://www.twitter.com/callump", "callump")</f>
        <v>callump</v>
      </c>
      <c r="B22731" s="65" t="s">
        <v>10388</v>
      </c>
    </row>
    <row r="22732" spans="1:2" x14ac:dyDescent="0.25">
      <c r="A22732" s="64" t="str">
        <f>HYPERLINK("http://www.twitter.com/irishruth1978", "irishruth1978")</f>
        <v>irishruth1978</v>
      </c>
      <c r="B22732" s="65"/>
    </row>
    <row r="22733" spans="1:2" x14ac:dyDescent="0.25">
      <c r="A22733" s="64" t="str">
        <f>HYPERLINK("http://www.twitter.com/josstified", "josstified")</f>
        <v>josstified</v>
      </c>
      <c r="B22733" s="65"/>
    </row>
    <row r="22734" spans="1:2" x14ac:dyDescent="0.25">
      <c r="A22734" s="64" t="str">
        <f>HYPERLINK("http://www.twitter.com/elizellis2000", "elizellis2000")</f>
        <v>elizellis2000</v>
      </c>
      <c r="B22734" s="65"/>
    </row>
    <row r="22735" spans="1:2" x14ac:dyDescent="0.25">
      <c r="A22735" s="64" t="str">
        <f>HYPERLINK("http://www.twitter.com/AnnieH1234", "AnnieH1234")</f>
        <v>AnnieH1234</v>
      </c>
      <c r="B22735" s="65" t="s">
        <v>10389</v>
      </c>
    </row>
    <row r="22736" spans="1:2" x14ac:dyDescent="0.25">
      <c r="A22736" s="64" t="str">
        <f>HYPERLINK("http://www.twitter.com/AYomTov", "AYomTov")</f>
        <v>AYomTov</v>
      </c>
      <c r="B22736" s="65" t="s">
        <v>10390</v>
      </c>
    </row>
    <row r="22737" spans="1:2" x14ac:dyDescent="0.25">
      <c r="A22737" s="64" t="str">
        <f>HYPERLINK("http://www.twitter.com/EllieJRose", "EllieJRose")</f>
        <v>EllieJRose</v>
      </c>
      <c r="B22737" s="65" t="s">
        <v>477</v>
      </c>
    </row>
    <row r="22738" spans="1:2" x14ac:dyDescent="0.25">
      <c r="A22738" s="64" t="str">
        <f>HYPERLINK("http://www.twitter.com/grannygal", "grannygal")</f>
        <v>grannygal</v>
      </c>
      <c r="B22738" s="65" t="s">
        <v>10391</v>
      </c>
    </row>
    <row r="22739" spans="1:2" x14ac:dyDescent="0.25">
      <c r="A22739" s="64" t="str">
        <f>HYPERLINK("http://www.twitter.com/DavidMurray1970", "DavidMurray1970")</f>
        <v>DavidMurray1970</v>
      </c>
      <c r="B22739" s="65" t="s">
        <v>10383</v>
      </c>
    </row>
    <row r="22740" spans="1:2" x14ac:dyDescent="0.25">
      <c r="A22740" s="64" t="str">
        <f>HYPERLINK("http://www.twitter.com/Guga_Dubh", "Guga_Dubh")</f>
        <v>Guga_Dubh</v>
      </c>
      <c r="B22740" s="65"/>
    </row>
    <row r="22741" spans="1:2" x14ac:dyDescent="0.25">
      <c r="A22741" s="64" t="str">
        <f>HYPERLINK("http://www.twitter.com/judgejeffries", "judgejeffries")</f>
        <v>judgejeffries</v>
      </c>
      <c r="B22741" s="65" t="s">
        <v>749</v>
      </c>
    </row>
    <row r="22742" spans="1:2" x14ac:dyDescent="0.25">
      <c r="A22742" s="64" t="str">
        <f>HYPERLINK("http://www.twitter.com/Stiniog34", "Stiniog34")</f>
        <v>Stiniog34</v>
      </c>
      <c r="B22742" s="65"/>
    </row>
    <row r="22743" spans="1:2" x14ac:dyDescent="0.25">
      <c r="A22743" s="64" t="str">
        <f>HYPERLINK("http://www.twitter.com/emcmanus9", "emcmanus9")</f>
        <v>emcmanus9</v>
      </c>
      <c r="B22743" s="65"/>
    </row>
    <row r="22744" spans="1:2" x14ac:dyDescent="0.25">
      <c r="A22744" s="64" t="str">
        <f>HYPERLINK("http://www.twitter.com/Will575", "Will575")</f>
        <v>Will575</v>
      </c>
      <c r="B22744" s="65" t="s">
        <v>10392</v>
      </c>
    </row>
    <row r="22745" spans="1:2" x14ac:dyDescent="0.25">
      <c r="A22745" s="64" t="str">
        <f>HYPERLINK("http://www.twitter.com/Sadiedrum", "Sadiedrum")</f>
        <v>Sadiedrum</v>
      </c>
      <c r="B22745" s="65" t="s">
        <v>10393</v>
      </c>
    </row>
    <row r="22746" spans="1:2" x14ac:dyDescent="0.25">
      <c r="A22746" s="64" t="str">
        <f>HYPERLINK("http://www.twitter.com/DancingFolk", "DancingFolk")</f>
        <v>DancingFolk</v>
      </c>
      <c r="B22746" s="65"/>
    </row>
    <row r="22747" spans="1:2" x14ac:dyDescent="0.25">
      <c r="A22747" s="64" t="str">
        <f>HYPERLINK("http://www.twitter.com/nicjoss", "nicjoss")</f>
        <v>nicjoss</v>
      </c>
      <c r="B22747" s="65" t="s">
        <v>10394</v>
      </c>
    </row>
    <row r="22748" spans="1:2" x14ac:dyDescent="0.25">
      <c r="A22748" s="64" t="str">
        <f>HYPERLINK("http://www.twitter.com/JeanEd70", "JeanEd70")</f>
        <v>JeanEd70</v>
      </c>
      <c r="B22748" s="65" t="s">
        <v>2457</v>
      </c>
    </row>
    <row r="22749" spans="1:2" x14ac:dyDescent="0.25">
      <c r="A22749" s="64" t="str">
        <f>HYPERLINK("http://www.twitter.com/BDHHM", "BDHHM")</f>
        <v>BDHHM</v>
      </c>
      <c r="B22749" s="65" t="s">
        <v>10395</v>
      </c>
    </row>
    <row r="22750" spans="1:2" x14ac:dyDescent="0.25">
      <c r="A22750" s="64" t="str">
        <f>HYPERLINK("http://www.twitter.com/WordWeaversUK", "WordWeaversUK")</f>
        <v>WordWeaversUK</v>
      </c>
      <c r="B22750" s="65" t="s">
        <v>4177</v>
      </c>
    </row>
    <row r="22751" spans="1:2" x14ac:dyDescent="0.25">
      <c r="A22751" s="64" t="str">
        <f>HYPERLINK("http://www.twitter.com/seedsgirl", "seedsgirl")</f>
        <v>seedsgirl</v>
      </c>
      <c r="B22751" s="65" t="s">
        <v>517</v>
      </c>
    </row>
    <row r="22752" spans="1:2" x14ac:dyDescent="0.25">
      <c r="A22752" s="64" t="str">
        <f>HYPERLINK("http://www.twitter.com/JoannexLeonard", "JoannexLeonard")</f>
        <v>JoannexLeonard</v>
      </c>
      <c r="B22752" s="65" t="s">
        <v>36</v>
      </c>
    </row>
    <row r="22753" spans="1:2" x14ac:dyDescent="0.25">
      <c r="A22753" s="64" t="str">
        <f>HYPERLINK("http://www.twitter.com/qwertyclare", "qwertyclare")</f>
        <v>qwertyclare</v>
      </c>
      <c r="B22753" s="65"/>
    </row>
    <row r="22754" spans="1:2" x14ac:dyDescent="0.25">
      <c r="A22754" s="64" t="str">
        <f>HYPERLINK("http://www.twitter.com/omarussellc07", "omarussellc07")</f>
        <v>omarussellc07</v>
      </c>
      <c r="B22754" s="65"/>
    </row>
    <row r="22755" spans="1:2" x14ac:dyDescent="0.25">
      <c r="A22755" s="64" t="str">
        <f>HYPERLINK("http://www.twitter.com/TeditorTed", "TeditorTed")</f>
        <v>TeditorTed</v>
      </c>
      <c r="B22755" s="65" t="s">
        <v>36</v>
      </c>
    </row>
    <row r="22756" spans="1:2" x14ac:dyDescent="0.25">
      <c r="A22756" s="64" t="str">
        <f>HYPERLINK("http://www.twitter.com/TolquhonGallery", "TolquhonGallery")</f>
        <v>TolquhonGallery</v>
      </c>
      <c r="B22756" s="65" t="s">
        <v>10396</v>
      </c>
    </row>
    <row r="22757" spans="1:2" x14ac:dyDescent="0.25">
      <c r="A22757" s="64" t="str">
        <f>HYPERLINK("http://www.twitter.com/ClassicGov", "ClassicGov")</f>
        <v>ClassicGov</v>
      </c>
      <c r="B22757" s="65" t="s">
        <v>296</v>
      </c>
    </row>
    <row r="22758" spans="1:2" x14ac:dyDescent="0.25">
      <c r="A22758" s="64" t="str">
        <f>HYPERLINK("http://www.twitter.com/annowen78240915", "annowen78240915")</f>
        <v>annowen78240915</v>
      </c>
      <c r="B22758" s="65"/>
    </row>
    <row r="22759" spans="1:2" x14ac:dyDescent="0.25">
      <c r="A22759" s="64" t="str">
        <f>HYPERLINK("http://www.twitter.com/aidanwhitwell", "aidanwhitwell")</f>
        <v>aidanwhitwell</v>
      </c>
      <c r="B22759" s="65"/>
    </row>
    <row r="22760" spans="1:2" x14ac:dyDescent="0.25">
      <c r="A22760" s="64" t="str">
        <f>HYPERLINK("http://www.twitter.com/LUYDMagazine", "LUYDMagazine")</f>
        <v>LUYDMagazine</v>
      </c>
      <c r="B22760" s="65" t="s">
        <v>5428</v>
      </c>
    </row>
    <row r="22761" spans="1:2" x14ac:dyDescent="0.25">
      <c r="A22761" s="64" t="str">
        <f>HYPERLINK("http://www.twitter.com/RBD_Orkney", "RBD_Orkney")</f>
        <v>RBD_Orkney</v>
      </c>
      <c r="B22761" s="65" t="s">
        <v>4327</v>
      </c>
    </row>
    <row r="22762" spans="1:2" x14ac:dyDescent="0.25">
      <c r="A22762" s="64" t="str">
        <f>HYPERLINK("http://www.twitter.com/1959n", "1959n")</f>
        <v>1959n</v>
      </c>
      <c r="B22762" s="65" t="s">
        <v>10397</v>
      </c>
    </row>
    <row r="22763" spans="1:2" x14ac:dyDescent="0.25">
      <c r="A22763" s="64" t="str">
        <f>HYPERLINK("http://www.twitter.com/fern_catherine", "fern_catherine")</f>
        <v>fern_catherine</v>
      </c>
      <c r="B22763" s="65" t="s">
        <v>318</v>
      </c>
    </row>
    <row r="22764" spans="1:2" x14ac:dyDescent="0.25">
      <c r="A22764" s="64" t="str">
        <f>HYPERLINK("http://www.twitter.com/mrdanielduffy", "mrdanielduffy")</f>
        <v>mrdanielduffy</v>
      </c>
      <c r="B22764" s="65" t="s">
        <v>36</v>
      </c>
    </row>
    <row r="22765" spans="1:2" x14ac:dyDescent="0.25">
      <c r="A22765" s="64" t="str">
        <f>HYPERLINK("http://www.twitter.com/amandastaf", "amandastaf")</f>
        <v>amandastaf</v>
      </c>
      <c r="B22765" s="65" t="s">
        <v>10398</v>
      </c>
    </row>
    <row r="22766" spans="1:2" x14ac:dyDescent="0.25">
      <c r="A22766" s="64" t="str">
        <f>HYPERLINK("http://www.twitter.com/ciaran_talbot", "ciaran_talbot")</f>
        <v>ciaran_talbot</v>
      </c>
      <c r="B22766" s="65" t="s">
        <v>2289</v>
      </c>
    </row>
    <row r="22767" spans="1:2" x14ac:dyDescent="0.25">
      <c r="A22767" s="64" t="str">
        <f>HYPERLINK("http://www.twitter.com/fabjerennt", "fabjerennt")</f>
        <v>fabjerennt</v>
      </c>
      <c r="B22767" s="65" t="s">
        <v>10399</v>
      </c>
    </row>
    <row r="22768" spans="1:2" x14ac:dyDescent="0.25">
      <c r="A22768" s="64" t="str">
        <f>HYPERLINK("http://www.twitter.com/moretoitsurely", "moretoitsurely")</f>
        <v>moretoitsurely</v>
      </c>
      <c r="B22768" s="65" t="s">
        <v>36</v>
      </c>
    </row>
    <row r="22769" spans="1:2" x14ac:dyDescent="0.25">
      <c r="A22769" s="64" t="str">
        <f>HYPERLINK("http://www.twitter.com/PoMoPink", "PoMoPink")</f>
        <v>PoMoPink</v>
      </c>
      <c r="B22769" s="65" t="s">
        <v>10400</v>
      </c>
    </row>
    <row r="22770" spans="1:2" x14ac:dyDescent="0.25">
      <c r="A22770" s="64" t="str">
        <f>HYPERLINK("http://www.twitter.com/juanfabrizio", "juanfabrizio")</f>
        <v>juanfabrizio</v>
      </c>
      <c r="B22770" s="65"/>
    </row>
    <row r="22771" spans="1:2" x14ac:dyDescent="0.25">
      <c r="A22771" s="64" t="str">
        <f>HYPERLINK("http://www.twitter.com/bullychalex", "bullychalex")</f>
        <v>bullychalex</v>
      </c>
      <c r="B22771" s="65"/>
    </row>
    <row r="22772" spans="1:2" x14ac:dyDescent="0.25">
      <c r="A22772" s="64" t="str">
        <f>HYPERLINK("http://www.twitter.com/JamieBatesVideo", "JamieBatesVideo")</f>
        <v>JamieBatesVideo</v>
      </c>
      <c r="B22772" s="65" t="s">
        <v>10401</v>
      </c>
    </row>
    <row r="22773" spans="1:2" x14ac:dyDescent="0.25">
      <c r="A22773" s="64" t="str">
        <f>HYPERLINK("http://www.twitter.com/Jon_Scieszka", "Jon_Scieszka")</f>
        <v>Jon_Scieszka</v>
      </c>
      <c r="B22773" s="65" t="s">
        <v>10402</v>
      </c>
    </row>
    <row r="22774" spans="1:2" x14ac:dyDescent="0.25">
      <c r="A22774" s="64" t="str">
        <f>HYPERLINK("http://www.twitter.com/BtfdLibrary", "BtfdLibrary")</f>
        <v>BtfdLibrary</v>
      </c>
      <c r="B22774" s="65" t="s">
        <v>10403</v>
      </c>
    </row>
    <row r="22775" spans="1:2" x14ac:dyDescent="0.25">
      <c r="A22775" s="64" t="str">
        <f>HYPERLINK("http://www.twitter.com/m3_patrick", "m3_patrick")</f>
        <v>m3_patrick</v>
      </c>
      <c r="B22775" s="65" t="s">
        <v>20</v>
      </c>
    </row>
    <row r="22776" spans="1:2" x14ac:dyDescent="0.25">
      <c r="A22776" s="64" t="str">
        <f>HYPERLINK("http://www.twitter.com/Juan_Cornetto", "Juan_Cornetto")</f>
        <v>Juan_Cornetto</v>
      </c>
      <c r="B22776" s="65" t="s">
        <v>138</v>
      </c>
    </row>
    <row r="22777" spans="1:2" x14ac:dyDescent="0.25">
      <c r="A22777" s="64" t="str">
        <f>HYPERLINK("http://www.twitter.com/KeithALondon", "KeithALondon")</f>
        <v>KeithALondon</v>
      </c>
      <c r="B22777" s="65"/>
    </row>
    <row r="22778" spans="1:2" x14ac:dyDescent="0.25">
      <c r="A22778" s="64" t="str">
        <f>HYPERLINK("http://www.twitter.com/rmf719630", "rmf719630")</f>
        <v>rmf719630</v>
      </c>
      <c r="B22778" s="65"/>
    </row>
    <row r="22779" spans="1:2" x14ac:dyDescent="0.25">
      <c r="A22779" s="64" t="str">
        <f>HYPERLINK("http://www.twitter.com/jonny_howarth", "jonny_howarth")</f>
        <v>jonny_howarth</v>
      </c>
      <c r="B22779" s="65" t="s">
        <v>10404</v>
      </c>
    </row>
    <row r="22780" spans="1:2" x14ac:dyDescent="0.25">
      <c r="A22780" s="64" t="str">
        <f>HYPERLINK("http://www.twitter.com/berndandooling", "berndandooling")</f>
        <v>berndandooling</v>
      </c>
      <c r="B22780" s="65" t="s">
        <v>3863</v>
      </c>
    </row>
    <row r="22781" spans="1:2" x14ac:dyDescent="0.25">
      <c r="A22781" s="64" t="str">
        <f>HYPERLINK("http://www.twitter.com/JudithIMack", "JudithIMack")</f>
        <v>JudithIMack</v>
      </c>
      <c r="B22781" s="65" t="s">
        <v>10405</v>
      </c>
    </row>
    <row r="22782" spans="1:2" x14ac:dyDescent="0.25">
      <c r="A22782" s="64" t="str">
        <f>HYPERLINK("http://www.twitter.com/ruthmacritchie", "ruthmacritchie")</f>
        <v>ruthmacritchie</v>
      </c>
      <c r="B22782" s="65"/>
    </row>
    <row r="22783" spans="1:2" x14ac:dyDescent="0.25">
      <c r="A22783" s="64" t="str">
        <f>HYPERLINK("http://www.twitter.com/grr_puma", "grr_puma")</f>
        <v>grr_puma</v>
      </c>
      <c r="B22783" s="65"/>
    </row>
    <row r="22784" spans="1:2" x14ac:dyDescent="0.25">
      <c r="A22784" s="64" t="str">
        <f>HYPERLINK("http://www.twitter.com/SophieElliottxo", "SophieElliottxo")</f>
        <v>SophieElliottxo</v>
      </c>
      <c r="B22784" s="65" t="s">
        <v>4394</v>
      </c>
    </row>
    <row r="22785" spans="1:2" x14ac:dyDescent="0.25">
      <c r="A22785" s="64" t="str">
        <f>HYPERLINK("http://www.twitter.com/Lennythelurker", "Lennythelurker")</f>
        <v>Lennythelurker</v>
      </c>
      <c r="B22785" s="65" t="s">
        <v>4456</v>
      </c>
    </row>
    <row r="22786" spans="1:2" x14ac:dyDescent="0.25">
      <c r="A22786" s="64" t="str">
        <f>HYPERLINK("http://www.twitter.com/bonnybank", "bonnybank")</f>
        <v>bonnybank</v>
      </c>
      <c r="B22786" s="65"/>
    </row>
    <row r="22787" spans="1:2" x14ac:dyDescent="0.25">
      <c r="A22787" s="64" t="str">
        <f>HYPERLINK("http://www.twitter.com/deborahmarsden1", "deborahmarsden1")</f>
        <v>deborahmarsden1</v>
      </c>
      <c r="B22787" s="65" t="s">
        <v>36</v>
      </c>
    </row>
    <row r="22788" spans="1:2" x14ac:dyDescent="0.25">
      <c r="A22788" s="64" t="str">
        <f>HYPERLINK("http://www.twitter.com/carolinecraig79", "carolinecraig79")</f>
        <v>carolinecraig79</v>
      </c>
      <c r="B22788" s="65"/>
    </row>
    <row r="22789" spans="1:2" x14ac:dyDescent="0.25">
      <c r="A22789" s="64" t="str">
        <f>HYPERLINK("http://www.twitter.com/tristanrendell", "tristanrendell")</f>
        <v>tristanrendell</v>
      </c>
      <c r="B22789" s="65" t="s">
        <v>10406</v>
      </c>
    </row>
    <row r="22790" spans="1:2" x14ac:dyDescent="0.25">
      <c r="A22790" s="64" t="str">
        <f>HYPERLINK("http://www.twitter.com/scottmacleod1", "scottmacleod1")</f>
        <v>scottmacleod1</v>
      </c>
      <c r="B22790" s="65" t="s">
        <v>808</v>
      </c>
    </row>
    <row r="22791" spans="1:2" x14ac:dyDescent="0.25">
      <c r="A22791" s="64" t="str">
        <f>HYPERLINK("http://www.twitter.com/MauraMcRory", "MauraMcRory")</f>
        <v>MauraMcRory</v>
      </c>
      <c r="B22791" s="65" t="s">
        <v>2595</v>
      </c>
    </row>
    <row r="22792" spans="1:2" x14ac:dyDescent="0.25">
      <c r="A22792" s="64" t="str">
        <f>HYPERLINK("http://www.twitter.com/woollensocks", "woollensocks")</f>
        <v>woollensocks</v>
      </c>
      <c r="B22792" s="65" t="s">
        <v>10407</v>
      </c>
    </row>
    <row r="22793" spans="1:2" x14ac:dyDescent="0.25">
      <c r="A22793" s="64" t="str">
        <f>HYPERLINK("http://www.twitter.com/nearlyunique", "nearlyunique")</f>
        <v>nearlyunique</v>
      </c>
      <c r="B22793" s="65"/>
    </row>
    <row r="22794" spans="1:2" x14ac:dyDescent="0.25">
      <c r="A22794" s="64" t="str">
        <f>HYPERLINK("http://www.twitter.com/joannaridout", "joannaridout")</f>
        <v>joannaridout</v>
      </c>
      <c r="B22794" s="65" t="s">
        <v>1765</v>
      </c>
    </row>
    <row r="22795" spans="1:2" x14ac:dyDescent="0.25">
      <c r="A22795" s="64" t="str">
        <f>HYPERLINK("http://www.twitter.com/tomorger", "tomorger")</f>
        <v>tomorger</v>
      </c>
      <c r="B22795" s="65" t="s">
        <v>273</v>
      </c>
    </row>
    <row r="22796" spans="1:2" x14ac:dyDescent="0.25">
      <c r="A22796" s="64" t="str">
        <f>HYPERLINK("http://www.twitter.com/DanNutter_", "DanNutter_")</f>
        <v>DanNutter_</v>
      </c>
      <c r="B22796" s="65" t="s">
        <v>93</v>
      </c>
    </row>
    <row r="22797" spans="1:2" x14ac:dyDescent="0.25">
      <c r="A22797" s="64" t="str">
        <f>HYPERLINK("http://www.twitter.com/Stevie1Adams", "Stevie1Adams")</f>
        <v>Stevie1Adams</v>
      </c>
      <c r="B22797" s="65"/>
    </row>
    <row r="22798" spans="1:2" x14ac:dyDescent="0.25">
      <c r="A22798" s="64" t="str">
        <f>HYPERLINK("http://www.twitter.com/TyranosaundersR", "TyranosaundersR")</f>
        <v>TyranosaundersR</v>
      </c>
      <c r="B22798" s="65"/>
    </row>
    <row r="22799" spans="1:2" x14ac:dyDescent="0.25">
      <c r="A22799" s="64" t="str">
        <f>HYPERLINK("http://www.twitter.com/TMcDish", "TMcDish")</f>
        <v>TMcDish</v>
      </c>
      <c r="B22799" s="65"/>
    </row>
    <row r="22800" spans="1:2" x14ac:dyDescent="0.25">
      <c r="A22800" s="64" t="str">
        <f>HYPERLINK("http://www.twitter.com/trouteyes", "trouteyes")</f>
        <v>trouteyes</v>
      </c>
      <c r="B22800" s="65"/>
    </row>
    <row r="22801" spans="1:2" x14ac:dyDescent="0.25">
      <c r="A22801" s="64" t="str">
        <f>HYPERLINK("http://www.twitter.com/JulianDutton1", "JulianDutton1")</f>
        <v>JulianDutton1</v>
      </c>
      <c r="B22801" s="65" t="s">
        <v>10408</v>
      </c>
    </row>
    <row r="22802" spans="1:2" x14ac:dyDescent="0.25">
      <c r="A22802" s="64" t="str">
        <f>HYPERLINK("http://www.twitter.com/Sidewindersid", "Sidewindersid")</f>
        <v>Sidewindersid</v>
      </c>
      <c r="B22802" s="65" t="s">
        <v>10409</v>
      </c>
    </row>
    <row r="22803" spans="1:2" x14ac:dyDescent="0.25">
      <c r="A22803" s="64" t="str">
        <f>HYPERLINK("http://www.twitter.com/ElllaRock", "ElllaRock")</f>
        <v>ElllaRock</v>
      </c>
      <c r="B22803" s="65" t="s">
        <v>36</v>
      </c>
    </row>
    <row r="22804" spans="1:2" x14ac:dyDescent="0.25">
      <c r="A22804" s="64" t="str">
        <f>HYPERLINK("http://www.twitter.com/herbivore79", "herbivore79")</f>
        <v>herbivore79</v>
      </c>
      <c r="B22804" s="65"/>
    </row>
    <row r="22805" spans="1:2" x14ac:dyDescent="0.25">
      <c r="A22805" s="64" t="str">
        <f>HYPERLINK("http://www.twitter.com/kythryn", "kythryn")</f>
        <v>kythryn</v>
      </c>
      <c r="B22805" s="65" t="s">
        <v>1218</v>
      </c>
    </row>
    <row r="22806" spans="1:2" x14ac:dyDescent="0.25">
      <c r="A22806" s="64" t="str">
        <f>HYPERLINK("http://www.twitter.com/LynnfieldHotel", "LynnfieldHotel")</f>
        <v>LynnfieldHotel</v>
      </c>
      <c r="B22806" s="65" t="s">
        <v>5852</v>
      </c>
    </row>
    <row r="22807" spans="1:2" x14ac:dyDescent="0.25">
      <c r="A22807" s="64" t="str">
        <f>HYPERLINK("http://www.twitter.com/Francophoney82", "Francophoney82")</f>
        <v>Francophoney82</v>
      </c>
      <c r="B22807" s="65" t="s">
        <v>10410</v>
      </c>
    </row>
    <row r="22808" spans="1:2" x14ac:dyDescent="0.25">
      <c r="A22808" s="64" t="str">
        <f>HYPERLINK("http://www.twitter.com/WaterstonesStA", "WaterstonesStA")</f>
        <v>WaterstonesStA</v>
      </c>
      <c r="B22808" s="65" t="s">
        <v>4049</v>
      </c>
    </row>
    <row r="22809" spans="1:2" x14ac:dyDescent="0.25">
      <c r="A22809" s="64" t="str">
        <f>HYPERLINK("http://www.twitter.com/portfinks", "portfinks")</f>
        <v>portfinks</v>
      </c>
      <c r="B22809" s="65" t="s">
        <v>36</v>
      </c>
    </row>
    <row r="22810" spans="1:2" x14ac:dyDescent="0.25">
      <c r="A22810" s="64" t="str">
        <f>HYPERLINK("http://www.twitter.com/mrsjumbo", "mrsjumbo")</f>
        <v>mrsjumbo</v>
      </c>
      <c r="B22810" s="65"/>
    </row>
    <row r="22811" spans="1:2" x14ac:dyDescent="0.25">
      <c r="A22811" s="64" t="str">
        <f>HYPERLINK("http://www.twitter.com/ArchivistArch", "ArchivistArch")</f>
        <v>ArchivistArch</v>
      </c>
      <c r="B22811" s="65" t="s">
        <v>12</v>
      </c>
    </row>
    <row r="22812" spans="1:2" x14ac:dyDescent="0.25">
      <c r="A22812" s="64" t="str">
        <f>HYPERLINK("http://www.twitter.com/ineke_watt", "ineke_watt")</f>
        <v>ineke_watt</v>
      </c>
      <c r="B22812" s="65" t="s">
        <v>10411</v>
      </c>
    </row>
    <row r="22813" spans="1:2" x14ac:dyDescent="0.25">
      <c r="A22813" s="64" t="str">
        <f>HYPERLINK("http://www.twitter.com/whatrunesays", "whatrunesays")</f>
        <v>whatrunesays</v>
      </c>
      <c r="B22813" s="65" t="s">
        <v>5307</v>
      </c>
    </row>
    <row r="22814" spans="1:2" x14ac:dyDescent="0.25">
      <c r="A22814" s="64" t="str">
        <f>HYPERLINK("http://www.twitter.com/MissNosferatu21", "MissNosferatu21")</f>
        <v>MissNosferatu21</v>
      </c>
      <c r="B22814" s="65"/>
    </row>
    <row r="22815" spans="1:2" x14ac:dyDescent="0.25">
      <c r="A22815" s="64" t="str">
        <f>HYPERLINK("http://www.twitter.com/writing_it_down", "writing_it_down")</f>
        <v>writing_it_down</v>
      </c>
      <c r="B22815" s="65"/>
    </row>
    <row r="22816" spans="1:2" x14ac:dyDescent="0.25">
      <c r="A22816" s="64" t="str">
        <f>HYPERLINK("http://www.twitter.com/JodieDrever", "JodieDrever")</f>
        <v>JodieDrever</v>
      </c>
      <c r="B22816" s="65"/>
    </row>
    <row r="22817" spans="1:2" x14ac:dyDescent="0.25">
      <c r="A22817" s="64" t="str">
        <f>HYPERLINK("http://www.twitter.com/ClaireWelsh", "ClaireWelsh")</f>
        <v>ClaireWelsh</v>
      </c>
      <c r="B22817" s="65" t="s">
        <v>138</v>
      </c>
    </row>
    <row r="22818" spans="1:2" x14ac:dyDescent="0.25">
      <c r="A22818" s="64" t="str">
        <f>HYPERLINK("http://www.twitter.com/LordLouis3", "LordLouis3")</f>
        <v>LordLouis3</v>
      </c>
      <c r="B22818" s="65"/>
    </row>
    <row r="22819" spans="1:2" x14ac:dyDescent="0.25">
      <c r="A22819" s="64" t="str">
        <f>HYPERLINK("http://www.twitter.com/nisbet_richard", "nisbet_richard")</f>
        <v>nisbet_richard</v>
      </c>
      <c r="B22819" s="65" t="s">
        <v>138</v>
      </c>
    </row>
    <row r="22820" spans="1:2" x14ac:dyDescent="0.25">
      <c r="A22820" s="64" t="str">
        <f>HYPERLINK("http://www.twitter.com/nick00031", "nick00031")</f>
        <v>nick00031</v>
      </c>
      <c r="B22820" s="65" t="s">
        <v>10412</v>
      </c>
    </row>
    <row r="22821" spans="1:2" x14ac:dyDescent="0.25">
      <c r="A22821" s="64" t="str">
        <f>HYPERLINK("http://www.twitter.com/FlorisBooks", "FlorisBooks")</f>
        <v>FlorisBooks</v>
      </c>
      <c r="B22821" s="65" t="s">
        <v>67</v>
      </c>
    </row>
    <row r="22822" spans="1:2" x14ac:dyDescent="0.25">
      <c r="A22822" s="64" t="str">
        <f>HYPERLINK("http://www.twitter.com/KelpiesEdge", "KelpiesEdge")</f>
        <v>KelpiesEdge</v>
      </c>
      <c r="B22822" s="65" t="s">
        <v>24</v>
      </c>
    </row>
    <row r="22823" spans="1:2" x14ac:dyDescent="0.25">
      <c r="A22823" s="64" t="str">
        <f>HYPERLINK("http://www.twitter.com/SandyBe121146", "SandyBe121146")</f>
        <v>SandyBe121146</v>
      </c>
      <c r="B22823" s="65" t="s">
        <v>2981</v>
      </c>
    </row>
    <row r="22824" spans="1:2" x14ac:dyDescent="0.25">
      <c r="A22824" s="64" t="str">
        <f>HYPERLINK("http://www.twitter.com/Caroline_1701", "Caroline_1701")</f>
        <v>Caroline_1701</v>
      </c>
      <c r="B22824" s="65" t="s">
        <v>5389</v>
      </c>
    </row>
    <row r="22825" spans="1:2" x14ac:dyDescent="0.25">
      <c r="A22825" s="64" t="str">
        <f>HYPERLINK("http://www.twitter.com/catlovefunny", "catlovefunny")</f>
        <v>catlovefunny</v>
      </c>
      <c r="B22825" s="65"/>
    </row>
    <row r="22826" spans="1:2" x14ac:dyDescent="0.25">
      <c r="A22826" s="64" t="str">
        <f>HYPERLINK("http://www.twitter.com/ndcollegelib", "ndcollegelib")</f>
        <v>ndcollegelib</v>
      </c>
      <c r="B22826" s="65" t="s">
        <v>180</v>
      </c>
    </row>
    <row r="22827" spans="1:2" x14ac:dyDescent="0.25">
      <c r="A22827" s="64" t="str">
        <f>HYPERLINK("http://www.twitter.com/AJBlackhall", "AJBlackhall")</f>
        <v>AJBlackhall</v>
      </c>
      <c r="B22827" s="65"/>
    </row>
    <row r="22828" spans="1:2" x14ac:dyDescent="0.25">
      <c r="A22828" s="64" t="str">
        <f>HYPERLINK("http://www.twitter.com/TheAngelaClarke", "TheAngelaClarke")</f>
        <v>TheAngelaClarke</v>
      </c>
      <c r="B22828" s="65" t="s">
        <v>36</v>
      </c>
    </row>
    <row r="22829" spans="1:2" x14ac:dyDescent="0.25">
      <c r="A22829" s="64" t="str">
        <f>HYPERLINK("http://www.twitter.com/michhughes11", "michhughes11")</f>
        <v>michhughes11</v>
      </c>
      <c r="B22829" s="65"/>
    </row>
    <row r="22830" spans="1:2" x14ac:dyDescent="0.25">
      <c r="A22830" s="64" t="str">
        <f>HYPERLINK("http://www.twitter.com/melbournedean", "melbournedean")</f>
        <v>melbournedean</v>
      </c>
      <c r="B22830" s="65" t="s">
        <v>4147</v>
      </c>
    </row>
    <row r="22831" spans="1:2" x14ac:dyDescent="0.25">
      <c r="A22831" s="64" t="str">
        <f>HYPERLINK("http://www.twitter.com/KatieLusty", "KatieLusty")</f>
        <v>KatieLusty</v>
      </c>
      <c r="B22831" s="65"/>
    </row>
    <row r="22832" spans="1:2" x14ac:dyDescent="0.25">
      <c r="A22832" s="64" t="str">
        <f>HYPERLINK("http://www.twitter.com/JoannaHC", "JoannaHC")</f>
        <v>JoannaHC</v>
      </c>
      <c r="B22832" s="65" t="s">
        <v>10413</v>
      </c>
    </row>
    <row r="22833" spans="1:2" x14ac:dyDescent="0.25">
      <c r="A22833" s="64" t="str">
        <f>HYPERLINK("http://www.twitter.com/cooliobeanz", "cooliobeanz")</f>
        <v>cooliobeanz</v>
      </c>
      <c r="B22833" s="65" t="s">
        <v>5045</v>
      </c>
    </row>
    <row r="22834" spans="1:2" x14ac:dyDescent="0.25">
      <c r="A22834" s="64" t="str">
        <f>HYPERLINK("http://www.twitter.com/AnnaIbbotson", "AnnaIbbotson")</f>
        <v>AnnaIbbotson</v>
      </c>
      <c r="B22834" s="65"/>
    </row>
    <row r="22835" spans="1:2" x14ac:dyDescent="0.25">
      <c r="A22835" s="64" t="str">
        <f>HYPERLINK("http://www.twitter.com/NatalieNeil", "NatalieNeil")</f>
        <v>NatalieNeil</v>
      </c>
      <c r="B22835" s="65" t="s">
        <v>138</v>
      </c>
    </row>
    <row r="22836" spans="1:2" x14ac:dyDescent="0.25">
      <c r="A22836" s="64" t="str">
        <f>HYPERLINK("http://www.twitter.com/RSFitzmaurice", "RSFitzmaurice")</f>
        <v>RSFitzmaurice</v>
      </c>
      <c r="B22836" s="65"/>
    </row>
    <row r="22837" spans="1:2" x14ac:dyDescent="0.25">
      <c r="A22837" s="64" t="str">
        <f>HYPERLINK("http://www.twitter.com/follysantidote", "follysantidote")</f>
        <v>follysantidote</v>
      </c>
      <c r="B22837" s="65" t="s">
        <v>5029</v>
      </c>
    </row>
    <row r="22838" spans="1:2" x14ac:dyDescent="0.25">
      <c r="A22838" s="64" t="str">
        <f>HYPERLINK("http://www.twitter.com/WarmVellumBooks", "WarmVellumBooks")</f>
        <v>WarmVellumBooks</v>
      </c>
      <c r="B22838" s="65" t="s">
        <v>70</v>
      </c>
    </row>
    <row r="22839" spans="1:2" x14ac:dyDescent="0.25">
      <c r="A22839" s="64" t="str">
        <f>HYPERLINK("http://www.twitter.com/verilyknits", "verilyknits")</f>
        <v>verilyknits</v>
      </c>
      <c r="B22839" s="65" t="s">
        <v>5466</v>
      </c>
    </row>
    <row r="22840" spans="1:2" x14ac:dyDescent="0.25">
      <c r="A22840" s="64" t="str">
        <f>HYPERLINK("http://www.twitter.com/familytreemaguk", "familytreemaguk")</f>
        <v>familytreemaguk</v>
      </c>
      <c r="B22840" s="65" t="s">
        <v>93</v>
      </c>
    </row>
    <row r="22841" spans="1:2" x14ac:dyDescent="0.25">
      <c r="A22841" s="64" t="str">
        <f>HYPERLINK("http://www.twitter.com/jamesjopling", "jamesjopling")</f>
        <v>jamesjopling</v>
      </c>
      <c r="B22841" s="65" t="s">
        <v>24</v>
      </c>
    </row>
    <row r="22842" spans="1:2" x14ac:dyDescent="0.25">
      <c r="A22842" s="64" t="str">
        <f>HYPERLINK("http://www.twitter.com/brendanfitz", "brendanfitz")</f>
        <v>brendanfitz</v>
      </c>
      <c r="B22842" s="65" t="s">
        <v>3779</v>
      </c>
    </row>
    <row r="22843" spans="1:2" x14ac:dyDescent="0.25">
      <c r="A22843" s="64" t="str">
        <f>HYPERLINK("http://www.twitter.com/Inkysloth", "Inkysloth")</f>
        <v>Inkysloth</v>
      </c>
      <c r="B22843" s="65" t="s">
        <v>36</v>
      </c>
    </row>
    <row r="22844" spans="1:2" x14ac:dyDescent="0.25">
      <c r="A22844" s="64" t="str">
        <f>HYPERLINK("http://www.twitter.com/brianlavery59", "brianlavery59")</f>
        <v>brianlavery59</v>
      </c>
      <c r="B22844" s="65" t="s">
        <v>10414</v>
      </c>
    </row>
    <row r="22845" spans="1:2" x14ac:dyDescent="0.25">
      <c r="A22845" s="64" t="str">
        <f>HYPERLINK("http://www.twitter.com/bibliothekskomm", "bibliothekskomm")</f>
        <v>bibliothekskomm</v>
      </c>
      <c r="B22845" s="65"/>
    </row>
    <row r="22846" spans="1:2" x14ac:dyDescent="0.25">
      <c r="A22846" s="64" t="str">
        <f>HYPERLINK("http://www.twitter.com/sarapics", "sarapics")</f>
        <v>sarapics</v>
      </c>
      <c r="B22846" s="65" t="s">
        <v>36</v>
      </c>
    </row>
    <row r="22847" spans="1:2" x14ac:dyDescent="0.25">
      <c r="A22847" s="64" t="str">
        <f>HYPERLINK("http://www.twitter.com/JessicaCRendall", "JessicaCRendall")</f>
        <v>JessicaCRendall</v>
      </c>
      <c r="B22847" s="65"/>
    </row>
    <row r="22848" spans="1:2" x14ac:dyDescent="0.25">
      <c r="A22848" s="64" t="str">
        <f>HYPERLINK("http://www.twitter.com/Clayreads2015", "Clayreads2015")</f>
        <v>Clayreads2015</v>
      </c>
      <c r="B22848" s="65"/>
    </row>
    <row r="22849" spans="1:2" x14ac:dyDescent="0.25">
      <c r="A22849" s="64" t="str">
        <f>HYPERLINK("http://www.twitter.com/storrardesign", "storrardesign")</f>
        <v>storrardesign</v>
      </c>
      <c r="B22849" s="65" t="s">
        <v>10415</v>
      </c>
    </row>
    <row r="22850" spans="1:2" x14ac:dyDescent="0.25">
      <c r="A22850" s="64" t="str">
        <f>HYPERLINK("http://www.twitter.com/dougiemain", "dougiemain")</f>
        <v>dougiemain</v>
      </c>
      <c r="B22850" s="65"/>
    </row>
    <row r="22851" spans="1:2" x14ac:dyDescent="0.25">
      <c r="A22851" s="64" t="str">
        <f>HYPERLINK("http://www.twitter.com/skokielibrary", "skokielibrary")</f>
        <v>skokielibrary</v>
      </c>
      <c r="B22851" s="65" t="s">
        <v>5068</v>
      </c>
    </row>
    <row r="22852" spans="1:2" x14ac:dyDescent="0.25">
      <c r="A22852" s="64" t="str">
        <f>HYPERLINK("http://www.twitter.com/JanFoss1", "JanFoss1")</f>
        <v>JanFoss1</v>
      </c>
      <c r="B22852" s="65" t="s">
        <v>10416</v>
      </c>
    </row>
    <row r="22853" spans="1:2" x14ac:dyDescent="0.25">
      <c r="A22853" s="64" t="str">
        <f>HYPERLINK("http://www.twitter.com/Msgadjit", "Msgadjit")</f>
        <v>Msgadjit</v>
      </c>
      <c r="B22853" s="65" t="s">
        <v>4366</v>
      </c>
    </row>
    <row r="22854" spans="1:2" x14ac:dyDescent="0.25">
      <c r="A22854" s="64" t="str">
        <f>HYPERLINK("http://www.twitter.com/dumpson", "dumpson")</f>
        <v>dumpson</v>
      </c>
      <c r="B22854" s="65" t="s">
        <v>808</v>
      </c>
    </row>
    <row r="22855" spans="1:2" x14ac:dyDescent="0.25">
      <c r="A22855" s="64" t="str">
        <f>HYPERLINK("http://www.twitter.com/FBreslinDavda", "FBreslinDavda")</f>
        <v>FBreslinDavda</v>
      </c>
      <c r="B22855" s="65" t="s">
        <v>138</v>
      </c>
    </row>
    <row r="22856" spans="1:2" x14ac:dyDescent="0.25">
      <c r="A22856" s="64" t="str">
        <f>HYPERLINK("http://www.twitter.com/petshopgirl43", "petshopgirl43")</f>
        <v>petshopgirl43</v>
      </c>
      <c r="B22856" s="65"/>
    </row>
    <row r="22857" spans="1:2" x14ac:dyDescent="0.25">
      <c r="A22857" s="64" t="str">
        <f>HYPERLINK("http://www.twitter.com/moorlandsmrs", "moorlandsmrs")</f>
        <v>moorlandsmrs</v>
      </c>
      <c r="B22857" s="65" t="s">
        <v>10417</v>
      </c>
    </row>
    <row r="22858" spans="1:2" x14ac:dyDescent="0.25">
      <c r="A22858" s="64" t="str">
        <f>HYPERLINK("http://www.twitter.com/KSaraSara83", "KSaraSara83")</f>
        <v>KSaraSara83</v>
      </c>
      <c r="B22858" s="65"/>
    </row>
    <row r="22859" spans="1:2" x14ac:dyDescent="0.25">
      <c r="A22859" s="64" t="str">
        <f>HYPERLINK("http://www.twitter.com/BarbaraTrickett", "BarbaraTrickett")</f>
        <v>BarbaraTrickett</v>
      </c>
      <c r="B22859" s="65"/>
    </row>
    <row r="22860" spans="1:2" x14ac:dyDescent="0.25">
      <c r="A22860" s="64" t="str">
        <f>HYPERLINK("http://www.twitter.com/AcAnniev12", "AcAnniev12")</f>
        <v>AcAnniev12</v>
      </c>
      <c r="B22860" s="65" t="s">
        <v>10418</v>
      </c>
    </row>
    <row r="22861" spans="1:2" x14ac:dyDescent="0.25">
      <c r="A22861" s="64" t="str">
        <f>HYPERLINK("http://www.twitter.com/KathleenBell30", "KathleenBell30")</f>
        <v>KathleenBell30</v>
      </c>
      <c r="B22861" s="65" t="s">
        <v>2007</v>
      </c>
    </row>
    <row r="22862" spans="1:2" x14ac:dyDescent="0.25">
      <c r="A22862" s="64" t="str">
        <f>HYPERLINK("http://www.twitter.com/BIGPictureBooks", "BIGPictureBooks")</f>
        <v>BIGPictureBooks</v>
      </c>
      <c r="B22862" s="65" t="s">
        <v>36</v>
      </c>
    </row>
    <row r="22863" spans="1:2" x14ac:dyDescent="0.25">
      <c r="A22863" s="64" t="str">
        <f>HYPERLINK("http://www.twitter.com/ourChloePup", "ourChloePup")</f>
        <v>ourChloePup</v>
      </c>
      <c r="B22863" s="65" t="s">
        <v>10419</v>
      </c>
    </row>
    <row r="22864" spans="1:2" x14ac:dyDescent="0.25">
      <c r="A22864" s="64" t="str">
        <f>HYPERLINK("http://www.twitter.com/CareBreaks", "CareBreaks")</f>
        <v>CareBreaks</v>
      </c>
      <c r="B22864" s="65" t="s">
        <v>10420</v>
      </c>
    </row>
    <row r="22865" spans="1:2" x14ac:dyDescent="0.25">
      <c r="A22865" s="64" t="str">
        <f>HYPERLINK("http://www.twitter.com/brandi2OOO", "brandi2OOO")</f>
        <v>brandi2OOO</v>
      </c>
      <c r="B22865" s="65"/>
    </row>
    <row r="22866" spans="1:2" x14ac:dyDescent="0.25">
      <c r="A22866" s="64" t="str">
        <f>HYPERLINK("http://www.twitter.com/sketty_massive", "sketty_massive")</f>
        <v>sketty_massive</v>
      </c>
      <c r="B22866" s="65" t="s">
        <v>3890</v>
      </c>
    </row>
    <row r="22867" spans="1:2" x14ac:dyDescent="0.25">
      <c r="A22867" s="64" t="str">
        <f>HYPERLINK("http://www.twitter.com/elisaEDINBURGH", "elisaEDINBURGH")</f>
        <v>elisaEDINBURGH</v>
      </c>
      <c r="B22867" s="65" t="s">
        <v>487</v>
      </c>
    </row>
    <row r="22868" spans="1:2" x14ac:dyDescent="0.25">
      <c r="A22868" s="64" t="str">
        <f>HYPERLINK("http://www.twitter.com/razzletiger", "razzletiger")</f>
        <v>razzletiger</v>
      </c>
      <c r="B22868" s="65" t="s">
        <v>10421</v>
      </c>
    </row>
    <row r="22869" spans="1:2" x14ac:dyDescent="0.25">
      <c r="A22869" s="64" t="str">
        <f>HYPERLINK("http://www.twitter.com/funktious", "funktious")</f>
        <v>funktious</v>
      </c>
      <c r="B22869" s="65" t="s">
        <v>2213</v>
      </c>
    </row>
    <row r="22870" spans="1:2" x14ac:dyDescent="0.25">
      <c r="A22870" s="64" t="str">
        <f>HYPERLINK("http://www.twitter.com/Julia_Emm", "Julia_Emm")</f>
        <v>Julia_Emm</v>
      </c>
      <c r="B22870" s="65" t="s">
        <v>24</v>
      </c>
    </row>
    <row r="22871" spans="1:2" x14ac:dyDescent="0.25">
      <c r="A22871" s="64" t="str">
        <f>HYPERLINK("http://www.twitter.com/C_McNeill", "C_McNeill")</f>
        <v>C_McNeill</v>
      </c>
      <c r="B22871" s="65" t="s">
        <v>24</v>
      </c>
    </row>
    <row r="22872" spans="1:2" x14ac:dyDescent="0.25">
      <c r="A22872" s="64" t="str">
        <f>HYPERLINK("http://www.twitter.com/MM3TLH", "MM3TLH")</f>
        <v>MM3TLH</v>
      </c>
      <c r="B22872" s="65"/>
    </row>
    <row r="22873" spans="1:2" x14ac:dyDescent="0.25">
      <c r="A22873" s="64" t="str">
        <f>HYPERLINK("http://www.twitter.com/MatthewBarge74", "MatthewBarge74")</f>
        <v>MatthewBarge74</v>
      </c>
      <c r="B22873" s="65" t="s">
        <v>10422</v>
      </c>
    </row>
    <row r="22874" spans="1:2" x14ac:dyDescent="0.25">
      <c r="A22874" s="64" t="str">
        <f>HYPERLINK("http://www.twitter.com/UCPL_Librarians", "UCPL_Librarians")</f>
        <v>UCPL_Librarians</v>
      </c>
      <c r="B22874" s="65" t="s">
        <v>10423</v>
      </c>
    </row>
    <row r="22875" spans="1:2" x14ac:dyDescent="0.25">
      <c r="A22875" s="64" t="str">
        <f>HYPERLINK("http://www.twitter.com/harveyorkney", "harveyorkney")</f>
        <v>harveyorkney</v>
      </c>
      <c r="B22875" s="65" t="s">
        <v>5667</v>
      </c>
    </row>
    <row r="22876" spans="1:2" x14ac:dyDescent="0.25">
      <c r="A22876" s="64" t="str">
        <f>HYPERLINK("http://www.twitter.com/josefomarsquats", "josefomarsquats")</f>
        <v>josefomarsquats</v>
      </c>
      <c r="B22876" s="65"/>
    </row>
    <row r="22877" spans="1:2" x14ac:dyDescent="0.25">
      <c r="A22877" s="64" t="str">
        <f>HYPERLINK("http://www.twitter.com/katieldow", "katieldow")</f>
        <v>katieldow</v>
      </c>
      <c r="B22877" s="65" t="s">
        <v>10424</v>
      </c>
    </row>
    <row r="22878" spans="1:2" x14ac:dyDescent="0.25">
      <c r="A22878" s="64" t="str">
        <f>HYPERLINK("http://www.twitter.com/orcken", "orcken")</f>
        <v>orcken</v>
      </c>
      <c r="B22878" s="65"/>
    </row>
    <row r="22879" spans="1:2" x14ac:dyDescent="0.25">
      <c r="A22879" s="64" t="str">
        <f>HYPERLINK("http://www.twitter.com/irvingmunro", "irvingmunro")</f>
        <v>irvingmunro</v>
      </c>
      <c r="B22879" s="65" t="s">
        <v>8475</v>
      </c>
    </row>
    <row r="22880" spans="1:2" x14ac:dyDescent="0.25">
      <c r="A22880" s="64" t="str">
        <f>HYPERLINK("http://www.twitter.com/orkneyales", "orkneyales")</f>
        <v>orkneyales</v>
      </c>
      <c r="B22880" s="65" t="s">
        <v>10425</v>
      </c>
    </row>
    <row r="22881" spans="1:2" x14ac:dyDescent="0.25">
      <c r="A22881" s="64" t="str">
        <f>HYPERLINK("http://www.twitter.com/Lochaber79", "Lochaber79")</f>
        <v>Lochaber79</v>
      </c>
      <c r="B22881" s="65"/>
    </row>
    <row r="22882" spans="1:2" x14ac:dyDescent="0.25">
      <c r="A22882" s="64" t="str">
        <f>HYPERLINK("http://www.twitter.com/DerbyLibraries", "DerbyLibraries")</f>
        <v>DerbyLibraries</v>
      </c>
      <c r="B22882" s="65" t="s">
        <v>3670</v>
      </c>
    </row>
    <row r="22883" spans="1:2" x14ac:dyDescent="0.25">
      <c r="A22883" s="64" t="str">
        <f>HYPERLINK("http://www.twitter.com/EdinburghBooks", "EdinburghBooks")</f>
        <v>EdinburghBooks</v>
      </c>
      <c r="B22883" s="65" t="s">
        <v>24</v>
      </c>
    </row>
    <row r="22884" spans="1:2" x14ac:dyDescent="0.25">
      <c r="A22884" s="64" t="str">
        <f>HYPERLINK("http://www.twitter.com/JoLWallace", "JoLWallace")</f>
        <v>JoLWallace</v>
      </c>
      <c r="B22884" s="65" t="s">
        <v>20</v>
      </c>
    </row>
    <row r="22885" spans="1:2" x14ac:dyDescent="0.25">
      <c r="A22885" s="64" t="str">
        <f>HYPERLINK("http://www.twitter.com/MartaLorenzon", "MartaLorenzon")</f>
        <v>MartaLorenzon</v>
      </c>
      <c r="B22885" s="65" t="s">
        <v>10426</v>
      </c>
    </row>
    <row r="22886" spans="1:2" x14ac:dyDescent="0.25">
      <c r="A22886" s="64" t="str">
        <f>HYPERLINK("http://www.twitter.com/jeffrich", "jeffrich")</f>
        <v>jeffrich</v>
      </c>
      <c r="B22886" s="65" t="s">
        <v>3921</v>
      </c>
    </row>
    <row r="22887" spans="1:2" x14ac:dyDescent="0.25">
      <c r="A22887" s="64" t="str">
        <f>HYPERLINK("http://www.twitter.com/RobinSummertent", "RobinSummertent")</f>
        <v>RobinSummertent</v>
      </c>
      <c r="B22887" s="65"/>
    </row>
    <row r="22888" spans="1:2" x14ac:dyDescent="0.25">
      <c r="A22888" s="64" t="str">
        <f>HYPERLINK("http://www.twitter.com/CurtM4u", "CurtM4u")</f>
        <v>CurtM4u</v>
      </c>
      <c r="B22888" s="65" t="s">
        <v>4039</v>
      </c>
    </row>
    <row r="22889" spans="1:2" x14ac:dyDescent="0.25">
      <c r="A22889" s="64" t="str">
        <f>HYPERLINK("http://www.twitter.com/alisonmmargaret", "alisonmmargaret")</f>
        <v>alisonmmargaret</v>
      </c>
      <c r="B22889" s="65" t="s">
        <v>24</v>
      </c>
    </row>
    <row r="22890" spans="1:2" x14ac:dyDescent="0.25">
      <c r="A22890" s="64" t="str">
        <f>HYPERLINK("http://www.twitter.com/morhugs", "morhugs")</f>
        <v>morhugs</v>
      </c>
      <c r="B22890" s="65"/>
    </row>
    <row r="22891" spans="1:2" x14ac:dyDescent="0.25">
      <c r="A22891" s="64" t="str">
        <f>HYPERLINK("http://www.twitter.com/connor_stenton", "connor_stenton")</f>
        <v>connor_stenton</v>
      </c>
      <c r="B22891" s="65"/>
    </row>
    <row r="22892" spans="1:2" x14ac:dyDescent="0.25">
      <c r="A22892" s="64" t="str">
        <f>HYPERLINK("http://www.twitter.com/bec_bart", "bec_bart")</f>
        <v>bec_bart</v>
      </c>
      <c r="B22892" s="65"/>
    </row>
    <row r="22893" spans="1:2" x14ac:dyDescent="0.25">
      <c r="A22893" s="64" t="str">
        <f>HYPERLINK("http://www.twitter.com/RussellFewinsUK", "RussellFewinsUK")</f>
        <v>RussellFewinsUK</v>
      </c>
      <c r="B22893" s="65" t="s">
        <v>477</v>
      </c>
    </row>
    <row r="22894" spans="1:2" x14ac:dyDescent="0.25">
      <c r="A22894" s="64" t="str">
        <f>HYPERLINK("http://www.twitter.com/MILLIEHOGG", "MILLIEHOGG")</f>
        <v>MILLIEHOGG</v>
      </c>
      <c r="B22894" s="65" t="s">
        <v>33</v>
      </c>
    </row>
    <row r="22895" spans="1:2" x14ac:dyDescent="0.25">
      <c r="A22895" s="64" t="str">
        <f>HYPERLINK("http://www.twitter.com/merendam", "merendam")</f>
        <v>merendam</v>
      </c>
      <c r="B22895" s="65"/>
    </row>
    <row r="22896" spans="1:2" x14ac:dyDescent="0.25">
      <c r="A22896" s="64" t="str">
        <f>HYPERLINK("http://www.twitter.com/Refgirl1", "Refgirl1")</f>
        <v>Refgirl1</v>
      </c>
      <c r="B22896" s="65" t="s">
        <v>10427</v>
      </c>
    </row>
    <row r="22897" spans="1:2" x14ac:dyDescent="0.25">
      <c r="A22897" s="64" t="str">
        <f>HYPERLINK("http://www.twitter.com/digitalOrkney", "digitalOrkney")</f>
        <v>digitalOrkney</v>
      </c>
      <c r="B22897" s="65" t="s">
        <v>4519</v>
      </c>
    </row>
    <row r="22898" spans="1:2" x14ac:dyDescent="0.25">
      <c r="A22898" s="64" t="str">
        <f>HYPERLINK("http://www.twitter.com/HHSS_Library", "HHSS_Library")</f>
        <v>HHSS_Library</v>
      </c>
      <c r="B22898" s="65"/>
    </row>
    <row r="22899" spans="1:2" x14ac:dyDescent="0.25">
      <c r="A22899" s="64" t="str">
        <f>HYPERLINK("http://www.twitter.com/KitchLibrary", "KitchLibrary")</f>
        <v>KitchLibrary</v>
      </c>
      <c r="B22899" s="65" t="s">
        <v>10428</v>
      </c>
    </row>
    <row r="22900" spans="1:2" x14ac:dyDescent="0.25">
      <c r="A22900" s="64" t="str">
        <f>HYPERLINK("http://www.twitter.com/davidmuseums", "davidmuseums")</f>
        <v>davidmuseums</v>
      </c>
      <c r="B22900" s="65" t="s">
        <v>601</v>
      </c>
    </row>
    <row r="22901" spans="1:2" x14ac:dyDescent="0.25">
      <c r="A22901" s="64" t="str">
        <f>HYPERLINK("http://www.twitter.com/ClareFMLib", "ClareFMLib")</f>
        <v>ClareFMLib</v>
      </c>
      <c r="B22901" s="65" t="s">
        <v>788</v>
      </c>
    </row>
    <row r="22902" spans="1:2" x14ac:dyDescent="0.25">
      <c r="A22902" s="64" t="str">
        <f>HYPERLINK("http://www.twitter.com/fiver9944", "fiver9944")</f>
        <v>fiver9944</v>
      </c>
      <c r="B22902" s="65" t="s">
        <v>3988</v>
      </c>
    </row>
    <row r="22903" spans="1:2" x14ac:dyDescent="0.25">
      <c r="A22903" s="64" t="str">
        <f>HYPERLINK("http://www.twitter.com/GGarson17971", "GGarson17971")</f>
        <v>GGarson17971</v>
      </c>
      <c r="B22903" s="65"/>
    </row>
    <row r="22904" spans="1:2" x14ac:dyDescent="0.25">
      <c r="A22904" s="64" t="str">
        <f>HYPERLINK("http://www.twitter.com/jkhodos", "jkhodos")</f>
        <v>jkhodos</v>
      </c>
      <c r="B22904" s="65" t="s">
        <v>3990</v>
      </c>
    </row>
    <row r="22905" spans="1:2" x14ac:dyDescent="0.25">
      <c r="A22905" s="64" t="str">
        <f>HYPERLINK("http://www.twitter.com/roynadinprint", "roynadinprint")</f>
        <v>roynadinprint</v>
      </c>
      <c r="B22905" s="65" t="s">
        <v>10429</v>
      </c>
    </row>
    <row r="22906" spans="1:2" x14ac:dyDescent="0.25">
      <c r="A22906" s="64" t="str">
        <f>HYPERLINK("http://www.twitter.com/book_reader77", "book_reader77")</f>
        <v>book_reader77</v>
      </c>
      <c r="B22906" s="65"/>
    </row>
    <row r="22907" spans="1:2" x14ac:dyDescent="0.25">
      <c r="A22907" s="64" t="str">
        <f>HYPERLINK("http://www.twitter.com/thommo2006", "thommo2006")</f>
        <v>thommo2006</v>
      </c>
      <c r="B22907" s="65" t="s">
        <v>5104</v>
      </c>
    </row>
    <row r="22908" spans="1:2" x14ac:dyDescent="0.25">
      <c r="A22908" s="64" t="str">
        <f>HYPERLINK("http://www.twitter.com/janecandlish1", "janecandlish1")</f>
        <v>janecandlish1</v>
      </c>
      <c r="B22908" s="65" t="s">
        <v>10430</v>
      </c>
    </row>
    <row r="22909" spans="1:2" x14ac:dyDescent="0.25">
      <c r="A22909" s="64" t="str">
        <f>HYPERLINK("http://www.twitter.com/lste08", "lste08")</f>
        <v>lste08</v>
      </c>
      <c r="B22909" s="65" t="s">
        <v>808</v>
      </c>
    </row>
    <row r="22910" spans="1:2" x14ac:dyDescent="0.25">
      <c r="A22910" s="64" t="str">
        <f>HYPERLINK("http://www.twitter.com/wendlain", "wendlain")</f>
        <v>wendlain</v>
      </c>
      <c r="B22910" s="65" t="s">
        <v>10431</v>
      </c>
    </row>
    <row r="22911" spans="1:2" x14ac:dyDescent="0.25">
      <c r="A22911" s="64" t="str">
        <f>HYPERLINK("http://www.twitter.com/bookgivingday", "bookgivingday")</f>
        <v>bookgivingday</v>
      </c>
      <c r="B22911" s="65" t="s">
        <v>10432</v>
      </c>
    </row>
    <row r="22912" spans="1:2" x14ac:dyDescent="0.25">
      <c r="A22912" s="64" t="str">
        <f>HYPERLINK("http://www.twitter.com/GDKalfie", "GDKalfie")</f>
        <v>GDKalfie</v>
      </c>
      <c r="B22912" s="65"/>
    </row>
    <row r="22913" spans="1:2" x14ac:dyDescent="0.25">
      <c r="A22913" s="64" t="str">
        <f>HYPERLINK("http://www.twitter.com/angstytadpole", "angstytadpole")</f>
        <v>angstytadpole</v>
      </c>
      <c r="B22913" s="65" t="s">
        <v>2306</v>
      </c>
    </row>
    <row r="22914" spans="1:2" x14ac:dyDescent="0.25">
      <c r="A22914" s="64" t="str">
        <f>HYPERLINK("http://www.twitter.com/halifaxreader", "halifaxreader")</f>
        <v>halifaxreader</v>
      </c>
      <c r="B22914" s="65" t="s">
        <v>10433</v>
      </c>
    </row>
    <row r="22915" spans="1:2" x14ac:dyDescent="0.25">
      <c r="A22915" s="64" t="str">
        <f>HYPERLINK("http://www.twitter.com/hfxpublib", "hfxpublib")</f>
        <v>hfxpublib</v>
      </c>
      <c r="B22915" s="65" t="s">
        <v>7296</v>
      </c>
    </row>
    <row r="22916" spans="1:2" x14ac:dyDescent="0.25">
      <c r="A22916" s="64" t="str">
        <f>HYPERLINK("http://www.twitter.com/Tika_Dan", "Tika_Dan")</f>
        <v>Tika_Dan</v>
      </c>
      <c r="B22916" s="65" t="s">
        <v>5904</v>
      </c>
    </row>
    <row r="22917" spans="1:2" x14ac:dyDescent="0.25">
      <c r="A22917" s="64" t="str">
        <f>HYPERLINK("http://www.twitter.com/MindsSconeBlank", "MindsSconeBlank")</f>
        <v>MindsSconeBlank</v>
      </c>
      <c r="B22917" s="65"/>
    </row>
    <row r="22918" spans="1:2" x14ac:dyDescent="0.25">
      <c r="A22918" s="64" t="str">
        <f>HYPERLINK("http://www.twitter.com/orkneyclarks", "orkneyclarks")</f>
        <v>orkneyclarks</v>
      </c>
      <c r="B22918" s="65" t="s">
        <v>20</v>
      </c>
    </row>
    <row r="22919" spans="1:2" x14ac:dyDescent="0.25">
      <c r="A22919" s="64" t="str">
        <f>HYPERLINK("http://www.twitter.com/paula_pnr", "paula_pnr")</f>
        <v>paula_pnr</v>
      </c>
      <c r="B22919" s="65"/>
    </row>
    <row r="22920" spans="1:2" x14ac:dyDescent="0.25">
      <c r="A22920" s="64" t="str">
        <f>HYPERLINK("http://www.twitter.com/solveig_beauty", "solveig_beauty")</f>
        <v>solveig_beauty</v>
      </c>
      <c r="B22920" s="65" t="s">
        <v>20</v>
      </c>
    </row>
    <row r="22921" spans="1:2" x14ac:dyDescent="0.25">
      <c r="A22921" s="64" t="str">
        <f>HYPERLINK("http://www.twitter.com/BrianHaske", "BrianHaske")</f>
        <v>BrianHaske</v>
      </c>
      <c r="B22921" s="65" t="s">
        <v>3863</v>
      </c>
    </row>
    <row r="22922" spans="1:2" x14ac:dyDescent="0.25">
      <c r="A22922" s="64" t="str">
        <f>HYPERLINK("http://www.twitter.com/jjullman", "jjullman")</f>
        <v>jjullman</v>
      </c>
      <c r="B22922" s="65"/>
    </row>
    <row r="22923" spans="1:2" x14ac:dyDescent="0.25">
      <c r="A22923" s="64" t="str">
        <f>HYPERLINK("http://www.twitter.com/YaGlover", "YaGlover")</f>
        <v>YaGlover</v>
      </c>
      <c r="B22923" s="65"/>
    </row>
    <row r="22924" spans="1:2" x14ac:dyDescent="0.25">
      <c r="A22924" s="64" t="str">
        <f>HYPERLINK("http://www.twitter.com/rfchadburn", "rfchadburn")</f>
        <v>rfchadburn</v>
      </c>
      <c r="B22924" s="65"/>
    </row>
    <row r="22925" spans="1:2" x14ac:dyDescent="0.25">
      <c r="A22925" s="64" t="str">
        <f>HYPERLINK("http://www.twitter.com/Darrengmuir", "Darrengmuir")</f>
        <v>Darrengmuir</v>
      </c>
      <c r="B22925" s="65"/>
    </row>
    <row r="22926" spans="1:2" x14ac:dyDescent="0.25">
      <c r="A22926" s="64" t="str">
        <f>HYPERLINK("http://www.twitter.com/Mellaella", "Mellaella")</f>
        <v>Mellaella</v>
      </c>
      <c r="B22926" s="65"/>
    </row>
    <row r="22927" spans="1:2" x14ac:dyDescent="0.25">
      <c r="A22927" s="64" t="str">
        <f>HYPERLINK("http://www.twitter.com/CA_TimB", "CA_TimB")</f>
        <v>CA_TimB</v>
      </c>
      <c r="B22927" s="65" t="s">
        <v>10434</v>
      </c>
    </row>
    <row r="22928" spans="1:2" x14ac:dyDescent="0.25">
      <c r="A22928" s="64" t="str">
        <f>HYPERLINK("http://www.twitter.com/Belacqua24", "Belacqua24")</f>
        <v>Belacqua24</v>
      </c>
      <c r="B22928" s="65" t="s">
        <v>10435</v>
      </c>
    </row>
    <row r="22929" spans="1:2" x14ac:dyDescent="0.25">
      <c r="A22929" s="64" t="str">
        <f>HYPERLINK("http://www.twitter.com/ShortandSnappy", "ShortandSnappy")</f>
        <v>ShortandSnappy</v>
      </c>
      <c r="B22929" s="65" t="s">
        <v>10436</v>
      </c>
    </row>
    <row r="22930" spans="1:2" x14ac:dyDescent="0.25">
      <c r="A22930" s="64" t="str">
        <f>HYPERLINK("http://www.twitter.com/medicsupport", "medicsupport")</f>
        <v>medicsupport</v>
      </c>
      <c r="B22930" s="65" t="s">
        <v>10437</v>
      </c>
    </row>
    <row r="22931" spans="1:2" x14ac:dyDescent="0.25">
      <c r="A22931" s="64" t="str">
        <f>HYPERLINK("http://www.twitter.com/StarGazy22", "StarGazy22")</f>
        <v>StarGazy22</v>
      </c>
      <c r="B22931" s="65"/>
    </row>
    <row r="22932" spans="1:2" x14ac:dyDescent="0.25">
      <c r="A22932" s="64" t="str">
        <f>HYPERLINK("http://www.twitter.com/Katy_S_Winfield", "Katy_S_Winfield")</f>
        <v>Katy_S_Winfield</v>
      </c>
      <c r="B22932" s="65"/>
    </row>
    <row r="22933" spans="1:2" x14ac:dyDescent="0.25">
      <c r="A22933" s="64" t="str">
        <f>HYPERLINK("http://www.twitter.com/MikeWitcombe", "MikeWitcombe")</f>
        <v>MikeWitcombe</v>
      </c>
      <c r="B22933" s="65" t="s">
        <v>477</v>
      </c>
    </row>
    <row r="22934" spans="1:2" x14ac:dyDescent="0.25">
      <c r="A22934" s="64" t="str">
        <f>HYPERLINK("http://www.twitter.com/cosmic_rae", "cosmic_rae")</f>
        <v>cosmic_rae</v>
      </c>
      <c r="B22934" s="65" t="s">
        <v>4681</v>
      </c>
    </row>
    <row r="22935" spans="1:2" x14ac:dyDescent="0.25">
      <c r="A22935" s="64" t="str">
        <f>HYPERLINK("http://www.twitter.com/SuzyCoull", "SuzyCoull")</f>
        <v>SuzyCoull</v>
      </c>
      <c r="B22935" s="65" t="s">
        <v>4129</v>
      </c>
    </row>
    <row r="22936" spans="1:2" x14ac:dyDescent="0.25">
      <c r="A22936" s="64" t="str">
        <f>HYPERLINK("http://www.twitter.com/wonderfishy", "wonderfishy")</f>
        <v>wonderfishy</v>
      </c>
      <c r="B22936" s="65" t="s">
        <v>10438</v>
      </c>
    </row>
    <row r="22937" spans="1:2" x14ac:dyDescent="0.25">
      <c r="A22937" s="64" t="str">
        <f>HYPERLINK("http://www.twitter.com/clrkmrtn", "clrkmrtn")</f>
        <v>clrkmrtn</v>
      </c>
      <c r="B22937" s="65" t="s">
        <v>4167</v>
      </c>
    </row>
    <row r="22938" spans="1:2" x14ac:dyDescent="0.25">
      <c r="A22938" s="64" t="str">
        <f>HYPERLINK("http://www.twitter.com/scotiajim", "scotiajim")</f>
        <v>scotiajim</v>
      </c>
      <c r="B22938" s="65" t="s">
        <v>6524</v>
      </c>
    </row>
    <row r="22939" spans="1:2" x14ac:dyDescent="0.25">
      <c r="A22939" s="64" t="str">
        <f>HYPERLINK("http://www.twitter.com/malsnbfb", "malsnbfb")</f>
        <v>malsnbfb</v>
      </c>
      <c r="B22939" s="65" t="s">
        <v>10439</v>
      </c>
    </row>
    <row r="22940" spans="1:2" x14ac:dyDescent="0.25">
      <c r="A22940" s="64" t="str">
        <f>HYPERLINK("http://www.twitter.com/isabel10015", "isabel10015")</f>
        <v>isabel10015</v>
      </c>
      <c r="B22940" s="65"/>
    </row>
    <row r="22941" spans="1:2" x14ac:dyDescent="0.25">
      <c r="A22941" s="64" t="str">
        <f>HYPERLINK("http://www.twitter.com/jensen2401", "jensen2401")</f>
        <v>jensen2401</v>
      </c>
      <c r="B22941" s="65" t="s">
        <v>10440</v>
      </c>
    </row>
    <row r="22942" spans="1:2" x14ac:dyDescent="0.25">
      <c r="A22942" s="64" t="str">
        <f>HYPERLINK("http://www.twitter.com/JosephChrostonB", "JosephChrostonB")</f>
        <v>JosephChrostonB</v>
      </c>
      <c r="B22942" s="65"/>
    </row>
    <row r="22943" spans="1:2" x14ac:dyDescent="0.25">
      <c r="A22943" s="64" t="str">
        <f>HYPERLINK("http://www.twitter.com/AndiSash", "AndiSash")</f>
        <v>AndiSash</v>
      </c>
      <c r="B22943" s="65" t="s">
        <v>3762</v>
      </c>
    </row>
    <row r="22944" spans="1:2" x14ac:dyDescent="0.25">
      <c r="A22944" s="64" t="str">
        <f>HYPERLINK("http://www.twitter.com/aimeelee", "aimeelee")</f>
        <v>aimeelee</v>
      </c>
      <c r="B22944" s="65" t="s">
        <v>10441</v>
      </c>
    </row>
    <row r="22945" spans="1:2" x14ac:dyDescent="0.25">
      <c r="A22945" s="64" t="str">
        <f>HYPERLINK("http://www.twitter.com/MoragMcFadyen", "MoragMcFadyen")</f>
        <v>MoragMcFadyen</v>
      </c>
      <c r="B22945" s="65" t="s">
        <v>808</v>
      </c>
    </row>
    <row r="22946" spans="1:2" x14ac:dyDescent="0.25">
      <c r="A22946" s="64" t="str">
        <f>HYPERLINK("http://www.twitter.com/gdltak", "gdltak")</f>
        <v>gdltak</v>
      </c>
      <c r="B22946" s="65"/>
    </row>
    <row r="22947" spans="1:2" x14ac:dyDescent="0.25">
      <c r="A22947" s="64" t="str">
        <f>HYPERLINK("http://www.twitter.com/theBeekan", "theBeekan")</f>
        <v>theBeekan</v>
      </c>
      <c r="B22947" s="65" t="s">
        <v>517</v>
      </c>
    </row>
    <row r="22948" spans="1:2" x14ac:dyDescent="0.25">
      <c r="A22948" s="64" t="str">
        <f>HYPERLINK("http://www.twitter.com/oljaren1", "oljaren1")</f>
        <v>oljaren1</v>
      </c>
      <c r="B22948" s="65"/>
    </row>
    <row r="22949" spans="1:2" x14ac:dyDescent="0.25">
      <c r="A22949" s="64" t="str">
        <f>HYPERLINK("http://www.twitter.com/davidjgorton", "davidjgorton")</f>
        <v>davidjgorton</v>
      </c>
      <c r="B22949" s="65" t="s">
        <v>33</v>
      </c>
    </row>
    <row r="22950" spans="1:2" x14ac:dyDescent="0.25">
      <c r="A22950" s="64" t="str">
        <f>HYPERLINK("http://www.twitter.com/ALA_Archives", "ALA_Archives")</f>
        <v>ALA_Archives</v>
      </c>
      <c r="B22950" s="65" t="s">
        <v>10442</v>
      </c>
    </row>
    <row r="22951" spans="1:2" x14ac:dyDescent="0.25">
      <c r="A22951" s="64" t="str">
        <f>HYPERLINK("http://www.twitter.com/mariellaf1", "mariellaf1")</f>
        <v>mariellaf1</v>
      </c>
      <c r="B22951" s="65"/>
    </row>
    <row r="22952" spans="1:2" x14ac:dyDescent="0.25">
      <c r="A22952" s="64" t="str">
        <f>HYPERLINK("http://www.twitter.com/EventsUWS", "EventsUWS")</f>
        <v>EventsUWS</v>
      </c>
      <c r="B22952" s="65"/>
    </row>
    <row r="22953" spans="1:2" x14ac:dyDescent="0.25">
      <c r="A22953" s="64" t="str">
        <f>HYPERLINK("http://www.twitter.com/AmandaHolmes262", "AmandaHolmes262")</f>
        <v>AmandaHolmes262</v>
      </c>
      <c r="B22953" s="65"/>
    </row>
    <row r="22954" spans="1:2" x14ac:dyDescent="0.25">
      <c r="A22954" s="64" t="str">
        <f>HYPERLINK("http://www.twitter.com/KarenPlested", "KarenPlested")</f>
        <v>KarenPlested</v>
      </c>
      <c r="B22954" s="65" t="s">
        <v>2007</v>
      </c>
    </row>
    <row r="22955" spans="1:2" x14ac:dyDescent="0.25">
      <c r="A22955" s="64" t="str">
        <f>HYPERLINK("http://www.twitter.com/annadav54693024", "annadav54693024")</f>
        <v>annadav54693024</v>
      </c>
      <c r="B22955" s="65"/>
    </row>
    <row r="22956" spans="1:2" x14ac:dyDescent="0.25">
      <c r="A22956" s="64" t="str">
        <f>HYPERLINK("http://www.twitter.com/asgeirr", "asgeirr")</f>
        <v>asgeirr</v>
      </c>
      <c r="B22956" s="65" t="s">
        <v>7327</v>
      </c>
    </row>
    <row r="22957" spans="1:2" x14ac:dyDescent="0.25">
      <c r="A22957" s="64" t="str">
        <f>HYPERLINK("http://www.twitter.com/Em123321", "Em123321")</f>
        <v>Em123321</v>
      </c>
      <c r="B22957" s="65"/>
    </row>
    <row r="22958" spans="1:2" x14ac:dyDescent="0.25">
      <c r="A22958" s="64" t="str">
        <f>HYPERLINK("http://www.twitter.com/MicheleCMcGuire", "MicheleCMcGuire")</f>
        <v>MicheleCMcGuire</v>
      </c>
      <c r="B22958" s="65"/>
    </row>
    <row r="22959" spans="1:2" x14ac:dyDescent="0.25">
      <c r="A22959" s="64" t="str">
        <f>HYPERLINK("http://www.twitter.com/ChestermereLib", "ChestermereLib")</f>
        <v>ChestermereLib</v>
      </c>
      <c r="B22959" s="65" t="s">
        <v>10443</v>
      </c>
    </row>
    <row r="22960" spans="1:2" x14ac:dyDescent="0.25">
      <c r="A22960" s="64" t="str">
        <f>HYPERLINK("http://www.twitter.com/klmccook", "klmccook")</f>
        <v>klmccook</v>
      </c>
      <c r="B22960" s="65"/>
    </row>
    <row r="22961" spans="1:2" x14ac:dyDescent="0.25">
      <c r="A22961" s="64" t="str">
        <f>HYPERLINK("http://www.twitter.com/mduemetha", "mduemetha")</f>
        <v>mduemetha</v>
      </c>
      <c r="B22961" s="65" t="s">
        <v>10444</v>
      </c>
    </row>
    <row r="22962" spans="1:2" x14ac:dyDescent="0.25">
      <c r="A22962" s="64" t="str">
        <f>HYPERLINK("http://www.twitter.com/orkneygoddess", "orkneygoddess")</f>
        <v>orkneygoddess</v>
      </c>
      <c r="B22962" s="65" t="s">
        <v>20</v>
      </c>
    </row>
    <row r="22963" spans="1:2" x14ac:dyDescent="0.25">
      <c r="A22963" s="64" t="str">
        <f>HYPERLINK("http://www.twitter.com/VivienMartin4", "VivienMartin4")</f>
        <v>VivienMartin4</v>
      </c>
      <c r="B22963" s="65" t="s">
        <v>10445</v>
      </c>
    </row>
    <row r="22964" spans="1:2" x14ac:dyDescent="0.25">
      <c r="A22964" s="64" t="str">
        <f>HYPERLINK("http://www.twitter.com/thealexmarcos", "thealexmarcos")</f>
        <v>thealexmarcos</v>
      </c>
      <c r="B22964" s="65" t="s">
        <v>10446</v>
      </c>
    </row>
    <row r="22965" spans="1:2" x14ac:dyDescent="0.25">
      <c r="A22965" s="64" t="str">
        <f>HYPERLINK("http://www.twitter.com/nicsmcnally", "nicsmcnally")</f>
        <v>nicsmcnally</v>
      </c>
      <c r="B22965" s="65" t="s">
        <v>4254</v>
      </c>
    </row>
    <row r="22966" spans="1:2" x14ac:dyDescent="0.25">
      <c r="A22966" s="64" t="str">
        <f>HYPERLINK("http://www.twitter.com/darklibrarian", "darklibrarian")</f>
        <v>darklibrarian</v>
      </c>
      <c r="B22966" s="65" t="s">
        <v>4837</v>
      </c>
    </row>
    <row r="22967" spans="1:2" x14ac:dyDescent="0.25">
      <c r="A22967" s="64" t="str">
        <f>HYPERLINK("http://www.twitter.com/jorgedoprado", "jorgedoprado")</f>
        <v>jorgedoprado</v>
      </c>
      <c r="B22967" s="65" t="s">
        <v>10447</v>
      </c>
    </row>
    <row r="22968" spans="1:2" x14ac:dyDescent="0.25">
      <c r="A22968" s="64" t="str">
        <f>HYPERLINK("http://www.twitter.com/unido_en_lucha", "unido_en_lucha")</f>
        <v>unido_en_lucha</v>
      </c>
      <c r="B22968" s="65" t="s">
        <v>318</v>
      </c>
    </row>
    <row r="22969" spans="1:2" x14ac:dyDescent="0.25">
      <c r="A22969" s="64" t="str">
        <f>HYPERLINK("http://www.twitter.com/steveod1967", "steveod1967")</f>
        <v>steveod1967</v>
      </c>
      <c r="B22969" s="65" t="s">
        <v>10448</v>
      </c>
    </row>
    <row r="22970" spans="1:2" x14ac:dyDescent="0.25">
      <c r="A22970" s="64" t="str">
        <f>HYPERLINK("http://www.twitter.com/arcticlamb", "arcticlamb")</f>
        <v>arcticlamb</v>
      </c>
      <c r="B22970" s="65" t="s">
        <v>3778</v>
      </c>
    </row>
    <row r="22971" spans="1:2" x14ac:dyDescent="0.25">
      <c r="A22971" s="64" t="str">
        <f>HYPERLINK("http://www.twitter.com/ilikeoldbooks", "ilikeoldbooks")</f>
        <v>ilikeoldbooks</v>
      </c>
      <c r="B22971" s="65" t="s">
        <v>1189</v>
      </c>
    </row>
    <row r="22972" spans="1:2" x14ac:dyDescent="0.25">
      <c r="A22972" s="64" t="str">
        <f>HYPERLINK("http://www.twitter.com/Rhys180", "Rhys180")</f>
        <v>Rhys180</v>
      </c>
      <c r="B22972" s="65" t="s">
        <v>138</v>
      </c>
    </row>
    <row r="22973" spans="1:2" x14ac:dyDescent="0.25">
      <c r="A22973" s="64" t="str">
        <f>HYPERLINK("http://www.twitter.com/Katesloan59", "Katesloan59")</f>
        <v>Katesloan59</v>
      </c>
      <c r="B22973" s="65"/>
    </row>
    <row r="22974" spans="1:2" x14ac:dyDescent="0.25">
      <c r="A22974" s="64" t="str">
        <f>HYPERLINK("http://www.twitter.com/furiousgerbil", "furiousgerbil")</f>
        <v>furiousgerbil</v>
      </c>
      <c r="B22974" s="65" t="s">
        <v>10449</v>
      </c>
    </row>
    <row r="22975" spans="1:2" x14ac:dyDescent="0.25">
      <c r="A22975" s="64" t="str">
        <f>HYPERLINK("http://www.twitter.com/onieviv", "onieviv")</f>
        <v>onieviv</v>
      </c>
      <c r="B22975" s="65" t="s">
        <v>10450</v>
      </c>
    </row>
    <row r="22976" spans="1:2" x14ac:dyDescent="0.25">
      <c r="A22976" s="64" t="str">
        <f>HYPERLINK("http://www.twitter.com/dan__worsley", "dan__worsley")</f>
        <v>dan__worsley</v>
      </c>
      <c r="B22976" s="65" t="s">
        <v>448</v>
      </c>
    </row>
    <row r="22977" spans="1:2" x14ac:dyDescent="0.25">
      <c r="A22977" s="64" t="str">
        <f>HYPERLINK("http://www.twitter.com/mylearning_org", "mylearning_org")</f>
        <v>mylearning_org</v>
      </c>
      <c r="B22977" s="65" t="s">
        <v>296</v>
      </c>
    </row>
    <row r="22978" spans="1:2" x14ac:dyDescent="0.25">
      <c r="A22978" s="64" t="str">
        <f>HYPERLINK("http://www.twitter.com/BankieBooling", "BankieBooling")</f>
        <v>BankieBooling</v>
      </c>
      <c r="B22978" s="65" t="s">
        <v>3395</v>
      </c>
    </row>
    <row r="22979" spans="1:2" x14ac:dyDescent="0.25">
      <c r="A22979" s="64" t="str">
        <f>HYPERLINK("http://www.twitter.com/MaineLibAssoc", "MaineLibAssoc")</f>
        <v>MaineLibAssoc</v>
      </c>
      <c r="B22979" s="65" t="s">
        <v>4825</v>
      </c>
    </row>
    <row r="22980" spans="1:2" x14ac:dyDescent="0.25">
      <c r="A22980" s="64" t="str">
        <f>HYPERLINK("http://www.twitter.com/RHMLibrarian", "RHMLibrarian")</f>
        <v>RHMLibrarian</v>
      </c>
      <c r="B22980" s="65"/>
    </row>
    <row r="22981" spans="1:2" x14ac:dyDescent="0.25">
      <c r="A22981" s="64" t="str">
        <f>HYPERLINK("http://www.twitter.com/SHOTINSCOTLAND", "SHOTINSCOTLAND")</f>
        <v>SHOTINSCOTLAND</v>
      </c>
      <c r="B22981" s="65"/>
    </row>
    <row r="22982" spans="1:2" x14ac:dyDescent="0.25">
      <c r="A22982" s="64" t="str">
        <f>HYPERLINK("http://www.twitter.com/KirstinaSincz", "KirstinaSincz")</f>
        <v>KirstinaSincz</v>
      </c>
      <c r="B22982" s="65"/>
    </row>
    <row r="22983" spans="1:2" x14ac:dyDescent="0.25">
      <c r="A22983" s="64" t="str">
        <f>HYPERLINK("http://www.twitter.com/tlyonsrhml", "tlyonsrhml")</f>
        <v>tlyonsrhml</v>
      </c>
      <c r="B22983" s="65"/>
    </row>
    <row r="22984" spans="1:2" x14ac:dyDescent="0.25">
      <c r="A22984" s="64" t="str">
        <f>HYPERLINK("http://www.twitter.com/bangorlibrary", "bangorlibrary")</f>
        <v>bangorlibrary</v>
      </c>
      <c r="B22984" s="65" t="s">
        <v>10451</v>
      </c>
    </row>
    <row r="22985" spans="1:2" x14ac:dyDescent="0.25">
      <c r="A22985" s="64" t="str">
        <f>HYPERLINK("http://www.twitter.com/rlbhaynes", "rlbhaynes")</f>
        <v>rlbhaynes</v>
      </c>
      <c r="B22985" s="65"/>
    </row>
    <row r="22986" spans="1:2" x14ac:dyDescent="0.25">
      <c r="A22986" s="64" t="str">
        <f>HYPERLINK("http://www.twitter.com/Jim_Reid65", "Jim_Reid65")</f>
        <v>Jim_Reid65</v>
      </c>
      <c r="B22986" s="65" t="s">
        <v>10452</v>
      </c>
    </row>
    <row r="22987" spans="1:2" x14ac:dyDescent="0.25">
      <c r="A22987" s="64" t="str">
        <f>HYPERLINK("http://www.twitter.com/Miss_Meryem01", "Miss_Meryem01")</f>
        <v>Miss_Meryem01</v>
      </c>
      <c r="B22987" s="65"/>
    </row>
    <row r="22988" spans="1:2" x14ac:dyDescent="0.25">
      <c r="A22988" s="64" t="str">
        <f>HYPERLINK("http://www.twitter.com/sinclair_eileen", "sinclair_eileen")</f>
        <v>sinclair_eileen</v>
      </c>
      <c r="B22988" s="65"/>
    </row>
    <row r="22989" spans="1:2" x14ac:dyDescent="0.25">
      <c r="A22989" s="64" t="str">
        <f>HYPERLINK("http://www.twitter.com/stanprimary", "stanprimary")</f>
        <v>stanprimary</v>
      </c>
      <c r="B22989" s="65" t="s">
        <v>10453</v>
      </c>
    </row>
    <row r="22990" spans="1:2" x14ac:dyDescent="0.25">
      <c r="A22990" s="64" t="str">
        <f>HYPERLINK("http://www.twitter.com/AlvaAcadLibrary", "AlvaAcadLibrary")</f>
        <v>AlvaAcadLibrary</v>
      </c>
      <c r="B22990" s="65"/>
    </row>
    <row r="22991" spans="1:2" x14ac:dyDescent="0.25">
      <c r="A22991" s="64" t="str">
        <f>HYPERLINK("http://www.twitter.com/peckerwindsor", "peckerwindsor")</f>
        <v>peckerwindsor</v>
      </c>
      <c r="B22991" s="65" t="s">
        <v>36</v>
      </c>
    </row>
    <row r="22992" spans="1:2" x14ac:dyDescent="0.25">
      <c r="A22992" s="64" t="str">
        <f>HYPERLINK("http://www.twitter.com/ellenmcateer", "ellenmcateer")</f>
        <v>ellenmcateer</v>
      </c>
      <c r="B22992" s="65" t="s">
        <v>4409</v>
      </c>
    </row>
    <row r="22993" spans="1:2" x14ac:dyDescent="0.25">
      <c r="A22993" s="64" t="str">
        <f>HYPERLINK("http://www.twitter.com/thepoetrytrust", "thepoetrytrust")</f>
        <v>thepoetrytrust</v>
      </c>
      <c r="B22993" s="65" t="s">
        <v>3643</v>
      </c>
    </row>
    <row r="22994" spans="1:2" x14ac:dyDescent="0.25">
      <c r="A22994" s="64" t="str">
        <f>HYPERLINK("http://www.twitter.com/Kwei_Quartey", "Kwei_Quartey")</f>
        <v>Kwei_Quartey</v>
      </c>
      <c r="B22994" s="65" t="s">
        <v>10454</v>
      </c>
    </row>
    <row r="22995" spans="1:2" x14ac:dyDescent="0.25">
      <c r="A22995" s="64" t="str">
        <f>HYPERLINK("http://www.twitter.com/c_hocking", "c_hocking")</f>
        <v>c_hocking</v>
      </c>
      <c r="B22995" s="65"/>
    </row>
    <row r="22996" spans="1:2" x14ac:dyDescent="0.25">
      <c r="A22996" s="64" t="str">
        <f>HYPERLINK("http://www.twitter.com/MaggietheBruce", "MaggietheBruce")</f>
        <v>MaggietheBruce</v>
      </c>
      <c r="B22996" s="65"/>
    </row>
    <row r="22997" spans="1:2" x14ac:dyDescent="0.25">
      <c r="A22997" s="64" t="str">
        <f>HYPERLINK("http://www.twitter.com/daiden_or", "daiden_or")</f>
        <v>daiden_or</v>
      </c>
      <c r="B22997" s="65" t="s">
        <v>24</v>
      </c>
    </row>
    <row r="22998" spans="1:2" x14ac:dyDescent="0.25">
      <c r="A22998" s="64" t="str">
        <f>HYPERLINK("http://www.twitter.com/thisannkarin", "thisannkarin")</f>
        <v>thisannkarin</v>
      </c>
      <c r="B22998" s="65" t="s">
        <v>10455</v>
      </c>
    </row>
    <row r="22999" spans="1:2" x14ac:dyDescent="0.25">
      <c r="A22999" s="64" t="str">
        <f>HYPERLINK("http://www.twitter.com/Vasquoy", "Vasquoy")</f>
        <v>Vasquoy</v>
      </c>
      <c r="B22999" s="65" t="s">
        <v>6633</v>
      </c>
    </row>
    <row r="23000" spans="1:2" x14ac:dyDescent="0.25">
      <c r="A23000" s="64" t="str">
        <f>HYPERLINK("http://www.twitter.com/Trundlebedtales", "Trundlebedtales")</f>
        <v>Trundlebedtales</v>
      </c>
      <c r="B23000" s="65" t="s">
        <v>10456</v>
      </c>
    </row>
    <row r="23001" spans="1:2" x14ac:dyDescent="0.25">
      <c r="A23001" s="64" t="str">
        <f>HYPERLINK("http://www.twitter.com/Hanleefloyd", "Hanleefloyd")</f>
        <v>Hanleefloyd</v>
      </c>
      <c r="B23001" s="65" t="s">
        <v>20</v>
      </c>
    </row>
    <row r="23002" spans="1:2" x14ac:dyDescent="0.25">
      <c r="A23002" s="64" t="str">
        <f>HYPERLINK("http://www.twitter.com/walljohng", "walljohng")</f>
        <v>walljohng</v>
      </c>
      <c r="B23002" s="65"/>
    </row>
    <row r="23003" spans="1:2" x14ac:dyDescent="0.25">
      <c r="A23003" s="64" t="str">
        <f>HYPERLINK("http://www.twitter.com/FinlaysonFiona", "FinlaysonFiona")</f>
        <v>FinlaysonFiona</v>
      </c>
      <c r="B23003" s="65"/>
    </row>
    <row r="23004" spans="1:2" x14ac:dyDescent="0.25">
      <c r="A23004" s="64" t="str">
        <f>HYPERLINK("http://www.twitter.com/PlattekillLib", "PlattekillLib")</f>
        <v>PlattekillLib</v>
      </c>
      <c r="B23004" s="65" t="s">
        <v>10457</v>
      </c>
    </row>
    <row r="23005" spans="1:2" x14ac:dyDescent="0.25">
      <c r="A23005" s="64" t="str">
        <f>HYPERLINK("http://www.twitter.com/richardhursty", "richardhursty")</f>
        <v>richardhursty</v>
      </c>
      <c r="B23005" s="65" t="s">
        <v>36</v>
      </c>
    </row>
    <row r="23006" spans="1:2" x14ac:dyDescent="0.25">
      <c r="A23006" s="64" t="str">
        <f>HYPERLINK("http://www.twitter.com/CarolKfanclub", "CarolKfanclub")</f>
        <v>CarolKfanclub</v>
      </c>
      <c r="B23006" s="65" t="s">
        <v>4019</v>
      </c>
    </row>
    <row r="23007" spans="1:2" x14ac:dyDescent="0.25">
      <c r="A23007" s="64" t="str">
        <f>HYPERLINK("http://www.twitter.com/THEOriginalMuTt", "THEOriginalMuTt")</f>
        <v>THEOriginalMuTt</v>
      </c>
      <c r="B23007" s="65" t="s">
        <v>8820</v>
      </c>
    </row>
    <row r="23008" spans="1:2" x14ac:dyDescent="0.25">
      <c r="A23008" s="64" t="str">
        <f>HYPERLINK("http://www.twitter.com/erikascamera", "erikascamera")</f>
        <v>erikascamera</v>
      </c>
      <c r="B23008" s="65" t="s">
        <v>318</v>
      </c>
    </row>
    <row r="23009" spans="1:2" x14ac:dyDescent="0.25">
      <c r="A23009" s="64" t="str">
        <f>HYPERLINK("http://www.twitter.com/scottjmac", "scottjmac")</f>
        <v>scottjmac</v>
      </c>
      <c r="B23009" s="65" t="s">
        <v>318</v>
      </c>
    </row>
    <row r="23010" spans="1:2" x14ac:dyDescent="0.25">
      <c r="A23010" s="64" t="str">
        <f>HYPERLINK("http://www.twitter.com/Tegan_Fraser", "Tegan_Fraser")</f>
        <v>Tegan_Fraser</v>
      </c>
      <c r="B23010" s="65" t="s">
        <v>20</v>
      </c>
    </row>
    <row r="23011" spans="1:2" x14ac:dyDescent="0.25">
      <c r="A23011" s="64" t="str">
        <f>HYPERLINK("http://www.twitter.com/KAM1974", "KAM1974")</f>
        <v>KAM1974</v>
      </c>
      <c r="B23011" s="65" t="s">
        <v>110</v>
      </c>
    </row>
    <row r="23012" spans="1:2" x14ac:dyDescent="0.25">
      <c r="A23012" s="64" t="str">
        <f>HYPERLINK("http://www.twitter.com/_cjoshh", "_cjoshh")</f>
        <v>_cjoshh</v>
      </c>
      <c r="B23012" s="65"/>
    </row>
    <row r="23013" spans="1:2" x14ac:dyDescent="0.25">
      <c r="A23013" s="64" t="str">
        <f>HYPERLINK("http://www.twitter.com/lisa__bres", "lisa__bres")</f>
        <v>lisa__bres</v>
      </c>
      <c r="B23013" s="65" t="s">
        <v>138</v>
      </c>
    </row>
    <row r="23014" spans="1:2" x14ac:dyDescent="0.25">
      <c r="A23014" s="64" t="str">
        <f>HYPERLINK("http://www.twitter.com/klockes", "klockes")</f>
        <v>klockes</v>
      </c>
      <c r="B23014" s="65"/>
    </row>
    <row r="23015" spans="1:2" x14ac:dyDescent="0.25">
      <c r="A23015" s="64" t="str">
        <f>HYPERLINK("http://www.twitter.com/lizcwhite", "lizcwhite")</f>
        <v>lizcwhite</v>
      </c>
      <c r="B23015" s="65" t="s">
        <v>477</v>
      </c>
    </row>
    <row r="23016" spans="1:2" x14ac:dyDescent="0.25">
      <c r="A23016" s="64" t="str">
        <f>HYPERLINK("http://www.twitter.com/FionnualaNiB", "FionnualaNiB")</f>
        <v>FionnualaNiB</v>
      </c>
      <c r="B23016" s="65"/>
    </row>
    <row r="23017" spans="1:2" x14ac:dyDescent="0.25">
      <c r="A23017" s="64" t="str">
        <f>HYPERLINK("http://www.twitter.com/HarryLoney", "HarryLoney")</f>
        <v>HarryLoney</v>
      </c>
      <c r="B23017" s="65" t="s">
        <v>67</v>
      </c>
    </row>
    <row r="23018" spans="1:2" x14ac:dyDescent="0.25">
      <c r="A23018" s="64" t="str">
        <f>HYPERLINK("http://www.twitter.com/duckinadress", "duckinadress")</f>
        <v>duckinadress</v>
      </c>
      <c r="B23018" s="65" t="s">
        <v>1810</v>
      </c>
    </row>
    <row r="23019" spans="1:2" x14ac:dyDescent="0.25">
      <c r="A23019" s="64" t="str">
        <f>HYPERLINK("http://www.twitter.com/AccessTheShelf", "AccessTheShelf")</f>
        <v>AccessTheShelf</v>
      </c>
      <c r="B23019" s="65"/>
    </row>
    <row r="23020" spans="1:2" x14ac:dyDescent="0.25">
      <c r="A23020" s="64" t="str">
        <f>HYPERLINK("http://www.twitter.com/dkbooks", "dkbooks")</f>
        <v>dkbooks</v>
      </c>
      <c r="B23020" s="65" t="s">
        <v>36</v>
      </c>
    </row>
    <row r="23021" spans="1:2" x14ac:dyDescent="0.25">
      <c r="A23021" s="64" t="str">
        <f>HYPERLINK("http://www.twitter.com/JPRwildrose", "JPRwildrose")</f>
        <v>JPRwildrose</v>
      </c>
      <c r="B23021" s="65"/>
    </row>
    <row r="23022" spans="1:2" x14ac:dyDescent="0.25">
      <c r="A23022" s="64" t="str">
        <f>HYPERLINK("http://www.twitter.com/RBHouseUL", "RBHouseUL")</f>
        <v>RBHouseUL</v>
      </c>
      <c r="B23022" s="65" t="s">
        <v>10105</v>
      </c>
    </row>
    <row r="23023" spans="1:2" x14ac:dyDescent="0.25">
      <c r="A23023" s="64" t="str">
        <f>HYPERLINK("http://www.twitter.com/cafethelivres", "cafethelivres")</f>
        <v>cafethelivres</v>
      </c>
      <c r="B23023" s="65"/>
    </row>
    <row r="23024" spans="1:2" x14ac:dyDescent="0.25">
      <c r="A23024" s="64" t="str">
        <f>HYPERLINK("http://www.twitter.com/Alison_Inman", "Alison_Inman")</f>
        <v>Alison_Inman</v>
      </c>
      <c r="B23024" s="65" t="s">
        <v>5466</v>
      </c>
    </row>
    <row r="23025" spans="1:2" x14ac:dyDescent="0.25">
      <c r="A23025" s="64" t="str">
        <f>HYPERLINK("http://www.twitter.com/brown_varhjem", "brown_varhjem")</f>
        <v>brown_varhjem</v>
      </c>
      <c r="B23025" s="65"/>
    </row>
    <row r="23026" spans="1:2" x14ac:dyDescent="0.25">
      <c r="A23026" s="64" t="str">
        <f>HYPERLINK("http://www.twitter.com/AdDustling", "AdDustling")</f>
        <v>AdDustling</v>
      </c>
      <c r="B23026" s="65" t="s">
        <v>4111</v>
      </c>
    </row>
    <row r="23027" spans="1:2" x14ac:dyDescent="0.25">
      <c r="A23027" s="64" t="str">
        <f>HYPERLINK("http://www.twitter.com/jodythompson", "jodythompson")</f>
        <v>jodythompson</v>
      </c>
      <c r="B23027" s="65" t="s">
        <v>10458</v>
      </c>
    </row>
    <row r="23028" spans="1:2" x14ac:dyDescent="0.25">
      <c r="A23028" s="64" t="str">
        <f>HYPERLINK("http://www.twitter.com/LoriBertolini", "LoriBertolini")</f>
        <v>LoriBertolini</v>
      </c>
      <c r="B23028" s="65" t="s">
        <v>10459</v>
      </c>
    </row>
    <row r="23029" spans="1:2" x14ac:dyDescent="0.25">
      <c r="A23029" s="64" t="str">
        <f>HYPERLINK("http://www.twitter.com/comebackpaddy", "comebackpaddy")</f>
        <v>comebackpaddy</v>
      </c>
      <c r="B23029" s="65" t="s">
        <v>5045</v>
      </c>
    </row>
    <row r="23030" spans="1:2" x14ac:dyDescent="0.25">
      <c r="A23030" s="64" t="str">
        <f>HYPERLINK("http://www.twitter.com/kaline_baker", "kaline_baker")</f>
        <v>kaline_baker</v>
      </c>
      <c r="B23030" s="65"/>
    </row>
    <row r="23031" spans="1:2" x14ac:dyDescent="0.25">
      <c r="A23031" s="64" t="str">
        <f>HYPERLINK("http://www.twitter.com/WD_Pearson", "WD_Pearson")</f>
        <v>WD_Pearson</v>
      </c>
      <c r="B23031" s="65" t="s">
        <v>477</v>
      </c>
    </row>
    <row r="23032" spans="1:2" x14ac:dyDescent="0.25">
      <c r="A23032" s="64" t="str">
        <f>HYPERLINK("http://www.twitter.com/law_mitchell", "law_mitchell")</f>
        <v>law_mitchell</v>
      </c>
      <c r="B23032" s="65" t="s">
        <v>24</v>
      </c>
    </row>
    <row r="23033" spans="1:2" x14ac:dyDescent="0.25">
      <c r="A23033" s="64" t="str">
        <f>HYPERLINK("http://www.twitter.com/BradChap394", "BradChap394")</f>
        <v>BradChap394</v>
      </c>
      <c r="B23033" s="65" t="s">
        <v>5336</v>
      </c>
    </row>
    <row r="23034" spans="1:2" x14ac:dyDescent="0.25">
      <c r="A23034" s="64" t="str">
        <f>HYPERLINK("http://www.twitter.com/DavidChilds", "DavidChilds")</f>
        <v>DavidChilds</v>
      </c>
      <c r="B23034" s="65" t="s">
        <v>10460</v>
      </c>
    </row>
    <row r="23035" spans="1:2" x14ac:dyDescent="0.25">
      <c r="A23035" s="64" t="str">
        <f>HYPERLINK("http://www.twitter.com/gwilson", "gwilson")</f>
        <v>gwilson</v>
      </c>
      <c r="B23035" s="65"/>
    </row>
    <row r="23036" spans="1:2" x14ac:dyDescent="0.25">
      <c r="A23036" s="64" t="str">
        <f>HYPERLINK("http://www.twitter.com/LuLa7975", "LuLa7975")</f>
        <v>LuLa7975</v>
      </c>
      <c r="B23036" s="65"/>
    </row>
    <row r="23037" spans="1:2" x14ac:dyDescent="0.25">
      <c r="A23037" s="64" t="str">
        <f>HYPERLINK("http://www.twitter.com/Loudbasket", "Loudbasket")</f>
        <v>Loudbasket</v>
      </c>
      <c r="B23037" s="65"/>
    </row>
    <row r="23038" spans="1:2" x14ac:dyDescent="0.25">
      <c r="A23038" s="64" t="str">
        <f>HYPERLINK("http://www.twitter.com/chilledreader", "chilledreader")</f>
        <v>chilledreader</v>
      </c>
      <c r="B23038" s="65"/>
    </row>
    <row r="23039" spans="1:2" x14ac:dyDescent="0.25">
      <c r="A23039" s="64" t="str">
        <f>HYPERLINK("http://www.twitter.com/upsidedown81", "upsidedown81")</f>
        <v>upsidedown81</v>
      </c>
      <c r="B23039" s="65" t="s">
        <v>10461</v>
      </c>
    </row>
    <row r="23040" spans="1:2" x14ac:dyDescent="0.25">
      <c r="A23040" s="64" t="str">
        <f>HYPERLINK("http://www.twitter.com/mariemilneuk", "mariemilneuk")</f>
        <v>mariemilneuk</v>
      </c>
      <c r="B23040" s="65" t="s">
        <v>517</v>
      </c>
    </row>
    <row r="23041" spans="1:2" x14ac:dyDescent="0.25">
      <c r="A23041" s="64" t="str">
        <f>HYPERLINK("http://www.twitter.com/ScottDebrah", "ScottDebrah")</f>
        <v>ScottDebrah</v>
      </c>
      <c r="B23041" s="65" t="s">
        <v>5104</v>
      </c>
    </row>
    <row r="23042" spans="1:2" x14ac:dyDescent="0.25">
      <c r="A23042" s="64" t="str">
        <f>HYPERLINK("http://www.twitter.com/ploverhall", "ploverhall")</f>
        <v>ploverhall</v>
      </c>
      <c r="B23042" s="65" t="s">
        <v>20</v>
      </c>
    </row>
    <row r="23043" spans="1:2" x14ac:dyDescent="0.25">
      <c r="A23043" s="64" t="str">
        <f>HYPERLINK("http://www.twitter.com/cromby7", "cromby7")</f>
        <v>cromby7</v>
      </c>
      <c r="B23043" s="65"/>
    </row>
    <row r="23044" spans="1:2" x14ac:dyDescent="0.25">
      <c r="A23044" s="64" t="str">
        <f>HYPERLINK("http://www.twitter.com/scottmliddell", "scottmliddell")</f>
        <v>scottmliddell</v>
      </c>
      <c r="B23044" s="65" t="s">
        <v>487</v>
      </c>
    </row>
    <row r="23045" spans="1:2" x14ac:dyDescent="0.25">
      <c r="A23045" s="64" t="str">
        <f>HYPERLINK("http://www.twitter.com/26characters", "26characters")</f>
        <v>26characters</v>
      </c>
      <c r="B23045" s="65"/>
    </row>
    <row r="23046" spans="1:2" x14ac:dyDescent="0.25">
      <c r="A23046" s="64" t="str">
        <f>HYPERLINK("http://www.twitter.com/words_and_page", "words_and_page")</f>
        <v>words_and_page</v>
      </c>
      <c r="B23046" s="65" t="s">
        <v>10462</v>
      </c>
    </row>
    <row r="23047" spans="1:2" x14ac:dyDescent="0.25">
      <c r="A23047" s="64" t="str">
        <f>HYPERLINK("http://www.twitter.com/Aeraeus", "Aeraeus")</f>
        <v>Aeraeus</v>
      </c>
      <c r="B23047" s="65" t="s">
        <v>10463</v>
      </c>
    </row>
    <row r="23048" spans="1:2" x14ac:dyDescent="0.25">
      <c r="A23048" s="64" t="str">
        <f>HYPERLINK("http://www.twitter.com/TheNorfolkScot", "TheNorfolkScot")</f>
        <v>TheNorfolkScot</v>
      </c>
      <c r="B23048" s="65" t="s">
        <v>2213</v>
      </c>
    </row>
    <row r="23049" spans="1:2" x14ac:dyDescent="0.25">
      <c r="A23049" s="64" t="str">
        <f>HYPERLINK("http://www.twitter.com/sparrow42", "sparrow42")</f>
        <v>sparrow42</v>
      </c>
      <c r="B23049" s="65" t="s">
        <v>10464</v>
      </c>
    </row>
    <row r="23050" spans="1:2" x14ac:dyDescent="0.25">
      <c r="A23050" s="64" t="str">
        <f>HYPERLINK("http://www.twitter.com/ittoqqortoormii", "ittoqqortoormii")</f>
        <v>ittoqqortoormii</v>
      </c>
      <c r="B23050" s="65" t="s">
        <v>4289</v>
      </c>
    </row>
    <row r="23051" spans="1:2" x14ac:dyDescent="0.25">
      <c r="A23051" s="64" t="str">
        <f>HYPERLINK("http://www.twitter.com/AliLochhead", "AliLochhead")</f>
        <v>AliLochhead</v>
      </c>
      <c r="B23051" s="65" t="s">
        <v>517</v>
      </c>
    </row>
    <row r="23052" spans="1:2" x14ac:dyDescent="0.25">
      <c r="A23052" s="64" t="str">
        <f>HYPERLINK("http://www.twitter.com/MegJorsh", "MegJorsh")</f>
        <v>MegJorsh</v>
      </c>
      <c r="B23052" s="65" t="s">
        <v>5413</v>
      </c>
    </row>
    <row r="23053" spans="1:2" x14ac:dyDescent="0.25">
      <c r="A23053" s="64" t="str">
        <f>HYPERLINK("http://www.twitter.com/WritersGroups", "WritersGroups")</f>
        <v>WritersGroups</v>
      </c>
      <c r="B23053" s="65" t="s">
        <v>10465</v>
      </c>
    </row>
    <row r="23054" spans="1:2" x14ac:dyDescent="0.25">
      <c r="A23054" s="64" t="str">
        <f>HYPERLINK("http://www.twitter.com/susiemac1321", "susiemac1321")</f>
        <v>susiemac1321</v>
      </c>
      <c r="B23054" s="65" t="s">
        <v>24</v>
      </c>
    </row>
    <row r="23055" spans="1:2" x14ac:dyDescent="0.25">
      <c r="A23055" s="64" t="str">
        <f>HYPERLINK("http://www.twitter.com/orladoig", "orladoig")</f>
        <v>orladoig</v>
      </c>
      <c r="B23055" s="65" t="s">
        <v>10466</v>
      </c>
    </row>
    <row r="23056" spans="1:2" x14ac:dyDescent="0.25">
      <c r="A23056" s="64" t="str">
        <f>HYPERLINK("http://www.twitter.com/EmmyElm", "EmmyElm")</f>
        <v>EmmyElm</v>
      </c>
      <c r="B23056" s="65" t="s">
        <v>5203</v>
      </c>
    </row>
    <row r="23057" spans="1:2" x14ac:dyDescent="0.25">
      <c r="A23057" s="64" t="str">
        <f>HYPERLINK("http://www.twitter.com/SashGiles", "SashGiles")</f>
        <v>SashGiles</v>
      </c>
      <c r="B23057" s="65" t="s">
        <v>1885</v>
      </c>
    </row>
    <row r="23058" spans="1:2" x14ac:dyDescent="0.25">
      <c r="A23058" s="64" t="str">
        <f>HYPERLINK("http://www.twitter.com/skpbooks", "skpbooks")</f>
        <v>skpbooks</v>
      </c>
      <c r="B23058" s="65" t="s">
        <v>10467</v>
      </c>
    </row>
    <row r="23059" spans="1:2" x14ac:dyDescent="0.25">
      <c r="A23059" s="64" t="str">
        <f>HYPERLINK("http://www.twitter.com/honeypunk3", "honeypunk3")</f>
        <v>honeypunk3</v>
      </c>
      <c r="B23059" s="65" t="s">
        <v>10468</v>
      </c>
    </row>
    <row r="23060" spans="1:2" x14ac:dyDescent="0.25">
      <c r="A23060" s="64" t="str">
        <f>HYPERLINK("http://www.twitter.com/Alison_Shields", "Alison_Shields")</f>
        <v>Alison_Shields</v>
      </c>
      <c r="B23060" s="65"/>
    </row>
    <row r="23061" spans="1:2" x14ac:dyDescent="0.25">
      <c r="A23061" s="64" t="str">
        <f>HYPERLINK("http://www.twitter.com/lorrainec44", "lorrainec44")</f>
        <v>lorrainec44</v>
      </c>
      <c r="B23061" s="65"/>
    </row>
    <row r="23062" spans="1:2" x14ac:dyDescent="0.25">
      <c r="A23062" s="64" t="str">
        <f>HYPERLINK("http://www.twitter.com/NiamhIrving", "NiamhIrving")</f>
        <v>NiamhIrving</v>
      </c>
      <c r="B23062" s="65" t="s">
        <v>24</v>
      </c>
    </row>
    <row r="23063" spans="1:2" x14ac:dyDescent="0.25">
      <c r="A23063" s="64" t="str">
        <f>HYPERLINK("http://www.twitter.com/Mikeytyke", "Mikeytyke")</f>
        <v>Mikeytyke</v>
      </c>
      <c r="B23063" s="65" t="s">
        <v>10469</v>
      </c>
    </row>
    <row r="23064" spans="1:2" x14ac:dyDescent="0.25">
      <c r="A23064" s="64" t="str">
        <f>HYPERLINK("http://www.twitter.com/DaveBrookfield", "DaveBrookfield")</f>
        <v>DaveBrookfield</v>
      </c>
      <c r="B23064" s="65" t="s">
        <v>10470</v>
      </c>
    </row>
    <row r="23065" spans="1:2" x14ac:dyDescent="0.25">
      <c r="A23065" s="64" t="str">
        <f>HYPERLINK("http://www.twitter.com/LittleChar_23", "LittleChar_23")</f>
        <v>LittleChar_23</v>
      </c>
      <c r="B23065" s="65" t="s">
        <v>36</v>
      </c>
    </row>
    <row r="23066" spans="1:2" x14ac:dyDescent="0.25">
      <c r="A23066" s="64" t="str">
        <f>HYPERLINK("http://www.twitter.com/erin_perrin", "erin_perrin")</f>
        <v>erin_perrin</v>
      </c>
      <c r="B23066" s="65"/>
    </row>
    <row r="23067" spans="1:2" x14ac:dyDescent="0.25">
      <c r="A23067" s="64" t="str">
        <f>HYPERLINK("http://www.twitter.com/TheHistoryDiva", "TheHistoryDiva")</f>
        <v>TheHistoryDiva</v>
      </c>
      <c r="B23067" s="65" t="s">
        <v>5340</v>
      </c>
    </row>
    <row r="23068" spans="1:2" x14ac:dyDescent="0.25">
      <c r="A23068" s="64" t="str">
        <f>HYPERLINK("http://www.twitter.com/thatdragonflyer", "thatdragonflyer")</f>
        <v>thatdragonflyer</v>
      </c>
      <c r="B23068" s="65"/>
    </row>
    <row r="23069" spans="1:2" x14ac:dyDescent="0.25">
      <c r="A23069" s="64" t="str">
        <f>HYPERLINK("http://www.twitter.com/RebeccaWills22", "RebeccaWills22")</f>
        <v>RebeccaWills22</v>
      </c>
      <c r="B23069" s="65"/>
    </row>
    <row r="23070" spans="1:2" x14ac:dyDescent="0.25">
      <c r="A23070" s="64" t="str">
        <f>HYPERLINK("http://www.twitter.com/theliteracytree", "theliteracytree")</f>
        <v>theliteracytree</v>
      </c>
      <c r="B23070" s="65" t="s">
        <v>36</v>
      </c>
    </row>
    <row r="23071" spans="1:2" x14ac:dyDescent="0.25">
      <c r="A23071" s="64" t="str">
        <f>HYPERLINK("http://www.twitter.com/CARISAyrshire", "CARISAyrshire")</f>
        <v>CARISAyrshire</v>
      </c>
      <c r="B23071" s="65"/>
    </row>
    <row r="23072" spans="1:2" x14ac:dyDescent="0.25">
      <c r="A23072" s="64" t="str">
        <f>HYPERLINK("http://www.twitter.com/GretaGedanke", "GretaGedanke")</f>
        <v>GretaGedanke</v>
      </c>
      <c r="B23072" s="65"/>
    </row>
    <row r="23073" spans="1:2" x14ac:dyDescent="0.25">
      <c r="A23073" s="64" t="str">
        <f>HYPERLINK("http://www.twitter.com/CarolineOglesb1", "CarolineOglesb1")</f>
        <v>CarolineOglesb1</v>
      </c>
      <c r="B23073" s="65"/>
    </row>
    <row r="23074" spans="1:2" x14ac:dyDescent="0.25">
      <c r="A23074" s="64" t="str">
        <f>HYPERLINK("http://www.twitter.com/stmadoesboy", "stmadoesboy")</f>
        <v>stmadoesboy</v>
      </c>
      <c r="B23074" s="65" t="s">
        <v>10471</v>
      </c>
    </row>
    <row r="23075" spans="1:2" x14ac:dyDescent="0.25">
      <c r="A23075" s="64" t="str">
        <f>HYPERLINK("http://www.twitter.com/SCMProject", "SCMProject")</f>
        <v>SCMProject</v>
      </c>
      <c r="B23075" s="65" t="s">
        <v>8523</v>
      </c>
    </row>
    <row r="23076" spans="1:2" x14ac:dyDescent="0.25">
      <c r="A23076" s="64" t="str">
        <f>HYPERLINK("http://www.twitter.com/gbankbirds", "gbankbirds")</f>
        <v>gbankbirds</v>
      </c>
      <c r="B23076" s="65" t="s">
        <v>1873</v>
      </c>
    </row>
    <row r="23077" spans="1:2" x14ac:dyDescent="0.25">
      <c r="A23077" s="64" t="str">
        <f>HYPERLINK("http://www.twitter.com/cheriesullivan", "cheriesullivan")</f>
        <v>cheriesullivan</v>
      </c>
      <c r="B23077" s="65" t="s">
        <v>5389</v>
      </c>
    </row>
    <row r="23078" spans="1:2" x14ac:dyDescent="0.25">
      <c r="A23078" s="64" t="str">
        <f>HYPERLINK("http://www.twitter.com/weesm91", "weesm91")</f>
        <v>weesm91</v>
      </c>
      <c r="B23078" s="65" t="s">
        <v>10472</v>
      </c>
    </row>
    <row r="23079" spans="1:2" x14ac:dyDescent="0.25">
      <c r="A23079" s="64" t="str">
        <f>HYPERLINK("http://www.twitter.com/missbear84", "missbear84")</f>
        <v>missbear84</v>
      </c>
      <c r="B23079" s="65" t="s">
        <v>487</v>
      </c>
    </row>
    <row r="23080" spans="1:2" x14ac:dyDescent="0.25">
      <c r="A23080" s="64" t="str">
        <f>HYPERLINK("http://www.twitter.com/VicVicElectric", "VicVicElectric")</f>
        <v>VicVicElectric</v>
      </c>
      <c r="B23080" s="65" t="s">
        <v>10473</v>
      </c>
    </row>
    <row r="23081" spans="1:2" x14ac:dyDescent="0.25">
      <c r="A23081" s="64" t="str">
        <f>HYPERLINK("http://www.twitter.com/babbsie", "babbsie")</f>
        <v>babbsie</v>
      </c>
      <c r="B23081" s="65"/>
    </row>
    <row r="23082" spans="1:2" x14ac:dyDescent="0.25">
      <c r="A23082" s="64" t="str">
        <f>HYPERLINK("http://www.twitter.com/wee_weegie", "wee_weegie")</f>
        <v>wee_weegie</v>
      </c>
      <c r="B23082" s="65"/>
    </row>
    <row r="23083" spans="1:2" x14ac:dyDescent="0.25">
      <c r="A23083" s="64" t="str">
        <f>HYPERLINK("http://www.twitter.com/VisualStudioOne", "VisualStudioOne")</f>
        <v>VisualStudioOne</v>
      </c>
      <c r="B23083" s="65" t="s">
        <v>10474</v>
      </c>
    </row>
    <row r="23084" spans="1:2" x14ac:dyDescent="0.25">
      <c r="A23084" s="64" t="str">
        <f>HYPERLINK("http://www.twitter.com/vic_knits", "vic_knits")</f>
        <v>vic_knits</v>
      </c>
      <c r="B23084" s="65" t="s">
        <v>10475</v>
      </c>
    </row>
    <row r="23085" spans="1:2" x14ac:dyDescent="0.25">
      <c r="A23085" s="64" t="str">
        <f>HYPERLINK("http://www.twitter.com/Spangila", "Spangila")</f>
        <v>Spangila</v>
      </c>
      <c r="B23085" s="65" t="s">
        <v>10476</v>
      </c>
    </row>
    <row r="23086" spans="1:2" x14ac:dyDescent="0.25">
      <c r="A23086" s="64" t="str">
        <f>HYPERLINK("http://www.twitter.com/kerryg80", "kerryg80")</f>
        <v>kerryg80</v>
      </c>
      <c r="B23086" s="65" t="s">
        <v>517</v>
      </c>
    </row>
    <row r="23087" spans="1:2" x14ac:dyDescent="0.25">
      <c r="A23087" s="64" t="str">
        <f>HYPERLINK("http://www.twitter.com/WryAndGinger", "WryAndGinger")</f>
        <v>WryAndGinger</v>
      </c>
      <c r="B23087" s="65" t="s">
        <v>6832</v>
      </c>
    </row>
    <row r="23088" spans="1:2" x14ac:dyDescent="0.25">
      <c r="A23088" s="64" t="str">
        <f>HYPERLINK("http://www.twitter.com/RSPHTRAINING", "RSPHTRAINING")</f>
        <v>RSPHTRAINING</v>
      </c>
      <c r="B23088" s="65" t="s">
        <v>110</v>
      </c>
    </row>
    <row r="23089" spans="1:2" x14ac:dyDescent="0.25">
      <c r="A23089" s="64" t="str">
        <f>HYPERLINK("http://www.twitter.com/KristanHarvey89", "KristanHarvey89")</f>
        <v>KristanHarvey89</v>
      </c>
      <c r="B23089" s="65" t="s">
        <v>517</v>
      </c>
    </row>
    <row r="23090" spans="1:2" x14ac:dyDescent="0.25">
      <c r="A23090" s="64" t="str">
        <f>HYPERLINK("http://www.twitter.com/deejaygraham", "deejaygraham")</f>
        <v>deejaygraham</v>
      </c>
      <c r="B23090" s="65" t="s">
        <v>5036</v>
      </c>
    </row>
    <row r="23091" spans="1:2" x14ac:dyDescent="0.25">
      <c r="A23091" s="64" t="str">
        <f>HYPERLINK("http://www.twitter.com/Slinky567", "Slinky567")</f>
        <v>Slinky567</v>
      </c>
      <c r="B23091" s="65" t="s">
        <v>1841</v>
      </c>
    </row>
    <row r="23092" spans="1:2" x14ac:dyDescent="0.25">
      <c r="A23092" s="64" t="str">
        <f>HYPERLINK("http://www.twitter.com/frantic_gold", "frantic_gold")</f>
        <v>frantic_gold</v>
      </c>
      <c r="B23092" s="65" t="s">
        <v>10477</v>
      </c>
    </row>
    <row r="23093" spans="1:2" x14ac:dyDescent="0.25">
      <c r="A23093" s="64" t="str">
        <f>HYPERLINK("http://www.twitter.com/pez_sez", "pez_sez")</f>
        <v>pez_sez</v>
      </c>
      <c r="B23093" s="65" t="s">
        <v>361</v>
      </c>
    </row>
    <row r="23094" spans="1:2" x14ac:dyDescent="0.25">
      <c r="A23094" s="64" t="str">
        <f>HYPERLINK("http://www.twitter.com/LooweezBx", "LooweezBx")</f>
        <v>LooweezBx</v>
      </c>
      <c r="B23094" s="65" t="s">
        <v>2289</v>
      </c>
    </row>
    <row r="23095" spans="1:2" x14ac:dyDescent="0.25">
      <c r="A23095" s="64" t="str">
        <f>HYPERLINK("http://www.twitter.com/Wandapops", "Wandapops")</f>
        <v>Wandapops</v>
      </c>
      <c r="B23095" s="65" t="s">
        <v>93</v>
      </c>
    </row>
    <row r="23096" spans="1:2" x14ac:dyDescent="0.25">
      <c r="A23096" s="64" t="str">
        <f>HYPERLINK("http://www.twitter.com/JulieBeard51", "JulieBeard51")</f>
        <v>JulieBeard51</v>
      </c>
      <c r="B23096" s="65"/>
    </row>
    <row r="23097" spans="1:2" x14ac:dyDescent="0.25">
      <c r="A23097" s="64" t="str">
        <f>HYPERLINK("http://www.twitter.com/potstillglasgow", "potstillglasgow")</f>
        <v>potstillglasgow</v>
      </c>
      <c r="B23097" s="65" t="s">
        <v>10478</v>
      </c>
    </row>
    <row r="23098" spans="1:2" x14ac:dyDescent="0.25">
      <c r="A23098" s="64" t="str">
        <f>HYPERLINK("http://www.twitter.com/louisclarkPR", "louisclarkPR")</f>
        <v>louisclarkPR</v>
      </c>
      <c r="B23098" s="65" t="s">
        <v>36</v>
      </c>
    </row>
    <row r="23099" spans="1:2" x14ac:dyDescent="0.25">
      <c r="A23099" s="64" t="str">
        <f>HYPERLINK("http://www.twitter.com/Samsara_1", "Samsara_1")</f>
        <v>Samsara_1</v>
      </c>
      <c r="B23099" s="65" t="s">
        <v>10479</v>
      </c>
    </row>
    <row r="23100" spans="1:2" x14ac:dyDescent="0.25">
      <c r="A23100" s="64" t="str">
        <f>HYPERLINK("http://www.twitter.com/marfage", "marfage")</f>
        <v>marfage</v>
      </c>
      <c r="B23100" s="65" t="s">
        <v>180</v>
      </c>
    </row>
    <row r="23101" spans="1:2" x14ac:dyDescent="0.25">
      <c r="A23101" s="64" t="str">
        <f>HYPERLINK("http://www.twitter.com/BombFashion", "BombFashion")</f>
        <v>BombFashion</v>
      </c>
      <c r="B23101" s="65" t="s">
        <v>10480</v>
      </c>
    </row>
    <row r="23102" spans="1:2" x14ac:dyDescent="0.25">
      <c r="A23102" s="64" t="str">
        <f>HYPERLINK("http://www.twitter.com/CharHosking", "CharHosking")</f>
        <v>CharHosking</v>
      </c>
      <c r="B23102" s="65" t="s">
        <v>36</v>
      </c>
    </row>
    <row r="23103" spans="1:2" x14ac:dyDescent="0.25">
      <c r="A23103" s="64" t="str">
        <f>HYPERLINK("http://www.twitter.com/Begerrk", "Begerrk")</f>
        <v>Begerrk</v>
      </c>
      <c r="B23103" s="65" t="s">
        <v>10481</v>
      </c>
    </row>
    <row r="23104" spans="1:2" x14ac:dyDescent="0.25">
      <c r="A23104" s="64" t="str">
        <f>HYPERLINK("http://www.twitter.com/Lynchicus", "Lynchicus")</f>
        <v>Lynchicus</v>
      </c>
      <c r="B23104" s="65" t="s">
        <v>4118</v>
      </c>
    </row>
    <row r="23105" spans="1:2" x14ac:dyDescent="0.25">
      <c r="A23105" s="64" t="str">
        <f>HYPERLINK("http://www.twitter.com/Hepcatblogs", "Hepcatblogs")</f>
        <v>Hepcatblogs</v>
      </c>
      <c r="B23105" s="65" t="s">
        <v>180</v>
      </c>
    </row>
    <row r="23106" spans="1:2" x14ac:dyDescent="0.25">
      <c r="A23106" s="64" t="str">
        <f>HYPERLINK("http://www.twitter.com/Ygtl_ljf", "Ygtl_ljf")</f>
        <v>Ygtl_ljf</v>
      </c>
      <c r="B23106" s="65" t="s">
        <v>517</v>
      </c>
    </row>
    <row r="23107" spans="1:2" x14ac:dyDescent="0.25">
      <c r="A23107" s="64" t="str">
        <f>HYPERLINK("http://www.twitter.com/LotsOfTreesHere", "LotsOfTreesHere")</f>
        <v>LotsOfTreesHere</v>
      </c>
      <c r="B23107" s="65"/>
    </row>
    <row r="23108" spans="1:2" x14ac:dyDescent="0.25">
      <c r="A23108" s="64" t="str">
        <f>HYPERLINK("http://www.twitter.com/Aysh_tmb", "Aysh_tmb")</f>
        <v>Aysh_tmb</v>
      </c>
      <c r="B23108" s="65" t="s">
        <v>70</v>
      </c>
    </row>
    <row r="23109" spans="1:2" x14ac:dyDescent="0.25">
      <c r="A23109" s="64" t="str">
        <f>HYPERLINK("http://www.twitter.com/GlassesGirl3", "GlassesGirl3")</f>
        <v>GlassesGirl3</v>
      </c>
      <c r="B23109" s="65" t="s">
        <v>10482</v>
      </c>
    </row>
    <row r="23110" spans="1:2" x14ac:dyDescent="0.25">
      <c r="A23110" s="64" t="str">
        <f>HYPERLINK("http://www.twitter.com/Con_Keppel", "Con_Keppel")</f>
        <v>Con_Keppel</v>
      </c>
      <c r="B23110" s="65" t="s">
        <v>10483</v>
      </c>
    </row>
    <row r="23111" spans="1:2" x14ac:dyDescent="0.25">
      <c r="A23111" s="64" t="str">
        <f>HYPERLINK("http://www.twitter.com/Gemma_DS", "Gemma_DS")</f>
        <v>Gemma_DS</v>
      </c>
      <c r="B23111" s="65" t="s">
        <v>2619</v>
      </c>
    </row>
    <row r="23112" spans="1:2" x14ac:dyDescent="0.25">
      <c r="A23112" s="64" t="str">
        <f>HYPERLINK("http://www.twitter.com/ItsCherrySue", "ItsCherrySue")</f>
        <v>ItsCherrySue</v>
      </c>
      <c r="B23112" s="65" t="s">
        <v>3760</v>
      </c>
    </row>
    <row r="23113" spans="1:2" x14ac:dyDescent="0.25">
      <c r="A23113" s="64" t="str">
        <f>HYPERLINK("http://www.twitter.com/Sulalee1", "Sulalee1")</f>
        <v>Sulalee1</v>
      </c>
      <c r="B23113" s="65" t="s">
        <v>10484</v>
      </c>
    </row>
    <row r="23114" spans="1:2" x14ac:dyDescent="0.25">
      <c r="A23114" s="64" t="str">
        <f>HYPERLINK("http://www.twitter.com/donotrefreeze", "donotrefreeze")</f>
        <v>donotrefreeze</v>
      </c>
      <c r="B23114" s="65" t="s">
        <v>10485</v>
      </c>
    </row>
    <row r="23115" spans="1:2" x14ac:dyDescent="0.25">
      <c r="A23115" s="64" t="str">
        <f>HYPERLINK("http://www.twitter.com/Emily_Wogan", "Emily_Wogan")</f>
        <v>Emily_Wogan</v>
      </c>
      <c r="B23115" s="65"/>
    </row>
    <row r="23116" spans="1:2" x14ac:dyDescent="0.25">
      <c r="A23116" s="64" t="str">
        <f>HYPERLINK("http://www.twitter.com/Emmor", "Emmor")</f>
        <v>Emmor</v>
      </c>
      <c r="B23116" s="65" t="s">
        <v>10486</v>
      </c>
    </row>
    <row r="23117" spans="1:2" x14ac:dyDescent="0.25">
      <c r="A23117" s="64" t="str">
        <f>HYPERLINK("http://www.twitter.com/Triquetra04", "Triquetra04")</f>
        <v>Triquetra04</v>
      </c>
      <c r="B23117" s="65" t="s">
        <v>3779</v>
      </c>
    </row>
    <row r="23118" spans="1:2" x14ac:dyDescent="0.25">
      <c r="A23118" s="64" t="str">
        <f>HYPERLINK("http://www.twitter.com/freddylumpa", "freddylumpa")</f>
        <v>freddylumpa</v>
      </c>
      <c r="B23118" s="65" t="s">
        <v>20</v>
      </c>
    </row>
    <row r="23119" spans="1:2" x14ac:dyDescent="0.25">
      <c r="A23119" s="64" t="str">
        <f>HYPERLINK("http://www.twitter.com/gregpoirier", "gregpoirier")</f>
        <v>gregpoirier</v>
      </c>
      <c r="B23119" s="65" t="s">
        <v>2306</v>
      </c>
    </row>
    <row r="23120" spans="1:2" x14ac:dyDescent="0.25">
      <c r="A23120" s="64" t="str">
        <f>HYPERLINK("http://www.twitter.com/lottie_smurf", "lottie_smurf")</f>
        <v>lottie_smurf</v>
      </c>
      <c r="B23120" s="65"/>
    </row>
    <row r="23121" spans="1:2" x14ac:dyDescent="0.25">
      <c r="A23121" s="64" t="str">
        <f>HYPERLINK("http://www.twitter.com/Keriheddle", "Keriheddle")</f>
        <v>Keriheddle</v>
      </c>
      <c r="B23121" s="65"/>
    </row>
    <row r="23122" spans="1:2" x14ac:dyDescent="0.25">
      <c r="A23122" s="64" t="str">
        <f>HYPERLINK("http://www.twitter.com/usuallyeleanor", "usuallyeleanor")</f>
        <v>usuallyeleanor</v>
      </c>
      <c r="B23122" s="65" t="s">
        <v>10487</v>
      </c>
    </row>
    <row r="23123" spans="1:2" x14ac:dyDescent="0.25">
      <c r="A23123" s="64" t="str">
        <f>HYPERLINK("http://www.twitter.com/helenmc14", "helenmc14")</f>
        <v>helenmc14</v>
      </c>
      <c r="B23123" s="65"/>
    </row>
    <row r="23124" spans="1:2" x14ac:dyDescent="0.25">
      <c r="A23124" s="64" t="str">
        <f>HYPERLINK("http://www.twitter.com/DrCJohn", "DrCJohn")</f>
        <v>DrCJohn</v>
      </c>
      <c r="B23124" s="65"/>
    </row>
    <row r="23125" spans="1:2" x14ac:dyDescent="0.25">
      <c r="A23125" s="64" t="str">
        <f>HYPERLINK("http://www.twitter.com/lizwoolly", "lizwoolly")</f>
        <v>lizwoolly</v>
      </c>
      <c r="B23125" s="65" t="s">
        <v>9991</v>
      </c>
    </row>
    <row r="23126" spans="1:2" x14ac:dyDescent="0.25">
      <c r="A23126" s="64" t="str">
        <f>HYPERLINK("http://www.twitter.com/jenny_dryden", "jenny_dryden")</f>
        <v>jenny_dryden</v>
      </c>
      <c r="B23126" s="65" t="s">
        <v>10488</v>
      </c>
    </row>
    <row r="23127" spans="1:2" x14ac:dyDescent="0.25">
      <c r="A23127" s="64" t="str">
        <f>HYPERLINK("http://www.twitter.com/_sharetheload", "_sharetheload")</f>
        <v>_sharetheload</v>
      </c>
      <c r="B23127" s="65" t="s">
        <v>10489</v>
      </c>
    </row>
    <row r="23128" spans="1:2" x14ac:dyDescent="0.25">
      <c r="A23128" s="64" t="str">
        <f>HYPERLINK("http://www.twitter.com/Dr_Mow", "Dr_Mow")</f>
        <v>Dr_Mow</v>
      </c>
      <c r="B23128" s="65" t="s">
        <v>4324</v>
      </c>
    </row>
    <row r="23129" spans="1:2" x14ac:dyDescent="0.25">
      <c r="A23129" s="64" t="str">
        <f>HYPERLINK("http://www.twitter.com/narembri", "narembri")</f>
        <v>narembri</v>
      </c>
      <c r="B23129" s="65"/>
    </row>
    <row r="23130" spans="1:2" x14ac:dyDescent="0.25">
      <c r="A23130" s="64" t="str">
        <f>HYPERLINK("http://www.twitter.com/Ennodewitt", "Ennodewitt")</f>
        <v>Ennodewitt</v>
      </c>
      <c r="B23130" s="65" t="s">
        <v>10490</v>
      </c>
    </row>
    <row r="23131" spans="1:2" x14ac:dyDescent="0.25">
      <c r="A23131" s="64" t="str">
        <f>HYPERLINK("http://www.twitter.com/PhonoPaul", "PhonoPaul")</f>
        <v>PhonoPaul</v>
      </c>
      <c r="B23131" s="65" t="s">
        <v>4700</v>
      </c>
    </row>
    <row r="23132" spans="1:2" x14ac:dyDescent="0.25">
      <c r="A23132" s="64" t="str">
        <f>HYPERLINK("http://www.twitter.com/MSCrowhurst", "MSCrowhurst")</f>
        <v>MSCrowhurst</v>
      </c>
      <c r="B23132" s="65" t="s">
        <v>8799</v>
      </c>
    </row>
    <row r="23133" spans="1:2" x14ac:dyDescent="0.25">
      <c r="A23133" s="64" t="str">
        <f>HYPERLINK("http://www.twitter.com/gpsforthebrain", "gpsforthebrain")</f>
        <v>gpsforthebrain</v>
      </c>
      <c r="B23133" s="65" t="s">
        <v>10491</v>
      </c>
    </row>
    <row r="23134" spans="1:2" x14ac:dyDescent="0.25">
      <c r="A23134" s="64" t="str">
        <f>HYPERLINK("http://www.twitter.com/mad_as_chickens", "mad_as_chickens")</f>
        <v>mad_as_chickens</v>
      </c>
      <c r="B23134" s="65"/>
    </row>
    <row r="23135" spans="1:2" x14ac:dyDescent="0.25">
      <c r="A23135" s="64" t="str">
        <f>HYPERLINK("http://www.twitter.com/celiahart", "celiahart")</f>
        <v>celiahart</v>
      </c>
      <c r="B23135" s="65" t="s">
        <v>235</v>
      </c>
    </row>
    <row r="23136" spans="1:2" x14ac:dyDescent="0.25">
      <c r="A23136" s="64" t="str">
        <f>HYPERLINK("http://www.twitter.com/kilted_medic", "kilted_medic")</f>
        <v>kilted_medic</v>
      </c>
      <c r="B23136" s="65" t="s">
        <v>2289</v>
      </c>
    </row>
    <row r="23137" spans="1:2" x14ac:dyDescent="0.25">
      <c r="A23137" s="64" t="str">
        <f>HYPERLINK("http://www.twitter.com/wizilizi", "wizilizi")</f>
        <v>wizilizi</v>
      </c>
      <c r="B23137" s="65"/>
    </row>
    <row r="23138" spans="1:2" x14ac:dyDescent="0.25">
      <c r="A23138" s="64" t="str">
        <f>HYPERLINK("http://www.twitter.com/alikelman", "alikelman")</f>
        <v>alikelman</v>
      </c>
      <c r="B23138" s="65" t="s">
        <v>4500</v>
      </c>
    </row>
    <row r="23139" spans="1:2" x14ac:dyDescent="0.25">
      <c r="A23139" s="64" t="str">
        <f>HYPERLINK("http://www.twitter.com/KAMackinnon", "KAMackinnon")</f>
        <v>KAMackinnon</v>
      </c>
      <c r="B23139" s="65" t="s">
        <v>138</v>
      </c>
    </row>
    <row r="23140" spans="1:2" x14ac:dyDescent="0.25">
      <c r="A23140" s="64" t="str">
        <f>HYPERLINK("http://www.twitter.com/sh4ronp", "sh4ronp")</f>
        <v>sh4ronp</v>
      </c>
      <c r="B23140" s="65"/>
    </row>
    <row r="23141" spans="1:2" x14ac:dyDescent="0.25">
      <c r="A23141" s="64" t="str">
        <f>HYPERLINK("http://www.twitter.com/mseatter64", "mseatter64")</f>
        <v>mseatter64</v>
      </c>
      <c r="B23141" s="65"/>
    </row>
    <row r="23142" spans="1:2" x14ac:dyDescent="0.25">
      <c r="A23142" s="64" t="str">
        <f>HYPERLINK("http://www.twitter.com/PauladeFoug", "PauladeFoug")</f>
        <v>PauladeFoug</v>
      </c>
      <c r="B23142" s="65" t="s">
        <v>10492</v>
      </c>
    </row>
    <row r="23143" spans="1:2" x14ac:dyDescent="0.25">
      <c r="A23143" s="64" t="str">
        <f>HYPERLINK("http://www.twitter.com/GolspieMill", "GolspieMill")</f>
        <v>GolspieMill</v>
      </c>
      <c r="B23143" s="65" t="s">
        <v>10493</v>
      </c>
    </row>
    <row r="23144" spans="1:2" x14ac:dyDescent="0.25">
      <c r="A23144" s="64" t="str">
        <f>HYPERLINK("http://www.twitter.com/BeckyMillhouse", "BeckyMillhouse")</f>
        <v>BeckyMillhouse</v>
      </c>
      <c r="B23144" s="65" t="s">
        <v>10494</v>
      </c>
    </row>
    <row r="23145" spans="1:2" x14ac:dyDescent="0.25">
      <c r="A23145" s="64" t="str">
        <f>HYPERLINK("http://www.twitter.com/FurcoatNaeNicks", "FurcoatNaeNicks")</f>
        <v>FurcoatNaeNicks</v>
      </c>
      <c r="B23145" s="65" t="s">
        <v>10495</v>
      </c>
    </row>
    <row r="23146" spans="1:2" x14ac:dyDescent="0.25">
      <c r="A23146" s="64" t="str">
        <f>HYPERLINK("http://www.twitter.com/AllyGraham2", "AllyGraham2")</f>
        <v>AllyGraham2</v>
      </c>
      <c r="B23146" s="65" t="s">
        <v>8635</v>
      </c>
    </row>
    <row r="23147" spans="1:2" x14ac:dyDescent="0.25">
      <c r="A23147" s="64" t="str">
        <f>HYPERLINK("http://www.twitter.com/breakfast_lady", "breakfast_lady")</f>
        <v>breakfast_lady</v>
      </c>
      <c r="B23147" s="65"/>
    </row>
    <row r="23148" spans="1:2" x14ac:dyDescent="0.25">
      <c r="A23148" s="64" t="str">
        <f>HYPERLINK("http://www.twitter.com/declandeasy", "declandeasy")</f>
        <v>declandeasy</v>
      </c>
      <c r="B23148" s="65"/>
    </row>
    <row r="23149" spans="1:2" x14ac:dyDescent="0.25">
      <c r="A23149" s="64" t="str">
        <f>HYPERLINK("http://www.twitter.com/catharine_uk", "catharine_uk")</f>
        <v>catharine_uk</v>
      </c>
      <c r="B23149" s="65" t="s">
        <v>296</v>
      </c>
    </row>
    <row r="23150" spans="1:2" x14ac:dyDescent="0.25">
      <c r="A23150" s="64" t="str">
        <f>HYPERLINK("http://www.twitter.com/johnawhite", "johnawhite")</f>
        <v>johnawhite</v>
      </c>
      <c r="B23150" s="65" t="s">
        <v>10496</v>
      </c>
    </row>
    <row r="23151" spans="1:2" x14ac:dyDescent="0.25">
      <c r="A23151" s="64" t="str">
        <f>HYPERLINK("http://www.twitter.com/bomalon", "bomalon")</f>
        <v>bomalon</v>
      </c>
      <c r="B23151" s="65" t="s">
        <v>10497</v>
      </c>
    </row>
    <row r="23152" spans="1:2" x14ac:dyDescent="0.25">
      <c r="A23152" s="64" t="str">
        <f>HYPERLINK("http://www.twitter.com/NigelPacers", "NigelPacers")</f>
        <v>NigelPacers</v>
      </c>
      <c r="B23152" s="65" t="s">
        <v>36</v>
      </c>
    </row>
    <row r="23153" spans="1:2" x14ac:dyDescent="0.25">
      <c r="A23153" s="64" t="str">
        <f>HYPERLINK("http://www.twitter.com/alanfraser1411", "alanfraser1411")</f>
        <v>alanfraser1411</v>
      </c>
      <c r="B23153" s="65" t="s">
        <v>10498</v>
      </c>
    </row>
    <row r="23154" spans="1:2" x14ac:dyDescent="0.25">
      <c r="A23154" s="64" t="str">
        <f>HYPERLINK("http://www.twitter.com/sillybollard", "sillybollard")</f>
        <v>sillybollard</v>
      </c>
      <c r="B23154" s="65" t="s">
        <v>10499</v>
      </c>
    </row>
    <row r="23155" spans="1:2" x14ac:dyDescent="0.25">
      <c r="A23155" s="64" t="str">
        <f>HYPERLINK("http://www.twitter.com/Eleytherius", "Eleytherius")</f>
        <v>Eleytherius</v>
      </c>
      <c r="B23155" s="65" t="s">
        <v>3821</v>
      </c>
    </row>
    <row r="23156" spans="1:2" x14ac:dyDescent="0.25">
      <c r="A23156" s="64" t="str">
        <f>HYPERLINK("http://www.twitter.com/H_Keebs", "H_Keebs")</f>
        <v>H_Keebs</v>
      </c>
      <c r="B23156" s="65" t="s">
        <v>10500</v>
      </c>
    </row>
    <row r="23157" spans="1:2" x14ac:dyDescent="0.25">
      <c r="A23157" s="64" t="str">
        <f>HYPERLINK("http://www.twitter.com/RichCockburn", "RichCockburn")</f>
        <v>RichCockburn</v>
      </c>
      <c r="B23157" s="65"/>
    </row>
    <row r="23158" spans="1:2" x14ac:dyDescent="0.25">
      <c r="A23158" s="64" t="str">
        <f>HYPERLINK("http://www.twitter.com/MrBrianGraham", "MrBrianGraham")</f>
        <v>MrBrianGraham</v>
      </c>
      <c r="B23158" s="65" t="s">
        <v>36</v>
      </c>
    </row>
    <row r="23159" spans="1:2" x14ac:dyDescent="0.25">
      <c r="A23159" s="64" t="str">
        <f>HYPERLINK("http://www.twitter.com/CLOSEDdavid", "CLOSEDdavid")</f>
        <v>CLOSEDdavid</v>
      </c>
      <c r="B23159" s="65"/>
    </row>
    <row r="23160" spans="1:2" x14ac:dyDescent="0.25">
      <c r="A23160" s="64" t="str">
        <f>HYPERLINK("http://www.twitter.com/JodyNeilRuth", "JodyNeilRuth")</f>
        <v>JodyNeilRuth</v>
      </c>
      <c r="B23160" s="65" t="s">
        <v>10501</v>
      </c>
    </row>
    <row r="23161" spans="1:2" x14ac:dyDescent="0.25">
      <c r="A23161" s="64" t="str">
        <f>HYPERLINK("http://www.twitter.com/saboteusenik", "saboteusenik")</f>
        <v>saboteusenik</v>
      </c>
      <c r="B23161" s="65"/>
    </row>
    <row r="23162" spans="1:2" x14ac:dyDescent="0.25">
      <c r="A23162" s="64" t="str">
        <f>HYPERLINK("http://www.twitter.com/UniWestScotland", "UniWestScotland")</f>
        <v>UniWestScotland</v>
      </c>
      <c r="B23162" s="65" t="s">
        <v>4840</v>
      </c>
    </row>
    <row r="23163" spans="1:2" x14ac:dyDescent="0.25">
      <c r="A23163" s="64" t="str">
        <f>HYPERLINK("http://www.twitter.com/Nat_Sarana", "Nat_Sarana")</f>
        <v>Nat_Sarana</v>
      </c>
      <c r="B23163" s="65" t="s">
        <v>508</v>
      </c>
    </row>
    <row r="23164" spans="1:2" x14ac:dyDescent="0.25">
      <c r="A23164" s="64" t="str">
        <f>HYPERLINK("http://www.twitter.com/teresaf1960", "teresaf1960")</f>
        <v>teresaf1960</v>
      </c>
      <c r="B23164" s="65"/>
    </row>
    <row r="23165" spans="1:2" x14ac:dyDescent="0.25">
      <c r="A23165" s="64" t="str">
        <f>HYPERLINK("http://www.twitter.com/LouiseKyle9", "LouiseKyle9")</f>
        <v>LouiseKyle9</v>
      </c>
      <c r="B23165" s="65"/>
    </row>
    <row r="23166" spans="1:2" x14ac:dyDescent="0.25">
      <c r="A23166" s="64" t="str">
        <f>HYPERLINK("http://www.twitter.com/utterlybespoke", "utterlybespoke")</f>
        <v>utterlybespoke</v>
      </c>
      <c r="B23166" s="65" t="s">
        <v>10502</v>
      </c>
    </row>
    <row r="23167" spans="1:2" x14ac:dyDescent="0.25">
      <c r="A23167" s="64" t="str">
        <f>HYPERLINK("http://www.twitter.com/wendy63", "wendy63")</f>
        <v>wendy63</v>
      </c>
      <c r="B23167" s="65" t="s">
        <v>4501</v>
      </c>
    </row>
    <row r="23168" spans="1:2" x14ac:dyDescent="0.25">
      <c r="A23168" s="64" t="str">
        <f>HYPERLINK("http://www.twitter.com/DWECL", "DWECL")</f>
        <v>DWECL</v>
      </c>
      <c r="B23168" s="65"/>
    </row>
    <row r="23169" spans="1:2" x14ac:dyDescent="0.25">
      <c r="A23169" s="64" t="str">
        <f>HYPERLINK("http://www.twitter.com/jamesmatthewsky", "jamesmatthewsky")</f>
        <v>jamesmatthewsky</v>
      </c>
      <c r="B23169" s="65" t="s">
        <v>487</v>
      </c>
    </row>
    <row r="23170" spans="1:2" x14ac:dyDescent="0.25">
      <c r="A23170" s="64" t="str">
        <f>HYPERLINK("http://www.twitter.com/johnsteve", "johnsteve")</f>
        <v>johnsteve</v>
      </c>
      <c r="B23170" s="65" t="s">
        <v>24</v>
      </c>
    </row>
    <row r="23171" spans="1:2" x14ac:dyDescent="0.25">
      <c r="A23171" s="64" t="str">
        <f>HYPERLINK("http://www.twitter.com/heathertait1", "heathertait1")</f>
        <v>heathertait1</v>
      </c>
      <c r="B23171" s="65"/>
    </row>
    <row r="23172" spans="1:2" x14ac:dyDescent="0.25">
      <c r="A23172" s="64" t="str">
        <f>HYPERLINK("http://www.twitter.com/edinspotlight", "edinspotlight")</f>
        <v>edinspotlight</v>
      </c>
      <c r="B23172" s="65" t="s">
        <v>24</v>
      </c>
    </row>
    <row r="23173" spans="1:2" x14ac:dyDescent="0.25">
      <c r="A23173" s="64" t="str">
        <f>HYPERLINK("http://www.twitter.com/dejastar2011", "dejastar2011")</f>
        <v>dejastar2011</v>
      </c>
      <c r="B23173" s="65"/>
    </row>
    <row r="23174" spans="1:2" x14ac:dyDescent="0.25">
      <c r="A23174" s="64" t="str">
        <f>HYPERLINK("http://www.twitter.com/MsSupertech", "MsSupertech")</f>
        <v>MsSupertech</v>
      </c>
      <c r="B23174" s="65" t="s">
        <v>10503</v>
      </c>
    </row>
    <row r="23175" spans="1:2" x14ac:dyDescent="0.25">
      <c r="A23175" s="64" t="str">
        <f>HYPERLINK("http://www.twitter.com/J_Loaf", "J_Loaf")</f>
        <v>J_Loaf</v>
      </c>
      <c r="B23175" s="65" t="s">
        <v>10504</v>
      </c>
    </row>
    <row r="23176" spans="1:2" x14ac:dyDescent="0.25">
      <c r="A23176" s="64" t="str">
        <f>HYPERLINK("http://www.twitter.com/clare_baffies44", "clare_baffies44")</f>
        <v>clare_baffies44</v>
      </c>
      <c r="B23176" s="65"/>
    </row>
    <row r="23177" spans="1:2" x14ac:dyDescent="0.25">
      <c r="A23177" s="64" t="str">
        <f>HYPERLINK("http://www.twitter.com/ladyauntiecathy", "ladyauntiecathy")</f>
        <v>ladyauntiecathy</v>
      </c>
      <c r="B23177" s="65" t="s">
        <v>10505</v>
      </c>
    </row>
    <row r="23178" spans="1:2" x14ac:dyDescent="0.25">
      <c r="A23178" s="64" t="str">
        <f>HYPERLINK("http://www.twitter.com/jessldoac", "jessldoac")</f>
        <v>jessldoac</v>
      </c>
      <c r="B23178" s="65"/>
    </row>
    <row r="23179" spans="1:2" x14ac:dyDescent="0.25">
      <c r="A23179" s="64" t="str">
        <f>HYPERLINK("http://www.twitter.com/VAllenWriter1", "VAllenWriter1")</f>
        <v>VAllenWriter1</v>
      </c>
      <c r="B23179" s="65" t="s">
        <v>3893</v>
      </c>
    </row>
    <row r="23180" spans="1:2" x14ac:dyDescent="0.25">
      <c r="A23180" s="64" t="str">
        <f>HYPERLINK("http://www.twitter.com/librarylady81", "librarylady81")</f>
        <v>librarylady81</v>
      </c>
      <c r="B23180" s="65"/>
    </row>
    <row r="23181" spans="1:2" x14ac:dyDescent="0.25">
      <c r="A23181" s="64" t="str">
        <f>HYPERLINK("http://www.twitter.com/Mr_Grumble", "Mr_Grumble")</f>
        <v>Mr_Grumble</v>
      </c>
      <c r="B23181" s="65" t="s">
        <v>10506</v>
      </c>
    </row>
    <row r="23182" spans="1:2" x14ac:dyDescent="0.25">
      <c r="A23182" s="64" t="str">
        <f>HYPERLINK("http://www.twitter.com/vencolibrary", "vencolibrary")</f>
        <v>vencolibrary</v>
      </c>
      <c r="B23182" s="65" t="s">
        <v>10507</v>
      </c>
    </row>
    <row r="23183" spans="1:2" x14ac:dyDescent="0.25">
      <c r="A23183" s="64" t="str">
        <f>HYPERLINK("http://www.twitter.com/philastley67", "philastley67")</f>
        <v>philastley67</v>
      </c>
      <c r="B23183" s="65"/>
    </row>
    <row r="23184" spans="1:2" x14ac:dyDescent="0.25">
      <c r="A23184" s="64" t="str">
        <f>HYPERLINK("http://www.twitter.com/AlRedboots", "AlRedboots")</f>
        <v>AlRedboots</v>
      </c>
      <c r="B23184" s="65" t="s">
        <v>10508</v>
      </c>
    </row>
    <row r="23185" spans="1:2" x14ac:dyDescent="0.25">
      <c r="A23185" s="64" t="str">
        <f>HYPERLINK("http://www.twitter.com/TrowieP", "TrowieP")</f>
        <v>TrowieP</v>
      </c>
      <c r="B23185" s="65"/>
    </row>
    <row r="23186" spans="1:2" x14ac:dyDescent="0.25">
      <c r="A23186" s="64" t="str">
        <f>HYPERLINK("http://www.twitter.com/cokey73", "cokey73")</f>
        <v>cokey73</v>
      </c>
      <c r="B23186" s="65"/>
    </row>
    <row r="23187" spans="1:2" x14ac:dyDescent="0.25">
      <c r="A23187" s="64" t="str">
        <f>HYPERLINK("http://www.twitter.com/BenYMLee", "BenYMLee")</f>
        <v>BenYMLee</v>
      </c>
      <c r="B23187" s="65" t="s">
        <v>36</v>
      </c>
    </row>
    <row r="23188" spans="1:2" x14ac:dyDescent="0.25">
      <c r="A23188" s="64" t="str">
        <f>HYPERLINK("http://www.twitter.com/KatieDFlanagan", "KatieDFlanagan")</f>
        <v>KatieDFlanagan</v>
      </c>
      <c r="B23188" s="65" t="s">
        <v>10509</v>
      </c>
    </row>
    <row r="23189" spans="1:2" x14ac:dyDescent="0.25">
      <c r="A23189" s="64" t="str">
        <f>HYPERLINK("http://www.twitter.com/dontyk", "dontyk")</f>
        <v>dontyk</v>
      </c>
      <c r="B23189" s="65"/>
    </row>
    <row r="23190" spans="1:2" x14ac:dyDescent="0.25">
      <c r="A23190" s="64" t="str">
        <f>HYPERLINK("http://www.twitter.com/madlinsudn", "madlinsudn")</f>
        <v>madlinsudn</v>
      </c>
      <c r="B23190" s="65" t="s">
        <v>110</v>
      </c>
    </row>
    <row r="23191" spans="1:2" x14ac:dyDescent="0.25">
      <c r="A23191" s="64" t="str">
        <f>HYPERLINK("http://www.twitter.com/Oxford_Trunkles", "Oxford_Trunkles")</f>
        <v>Oxford_Trunkles</v>
      </c>
      <c r="B23191" s="65" t="s">
        <v>505</v>
      </c>
    </row>
    <row r="23192" spans="1:2" x14ac:dyDescent="0.25">
      <c r="A23192" s="64" t="str">
        <f>HYPERLINK("http://www.twitter.com/LauraLovesAle", "LauraLovesAle")</f>
        <v>LauraLovesAle</v>
      </c>
      <c r="B23192" s="65" t="s">
        <v>203</v>
      </c>
    </row>
    <row r="23193" spans="1:2" x14ac:dyDescent="0.25">
      <c r="A23193" s="64" t="str">
        <f>HYPERLINK("http://www.twitter.com/jurst", "jurst")</f>
        <v>jurst</v>
      </c>
      <c r="B23193" s="65" t="s">
        <v>808</v>
      </c>
    </row>
    <row r="23194" spans="1:2" x14ac:dyDescent="0.25">
      <c r="A23194" s="64" t="str">
        <f>HYPERLINK("http://www.twitter.com/mrspearldrummer", "mrspearldrummer")</f>
        <v>mrspearldrummer</v>
      </c>
      <c r="B23194" s="65"/>
    </row>
    <row r="23195" spans="1:2" x14ac:dyDescent="0.25">
      <c r="A23195" s="64" t="str">
        <f>HYPERLINK("http://www.twitter.com/beckylewis1", "beckylewis1")</f>
        <v>beckylewis1</v>
      </c>
      <c r="B23195" s="65"/>
    </row>
    <row r="23196" spans="1:2" x14ac:dyDescent="0.25">
      <c r="A23196" s="64" t="str">
        <f>HYPERLINK("http://www.twitter.com/BenGardner91", "BenGardner91")</f>
        <v>BenGardner91</v>
      </c>
      <c r="B23196" s="65" t="s">
        <v>10510</v>
      </c>
    </row>
    <row r="23197" spans="1:2" x14ac:dyDescent="0.25">
      <c r="A23197" s="64" t="str">
        <f>HYPERLINK("http://www.twitter.com/JonFraserKing", "JonFraserKing")</f>
        <v>JonFraserKing</v>
      </c>
      <c r="B23197" s="65" t="s">
        <v>10511</v>
      </c>
    </row>
    <row r="23198" spans="1:2" x14ac:dyDescent="0.25">
      <c r="A23198" s="64" t="str">
        <f>HYPERLINK("http://www.twitter.com/JenFosterLib", "JenFosterLib")</f>
        <v>JenFosterLib</v>
      </c>
      <c r="B23198" s="65" t="s">
        <v>877</v>
      </c>
    </row>
    <row r="23199" spans="1:2" x14ac:dyDescent="0.25">
      <c r="A23199" s="64" t="str">
        <f>HYPERLINK("http://www.twitter.com/mathewsheffield", "mathewsheffield")</f>
        <v>mathewsheffield</v>
      </c>
      <c r="B23199" s="65"/>
    </row>
    <row r="23200" spans="1:2" x14ac:dyDescent="0.25">
      <c r="A23200" s="64" t="str">
        <f>HYPERLINK("http://www.twitter.com/JOMURT", "JOMURT")</f>
        <v>JOMURT</v>
      </c>
      <c r="B23200" s="65" t="s">
        <v>5045</v>
      </c>
    </row>
    <row r="23201" spans="1:2" x14ac:dyDescent="0.25">
      <c r="A23201" s="64" t="str">
        <f>HYPERLINK("http://www.twitter.com/DSSPippa", "DSSPippa")</f>
        <v>DSSPippa</v>
      </c>
      <c r="B23201" s="65" t="s">
        <v>10512</v>
      </c>
    </row>
    <row r="23202" spans="1:2" x14ac:dyDescent="0.25">
      <c r="A23202" s="64" t="str">
        <f>HYPERLINK("http://www.twitter.com/pedrotimms7", "pedrotimms7")</f>
        <v>pedrotimms7</v>
      </c>
      <c r="B23202" s="65" t="s">
        <v>1295</v>
      </c>
    </row>
    <row r="23203" spans="1:2" x14ac:dyDescent="0.25">
      <c r="A23203" s="64" t="str">
        <f>HYPERLINK("http://www.twitter.com/DSSPJS", "DSSPJS")</f>
        <v>DSSPJS</v>
      </c>
      <c r="B23203" s="65" t="s">
        <v>24</v>
      </c>
    </row>
    <row r="23204" spans="1:2" x14ac:dyDescent="0.25">
      <c r="A23204" s="64" t="str">
        <f>HYPERLINK("http://www.twitter.com/CiaraBoz", "CiaraBoz")</f>
        <v>CiaraBoz</v>
      </c>
      <c r="B23204" s="65" t="s">
        <v>36</v>
      </c>
    </row>
    <row r="23205" spans="1:2" x14ac:dyDescent="0.25">
      <c r="A23205" s="64" t="str">
        <f>HYPERLINK("http://www.twitter.com/joanna_coulter", "joanna_coulter")</f>
        <v>joanna_coulter</v>
      </c>
      <c r="B23205" s="65"/>
    </row>
    <row r="23206" spans="1:2" x14ac:dyDescent="0.25">
      <c r="A23206" s="64" t="str">
        <f>HYPERLINK("http://www.twitter.com/otherjonmilton", "otherjonmilton")</f>
        <v>otherjonmilton</v>
      </c>
      <c r="B23206" s="65"/>
    </row>
    <row r="23207" spans="1:2" x14ac:dyDescent="0.25">
      <c r="A23207" s="64" t="str">
        <f>HYPERLINK("http://www.twitter.com/Monniemag", "Monniemag")</f>
        <v>Monniemag</v>
      </c>
      <c r="B23207" s="65"/>
    </row>
    <row r="23208" spans="1:2" x14ac:dyDescent="0.25">
      <c r="A23208" s="64" t="str">
        <f>HYPERLINK("http://www.twitter.com/onefineweasel", "onefineweasel")</f>
        <v>onefineweasel</v>
      </c>
      <c r="B23208" s="65" t="s">
        <v>1146</v>
      </c>
    </row>
    <row r="23209" spans="1:2" x14ac:dyDescent="0.25">
      <c r="A23209" s="64" t="str">
        <f>HYPERLINK("http://www.twitter.com/matttidby", "matttidby")</f>
        <v>matttidby</v>
      </c>
      <c r="B23209" s="65" t="s">
        <v>899</v>
      </c>
    </row>
    <row r="23210" spans="1:2" x14ac:dyDescent="0.25">
      <c r="A23210" s="64" t="str">
        <f>HYPERLINK("http://www.twitter.com/rabelcandle", "rabelcandle")</f>
        <v>rabelcandle</v>
      </c>
      <c r="B23210" s="65"/>
    </row>
    <row r="23211" spans="1:2" x14ac:dyDescent="0.25">
      <c r="A23211" s="64" t="str">
        <f>HYPERLINK("http://www.twitter.com/aliangac", "aliangac")</f>
        <v>aliangac</v>
      </c>
      <c r="B23211" s="65" t="s">
        <v>3988</v>
      </c>
    </row>
    <row r="23212" spans="1:2" x14ac:dyDescent="0.25">
      <c r="A23212" s="64" t="str">
        <f>HYPERLINK("http://www.twitter.com/MarieWr26422922", "MarieWr26422922")</f>
        <v>MarieWr26422922</v>
      </c>
      <c r="B23212" s="65"/>
    </row>
    <row r="23213" spans="1:2" x14ac:dyDescent="0.25">
      <c r="A23213" s="64" t="str">
        <f>HYPERLINK("http://www.twitter.com/MaxwellRJinMTL", "MaxwellRJinMTL")</f>
        <v>MaxwellRJinMTL</v>
      </c>
      <c r="B23213" s="65"/>
    </row>
    <row r="23214" spans="1:2" x14ac:dyDescent="0.25">
      <c r="A23214" s="64" t="str">
        <f>HYPERLINK("http://www.twitter.com/silkskt", "silkskt")</f>
        <v>silkskt</v>
      </c>
      <c r="B23214" s="65" t="s">
        <v>10513</v>
      </c>
    </row>
    <row r="23215" spans="1:2" x14ac:dyDescent="0.25">
      <c r="A23215" s="64" t="str">
        <f>HYPERLINK("http://www.twitter.com/NewcombLibrary", "NewcombLibrary")</f>
        <v>NewcombLibrary</v>
      </c>
      <c r="B23215" s="65" t="s">
        <v>36</v>
      </c>
    </row>
    <row r="23216" spans="1:2" x14ac:dyDescent="0.25">
      <c r="A23216" s="64" t="str">
        <f>HYPERLINK("http://www.twitter.com/corkney1", "corkney1")</f>
        <v>corkney1</v>
      </c>
      <c r="B23216" s="65"/>
    </row>
    <row r="23217" spans="1:2" x14ac:dyDescent="0.25">
      <c r="A23217" s="64" t="str">
        <f>HYPERLINK("http://www.twitter.com/traceym_tweets", "traceym_tweets")</f>
        <v>traceym_tweets</v>
      </c>
      <c r="B23217" s="65" t="s">
        <v>138</v>
      </c>
    </row>
    <row r="23218" spans="1:2" x14ac:dyDescent="0.25">
      <c r="A23218" s="64" t="str">
        <f>HYPERLINK("http://www.twitter.com/orkneylearns", "orkneylearns")</f>
        <v>orkneylearns</v>
      </c>
      <c r="B23218" s="65" t="s">
        <v>20</v>
      </c>
    </row>
    <row r="23219" spans="1:2" x14ac:dyDescent="0.25">
      <c r="A23219" s="64" t="str">
        <f>HYPERLINK("http://www.twitter.com/janette80626532", "janette80626532")</f>
        <v>janette80626532</v>
      </c>
      <c r="B23219" s="65"/>
    </row>
    <row r="23220" spans="1:2" x14ac:dyDescent="0.25">
      <c r="A23220" s="64" t="str">
        <f>HYPERLINK("http://www.twitter.com/SouthKenBooks", "SouthKenBooks")</f>
        <v>SouthKenBooks</v>
      </c>
      <c r="B23220" s="65" t="s">
        <v>5477</v>
      </c>
    </row>
    <row r="23221" spans="1:2" x14ac:dyDescent="0.25">
      <c r="A23221" s="64" t="str">
        <f>HYPERLINK("http://www.twitter.com/Shahin347", "Shahin347")</f>
        <v>Shahin347</v>
      </c>
      <c r="B23221" s="65" t="s">
        <v>10514</v>
      </c>
    </row>
    <row r="23222" spans="1:2" x14ac:dyDescent="0.25">
      <c r="A23222" s="64" t="str">
        <f>HYPERLINK("http://www.twitter.com/JackieCopleton", "JackieCopleton")</f>
        <v>JackieCopleton</v>
      </c>
      <c r="B23222" s="65" t="s">
        <v>138</v>
      </c>
    </row>
    <row r="23223" spans="1:2" x14ac:dyDescent="0.25">
      <c r="A23223" s="64" t="str">
        <f>HYPERLINK("http://www.twitter.com/mruthm122", "mruthm122")</f>
        <v>mruthm122</v>
      </c>
      <c r="B23223" s="65"/>
    </row>
    <row r="23224" spans="1:2" x14ac:dyDescent="0.25">
      <c r="A23224" s="64" t="str">
        <f>HYPERLINK("http://www.twitter.com/atom_man", "atom_man")</f>
        <v>atom_man</v>
      </c>
      <c r="B23224" s="65"/>
    </row>
    <row r="23225" spans="1:2" x14ac:dyDescent="0.25">
      <c r="A23225" s="64" t="str">
        <f>HYPERLINK("http://www.twitter.com/suzanne764", "suzanne764")</f>
        <v>suzanne764</v>
      </c>
      <c r="B23225" s="65" t="s">
        <v>517</v>
      </c>
    </row>
    <row r="23226" spans="1:2" x14ac:dyDescent="0.25">
      <c r="A23226" s="64" t="str">
        <f>HYPERLINK("http://www.twitter.com/maghar", "maghar")</f>
        <v>maghar</v>
      </c>
      <c r="B23226" s="65" t="s">
        <v>1810</v>
      </c>
    </row>
    <row r="23227" spans="1:2" x14ac:dyDescent="0.25">
      <c r="A23227" s="64" t="str">
        <f>HYPERLINK("http://www.twitter.com/library_thompsk", "library_thompsk")</f>
        <v>library_thompsk</v>
      </c>
      <c r="B23227" s="65" t="s">
        <v>2554</v>
      </c>
    </row>
    <row r="23228" spans="1:2" x14ac:dyDescent="0.25">
      <c r="A23228" s="64" t="str">
        <f>HYPERLINK("http://www.twitter.com/michaelhamer7", "michaelhamer7")</f>
        <v>michaelhamer7</v>
      </c>
      <c r="B23228" s="65"/>
    </row>
    <row r="23229" spans="1:2" x14ac:dyDescent="0.25">
      <c r="A23229" s="64" t="str">
        <f>HYPERLINK("http://www.twitter.com/sarahcockerill", "sarahcockerill")</f>
        <v>sarahcockerill</v>
      </c>
      <c r="B23229" s="65" t="s">
        <v>7479</v>
      </c>
    </row>
    <row r="23230" spans="1:2" x14ac:dyDescent="0.25">
      <c r="A23230" s="64" t="str">
        <f>HYPERLINK("http://www.twitter.com/quotesaladdin", "quotesaladdin")</f>
        <v>quotesaladdin</v>
      </c>
      <c r="B23230" s="65"/>
    </row>
    <row r="23231" spans="1:2" x14ac:dyDescent="0.25">
      <c r="A23231" s="64" t="str">
        <f>HYPERLINK("http://www.twitter.com/marcowest89", "marcowest89")</f>
        <v>marcowest89</v>
      </c>
      <c r="B23231" s="65" t="s">
        <v>10515</v>
      </c>
    </row>
    <row r="23232" spans="1:2" x14ac:dyDescent="0.25">
      <c r="A23232" s="64" t="str">
        <f>HYPERLINK("http://www.twitter.com/2ndAvenueYoga", "2ndAvenueYoga")</f>
        <v>2ndAvenueYoga</v>
      </c>
      <c r="B23232" s="65" t="s">
        <v>5244</v>
      </c>
    </row>
    <row r="23233" spans="1:2" x14ac:dyDescent="0.25">
      <c r="A23233" s="64" t="str">
        <f>HYPERLINK("http://www.twitter.com/ByersMary", "ByersMary")</f>
        <v>ByersMary</v>
      </c>
      <c r="B23233" s="65" t="s">
        <v>20</v>
      </c>
    </row>
    <row r="23234" spans="1:2" x14ac:dyDescent="0.25">
      <c r="A23234" s="64" t="str">
        <f>HYPERLINK("http://www.twitter.com/Creative_Voices", "Creative_Voices")</f>
        <v>Creative_Voices</v>
      </c>
      <c r="B23234" s="65"/>
    </row>
    <row r="23235" spans="1:2" x14ac:dyDescent="0.25">
      <c r="A23235" s="64" t="str">
        <f>HYPERLINK("http://www.twitter.com/rhcml", "rhcml")</f>
        <v>rhcml</v>
      </c>
      <c r="B23235" s="65" t="s">
        <v>10516</v>
      </c>
    </row>
    <row r="23236" spans="1:2" x14ac:dyDescent="0.25">
      <c r="A23236" s="64" t="str">
        <f>HYPERLINK("http://www.twitter.com/DoohanJohn", "DoohanJohn")</f>
        <v>DoohanJohn</v>
      </c>
      <c r="B23236" s="65"/>
    </row>
    <row r="23237" spans="1:2" x14ac:dyDescent="0.25">
      <c r="A23237" s="64" t="str">
        <f>HYPERLINK("http://www.twitter.com/Thomson_32", "Thomson_32")</f>
        <v>Thomson_32</v>
      </c>
      <c r="B23237" s="65"/>
    </row>
    <row r="23238" spans="1:2" x14ac:dyDescent="0.25">
      <c r="A23238" s="64" t="str">
        <f>HYPERLINK("http://www.twitter.com/DohertyTA", "DohertyTA")</f>
        <v>DohertyTA</v>
      </c>
      <c r="B23238" s="65" t="s">
        <v>10517</v>
      </c>
    </row>
    <row r="23239" spans="1:2" x14ac:dyDescent="0.25">
      <c r="A23239" s="64" t="str">
        <f>HYPERLINK("http://www.twitter.com/MaggieSymes", "MaggieSymes")</f>
        <v>MaggieSymes</v>
      </c>
      <c r="B23239" s="65"/>
    </row>
    <row r="23240" spans="1:2" x14ac:dyDescent="0.25">
      <c r="A23240" s="64" t="str">
        <f>HYPERLINK("http://www.twitter.com/Bridy1702", "Bridy1702")</f>
        <v>Bridy1702</v>
      </c>
      <c r="B23240" s="65" t="s">
        <v>1490</v>
      </c>
    </row>
    <row r="23241" spans="1:2" x14ac:dyDescent="0.25">
      <c r="A23241" s="64" t="str">
        <f>HYPERLINK("http://www.twitter.com/ProfLauraDull", "ProfLauraDull")</f>
        <v>ProfLauraDull</v>
      </c>
      <c r="B23241" s="65" t="s">
        <v>4255</v>
      </c>
    </row>
    <row r="23242" spans="1:2" x14ac:dyDescent="0.25">
      <c r="A23242" s="64" t="str">
        <f>HYPERLINK("http://www.twitter.com/SarahLVDuggan", "SarahLVDuggan")</f>
        <v>SarahLVDuggan</v>
      </c>
      <c r="B23242" s="65" t="s">
        <v>8142</v>
      </c>
    </row>
    <row r="23243" spans="1:2" x14ac:dyDescent="0.25">
      <c r="A23243" s="64" t="str">
        <f>HYPERLINK("http://www.twitter.com/KirkleesMuseums", "KirkleesMuseums")</f>
        <v>KirkleesMuseums</v>
      </c>
      <c r="B23243" s="65" t="s">
        <v>10518</v>
      </c>
    </row>
    <row r="23244" spans="1:2" x14ac:dyDescent="0.25">
      <c r="A23244" s="64" t="str">
        <f>HYPERLINK("http://www.twitter.com/isil_OCLC_GER", "isil_OCLC_GER")</f>
        <v>isil_OCLC_GER</v>
      </c>
      <c r="B23244" s="65"/>
    </row>
    <row r="23245" spans="1:2" x14ac:dyDescent="0.25">
      <c r="A23245" s="64" t="str">
        <f>HYPERLINK("http://www.twitter.com/PINScotland", "PINScotland")</f>
        <v>PINScotland</v>
      </c>
      <c r="B23245" s="65" t="s">
        <v>487</v>
      </c>
    </row>
    <row r="23246" spans="1:2" x14ac:dyDescent="0.25">
      <c r="A23246" s="64" t="str">
        <f>HYPERLINK("http://www.twitter.com/proxsy31", "proxsy31")</f>
        <v>proxsy31</v>
      </c>
      <c r="B23246" s="65" t="s">
        <v>10519</v>
      </c>
    </row>
    <row r="23247" spans="1:2" x14ac:dyDescent="0.25">
      <c r="A23247" s="64" t="str">
        <f>HYPERLINK("http://www.twitter.com/Year3HillMead", "Year3HillMead")</f>
        <v>Year3HillMead</v>
      </c>
      <c r="B23247" s="65" t="s">
        <v>327</v>
      </c>
    </row>
    <row r="23248" spans="1:2" x14ac:dyDescent="0.25">
      <c r="A23248" s="64" t="str">
        <f>HYPERLINK("http://www.twitter.com/ForeverUnsweet", "ForeverUnsweet")</f>
        <v>ForeverUnsweet</v>
      </c>
      <c r="B23248" s="65"/>
    </row>
    <row r="23249" spans="1:2" x14ac:dyDescent="0.25">
      <c r="A23249" s="64" t="str">
        <f>HYPERLINK("http://www.twitter.com/lauraewaddell", "lauraewaddell")</f>
        <v>lauraewaddell</v>
      </c>
      <c r="B23249" s="65" t="s">
        <v>138</v>
      </c>
    </row>
    <row r="23250" spans="1:2" x14ac:dyDescent="0.25">
      <c r="A23250" s="64" t="str">
        <f>HYPERLINK("http://www.twitter.com/DonaldMcLellan", "DonaldMcLellan")</f>
        <v>DonaldMcLellan</v>
      </c>
      <c r="B23250" s="65" t="s">
        <v>10520</v>
      </c>
    </row>
    <row r="23251" spans="1:2" x14ac:dyDescent="0.25">
      <c r="A23251" s="64" t="str">
        <f>HYPERLINK("http://www.twitter.com/edinburghsonas", "edinburghsonas")</f>
        <v>edinburghsonas</v>
      </c>
      <c r="B23251" s="65" t="s">
        <v>10521</v>
      </c>
    </row>
    <row r="23252" spans="1:2" x14ac:dyDescent="0.25">
      <c r="A23252" s="64" t="str">
        <f>HYPERLINK("http://www.twitter.com/CupsTearoom", "CupsTearoom")</f>
        <v>CupsTearoom</v>
      </c>
      <c r="B23252" s="65" t="s">
        <v>7117</v>
      </c>
    </row>
    <row r="23253" spans="1:2" x14ac:dyDescent="0.25">
      <c r="A23253" s="64" t="str">
        <f>HYPERLINK("http://www.twitter.com/lwdrever1", "lwdrever1")</f>
        <v>lwdrever1</v>
      </c>
      <c r="B23253" s="65"/>
    </row>
    <row r="23254" spans="1:2" x14ac:dyDescent="0.25">
      <c r="A23254" s="64" t="str">
        <f>HYPERLINK("http://www.twitter.com/BethMcK", "BethMcK")</f>
        <v>BethMcK</v>
      </c>
      <c r="B23254" s="65" t="s">
        <v>318</v>
      </c>
    </row>
    <row r="23255" spans="1:2" x14ac:dyDescent="0.25">
      <c r="A23255" s="64" t="str">
        <f>HYPERLINK("http://www.twitter.com/kylastephan", "kylastephan")</f>
        <v>kylastephan</v>
      </c>
      <c r="B23255" s="65" t="s">
        <v>10522</v>
      </c>
    </row>
    <row r="23256" spans="1:2" x14ac:dyDescent="0.25">
      <c r="A23256" s="64" t="str">
        <f>HYPERLINK("http://www.twitter.com/judyclayton", "judyclayton")</f>
        <v>judyclayton</v>
      </c>
      <c r="B23256" s="65" t="s">
        <v>4223</v>
      </c>
    </row>
    <row r="23257" spans="1:2" x14ac:dyDescent="0.25">
      <c r="A23257" s="64" t="str">
        <f>HYPERLINK("http://www.twitter.com/OrkneyMuseums", "OrkneyMuseums")</f>
        <v>OrkneyMuseums</v>
      </c>
      <c r="B23257" s="65" t="s">
        <v>20</v>
      </c>
    </row>
    <row r="23258" spans="1:2" x14ac:dyDescent="0.25">
      <c r="A23258" s="64" t="str">
        <f>HYPERLINK("http://www.twitter.com/wightbear", "wightbear")</f>
        <v>wightbear</v>
      </c>
      <c r="B23258" s="65" t="s">
        <v>10523</v>
      </c>
    </row>
    <row r="23259" spans="1:2" x14ac:dyDescent="0.25">
      <c r="A23259" s="64" t="str">
        <f>HYPERLINK("http://www.twitter.com/annecalhoun", "annecalhoun")</f>
        <v>annecalhoun</v>
      </c>
      <c r="B23259" s="65" t="s">
        <v>10524</v>
      </c>
    </row>
    <row r="23260" spans="1:2" x14ac:dyDescent="0.25">
      <c r="A23260" s="64" t="str">
        <f>HYPERLINK("http://www.twitter.com/fclmv", "fclmv")</f>
        <v>fclmv</v>
      </c>
      <c r="B23260" s="65" t="s">
        <v>10525</v>
      </c>
    </row>
    <row r="23261" spans="1:2" x14ac:dyDescent="0.25">
      <c r="A23261" s="64" t="str">
        <f>HYPERLINK("http://www.twitter.com/BrysonKopf", "BrysonKopf")</f>
        <v>BrysonKopf</v>
      </c>
      <c r="B23261" s="65"/>
    </row>
    <row r="23262" spans="1:2" x14ac:dyDescent="0.25">
      <c r="A23262" s="64" t="str">
        <f>HYPERLINK("http://www.twitter.com/geceosan", "geceosan")</f>
        <v>geceosan</v>
      </c>
      <c r="B23262" s="65" t="s">
        <v>7510</v>
      </c>
    </row>
    <row r="23263" spans="1:2" x14ac:dyDescent="0.25">
      <c r="A23263" s="64" t="str">
        <f>HYPERLINK("http://www.twitter.com/skirlyone", "skirlyone")</f>
        <v>skirlyone</v>
      </c>
      <c r="B23263" s="65"/>
    </row>
    <row r="23264" spans="1:2" x14ac:dyDescent="0.25">
      <c r="A23264" s="64" t="str">
        <f>HYPERLINK("http://www.twitter.com/ExploraBox1", "ExploraBox1")</f>
        <v>ExploraBox1</v>
      </c>
      <c r="B23264" s="65" t="s">
        <v>10526</v>
      </c>
    </row>
    <row r="23265" spans="1:2" x14ac:dyDescent="0.25">
      <c r="A23265" s="64" t="str">
        <f>HYPERLINK("http://www.twitter.com/OrkneyMSYP", "OrkneyMSYP")</f>
        <v>OrkneyMSYP</v>
      </c>
      <c r="B23265" s="65" t="s">
        <v>10527</v>
      </c>
    </row>
    <row r="23266" spans="1:2" x14ac:dyDescent="0.25">
      <c r="A23266" s="64" t="str">
        <f>HYPERLINK("http://www.twitter.com/PAShanky", "PAShanky")</f>
        <v>PAShanky</v>
      </c>
      <c r="B23266" s="65" t="s">
        <v>318</v>
      </c>
    </row>
    <row r="23267" spans="1:2" x14ac:dyDescent="0.25">
      <c r="A23267" s="64" t="str">
        <f>HYPERLINK("http://www.twitter.com/citzgirl", "citzgirl")</f>
        <v>citzgirl</v>
      </c>
      <c r="B23267" s="65" t="s">
        <v>4215</v>
      </c>
    </row>
    <row r="23268" spans="1:2" x14ac:dyDescent="0.25">
      <c r="A23268" s="64" t="str">
        <f>HYPERLINK("http://www.twitter.com/cathviolin", "cathviolin")</f>
        <v>cathviolin</v>
      </c>
      <c r="B23268" s="65"/>
    </row>
    <row r="23269" spans="1:2" x14ac:dyDescent="0.25">
      <c r="A23269" s="64" t="str">
        <f>HYPERLINK("http://www.twitter.com/libodyssey", "libodyssey")</f>
        <v>libodyssey</v>
      </c>
      <c r="B23269" s="65" t="s">
        <v>4147</v>
      </c>
    </row>
    <row r="23270" spans="1:2" x14ac:dyDescent="0.25">
      <c r="A23270" s="64" t="str">
        <f>HYPERLINK("http://www.twitter.com/AlisonMacleod3", "AlisonMacleod3")</f>
        <v>AlisonMacleod3</v>
      </c>
      <c r="B23270" s="65" t="s">
        <v>10528</v>
      </c>
    </row>
    <row r="23271" spans="1:2" x14ac:dyDescent="0.25">
      <c r="A23271" s="64" t="str">
        <f>HYPERLINK("http://www.twitter.com/KarynKaryn0013", "KarynKaryn0013")</f>
        <v>KarynKaryn0013</v>
      </c>
      <c r="B23271" s="65" t="s">
        <v>10529</v>
      </c>
    </row>
    <row r="23272" spans="1:2" x14ac:dyDescent="0.25">
      <c r="A23272" s="64" t="str">
        <f>HYPERLINK("http://www.twitter.com/WestLinnLibrary", "WestLinnLibrary")</f>
        <v>WestLinnLibrary</v>
      </c>
      <c r="B23272" s="65" t="s">
        <v>10530</v>
      </c>
    </row>
    <row r="23273" spans="1:2" x14ac:dyDescent="0.25">
      <c r="A23273" s="64" t="str">
        <f>HYPERLINK("http://www.twitter.com/JblackburnJB", "JblackburnJB")</f>
        <v>JblackburnJB</v>
      </c>
      <c r="B23273" s="65" t="s">
        <v>10531</v>
      </c>
    </row>
    <row r="23274" spans="1:2" x14ac:dyDescent="0.25">
      <c r="A23274" s="64" t="str">
        <f>HYPERLINK("http://www.twitter.com/maggie_broon", "maggie_broon")</f>
        <v>maggie_broon</v>
      </c>
      <c r="B23274" s="65" t="s">
        <v>138</v>
      </c>
    </row>
    <row r="23275" spans="1:2" x14ac:dyDescent="0.25">
      <c r="A23275" s="64" t="str">
        <f>HYPERLINK("http://www.twitter.com/LCReid2", "LCReid2")</f>
        <v>LCReid2</v>
      </c>
      <c r="B23275" s="65"/>
    </row>
    <row r="23276" spans="1:2" x14ac:dyDescent="0.25">
      <c r="A23276" s="64" t="str">
        <f>HYPERLINK("http://www.twitter.com/alisonflea", "alisonflea")</f>
        <v>alisonflea</v>
      </c>
      <c r="B23276" s="65" t="s">
        <v>10532</v>
      </c>
    </row>
    <row r="23277" spans="1:2" x14ac:dyDescent="0.25">
      <c r="A23277" s="64" t="str">
        <f>HYPERLINK("http://www.twitter.com/thebuskitten", "thebuskitten")</f>
        <v>thebuskitten</v>
      </c>
      <c r="B23277" s="65"/>
    </row>
    <row r="23278" spans="1:2" x14ac:dyDescent="0.25">
      <c r="A23278" s="64" t="str">
        <f>HYPERLINK("http://www.twitter.com/delicardi", "delicardi")</f>
        <v>delicardi</v>
      </c>
      <c r="B23278" s="65"/>
    </row>
    <row r="23279" spans="1:2" x14ac:dyDescent="0.25">
      <c r="A23279" s="64" t="str">
        <f>HYPERLINK("http://www.twitter.com/sheila106", "sheila106")</f>
        <v>sheila106</v>
      </c>
      <c r="B23279" s="65" t="s">
        <v>24</v>
      </c>
    </row>
    <row r="23280" spans="1:2" x14ac:dyDescent="0.25">
      <c r="A23280" s="64" t="str">
        <f>HYPERLINK("http://www.twitter.com/wallaceowl", "wallaceowl")</f>
        <v>wallaceowl</v>
      </c>
      <c r="B23280" s="65"/>
    </row>
    <row r="23281" spans="1:2" x14ac:dyDescent="0.25">
      <c r="A23281" s="64" t="str">
        <f>HYPERLINK("http://www.twitter.com/pollyanna2008", "pollyanna2008")</f>
        <v>pollyanna2008</v>
      </c>
      <c r="B23281" s="65"/>
    </row>
    <row r="23282" spans="1:2" x14ac:dyDescent="0.25">
      <c r="A23282" s="64" t="str">
        <f>HYPERLINK("http://www.twitter.com/Informative_Fox", "Informative_Fox")</f>
        <v>Informative_Fox</v>
      </c>
      <c r="B23282" s="65" t="s">
        <v>10533</v>
      </c>
    </row>
    <row r="23283" spans="1:2" x14ac:dyDescent="0.25">
      <c r="A23283" s="64" t="str">
        <f>HYPERLINK("http://www.twitter.com/MacquarieRegLib", "MacquarieRegLib")</f>
        <v>MacquarieRegLib</v>
      </c>
      <c r="B23283" s="65"/>
    </row>
    <row r="23284" spans="1:2" x14ac:dyDescent="0.25">
      <c r="A23284" s="64" t="str">
        <f>HYPERLINK("http://www.twitter.com/mickharcus", "mickharcus")</f>
        <v>mickharcus</v>
      </c>
      <c r="B23284" s="65"/>
    </row>
    <row r="23285" spans="1:2" x14ac:dyDescent="0.25">
      <c r="A23285" s="64" t="str">
        <f>HYPERLINK("http://www.twitter.com/dleslie354", "dleslie354")</f>
        <v>dleslie354</v>
      </c>
      <c r="B23285" s="65"/>
    </row>
    <row r="23286" spans="1:2" x14ac:dyDescent="0.25">
      <c r="A23286" s="64" t="str">
        <f>HYPERLINK("http://www.twitter.com/_ruthanderson", "_ruthanderson")</f>
        <v>_ruthanderson</v>
      </c>
      <c r="B23286" s="65" t="s">
        <v>1098</v>
      </c>
    </row>
    <row r="23287" spans="1:2" x14ac:dyDescent="0.25">
      <c r="A23287" s="64" t="str">
        <f>HYPERLINK("http://www.twitter.com/bateman_lesley", "bateman_lesley")</f>
        <v>bateman_lesley</v>
      </c>
      <c r="B23287" s="65"/>
    </row>
    <row r="23288" spans="1:2" x14ac:dyDescent="0.25">
      <c r="A23288" s="64" t="str">
        <f>HYPERLINK("http://www.twitter.com/bec_bridgman", "bec_bridgman")</f>
        <v>bec_bridgman</v>
      </c>
      <c r="B23288" s="65" t="s">
        <v>10534</v>
      </c>
    </row>
    <row r="23289" spans="1:2" x14ac:dyDescent="0.25">
      <c r="A23289" s="64" t="str">
        <f>HYPERLINK("http://www.twitter.com/Le1th", "Le1th")</f>
        <v>Le1th</v>
      </c>
      <c r="B23289" s="65"/>
    </row>
    <row r="23290" spans="1:2" x14ac:dyDescent="0.25">
      <c r="A23290" s="64" t="str">
        <f>HYPERLINK("http://www.twitter.com/kennedyroberts2", "kennedyroberts2")</f>
        <v>kennedyroberts2</v>
      </c>
      <c r="B23290" s="65"/>
    </row>
    <row r="23291" spans="1:2" x14ac:dyDescent="0.25">
      <c r="A23291" s="64" t="str">
        <f>HYPERLINK("http://www.twitter.com/mi5uk", "mi5uk")</f>
        <v>mi5uk</v>
      </c>
      <c r="B23291" s="65" t="s">
        <v>10535</v>
      </c>
    </row>
    <row r="23292" spans="1:2" x14ac:dyDescent="0.25">
      <c r="A23292" s="64" t="str">
        <f>HYPERLINK("http://www.twitter.com/brgbundaberg", "brgbundaberg")</f>
        <v>brgbundaberg</v>
      </c>
      <c r="B23292" s="65" t="s">
        <v>10536</v>
      </c>
    </row>
    <row r="23293" spans="1:2" x14ac:dyDescent="0.25">
      <c r="A23293" s="64" t="str">
        <f>HYPERLINK("http://www.twitter.com/Teaobrien", "Teaobrien")</f>
        <v>Teaobrien</v>
      </c>
      <c r="B23293" s="65"/>
    </row>
    <row r="23294" spans="1:2" x14ac:dyDescent="0.25">
      <c r="A23294" s="64" t="str">
        <f>HYPERLINK("http://www.twitter.com/OATLibrariesNet", "OATLibrariesNet")</f>
        <v>OATLibrariesNet</v>
      </c>
      <c r="B23294" s="65" t="s">
        <v>4763</v>
      </c>
    </row>
    <row r="23295" spans="1:2" x14ac:dyDescent="0.25">
      <c r="A23295" s="64" t="str">
        <f>HYPERLINK("http://www.twitter.com/sergeantjulie", "sergeantjulie")</f>
        <v>sergeantjulie</v>
      </c>
      <c r="B23295" s="65" t="s">
        <v>10537</v>
      </c>
    </row>
    <row r="23296" spans="1:2" x14ac:dyDescent="0.25">
      <c r="A23296" s="64" t="str">
        <f>HYPERLINK("http://www.twitter.com/romierose", "romierose")</f>
        <v>romierose</v>
      </c>
      <c r="B23296" s="65" t="s">
        <v>10538</v>
      </c>
    </row>
    <row r="23297" spans="1:2" x14ac:dyDescent="0.25">
      <c r="A23297" s="64" t="str">
        <f>HYPERLINK("http://www.twitter.com/colbarr74", "colbarr74")</f>
        <v>colbarr74</v>
      </c>
      <c r="B23297" s="65"/>
    </row>
    <row r="23298" spans="1:2" x14ac:dyDescent="0.25">
      <c r="A23298" s="64" t="str">
        <f>HYPERLINK("http://www.twitter.com/cruaday", "cruaday")</f>
        <v>cruaday</v>
      </c>
      <c r="B23298" s="65"/>
    </row>
    <row r="23299" spans="1:2" x14ac:dyDescent="0.25">
      <c r="A23299" s="64" t="str">
        <f>HYPERLINK("http://www.twitter.com/lewisy200001", "lewisy200001")</f>
        <v>lewisy200001</v>
      </c>
      <c r="B23299" s="65"/>
    </row>
    <row r="23300" spans="1:2" x14ac:dyDescent="0.25">
      <c r="A23300" s="64" t="str">
        <f>HYPERLINK("http://www.twitter.com/jonibisoni", "jonibisoni")</f>
        <v>jonibisoni</v>
      </c>
      <c r="B23300" s="65" t="s">
        <v>10539</v>
      </c>
    </row>
    <row r="23301" spans="1:2" x14ac:dyDescent="0.25">
      <c r="A23301" s="64" t="str">
        <f>HYPERLINK("http://www.twitter.com/mikegoldsmith", "mikegoldsmith")</f>
        <v>mikegoldsmith</v>
      </c>
      <c r="B23301" s="65" t="s">
        <v>10540</v>
      </c>
    </row>
    <row r="23302" spans="1:2" x14ac:dyDescent="0.25">
      <c r="A23302" s="64" t="str">
        <f>HYPERLINK("http://www.twitter.com/NouimNoui", "NouimNoui")</f>
        <v>NouimNoui</v>
      </c>
      <c r="B23302" s="65"/>
    </row>
    <row r="23303" spans="1:2" x14ac:dyDescent="0.25">
      <c r="A23303" s="64" t="str">
        <f>HYPERLINK("http://www.twitter.com/elsaa118", "elsaa118")</f>
        <v>elsaa118</v>
      </c>
      <c r="B23303" s="65" t="s">
        <v>10541</v>
      </c>
    </row>
    <row r="23304" spans="1:2" x14ac:dyDescent="0.25">
      <c r="A23304" s="64" t="str">
        <f>HYPERLINK("http://www.twitter.com/TheGeometrician", "TheGeometrician")</f>
        <v>TheGeometrician</v>
      </c>
      <c r="B23304" s="65" t="s">
        <v>517</v>
      </c>
    </row>
    <row r="23305" spans="1:2" x14ac:dyDescent="0.25">
      <c r="A23305" s="64" t="str">
        <f>HYPERLINK("http://www.twitter.com/YaIndigo", "YaIndigo")</f>
        <v>YaIndigo</v>
      </c>
      <c r="B23305" s="65" t="s">
        <v>3988</v>
      </c>
    </row>
    <row r="23306" spans="1:2" x14ac:dyDescent="0.25">
      <c r="A23306" s="64" t="str">
        <f>HYPERLINK("http://www.twitter.com/julianheng1", "julianheng1")</f>
        <v>julianheng1</v>
      </c>
      <c r="B23306" s="65" t="s">
        <v>74</v>
      </c>
    </row>
    <row r="23307" spans="1:2" x14ac:dyDescent="0.25">
      <c r="A23307" s="64" t="str">
        <f>HYPERLINK("http://www.twitter.com/stevencudahy", "stevencudahy")</f>
        <v>stevencudahy</v>
      </c>
      <c r="B23307" s="65" t="s">
        <v>138</v>
      </c>
    </row>
    <row r="23308" spans="1:2" x14ac:dyDescent="0.25">
      <c r="A23308" s="64" t="str">
        <f>HYPERLINK("http://www.twitter.com/lovethechair", "lovethechair")</f>
        <v>lovethechair</v>
      </c>
      <c r="B23308" s="65" t="s">
        <v>20</v>
      </c>
    </row>
    <row r="23309" spans="1:2" x14ac:dyDescent="0.25">
      <c r="A23309" s="64" t="str">
        <f>HYPERLINK("http://www.twitter.com/ndqb", "ndqb")</f>
        <v>ndqb</v>
      </c>
      <c r="B23309" s="65"/>
    </row>
    <row r="23310" spans="1:2" x14ac:dyDescent="0.25">
      <c r="A23310" s="64" t="str">
        <f>HYPERLINK("http://www.twitter.com/floweringgum", "floweringgum")</f>
        <v>floweringgum</v>
      </c>
      <c r="B23310" s="65"/>
    </row>
    <row r="23311" spans="1:2" x14ac:dyDescent="0.25">
      <c r="A23311" s="64" t="str">
        <f>HYPERLINK("http://www.twitter.com/BourgieBessie", "BourgieBessie")</f>
        <v>BourgieBessie</v>
      </c>
      <c r="B23311" s="65" t="s">
        <v>138</v>
      </c>
    </row>
    <row r="23312" spans="1:2" x14ac:dyDescent="0.25">
      <c r="A23312" s="64" t="str">
        <f>HYPERLINK("http://www.twitter.com/martinharvey87", "martinharvey87")</f>
        <v>martinharvey87</v>
      </c>
      <c r="B23312" s="65" t="s">
        <v>67</v>
      </c>
    </row>
    <row r="23313" spans="1:2" x14ac:dyDescent="0.25">
      <c r="A23313" s="64" t="str">
        <f>HYPERLINK("http://www.twitter.com/CSnelling_UK", "CSnelling_UK")</f>
        <v>CSnelling_UK</v>
      </c>
      <c r="B23313" s="65" t="s">
        <v>477</v>
      </c>
    </row>
    <row r="23314" spans="1:2" x14ac:dyDescent="0.25">
      <c r="A23314" s="64" t="str">
        <f>HYPERLINK("http://www.twitter.com/JokeCurran", "JokeCurran")</f>
        <v>JokeCurran</v>
      </c>
      <c r="B23314" s="65" t="s">
        <v>10542</v>
      </c>
    </row>
    <row r="23315" spans="1:2" x14ac:dyDescent="0.25">
      <c r="A23315" s="64" t="str">
        <f>HYPERLINK("http://www.twitter.com/Cinquivalli1", "Cinquivalli1")</f>
        <v>Cinquivalli1</v>
      </c>
      <c r="B23315" s="65"/>
    </row>
    <row r="23316" spans="1:2" x14ac:dyDescent="0.25">
      <c r="A23316" s="64" t="str">
        <f>HYPERLINK("http://www.twitter.com/CapiraTech", "CapiraTech")</f>
        <v>CapiraTech</v>
      </c>
      <c r="B23316" s="65" t="s">
        <v>4867</v>
      </c>
    </row>
    <row r="23317" spans="1:2" x14ac:dyDescent="0.25">
      <c r="A23317" s="64" t="str">
        <f>HYPERLINK("http://www.twitter.com/micewilleatyou", "micewilleatyou")</f>
        <v>micewilleatyou</v>
      </c>
      <c r="B23317" s="65"/>
    </row>
    <row r="23318" spans="1:2" x14ac:dyDescent="0.25">
      <c r="A23318" s="64" t="str">
        <f>HYPERLINK("http://www.twitter.com/danyeats", "danyeats")</f>
        <v>danyeats</v>
      </c>
      <c r="B23318" s="65" t="s">
        <v>4057</v>
      </c>
    </row>
    <row r="23319" spans="1:2" x14ac:dyDescent="0.25">
      <c r="A23319" s="64" t="str">
        <f>HYPERLINK("http://www.twitter.com/curlywurlyfi", "curlywurlyfi")</f>
        <v>curlywurlyfi</v>
      </c>
      <c r="B23319" s="65" t="s">
        <v>10543</v>
      </c>
    </row>
    <row r="23320" spans="1:2" x14ac:dyDescent="0.25">
      <c r="A23320" s="64" t="str">
        <f>HYPERLINK("http://www.twitter.com/CombeThecombes", "CombeThecombes")</f>
        <v>CombeThecombes</v>
      </c>
      <c r="B23320" s="65"/>
    </row>
    <row r="23321" spans="1:2" x14ac:dyDescent="0.25">
      <c r="A23321" s="64" t="str">
        <f>HYPERLINK("http://www.twitter.com/Papworth_Trust", "Papworth_Trust")</f>
        <v>Papworth_Trust</v>
      </c>
      <c r="B23321" s="65" t="s">
        <v>10544</v>
      </c>
    </row>
    <row r="23322" spans="1:2" x14ac:dyDescent="0.25">
      <c r="A23322" s="64" t="str">
        <f>HYPERLINK("http://www.twitter.com/leprechaun_ie", "leprechaun_ie")</f>
        <v>leprechaun_ie</v>
      </c>
      <c r="B23322" s="65" t="s">
        <v>4254</v>
      </c>
    </row>
    <row r="23323" spans="1:2" x14ac:dyDescent="0.25">
      <c r="A23323" s="64" t="str">
        <f>HYPERLINK("http://www.twitter.com/halbermice", "halbermice")</f>
        <v>halbermice</v>
      </c>
      <c r="B23323" s="65" t="s">
        <v>10545</v>
      </c>
    </row>
    <row r="23324" spans="1:2" x14ac:dyDescent="0.25">
      <c r="A23324" s="64" t="str">
        <f>HYPERLINK("http://www.twitter.com/__lately", "__lately")</f>
        <v>__lately</v>
      </c>
      <c r="B23324" s="65" t="s">
        <v>9509</v>
      </c>
    </row>
    <row r="23325" spans="1:2" x14ac:dyDescent="0.25">
      <c r="A23325" s="64" t="str">
        <f>HYPERLINK("http://www.twitter.com/ardaniel", "ardaniel")</f>
        <v>ardaniel</v>
      </c>
      <c r="B23325" s="65" t="s">
        <v>4193</v>
      </c>
    </row>
    <row r="23326" spans="1:2" x14ac:dyDescent="0.25">
      <c r="A23326" s="64" t="str">
        <f>HYPERLINK("http://www.twitter.com/munkty", "munkty")</f>
        <v>munkty</v>
      </c>
      <c r="B23326" s="65" t="s">
        <v>10546</v>
      </c>
    </row>
    <row r="23327" spans="1:2" x14ac:dyDescent="0.25">
      <c r="A23327" s="64" t="str">
        <f>HYPERLINK("http://www.twitter.com/GillianH36", "GillianH36")</f>
        <v>GillianH36</v>
      </c>
      <c r="B23327" s="65"/>
    </row>
    <row r="23328" spans="1:2" x14ac:dyDescent="0.25">
      <c r="A23328" s="64" t="str">
        <f>HYPERLINK("http://www.twitter.com/SednaLin", "SednaLin")</f>
        <v>SednaLin</v>
      </c>
      <c r="B23328" s="65"/>
    </row>
    <row r="23329" spans="1:2" x14ac:dyDescent="0.25">
      <c r="A23329" s="64" t="str">
        <f>HYPERLINK("http://www.twitter.com/Hairybreeks", "Hairybreeks")</f>
        <v>Hairybreeks</v>
      </c>
      <c r="B23329" s="65" t="s">
        <v>24</v>
      </c>
    </row>
    <row r="23330" spans="1:2" x14ac:dyDescent="0.25">
      <c r="A23330" s="64" t="str">
        <f>HYPERLINK("http://www.twitter.com/allegraaaw", "allegraaaw")</f>
        <v>allegraaaw</v>
      </c>
      <c r="B23330" s="65"/>
    </row>
    <row r="23331" spans="1:2" x14ac:dyDescent="0.25">
      <c r="A23331" s="64" t="str">
        <f>HYPERLINK("http://www.twitter.com/Azman_ahmadi", "Azman_ahmadi")</f>
        <v>Azman_ahmadi</v>
      </c>
      <c r="B23331" s="65" t="s">
        <v>102</v>
      </c>
    </row>
    <row r="23332" spans="1:2" x14ac:dyDescent="0.25">
      <c r="A23332" s="64" t="str">
        <f>HYPERLINK("http://www.twitter.com/fionadeary", "fionadeary")</f>
        <v>fionadeary</v>
      </c>
      <c r="B23332" s="65" t="s">
        <v>138</v>
      </c>
    </row>
    <row r="23333" spans="1:2" x14ac:dyDescent="0.25">
      <c r="A23333" s="64" t="str">
        <f>HYPERLINK("http://www.twitter.com/ClaireHider", "ClaireHider")</f>
        <v>ClaireHider</v>
      </c>
      <c r="B23333" s="65" t="s">
        <v>24</v>
      </c>
    </row>
    <row r="23334" spans="1:2" x14ac:dyDescent="0.25">
      <c r="A23334" s="64" t="str">
        <f>HYPERLINK("http://www.twitter.com/terra_nola", "terra_nola")</f>
        <v>terra_nola</v>
      </c>
      <c r="B23334" s="65"/>
    </row>
    <row r="23335" spans="1:2" x14ac:dyDescent="0.25">
      <c r="A23335" s="64" t="str">
        <f>HYPERLINK("http://www.twitter.com/mrsannrowe", "mrsannrowe")</f>
        <v>mrsannrowe</v>
      </c>
      <c r="B23335" s="65" t="s">
        <v>24</v>
      </c>
    </row>
    <row r="23336" spans="1:2" x14ac:dyDescent="0.25">
      <c r="A23336" s="64" t="str">
        <f>HYPERLINK("http://www.twitter.com/rebecca_curtis", "rebecca_curtis")</f>
        <v>rebecca_curtis</v>
      </c>
      <c r="B23336" s="65" t="s">
        <v>24</v>
      </c>
    </row>
    <row r="23337" spans="1:2" x14ac:dyDescent="0.25">
      <c r="A23337" s="64" t="str">
        <f>HYPERLINK("http://www.twitter.com/LauraMossEdu", "LauraMossEdu")</f>
        <v>LauraMossEdu</v>
      </c>
      <c r="B23337" s="65" t="s">
        <v>2007</v>
      </c>
    </row>
    <row r="23338" spans="1:2" x14ac:dyDescent="0.25">
      <c r="A23338" s="64" t="str">
        <f>HYPERLINK("http://www.twitter.com/Cath_Sockhead", "Cath_Sockhead")</f>
        <v>Cath_Sockhead</v>
      </c>
      <c r="B23338" s="65" t="s">
        <v>10547</v>
      </c>
    </row>
    <row r="23339" spans="1:2" x14ac:dyDescent="0.25">
      <c r="A23339" s="64" t="str">
        <f>HYPERLINK("http://www.twitter.com/ljwattsWales", "ljwattsWales")</f>
        <v>ljwattsWales</v>
      </c>
      <c r="B23339" s="65" t="s">
        <v>10548</v>
      </c>
    </row>
    <row r="23340" spans="1:2" x14ac:dyDescent="0.25">
      <c r="A23340" s="64" t="str">
        <f>HYPERLINK("http://www.twitter.com/Mcfarlmo", "Mcfarlmo")</f>
        <v>Mcfarlmo</v>
      </c>
      <c r="B23340" s="65" t="s">
        <v>10549</v>
      </c>
    </row>
    <row r="23341" spans="1:2" x14ac:dyDescent="0.25">
      <c r="A23341" s="64" t="str">
        <f>HYPERLINK("http://www.twitter.com/WendyHunter5", "WendyHunter5")</f>
        <v>WendyHunter5</v>
      </c>
      <c r="B23341" s="65"/>
    </row>
    <row r="23342" spans="1:2" x14ac:dyDescent="0.25">
      <c r="A23342" s="64" t="str">
        <f>HYPERLINK("http://www.twitter.com/junodawson", "junodawson")</f>
        <v>junodawson</v>
      </c>
      <c r="B23342" s="65" t="s">
        <v>2102</v>
      </c>
    </row>
    <row r="23343" spans="1:2" x14ac:dyDescent="0.25">
      <c r="A23343" s="64" t="str">
        <f>HYPERLINK("http://www.twitter.com/JaneDewarWriter", "JaneDewarWriter")</f>
        <v>JaneDewarWriter</v>
      </c>
      <c r="B23343" s="65" t="s">
        <v>10550</v>
      </c>
    </row>
    <row r="23344" spans="1:2" x14ac:dyDescent="0.25">
      <c r="A23344" s="64" t="str">
        <f>HYPERLINK("http://www.twitter.com/craigthebfg", "craigthebfg")</f>
        <v>craigthebfg</v>
      </c>
      <c r="B23344" s="65" t="s">
        <v>318</v>
      </c>
    </row>
    <row r="23345" spans="1:2" x14ac:dyDescent="0.25">
      <c r="A23345" s="64" t="str">
        <f>HYPERLINK("http://www.twitter.com/Linzi74", "Linzi74")</f>
        <v>Linzi74</v>
      </c>
      <c r="B23345" s="65" t="s">
        <v>456</v>
      </c>
    </row>
    <row r="23346" spans="1:2" x14ac:dyDescent="0.25">
      <c r="A23346" s="64" t="str">
        <f>HYPERLINK("http://www.twitter.com/TheNewInn4", "TheNewInn4")</f>
        <v>TheNewInn4</v>
      </c>
      <c r="B23346" s="65" t="s">
        <v>10551</v>
      </c>
    </row>
    <row r="23347" spans="1:2" x14ac:dyDescent="0.25">
      <c r="A23347" s="64" t="str">
        <f>HYPERLINK("http://www.twitter.com/wordgazing", "wordgazing")</f>
        <v>wordgazing</v>
      </c>
      <c r="B23347" s="65"/>
    </row>
    <row r="23348" spans="1:2" x14ac:dyDescent="0.25">
      <c r="A23348" s="64" t="str">
        <f>HYPERLINK("http://www.twitter.com/amymccracken4", "amymccracken4")</f>
        <v>amymccracken4</v>
      </c>
      <c r="B23348" s="65"/>
    </row>
    <row r="23349" spans="1:2" x14ac:dyDescent="0.25">
      <c r="A23349" s="64" t="str">
        <f>HYPERLINK("http://www.twitter.com/lizellston", "lizellston")</f>
        <v>lizellston</v>
      </c>
      <c r="B23349" s="65"/>
    </row>
    <row r="23350" spans="1:2" x14ac:dyDescent="0.25">
      <c r="A23350" s="64" t="str">
        <f>HYPERLINK("http://www.twitter.com/JGroundwater", "JGroundwater")</f>
        <v>JGroundwater</v>
      </c>
      <c r="B23350" s="65" t="s">
        <v>10552</v>
      </c>
    </row>
    <row r="23351" spans="1:2" x14ac:dyDescent="0.25">
      <c r="A23351" s="64" t="str">
        <f>HYPERLINK("http://www.twitter.com/GeeseHonking", "GeeseHonking")</f>
        <v>GeeseHonking</v>
      </c>
      <c r="B23351" s="65" t="s">
        <v>6946</v>
      </c>
    </row>
    <row r="23352" spans="1:2" x14ac:dyDescent="0.25">
      <c r="A23352" s="64" t="str">
        <f>HYPERLINK("http://www.twitter.com/moggymartha", "moggymartha")</f>
        <v>moggymartha</v>
      </c>
      <c r="B23352" s="65" t="s">
        <v>1008</v>
      </c>
    </row>
    <row r="23353" spans="1:2" x14ac:dyDescent="0.25">
      <c r="A23353" s="64" t="str">
        <f>HYPERLINK("http://www.twitter.com/DavidJFreeland", "DavidJFreeland")</f>
        <v>DavidJFreeland</v>
      </c>
      <c r="B23353" s="65"/>
    </row>
    <row r="23354" spans="1:2" x14ac:dyDescent="0.25">
      <c r="A23354" s="64" t="str">
        <f>HYPERLINK("http://www.twitter.com/burtmcneill", "burtmcneill")</f>
        <v>burtmcneill</v>
      </c>
      <c r="B23354" s="65" t="s">
        <v>3559</v>
      </c>
    </row>
    <row r="23355" spans="1:2" x14ac:dyDescent="0.25">
      <c r="A23355" s="64" t="str">
        <f>HYPERLINK("http://www.twitter.com/theideasboard21", "theideasboard21")</f>
        <v>theideasboard21</v>
      </c>
      <c r="B23355" s="65"/>
    </row>
    <row r="23356" spans="1:2" x14ac:dyDescent="0.25">
      <c r="A23356" s="64" t="str">
        <f>HYPERLINK("http://www.twitter.com/cloveroverover", "cloveroverover")</f>
        <v>cloveroverover</v>
      </c>
      <c r="B23356" s="65" t="s">
        <v>3682</v>
      </c>
    </row>
    <row r="23357" spans="1:2" x14ac:dyDescent="0.25">
      <c r="A23357" s="64" t="str">
        <f>HYPERLINK("http://www.twitter.com/rimc123", "rimc123")</f>
        <v>rimc123</v>
      </c>
      <c r="B23357" s="65"/>
    </row>
    <row r="23358" spans="1:2" x14ac:dyDescent="0.25">
      <c r="A23358" s="64" t="str">
        <f>HYPERLINK("http://www.twitter.com/HenrikHedinge", "HenrikHedinge")</f>
        <v>HenrikHedinge</v>
      </c>
      <c r="B23358" s="65"/>
    </row>
    <row r="23359" spans="1:2" x14ac:dyDescent="0.25">
      <c r="A23359" s="64" t="str">
        <f>HYPERLINK("http://www.twitter.com/jacrob14", "jacrob14")</f>
        <v>jacrob14</v>
      </c>
      <c r="B23359" s="65"/>
    </row>
    <row r="23360" spans="1:2" x14ac:dyDescent="0.25">
      <c r="A23360" s="64" t="str">
        <f>HYPERLINK("http://www.twitter.com/XpoNorth", "XpoNorth")</f>
        <v>XpoNorth</v>
      </c>
      <c r="B23360" s="65" t="s">
        <v>4609</v>
      </c>
    </row>
    <row r="23361" spans="1:2" x14ac:dyDescent="0.25">
      <c r="A23361" s="64" t="str">
        <f>HYPERLINK("http://www.twitter.com/Molly_167", "Molly_167")</f>
        <v>Molly_167</v>
      </c>
      <c r="B23361" s="65" t="s">
        <v>1873</v>
      </c>
    </row>
    <row r="23362" spans="1:2" x14ac:dyDescent="0.25">
      <c r="A23362" s="64" t="str">
        <f>HYPERLINK("http://www.twitter.com/nicelovertod", "nicelovertod")</f>
        <v>nicelovertod</v>
      </c>
      <c r="B23362" s="65"/>
    </row>
    <row r="23363" spans="1:2" x14ac:dyDescent="0.25">
      <c r="A23363" s="64" t="str">
        <f>HYPERLINK("http://www.twitter.com/CBC", "CBC")</f>
        <v>CBC</v>
      </c>
      <c r="B23363" s="65" t="s">
        <v>3948</v>
      </c>
    </row>
    <row r="23364" spans="1:2" x14ac:dyDescent="0.25">
      <c r="A23364" s="64" t="str">
        <f>HYPERLINK("http://www.twitter.com/deborahjonesnz", "deborahjonesnz")</f>
        <v>deborahjonesnz</v>
      </c>
      <c r="B23364" s="65" t="s">
        <v>10553</v>
      </c>
    </row>
    <row r="23365" spans="1:2" x14ac:dyDescent="0.25">
      <c r="A23365" s="64" t="str">
        <f>HYPERLINK("http://www.twitter.com/krwaltermire", "krwaltermire")</f>
        <v>krwaltermire</v>
      </c>
      <c r="B23365" s="65"/>
    </row>
    <row r="23366" spans="1:2" x14ac:dyDescent="0.25">
      <c r="A23366" s="64" t="str">
        <f>HYPERLINK("http://www.twitter.com/Kev1nMatthews", "Kev1nMatthews")</f>
        <v>Kev1nMatthews</v>
      </c>
      <c r="B23366" s="65"/>
    </row>
    <row r="23367" spans="1:2" x14ac:dyDescent="0.25">
      <c r="A23367" s="64" t="str">
        <f>HYPERLINK("http://www.twitter.com/iainradcliffe", "iainradcliffe")</f>
        <v>iainradcliffe</v>
      </c>
      <c r="B23367" s="65" t="s">
        <v>421</v>
      </c>
    </row>
    <row r="23368" spans="1:2" x14ac:dyDescent="0.25">
      <c r="A23368" s="64" t="str">
        <f>HYPERLINK("http://www.twitter.com/artcollabs", "artcollabs")</f>
        <v>artcollabs</v>
      </c>
      <c r="B23368" s="65" t="s">
        <v>10554</v>
      </c>
    </row>
    <row r="23369" spans="1:2" x14ac:dyDescent="0.25">
      <c r="A23369" s="64" t="str">
        <f>HYPERLINK("http://www.twitter.com/ljrandles", "ljrandles")</f>
        <v>ljrandles</v>
      </c>
      <c r="B23369" s="65" t="s">
        <v>10555</v>
      </c>
    </row>
    <row r="23370" spans="1:2" x14ac:dyDescent="0.25">
      <c r="A23370" s="64" t="str">
        <f>HYPERLINK("http://www.twitter.com/suzannahbridge", "suzannahbridge")</f>
        <v>suzannahbridge</v>
      </c>
      <c r="B23370" s="65" t="s">
        <v>1980</v>
      </c>
    </row>
    <row r="23371" spans="1:2" x14ac:dyDescent="0.25">
      <c r="A23371" s="64" t="str">
        <f>HYPERLINK("http://www.twitter.com/andrafry", "andrafry")</f>
        <v>andrafry</v>
      </c>
      <c r="B23371" s="65" t="s">
        <v>36</v>
      </c>
    </row>
    <row r="23372" spans="1:2" x14ac:dyDescent="0.25">
      <c r="A23372" s="64" t="str">
        <f>HYPERLINK("http://www.twitter.com/tobytomkitten", "tobytomkitten")</f>
        <v>tobytomkitten</v>
      </c>
      <c r="B23372" s="65"/>
    </row>
    <row r="23373" spans="1:2" x14ac:dyDescent="0.25">
      <c r="A23373" s="64" t="str">
        <f>HYPERLINK("http://www.twitter.com/tiniestclanger", "tiniestclanger")</f>
        <v>tiniestclanger</v>
      </c>
      <c r="B23373" s="65"/>
    </row>
    <row r="23374" spans="1:2" x14ac:dyDescent="0.25">
      <c r="A23374" s="64" t="str">
        <f>HYPERLINK("http://www.twitter.com/jenpalik", "jenpalik")</f>
        <v>jenpalik</v>
      </c>
      <c r="B23374" s="65" t="s">
        <v>5686</v>
      </c>
    </row>
    <row r="23375" spans="1:2" x14ac:dyDescent="0.25">
      <c r="A23375" s="64" t="str">
        <f>HYPERLINK("http://www.twitter.com/EdinburghDean", "EdinburghDean")</f>
        <v>EdinburghDean</v>
      </c>
      <c r="B23375" s="65" t="s">
        <v>10556</v>
      </c>
    </row>
    <row r="23376" spans="1:2" x14ac:dyDescent="0.25">
      <c r="A23376" s="64" t="str">
        <f>HYPERLINK("http://www.twitter.com/michelleaustin1", "michelleaustin1")</f>
        <v>michelleaustin1</v>
      </c>
      <c r="B23376" s="65" t="s">
        <v>9834</v>
      </c>
    </row>
    <row r="23377" spans="1:2" x14ac:dyDescent="0.25">
      <c r="A23377" s="64" t="str">
        <f>HYPERLINK("http://www.twitter.com/RowlesDavis", "RowlesDavis")</f>
        <v>RowlesDavis</v>
      </c>
      <c r="B23377" s="65" t="s">
        <v>10557</v>
      </c>
    </row>
    <row r="23378" spans="1:2" x14ac:dyDescent="0.25">
      <c r="A23378" s="64" t="str">
        <f>HYPERLINK("http://www.twitter.com/Laurapinksocks", "Laurapinksocks")</f>
        <v>Laurapinksocks</v>
      </c>
      <c r="B23378" s="65"/>
    </row>
    <row r="23379" spans="1:2" x14ac:dyDescent="0.25">
      <c r="A23379" s="64" t="str">
        <f>HYPERLINK("http://www.twitter.com/kidsilkhaze", "kidsilkhaze")</f>
        <v>kidsilkhaze</v>
      </c>
      <c r="B23379" s="65" t="s">
        <v>10558</v>
      </c>
    </row>
    <row r="23380" spans="1:2" x14ac:dyDescent="0.25">
      <c r="A23380" s="64" t="str">
        <f>HYPERLINK("http://www.twitter.com/moiradunworth", "moiradunworth")</f>
        <v>moiradunworth</v>
      </c>
      <c r="B23380" s="65" t="s">
        <v>24</v>
      </c>
    </row>
    <row r="23381" spans="1:2" x14ac:dyDescent="0.25">
      <c r="A23381" s="64" t="str">
        <f>HYPERLINK("http://www.twitter.com/essentialnm", "essentialnm")</f>
        <v>essentialnm</v>
      </c>
      <c r="B23381" s="65" t="s">
        <v>10559</v>
      </c>
    </row>
    <row r="23382" spans="1:2" x14ac:dyDescent="0.25">
      <c r="A23382" s="64" t="str">
        <f>HYPERLINK("http://www.twitter.com/moraymax65", "moraymax65")</f>
        <v>moraymax65</v>
      </c>
      <c r="B23382" s="65"/>
    </row>
    <row r="23383" spans="1:2" x14ac:dyDescent="0.25">
      <c r="A23383" s="64" t="str">
        <f>HYPERLINK("http://www.twitter.com/ScarletGeordie", "ScarletGeordie")</f>
        <v>ScarletGeordie</v>
      </c>
      <c r="B23383" s="65"/>
    </row>
    <row r="23384" spans="1:2" x14ac:dyDescent="0.25">
      <c r="A23384" s="64" t="str">
        <f>HYPERLINK("http://www.twitter.com/PoesyGalore", "PoesyGalore")</f>
        <v>PoesyGalore</v>
      </c>
      <c r="B23384" s="65" t="s">
        <v>4703</v>
      </c>
    </row>
    <row r="23385" spans="1:2" x14ac:dyDescent="0.25">
      <c r="A23385" s="64" t="str">
        <f>HYPERLINK("http://www.twitter.com/Janeauthor1", "Janeauthor1")</f>
        <v>Janeauthor1</v>
      </c>
      <c r="B23385" s="65" t="s">
        <v>9474</v>
      </c>
    </row>
    <row r="23386" spans="1:2" x14ac:dyDescent="0.25">
      <c r="A23386" s="64" t="str">
        <f>HYPERLINK("http://www.twitter.com/blufftonohlib", "blufftonohlib")</f>
        <v>blufftonohlib</v>
      </c>
      <c r="B23386" s="65" t="s">
        <v>10560</v>
      </c>
    </row>
    <row r="23387" spans="1:2" x14ac:dyDescent="0.25">
      <c r="A23387" s="64" t="str">
        <f>HYPERLINK("http://www.twitter.com/florencecraye", "florencecraye")</f>
        <v>florencecraye</v>
      </c>
      <c r="B23387" s="65"/>
    </row>
    <row r="23388" spans="1:2" x14ac:dyDescent="0.25">
      <c r="A23388" s="64" t="str">
        <f>HYPERLINK("http://www.twitter.com/ThirdSectorLab", "ThirdSectorLab")</f>
        <v>ThirdSectorLab</v>
      </c>
      <c r="B23388" s="65" t="s">
        <v>2007</v>
      </c>
    </row>
    <row r="23389" spans="1:2" x14ac:dyDescent="0.25">
      <c r="A23389" s="64" t="str">
        <f>HYPERLINK("http://www.twitter.com/SpeakOutOK", "SpeakOutOK")</f>
        <v>SpeakOutOK</v>
      </c>
      <c r="B23389" s="65" t="s">
        <v>24</v>
      </c>
    </row>
    <row r="23390" spans="1:2" x14ac:dyDescent="0.25">
      <c r="A23390" s="64" t="str">
        <f>HYPERLINK("http://www.twitter.com/House_PR", "House_PR")</f>
        <v>House_PR</v>
      </c>
      <c r="B23390" s="65" t="s">
        <v>36</v>
      </c>
    </row>
    <row r="23391" spans="1:2" x14ac:dyDescent="0.25">
      <c r="A23391" s="64" t="str">
        <f>HYPERLINK("http://www.twitter.com/niallfgr", "niallfgr")</f>
        <v>niallfgr</v>
      </c>
      <c r="B23391" s="65" t="s">
        <v>487</v>
      </c>
    </row>
    <row r="23392" spans="1:2" x14ac:dyDescent="0.25">
      <c r="A23392" s="64" t="str">
        <f>HYPERLINK("http://www.twitter.com/Fiona_Hughes", "Fiona_Hughes")</f>
        <v>Fiona_Hughes</v>
      </c>
      <c r="B23392" s="65" t="s">
        <v>33</v>
      </c>
    </row>
    <row r="23393" spans="1:2" x14ac:dyDescent="0.25">
      <c r="A23393" s="64" t="str">
        <f>HYPERLINK("http://www.twitter.com/LesleyLucas3", "LesleyLucas3")</f>
        <v>LesleyLucas3</v>
      </c>
      <c r="B23393" s="65" t="s">
        <v>10561</v>
      </c>
    </row>
    <row r="23394" spans="1:2" x14ac:dyDescent="0.25">
      <c r="A23394" s="64" t="str">
        <f>HYPERLINK("http://www.twitter.com/LibertyFields", "LibertyFields")</f>
        <v>LibertyFields</v>
      </c>
      <c r="B23394" s="65" t="s">
        <v>10562</v>
      </c>
    </row>
    <row r="23395" spans="1:2" x14ac:dyDescent="0.25">
      <c r="A23395" s="64" t="str">
        <f>HYPERLINK("http://www.twitter.com/EarlOfIndigo", "EarlOfIndigo")</f>
        <v>EarlOfIndigo</v>
      </c>
      <c r="B23395" s="65" t="s">
        <v>296</v>
      </c>
    </row>
    <row r="23396" spans="1:2" x14ac:dyDescent="0.25">
      <c r="A23396" s="64" t="str">
        <f>HYPERLINK("http://www.twitter.com/louisehector", "louisehector")</f>
        <v>louisehector</v>
      </c>
      <c r="B23396" s="65" t="s">
        <v>10563</v>
      </c>
    </row>
    <row r="23397" spans="1:2" x14ac:dyDescent="0.25">
      <c r="A23397" s="64" t="str">
        <f>HYPERLINK("http://www.twitter.com/UniGlosLib", "UniGlosLib")</f>
        <v>UniGlosLib</v>
      </c>
      <c r="B23397" s="65" t="s">
        <v>1198</v>
      </c>
    </row>
    <row r="23398" spans="1:2" x14ac:dyDescent="0.25">
      <c r="A23398" s="64" t="str">
        <f>HYPERLINK("http://www.twitter.com/CherHoov", "CherHoov")</f>
        <v>CherHoov</v>
      </c>
      <c r="B23398" s="65"/>
    </row>
    <row r="23399" spans="1:2" x14ac:dyDescent="0.25">
      <c r="A23399" s="64" t="str">
        <f>HYPERLINK("http://www.twitter.com/looking_deeper", "looking_deeper")</f>
        <v>looking_deeper</v>
      </c>
      <c r="B23399" s="65"/>
    </row>
    <row r="23400" spans="1:2" x14ac:dyDescent="0.25">
      <c r="A23400" s="64" t="str">
        <f>HYPERLINK("http://www.twitter.com/patchmaggie", "patchmaggie")</f>
        <v>patchmaggie</v>
      </c>
      <c r="B23400" s="65"/>
    </row>
    <row r="23401" spans="1:2" x14ac:dyDescent="0.25">
      <c r="A23401" s="64" t="str">
        <f>HYPERLINK("http://www.twitter.com/kasmsod", "kasmsod")</f>
        <v>kasmsod</v>
      </c>
      <c r="B23401" s="65" t="s">
        <v>7610</v>
      </c>
    </row>
    <row r="23402" spans="1:2" x14ac:dyDescent="0.25">
      <c r="A23402" s="64" t="str">
        <f>HYPERLINK("http://www.twitter.com/TerryAquinoParl", "TerryAquinoParl")</f>
        <v>TerryAquinoParl</v>
      </c>
      <c r="B23402" s="65"/>
    </row>
    <row r="23403" spans="1:2" x14ac:dyDescent="0.25">
      <c r="A23403" s="64" t="str">
        <f>HYPERLINK("http://www.twitter.com/NJBKent", "NJBKent")</f>
        <v>NJBKent</v>
      </c>
      <c r="B23403" s="65" t="s">
        <v>10564</v>
      </c>
    </row>
    <row r="23404" spans="1:2" x14ac:dyDescent="0.25">
      <c r="A23404" s="64" t="str">
        <f>HYPERLINK("http://www.twitter.com/Yestrans", "Yestrans")</f>
        <v>Yestrans</v>
      </c>
      <c r="B23404" s="65" t="s">
        <v>36</v>
      </c>
    </row>
    <row r="23405" spans="1:2" x14ac:dyDescent="0.25">
      <c r="A23405" s="64" t="str">
        <f>HYPERLINK("http://www.twitter.com/SparklyPenguin", "SparklyPenguin")</f>
        <v>SparklyPenguin</v>
      </c>
      <c r="B23405" s="65" t="s">
        <v>5891</v>
      </c>
    </row>
    <row r="23406" spans="1:2" x14ac:dyDescent="0.25">
      <c r="A23406" s="64" t="str">
        <f>HYPERLINK("http://www.twitter.com/booksirelandmag", "booksirelandmag")</f>
        <v>booksirelandmag</v>
      </c>
      <c r="B23406" s="65" t="s">
        <v>10565</v>
      </c>
    </row>
    <row r="23407" spans="1:2" x14ac:dyDescent="0.25">
      <c r="A23407" s="64" t="str">
        <f>HYPERLINK("http://www.twitter.com/kaindowjones", "kaindowjones")</f>
        <v>kaindowjones</v>
      </c>
      <c r="B23407" s="65"/>
    </row>
    <row r="23408" spans="1:2" x14ac:dyDescent="0.25">
      <c r="A23408" s="64" t="str">
        <f>HYPERLINK("http://www.twitter.com/CaptainTeggs", "CaptainTeggs")</f>
        <v>CaptainTeggs</v>
      </c>
      <c r="B23408" s="65" t="s">
        <v>10566</v>
      </c>
    </row>
    <row r="23409" spans="1:2" x14ac:dyDescent="0.25">
      <c r="A23409" s="64" t="str">
        <f>HYPERLINK("http://www.twitter.com/HannahBerry16", "HannahBerry16")</f>
        <v>HannahBerry16</v>
      </c>
      <c r="B23409" s="65"/>
    </row>
    <row r="23410" spans="1:2" x14ac:dyDescent="0.25">
      <c r="A23410" s="64" t="str">
        <f>HYPERLINK("http://www.twitter.com/smallwoodlib", "smallwoodlib")</f>
        <v>smallwoodlib</v>
      </c>
      <c r="B23410" s="65" t="s">
        <v>310</v>
      </c>
    </row>
    <row r="23411" spans="1:2" x14ac:dyDescent="0.25">
      <c r="A23411" s="64" t="str">
        <f>HYPERLINK("http://www.twitter.com/TWAMmuseums", "TWAMmuseums")</f>
        <v>TWAMmuseums</v>
      </c>
      <c r="B23411" s="65" t="s">
        <v>10567</v>
      </c>
    </row>
    <row r="23412" spans="1:2" x14ac:dyDescent="0.25">
      <c r="A23412" s="64" t="str">
        <f>HYPERLINK("http://www.twitter.com/LGAcomms", "LGAcomms")</f>
        <v>LGAcomms</v>
      </c>
      <c r="B23412" s="65" t="s">
        <v>296</v>
      </c>
    </row>
    <row r="23413" spans="1:2" x14ac:dyDescent="0.25">
      <c r="A23413" s="64" t="str">
        <f>HYPERLINK("http://www.twitter.com/wigglymittens", "wigglymittens")</f>
        <v>wigglymittens</v>
      </c>
      <c r="B23413" s="65" t="s">
        <v>10568</v>
      </c>
    </row>
    <row r="23414" spans="1:2" x14ac:dyDescent="0.25">
      <c r="A23414" s="64" t="str">
        <f>HYPERLINK("http://www.twitter.com/njmcdermott", "njmcdermott")</f>
        <v>njmcdermott</v>
      </c>
      <c r="B23414" s="65"/>
    </row>
    <row r="23415" spans="1:2" x14ac:dyDescent="0.25">
      <c r="A23415" s="64" t="str">
        <f>HYPERLINK("http://www.twitter.com/bredemcd", "bredemcd")</f>
        <v>bredemcd</v>
      </c>
      <c r="B23415" s="65" t="s">
        <v>10569</v>
      </c>
    </row>
    <row r="23416" spans="1:2" x14ac:dyDescent="0.25">
      <c r="A23416" s="64" t="str">
        <f>HYPERLINK("http://www.twitter.com/smallthindog", "smallthindog")</f>
        <v>smallthindog</v>
      </c>
      <c r="B23416" s="65"/>
    </row>
    <row r="23417" spans="1:2" x14ac:dyDescent="0.25">
      <c r="A23417" s="64" t="str">
        <f>HYPERLINK("http://www.twitter.com/lucy_sparky", "lucy_sparky")</f>
        <v>lucy_sparky</v>
      </c>
      <c r="B23417" s="65" t="s">
        <v>138</v>
      </c>
    </row>
    <row r="23418" spans="1:2" x14ac:dyDescent="0.25">
      <c r="A23418" s="64" t="str">
        <f>HYPERLINK("http://www.twitter.com/JoantubaJones", "JoantubaJones")</f>
        <v>JoantubaJones</v>
      </c>
      <c r="B23418" s="65"/>
    </row>
    <row r="23419" spans="1:2" x14ac:dyDescent="0.25">
      <c r="A23419" s="64" t="str">
        <f>HYPERLINK("http://www.twitter.com/YeatsHelen", "YeatsHelen")</f>
        <v>YeatsHelen</v>
      </c>
      <c r="B23419" s="65"/>
    </row>
    <row r="23420" spans="1:2" x14ac:dyDescent="0.25">
      <c r="A23420" s="64" t="str">
        <f>HYPERLINK("http://www.twitter.com/JerwoodLib", "JerwoodLib")</f>
        <v>JerwoodLib</v>
      </c>
      <c r="B23420" s="65" t="s">
        <v>1385</v>
      </c>
    </row>
    <row r="23421" spans="1:2" x14ac:dyDescent="0.25">
      <c r="A23421" s="64" t="str">
        <f>HYPERLINK("http://www.twitter.com/KirknessGorie", "KirknessGorie")</f>
        <v>KirknessGorie</v>
      </c>
      <c r="B23421" s="65" t="s">
        <v>4227</v>
      </c>
    </row>
    <row r="23422" spans="1:2" x14ac:dyDescent="0.25">
      <c r="A23422" s="64" t="str">
        <f>HYPERLINK("http://www.twitter.com/shipstimbers", "shipstimbers")</f>
        <v>shipstimbers</v>
      </c>
      <c r="B23422" s="65"/>
    </row>
    <row r="23423" spans="1:2" x14ac:dyDescent="0.25">
      <c r="A23423" s="64" t="str">
        <f>HYPERLINK("http://www.twitter.com/willywaldo", "willywaldo")</f>
        <v>willywaldo</v>
      </c>
      <c r="B23423" s="65" t="s">
        <v>10570</v>
      </c>
    </row>
    <row r="23424" spans="1:2" x14ac:dyDescent="0.25">
      <c r="A23424" s="64" t="str">
        <f>HYPERLINK("http://www.twitter.com/ChefRipley", "ChefRipley")</f>
        <v>ChefRipley</v>
      </c>
      <c r="B23424" s="65" t="s">
        <v>10571</v>
      </c>
    </row>
    <row r="23425" spans="1:2" x14ac:dyDescent="0.25">
      <c r="A23425" s="64" t="str">
        <f>HYPERLINK("http://www.twitter.com/JackStocker5", "JackStocker5")</f>
        <v>JackStocker5</v>
      </c>
      <c r="B23425" s="65"/>
    </row>
    <row r="23426" spans="1:2" x14ac:dyDescent="0.25">
      <c r="A23426" s="64" t="str">
        <f>HYPERLINK("http://www.twitter.com/liz_lizpaulm", "liz_lizpaulm")</f>
        <v>liz_lizpaulm</v>
      </c>
      <c r="B23426" s="65" t="s">
        <v>10572</v>
      </c>
    </row>
    <row r="23427" spans="1:2" x14ac:dyDescent="0.25">
      <c r="A23427" s="64" t="str">
        <f>HYPERLINK("http://www.twitter.com/MissJ0nes", "MissJ0nes")</f>
        <v>MissJ0nes</v>
      </c>
      <c r="B23427" s="65" t="s">
        <v>517</v>
      </c>
    </row>
    <row r="23428" spans="1:2" x14ac:dyDescent="0.25">
      <c r="A23428" s="64" t="str">
        <f>HYPERLINK("http://www.twitter.com/robflett", "robflett")</f>
        <v>robflett</v>
      </c>
      <c r="B23428" s="65" t="s">
        <v>24</v>
      </c>
    </row>
    <row r="23429" spans="1:2" x14ac:dyDescent="0.25">
      <c r="A23429" s="64" t="str">
        <f>HYPERLINK("http://www.twitter.com/cnocanview", "cnocanview")</f>
        <v>cnocanview</v>
      </c>
      <c r="B23429" s="65" t="s">
        <v>10573</v>
      </c>
    </row>
    <row r="23430" spans="1:2" x14ac:dyDescent="0.25">
      <c r="A23430" s="64" t="str">
        <f>HYPERLINK("http://www.twitter.com/kushwitch", "kushwitch")</f>
        <v>kushwitch</v>
      </c>
      <c r="B23430" s="65"/>
    </row>
    <row r="23431" spans="1:2" x14ac:dyDescent="0.25">
      <c r="A23431" s="64" t="str">
        <f>HYPERLINK("http://www.twitter.com/librerosacli", "librerosacli")</f>
        <v>librerosacli</v>
      </c>
      <c r="B23431" s="65" t="s">
        <v>10574</v>
      </c>
    </row>
    <row r="23432" spans="1:2" x14ac:dyDescent="0.25">
      <c r="A23432" s="64" t="str">
        <f>HYPERLINK("http://www.twitter.com/BallStateLibs", "BallStateLibs")</f>
        <v>BallStateLibs</v>
      </c>
      <c r="B23432" s="65" t="s">
        <v>9265</v>
      </c>
    </row>
    <row r="23433" spans="1:2" x14ac:dyDescent="0.25">
      <c r="A23433" s="64" t="str">
        <f>HYPERLINK("http://www.twitter.com/williamsichel", "williamsichel")</f>
        <v>williamsichel</v>
      </c>
      <c r="B23433" s="65" t="s">
        <v>20</v>
      </c>
    </row>
    <row r="23434" spans="1:2" x14ac:dyDescent="0.25">
      <c r="A23434" s="64" t="str">
        <f>HYPERLINK("http://www.twitter.com/locinhtepsle", "locinhtepsle")</f>
        <v>locinhtepsle</v>
      </c>
      <c r="B23434" s="65"/>
    </row>
    <row r="23435" spans="1:2" x14ac:dyDescent="0.25">
      <c r="A23435" s="64" t="str">
        <f>HYPERLINK("http://www.twitter.com/RobertWark1", "RobertWark1")</f>
        <v>RobertWark1</v>
      </c>
      <c r="B23435" s="65"/>
    </row>
    <row r="23436" spans="1:2" x14ac:dyDescent="0.25">
      <c r="A23436" s="64" t="str">
        <f>HYPERLINK("http://www.twitter.com/goggleeyealbert", "goggleeyealbert")</f>
        <v>goggleeyealbert</v>
      </c>
      <c r="B23436" s="65" t="s">
        <v>8082</v>
      </c>
    </row>
    <row r="23437" spans="1:2" x14ac:dyDescent="0.25">
      <c r="A23437" s="64" t="str">
        <f>HYPERLINK("http://www.twitter.com/thewinno", "thewinno")</f>
        <v>thewinno</v>
      </c>
      <c r="B23437" s="65" t="s">
        <v>24</v>
      </c>
    </row>
    <row r="23438" spans="1:2" x14ac:dyDescent="0.25">
      <c r="A23438" s="64" t="str">
        <f>HYPERLINK("http://www.twitter.com/McMogues", "McMogues")</f>
        <v>McMogues</v>
      </c>
      <c r="B23438" s="65"/>
    </row>
    <row r="23439" spans="1:2" x14ac:dyDescent="0.25">
      <c r="A23439" s="64" t="str">
        <f>HYPERLINK("http://www.twitter.com/dguthrie98", "dguthrie98")</f>
        <v>dguthrie98</v>
      </c>
      <c r="B23439" s="65"/>
    </row>
    <row r="23440" spans="1:2" x14ac:dyDescent="0.25">
      <c r="A23440" s="64" t="str">
        <f>HYPERLINK("http://www.twitter.com/harrypotter3117", "harrypotter3117")</f>
        <v>harrypotter3117</v>
      </c>
      <c r="B23440" s="65"/>
    </row>
    <row r="23441" spans="1:2" x14ac:dyDescent="0.25">
      <c r="A23441" s="64" t="str">
        <f>HYPERLINK("http://www.twitter.com/seafordlibrary", "seafordlibrary")</f>
        <v>seafordlibrary</v>
      </c>
      <c r="B23441" s="65" t="s">
        <v>10575</v>
      </c>
    </row>
    <row r="23442" spans="1:2" x14ac:dyDescent="0.25">
      <c r="A23442" s="64" t="str">
        <f>HYPERLINK("http://www.twitter.com/sit_zenkane", "sit_zenkane")</f>
        <v>sit_zenkane</v>
      </c>
      <c r="B23442" s="65"/>
    </row>
    <row r="23443" spans="1:2" x14ac:dyDescent="0.25">
      <c r="A23443" s="64" t="str">
        <f>HYPERLINK("http://www.twitter.com/LisaOstenson", "LisaOstenson")</f>
        <v>LisaOstenson</v>
      </c>
      <c r="B23443" s="65"/>
    </row>
    <row r="23444" spans="1:2" x14ac:dyDescent="0.25">
      <c r="A23444" s="64" t="str">
        <f>HYPERLINK("http://www.twitter.com/slowclimb", "slowclimb")</f>
        <v>slowclimb</v>
      </c>
      <c r="B23444" s="65"/>
    </row>
    <row r="23445" spans="1:2" x14ac:dyDescent="0.25">
      <c r="A23445" s="64" t="str">
        <f>HYPERLINK("http://www.twitter.com/eilidh_nic", "eilidh_nic")</f>
        <v>eilidh_nic</v>
      </c>
      <c r="B23445" s="65"/>
    </row>
    <row r="23446" spans="1:2" x14ac:dyDescent="0.25">
      <c r="A23446" s="64" t="str">
        <f>HYPERLINK("http://www.twitter.com/RaisonSharon", "RaisonSharon")</f>
        <v>RaisonSharon</v>
      </c>
      <c r="B23446" s="65"/>
    </row>
    <row r="23447" spans="1:2" x14ac:dyDescent="0.25">
      <c r="A23447" s="64" t="str">
        <f>HYPERLINK("http://www.twitter.com/kilkennylibrary", "kilkennylibrary")</f>
        <v>kilkennylibrary</v>
      </c>
      <c r="B23447" s="65" t="s">
        <v>5961</v>
      </c>
    </row>
    <row r="23448" spans="1:2" x14ac:dyDescent="0.25">
      <c r="A23448" s="64" t="str">
        <f>HYPERLINK("http://www.twitter.com/islaleggett", "islaleggett")</f>
        <v>islaleggett</v>
      </c>
      <c r="B23448" s="65"/>
    </row>
    <row r="23449" spans="1:2" x14ac:dyDescent="0.25">
      <c r="A23449" s="64" t="str">
        <f>HYPERLINK("http://www.twitter.com/NeilMcTosh", "NeilMcTosh")</f>
        <v>NeilMcTosh</v>
      </c>
      <c r="B23449" s="65"/>
    </row>
    <row r="23450" spans="1:2" x14ac:dyDescent="0.25">
      <c r="A23450" s="64" t="str">
        <f>HYPERLINK("http://www.twitter.com/misterdv", "misterdv")</f>
        <v>misterdv</v>
      </c>
      <c r="B23450" s="65" t="s">
        <v>10576</v>
      </c>
    </row>
    <row r="23451" spans="1:2" x14ac:dyDescent="0.25">
      <c r="A23451" s="64" t="str">
        <f>HYPERLINK("http://www.twitter.com/ALAatSI", "ALAatSI")</f>
        <v>ALAatSI</v>
      </c>
      <c r="B23451" s="65" t="s">
        <v>4687</v>
      </c>
    </row>
    <row r="23452" spans="1:2" x14ac:dyDescent="0.25">
      <c r="A23452" s="64" t="str">
        <f>HYPERLINK("http://www.twitter.com/JanetWhitley10", "JanetWhitley10")</f>
        <v>JanetWhitley10</v>
      </c>
      <c r="B23452" s="65" t="s">
        <v>517</v>
      </c>
    </row>
    <row r="23453" spans="1:2" x14ac:dyDescent="0.25">
      <c r="A23453" s="64" t="str">
        <f>HYPERLINK("http://www.twitter.com/thestorybeast", "thestorybeast")</f>
        <v>thestorybeast</v>
      </c>
      <c r="B23453" s="65" t="s">
        <v>10577</v>
      </c>
    </row>
    <row r="23454" spans="1:2" x14ac:dyDescent="0.25">
      <c r="A23454" s="64" t="str">
        <f>HYPERLINK("http://www.twitter.com/NorwalkLibCT", "NorwalkLibCT")</f>
        <v>NorwalkLibCT</v>
      </c>
      <c r="B23454" s="65" t="s">
        <v>10578</v>
      </c>
    </row>
    <row r="23455" spans="1:2" x14ac:dyDescent="0.25">
      <c r="A23455" s="64" t="str">
        <f>HYPERLINK("http://www.twitter.com/CWSG", "CWSG")</f>
        <v>CWSG</v>
      </c>
      <c r="B23455" s="65" t="s">
        <v>4108</v>
      </c>
    </row>
    <row r="23456" spans="1:2" x14ac:dyDescent="0.25">
      <c r="A23456" s="64" t="str">
        <f>HYPERLINK("http://www.twitter.com/thewattclub", "thewattclub")</f>
        <v>thewattclub</v>
      </c>
      <c r="B23456" s="65" t="s">
        <v>10579</v>
      </c>
    </row>
    <row r="23457" spans="1:2" x14ac:dyDescent="0.25">
      <c r="A23457" s="64" t="str">
        <f>HYPERLINK("http://www.twitter.com/OssiansDream", "OssiansDream")</f>
        <v>OssiansDream</v>
      </c>
      <c r="B23457" s="65" t="s">
        <v>138</v>
      </c>
    </row>
    <row r="23458" spans="1:2" x14ac:dyDescent="0.25">
      <c r="A23458" s="64" t="str">
        <f>HYPERLINK("http://www.twitter.com/linda_kerr", "linda_kerr")</f>
        <v>linda_kerr</v>
      </c>
      <c r="B23458" s="65" t="s">
        <v>24</v>
      </c>
    </row>
    <row r="23459" spans="1:2" x14ac:dyDescent="0.25">
      <c r="A23459" s="64" t="str">
        <f>HYPERLINK("http://www.twitter.com/GoldingWilliam", "GoldingWilliam")</f>
        <v>GoldingWilliam</v>
      </c>
      <c r="B23459" s="65" t="s">
        <v>70</v>
      </c>
    </row>
    <row r="23460" spans="1:2" x14ac:dyDescent="0.25">
      <c r="A23460" s="64" t="str">
        <f>HYPERLINK("http://www.twitter.com/angelfish257", "angelfish257")</f>
        <v>angelfish257</v>
      </c>
      <c r="B23460" s="65" t="s">
        <v>138</v>
      </c>
    </row>
    <row r="23461" spans="1:2" x14ac:dyDescent="0.25">
      <c r="A23461" s="64" t="str">
        <f>HYPERLINK("http://www.twitter.com/PrinceWmLibrary", "PrinceWmLibrary")</f>
        <v>PrinceWmLibrary</v>
      </c>
      <c r="B23461" s="65" t="s">
        <v>10580</v>
      </c>
    </row>
    <row r="23462" spans="1:2" x14ac:dyDescent="0.25">
      <c r="A23462" s="64" t="str">
        <f>HYPERLINK("http://www.twitter.com/Will_i_umny", "Will_i_umny")</f>
        <v>Will_i_umny</v>
      </c>
      <c r="B23462" s="65" t="s">
        <v>10581</v>
      </c>
    </row>
    <row r="23463" spans="1:2" x14ac:dyDescent="0.25">
      <c r="A23463" s="64" t="str">
        <f>HYPERLINK("http://www.twitter.com/danielmoran89", "danielmoran89")</f>
        <v>danielmoran89</v>
      </c>
      <c r="B23463" s="65" t="s">
        <v>24</v>
      </c>
    </row>
    <row r="23464" spans="1:2" x14ac:dyDescent="0.25">
      <c r="A23464" s="64" t="str">
        <f>HYPERLINK("http://www.twitter.com/liboutreach", "liboutreach")</f>
        <v>liboutreach</v>
      </c>
      <c r="B23464" s="65" t="s">
        <v>10582</v>
      </c>
    </row>
    <row r="23465" spans="1:2" x14ac:dyDescent="0.25">
      <c r="A23465" s="64" t="str">
        <f>HYPERLINK("http://www.twitter.com/wordsandwoofs", "wordsandwoofs")</f>
        <v>wordsandwoofs</v>
      </c>
      <c r="B23465" s="65" t="s">
        <v>10583</v>
      </c>
    </row>
    <row r="23466" spans="1:2" x14ac:dyDescent="0.25">
      <c r="A23466" s="64" t="str">
        <f>HYPERLINK("http://www.twitter.com/jbehenna", "jbehenna")</f>
        <v>jbehenna</v>
      </c>
      <c r="B23466" s="65" t="s">
        <v>10584</v>
      </c>
    </row>
    <row r="23467" spans="1:2" x14ac:dyDescent="0.25">
      <c r="A23467" s="64" t="str">
        <f>HYPERLINK("http://www.twitter.com/PagodaPR", "PagodaPR")</f>
        <v>PagodaPR</v>
      </c>
      <c r="B23467" s="65" t="s">
        <v>517</v>
      </c>
    </row>
    <row r="23468" spans="1:2" x14ac:dyDescent="0.25">
      <c r="A23468" s="64" t="str">
        <f>HYPERLINK("http://www.twitter.com/Mercuryowl", "Mercuryowl")</f>
        <v>Mercuryowl</v>
      </c>
      <c r="B23468" s="65" t="s">
        <v>61</v>
      </c>
    </row>
    <row r="23469" spans="1:2" x14ac:dyDescent="0.25">
      <c r="A23469" s="64" t="str">
        <f>HYPERLINK("http://www.twitter.com/FionaDendy", "FionaDendy")</f>
        <v>FionaDendy</v>
      </c>
      <c r="B23469" s="65"/>
    </row>
    <row r="23470" spans="1:2" x14ac:dyDescent="0.25">
      <c r="A23470" s="64" t="str">
        <f>HYPERLINK("http://www.twitter.com/DayannaKnight", "DayannaKnight")</f>
        <v>DayannaKnight</v>
      </c>
      <c r="B23470" s="65" t="s">
        <v>10585</v>
      </c>
    </row>
    <row r="23471" spans="1:2" x14ac:dyDescent="0.25">
      <c r="A23471" s="64" t="str">
        <f>HYPERLINK("http://www.twitter.com/skyeles", "skyeles")</f>
        <v>skyeles</v>
      </c>
      <c r="B23471" s="65"/>
    </row>
    <row r="23472" spans="1:2" x14ac:dyDescent="0.25">
      <c r="A23472" s="64" t="str">
        <f>HYPERLINK("http://www.twitter.com/Opiumia", "Opiumia")</f>
        <v>Opiumia</v>
      </c>
      <c r="B23472" s="65" t="s">
        <v>5398</v>
      </c>
    </row>
    <row r="23473" spans="1:2" x14ac:dyDescent="0.25">
      <c r="A23473" s="64" t="str">
        <f>HYPERLINK("http://www.twitter.com/sashanyary", "sashanyary")</f>
        <v>sashanyary</v>
      </c>
      <c r="B23473" s="65" t="s">
        <v>10586</v>
      </c>
    </row>
    <row r="23474" spans="1:2" x14ac:dyDescent="0.25">
      <c r="A23474" s="64" t="str">
        <f>HYPERLINK("http://www.twitter.com/Lynn_Nothegger", "Lynn_Nothegger")</f>
        <v>Lynn_Nothegger</v>
      </c>
      <c r="B23474" s="65" t="s">
        <v>4153</v>
      </c>
    </row>
    <row r="23475" spans="1:2" x14ac:dyDescent="0.25">
      <c r="A23475" s="64" t="str">
        <f>HYPERLINK("http://www.twitter.com/ljmulibrary", "ljmulibrary")</f>
        <v>ljmulibrary</v>
      </c>
      <c r="B23475" s="65" t="s">
        <v>102</v>
      </c>
    </row>
    <row r="23476" spans="1:2" x14ac:dyDescent="0.25">
      <c r="A23476" s="64" t="str">
        <f>HYPERLINK("http://www.twitter.com/FionaWilson_", "FionaWilson_")</f>
        <v>FionaWilson_</v>
      </c>
      <c r="B23476" s="65"/>
    </row>
    <row r="23477" spans="1:2" x14ac:dyDescent="0.25">
      <c r="A23477" s="64" t="str">
        <f>HYPERLINK("http://www.twitter.com/subtlebeast", "subtlebeast")</f>
        <v>subtlebeast</v>
      </c>
      <c r="B23477" s="65"/>
    </row>
    <row r="23478" spans="1:2" x14ac:dyDescent="0.25">
      <c r="A23478" s="64" t="str">
        <f>HYPERLINK("http://www.twitter.com/BarrBairn", "BarrBairn")</f>
        <v>BarrBairn</v>
      </c>
      <c r="B23478" s="65"/>
    </row>
    <row r="23479" spans="1:2" x14ac:dyDescent="0.25">
      <c r="A23479" s="64" t="str">
        <f>HYPERLINK("http://www.twitter.com/SolwayCU", "SolwayCU")</f>
        <v>SolwayCU</v>
      </c>
      <c r="B23479" s="65" t="s">
        <v>1455</v>
      </c>
    </row>
    <row r="23480" spans="1:2" x14ac:dyDescent="0.25">
      <c r="A23480" s="64" t="str">
        <f>HYPERLINK("http://www.twitter.com/jamps4", "jamps4")</f>
        <v>jamps4</v>
      </c>
      <c r="B23480" s="65" t="s">
        <v>3317</v>
      </c>
    </row>
    <row r="23481" spans="1:2" x14ac:dyDescent="0.25">
      <c r="A23481" s="64" t="str">
        <f>HYPERLINK("http://www.twitter.com/SkrivaWriting", "SkrivaWriting")</f>
        <v>SkrivaWriting</v>
      </c>
      <c r="B23481" s="65" t="s">
        <v>487</v>
      </c>
    </row>
    <row r="23482" spans="1:2" x14ac:dyDescent="0.25">
      <c r="A23482" s="64" t="str">
        <f>HYPERLINK("http://www.twitter.com/GroovyHistorian", "GroovyHistorian")</f>
        <v>GroovyHistorian</v>
      </c>
      <c r="B23482" s="65" t="s">
        <v>477</v>
      </c>
    </row>
    <row r="23483" spans="1:2" x14ac:dyDescent="0.25">
      <c r="A23483" s="64" t="str">
        <f>HYPERLINK("http://www.twitter.com/mazza_ad", "mazza_ad")</f>
        <v>mazza_ad</v>
      </c>
      <c r="B23483" s="65"/>
    </row>
    <row r="23484" spans="1:2" x14ac:dyDescent="0.25">
      <c r="A23484" s="64" t="str">
        <f>HYPERLINK("http://www.twitter.com/elainekallaway", "elainekallaway")</f>
        <v>elainekallaway</v>
      </c>
      <c r="B23484" s="65" t="s">
        <v>10587</v>
      </c>
    </row>
    <row r="23485" spans="1:2" x14ac:dyDescent="0.25">
      <c r="A23485" s="64" t="str">
        <f>HYPERLINK("http://www.twitter.com/hmrtndtk", "hmrtndtk")</f>
        <v>hmrtndtk</v>
      </c>
      <c r="B23485" s="65" t="s">
        <v>10588</v>
      </c>
    </row>
    <row r="23486" spans="1:2" x14ac:dyDescent="0.25">
      <c r="A23486" s="64" t="str">
        <f>HYPERLINK("http://www.twitter.com/JackNorquoy", "JackNorquoy")</f>
        <v>JackNorquoy</v>
      </c>
      <c r="B23486" s="65" t="s">
        <v>4327</v>
      </c>
    </row>
    <row r="23487" spans="1:2" x14ac:dyDescent="0.25">
      <c r="A23487" s="64" t="str">
        <f>HYPERLINK("http://www.twitter.com/IoFScotland", "IoFScotland")</f>
        <v>IoFScotland</v>
      </c>
      <c r="B23487" s="65" t="s">
        <v>24</v>
      </c>
    </row>
    <row r="23488" spans="1:2" x14ac:dyDescent="0.25">
      <c r="A23488" s="64" t="str">
        <f>HYPERLINK("http://www.twitter.com/BluuBeam", "BluuBeam")</f>
        <v>BluuBeam</v>
      </c>
      <c r="B23488" s="65" t="s">
        <v>10589</v>
      </c>
    </row>
    <row r="23489" spans="1:2" x14ac:dyDescent="0.25">
      <c r="A23489" s="64" t="str">
        <f>HYPERLINK("http://www.twitter.com/takingactionow", "takingactionow")</f>
        <v>takingactionow</v>
      </c>
      <c r="B23489" s="65" t="s">
        <v>5455</v>
      </c>
    </row>
    <row r="23490" spans="1:2" x14ac:dyDescent="0.25">
      <c r="A23490" s="64" t="str">
        <f>HYPERLINK("http://www.twitter.com/sweetguts", "sweetguts")</f>
        <v>sweetguts</v>
      </c>
      <c r="B23490" s="65"/>
    </row>
    <row r="23491" spans="1:2" x14ac:dyDescent="0.25">
      <c r="A23491" s="64" t="str">
        <f>HYPERLINK("http://www.twitter.com/wpl_library", "wpl_library")</f>
        <v>wpl_library</v>
      </c>
      <c r="B23491" s="65" t="s">
        <v>10590</v>
      </c>
    </row>
    <row r="23492" spans="1:2" x14ac:dyDescent="0.25">
      <c r="A23492" s="64" t="str">
        <f>HYPERLINK("http://www.twitter.com/undomgoddess50", "undomgoddess50")</f>
        <v>undomgoddess50</v>
      </c>
      <c r="B23492" s="65" t="s">
        <v>3483</v>
      </c>
    </row>
    <row r="23493" spans="1:2" x14ac:dyDescent="0.25">
      <c r="A23493" s="64" t="str">
        <f>HYPERLINK("http://www.twitter.com/MazharI90014854", "MazharI90014854")</f>
        <v>MazharI90014854</v>
      </c>
      <c r="B23493" s="65"/>
    </row>
    <row r="23494" spans="1:2" x14ac:dyDescent="0.25">
      <c r="A23494" s="64" t="str">
        <f>HYPERLINK("http://www.twitter.com/Mono80", "Mono80")</f>
        <v>Mono80</v>
      </c>
      <c r="B23494" s="65" t="s">
        <v>36</v>
      </c>
    </row>
    <row r="23495" spans="1:2" x14ac:dyDescent="0.25">
      <c r="A23495" s="64" t="str">
        <f>HYPERLINK("http://www.twitter.com/WorryWoman", "WorryWoman")</f>
        <v>WorryWoman</v>
      </c>
      <c r="B23495" s="65"/>
    </row>
    <row r="23496" spans="1:2" x14ac:dyDescent="0.25">
      <c r="A23496" s="64" t="str">
        <f>HYPERLINK("http://www.twitter.com/Emily_Mangles", "Emily_Mangles")</f>
        <v>Emily_Mangles</v>
      </c>
      <c r="B23496" s="65" t="s">
        <v>10591</v>
      </c>
    </row>
    <row r="23497" spans="1:2" x14ac:dyDescent="0.25">
      <c r="A23497" s="64" t="str">
        <f>HYPERLINK("http://www.twitter.com/uca_ae", "uca_ae")</f>
        <v>uca_ae</v>
      </c>
      <c r="B23497" s="65" t="s">
        <v>10592</v>
      </c>
    </row>
    <row r="23498" spans="1:2" x14ac:dyDescent="0.25">
      <c r="A23498" s="64" t="str">
        <f>HYPERLINK("http://www.twitter.com/BryonyMJ", "BryonyMJ")</f>
        <v>BryonyMJ</v>
      </c>
      <c r="B23498" s="65" t="s">
        <v>24</v>
      </c>
    </row>
    <row r="23499" spans="1:2" x14ac:dyDescent="0.25">
      <c r="A23499" s="64" t="str">
        <f>HYPERLINK("http://www.twitter.com/Tenaanval", "Tenaanval")</f>
        <v>Tenaanval</v>
      </c>
      <c r="B23499" s="65" t="s">
        <v>10593</v>
      </c>
    </row>
    <row r="23500" spans="1:2" x14ac:dyDescent="0.25">
      <c r="A23500" s="64" t="str">
        <f>HYPERLINK("http://www.twitter.com/Stride_global", "Stride_global")</f>
        <v>Stride_global</v>
      </c>
      <c r="B23500" s="65" t="s">
        <v>517</v>
      </c>
    </row>
    <row r="23501" spans="1:2" x14ac:dyDescent="0.25">
      <c r="A23501" s="64" t="str">
        <f>HYPERLINK("http://www.twitter.com/meowbrarian", "meowbrarian")</f>
        <v>meowbrarian</v>
      </c>
      <c r="B23501" s="65" t="s">
        <v>7554</v>
      </c>
    </row>
    <row r="23502" spans="1:2" x14ac:dyDescent="0.25">
      <c r="A23502" s="64" t="str">
        <f>HYPERLINK("http://www.twitter.com/allysseriordan", "allysseriordan")</f>
        <v>allysseriordan</v>
      </c>
      <c r="B23502" s="65" t="s">
        <v>514</v>
      </c>
    </row>
    <row r="23503" spans="1:2" x14ac:dyDescent="0.25">
      <c r="A23503" s="64" t="str">
        <f>HYPERLINK("http://www.twitter.com/marimbamaiden18", "marimbamaiden18")</f>
        <v>marimbamaiden18</v>
      </c>
      <c r="B23503" s="65" t="s">
        <v>10594</v>
      </c>
    </row>
    <row r="23504" spans="1:2" x14ac:dyDescent="0.25">
      <c r="A23504" s="64" t="str">
        <f>HYPERLINK("http://www.twitter.com/allyjsmith", "allyjsmith")</f>
        <v>allyjsmith</v>
      </c>
      <c r="B23504" s="65" t="s">
        <v>1482</v>
      </c>
    </row>
    <row r="23505" spans="1:2" x14ac:dyDescent="0.25">
      <c r="A23505" s="64" t="str">
        <f>HYPERLINK("http://www.twitter.com/beccenstein_", "beccenstein_")</f>
        <v>beccenstein_</v>
      </c>
      <c r="B23505" s="65" t="s">
        <v>232</v>
      </c>
    </row>
    <row r="23506" spans="1:2" x14ac:dyDescent="0.25">
      <c r="A23506" s="64" t="str">
        <f>HYPERLINK("http://www.twitter.com/Bookselector", "Bookselector")</f>
        <v>Bookselector</v>
      </c>
      <c r="B23506" s="65" t="s">
        <v>5002</v>
      </c>
    </row>
    <row r="23507" spans="1:2" x14ac:dyDescent="0.25">
      <c r="A23507" s="64" t="str">
        <f>HYPERLINK("http://www.twitter.com/KristinGunn1", "KristinGunn1")</f>
        <v>KristinGunn1</v>
      </c>
      <c r="B23507" s="65" t="s">
        <v>4208</v>
      </c>
    </row>
    <row r="23508" spans="1:2" x14ac:dyDescent="0.25">
      <c r="A23508" s="64" t="str">
        <f>HYPERLINK("http://www.twitter.com/hlvr", "hlvr")</f>
        <v>hlvr</v>
      </c>
      <c r="B23508" s="65" t="s">
        <v>10595</v>
      </c>
    </row>
    <row r="23509" spans="1:2" x14ac:dyDescent="0.25">
      <c r="A23509" s="64" t="str">
        <f>HYPERLINK("http://www.twitter.com/AnnaEdwa", "AnnaEdwa")</f>
        <v>AnnaEdwa</v>
      </c>
      <c r="B23509" s="65" t="s">
        <v>10596</v>
      </c>
    </row>
    <row r="23510" spans="1:2" x14ac:dyDescent="0.25">
      <c r="A23510" s="64" t="str">
        <f>HYPERLINK("http://www.twitter.com/nightmry", "nightmry")</f>
        <v>nightmry</v>
      </c>
      <c r="B23510" s="65" t="s">
        <v>7190</v>
      </c>
    </row>
    <row r="23511" spans="1:2" x14ac:dyDescent="0.25">
      <c r="A23511" s="64" t="str">
        <f>HYPERLINK("http://www.twitter.com/whitCrickit", "whitCrickit")</f>
        <v>whitCrickit</v>
      </c>
      <c r="B23511" s="65"/>
    </row>
    <row r="23512" spans="1:2" x14ac:dyDescent="0.25">
      <c r="A23512" s="64" t="str">
        <f>HYPERLINK("http://www.twitter.com/EdenCG", "EdenCG")</f>
        <v>EdenCG</v>
      </c>
      <c r="B23512" s="65" t="s">
        <v>10597</v>
      </c>
    </row>
    <row r="23513" spans="1:2" x14ac:dyDescent="0.25">
      <c r="A23513" s="64" t="str">
        <f>HYPERLINK("http://www.twitter.com/PaulFrame85", "PaulFrame85")</f>
        <v>PaulFrame85</v>
      </c>
      <c r="B23513" s="65" t="s">
        <v>10598</v>
      </c>
    </row>
    <row r="23514" spans="1:2" x14ac:dyDescent="0.25">
      <c r="A23514" s="64" t="str">
        <f>HYPERLINK("http://www.twitter.com/nickyfagan", "nickyfagan")</f>
        <v>nickyfagan</v>
      </c>
      <c r="B23514" s="65" t="s">
        <v>138</v>
      </c>
    </row>
    <row r="23515" spans="1:2" x14ac:dyDescent="0.25">
      <c r="A23515" s="64" t="str">
        <f>HYPERLINK("http://www.twitter.com/seanneeson", "seanneeson")</f>
        <v>seanneeson</v>
      </c>
      <c r="B23515" s="65" t="s">
        <v>517</v>
      </c>
    </row>
    <row r="23516" spans="1:2" x14ac:dyDescent="0.25">
      <c r="A23516" s="64" t="str">
        <f>HYPERLINK("http://www.twitter.com/hclib", "hclib")</f>
        <v>hclib</v>
      </c>
      <c r="B23516" s="65" t="s">
        <v>8869</v>
      </c>
    </row>
    <row r="23517" spans="1:2" x14ac:dyDescent="0.25">
      <c r="A23517" s="64" t="str">
        <f>HYPERLINK("http://www.twitter.com/GrandCentralGCS", "GrandCentralGCS")</f>
        <v>GrandCentralGCS</v>
      </c>
      <c r="B23517" s="65" t="s">
        <v>10599</v>
      </c>
    </row>
    <row r="23518" spans="1:2" x14ac:dyDescent="0.25">
      <c r="A23518" s="64" t="str">
        <f>HYPERLINK("http://www.twitter.com/crazygirlcass", "crazygirlcass")</f>
        <v>crazygirlcass</v>
      </c>
      <c r="B23518" s="65" t="s">
        <v>10177</v>
      </c>
    </row>
    <row r="23519" spans="1:2" x14ac:dyDescent="0.25">
      <c r="A23519" s="64" t="str">
        <f>HYPERLINK("http://www.twitter.com/MulberryCoates", "MulberryCoates")</f>
        <v>MulberryCoates</v>
      </c>
      <c r="B23519" s="65"/>
    </row>
    <row r="23520" spans="1:2" x14ac:dyDescent="0.25">
      <c r="A23520" s="64" t="str">
        <f>HYPERLINK("http://www.twitter.com/yorkshirebudd", "yorkshirebudd")</f>
        <v>yorkshirebudd</v>
      </c>
      <c r="B23520" s="65" t="s">
        <v>3988</v>
      </c>
    </row>
    <row r="23521" spans="1:2" x14ac:dyDescent="0.25">
      <c r="A23521" s="64" t="str">
        <f>HYPERLINK("http://www.twitter.com/CMBClibraries", "CMBClibraries")</f>
        <v>CMBClibraries</v>
      </c>
      <c r="B23521" s="65" t="s">
        <v>773</v>
      </c>
    </row>
    <row r="23522" spans="1:2" x14ac:dyDescent="0.25">
      <c r="A23522" s="64" t="str">
        <f>HYPERLINK("http://www.twitter.com/MikeMurray_art", "MikeMurray_art")</f>
        <v>MikeMurray_art</v>
      </c>
      <c r="B23522" s="65" t="s">
        <v>138</v>
      </c>
    </row>
    <row r="23523" spans="1:2" x14ac:dyDescent="0.25">
      <c r="A23523" s="64" t="str">
        <f>HYPERLINK("http://www.twitter.com/TonePersson", "TonePersson")</f>
        <v>TonePersson</v>
      </c>
      <c r="B23523" s="65" t="s">
        <v>4765</v>
      </c>
    </row>
    <row r="23524" spans="1:2" x14ac:dyDescent="0.25">
      <c r="A23524" s="64" t="str">
        <f>HYPERLINK("http://www.twitter.com/taramarionquinn", "taramarionquinn")</f>
        <v>taramarionquinn</v>
      </c>
      <c r="B23524" s="65" t="s">
        <v>5389</v>
      </c>
    </row>
    <row r="23525" spans="1:2" x14ac:dyDescent="0.25">
      <c r="A23525" s="64" t="str">
        <f>HYPERLINK("http://www.twitter.com/davidjhusband", "davidjhusband")</f>
        <v>davidjhusband</v>
      </c>
      <c r="B23525" s="65" t="s">
        <v>487</v>
      </c>
    </row>
    <row r="23526" spans="1:2" x14ac:dyDescent="0.25">
      <c r="A23526" s="64" t="str">
        <f>HYPERLINK("http://www.twitter.com/KarolinaJacobss", "KarolinaJacobss")</f>
        <v>KarolinaJacobss</v>
      </c>
      <c r="B23526" s="65" t="s">
        <v>318</v>
      </c>
    </row>
    <row r="23527" spans="1:2" x14ac:dyDescent="0.25">
      <c r="A23527" s="64" t="str">
        <f>HYPERLINK("http://www.twitter.com/AnnaArdley", "AnnaArdley")</f>
        <v>AnnaArdley</v>
      </c>
      <c r="B23527" s="65"/>
    </row>
    <row r="23528" spans="1:2" x14ac:dyDescent="0.25">
      <c r="A23528" s="64" t="str">
        <f>HYPERLINK("http://www.twitter.com/colinpenman", "colinpenman")</f>
        <v>colinpenman</v>
      </c>
      <c r="B23528" s="65" t="s">
        <v>36</v>
      </c>
    </row>
    <row r="23529" spans="1:2" x14ac:dyDescent="0.25">
      <c r="A23529" s="64" t="str">
        <f>HYPERLINK("http://www.twitter.com/janetlweston", "janetlweston")</f>
        <v>janetlweston</v>
      </c>
      <c r="B23529" s="65" t="s">
        <v>36</v>
      </c>
    </row>
    <row r="23530" spans="1:2" x14ac:dyDescent="0.25">
      <c r="A23530" s="64" t="str">
        <f>HYPERLINK("http://www.twitter.com/MA_Read", "MA_Read")</f>
        <v>MA_Read</v>
      </c>
      <c r="B23530" s="65"/>
    </row>
    <row r="23531" spans="1:2" x14ac:dyDescent="0.25">
      <c r="A23531" s="64" t="str">
        <f>HYPERLINK("http://www.twitter.com/SophiesWords", "SophiesWords")</f>
        <v>SophiesWords</v>
      </c>
      <c r="B23531" s="65" t="s">
        <v>4936</v>
      </c>
    </row>
    <row r="23532" spans="1:2" x14ac:dyDescent="0.25">
      <c r="A23532" s="64" t="str">
        <f>HYPERLINK("http://www.twitter.com/_gemmaelliott", "_gemmaelliott")</f>
        <v>_gemmaelliott</v>
      </c>
      <c r="B23532" s="65" t="s">
        <v>318</v>
      </c>
    </row>
    <row r="23533" spans="1:2" x14ac:dyDescent="0.25">
      <c r="A23533" s="64" t="str">
        <f>HYPERLINK("http://www.twitter.com/mhari79", "mhari79")</f>
        <v>mhari79</v>
      </c>
      <c r="B23533" s="65" t="s">
        <v>24</v>
      </c>
    </row>
    <row r="23534" spans="1:2" x14ac:dyDescent="0.25">
      <c r="A23534" s="64" t="str">
        <f>HYPERLINK("http://www.twitter.com/eve_of_may", "eve_of_may")</f>
        <v>eve_of_may</v>
      </c>
      <c r="B23534" s="65" t="s">
        <v>10600</v>
      </c>
    </row>
    <row r="23535" spans="1:2" x14ac:dyDescent="0.25">
      <c r="A23535" s="64" t="str">
        <f>HYPERLINK("http://www.twitter.com/prclibraryplus", "prclibraryplus")</f>
        <v>prclibraryplus</v>
      </c>
      <c r="B23535" s="65" t="s">
        <v>10601</v>
      </c>
    </row>
    <row r="23536" spans="1:2" x14ac:dyDescent="0.25">
      <c r="A23536" s="64" t="str">
        <f>HYPERLINK("http://www.twitter.com/wesalawrence", "wesalawrence")</f>
        <v>wesalawrence</v>
      </c>
      <c r="B23536" s="65" t="s">
        <v>10046</v>
      </c>
    </row>
    <row r="23537" spans="1:2" x14ac:dyDescent="0.25">
      <c r="A23537" s="64" t="str">
        <f>HYPERLINK("http://www.twitter.com/a_cook7", "a_cook7")</f>
        <v>a_cook7</v>
      </c>
      <c r="B23537" s="65" t="s">
        <v>3988</v>
      </c>
    </row>
    <row r="23538" spans="1:2" x14ac:dyDescent="0.25">
      <c r="A23538" s="64" t="str">
        <f>HYPERLINK("http://www.twitter.com/EunsonSheila", "EunsonSheila")</f>
        <v>EunsonSheila</v>
      </c>
      <c r="B23538" s="65"/>
    </row>
    <row r="23539" spans="1:2" x14ac:dyDescent="0.25">
      <c r="A23539" s="64" t="str">
        <f>HYPERLINK("http://www.twitter.com/LeeFromGlasgow", "LeeFromGlasgow")</f>
        <v>LeeFromGlasgow</v>
      </c>
      <c r="B23539" s="65" t="s">
        <v>318</v>
      </c>
    </row>
    <row r="23540" spans="1:2" x14ac:dyDescent="0.25">
      <c r="A23540" s="64" t="str">
        <f>HYPERLINK("http://www.twitter.com/ali_mg4", "ali_mg4")</f>
        <v>ali_mg4</v>
      </c>
      <c r="B23540" s="65" t="s">
        <v>20</v>
      </c>
    </row>
    <row r="23541" spans="1:2" x14ac:dyDescent="0.25">
      <c r="A23541" s="64" t="str">
        <f>HYPERLINK("http://www.twitter.com/codinami", "codinami")</f>
        <v>codinami</v>
      </c>
      <c r="B23541" s="65" t="s">
        <v>4291</v>
      </c>
    </row>
    <row r="23542" spans="1:2" x14ac:dyDescent="0.25">
      <c r="A23542" s="64" t="str">
        <f>HYPERLINK("http://www.twitter.com/AilsaBathgate", "AilsaBathgate")</f>
        <v>AilsaBathgate</v>
      </c>
      <c r="B23542" s="65"/>
    </row>
    <row r="23543" spans="1:2" x14ac:dyDescent="0.25">
      <c r="A23543" s="64" t="str">
        <f>HYPERLINK("http://www.twitter.com/Cie_Animotion", "Cie_Animotion")</f>
        <v>Cie_Animotion</v>
      </c>
      <c r="B23543" s="65" t="s">
        <v>10602</v>
      </c>
    </row>
    <row r="23544" spans="1:2" x14ac:dyDescent="0.25">
      <c r="A23544" s="64" t="str">
        <f>HYPERLINK("http://www.twitter.com/serenajgriffin", "serenajgriffin")</f>
        <v>serenajgriffin</v>
      </c>
      <c r="B23544" s="65" t="s">
        <v>3988</v>
      </c>
    </row>
    <row r="23545" spans="1:2" x14ac:dyDescent="0.25">
      <c r="A23545" s="64" t="str">
        <f>HYPERLINK("http://www.twitter.com/PPLD1", "PPLD1")</f>
        <v>PPLD1</v>
      </c>
      <c r="B23545" s="65" t="s">
        <v>4474</v>
      </c>
    </row>
    <row r="23546" spans="1:2" x14ac:dyDescent="0.25">
      <c r="A23546" s="64" t="str">
        <f>HYPERLINK("http://www.twitter.com/accessorizedlib", "accessorizedlib")</f>
        <v>accessorizedlib</v>
      </c>
      <c r="B23546" s="65" t="s">
        <v>7318</v>
      </c>
    </row>
    <row r="23547" spans="1:2" x14ac:dyDescent="0.25">
      <c r="A23547" s="64" t="str">
        <f>HYPERLINK("http://www.twitter.com/jecrombie", "jecrombie")</f>
        <v>jecrombie</v>
      </c>
      <c r="B23547" s="65"/>
    </row>
    <row r="23548" spans="1:2" x14ac:dyDescent="0.25">
      <c r="A23548" s="64" t="str">
        <f>HYPERLINK("http://www.twitter.com/jaqzilla", "jaqzilla")</f>
        <v>jaqzilla</v>
      </c>
      <c r="B23548" s="65" t="s">
        <v>10603</v>
      </c>
    </row>
    <row r="23549" spans="1:2" x14ac:dyDescent="0.25">
      <c r="A23549" s="64" t="str">
        <f>HYPERLINK("http://www.twitter.com/SocEntScot", "SocEntScot")</f>
        <v>SocEntScot</v>
      </c>
      <c r="B23549" s="65" t="s">
        <v>10604</v>
      </c>
    </row>
    <row r="23550" spans="1:2" x14ac:dyDescent="0.25">
      <c r="A23550" s="64" t="str">
        <f>HYPERLINK("http://www.twitter.com/lazyjoolz", "lazyjoolz")</f>
        <v>lazyjoolz</v>
      </c>
      <c r="B23550" s="65"/>
    </row>
    <row r="23551" spans="1:2" x14ac:dyDescent="0.25">
      <c r="A23551" s="64" t="str">
        <f>HYPERLINK("http://www.twitter.com/ease", "ease")</f>
        <v>ease</v>
      </c>
      <c r="B23551" s="65" t="s">
        <v>10605</v>
      </c>
    </row>
    <row r="23552" spans="1:2" x14ac:dyDescent="0.25">
      <c r="A23552" s="64" t="str">
        <f>HYPERLINK("http://www.twitter.com/Doctorfyffe", "Doctorfyffe")</f>
        <v>Doctorfyffe</v>
      </c>
      <c r="B23552" s="65"/>
    </row>
    <row r="23553" spans="1:2" x14ac:dyDescent="0.25">
      <c r="A23553" s="64" t="str">
        <f>HYPERLINK("http://www.twitter.com/flat_caps", "flat_caps")</f>
        <v>flat_caps</v>
      </c>
      <c r="B23553" s="65" t="s">
        <v>10606</v>
      </c>
    </row>
    <row r="23554" spans="1:2" x14ac:dyDescent="0.25">
      <c r="A23554" s="64" t="str">
        <f>HYPERLINK("http://www.twitter.com/CrispyCaron", "CrispyCaron")</f>
        <v>CrispyCaron</v>
      </c>
      <c r="B23554" s="65" t="s">
        <v>7085</v>
      </c>
    </row>
    <row r="23555" spans="1:2" x14ac:dyDescent="0.25">
      <c r="A23555" s="64" t="str">
        <f>HYPERLINK("http://www.twitter.com/Shhhelf", "Shhhelf")</f>
        <v>Shhhelf</v>
      </c>
      <c r="B23555" s="65"/>
    </row>
    <row r="23556" spans="1:2" x14ac:dyDescent="0.25">
      <c r="A23556" s="64" t="str">
        <f>HYPERLINK("http://www.twitter.com/RealDinoDino", "RealDinoDino")</f>
        <v>RealDinoDino</v>
      </c>
      <c r="B23556" s="65"/>
    </row>
    <row r="23557" spans="1:2" x14ac:dyDescent="0.25">
      <c r="A23557" s="64" t="str">
        <f>HYPERLINK("http://www.twitter.com/Bobowicz", "Bobowicz")</f>
        <v>Bobowicz</v>
      </c>
      <c r="B23557" s="65" t="s">
        <v>4655</v>
      </c>
    </row>
    <row r="23558" spans="1:2" x14ac:dyDescent="0.25">
      <c r="A23558" s="64" t="str">
        <f>HYPERLINK("http://www.twitter.com/jane_brown99", "jane_brown99")</f>
        <v>jane_brown99</v>
      </c>
      <c r="B23558" s="65" t="s">
        <v>24</v>
      </c>
    </row>
    <row r="23559" spans="1:2" x14ac:dyDescent="0.25">
      <c r="A23559" s="64" t="str">
        <f>HYPERLINK("http://www.twitter.com/maryhillCAB", "maryhillCAB")</f>
        <v>maryhillCAB</v>
      </c>
      <c r="B23559" s="65" t="s">
        <v>10607</v>
      </c>
    </row>
    <row r="23560" spans="1:2" x14ac:dyDescent="0.25">
      <c r="A23560" s="64" t="str">
        <f>HYPERLINK("http://www.twitter.com/TanglewoodNC", "TanglewoodNC")</f>
        <v>TanglewoodNC</v>
      </c>
      <c r="B23560" s="65" t="s">
        <v>10608</v>
      </c>
    </row>
    <row r="23561" spans="1:2" x14ac:dyDescent="0.25">
      <c r="A23561" s="64" t="str">
        <f>HYPERLINK("http://www.twitter.com/greenbirdspirit", "greenbirdspirit")</f>
        <v>greenbirdspirit</v>
      </c>
      <c r="B23561" s="65"/>
    </row>
    <row r="23562" spans="1:2" x14ac:dyDescent="0.25">
      <c r="A23562" s="64" t="str">
        <f>HYPERLINK("http://www.twitter.com/COSCAnet", "COSCAnet")</f>
        <v>COSCAnet</v>
      </c>
      <c r="B23562" s="65" t="s">
        <v>10609</v>
      </c>
    </row>
    <row r="23563" spans="1:2" x14ac:dyDescent="0.25">
      <c r="A23563" s="64" t="str">
        <f>HYPERLINK("http://www.twitter.com/crandally", "crandally")</f>
        <v>crandally</v>
      </c>
      <c r="B23563" s="65" t="s">
        <v>138</v>
      </c>
    </row>
    <row r="23564" spans="1:2" x14ac:dyDescent="0.25">
      <c r="A23564" s="64" t="str">
        <f>HYPERLINK("http://www.twitter.com/KateMolleson", "KateMolleson")</f>
        <v>KateMolleson</v>
      </c>
      <c r="B23564" s="65" t="s">
        <v>138</v>
      </c>
    </row>
    <row r="23565" spans="1:2" x14ac:dyDescent="0.25">
      <c r="A23565" s="64" t="str">
        <f>HYPERLINK("http://www.twitter.com/athomson88380", "athomson88380")</f>
        <v>athomson88380</v>
      </c>
      <c r="B23565" s="65"/>
    </row>
    <row r="23566" spans="1:2" x14ac:dyDescent="0.25">
      <c r="A23566" s="64" t="str">
        <f>HYPERLINK("http://www.twitter.com/cfauser", "cfauser")</f>
        <v>cfauser</v>
      </c>
      <c r="B23566" s="65"/>
    </row>
    <row r="23567" spans="1:2" x14ac:dyDescent="0.25">
      <c r="A23567" s="64" t="str">
        <f>HYPERLINK("http://www.twitter.com/socialBedia", "socialBedia")</f>
        <v>socialBedia</v>
      </c>
      <c r="B23567" s="65" t="s">
        <v>4040</v>
      </c>
    </row>
    <row r="23568" spans="1:2" x14ac:dyDescent="0.25">
      <c r="A23568" s="64" t="str">
        <f>HYPERLINK("http://www.twitter.com/David_Small1982", "David_Small1982")</f>
        <v>David_Small1982</v>
      </c>
      <c r="B23568" s="65" t="s">
        <v>138</v>
      </c>
    </row>
    <row r="23569" spans="1:2" x14ac:dyDescent="0.25">
      <c r="A23569" s="64" t="str">
        <f>HYPERLINK("http://www.twitter.com/bibliwho", "bibliwho")</f>
        <v>bibliwho</v>
      </c>
      <c r="B23569" s="65"/>
    </row>
    <row r="23570" spans="1:2" x14ac:dyDescent="0.25">
      <c r="A23570" s="64" t="str">
        <f>HYPERLINK("http://www.twitter.com/johnbryden", "johnbryden")</f>
        <v>johnbryden</v>
      </c>
      <c r="B23570" s="65" t="s">
        <v>10610</v>
      </c>
    </row>
    <row r="23571" spans="1:2" x14ac:dyDescent="0.25">
      <c r="A23571" s="64" t="str">
        <f>HYPERLINK("http://www.twitter.com/sophie_gadd", "sophie_gadd")</f>
        <v>sophie_gadd</v>
      </c>
      <c r="B23571" s="65" t="s">
        <v>36</v>
      </c>
    </row>
    <row r="23572" spans="1:2" x14ac:dyDescent="0.25">
      <c r="A23572" s="64" t="str">
        <f>HYPERLINK("http://www.twitter.com/here_is_anne", "here_is_anne")</f>
        <v>here_is_anne</v>
      </c>
      <c r="B23572" s="65" t="s">
        <v>10611</v>
      </c>
    </row>
    <row r="23573" spans="1:2" x14ac:dyDescent="0.25">
      <c r="A23573" s="64" t="str">
        <f>HYPERLINK("http://www.twitter.com/manders2502", "manders2502")</f>
        <v>manders2502</v>
      </c>
      <c r="B23573" s="65"/>
    </row>
    <row r="23574" spans="1:2" x14ac:dyDescent="0.25">
      <c r="A23574" s="64" t="str">
        <f>HYPERLINK("http://www.twitter.com/zoeamar", "zoeamar")</f>
        <v>zoeamar</v>
      </c>
      <c r="B23574" s="65" t="s">
        <v>10612</v>
      </c>
    </row>
    <row r="23575" spans="1:2" x14ac:dyDescent="0.25">
      <c r="A23575" s="64" t="str">
        <f>HYPERLINK("http://www.twitter.com/JamjarMc", "JamjarMc")</f>
        <v>JamjarMc</v>
      </c>
      <c r="B23575" s="65" t="s">
        <v>517</v>
      </c>
    </row>
    <row r="23576" spans="1:2" x14ac:dyDescent="0.25">
      <c r="A23576" s="64" t="str">
        <f>HYPERLINK("http://www.twitter.com/p_lunn", "p_lunn")</f>
        <v>p_lunn</v>
      </c>
      <c r="B23576" s="65" t="s">
        <v>2007</v>
      </c>
    </row>
    <row r="23577" spans="1:2" x14ac:dyDescent="0.25">
      <c r="A23577" s="64" t="str">
        <f>HYPERLINK("http://www.twitter.com/alimayze", "alimayze")</f>
        <v>alimayze</v>
      </c>
      <c r="B23577" s="65" t="s">
        <v>24</v>
      </c>
    </row>
    <row r="23578" spans="1:2" x14ac:dyDescent="0.25">
      <c r="A23578" s="64" t="str">
        <f>HYPERLINK("http://www.twitter.com/KirstyYanik", "KirstyYanik")</f>
        <v>KirstyYanik</v>
      </c>
      <c r="B23578" s="65" t="s">
        <v>67</v>
      </c>
    </row>
    <row r="23579" spans="1:2" x14ac:dyDescent="0.25">
      <c r="A23579" s="64" t="str">
        <f>HYPERLINK("http://www.twitter.com/kathyjanehopkin", "kathyjanehopkin")</f>
        <v>kathyjanehopkin</v>
      </c>
      <c r="B23579" s="65" t="s">
        <v>926</v>
      </c>
    </row>
    <row r="23580" spans="1:2" x14ac:dyDescent="0.25">
      <c r="A23580" s="64" t="str">
        <f>HYPERLINK("http://www.twitter.com/jackie_cromarty", "jackie_cromarty")</f>
        <v>jackie_cromarty</v>
      </c>
      <c r="B23580" s="65"/>
    </row>
    <row r="23581" spans="1:2" x14ac:dyDescent="0.25">
      <c r="A23581" s="64" t="str">
        <f>HYPERLINK("http://www.twitter.com/JLPwxm", "JLPwxm")</f>
        <v>JLPwxm</v>
      </c>
      <c r="B23581" s="65" t="s">
        <v>1736</v>
      </c>
    </row>
    <row r="23582" spans="1:2" x14ac:dyDescent="0.25">
      <c r="A23582" s="64" t="str">
        <f>HYPERLINK("http://www.twitter.com/madhmstr", "madhmstr")</f>
        <v>madhmstr</v>
      </c>
      <c r="B23582" s="65"/>
    </row>
    <row r="23583" spans="1:2" x14ac:dyDescent="0.25">
      <c r="A23583" s="64" t="str">
        <f>HYPERLINK("http://www.twitter.com/TLDRCivics", "TLDRCivics")</f>
        <v>TLDRCivics</v>
      </c>
      <c r="B23583" s="65" t="s">
        <v>3797</v>
      </c>
    </row>
    <row r="23584" spans="1:2" x14ac:dyDescent="0.25">
      <c r="A23584" s="64" t="str">
        <f>HYPERLINK("http://www.twitter.com/ashurina22", "ashurina22")</f>
        <v>ashurina22</v>
      </c>
      <c r="B23584" s="65"/>
    </row>
    <row r="23585" spans="1:2" x14ac:dyDescent="0.25">
      <c r="A23585" s="64" t="str">
        <f>HYPERLINK("http://www.twitter.com/stuglen", "stuglen")</f>
        <v>stuglen</v>
      </c>
      <c r="B23585" s="65" t="s">
        <v>138</v>
      </c>
    </row>
    <row r="23586" spans="1:2" x14ac:dyDescent="0.25">
      <c r="A23586" s="64" t="str">
        <f>HYPERLINK("http://www.twitter.com/NoHoLibrary", "NoHoLibrary")</f>
        <v>NoHoLibrary</v>
      </c>
      <c r="B23586" s="65" t="s">
        <v>10613</v>
      </c>
    </row>
    <row r="23587" spans="1:2" x14ac:dyDescent="0.25">
      <c r="A23587" s="64" t="str">
        <f>HYPERLINK("http://www.twitter.com/Anderson29621", "Anderson29621")</f>
        <v>Anderson29621</v>
      </c>
      <c r="B23587" s="65"/>
    </row>
    <row r="23588" spans="1:2" x14ac:dyDescent="0.25">
      <c r="A23588" s="64" t="str">
        <f>HYPERLINK("http://www.twitter.com/IABooksGlobal", "IABooksGlobal")</f>
        <v>IABooksGlobal</v>
      </c>
      <c r="B23588" s="65"/>
    </row>
    <row r="23589" spans="1:2" x14ac:dyDescent="0.25">
      <c r="A23589" s="64" t="str">
        <f>HYPERLINK("http://www.twitter.com/stoneslibrarian", "stoneslibrarian")</f>
        <v>stoneslibrarian</v>
      </c>
      <c r="B23589" s="65"/>
    </row>
    <row r="23590" spans="1:2" x14ac:dyDescent="0.25">
      <c r="A23590" s="64" t="str">
        <f>HYPERLINK("http://www.twitter.com/LarsonDrea", "LarsonDrea")</f>
        <v>LarsonDrea</v>
      </c>
      <c r="B23590" s="65"/>
    </row>
    <row r="23591" spans="1:2" x14ac:dyDescent="0.25">
      <c r="A23591" s="64" t="str">
        <f>HYPERLINK("http://www.twitter.com/resatterley", "resatterley")</f>
        <v>resatterley</v>
      </c>
      <c r="B23591" s="65" t="s">
        <v>4169</v>
      </c>
    </row>
    <row r="23592" spans="1:2" x14ac:dyDescent="0.25">
      <c r="A23592" s="64" t="str">
        <f>HYPERLINK("http://www.twitter.com/nicololosaurus", "nicololosaurus")</f>
        <v>nicololosaurus</v>
      </c>
      <c r="B23592" s="65" t="s">
        <v>36</v>
      </c>
    </row>
    <row r="23593" spans="1:2" x14ac:dyDescent="0.25">
      <c r="A23593" s="64" t="str">
        <f>HYPERLINK("http://www.twitter.com/jrwallace54", "jrwallace54")</f>
        <v>jrwallace54</v>
      </c>
      <c r="B23593" s="65"/>
    </row>
    <row r="23594" spans="1:2" x14ac:dyDescent="0.25">
      <c r="A23594" s="64" t="str">
        <f>HYPERLINK("http://www.twitter.com/_maryjane", "_maryjane")</f>
        <v>_maryjane</v>
      </c>
      <c r="B23594" s="65" t="s">
        <v>3778</v>
      </c>
    </row>
    <row r="23595" spans="1:2" x14ac:dyDescent="0.25">
      <c r="A23595" s="64" t="str">
        <f>HYPERLINK("http://www.twitter.com/GmRendall", "GmRendall")</f>
        <v>GmRendall</v>
      </c>
      <c r="B23595" s="65" t="s">
        <v>20</v>
      </c>
    </row>
    <row r="23596" spans="1:2" x14ac:dyDescent="0.25">
      <c r="A23596" s="64" t="str">
        <f>HYPERLINK("http://www.twitter.com/casimir_helen", "casimir_helen")</f>
        <v>casimir_helen</v>
      </c>
      <c r="B23596" s="65"/>
    </row>
    <row r="23597" spans="1:2" x14ac:dyDescent="0.25">
      <c r="A23597" s="64" t="str">
        <f>HYPERLINK("http://www.twitter.com/CommSafetyGlasg", "CommSafetyGlasg")</f>
        <v>CommSafetyGlasg</v>
      </c>
      <c r="B23597" s="65" t="s">
        <v>10614</v>
      </c>
    </row>
    <row r="23598" spans="1:2" x14ac:dyDescent="0.25">
      <c r="A23598" s="64" t="str">
        <f>HYPERLINK("http://www.twitter.com/PoorahKH", "PoorahKH")</f>
        <v>PoorahKH</v>
      </c>
      <c r="B23598" s="65"/>
    </row>
    <row r="23599" spans="1:2" x14ac:dyDescent="0.25">
      <c r="A23599" s="64" t="str">
        <f>HYPERLINK("http://www.twitter.com/GrashCourse", "GrashCourse")</f>
        <v>GrashCourse</v>
      </c>
      <c r="B23599" s="65" t="s">
        <v>1295</v>
      </c>
    </row>
    <row r="23600" spans="1:2" x14ac:dyDescent="0.25">
      <c r="A23600" s="64" t="str">
        <f>HYPERLINK("http://www.twitter.com/colingilchrist", "colingilchrist")</f>
        <v>colingilchrist</v>
      </c>
      <c r="B23600" s="65" t="s">
        <v>4313</v>
      </c>
    </row>
    <row r="23601" spans="1:2" x14ac:dyDescent="0.25">
      <c r="A23601" s="64" t="str">
        <f>HYPERLINK("http://www.twitter.com/wandsworthlibs", "wandsworthlibs")</f>
        <v>wandsworthlibs</v>
      </c>
      <c r="B23601" s="65"/>
    </row>
    <row r="23602" spans="1:2" x14ac:dyDescent="0.25">
      <c r="A23602" s="64" t="str">
        <f>HYPERLINK("http://www.twitter.com/garlicconfit", "garlicconfit")</f>
        <v>garlicconfit</v>
      </c>
      <c r="B23602" s="65" t="s">
        <v>10615</v>
      </c>
    </row>
    <row r="23603" spans="1:2" x14ac:dyDescent="0.25">
      <c r="A23603" s="64" t="str">
        <f>HYPERLINK("http://www.twitter.com/BBCAndrewBlack", "BBCAndrewBlack")</f>
        <v>BBCAndrewBlack</v>
      </c>
      <c r="B23603" s="65" t="s">
        <v>318</v>
      </c>
    </row>
    <row r="23604" spans="1:2" x14ac:dyDescent="0.25">
      <c r="A23604" s="64" t="str">
        <f>HYPERLINK("http://www.twitter.com/RM_Rowe", "RM_Rowe")</f>
        <v>RM_Rowe</v>
      </c>
      <c r="B23604" s="65" t="s">
        <v>61</v>
      </c>
    </row>
    <row r="23605" spans="1:2" x14ac:dyDescent="0.25">
      <c r="A23605" s="64" t="str">
        <f>HYPERLINK("http://www.twitter.com/chelseahh23", "chelseahh23")</f>
        <v>chelseahh23</v>
      </c>
      <c r="B23605" s="65" t="s">
        <v>7821</v>
      </c>
    </row>
    <row r="23606" spans="1:2" x14ac:dyDescent="0.25">
      <c r="A23606" s="64" t="str">
        <f>HYPERLINK("http://www.twitter.com/OrbBacon", "OrbBacon")</f>
        <v>OrbBacon</v>
      </c>
      <c r="B23606" s="65" t="s">
        <v>10616</v>
      </c>
    </row>
    <row r="23607" spans="1:2" x14ac:dyDescent="0.25">
      <c r="A23607" s="64" t="str">
        <f>HYPERLINK("http://www.twitter.com/StNiniansLib", "StNiniansLib")</f>
        <v>StNiniansLib</v>
      </c>
      <c r="B23607" s="65" t="s">
        <v>1465</v>
      </c>
    </row>
    <row r="23608" spans="1:2" x14ac:dyDescent="0.25">
      <c r="A23608" s="64" t="str">
        <f>HYPERLINK("http://www.twitter.com/edviteorg", "edviteorg")</f>
        <v>edviteorg</v>
      </c>
      <c r="B23608" s="65"/>
    </row>
    <row r="23609" spans="1:2" x14ac:dyDescent="0.25">
      <c r="A23609" s="64" t="str">
        <f>HYPERLINK("http://www.twitter.com/Melissakizior", "Melissakizior")</f>
        <v>Melissakizior</v>
      </c>
      <c r="B23609" s="65" t="s">
        <v>10617</v>
      </c>
    </row>
    <row r="23610" spans="1:2" x14ac:dyDescent="0.25">
      <c r="A23610" s="64" t="str">
        <f>HYPERLINK("http://www.twitter.com/frappalicious", "frappalicious")</f>
        <v>frappalicious</v>
      </c>
      <c r="B23610" s="65" t="s">
        <v>10618</v>
      </c>
    </row>
    <row r="23611" spans="1:2" x14ac:dyDescent="0.25">
      <c r="A23611" s="64" t="str">
        <f>HYPERLINK("http://www.twitter.com/Naughty_Molly", "Naughty_Molly")</f>
        <v>Naughty_Molly</v>
      </c>
      <c r="B23611" s="65" t="s">
        <v>10619</v>
      </c>
    </row>
    <row r="23612" spans="1:2" x14ac:dyDescent="0.25">
      <c r="A23612" s="64" t="str">
        <f>HYPERLINK("http://www.twitter.com/felicitas5", "felicitas5")</f>
        <v>felicitas5</v>
      </c>
      <c r="B23612" s="65"/>
    </row>
    <row r="23613" spans="1:2" x14ac:dyDescent="0.25">
      <c r="A23613" s="64" t="str">
        <f>HYPERLINK("http://www.twitter.com/i_brien", "i_brien")</f>
        <v>i_brien</v>
      </c>
      <c r="B23613" s="65" t="s">
        <v>138</v>
      </c>
    </row>
    <row r="23614" spans="1:2" x14ac:dyDescent="0.25">
      <c r="A23614" s="64" t="str">
        <f>HYPERLINK("http://www.twitter.com/AnnataTesoro", "AnnataTesoro")</f>
        <v>AnnataTesoro</v>
      </c>
      <c r="B23614" s="65"/>
    </row>
    <row r="23615" spans="1:2" x14ac:dyDescent="0.25">
      <c r="A23615" s="64" t="str">
        <f>HYPERLINK("http://www.twitter.com/wendyfinch19", "wendyfinch19")</f>
        <v>wendyfinch19</v>
      </c>
      <c r="B23615" s="65"/>
    </row>
    <row r="23616" spans="1:2" x14ac:dyDescent="0.25">
      <c r="A23616" s="64" t="str">
        <f>HYPERLINK("http://www.twitter.com/busymummymartyn", "busymummymartyn")</f>
        <v>busymummymartyn</v>
      </c>
      <c r="B23616" s="65"/>
    </row>
    <row r="23617" spans="1:2" x14ac:dyDescent="0.25">
      <c r="A23617" s="64" t="str">
        <f>HYPERLINK("http://www.twitter.com/c3abbeadb7ec4c0", "c3abbeadb7ec4c0")</f>
        <v>c3abbeadb7ec4c0</v>
      </c>
      <c r="B23617" s="65"/>
    </row>
    <row r="23618" spans="1:2" x14ac:dyDescent="0.25">
      <c r="A23618" s="64" t="str">
        <f>HYPERLINK("http://www.twitter.com/JCPublicLibrary", "JCPublicLibrary")</f>
        <v>JCPublicLibrary</v>
      </c>
      <c r="B23618" s="65" t="s">
        <v>10620</v>
      </c>
    </row>
    <row r="23619" spans="1:2" x14ac:dyDescent="0.25">
      <c r="A23619" s="64" t="str">
        <f>HYPERLINK("http://www.twitter.com/PaulSmithTO", "PaulSmithTO")</f>
        <v>PaulSmithTO</v>
      </c>
      <c r="B23619" s="65" t="s">
        <v>3778</v>
      </c>
    </row>
    <row r="23620" spans="1:2" x14ac:dyDescent="0.25">
      <c r="A23620" s="64" t="str">
        <f>HYPERLINK("http://www.twitter.com/DanielComiskey", "DanielComiskey")</f>
        <v>DanielComiskey</v>
      </c>
      <c r="B23620" s="65" t="s">
        <v>138</v>
      </c>
    </row>
    <row r="23621" spans="1:2" x14ac:dyDescent="0.25">
      <c r="A23621" s="64" t="str">
        <f>HYPERLINK("http://www.twitter.com/platobeak", "platobeak")</f>
        <v>platobeak</v>
      </c>
      <c r="B23621" s="65" t="s">
        <v>788</v>
      </c>
    </row>
    <row r="23622" spans="1:2" x14ac:dyDescent="0.25">
      <c r="A23622" s="64" t="str">
        <f>HYPERLINK("http://www.twitter.com/richardovery", "richardovery")</f>
        <v>richardovery</v>
      </c>
      <c r="B23622" s="65" t="s">
        <v>10621</v>
      </c>
    </row>
    <row r="23623" spans="1:2" x14ac:dyDescent="0.25">
      <c r="A23623" s="64" t="str">
        <f>HYPERLINK("http://www.twitter.com/nattynooo2014", "nattynooo2014")</f>
        <v>nattynooo2014</v>
      </c>
      <c r="B23623" s="65" t="s">
        <v>4227</v>
      </c>
    </row>
    <row r="23624" spans="1:2" x14ac:dyDescent="0.25">
      <c r="A23624" s="64" t="str">
        <f>HYPERLINK("http://www.twitter.com/EdLib", "EdLib")</f>
        <v>EdLib</v>
      </c>
      <c r="B23624" s="65" t="s">
        <v>10622</v>
      </c>
    </row>
    <row r="23625" spans="1:2" x14ac:dyDescent="0.25">
      <c r="A23625" s="64" t="str">
        <f>HYPERLINK("http://www.twitter.com/hoodedpigwoman", "hoodedpigwoman")</f>
        <v>hoodedpigwoman</v>
      </c>
      <c r="B23625" s="65" t="s">
        <v>138</v>
      </c>
    </row>
    <row r="23626" spans="1:2" x14ac:dyDescent="0.25">
      <c r="A23626" s="64" t="str">
        <f>HYPERLINK("http://www.twitter.com/K8WANE", "K8WANE")</f>
        <v>K8WANE</v>
      </c>
      <c r="B23626" s="65" t="s">
        <v>10623</v>
      </c>
    </row>
    <row r="23627" spans="1:2" x14ac:dyDescent="0.25">
      <c r="A23627" s="64" t="str">
        <f>HYPERLINK("http://www.twitter.com/dpoxley", "dpoxley")</f>
        <v>dpoxley</v>
      </c>
      <c r="B23627" s="65" t="s">
        <v>24</v>
      </c>
    </row>
    <row r="23628" spans="1:2" x14ac:dyDescent="0.25">
      <c r="A23628" s="64" t="str">
        <f>HYPERLINK("http://www.twitter.com/craigfrew", "craigfrew")</f>
        <v>craigfrew</v>
      </c>
      <c r="B23628" s="65" t="s">
        <v>9267</v>
      </c>
    </row>
    <row r="23629" spans="1:2" x14ac:dyDescent="0.25">
      <c r="A23629" s="64" t="str">
        <f>HYPERLINK("http://www.twitter.com/aidanavasdad", "aidanavasdad")</f>
        <v>aidanavasdad</v>
      </c>
      <c r="B23629" s="65" t="s">
        <v>2007</v>
      </c>
    </row>
    <row r="23630" spans="1:2" x14ac:dyDescent="0.25">
      <c r="A23630" s="64" t="str">
        <f>HYPERLINK("http://www.twitter.com/kfgermantrans", "kfgermantrans")</f>
        <v>kfgermantrans</v>
      </c>
      <c r="B23630" s="65" t="s">
        <v>318</v>
      </c>
    </row>
    <row r="23631" spans="1:2" x14ac:dyDescent="0.25">
      <c r="A23631" s="64" t="str">
        <f>HYPERLINK("http://www.twitter.com/LeesaThomson", "LeesaThomson")</f>
        <v>LeesaThomson</v>
      </c>
      <c r="B23631" s="65"/>
    </row>
    <row r="23632" spans="1:2" x14ac:dyDescent="0.25">
      <c r="A23632" s="64" t="str">
        <f>HYPERLINK("http://www.twitter.com/martanovember", "martanovember")</f>
        <v>martanovember</v>
      </c>
      <c r="B23632" s="65" t="s">
        <v>138</v>
      </c>
    </row>
    <row r="23633" spans="1:2" x14ac:dyDescent="0.25">
      <c r="A23633" s="64" t="str">
        <f>HYPERLINK("http://www.twitter.com/RichardAJ86", "RichardAJ86")</f>
        <v>RichardAJ86</v>
      </c>
      <c r="B23633" s="65"/>
    </row>
    <row r="23634" spans="1:2" x14ac:dyDescent="0.25">
      <c r="A23634" s="64" t="str">
        <f>HYPERLINK("http://www.twitter.com/PamHarper20", "PamHarper20")</f>
        <v>PamHarper20</v>
      </c>
      <c r="B23634" s="65" t="s">
        <v>10624</v>
      </c>
    </row>
    <row r="23635" spans="1:2" x14ac:dyDescent="0.25">
      <c r="A23635" s="64" t="str">
        <f>HYPERLINK("http://www.twitter.com/Wheel_in_Space", "Wheel_in_Space")</f>
        <v>Wheel_in_Space</v>
      </c>
      <c r="B23635" s="65" t="s">
        <v>24</v>
      </c>
    </row>
    <row r="23636" spans="1:2" x14ac:dyDescent="0.25">
      <c r="A23636" s="64" t="str">
        <f>HYPERLINK("http://www.twitter.com/dneilmckay", "dneilmckay")</f>
        <v>dneilmckay</v>
      </c>
      <c r="B23636" s="65" t="s">
        <v>10625</v>
      </c>
    </row>
    <row r="23637" spans="1:2" x14ac:dyDescent="0.25">
      <c r="A23637" s="64" t="str">
        <f>HYPERLINK("http://www.twitter.com/parentforumscot", "parentforumscot")</f>
        <v>parentforumscot</v>
      </c>
      <c r="B23637" s="65" t="s">
        <v>10626</v>
      </c>
    </row>
    <row r="23638" spans="1:2" x14ac:dyDescent="0.25">
      <c r="A23638" s="64" t="str">
        <f>HYPERLINK("http://www.twitter.com/aps_group", "aps_group")</f>
        <v>aps_group</v>
      </c>
      <c r="B23638" s="65" t="s">
        <v>10627</v>
      </c>
    </row>
    <row r="23639" spans="1:2" x14ac:dyDescent="0.25">
      <c r="A23639" s="64" t="str">
        <f>HYPERLINK("http://www.twitter.com/JenScollay", "JenScollay")</f>
        <v>JenScollay</v>
      </c>
      <c r="B23639" s="65"/>
    </row>
    <row r="23640" spans="1:2" x14ac:dyDescent="0.25">
      <c r="A23640" s="64" t="str">
        <f>HYPERLINK("http://www.twitter.com/manchesterisace", "manchesterisace")</f>
        <v>manchesterisace</v>
      </c>
      <c r="B23640" s="65" t="s">
        <v>4040</v>
      </c>
    </row>
    <row r="23641" spans="1:2" x14ac:dyDescent="0.25">
      <c r="A23641" s="64" t="str">
        <f>HYPERLINK("http://www.twitter.com/TimMorton2", "TimMorton2")</f>
        <v>TimMorton2</v>
      </c>
      <c r="B23641" s="65" t="s">
        <v>3761</v>
      </c>
    </row>
    <row r="23642" spans="1:2" x14ac:dyDescent="0.25">
      <c r="A23642" s="64" t="str">
        <f>HYPERLINK("http://www.twitter.com/jax_mit", "jax_mit")</f>
        <v>jax_mit</v>
      </c>
      <c r="B23642" s="65" t="s">
        <v>517</v>
      </c>
    </row>
    <row r="23643" spans="1:2" x14ac:dyDescent="0.25">
      <c r="A23643" s="64" t="str">
        <f>HYPERLINK("http://www.twitter.com/Elliehutch_", "Elliehutch_")</f>
        <v>Elliehutch_</v>
      </c>
      <c r="B23643" s="65" t="s">
        <v>2007</v>
      </c>
    </row>
    <row r="23644" spans="1:2" x14ac:dyDescent="0.25">
      <c r="A23644" s="64" t="str">
        <f>HYPERLINK("http://www.twitter.com/iamruthiek", "iamruthiek")</f>
        <v>iamruthiek</v>
      </c>
      <c r="B23644" s="65"/>
    </row>
    <row r="23645" spans="1:2" x14ac:dyDescent="0.25">
      <c r="A23645" s="64" t="str">
        <f>HYPERLINK("http://www.twitter.com/PurrpleHays", "PurrpleHays")</f>
        <v>PurrpleHays</v>
      </c>
      <c r="B23645" s="65" t="s">
        <v>7137</v>
      </c>
    </row>
    <row r="23646" spans="1:2" x14ac:dyDescent="0.25">
      <c r="A23646" s="64" t="str">
        <f>HYPERLINK("http://www.twitter.com/hannahmeirion", "hannahmeirion")</f>
        <v>hannahmeirion</v>
      </c>
      <c r="B23646" s="65"/>
    </row>
    <row r="23647" spans="1:2" x14ac:dyDescent="0.25">
      <c r="A23647" s="64" t="str">
        <f>HYPERLINK("http://www.twitter.com/David_McNeill", "David_McNeill")</f>
        <v>David_McNeill</v>
      </c>
      <c r="B23647" s="65" t="s">
        <v>24</v>
      </c>
    </row>
    <row r="23648" spans="1:2" x14ac:dyDescent="0.25">
      <c r="A23648" s="64" t="str">
        <f>HYPERLINK("http://www.twitter.com/MJRodger", "MJRodger")</f>
        <v>MJRodger</v>
      </c>
      <c r="B23648" s="65" t="s">
        <v>10628</v>
      </c>
    </row>
    <row r="23649" spans="1:2" x14ac:dyDescent="0.25">
      <c r="A23649" s="64" t="str">
        <f>HYPERLINK("http://www.twitter.com/sureed67", "sureed67")</f>
        <v>sureed67</v>
      </c>
      <c r="B23649" s="65"/>
    </row>
    <row r="23650" spans="1:2" x14ac:dyDescent="0.25">
      <c r="A23650" s="64" t="str">
        <f>HYPERLINK("http://www.twitter.com/rivock16", "rivock16")</f>
        <v>rivock16</v>
      </c>
      <c r="B23650" s="65"/>
    </row>
    <row r="23651" spans="1:2" x14ac:dyDescent="0.25">
      <c r="A23651" s="64" t="str">
        <f>HYPERLINK("http://www.twitter.com/SSSCAnnaFowlie", "SSSCAnnaFowlie")</f>
        <v>SSSCAnnaFowlie</v>
      </c>
      <c r="B23651" s="65" t="s">
        <v>4167</v>
      </c>
    </row>
    <row r="23652" spans="1:2" x14ac:dyDescent="0.25">
      <c r="A23652" s="64" t="str">
        <f>HYPERLINK("http://www.twitter.com/PercyArmsPark", "PercyArmsPark")</f>
        <v>PercyArmsPark</v>
      </c>
      <c r="B23652" s="65" t="s">
        <v>10629</v>
      </c>
    </row>
    <row r="23653" spans="1:2" x14ac:dyDescent="0.25">
      <c r="A23653" s="64" t="str">
        <f>HYPERLINK("http://www.twitter.com/jardinec", "jardinec")</f>
        <v>jardinec</v>
      </c>
      <c r="B23653" s="65" t="s">
        <v>10630</v>
      </c>
    </row>
    <row r="23654" spans="1:2" x14ac:dyDescent="0.25">
      <c r="A23654" s="64" t="str">
        <f>HYPERLINK("http://www.twitter.com/SueD_EOL", "SueD_EOL")</f>
        <v>SueD_EOL</v>
      </c>
      <c r="B23654" s="65" t="s">
        <v>10631</v>
      </c>
    </row>
    <row r="23655" spans="1:2" x14ac:dyDescent="0.25">
      <c r="A23655" s="64" t="str">
        <f>HYPERLINK("http://www.twitter.com/BiddyBiddybest", "BiddyBiddybest")</f>
        <v>BiddyBiddybest</v>
      </c>
      <c r="B23655" s="65"/>
    </row>
    <row r="23656" spans="1:2" x14ac:dyDescent="0.25">
      <c r="A23656" s="64" t="str">
        <f>HYPERLINK("http://www.twitter.com/SarahLibrarina", "SarahLibrarina")</f>
        <v>SarahLibrarina</v>
      </c>
      <c r="B23656" s="65" t="s">
        <v>4634</v>
      </c>
    </row>
    <row r="23657" spans="1:2" x14ac:dyDescent="0.25">
      <c r="A23657" s="64" t="str">
        <f>HYPERLINK("http://www.twitter.com/LibraryTrumpton", "LibraryTrumpton")</f>
        <v>LibraryTrumpton</v>
      </c>
      <c r="B23657" s="65"/>
    </row>
    <row r="23658" spans="1:2" x14ac:dyDescent="0.25">
      <c r="A23658" s="64" t="str">
        <f>HYPERLINK("http://www.twitter.com/Aniluviggi", "Aniluviggi")</f>
        <v>Aniluviggi</v>
      </c>
      <c r="B23658" s="65" t="s">
        <v>10632</v>
      </c>
    </row>
    <row r="23659" spans="1:2" x14ac:dyDescent="0.25">
      <c r="A23659" s="64" t="str">
        <f>HYPERLINK("http://www.twitter.com/pamelas2000", "pamelas2000")</f>
        <v>pamelas2000</v>
      </c>
      <c r="B23659" s="65"/>
    </row>
    <row r="23660" spans="1:2" x14ac:dyDescent="0.25">
      <c r="A23660" s="64" t="str">
        <f>HYPERLINK("http://www.twitter.com/abiharcus", "abiharcus")</f>
        <v>abiharcus</v>
      </c>
      <c r="B23660" s="65"/>
    </row>
    <row r="23661" spans="1:2" x14ac:dyDescent="0.25">
      <c r="A23661" s="64" t="str">
        <f>HYPERLINK("http://www.twitter.com/vpplys", "vpplys")</f>
        <v>vpplys</v>
      </c>
      <c r="B23661" s="65" t="s">
        <v>10633</v>
      </c>
    </row>
    <row r="23662" spans="1:2" x14ac:dyDescent="0.25">
      <c r="A23662" s="64" t="str">
        <f>HYPERLINK("http://www.twitter.com/Cygnets1", "Cygnets1")</f>
        <v>Cygnets1</v>
      </c>
      <c r="B23662" s="65" t="s">
        <v>4519</v>
      </c>
    </row>
    <row r="23663" spans="1:2" x14ac:dyDescent="0.25">
      <c r="A23663" s="64" t="str">
        <f>HYPERLINK("http://www.twitter.com/mimispappa", "mimispappa")</f>
        <v>mimispappa</v>
      </c>
      <c r="B23663" s="65" t="s">
        <v>2289</v>
      </c>
    </row>
    <row r="23664" spans="1:2" x14ac:dyDescent="0.25">
      <c r="A23664" s="64" t="str">
        <f>HYPERLINK("http://www.twitter.com/KatieAliceHobbs", "KatieAliceHobbs")</f>
        <v>KatieAliceHobbs</v>
      </c>
      <c r="B23664" s="65" t="s">
        <v>1739</v>
      </c>
    </row>
    <row r="23665" spans="1:2" x14ac:dyDescent="0.25">
      <c r="A23665" s="64" t="str">
        <f>HYPERLINK("http://www.twitter.com/misoy71", "misoy71")</f>
        <v>misoy71</v>
      </c>
      <c r="B23665" s="65"/>
    </row>
    <row r="23666" spans="1:2" x14ac:dyDescent="0.25">
      <c r="A23666" s="64" t="str">
        <f>HYPERLINK("http://www.twitter.com/sighrichardson", "sighrichardson")</f>
        <v>sighrichardson</v>
      </c>
      <c r="B23666" s="65" t="s">
        <v>4862</v>
      </c>
    </row>
    <row r="23667" spans="1:2" x14ac:dyDescent="0.25">
      <c r="A23667" s="64" t="str">
        <f>HYPERLINK("http://www.twitter.com/tubconquistador", "tubconquistador")</f>
        <v>tubconquistador</v>
      </c>
      <c r="B23667" s="65" t="s">
        <v>10634</v>
      </c>
    </row>
    <row r="23668" spans="1:2" x14ac:dyDescent="0.25">
      <c r="A23668" s="64" t="str">
        <f>HYPERLINK("http://www.twitter.com/SandraBlack9", "SandraBlack9")</f>
        <v>SandraBlack9</v>
      </c>
      <c r="B23668" s="65"/>
    </row>
    <row r="23669" spans="1:2" x14ac:dyDescent="0.25">
      <c r="A23669" s="64" t="str">
        <f>HYPERLINK("http://www.twitter.com/PatrickKirkham", "PatrickKirkham")</f>
        <v>PatrickKirkham</v>
      </c>
      <c r="B23669" s="65" t="s">
        <v>6844</v>
      </c>
    </row>
    <row r="23670" spans="1:2" x14ac:dyDescent="0.25">
      <c r="A23670" s="64" t="str">
        <f>HYPERLINK("http://www.twitter.com/NeilDavidson16", "NeilDavidson16")</f>
        <v>NeilDavidson16</v>
      </c>
      <c r="B23670" s="65"/>
    </row>
    <row r="23671" spans="1:2" x14ac:dyDescent="0.25">
      <c r="A23671" s="64" t="str">
        <f>HYPERLINK("http://www.twitter.com/polnoon", "polnoon")</f>
        <v>polnoon</v>
      </c>
      <c r="B23671" s="65" t="s">
        <v>517</v>
      </c>
    </row>
    <row r="23672" spans="1:2" x14ac:dyDescent="0.25">
      <c r="A23672" s="64" t="str">
        <f>HYPERLINK("http://www.twitter.com/PeterScottReid", "PeterScottReid")</f>
        <v>PeterScottReid</v>
      </c>
      <c r="B23672" s="65" t="s">
        <v>61</v>
      </c>
    </row>
    <row r="23673" spans="1:2" x14ac:dyDescent="0.25">
      <c r="A23673" s="64" t="str">
        <f>HYPERLINK("http://www.twitter.com/CarlNewns", "CarlNewns")</f>
        <v>CarlNewns</v>
      </c>
      <c r="B23673" s="65" t="s">
        <v>10635</v>
      </c>
    </row>
    <row r="23674" spans="1:2" x14ac:dyDescent="0.25">
      <c r="A23674" s="64" t="str">
        <f>HYPERLINK("http://www.twitter.com/YesWestLothian", "YesWestLothian")</f>
        <v>YesWestLothian</v>
      </c>
      <c r="B23674" s="65" t="s">
        <v>4257</v>
      </c>
    </row>
    <row r="23675" spans="1:2" x14ac:dyDescent="0.25">
      <c r="A23675" s="64" t="str">
        <f>HYPERLINK("http://www.twitter.com/MarionDonaldson", "MarionDonaldson")</f>
        <v>MarionDonaldson</v>
      </c>
      <c r="B23675" s="65" t="s">
        <v>36</v>
      </c>
    </row>
    <row r="23676" spans="1:2" x14ac:dyDescent="0.25">
      <c r="A23676" s="64" t="str">
        <f>HYPERLINK("http://www.twitter.com/johnmcternan", "johnmcternan")</f>
        <v>johnmcternan</v>
      </c>
      <c r="B23676" s="65" t="s">
        <v>477</v>
      </c>
    </row>
    <row r="23677" spans="1:2" x14ac:dyDescent="0.25">
      <c r="A23677" s="64" t="str">
        <f>HYPERLINK("http://www.twitter.com/campfires_i_w", "campfires_i_w")</f>
        <v>campfires_i_w</v>
      </c>
      <c r="B23677" s="65" t="s">
        <v>138</v>
      </c>
    </row>
    <row r="23678" spans="1:2" x14ac:dyDescent="0.25">
      <c r="A23678" s="64" t="str">
        <f>HYPERLINK("http://www.twitter.com/alexrwjames", "alexrwjames")</f>
        <v>alexrwjames</v>
      </c>
      <c r="B23678" s="65" t="s">
        <v>318</v>
      </c>
    </row>
    <row r="23679" spans="1:2" x14ac:dyDescent="0.25">
      <c r="A23679" s="64" t="str">
        <f>HYPERLINK("http://www.twitter.com/kitcatreb", "kitcatreb")</f>
        <v>kitcatreb</v>
      </c>
      <c r="B23679" s="65"/>
    </row>
    <row r="23680" spans="1:2" x14ac:dyDescent="0.25">
      <c r="A23680" s="64" t="str">
        <f>HYPERLINK("http://www.twitter.com/BucksMuseum", "BucksMuseum")</f>
        <v>BucksMuseum</v>
      </c>
      <c r="B23680" s="65" t="s">
        <v>10636</v>
      </c>
    </row>
    <row r="23681" spans="1:2" x14ac:dyDescent="0.25">
      <c r="A23681" s="64" t="str">
        <f>HYPERLINK("http://www.twitter.com/SainsburyLib", "SainsburyLib")</f>
        <v>SainsburyLib</v>
      </c>
      <c r="B23681" s="65" t="s">
        <v>12</v>
      </c>
    </row>
    <row r="23682" spans="1:2" x14ac:dyDescent="0.25">
      <c r="A23682" s="64" t="str">
        <f>HYPERLINK("http://www.twitter.com/Medwaylibraries", "Medwaylibraries")</f>
        <v>Medwaylibraries</v>
      </c>
      <c r="B23682" s="65" t="s">
        <v>1016</v>
      </c>
    </row>
    <row r="23683" spans="1:2" x14ac:dyDescent="0.25">
      <c r="A23683" s="64" t="str">
        <f>HYPERLINK("http://www.twitter.com/agirlinwinter", "agirlinwinter")</f>
        <v>agirlinwinter</v>
      </c>
      <c r="B23683" s="65" t="s">
        <v>10637</v>
      </c>
    </row>
    <row r="23684" spans="1:2" x14ac:dyDescent="0.25">
      <c r="A23684" s="64" t="str">
        <f>HYPERLINK("http://www.twitter.com/twillian", "twillian")</f>
        <v>twillian</v>
      </c>
      <c r="B23684" s="65" t="s">
        <v>10638</v>
      </c>
    </row>
    <row r="23685" spans="1:2" x14ac:dyDescent="0.25">
      <c r="A23685" s="64" t="str">
        <f>HYPERLINK("http://www.twitter.com/elena_vitlen", "elena_vitlen")</f>
        <v>elena_vitlen</v>
      </c>
      <c r="B23685" s="65" t="s">
        <v>10639</v>
      </c>
    </row>
    <row r="23686" spans="1:2" x14ac:dyDescent="0.25">
      <c r="A23686" s="64" t="str">
        <f>HYPERLINK("http://www.twitter.com/MandaWanda65", "MandaWanda65")</f>
        <v>MandaWanda65</v>
      </c>
      <c r="B23686" s="65"/>
    </row>
    <row r="23687" spans="1:2" x14ac:dyDescent="0.25">
      <c r="A23687" s="64" t="str">
        <f>HYPERLINK("http://www.twitter.com/supertpts", "supertpts")</f>
        <v>supertpts</v>
      </c>
      <c r="B23687" s="65"/>
    </row>
    <row r="23688" spans="1:2" x14ac:dyDescent="0.25">
      <c r="A23688" s="64" t="str">
        <f>HYPERLINK("http://www.twitter.com/RoyLuxford", "RoyLuxford")</f>
        <v>RoyLuxford</v>
      </c>
      <c r="B23688" s="65" t="s">
        <v>517</v>
      </c>
    </row>
    <row r="23689" spans="1:2" x14ac:dyDescent="0.25">
      <c r="A23689" s="64" t="str">
        <f>HYPERLINK("http://www.twitter.com/meaghano9", "meaghano9")</f>
        <v>meaghano9</v>
      </c>
      <c r="B23689" s="65" t="s">
        <v>10640</v>
      </c>
    </row>
    <row r="23690" spans="1:2" x14ac:dyDescent="0.25">
      <c r="A23690" s="64" t="str">
        <f>HYPERLINK("http://www.twitter.com/Allylibrarian", "Allylibrarian")</f>
        <v>Allylibrarian</v>
      </c>
      <c r="B23690" s="65" t="s">
        <v>10641</v>
      </c>
    </row>
    <row r="23691" spans="1:2" x14ac:dyDescent="0.25">
      <c r="A23691" s="64" t="str">
        <f>HYPERLINK("http://www.twitter.com/1Baler", "1Baler")</f>
        <v>1Baler</v>
      </c>
      <c r="B23691" s="65"/>
    </row>
    <row r="23692" spans="1:2" x14ac:dyDescent="0.25">
      <c r="A23692" s="64" t="str">
        <f>HYPERLINK("http://www.twitter.com/portsmouthlibnh", "portsmouthlibnh")</f>
        <v>portsmouthlibnh</v>
      </c>
      <c r="B23692" s="65" t="s">
        <v>10642</v>
      </c>
    </row>
    <row r="23693" spans="1:2" x14ac:dyDescent="0.25">
      <c r="A23693" s="64" t="str">
        <f>HYPERLINK("http://www.twitter.com/mirda_inc", "mirda_inc")</f>
        <v>mirda_inc</v>
      </c>
      <c r="B23693" s="65"/>
    </row>
    <row r="23694" spans="1:2" x14ac:dyDescent="0.25">
      <c r="A23694" s="64" t="str">
        <f>HYPERLINK("http://www.twitter.com/craftysilence", "craftysilence")</f>
        <v>craftysilence</v>
      </c>
      <c r="B23694" s="65" t="s">
        <v>10643</v>
      </c>
    </row>
    <row r="23695" spans="1:2" x14ac:dyDescent="0.25">
      <c r="A23695" s="64" t="str">
        <f>HYPERLINK("http://www.twitter.com/ruthtwomey", "ruthtwomey")</f>
        <v>ruthtwomey</v>
      </c>
      <c r="B23695" s="65"/>
    </row>
    <row r="23696" spans="1:2" x14ac:dyDescent="0.25">
      <c r="A23696" s="64" t="str">
        <f>HYPERLINK("http://www.twitter.com/JCLS_tweets", "JCLS_tweets")</f>
        <v>JCLS_tweets</v>
      </c>
      <c r="B23696" s="65" t="s">
        <v>10644</v>
      </c>
    </row>
    <row r="23697" spans="1:2" x14ac:dyDescent="0.25">
      <c r="A23697" s="64" t="str">
        <f>HYPERLINK("http://www.twitter.com/MaggieJNeilson", "MaggieJNeilson")</f>
        <v>MaggieJNeilson</v>
      </c>
      <c r="B23697" s="65" t="s">
        <v>3990</v>
      </c>
    </row>
    <row r="23698" spans="1:2" x14ac:dyDescent="0.25">
      <c r="A23698" s="64" t="str">
        <f>HYPERLINK("http://www.twitter.com/chris_edwardss", "chris_edwardss")</f>
        <v>chris_edwardss</v>
      </c>
      <c r="B23698" s="65" t="s">
        <v>10645</v>
      </c>
    </row>
    <row r="23699" spans="1:2" x14ac:dyDescent="0.25">
      <c r="A23699" s="64" t="str">
        <f>HYPERLINK("http://www.twitter.com/niearcain", "niearcain")</f>
        <v>niearcain</v>
      </c>
      <c r="B23699" s="65" t="s">
        <v>4254</v>
      </c>
    </row>
    <row r="23700" spans="1:2" x14ac:dyDescent="0.25">
      <c r="A23700" s="64" t="str">
        <f>HYPERLINK("http://www.twitter.com/j_osehernandez", "j_osehernandez")</f>
        <v>j_osehernandez</v>
      </c>
      <c r="B23700" s="65" t="s">
        <v>10646</v>
      </c>
    </row>
    <row r="23701" spans="1:2" x14ac:dyDescent="0.25">
      <c r="A23701" s="64" t="str">
        <f>HYPERLINK("http://www.twitter.com/pembsgirl", "pembsgirl")</f>
        <v>pembsgirl</v>
      </c>
      <c r="B23701" s="65" t="s">
        <v>3948</v>
      </c>
    </row>
    <row r="23702" spans="1:2" x14ac:dyDescent="0.25">
      <c r="A23702" s="64" t="str">
        <f>HYPERLINK("http://www.twitter.com/eLearnLibrarian", "eLearnLibrarian")</f>
        <v>eLearnLibrarian</v>
      </c>
      <c r="B23702" s="65" t="s">
        <v>5016</v>
      </c>
    </row>
    <row r="23703" spans="1:2" x14ac:dyDescent="0.25">
      <c r="A23703" s="64" t="str">
        <f>HYPERLINK("http://www.twitter.com/onebooklane", "onebooklane")</f>
        <v>onebooklane</v>
      </c>
      <c r="B23703" s="65" t="s">
        <v>36</v>
      </c>
    </row>
    <row r="23704" spans="1:2" x14ac:dyDescent="0.25">
      <c r="A23704" s="64" t="str">
        <f>HYPERLINK("http://www.twitter.com/weelynnie", "weelynnie")</f>
        <v>weelynnie</v>
      </c>
      <c r="B23704" s="65" t="s">
        <v>10647</v>
      </c>
    </row>
    <row r="23705" spans="1:2" x14ac:dyDescent="0.25">
      <c r="A23705" s="64" t="str">
        <f>HYPERLINK("http://www.twitter.com/sarahdentan", "sarahdentan")</f>
        <v>sarahdentan</v>
      </c>
      <c r="B23705" s="65" t="s">
        <v>10648</v>
      </c>
    </row>
    <row r="23706" spans="1:2" x14ac:dyDescent="0.25">
      <c r="A23706" s="64" t="str">
        <f>HYPERLINK("http://www.twitter.com/suzannedix", "suzannedix")</f>
        <v>suzannedix</v>
      </c>
      <c r="B23706" s="65" t="s">
        <v>10649</v>
      </c>
    </row>
    <row r="23707" spans="1:2" x14ac:dyDescent="0.25">
      <c r="A23707" s="64" t="str">
        <f>HYPERLINK("http://www.twitter.com/nicsridej", "nicsridej")</f>
        <v>nicsridej</v>
      </c>
      <c r="B23707" s="65" t="s">
        <v>10650</v>
      </c>
    </row>
    <row r="23708" spans="1:2" x14ac:dyDescent="0.25">
      <c r="A23708" s="64" t="str">
        <f>HYPERLINK("http://www.twitter.com/SwindonLocal", "SwindonLocal")</f>
        <v>SwindonLocal</v>
      </c>
      <c r="B23708" s="65" t="s">
        <v>293</v>
      </c>
    </row>
    <row r="23709" spans="1:2" x14ac:dyDescent="0.25">
      <c r="A23709" s="64" t="str">
        <f>HYPERLINK("http://www.twitter.com/LuckLib", "LuckLib")</f>
        <v>LuckLib</v>
      </c>
      <c r="B23709" s="65" t="s">
        <v>10651</v>
      </c>
    </row>
    <row r="23710" spans="1:2" x14ac:dyDescent="0.25">
      <c r="A23710" s="64" t="str">
        <f>HYPERLINK("http://www.twitter.com/RuberyLibrary", "RuberyLibrary")</f>
        <v>RuberyLibrary</v>
      </c>
      <c r="B23710" s="65" t="s">
        <v>1796</v>
      </c>
    </row>
    <row r="23711" spans="1:2" x14ac:dyDescent="0.25">
      <c r="A23711" s="64" t="str">
        <f>HYPERLINK("http://www.twitter.com/juliamacbham", "juliamacbham")</f>
        <v>juliamacbham</v>
      </c>
      <c r="B23711" s="65" t="s">
        <v>10652</v>
      </c>
    </row>
    <row r="23712" spans="1:2" x14ac:dyDescent="0.25">
      <c r="A23712" s="64" t="str">
        <f>HYPERLINK("http://www.twitter.com/carylibrary", "carylibrary")</f>
        <v>carylibrary</v>
      </c>
      <c r="B23712" s="65" t="s">
        <v>10653</v>
      </c>
    </row>
    <row r="23713" spans="1:2" x14ac:dyDescent="0.25">
      <c r="A23713" s="64" t="str">
        <f>HYPERLINK("http://www.twitter.com/Kerri_M_Haynes", "Kerri_M_Haynes")</f>
        <v>Kerri_M_Haynes</v>
      </c>
      <c r="B23713" s="65" t="s">
        <v>138</v>
      </c>
    </row>
    <row r="23714" spans="1:2" x14ac:dyDescent="0.25">
      <c r="A23714" s="64" t="str">
        <f>HYPERLINK("http://www.twitter.com/RLNiemi", "RLNiemi")</f>
        <v>RLNiemi</v>
      </c>
      <c r="B23714" s="65"/>
    </row>
    <row r="23715" spans="1:2" x14ac:dyDescent="0.25">
      <c r="A23715" s="64" t="str">
        <f>HYPERLINK("http://www.twitter.com/picnicvic", "picnicvic")</f>
        <v>picnicvic</v>
      </c>
      <c r="B23715" s="65" t="s">
        <v>20</v>
      </c>
    </row>
    <row r="23716" spans="1:2" x14ac:dyDescent="0.25">
      <c r="A23716" s="64" t="str">
        <f>HYPERLINK("http://www.twitter.com/BeccaLibrarian", "BeccaLibrarian")</f>
        <v>BeccaLibrarian</v>
      </c>
      <c r="B23716" s="65" t="s">
        <v>10654</v>
      </c>
    </row>
    <row r="23717" spans="1:2" x14ac:dyDescent="0.25">
      <c r="A23717" s="64" t="str">
        <f>HYPERLINK("http://www.twitter.com/hayleysivner", "hayleysivner")</f>
        <v>hayleysivner</v>
      </c>
      <c r="B23717" s="65" t="s">
        <v>36</v>
      </c>
    </row>
    <row r="23718" spans="1:2" x14ac:dyDescent="0.25">
      <c r="A23718" s="64" t="str">
        <f>HYPERLINK("http://www.twitter.com/Muzaloid", "Muzaloid")</f>
        <v>Muzaloid</v>
      </c>
      <c r="B23718" s="65" t="s">
        <v>10655</v>
      </c>
    </row>
    <row r="23719" spans="1:2" x14ac:dyDescent="0.25">
      <c r="A23719" s="64" t="str">
        <f>HYPERLINK("http://www.twitter.com/howie_writes", "howie_writes")</f>
        <v>howie_writes</v>
      </c>
      <c r="B23719" s="65" t="s">
        <v>318</v>
      </c>
    </row>
    <row r="23720" spans="1:2" x14ac:dyDescent="0.25">
      <c r="A23720" s="64" t="str">
        <f>HYPERLINK("http://www.twitter.com/Falmouth_Dai", "Falmouth_Dai")</f>
        <v>Falmouth_Dai</v>
      </c>
      <c r="B23720" s="65"/>
    </row>
    <row r="23721" spans="1:2" x14ac:dyDescent="0.25">
      <c r="A23721" s="64" t="str">
        <f>HYPERLINK("http://www.twitter.com/OlivierDunrea", "OlivierDunrea")</f>
        <v>OlivierDunrea</v>
      </c>
      <c r="B23721" s="65" t="s">
        <v>10656</v>
      </c>
    </row>
    <row r="23722" spans="1:2" x14ac:dyDescent="0.25">
      <c r="A23722" s="64" t="str">
        <f>HYPERLINK("http://www.twitter.com/bron181", "bron181")</f>
        <v>bron181</v>
      </c>
      <c r="B23722" s="65"/>
    </row>
    <row r="23723" spans="1:2" x14ac:dyDescent="0.25">
      <c r="A23723" s="64" t="str">
        <f>HYPERLINK("http://www.twitter.com/wildthingchris", "wildthingchris")</f>
        <v>wildthingchris</v>
      </c>
      <c r="B23723" s="65"/>
    </row>
    <row r="23724" spans="1:2" x14ac:dyDescent="0.25">
      <c r="A23724" s="64" t="str">
        <f>HYPERLINK("http://www.twitter.com/charis_miller", "charis_miller")</f>
        <v>charis_miller</v>
      </c>
      <c r="B23724" s="65"/>
    </row>
    <row r="23725" spans="1:2" x14ac:dyDescent="0.25">
      <c r="A23725" s="64" t="str">
        <f>HYPERLINK("http://www.twitter.com/KateReynoldsT", "KateReynoldsT")</f>
        <v>KateReynoldsT</v>
      </c>
      <c r="B23725" s="65"/>
    </row>
    <row r="23726" spans="1:2" x14ac:dyDescent="0.25">
      <c r="A23726" s="64" t="str">
        <f>HYPERLINK("http://www.twitter.com/jammiedodger87", "jammiedodger87")</f>
        <v>jammiedodger87</v>
      </c>
      <c r="B23726" s="65" t="s">
        <v>138</v>
      </c>
    </row>
    <row r="23727" spans="1:2" x14ac:dyDescent="0.25">
      <c r="A23727" s="64" t="str">
        <f>HYPERLINK("http://www.twitter.com/Sondraofthesea", "Sondraofthesea")</f>
        <v>Sondraofthesea</v>
      </c>
      <c r="B23727" s="65"/>
    </row>
    <row r="23728" spans="1:2" x14ac:dyDescent="0.25">
      <c r="A23728" s="64" t="str">
        <f>HYPERLINK("http://www.twitter.com/licorne", "licorne")</f>
        <v>licorne</v>
      </c>
      <c r="B23728" s="65" t="s">
        <v>3775</v>
      </c>
    </row>
    <row r="23729" spans="1:2" x14ac:dyDescent="0.25">
      <c r="A23729" s="64" t="str">
        <f>HYPERLINK("http://www.twitter.com/alspeirs", "alspeirs")</f>
        <v>alspeirs</v>
      </c>
      <c r="B23729" s="65" t="s">
        <v>10657</v>
      </c>
    </row>
    <row r="23730" spans="1:2" x14ac:dyDescent="0.25">
      <c r="A23730" s="64" t="str">
        <f>HYPERLINK("http://www.twitter.com/gblack57", "gblack57")</f>
        <v>gblack57</v>
      </c>
      <c r="B23730" s="65" t="s">
        <v>1479</v>
      </c>
    </row>
    <row r="23731" spans="1:2" x14ac:dyDescent="0.25">
      <c r="A23731" s="64" t="str">
        <f>HYPERLINK("http://www.twitter.com/notcupware", "notcupware")</f>
        <v>notcupware</v>
      </c>
      <c r="B23731" s="65" t="s">
        <v>10658</v>
      </c>
    </row>
    <row r="23732" spans="1:2" x14ac:dyDescent="0.25">
      <c r="A23732" s="64" t="str">
        <f>HYPERLINK("http://www.twitter.com/thenlaurensaid", "thenlaurensaid")</f>
        <v>thenlaurensaid</v>
      </c>
      <c r="B23732" s="65" t="s">
        <v>5269</v>
      </c>
    </row>
    <row r="23733" spans="1:2" x14ac:dyDescent="0.25">
      <c r="A23733" s="64" t="str">
        <f>HYPERLINK("http://www.twitter.com/ann_orcadiann", "ann_orcadiann")</f>
        <v>ann_orcadiann</v>
      </c>
      <c r="B23733" s="65"/>
    </row>
    <row r="23734" spans="1:2" x14ac:dyDescent="0.25">
      <c r="A23734" s="64" t="str">
        <f>HYPERLINK("http://www.twitter.com/MeganMal", "MeganMal")</f>
        <v>MeganMal</v>
      </c>
      <c r="B23734" s="65" t="s">
        <v>4317</v>
      </c>
    </row>
    <row r="23735" spans="1:2" x14ac:dyDescent="0.25">
      <c r="A23735" s="64" t="str">
        <f>HYPERLINK("http://www.twitter.com/DawesRobin", "DawesRobin")</f>
        <v>DawesRobin</v>
      </c>
      <c r="B23735" s="65"/>
    </row>
    <row r="23736" spans="1:2" x14ac:dyDescent="0.25">
      <c r="A23736" s="64" t="str">
        <f>HYPERLINK("http://www.twitter.com/SMUWritCentre", "SMUWritCentre")</f>
        <v>SMUWritCentre</v>
      </c>
      <c r="B23736" s="65" t="s">
        <v>10659</v>
      </c>
    </row>
    <row r="23737" spans="1:2" x14ac:dyDescent="0.25">
      <c r="A23737" s="64" t="str">
        <f>HYPERLINK("http://www.twitter.com/mecapi1", "mecapi1")</f>
        <v>mecapi1</v>
      </c>
      <c r="B23737" s="65"/>
    </row>
    <row r="23738" spans="1:2" x14ac:dyDescent="0.25">
      <c r="A23738" s="64" t="str">
        <f>HYPERLINK("http://www.twitter.com/broomerh", "broomerh")</f>
        <v>broomerh</v>
      </c>
      <c r="B23738" s="65" t="s">
        <v>508</v>
      </c>
    </row>
    <row r="23739" spans="1:2" x14ac:dyDescent="0.25">
      <c r="A23739" s="64" t="str">
        <f>HYPERLINK("http://www.twitter.com/AVeryTheoryXmas", "AVeryTheoryXmas")</f>
        <v>AVeryTheoryXmas</v>
      </c>
      <c r="B23739" s="65" t="s">
        <v>10660</v>
      </c>
    </row>
    <row r="23740" spans="1:2" x14ac:dyDescent="0.25">
      <c r="A23740" s="64" t="str">
        <f>HYPERLINK("http://www.twitter.com/estherdaponte", "estherdaponte")</f>
        <v>estherdaponte</v>
      </c>
      <c r="B23740" s="65" t="s">
        <v>12</v>
      </c>
    </row>
    <row r="23741" spans="1:2" x14ac:dyDescent="0.25">
      <c r="A23741" s="64" t="str">
        <f>HYPERLINK("http://www.twitter.com/GillDuncan1", "GillDuncan1")</f>
        <v>GillDuncan1</v>
      </c>
      <c r="B23741" s="65"/>
    </row>
    <row r="23742" spans="1:2" x14ac:dyDescent="0.25">
      <c r="A23742" s="64" t="str">
        <f>HYPERLINK("http://www.twitter.com/CathyArmus", "CathyArmus")</f>
        <v>CathyArmus</v>
      </c>
      <c r="B23742" s="65" t="s">
        <v>10661</v>
      </c>
    </row>
    <row r="23743" spans="1:2" x14ac:dyDescent="0.25">
      <c r="A23743" s="64" t="str">
        <f>HYPERLINK("http://www.twitter.com/matthew_reames", "matthew_reames")</f>
        <v>matthew_reames</v>
      </c>
      <c r="B23743" s="65" t="s">
        <v>7617</v>
      </c>
    </row>
    <row r="23744" spans="1:2" x14ac:dyDescent="0.25">
      <c r="A23744" s="64" t="str">
        <f>HYPERLINK("http://www.twitter.com/Dawnyprawnypie", "Dawnyprawnypie")</f>
        <v>Dawnyprawnypie</v>
      </c>
      <c r="B23744" s="65" t="s">
        <v>10662</v>
      </c>
    </row>
    <row r="23745" spans="1:2" x14ac:dyDescent="0.25">
      <c r="A23745" s="64" t="str">
        <f>HYPERLINK("http://www.twitter.com/ThomsonCaz", "ThomsonCaz")</f>
        <v>ThomsonCaz</v>
      </c>
      <c r="B23745" s="65"/>
    </row>
    <row r="23746" spans="1:2" x14ac:dyDescent="0.25">
      <c r="A23746" s="64" t="str">
        <f>HYPERLINK("http://www.twitter.com/gardenhoover", "gardenhoover")</f>
        <v>gardenhoover</v>
      </c>
      <c r="B23746" s="65" t="s">
        <v>203</v>
      </c>
    </row>
    <row r="23747" spans="1:2" x14ac:dyDescent="0.25">
      <c r="A23747" s="64" t="str">
        <f>HYPERLINK("http://www.twitter.com/Melfena", "Melfena")</f>
        <v>Melfena</v>
      </c>
      <c r="B23747" s="65" t="s">
        <v>10663</v>
      </c>
    </row>
    <row r="23748" spans="1:2" x14ac:dyDescent="0.25">
      <c r="A23748" s="64" t="str">
        <f>HYPERLINK("http://www.twitter.com/sallyink01", "sallyink01")</f>
        <v>sallyink01</v>
      </c>
      <c r="B23748" s="65"/>
    </row>
    <row r="23749" spans="1:2" x14ac:dyDescent="0.25">
      <c r="A23749" s="64" t="str">
        <f>HYPERLINK("http://www.twitter.com/LeeHughes2", "LeeHughes2")</f>
        <v>LeeHughes2</v>
      </c>
      <c r="B23749" s="65" t="s">
        <v>10664</v>
      </c>
    </row>
    <row r="23750" spans="1:2" x14ac:dyDescent="0.25">
      <c r="A23750" s="64" t="str">
        <f>HYPERLINK("http://www.twitter.com/SarahBresniker", "SarahBresniker")</f>
        <v>SarahBresniker</v>
      </c>
      <c r="B23750" s="65"/>
    </row>
    <row r="23751" spans="1:2" x14ac:dyDescent="0.25">
      <c r="A23751" s="64" t="str">
        <f>HYPERLINK("http://www.twitter.com/oghmapress", "oghmapress")</f>
        <v>oghmapress</v>
      </c>
      <c r="B23751" s="65"/>
    </row>
    <row r="23752" spans="1:2" x14ac:dyDescent="0.25">
      <c r="A23752" s="64" t="str">
        <f>HYPERLINK("http://www.twitter.com/fleem", "fleem")</f>
        <v>fleem</v>
      </c>
      <c r="B23752" s="65" t="s">
        <v>10665</v>
      </c>
    </row>
    <row r="23753" spans="1:2" x14ac:dyDescent="0.25">
      <c r="A23753" s="64" t="str">
        <f>HYPERLINK("http://www.twitter.com/saletta_smith", "saletta_smith")</f>
        <v>saletta_smith</v>
      </c>
      <c r="B23753" s="65"/>
    </row>
    <row r="23754" spans="1:2" x14ac:dyDescent="0.25">
      <c r="A23754" s="64" t="str">
        <f>HYPERLINK("http://www.twitter.com/MalcolmLeitch1", "MalcolmLeitch1")</f>
        <v>MalcolmLeitch1</v>
      </c>
      <c r="B23754" s="65"/>
    </row>
    <row r="23755" spans="1:2" x14ac:dyDescent="0.25">
      <c r="A23755" s="64" t="str">
        <f>HYPERLINK("http://www.twitter.com/missfmp", "missfmp")</f>
        <v>missfmp</v>
      </c>
      <c r="B23755" s="65" t="s">
        <v>3817</v>
      </c>
    </row>
    <row r="23756" spans="1:2" x14ac:dyDescent="0.25">
      <c r="A23756" s="64" t="str">
        <f>HYPERLINK("http://www.twitter.com/kimwall51", "kimwall51")</f>
        <v>kimwall51</v>
      </c>
      <c r="B23756" s="65"/>
    </row>
    <row r="23757" spans="1:2" x14ac:dyDescent="0.25">
      <c r="A23757" s="64" t="str">
        <f>HYPERLINK("http://www.twitter.com/literaturemaven", "literaturemaven")</f>
        <v>literaturemaven</v>
      </c>
      <c r="B23757" s="65" t="s">
        <v>296</v>
      </c>
    </row>
    <row r="23758" spans="1:2" x14ac:dyDescent="0.25">
      <c r="A23758" s="64" t="str">
        <f>HYPERLINK("http://www.twitter.com/Tintobear", "Tintobear")</f>
        <v>Tintobear</v>
      </c>
      <c r="B23758" s="65"/>
    </row>
    <row r="23759" spans="1:2" x14ac:dyDescent="0.25">
      <c r="A23759" s="64" t="str">
        <f>HYPERLINK("http://www.twitter.com/GuapoTykeman", "GuapoTykeman")</f>
        <v>GuapoTykeman</v>
      </c>
      <c r="B23759" s="65"/>
    </row>
    <row r="23760" spans="1:2" x14ac:dyDescent="0.25">
      <c r="A23760" s="64" t="str">
        <f>HYPERLINK("http://www.twitter.com/EastHullPete", "EastHullPete")</f>
        <v>EastHullPete</v>
      </c>
      <c r="B23760" s="65" t="s">
        <v>2951</v>
      </c>
    </row>
    <row r="23761" spans="1:2" x14ac:dyDescent="0.25">
      <c r="A23761" s="64" t="str">
        <f>HYPERLINK("http://www.twitter.com/sherrym79", "sherrym79")</f>
        <v>sherrym79</v>
      </c>
      <c r="B23761" s="65" t="s">
        <v>10666</v>
      </c>
    </row>
    <row r="23762" spans="1:2" x14ac:dyDescent="0.25">
      <c r="A23762" s="64" t="str">
        <f>HYPERLINK("http://www.twitter.com/teaforterri", "teaforterri")</f>
        <v>teaforterri</v>
      </c>
      <c r="B23762" s="65"/>
    </row>
    <row r="23763" spans="1:2" x14ac:dyDescent="0.25">
      <c r="A23763" s="64" t="str">
        <f>HYPERLINK("http://www.twitter.com/canarykaren", "canarykaren")</f>
        <v>canarykaren</v>
      </c>
      <c r="B23763" s="65"/>
    </row>
    <row r="23764" spans="1:2" x14ac:dyDescent="0.25">
      <c r="A23764" s="64" t="str">
        <f>HYPERLINK("http://www.twitter.com/a__garey", "a__garey")</f>
        <v>a__garey</v>
      </c>
      <c r="B23764" s="65" t="s">
        <v>7852</v>
      </c>
    </row>
    <row r="23765" spans="1:2" x14ac:dyDescent="0.25">
      <c r="A23765" s="64" t="str">
        <f>HYPERLINK("http://www.twitter.com/owenhrobertson", "owenhrobertson")</f>
        <v>owenhrobertson</v>
      </c>
      <c r="B23765" s="65"/>
    </row>
    <row r="23766" spans="1:2" x14ac:dyDescent="0.25">
      <c r="A23766" s="64" t="str">
        <f>HYPERLINK("http://www.twitter.com/dmleisner", "dmleisner")</f>
        <v>dmleisner</v>
      </c>
      <c r="B23766" s="65"/>
    </row>
    <row r="23767" spans="1:2" x14ac:dyDescent="0.25">
      <c r="A23767" s="64" t="str">
        <f>HYPERLINK("http://www.twitter.com/Robin_Ormerod", "Robin_Ormerod")</f>
        <v>Robin_Ormerod</v>
      </c>
      <c r="B23767" s="65" t="s">
        <v>4157</v>
      </c>
    </row>
    <row r="23768" spans="1:2" x14ac:dyDescent="0.25">
      <c r="A23768" s="64" t="str">
        <f>HYPERLINK("http://www.twitter.com/dianahDH", "dianahDH")</f>
        <v>dianahDH</v>
      </c>
      <c r="B23768" s="65" t="s">
        <v>3797</v>
      </c>
    </row>
    <row r="23769" spans="1:2" x14ac:dyDescent="0.25">
      <c r="A23769" s="64" t="str">
        <f>HYPERLINK("http://www.twitter.com/annigibson", "annigibson")</f>
        <v>annigibson</v>
      </c>
      <c r="B23769" s="65" t="s">
        <v>6666</v>
      </c>
    </row>
    <row r="23770" spans="1:2" x14ac:dyDescent="0.25">
      <c r="A23770" s="64" t="str">
        <f>HYPERLINK("http://www.twitter.com/peterdyke49", "peterdyke49")</f>
        <v>peterdyke49</v>
      </c>
      <c r="B23770" s="65" t="s">
        <v>10667</v>
      </c>
    </row>
    <row r="23771" spans="1:2" x14ac:dyDescent="0.25">
      <c r="A23771" s="64" t="str">
        <f>HYPERLINK("http://www.twitter.com/eoghanjobrien", "eoghanjobrien")</f>
        <v>eoghanjobrien</v>
      </c>
      <c r="B23771" s="65" t="s">
        <v>24</v>
      </c>
    </row>
    <row r="23772" spans="1:2" x14ac:dyDescent="0.25">
      <c r="A23772" s="64" t="str">
        <f>HYPERLINK("http://www.twitter.com/Frabbins", "Frabbins")</f>
        <v>Frabbins</v>
      </c>
      <c r="B23772" s="65" t="s">
        <v>36</v>
      </c>
    </row>
    <row r="23773" spans="1:2" x14ac:dyDescent="0.25">
      <c r="A23773" s="64" t="str">
        <f>HYPERLINK("http://www.twitter.com/inijjer", "inijjer")</f>
        <v>inijjer</v>
      </c>
      <c r="B23773" s="65" t="s">
        <v>10668</v>
      </c>
    </row>
    <row r="23774" spans="1:2" x14ac:dyDescent="0.25">
      <c r="A23774" s="64" t="str">
        <f>HYPERLINK("http://www.twitter.com/af_pedagogy", "af_pedagogy")</f>
        <v>af_pedagogy</v>
      </c>
      <c r="B23774" s="65"/>
    </row>
    <row r="23775" spans="1:2" x14ac:dyDescent="0.25">
      <c r="A23775" s="64" t="str">
        <f>HYPERLINK("http://www.twitter.com/ObesityBlogger", "ObesityBlogger")</f>
        <v>ObesityBlogger</v>
      </c>
      <c r="B23775" s="65"/>
    </row>
    <row r="23776" spans="1:2" x14ac:dyDescent="0.25">
      <c r="A23776" s="64" t="str">
        <f>HYPERLINK("http://www.twitter.com/MarieMarmar0504", "MarieMarmar0504")</f>
        <v>MarieMarmar0504</v>
      </c>
      <c r="B23776" s="65"/>
    </row>
    <row r="23777" spans="1:2" x14ac:dyDescent="0.25">
      <c r="A23777" s="64" t="str">
        <f>HYPERLINK("http://www.twitter.com/whalebrae", "whalebrae")</f>
        <v>whalebrae</v>
      </c>
      <c r="B23777" s="65"/>
    </row>
    <row r="23778" spans="1:2" x14ac:dyDescent="0.25">
      <c r="A23778" s="64" t="str">
        <f>HYPERLINK("http://www.twitter.com/Girlfromupnorth", "Girlfromupnorth")</f>
        <v>Girlfromupnorth</v>
      </c>
      <c r="B23778" s="65" t="s">
        <v>36</v>
      </c>
    </row>
    <row r="23779" spans="1:2" x14ac:dyDescent="0.25">
      <c r="A23779" s="64" t="str">
        <f>HYPERLINK("http://www.twitter.com/quetzalflying", "quetzalflying")</f>
        <v>quetzalflying</v>
      </c>
      <c r="B23779" s="65"/>
    </row>
    <row r="23780" spans="1:2" x14ac:dyDescent="0.25">
      <c r="A23780" s="64" t="str">
        <f>HYPERLINK("http://www.twitter.com/hlouisebailey", "hlouisebailey")</f>
        <v>hlouisebailey</v>
      </c>
      <c r="B23780" s="65" t="s">
        <v>10669</v>
      </c>
    </row>
    <row r="23781" spans="1:2" x14ac:dyDescent="0.25">
      <c r="A23781" s="64" t="str">
        <f>HYPERLINK("http://www.twitter.com/surfep", "surfep")</f>
        <v>surfep</v>
      </c>
      <c r="B23781" s="65"/>
    </row>
    <row r="23782" spans="1:2" x14ac:dyDescent="0.25">
      <c r="A23782" s="64" t="str">
        <f>HYPERLINK("http://www.twitter.com/llhklw", "llhklw")</f>
        <v>llhklw</v>
      </c>
      <c r="B23782" s="65" t="s">
        <v>7915</v>
      </c>
    </row>
    <row r="23783" spans="1:2" x14ac:dyDescent="0.25">
      <c r="A23783" s="64" t="str">
        <f>HYPERLINK("http://www.twitter.com/kander890", "kander890")</f>
        <v>kander890</v>
      </c>
      <c r="B23783" s="65" t="s">
        <v>10670</v>
      </c>
    </row>
    <row r="23784" spans="1:2" x14ac:dyDescent="0.25">
      <c r="A23784" s="64" t="str">
        <f>HYPERLINK("http://www.twitter.com/charispalmer", "charispalmer")</f>
        <v>charispalmer</v>
      </c>
      <c r="B23784" s="65" t="s">
        <v>3988</v>
      </c>
    </row>
    <row r="23785" spans="1:2" x14ac:dyDescent="0.25">
      <c r="A23785" s="64" t="str">
        <f>HYPERLINK("http://www.twitter.com/Ri_Hubbard", "Ri_Hubbard")</f>
        <v>Ri_Hubbard</v>
      </c>
      <c r="B23785" s="65" t="s">
        <v>4035</v>
      </c>
    </row>
    <row r="23786" spans="1:2" x14ac:dyDescent="0.25">
      <c r="A23786" s="64" t="str">
        <f>HYPERLINK("http://www.twitter.com/TheMeggerz", "TheMeggerz")</f>
        <v>TheMeggerz</v>
      </c>
      <c r="B23786" s="65"/>
    </row>
    <row r="23787" spans="1:2" x14ac:dyDescent="0.25">
      <c r="A23787" s="64" t="str">
        <f>HYPERLINK("http://www.twitter.com/pixelheadmon", "pixelheadmon")</f>
        <v>pixelheadmon</v>
      </c>
      <c r="B23787" s="65" t="s">
        <v>10671</v>
      </c>
    </row>
    <row r="23788" spans="1:2" x14ac:dyDescent="0.25">
      <c r="A23788" s="64" t="str">
        <f>HYPERLINK("http://www.twitter.com/scottishaqua", "scottishaqua")</f>
        <v>scottishaqua</v>
      </c>
      <c r="B23788" s="65" t="s">
        <v>517</v>
      </c>
    </row>
    <row r="23789" spans="1:2" x14ac:dyDescent="0.25">
      <c r="A23789" s="64" t="str">
        <f>HYPERLINK("http://www.twitter.com/NikHamilton", "NikHamilton")</f>
        <v>NikHamilton</v>
      </c>
      <c r="B23789" s="65" t="s">
        <v>4145</v>
      </c>
    </row>
    <row r="23790" spans="1:2" x14ac:dyDescent="0.25">
      <c r="A23790" s="64" t="str">
        <f>HYPERLINK("http://www.twitter.com/maxjrosenthal", "maxjrosenthal")</f>
        <v>maxjrosenthal</v>
      </c>
      <c r="B23790" s="65" t="s">
        <v>5953</v>
      </c>
    </row>
    <row r="23791" spans="1:2" x14ac:dyDescent="0.25">
      <c r="A23791" s="64" t="str">
        <f>HYPERLINK("http://www.twitter.com/mimbles", "mimbles")</f>
        <v>mimbles</v>
      </c>
      <c r="B23791" s="65" t="s">
        <v>3817</v>
      </c>
    </row>
    <row r="23792" spans="1:2" x14ac:dyDescent="0.25">
      <c r="A23792" s="64" t="str">
        <f>HYPERLINK("http://www.twitter.com/EyjarSkeggi", "EyjarSkeggi")</f>
        <v>EyjarSkeggi</v>
      </c>
      <c r="B23792" s="65" t="s">
        <v>10672</v>
      </c>
    </row>
    <row r="23793" spans="1:2" x14ac:dyDescent="0.25">
      <c r="A23793" s="64" t="str">
        <f>HYPERLINK("http://www.twitter.com/iansnclr", "iansnclr")</f>
        <v>iansnclr</v>
      </c>
      <c r="B23793" s="65" t="s">
        <v>10673</v>
      </c>
    </row>
    <row r="23794" spans="1:2" x14ac:dyDescent="0.25">
      <c r="A23794" s="64" t="str">
        <f>HYPERLINK("http://www.twitter.com/tramaire", "tramaire")</f>
        <v>tramaire</v>
      </c>
      <c r="B23794" s="65" t="s">
        <v>10674</v>
      </c>
    </row>
    <row r="23795" spans="1:2" x14ac:dyDescent="0.25">
      <c r="A23795" s="64" t="str">
        <f>HYPERLINK("http://www.twitter.com/laurapolly12", "laurapolly12")</f>
        <v>laurapolly12</v>
      </c>
      <c r="B23795" s="65" t="s">
        <v>10675</v>
      </c>
    </row>
    <row r="23796" spans="1:2" x14ac:dyDescent="0.25">
      <c r="A23796" s="64" t="str">
        <f>HYPERLINK("http://www.twitter.com/McInallyLindsay", "McInallyLindsay")</f>
        <v>McInallyLindsay</v>
      </c>
      <c r="B23796" s="65"/>
    </row>
    <row r="23797" spans="1:2" x14ac:dyDescent="0.25">
      <c r="A23797" s="64" t="str">
        <f>HYPERLINK("http://www.twitter.com/aroseinthepages", "aroseinthepages")</f>
        <v>aroseinthepages</v>
      </c>
      <c r="B23797" s="65"/>
    </row>
    <row r="23798" spans="1:2" x14ac:dyDescent="0.25">
      <c r="A23798" s="64" t="str">
        <f>HYPERLINK("http://www.twitter.com/orkneymuseumart", "orkneymuseumart")</f>
        <v>orkneymuseumart</v>
      </c>
      <c r="B23798" s="65" t="s">
        <v>20</v>
      </c>
    </row>
    <row r="23799" spans="1:2" x14ac:dyDescent="0.25">
      <c r="A23799" s="64" t="str">
        <f>HYPERLINK("http://www.twitter.com/elizajarna", "elizajarna")</f>
        <v>elizajarna</v>
      </c>
      <c r="B23799" s="65" t="s">
        <v>7574</v>
      </c>
    </row>
    <row r="23800" spans="1:2" x14ac:dyDescent="0.25">
      <c r="A23800" s="64" t="str">
        <f>HYPERLINK("http://www.twitter.com/teleharsic", "teleharsic")</f>
        <v>teleharsic</v>
      </c>
      <c r="B23800" s="65" t="s">
        <v>36</v>
      </c>
    </row>
    <row r="23801" spans="1:2" x14ac:dyDescent="0.25">
      <c r="A23801" s="64" t="str">
        <f>HYPERLINK("http://www.twitter.com/communist_party", "communist_party")</f>
        <v>communist_party</v>
      </c>
      <c r="B23801" s="65" t="s">
        <v>517</v>
      </c>
    </row>
    <row r="23802" spans="1:2" x14ac:dyDescent="0.25">
      <c r="A23802" s="64" t="str">
        <f>HYPERLINK("http://www.twitter.com/JingleBells", "JingleBells")</f>
        <v>JingleBells</v>
      </c>
      <c r="B23802" s="65" t="s">
        <v>33</v>
      </c>
    </row>
    <row r="23803" spans="1:2" x14ac:dyDescent="0.25">
      <c r="A23803" s="64" t="str">
        <f>HYPERLINK("http://www.twitter.com/yorkie298", "yorkie298")</f>
        <v>yorkie298</v>
      </c>
      <c r="B23803" s="65"/>
    </row>
    <row r="23804" spans="1:2" x14ac:dyDescent="0.25">
      <c r="A23804" s="64" t="str">
        <f>HYPERLINK("http://www.twitter.com/jaylewistaylor", "jaylewistaylor")</f>
        <v>jaylewistaylor</v>
      </c>
      <c r="B23804" s="65" t="s">
        <v>10676</v>
      </c>
    </row>
    <row r="23805" spans="1:2" x14ac:dyDescent="0.25">
      <c r="A23805" s="64" t="str">
        <f>HYPERLINK("http://www.twitter.com/krizbloke", "krizbloke")</f>
        <v>krizbloke</v>
      </c>
      <c r="B23805" s="65"/>
    </row>
    <row r="23806" spans="1:2" x14ac:dyDescent="0.25">
      <c r="A23806" s="64" t="str">
        <f>HYPERLINK("http://www.twitter.com/PauloBarnesi", "PauloBarnesi")</f>
        <v>PauloBarnesi</v>
      </c>
      <c r="B23806" s="65" t="s">
        <v>36</v>
      </c>
    </row>
    <row r="23807" spans="1:2" x14ac:dyDescent="0.25">
      <c r="A23807" s="64" t="str">
        <f>HYPERLINK("http://www.twitter.com/bookishjenna", "bookishjenna")</f>
        <v>bookishjenna</v>
      </c>
      <c r="B23807" s="65"/>
    </row>
    <row r="23808" spans="1:2" x14ac:dyDescent="0.25">
      <c r="A23808" s="64" t="str">
        <f>HYPERLINK("http://www.twitter.com/misschapters", "misschapters")</f>
        <v>misschapters</v>
      </c>
      <c r="B23808" s="65" t="s">
        <v>2185</v>
      </c>
    </row>
    <row r="23809" spans="1:2" x14ac:dyDescent="0.25">
      <c r="A23809" s="64" t="str">
        <f>HYPERLINK("http://www.twitter.com/wizey43", "wizey43")</f>
        <v>wizey43</v>
      </c>
      <c r="B23809" s="65" t="s">
        <v>10677</v>
      </c>
    </row>
    <row r="23810" spans="1:2" x14ac:dyDescent="0.25">
      <c r="A23810" s="64" t="str">
        <f>HYPERLINK("http://www.twitter.com/TimPhillips161", "TimPhillips161")</f>
        <v>TimPhillips161</v>
      </c>
      <c r="B23810" s="65"/>
    </row>
    <row r="23811" spans="1:2" x14ac:dyDescent="0.25">
      <c r="A23811" s="64" t="str">
        <f>HYPERLINK("http://www.twitter.com/sayninenine", "sayninenine")</f>
        <v>sayninenine</v>
      </c>
      <c r="B23811" s="65" t="s">
        <v>10678</v>
      </c>
    </row>
    <row r="23812" spans="1:2" x14ac:dyDescent="0.25">
      <c r="A23812" s="64" t="str">
        <f>HYPERLINK("http://www.twitter.com/tweetsbyskytree", "tweetsbyskytree")</f>
        <v>tweetsbyskytree</v>
      </c>
      <c r="B23812" s="65" t="s">
        <v>4210</v>
      </c>
    </row>
    <row r="23813" spans="1:2" x14ac:dyDescent="0.25">
      <c r="A23813" s="64" t="str">
        <f>HYPERLINK("http://www.twitter.com/kitkatapple", "kitkatapple")</f>
        <v>kitkatapple</v>
      </c>
      <c r="B23813" s="65" t="s">
        <v>1537</v>
      </c>
    </row>
    <row r="23814" spans="1:2" x14ac:dyDescent="0.25">
      <c r="A23814" s="64" t="str">
        <f>HYPERLINK("http://www.twitter.com/PaulineWiles", "PaulineWiles")</f>
        <v>PaulineWiles</v>
      </c>
      <c r="B23814" s="65" t="s">
        <v>10679</v>
      </c>
    </row>
    <row r="23815" spans="1:2" x14ac:dyDescent="0.25">
      <c r="A23815" s="64" t="str">
        <f>HYPERLINK("http://www.twitter.com/EmmaFraserbooks", "EmmaFraserbooks")</f>
        <v>EmmaFraserbooks</v>
      </c>
      <c r="B23815" s="65" t="s">
        <v>10680</v>
      </c>
    </row>
    <row r="23816" spans="1:2" x14ac:dyDescent="0.25">
      <c r="A23816" s="64" t="str">
        <f>HYPERLINK("http://www.twitter.com/barefootliam", "barefootliam")</f>
        <v>barefootliam</v>
      </c>
      <c r="B23816" s="65" t="s">
        <v>10681</v>
      </c>
    </row>
    <row r="23817" spans="1:2" x14ac:dyDescent="0.25">
      <c r="A23817" s="64" t="str">
        <f>HYPERLINK("http://www.twitter.com/BadNarrator", "BadNarrator")</f>
        <v>BadNarrator</v>
      </c>
      <c r="B23817" s="65"/>
    </row>
    <row r="23818" spans="1:2" x14ac:dyDescent="0.25">
      <c r="A23818" s="64" t="str">
        <f>HYPERLINK("http://www.twitter.com/anton_bradley", "anton_bradley")</f>
        <v>anton_bradley</v>
      </c>
      <c r="B23818" s="65"/>
    </row>
    <row r="23819" spans="1:2" x14ac:dyDescent="0.25">
      <c r="A23819" s="64" t="str">
        <f>HYPERLINK("http://www.twitter.com/Kikishua", "Kikishua")</f>
        <v>Kikishua</v>
      </c>
      <c r="B23819" s="65" t="s">
        <v>141</v>
      </c>
    </row>
    <row r="23820" spans="1:2" x14ac:dyDescent="0.25">
      <c r="A23820" s="64" t="str">
        <f>HYPERLINK("http://www.twitter.com/MCC41264102", "MCC41264102")</f>
        <v>MCC41264102</v>
      </c>
      <c r="B23820" s="65" t="s">
        <v>10682</v>
      </c>
    </row>
    <row r="23821" spans="1:2" x14ac:dyDescent="0.25">
      <c r="A23821" s="64" t="str">
        <f>HYPERLINK("http://www.twitter.com/J_S_Raynor", "J_S_Raynor")</f>
        <v>J_S_Raynor</v>
      </c>
      <c r="B23821" s="65" t="s">
        <v>10683</v>
      </c>
    </row>
    <row r="23822" spans="1:2" x14ac:dyDescent="0.25">
      <c r="A23822" s="64" t="str">
        <f>HYPERLINK("http://www.twitter.com/County78", "County78")</f>
        <v>County78</v>
      </c>
      <c r="B23822" s="65" t="s">
        <v>10684</v>
      </c>
    </row>
    <row r="23823" spans="1:2" x14ac:dyDescent="0.25">
      <c r="A23823" s="64" t="str">
        <f>HYPERLINK("http://www.twitter.com/sayalittleswear", "sayalittleswear")</f>
        <v>sayalittleswear</v>
      </c>
      <c r="B23823" s="65" t="s">
        <v>10685</v>
      </c>
    </row>
    <row r="23824" spans="1:2" x14ac:dyDescent="0.25">
      <c r="A23824" s="64" t="str">
        <f>HYPERLINK("http://www.twitter.com/EportmanPortman", "EportmanPortman")</f>
        <v>EportmanPortman</v>
      </c>
      <c r="B23824" s="65"/>
    </row>
    <row r="23825" spans="1:2" x14ac:dyDescent="0.25">
      <c r="A23825" s="64" t="str">
        <f>HYPERLINK("http://www.twitter.com/RfFodor", "RfFodor")</f>
        <v>RfFodor</v>
      </c>
      <c r="B23825" s="65" t="s">
        <v>5923</v>
      </c>
    </row>
    <row r="23826" spans="1:2" x14ac:dyDescent="0.25">
      <c r="A23826" s="64" t="str">
        <f>HYPERLINK("http://www.twitter.com/CoulterFiona", "CoulterFiona")</f>
        <v>CoulterFiona</v>
      </c>
      <c r="B23826" s="65" t="s">
        <v>10686</v>
      </c>
    </row>
    <row r="23827" spans="1:2" x14ac:dyDescent="0.25">
      <c r="A23827" s="64" t="str">
        <f>HYPERLINK("http://www.twitter.com/louisa_howarth", "louisa_howarth")</f>
        <v>louisa_howarth</v>
      </c>
      <c r="B23827" s="65"/>
    </row>
    <row r="23828" spans="1:2" x14ac:dyDescent="0.25">
      <c r="A23828" s="64" t="str">
        <f>HYPERLINK("http://www.twitter.com/thehaywriters", "thehaywriters")</f>
        <v>thehaywriters</v>
      </c>
      <c r="B23828" s="65" t="s">
        <v>10687</v>
      </c>
    </row>
    <row r="23829" spans="1:2" x14ac:dyDescent="0.25">
      <c r="A23829" s="64" t="str">
        <f>HYPERLINK("http://www.twitter.com/NT_lmackay", "NT_lmackay")</f>
        <v>NT_lmackay</v>
      </c>
      <c r="B23829" s="65" t="s">
        <v>10688</v>
      </c>
    </row>
    <row r="23830" spans="1:2" x14ac:dyDescent="0.25">
      <c r="A23830" s="64" t="str">
        <f>HYPERLINK("http://www.twitter.com/WordsFromWez", "WordsFromWez")</f>
        <v>WordsFromWez</v>
      </c>
      <c r="B23830" s="65" t="s">
        <v>10689</v>
      </c>
    </row>
    <row r="23831" spans="1:2" x14ac:dyDescent="0.25">
      <c r="A23831" s="64" t="str">
        <f>HYPERLINK("http://www.twitter.com/littlejohns", "littlejohns")</f>
        <v>littlejohns</v>
      </c>
      <c r="B23831" s="65" t="s">
        <v>8560</v>
      </c>
    </row>
    <row r="23832" spans="1:2" x14ac:dyDescent="0.25">
      <c r="A23832" s="64" t="str">
        <f>HYPERLINK("http://www.twitter.com/Rosie_Alice28", "Rosie_Alice28")</f>
        <v>Rosie_Alice28</v>
      </c>
      <c r="B23832" s="65" t="s">
        <v>10690</v>
      </c>
    </row>
    <row r="23833" spans="1:2" x14ac:dyDescent="0.25">
      <c r="A23833" s="64" t="str">
        <f>HYPERLINK("http://www.twitter.com/mariodebbi", "mariodebbi")</f>
        <v>mariodebbi</v>
      </c>
      <c r="B23833" s="65"/>
    </row>
    <row r="23834" spans="1:2" x14ac:dyDescent="0.25">
      <c r="A23834" s="64" t="str">
        <f>HYPERLINK("http://www.twitter.com/HRHarkness_", "HRHarkness_")</f>
        <v>HRHarkness_</v>
      </c>
      <c r="B23834" s="65" t="s">
        <v>1417</v>
      </c>
    </row>
    <row r="23835" spans="1:2" x14ac:dyDescent="0.25">
      <c r="A23835" s="64" t="str">
        <f>HYPERLINK("http://www.twitter.com/BaronSCB", "BaronSCB")</f>
        <v>BaronSCB</v>
      </c>
      <c r="B23835" s="65" t="s">
        <v>526</v>
      </c>
    </row>
    <row r="23836" spans="1:2" x14ac:dyDescent="0.25">
      <c r="A23836" s="64" t="str">
        <f>HYPERLINK("http://www.twitter.com/AudioGuvnor", "AudioGuvnor")</f>
        <v>AudioGuvnor</v>
      </c>
      <c r="B23836" s="65"/>
    </row>
    <row r="23837" spans="1:2" x14ac:dyDescent="0.25">
      <c r="A23837" s="64" t="str">
        <f>HYPERLINK("http://www.twitter.com/lemonyrawlegs", "lemonyrawlegs")</f>
        <v>lemonyrawlegs</v>
      </c>
      <c r="B23837" s="65"/>
    </row>
    <row r="23838" spans="1:2" x14ac:dyDescent="0.25">
      <c r="A23838" s="64" t="str">
        <f>HYPERLINK("http://www.twitter.com/johncastlelibd1", "johncastlelibd1")</f>
        <v>johncastlelibd1</v>
      </c>
      <c r="B23838" s="65" t="s">
        <v>10691</v>
      </c>
    </row>
    <row r="23839" spans="1:2" x14ac:dyDescent="0.25">
      <c r="A23839" s="64" t="str">
        <f>HYPERLINK("http://www.twitter.com/14vintagebutton", "14vintagebutton")</f>
        <v>14vintagebutton</v>
      </c>
      <c r="B23839" s="65" t="s">
        <v>10692</v>
      </c>
    </row>
    <row r="23840" spans="1:2" x14ac:dyDescent="0.25">
      <c r="A23840" s="64" t="str">
        <f>HYPERLINK("http://www.twitter.com/keith_macleod", "keith_macleod")</f>
        <v>keith_macleod</v>
      </c>
      <c r="B23840" s="65" t="s">
        <v>4180</v>
      </c>
    </row>
    <row r="23841" spans="1:2" x14ac:dyDescent="0.25">
      <c r="A23841" s="64" t="str">
        <f>HYPERLINK("http://www.twitter.com/SzulcHszulc1", "SzulcHszulc1")</f>
        <v>SzulcHszulc1</v>
      </c>
      <c r="B23841" s="65"/>
    </row>
    <row r="23842" spans="1:2" x14ac:dyDescent="0.25">
      <c r="A23842" s="64" t="str">
        <f>HYPERLINK("http://www.twitter.com/JeanNisbet", "JeanNisbet")</f>
        <v>JeanNisbet</v>
      </c>
      <c r="B23842" s="65" t="s">
        <v>4108</v>
      </c>
    </row>
    <row r="23843" spans="1:2" x14ac:dyDescent="0.25">
      <c r="A23843" s="64" t="str">
        <f>HYPERLINK("http://www.twitter.com/andrewking2904", "andrewking2904")</f>
        <v>andrewking2904</v>
      </c>
      <c r="B23843" s="65" t="s">
        <v>36</v>
      </c>
    </row>
    <row r="23844" spans="1:2" x14ac:dyDescent="0.25">
      <c r="A23844" s="64" t="str">
        <f>HYPERLINK("http://www.twitter.com/Aremay", "Aremay")</f>
        <v>Aremay</v>
      </c>
      <c r="B23844" s="65" t="s">
        <v>717</v>
      </c>
    </row>
    <row r="23845" spans="1:2" x14ac:dyDescent="0.25">
      <c r="A23845" s="64" t="str">
        <f>HYPERLINK("http://www.twitter.com/youngishsam", "youngishsam")</f>
        <v>youngishsam</v>
      </c>
      <c r="B23845" s="65"/>
    </row>
    <row r="23846" spans="1:2" x14ac:dyDescent="0.25">
      <c r="A23846" s="64" t="str">
        <f>HYPERLINK("http://www.twitter.com/KMac245", "KMac245")</f>
        <v>KMac245</v>
      </c>
      <c r="B23846" s="65" t="s">
        <v>10693</v>
      </c>
    </row>
    <row r="23847" spans="1:2" x14ac:dyDescent="0.25">
      <c r="A23847" s="64" t="str">
        <f>HYPERLINK("http://www.twitter.com/LizzieRegan", "LizzieRegan")</f>
        <v>LizzieRegan</v>
      </c>
      <c r="B23847" s="65"/>
    </row>
    <row r="23848" spans="1:2" x14ac:dyDescent="0.25">
      <c r="A23848" s="64" t="str">
        <f>HYPERLINK("http://www.twitter.com/DrewArran", "DrewArran")</f>
        <v>DrewArran</v>
      </c>
      <c r="B23848" s="65"/>
    </row>
    <row r="23849" spans="1:2" x14ac:dyDescent="0.25">
      <c r="A23849" s="64" t="str">
        <f>HYPERLINK("http://www.twitter.com/wozgod", "wozgod")</f>
        <v>wozgod</v>
      </c>
      <c r="B23849" s="65"/>
    </row>
    <row r="23850" spans="1:2" x14ac:dyDescent="0.25">
      <c r="A23850" s="64" t="str">
        <f>HYPERLINK("http://www.twitter.com/AstrolabeMusik", "AstrolabeMusik")</f>
        <v>AstrolabeMusik</v>
      </c>
      <c r="B23850" s="65"/>
    </row>
    <row r="23851" spans="1:2" x14ac:dyDescent="0.25">
      <c r="A23851" s="64" t="str">
        <f>HYPERLINK("http://www.twitter.com/Notthatdavidcam", "Notthatdavidcam")</f>
        <v>Notthatdavidcam</v>
      </c>
      <c r="B23851" s="65" t="s">
        <v>24</v>
      </c>
    </row>
    <row r="23852" spans="1:2" x14ac:dyDescent="0.25">
      <c r="A23852" s="64" t="str">
        <f>HYPERLINK("http://www.twitter.com/HarleyCouper", "HarleyCouper")</f>
        <v>HarleyCouper</v>
      </c>
      <c r="B23852" s="65" t="s">
        <v>10694</v>
      </c>
    </row>
    <row r="23853" spans="1:2" x14ac:dyDescent="0.25">
      <c r="A23853" s="64" t="str">
        <f>HYPERLINK("http://www.twitter.com/creaky7", "creaky7")</f>
        <v>creaky7</v>
      </c>
      <c r="B23853" s="65"/>
    </row>
    <row r="23854" spans="1:2" x14ac:dyDescent="0.25">
      <c r="A23854" s="64" t="str">
        <f>HYPERLINK("http://www.twitter.com/nheathm", "nheathm")</f>
        <v>nheathm</v>
      </c>
      <c r="B23854" s="65"/>
    </row>
    <row r="23855" spans="1:2" x14ac:dyDescent="0.25">
      <c r="A23855" s="64" t="str">
        <f>HYPERLINK("http://www.twitter.com/wyvis40", "wyvis40")</f>
        <v>wyvis40</v>
      </c>
      <c r="B23855" s="65" t="s">
        <v>4447</v>
      </c>
    </row>
    <row r="23856" spans="1:2" x14ac:dyDescent="0.25">
      <c r="A23856" s="64" t="str">
        <f>HYPERLINK("http://www.twitter.com/chris_nelson", "chris_nelson")</f>
        <v>chris_nelson</v>
      </c>
      <c r="B23856" s="65" t="s">
        <v>10695</v>
      </c>
    </row>
    <row r="23857" spans="1:2" x14ac:dyDescent="0.25">
      <c r="A23857" s="64" t="str">
        <f>HYPERLINK("http://www.twitter.com/GavinCambridge", "GavinCambridge")</f>
        <v>GavinCambridge</v>
      </c>
      <c r="B23857" s="65" t="s">
        <v>477</v>
      </c>
    </row>
    <row r="23858" spans="1:2" x14ac:dyDescent="0.25">
      <c r="A23858" s="64" t="str">
        <f>HYPERLINK("http://www.twitter.com/HypnoLadyPA", "HypnoLadyPA")</f>
        <v>HypnoLadyPA</v>
      </c>
      <c r="B23858" s="65" t="s">
        <v>4861</v>
      </c>
    </row>
    <row r="23859" spans="1:2" x14ac:dyDescent="0.25">
      <c r="A23859" s="64" t="str">
        <f>HYPERLINK("http://www.twitter.com/tr_catch", "tr_catch")</f>
        <v>tr_catch</v>
      </c>
      <c r="B23859" s="65" t="s">
        <v>10696</v>
      </c>
    </row>
    <row r="23860" spans="1:2" x14ac:dyDescent="0.25">
      <c r="A23860" s="64" t="str">
        <f>HYPERLINK("http://www.twitter.com/brrynrrs", "brrynrrs")</f>
        <v>brrynrrs</v>
      </c>
      <c r="B23860" s="65" t="s">
        <v>36</v>
      </c>
    </row>
    <row r="23861" spans="1:2" x14ac:dyDescent="0.25">
      <c r="A23861" s="64" t="str">
        <f>HYPERLINK("http://www.twitter.com/Nottingham_Jim", "Nottingham_Jim")</f>
        <v>Nottingham_Jim</v>
      </c>
      <c r="B23861" s="65" t="s">
        <v>526</v>
      </c>
    </row>
    <row r="23862" spans="1:2" x14ac:dyDescent="0.25">
      <c r="A23862" s="64" t="str">
        <f>HYPERLINK("http://www.twitter.com/b_steve1", "b_steve1")</f>
        <v>b_steve1</v>
      </c>
      <c r="B23862" s="65" t="s">
        <v>10697</v>
      </c>
    </row>
    <row r="23863" spans="1:2" x14ac:dyDescent="0.25">
      <c r="A23863" s="64" t="str">
        <f>HYPERLINK("http://www.twitter.com/chrislambwell", "chrislambwell")</f>
        <v>chrislambwell</v>
      </c>
      <c r="B23863" s="65"/>
    </row>
    <row r="23864" spans="1:2" x14ac:dyDescent="0.25">
      <c r="A23864" s="64" t="str">
        <f>HYPERLINK("http://www.twitter.com/robsouthwood", "robsouthwood")</f>
        <v>robsouthwood</v>
      </c>
      <c r="B23864" s="65"/>
    </row>
    <row r="23865" spans="1:2" x14ac:dyDescent="0.25">
      <c r="A23865" s="64" t="str">
        <f>HYPERLINK("http://www.twitter.com/LucyRoseColeman", "LucyRoseColeman")</f>
        <v>LucyRoseColeman</v>
      </c>
      <c r="B23865" s="65" t="s">
        <v>7527</v>
      </c>
    </row>
    <row r="23866" spans="1:2" x14ac:dyDescent="0.25">
      <c r="A23866" s="64" t="str">
        <f>HYPERLINK("http://www.twitter.com/samjames_smith", "samjames_smith")</f>
        <v>samjames_smith</v>
      </c>
      <c r="B23866" s="65"/>
    </row>
    <row r="23867" spans="1:2" x14ac:dyDescent="0.25">
      <c r="A23867" s="64" t="str">
        <f>HYPERLINK("http://www.twitter.com/davidbennett751", "davidbennett751")</f>
        <v>davidbennett751</v>
      </c>
      <c r="B23867" s="65"/>
    </row>
    <row r="23868" spans="1:2" x14ac:dyDescent="0.25">
      <c r="A23868" s="64" t="str">
        <f>HYPERLINK("http://www.twitter.com/bethmwells", "bethmwells")</f>
        <v>bethmwells</v>
      </c>
      <c r="B23868" s="65" t="s">
        <v>10698</v>
      </c>
    </row>
    <row r="23869" spans="1:2" x14ac:dyDescent="0.25">
      <c r="A23869" s="64" t="str">
        <f>HYPERLINK("http://www.twitter.com/KatyG25", "KatyG25")</f>
        <v>KatyG25</v>
      </c>
      <c r="B23869" s="65" t="s">
        <v>138</v>
      </c>
    </row>
    <row r="23870" spans="1:2" x14ac:dyDescent="0.25">
      <c r="A23870" s="64" t="str">
        <f>HYPERLINK("http://www.twitter.com/Charlottesparki", "Charlottesparki")</f>
        <v>Charlottesparki</v>
      </c>
      <c r="B23870" s="65" t="s">
        <v>2580</v>
      </c>
    </row>
    <row r="23871" spans="1:2" x14ac:dyDescent="0.25">
      <c r="A23871" s="64" t="str">
        <f>HYPERLINK("http://www.twitter.com/AnneliseWaite", "AnneliseWaite")</f>
        <v>AnneliseWaite</v>
      </c>
      <c r="B23871" s="65"/>
    </row>
    <row r="23872" spans="1:2" x14ac:dyDescent="0.25">
      <c r="A23872" s="64" t="str">
        <f>HYPERLINK("http://www.twitter.com/ValTaylor01", "ValTaylor01")</f>
        <v>ValTaylor01</v>
      </c>
      <c r="B23872" s="65"/>
    </row>
    <row r="23873" spans="1:2" x14ac:dyDescent="0.25">
      <c r="A23873" s="64" t="str">
        <f>HYPERLINK("http://www.twitter.com/justintyers", "justintyers")</f>
        <v>justintyers</v>
      </c>
      <c r="B23873" s="65" t="s">
        <v>10699</v>
      </c>
    </row>
    <row r="23874" spans="1:2" x14ac:dyDescent="0.25">
      <c r="A23874" s="64" t="str">
        <f>HYPERLINK("http://www.twitter.com/bagofmoons", "bagofmoons")</f>
        <v>bagofmoons</v>
      </c>
      <c r="B23874" s="65" t="s">
        <v>10700</v>
      </c>
    </row>
    <row r="23875" spans="1:2" x14ac:dyDescent="0.25">
      <c r="A23875" s="64" t="str">
        <f>HYPERLINK("http://www.twitter.com/briocheperruche", "briocheperruche")</f>
        <v>briocheperruche</v>
      </c>
      <c r="B23875" s="65"/>
    </row>
    <row r="23876" spans="1:2" x14ac:dyDescent="0.25">
      <c r="A23876" s="64" t="str">
        <f>HYPERLINK("http://www.twitter.com/sambo999", "sambo999")</f>
        <v>sambo999</v>
      </c>
      <c r="B23876" s="65"/>
    </row>
    <row r="23877" spans="1:2" x14ac:dyDescent="0.25">
      <c r="A23877" s="64" t="str">
        <f>HYPERLINK("http://www.twitter.com/lisaviolet200", "lisaviolet200")</f>
        <v>lisaviolet200</v>
      </c>
      <c r="B23877" s="65"/>
    </row>
    <row r="23878" spans="1:2" x14ac:dyDescent="0.25">
      <c r="A23878" s="64" t="str">
        <f>HYPERLINK("http://www.twitter.com/shiv5468", "shiv5468")</f>
        <v>shiv5468</v>
      </c>
      <c r="B23878" s="65"/>
    </row>
    <row r="23879" spans="1:2" x14ac:dyDescent="0.25">
      <c r="A23879" s="64" t="str">
        <f>HYPERLINK("http://www.twitter.com/writecjheath", "writecjheath")</f>
        <v>writecjheath</v>
      </c>
      <c r="B23879" s="65" t="s">
        <v>10701</v>
      </c>
    </row>
    <row r="23880" spans="1:2" x14ac:dyDescent="0.25">
      <c r="A23880" s="64" t="str">
        <f>HYPERLINK("http://www.twitter.com/SamWilford", "SamWilford")</f>
        <v>SamWilford</v>
      </c>
      <c r="B23880" s="65" t="s">
        <v>10352</v>
      </c>
    </row>
    <row r="23881" spans="1:2" x14ac:dyDescent="0.25">
      <c r="A23881" s="64" t="str">
        <f>HYPERLINK("http://www.twitter.com/AmyBlue14", "AmyBlue14")</f>
        <v>AmyBlue14</v>
      </c>
      <c r="B23881" s="65"/>
    </row>
    <row r="23882" spans="1:2" x14ac:dyDescent="0.25">
      <c r="A23882" s="64" t="str">
        <f>HYPERLINK("http://www.twitter.com/pbw1979", "pbw1979")</f>
        <v>pbw1979</v>
      </c>
      <c r="B23882" s="65" t="s">
        <v>10702</v>
      </c>
    </row>
    <row r="23883" spans="1:2" x14ac:dyDescent="0.25">
      <c r="A23883" s="64" t="str">
        <f>HYPERLINK("http://www.twitter.com/kerrIFNC", "kerrIFNC")</f>
        <v>kerrIFNC</v>
      </c>
      <c r="B23883" s="65" t="s">
        <v>10703</v>
      </c>
    </row>
    <row r="23884" spans="1:2" x14ac:dyDescent="0.25">
      <c r="A23884" s="64" t="str">
        <f>HYPERLINK("http://www.twitter.com/MIFriedenthal", "MIFriedenthal")</f>
        <v>MIFriedenthal</v>
      </c>
      <c r="B23884" s="65"/>
    </row>
    <row r="23885" spans="1:2" x14ac:dyDescent="0.25">
      <c r="A23885" s="64" t="str">
        <f>HYPERLINK("http://www.twitter.com/infomixer", "infomixer")</f>
        <v>infomixer</v>
      </c>
      <c r="B23885" s="65" t="s">
        <v>361</v>
      </c>
    </row>
    <row r="23886" spans="1:2" x14ac:dyDescent="0.25">
      <c r="A23886" s="64" t="str">
        <f>HYPERLINK("http://www.twitter.com/JumpMarketing1", "JumpMarketing1")</f>
        <v>JumpMarketing1</v>
      </c>
      <c r="B23886" s="65" t="s">
        <v>4177</v>
      </c>
    </row>
    <row r="23887" spans="1:2" x14ac:dyDescent="0.25">
      <c r="A23887" s="64" t="str">
        <f>HYPERLINK("http://www.twitter.com/chaispice23", "chaispice23")</f>
        <v>chaispice23</v>
      </c>
      <c r="B23887" s="65"/>
    </row>
    <row r="23888" spans="1:2" x14ac:dyDescent="0.25">
      <c r="A23888" s="64" t="str">
        <f>HYPERLINK("http://www.twitter.com/mandyjanehughes", "mandyjanehughes")</f>
        <v>mandyjanehughes</v>
      </c>
      <c r="B23888" s="65"/>
    </row>
    <row r="23889" spans="1:2" x14ac:dyDescent="0.25">
      <c r="A23889" s="64" t="str">
        <f>HYPERLINK("http://www.twitter.com/pjmoran", "pjmoran")</f>
        <v>pjmoran</v>
      </c>
      <c r="B23889" s="65" t="s">
        <v>2592</v>
      </c>
    </row>
    <row r="23890" spans="1:2" x14ac:dyDescent="0.25">
      <c r="A23890" s="64" t="str">
        <f>HYPERLINK("http://www.twitter.com/mcwill20", "mcwill20")</f>
        <v>mcwill20</v>
      </c>
      <c r="B23890" s="65"/>
    </row>
    <row r="23891" spans="1:2" x14ac:dyDescent="0.25">
      <c r="A23891" s="64" t="str">
        <f>HYPERLINK("http://www.twitter.com/Arrabella11", "Arrabella11")</f>
        <v>Arrabella11</v>
      </c>
      <c r="B23891" s="65"/>
    </row>
    <row r="23892" spans="1:2" x14ac:dyDescent="0.25">
      <c r="A23892" s="64" t="str">
        <f>HYPERLINK("http://www.twitter.com/joeyoddsocks", "joeyoddsocks")</f>
        <v>joeyoddsocks</v>
      </c>
      <c r="B23892" s="65" t="s">
        <v>36</v>
      </c>
    </row>
    <row r="23893" spans="1:2" x14ac:dyDescent="0.25">
      <c r="A23893" s="64" t="str">
        <f>HYPERLINK("http://www.twitter.com/dmtownend", "dmtownend")</f>
        <v>dmtownend</v>
      </c>
      <c r="B23893" s="65" t="s">
        <v>10704</v>
      </c>
    </row>
    <row r="23894" spans="1:2" x14ac:dyDescent="0.25">
      <c r="A23894" s="64" t="str">
        <f>HYPERLINK("http://www.twitter.com/RabbitOutOfHat", "RabbitOutOfHat")</f>
        <v>RabbitOutOfHat</v>
      </c>
      <c r="B23894" s="65" t="s">
        <v>1490</v>
      </c>
    </row>
    <row r="23895" spans="1:2" x14ac:dyDescent="0.25">
      <c r="A23895" s="64" t="str">
        <f>HYPERLINK("http://www.twitter.com/SusanRober731", "SusanRober731")</f>
        <v>SusanRober731</v>
      </c>
      <c r="B23895" s="65"/>
    </row>
    <row r="23896" spans="1:2" x14ac:dyDescent="0.25">
      <c r="A23896" s="64" t="str">
        <f>HYPERLINK("http://www.twitter.com/Tom39382186", "Tom39382186")</f>
        <v>Tom39382186</v>
      </c>
      <c r="B23896" s="65"/>
    </row>
    <row r="23897" spans="1:2" x14ac:dyDescent="0.25">
      <c r="A23897" s="64" t="str">
        <f>HYPERLINK("http://www.twitter.com/kteydid", "kteydid")</f>
        <v>kteydid</v>
      </c>
      <c r="B23897" s="65"/>
    </row>
    <row r="23898" spans="1:2" x14ac:dyDescent="0.25">
      <c r="A23898" s="64" t="str">
        <f>HYPERLINK("http://www.twitter.com/CauntJackie", "CauntJackie")</f>
        <v>CauntJackie</v>
      </c>
      <c r="B23898" s="65" t="s">
        <v>10705</v>
      </c>
    </row>
    <row r="23899" spans="1:2" x14ac:dyDescent="0.25">
      <c r="A23899" s="64" t="str">
        <f>HYPERLINK("http://www.twitter.com/BlakeneyDeli", "BlakeneyDeli")</f>
        <v>BlakeneyDeli</v>
      </c>
      <c r="B23899" s="65" t="s">
        <v>10706</v>
      </c>
    </row>
    <row r="23900" spans="1:2" x14ac:dyDescent="0.25">
      <c r="A23900" s="64" t="str">
        <f>HYPERLINK("http://www.twitter.com/TopWithins", "TopWithins")</f>
        <v>TopWithins</v>
      </c>
      <c r="B23900" s="65" t="s">
        <v>10707</v>
      </c>
    </row>
    <row r="23901" spans="1:2" x14ac:dyDescent="0.25">
      <c r="A23901" s="64" t="str">
        <f>HYPERLINK("http://www.twitter.com/Kim_Probable1", "Kim_Probable1")</f>
        <v>Kim_Probable1</v>
      </c>
      <c r="B23901" s="65"/>
    </row>
    <row r="23902" spans="1:2" x14ac:dyDescent="0.25">
      <c r="A23902" s="64" t="str">
        <f>HYPERLINK("http://www.twitter.com/ManderscheidD", "ManderscheidD")</f>
        <v>ManderscheidD</v>
      </c>
      <c r="B23902" s="65"/>
    </row>
    <row r="23903" spans="1:2" x14ac:dyDescent="0.25">
      <c r="A23903" s="64" t="str">
        <f>HYPERLINK("http://www.twitter.com/pmcray", "pmcray")</f>
        <v>pmcray</v>
      </c>
      <c r="B23903" s="65" t="s">
        <v>3955</v>
      </c>
    </row>
    <row r="23904" spans="1:2" x14ac:dyDescent="0.25">
      <c r="A23904" s="64" t="str">
        <f>HYPERLINK("http://www.twitter.com/jaredfholgate", "jaredfholgate")</f>
        <v>jaredfholgate</v>
      </c>
      <c r="B23904" s="65" t="s">
        <v>10708</v>
      </c>
    </row>
    <row r="23905" spans="1:2" x14ac:dyDescent="0.25">
      <c r="A23905" s="64" t="str">
        <f>HYPERLINK("http://www.twitter.com/RER919", "RER919")</f>
        <v>RER919</v>
      </c>
      <c r="B23905" s="65"/>
    </row>
    <row r="23906" spans="1:2" x14ac:dyDescent="0.25">
      <c r="A23906" s="64" t="str">
        <f>HYPERLINK("http://www.twitter.com/Meesmeister", "Meesmeister")</f>
        <v>Meesmeister</v>
      </c>
      <c r="B23906" s="65"/>
    </row>
    <row r="23907" spans="1:2" x14ac:dyDescent="0.25">
      <c r="A23907" s="64" t="str">
        <f>HYPERLINK("http://www.twitter.com/wttgilly", "wttgilly")</f>
        <v>wttgilly</v>
      </c>
      <c r="B23907" s="65" t="s">
        <v>10709</v>
      </c>
    </row>
    <row r="23908" spans="1:2" x14ac:dyDescent="0.25">
      <c r="A23908" s="64" t="str">
        <f>HYPERLINK("http://www.twitter.com/EHCliffe", "EHCliffe")</f>
        <v>EHCliffe</v>
      </c>
      <c r="B23908" s="65" t="s">
        <v>3483</v>
      </c>
    </row>
    <row r="23909" spans="1:2" x14ac:dyDescent="0.25">
      <c r="A23909" s="64" t="str">
        <f>HYPERLINK("http://www.twitter.com/smithlh", "smithlh")</f>
        <v>smithlh</v>
      </c>
      <c r="B23909" s="65" t="s">
        <v>24</v>
      </c>
    </row>
    <row r="23910" spans="1:2" x14ac:dyDescent="0.25">
      <c r="A23910" s="64" t="str">
        <f>HYPERLINK("http://www.twitter.com/tinelala", "tinelala")</f>
        <v>tinelala</v>
      </c>
      <c r="B23910" s="65" t="s">
        <v>517</v>
      </c>
    </row>
    <row r="23911" spans="1:2" x14ac:dyDescent="0.25">
      <c r="A23911" s="64" t="str">
        <f>HYPERLINK("http://www.twitter.com/Jfarrers", "Jfarrers")</f>
        <v>Jfarrers</v>
      </c>
      <c r="B23911" s="65" t="s">
        <v>10710</v>
      </c>
    </row>
    <row r="23912" spans="1:2" x14ac:dyDescent="0.25">
      <c r="A23912" s="64" t="str">
        <f>HYPERLINK("http://www.twitter.com/ReadyPlayer0", "ReadyPlayer0")</f>
        <v>ReadyPlayer0</v>
      </c>
      <c r="B23912" s="65"/>
    </row>
    <row r="23913" spans="1:2" x14ac:dyDescent="0.25">
      <c r="A23913" s="64" t="str">
        <f>HYPERLINK("http://www.twitter.com/beckymorris0", "beckymorris0")</f>
        <v>beckymorris0</v>
      </c>
      <c r="B23913" s="65"/>
    </row>
    <row r="23914" spans="1:2" x14ac:dyDescent="0.25">
      <c r="A23914" s="64" t="str">
        <f>HYPERLINK("http://www.twitter.com/faithfulheart1", "faithfulheart1")</f>
        <v>faithfulheart1</v>
      </c>
      <c r="B23914" s="65"/>
    </row>
    <row r="23915" spans="1:2" x14ac:dyDescent="0.25">
      <c r="A23915" s="64" t="str">
        <f>HYPERLINK("http://www.twitter.com/ShannonMore_", "ShannonMore_")</f>
        <v>ShannonMore_</v>
      </c>
      <c r="B23915" s="65" t="s">
        <v>10711</v>
      </c>
    </row>
    <row r="23916" spans="1:2" x14ac:dyDescent="0.25">
      <c r="A23916" s="64" t="str">
        <f>HYPERLINK("http://www.twitter.com/eleanormacfar", "eleanormacfar")</f>
        <v>eleanormacfar</v>
      </c>
      <c r="B23916" s="65" t="s">
        <v>36</v>
      </c>
    </row>
    <row r="23917" spans="1:2" x14ac:dyDescent="0.25">
      <c r="A23917" s="64" t="str">
        <f>HYPERLINK("http://www.twitter.com/jamescoxon", "jamescoxon")</f>
        <v>jamescoxon</v>
      </c>
      <c r="B23917" s="65"/>
    </row>
    <row r="23918" spans="1:2" x14ac:dyDescent="0.25">
      <c r="A23918" s="64" t="str">
        <f>HYPERLINK("http://www.twitter.com/janekelly43", "janekelly43")</f>
        <v>janekelly43</v>
      </c>
      <c r="B23918" s="65"/>
    </row>
    <row r="23919" spans="1:2" x14ac:dyDescent="0.25">
      <c r="A23919" s="64" t="str">
        <f>HYPERLINK("http://www.twitter.com/Homevixen", "Homevixen")</f>
        <v>Homevixen</v>
      </c>
      <c r="B23919" s="65"/>
    </row>
    <row r="23920" spans="1:2" x14ac:dyDescent="0.25">
      <c r="A23920" s="64" t="str">
        <f>HYPERLINK("http://www.twitter.com/Cam111eri", "Cam111eri")</f>
        <v>Cam111eri</v>
      </c>
      <c r="B23920" s="65" t="s">
        <v>70</v>
      </c>
    </row>
    <row r="23921" spans="1:2" x14ac:dyDescent="0.25">
      <c r="A23921" s="64" t="str">
        <f>HYPERLINK("http://www.twitter.com/paulcgribben", "paulcgribben")</f>
        <v>paulcgribben</v>
      </c>
      <c r="B23921" s="65" t="s">
        <v>36</v>
      </c>
    </row>
    <row r="23922" spans="1:2" x14ac:dyDescent="0.25">
      <c r="A23922" s="64" t="str">
        <f>HYPERLINK("http://www.twitter.com/CaptainFudge", "CaptainFudge")</f>
        <v>CaptainFudge</v>
      </c>
      <c r="B23922" s="65"/>
    </row>
    <row r="23923" spans="1:2" x14ac:dyDescent="0.25">
      <c r="A23923" s="64" t="str">
        <f>HYPERLINK("http://www.twitter.com/ptrayno1903", "ptrayno1903")</f>
        <v>ptrayno1903</v>
      </c>
      <c r="B23923" s="65"/>
    </row>
    <row r="23924" spans="1:2" x14ac:dyDescent="0.25">
      <c r="A23924" s="64" t="str">
        <f>HYPERLINK("http://www.twitter.com/SteveSmith1978", "SteveSmith1978")</f>
        <v>SteveSmith1978</v>
      </c>
      <c r="B23924" s="65"/>
    </row>
    <row r="23925" spans="1:2" x14ac:dyDescent="0.25">
      <c r="A23925" s="64" t="str">
        <f>HYPERLINK("http://www.twitter.com/ManeeshD", "ManeeshD")</f>
        <v>ManeeshD</v>
      </c>
      <c r="B23925" s="65" t="s">
        <v>4243</v>
      </c>
    </row>
    <row r="23926" spans="1:2" x14ac:dyDescent="0.25">
      <c r="A23926" s="64" t="str">
        <f>HYPERLINK("http://www.twitter.com/philip_deane", "philip_deane")</f>
        <v>philip_deane</v>
      </c>
      <c r="B23926" s="65" t="s">
        <v>10712</v>
      </c>
    </row>
    <row r="23927" spans="1:2" x14ac:dyDescent="0.25">
      <c r="A23927" s="64" t="str">
        <f>HYPERLINK("http://www.twitter.com/domioGeordio", "domioGeordio")</f>
        <v>domioGeordio</v>
      </c>
      <c r="B23927" s="65" t="s">
        <v>10713</v>
      </c>
    </row>
    <row r="23928" spans="1:2" x14ac:dyDescent="0.25">
      <c r="A23928" s="64" t="str">
        <f>HYPERLINK("http://www.twitter.com/bbbrieger", "bbbrieger")</f>
        <v>bbbrieger</v>
      </c>
      <c r="B23928" s="65" t="s">
        <v>10714</v>
      </c>
    </row>
    <row r="23929" spans="1:2" x14ac:dyDescent="0.25">
      <c r="A23929" s="64" t="str">
        <f>HYPERLINK("http://www.twitter.com/guswhist", "guswhist")</f>
        <v>guswhist</v>
      </c>
      <c r="B23929" s="65"/>
    </row>
    <row r="23930" spans="1:2" x14ac:dyDescent="0.25">
      <c r="A23930" s="64" t="str">
        <f>HYPERLINK("http://www.twitter.com/_jennabenna", "_jennabenna")</f>
        <v>_jennabenna</v>
      </c>
      <c r="B23930" s="65" t="s">
        <v>808</v>
      </c>
    </row>
    <row r="23931" spans="1:2" x14ac:dyDescent="0.25">
      <c r="A23931" s="64" t="str">
        <f>HYPERLINK("http://www.twitter.com/parkerthebaker", "parkerthebaker")</f>
        <v>parkerthebaker</v>
      </c>
      <c r="B23931" s="65"/>
    </row>
    <row r="23932" spans="1:2" x14ac:dyDescent="0.25">
      <c r="A23932" s="64" t="str">
        <f>HYPERLINK("http://www.twitter.com/phil_b", "phil_b")</f>
        <v>phil_b</v>
      </c>
      <c r="B23932" s="65"/>
    </row>
    <row r="23933" spans="1:2" x14ac:dyDescent="0.25">
      <c r="A23933" s="64" t="str">
        <f>HYPERLINK("http://www.twitter.com/Dan_de_Souza", "Dan_de_Souza")</f>
        <v>Dan_de_Souza</v>
      </c>
      <c r="B23933" s="65" t="s">
        <v>36</v>
      </c>
    </row>
    <row r="23934" spans="1:2" x14ac:dyDescent="0.25">
      <c r="A23934" s="64" t="str">
        <f>HYPERLINK("http://www.twitter.com/nonsensemonster", "nonsensemonster")</f>
        <v>nonsensemonster</v>
      </c>
      <c r="B23934" s="65"/>
    </row>
    <row r="23935" spans="1:2" x14ac:dyDescent="0.25">
      <c r="A23935" s="64" t="str">
        <f>HYPERLINK("http://www.twitter.com/doucelassie", "doucelassie")</f>
        <v>doucelassie</v>
      </c>
      <c r="B23935" s="65" t="s">
        <v>517</v>
      </c>
    </row>
    <row r="23936" spans="1:2" x14ac:dyDescent="0.25">
      <c r="A23936" s="64" t="str">
        <f>HYPERLINK("http://www.twitter.com/mikewilks58", "mikewilks58")</f>
        <v>mikewilks58</v>
      </c>
      <c r="B23936" s="65"/>
    </row>
    <row r="23937" spans="1:2" x14ac:dyDescent="0.25">
      <c r="A23937" s="64" t="str">
        <f>HYPERLINK("http://www.twitter.com/mur0360", "mur0360")</f>
        <v>mur0360</v>
      </c>
      <c r="B23937" s="65" t="s">
        <v>180</v>
      </c>
    </row>
    <row r="23938" spans="1:2" x14ac:dyDescent="0.25">
      <c r="A23938" s="64" t="str">
        <f>HYPERLINK("http://www.twitter.com/plattmom", "plattmom")</f>
        <v>plattmom</v>
      </c>
      <c r="B23938" s="65" t="s">
        <v>10715</v>
      </c>
    </row>
    <row r="23939" spans="1:2" x14ac:dyDescent="0.25">
      <c r="A23939" s="64" t="str">
        <f>HYPERLINK("http://www.twitter.com/jiles13", "jiles13")</f>
        <v>jiles13</v>
      </c>
      <c r="B23939" s="65" t="s">
        <v>2725</v>
      </c>
    </row>
    <row r="23940" spans="1:2" x14ac:dyDescent="0.25">
      <c r="A23940" s="64" t="str">
        <f>HYPERLINK("http://www.twitter.com/Leathanach", "Leathanach")</f>
        <v>Leathanach</v>
      </c>
      <c r="B23940" s="65" t="s">
        <v>10716</v>
      </c>
    </row>
    <row r="23941" spans="1:2" x14ac:dyDescent="0.25">
      <c r="A23941" s="64" t="str">
        <f>HYPERLINK("http://www.twitter.com/LeslieTimothy", "LeslieTimothy")</f>
        <v>LeslieTimothy</v>
      </c>
      <c r="B23941" s="65"/>
    </row>
    <row r="23942" spans="1:2" x14ac:dyDescent="0.25">
      <c r="A23942" s="64" t="str">
        <f>HYPERLINK("http://www.twitter.com/trevgrant88", "trevgrant88")</f>
        <v>trevgrant88</v>
      </c>
      <c r="B23942" s="65"/>
    </row>
    <row r="23943" spans="1:2" x14ac:dyDescent="0.25">
      <c r="A23943" s="64" t="str">
        <f>HYPERLINK("http://www.twitter.com/adelelomax", "adelelomax")</f>
        <v>adelelomax</v>
      </c>
      <c r="B23943" s="65"/>
    </row>
    <row r="23944" spans="1:2" x14ac:dyDescent="0.25">
      <c r="A23944" s="64" t="str">
        <f>HYPERLINK("http://www.twitter.com/nickysouthport", "nickysouthport")</f>
        <v>nickysouthport</v>
      </c>
      <c r="B23944" s="65" t="s">
        <v>102</v>
      </c>
    </row>
    <row r="23945" spans="1:2" x14ac:dyDescent="0.25">
      <c r="A23945" s="64" t="str">
        <f>HYPERLINK("http://www.twitter.com/ekent91", "ekent91")</f>
        <v>ekent91</v>
      </c>
      <c r="B23945" s="65"/>
    </row>
    <row r="23946" spans="1:2" x14ac:dyDescent="0.25">
      <c r="A23946" s="64" t="str">
        <f>HYPERLINK("http://www.twitter.com/jemblewren", "jemblewren")</f>
        <v>jemblewren</v>
      </c>
      <c r="B23946" s="65"/>
    </row>
    <row r="23947" spans="1:2" x14ac:dyDescent="0.25">
      <c r="A23947" s="64" t="str">
        <f>HYPERLINK("http://www.twitter.com/DougieLawson", "DougieLawson")</f>
        <v>DougieLawson</v>
      </c>
      <c r="B23947" s="65" t="s">
        <v>10717</v>
      </c>
    </row>
    <row r="23948" spans="1:2" x14ac:dyDescent="0.25">
      <c r="A23948" s="64" t="str">
        <f>HYPERLINK("http://www.twitter.com/KathrynMahoney", "KathrynMahoney")</f>
        <v>KathrynMahoney</v>
      </c>
      <c r="B23948" s="65" t="s">
        <v>251</v>
      </c>
    </row>
    <row r="23949" spans="1:2" x14ac:dyDescent="0.25">
      <c r="A23949" s="64" t="str">
        <f>HYPERLINK("http://www.twitter.com/yokiobuerruz", "yokiobuerruz")</f>
        <v>yokiobuerruz</v>
      </c>
      <c r="B23949" s="65" t="s">
        <v>9121</v>
      </c>
    </row>
    <row r="23950" spans="1:2" x14ac:dyDescent="0.25">
      <c r="A23950" s="64" t="str">
        <f>HYPERLINK("http://www.twitter.com/domcovkid", "domcovkid")</f>
        <v>domcovkid</v>
      </c>
      <c r="B23950" s="65" t="s">
        <v>10718</v>
      </c>
    </row>
    <row r="23951" spans="1:2" x14ac:dyDescent="0.25">
      <c r="A23951" s="64" t="str">
        <f>HYPERLINK("http://www.twitter.com/SanneWalraven", "SanneWalraven")</f>
        <v>SanneWalraven</v>
      </c>
      <c r="B23951" s="65"/>
    </row>
    <row r="23952" spans="1:2" x14ac:dyDescent="0.25">
      <c r="A23952" s="64" t="str">
        <f>HYPERLINK("http://www.twitter.com/harrison_linda", "harrison_linda")</f>
        <v>harrison_linda</v>
      </c>
      <c r="B23952" s="65"/>
    </row>
    <row r="23953" spans="1:2" x14ac:dyDescent="0.25">
      <c r="A23953" s="64" t="str">
        <f>HYPERLINK("http://www.twitter.com/lmthorburn", "lmthorburn")</f>
        <v>lmthorburn</v>
      </c>
      <c r="B23953" s="65"/>
    </row>
    <row r="23954" spans="1:2" x14ac:dyDescent="0.25">
      <c r="A23954" s="64" t="str">
        <f>HYPERLINK("http://www.twitter.com/robawilson", "robawilson")</f>
        <v>robawilson</v>
      </c>
      <c r="B23954" s="65"/>
    </row>
    <row r="23955" spans="1:2" x14ac:dyDescent="0.25">
      <c r="A23955" s="64" t="str">
        <f>HYPERLINK("http://www.twitter.com/big_lise", "big_lise")</f>
        <v>big_lise</v>
      </c>
      <c r="B23955" s="65"/>
    </row>
    <row r="23956" spans="1:2" x14ac:dyDescent="0.25">
      <c r="A23956" s="64" t="str">
        <f>HYPERLINK("http://www.twitter.com/linguistlaura", "linguistlaura")</f>
        <v>linguistlaura</v>
      </c>
      <c r="B23956" s="65" t="s">
        <v>10719</v>
      </c>
    </row>
    <row r="23957" spans="1:2" x14ac:dyDescent="0.25">
      <c r="A23957" s="64" t="str">
        <f>HYPERLINK("http://www.twitter.com/ayeshasha09", "ayeshasha09")</f>
        <v>ayeshasha09</v>
      </c>
      <c r="B23957" s="65" t="s">
        <v>10720</v>
      </c>
    </row>
    <row r="23958" spans="1:2" x14ac:dyDescent="0.25">
      <c r="A23958" s="64" t="str">
        <f>HYPERLINK("http://www.twitter.com/ZoeDyason", "ZoeDyason")</f>
        <v>ZoeDyason</v>
      </c>
      <c r="B23958" s="65" t="s">
        <v>1479</v>
      </c>
    </row>
    <row r="23959" spans="1:2" x14ac:dyDescent="0.25">
      <c r="A23959" s="64" t="str">
        <f>HYPERLINK("http://www.twitter.com/emily_lwk", "emily_lwk")</f>
        <v>emily_lwk</v>
      </c>
      <c r="B23959" s="65" t="s">
        <v>3921</v>
      </c>
    </row>
    <row r="23960" spans="1:2" x14ac:dyDescent="0.25">
      <c r="A23960" s="64" t="str">
        <f>HYPERLINK("http://www.twitter.com/Rob_Greig", "Rob_Greig")</f>
        <v>Rob_Greig</v>
      </c>
      <c r="B23960" s="65" t="s">
        <v>10721</v>
      </c>
    </row>
    <row r="23961" spans="1:2" x14ac:dyDescent="0.25">
      <c r="A23961" s="64" t="str">
        <f>HYPERLINK("http://www.twitter.com/FionaMountain", "FionaMountain")</f>
        <v>FionaMountain</v>
      </c>
      <c r="B23961" s="65" t="s">
        <v>871</v>
      </c>
    </row>
    <row r="23962" spans="1:2" x14ac:dyDescent="0.25">
      <c r="A23962" s="64" t="str">
        <f>HYPERLINK("http://www.twitter.com/BaileyNagy", "BaileyNagy")</f>
        <v>BaileyNagy</v>
      </c>
      <c r="B23962" s="65" t="s">
        <v>10722</v>
      </c>
    </row>
    <row r="23963" spans="1:2" x14ac:dyDescent="0.25">
      <c r="A23963" s="64" t="str">
        <f>HYPERLINK("http://www.twitter.com/alison_drennan", "alison_drennan")</f>
        <v>alison_drennan</v>
      </c>
      <c r="B23963" s="65" t="s">
        <v>487</v>
      </c>
    </row>
    <row r="23964" spans="1:2" x14ac:dyDescent="0.25">
      <c r="A23964" s="64" t="str">
        <f>HYPERLINK("http://www.twitter.com/stromness_747", "stromness_747")</f>
        <v>stromness_747</v>
      </c>
      <c r="B23964" s="65" t="s">
        <v>10723</v>
      </c>
    </row>
    <row r="23965" spans="1:2" x14ac:dyDescent="0.25">
      <c r="A23965" s="64" t="str">
        <f>HYPERLINK("http://www.twitter.com/alicereynolds_", "alicereynolds_")</f>
        <v>alicereynolds_</v>
      </c>
      <c r="B23965" s="65"/>
    </row>
    <row r="23966" spans="1:2" x14ac:dyDescent="0.25">
      <c r="A23966" s="64" t="str">
        <f>HYPERLINK("http://www.twitter.com/DebbietaylorA", "DebbietaylorA")</f>
        <v>DebbietaylorA</v>
      </c>
      <c r="B23966" s="65"/>
    </row>
    <row r="23967" spans="1:2" x14ac:dyDescent="0.25">
      <c r="A23967" s="64" t="str">
        <f>HYPERLINK("http://www.twitter.com/WordyRappinHood", "WordyRappinHood")</f>
        <v>WordyRappinHood</v>
      </c>
      <c r="B23967" s="65"/>
    </row>
    <row r="23968" spans="1:2" x14ac:dyDescent="0.25">
      <c r="A23968" s="64" t="str">
        <f>HYPERLINK("http://www.twitter.com/KerryWarman14", "KerryWarman14")</f>
        <v>KerryWarman14</v>
      </c>
      <c r="B23968" s="65"/>
    </row>
    <row r="23969" spans="1:2" x14ac:dyDescent="0.25">
      <c r="A23969" s="64" t="str">
        <f>HYPERLINK("http://www.twitter.com/hounslowculture", "hounslowculture")</f>
        <v>hounslowculture</v>
      </c>
      <c r="B23969" s="65" t="s">
        <v>645</v>
      </c>
    </row>
    <row r="23970" spans="1:2" x14ac:dyDescent="0.25">
      <c r="A23970" s="64" t="str">
        <f>HYPERLINK("http://www.twitter.com/gibbzer", "gibbzer")</f>
        <v>gibbzer</v>
      </c>
      <c r="B23970" s="65"/>
    </row>
    <row r="23971" spans="1:2" x14ac:dyDescent="0.25">
      <c r="A23971" s="64" t="str">
        <f>HYPERLINK("http://www.twitter.com/clils", "clils")</f>
        <v>clils</v>
      </c>
      <c r="B23971" s="65" t="s">
        <v>477</v>
      </c>
    </row>
    <row r="23972" spans="1:2" x14ac:dyDescent="0.25">
      <c r="A23972" s="64" t="str">
        <f>HYPERLINK("http://www.twitter.com/lucylayfield", "lucylayfield")</f>
        <v>lucylayfield</v>
      </c>
      <c r="B23972" s="65"/>
    </row>
    <row r="23973" spans="1:2" x14ac:dyDescent="0.25">
      <c r="A23973" s="64" t="str">
        <f>HYPERLINK("http://www.twitter.com/forbes_pauline", "forbes_pauline")</f>
        <v>forbes_pauline</v>
      </c>
      <c r="B23973" s="65"/>
    </row>
    <row r="23974" spans="1:2" x14ac:dyDescent="0.25">
      <c r="A23974" s="64" t="str">
        <f>HYPERLINK("http://www.twitter.com/richfrankrich", "richfrankrich")</f>
        <v>richfrankrich</v>
      </c>
      <c r="B23974" s="65" t="s">
        <v>10352</v>
      </c>
    </row>
    <row r="23975" spans="1:2" x14ac:dyDescent="0.25">
      <c r="A23975" s="64" t="str">
        <f>HYPERLINK("http://www.twitter.com/jolay1", "jolay1")</f>
        <v>jolay1</v>
      </c>
      <c r="B23975" s="65" t="s">
        <v>5156</v>
      </c>
    </row>
    <row r="23976" spans="1:2" x14ac:dyDescent="0.25">
      <c r="A23976" s="64" t="str">
        <f>HYPERLINK("http://www.twitter.com/dawnafinch", "dawnafinch")</f>
        <v>dawnafinch</v>
      </c>
      <c r="B23976" s="65" t="s">
        <v>4862</v>
      </c>
    </row>
    <row r="23977" spans="1:2" x14ac:dyDescent="0.25">
      <c r="A23977" s="64" t="str">
        <f>HYPERLINK("http://www.twitter.com/AstridClark", "AstridClark")</f>
        <v>AstridClark</v>
      </c>
      <c r="B23977" s="65"/>
    </row>
    <row r="23978" spans="1:2" x14ac:dyDescent="0.25">
      <c r="A23978" s="64" t="str">
        <f>HYPERLINK("http://www.twitter.com/EllieLCampbell", "EllieLCampbell")</f>
        <v>EllieLCampbell</v>
      </c>
      <c r="B23978" s="65"/>
    </row>
    <row r="23979" spans="1:2" x14ac:dyDescent="0.25">
      <c r="A23979" s="64" t="str">
        <f>HYPERLINK("http://www.twitter.com/gaco79", "gaco79")</f>
        <v>gaco79</v>
      </c>
      <c r="B23979" s="65" t="s">
        <v>10724</v>
      </c>
    </row>
    <row r="23980" spans="1:2" x14ac:dyDescent="0.25">
      <c r="A23980" s="64" t="str">
        <f>HYPERLINK("http://www.twitter.com/sobrox", "sobrox")</f>
        <v>sobrox</v>
      </c>
      <c r="B23980" s="65" t="s">
        <v>2557</v>
      </c>
    </row>
    <row r="23981" spans="1:2" x14ac:dyDescent="0.25">
      <c r="A23981" s="64" t="str">
        <f>HYPERLINK("http://www.twitter.com/Sus_Hunter20", "Sus_Hunter20")</f>
        <v>Sus_Hunter20</v>
      </c>
      <c r="B23981" s="65" t="s">
        <v>4324</v>
      </c>
    </row>
    <row r="23982" spans="1:2" x14ac:dyDescent="0.25">
      <c r="A23982" s="64" t="str">
        <f>HYPERLINK("http://www.twitter.com/clareculator", "clareculator")</f>
        <v>clareculator</v>
      </c>
      <c r="B23982" s="65" t="s">
        <v>24</v>
      </c>
    </row>
    <row r="23983" spans="1:2" x14ac:dyDescent="0.25">
      <c r="A23983" s="64" t="str">
        <f>HYPERLINK("http://www.twitter.com/joshjamesgreen", "joshjamesgreen")</f>
        <v>joshjamesgreen</v>
      </c>
      <c r="B23983" s="65" t="s">
        <v>10725</v>
      </c>
    </row>
    <row r="23984" spans="1:2" x14ac:dyDescent="0.25">
      <c r="A23984" s="64" t="str">
        <f>HYPERLINK("http://www.twitter.com/sammii1323", "sammii1323")</f>
        <v>sammii1323</v>
      </c>
      <c r="B23984" s="65"/>
    </row>
    <row r="23985" spans="1:2" x14ac:dyDescent="0.25">
      <c r="A23985" s="64" t="str">
        <f>HYPERLINK("http://www.twitter.com/1stGraphics", "1stGraphics")</f>
        <v>1stGraphics</v>
      </c>
      <c r="B23985" s="65" t="s">
        <v>10726</v>
      </c>
    </row>
    <row r="23986" spans="1:2" x14ac:dyDescent="0.25">
      <c r="A23986" s="64" t="str">
        <f>HYPERLINK("http://www.twitter.com/carolinep0", "carolinep0")</f>
        <v>carolinep0</v>
      </c>
      <c r="B23986" s="65"/>
    </row>
    <row r="23987" spans="1:2" x14ac:dyDescent="0.25">
      <c r="A23987" s="64" t="str">
        <f>HYPERLINK("http://www.twitter.com/juliedearness", "juliedearness")</f>
        <v>juliedearness</v>
      </c>
      <c r="B23987" s="65" t="s">
        <v>10727</v>
      </c>
    </row>
    <row r="23988" spans="1:2" x14ac:dyDescent="0.25">
      <c r="A23988" s="64" t="str">
        <f>HYPERLINK("http://www.twitter.com/JonRidge", "JonRidge")</f>
        <v>JonRidge</v>
      </c>
      <c r="B23988" s="65" t="s">
        <v>4040</v>
      </c>
    </row>
    <row r="23989" spans="1:2" x14ac:dyDescent="0.25">
      <c r="A23989" s="64" t="str">
        <f>HYPERLINK("http://www.twitter.com/swengla", "swengla")</f>
        <v>swengla</v>
      </c>
      <c r="B23989" s="65"/>
    </row>
    <row r="23990" spans="1:2" x14ac:dyDescent="0.25">
      <c r="A23990" s="64" t="str">
        <f>HYPERLINK("http://www.twitter.com/lacuna124", "lacuna124")</f>
        <v>lacuna124</v>
      </c>
      <c r="B23990" s="65" t="s">
        <v>514</v>
      </c>
    </row>
    <row r="23991" spans="1:2" x14ac:dyDescent="0.25">
      <c r="A23991" s="64" t="str">
        <f>HYPERLINK("http://www.twitter.com/lynne1950watson", "lynne1950watson")</f>
        <v>lynne1950watson</v>
      </c>
      <c r="B23991" s="65"/>
    </row>
    <row r="23992" spans="1:2" x14ac:dyDescent="0.25">
      <c r="A23992" s="64" t="str">
        <f>HYPERLINK("http://www.twitter.com/OliverBrett", "OliverBrett")</f>
        <v>OliverBrett</v>
      </c>
      <c r="B23992" s="65" t="s">
        <v>10728</v>
      </c>
    </row>
    <row r="23993" spans="1:2" x14ac:dyDescent="0.25">
      <c r="A23993" s="64" t="str">
        <f>HYPERLINK("http://www.twitter.com/alisongailer", "alisongailer")</f>
        <v>alisongailer</v>
      </c>
      <c r="B23993" s="65"/>
    </row>
    <row r="23994" spans="1:2" x14ac:dyDescent="0.25">
      <c r="A23994" s="64" t="str">
        <f>HYPERLINK("http://www.twitter.com/NW11851", "NW11851")</f>
        <v>NW11851</v>
      </c>
      <c r="B23994" s="65" t="s">
        <v>730</v>
      </c>
    </row>
    <row r="23995" spans="1:2" x14ac:dyDescent="0.25">
      <c r="A23995" s="64" t="str">
        <f>HYPERLINK("http://www.twitter.com/JoBoyne", "JoBoyne")</f>
        <v>JoBoyne</v>
      </c>
      <c r="B23995" s="65" t="s">
        <v>10729</v>
      </c>
    </row>
    <row r="23996" spans="1:2" x14ac:dyDescent="0.25">
      <c r="A23996" s="64" t="str">
        <f>HYPERLINK("http://www.twitter.com/Lorna_Stories", "Lorna_Stories")</f>
        <v>Lorna_Stories</v>
      </c>
      <c r="B23996" s="65" t="s">
        <v>296</v>
      </c>
    </row>
    <row r="23997" spans="1:2" x14ac:dyDescent="0.25">
      <c r="A23997" s="64" t="str">
        <f>HYPERLINK("http://www.twitter.com/GMRCNitshill", "GMRCNitshill")</f>
        <v>GMRCNitshill</v>
      </c>
      <c r="B23997" s="65" t="s">
        <v>10730</v>
      </c>
    </row>
    <row r="23998" spans="1:2" x14ac:dyDescent="0.25">
      <c r="A23998" s="64" t="str">
        <f>HYPERLINK("http://www.twitter.com/helenkeyes70", "helenkeyes70")</f>
        <v>helenkeyes70</v>
      </c>
      <c r="B23998" s="65"/>
    </row>
    <row r="23999" spans="1:2" x14ac:dyDescent="0.25">
      <c r="A23999" s="64" t="str">
        <f>HYPERLINK("http://www.twitter.com/grumpyoldbookwm", "grumpyoldbookwm")</f>
        <v>grumpyoldbookwm</v>
      </c>
      <c r="B23999" s="65"/>
    </row>
    <row r="24000" spans="1:2" x14ac:dyDescent="0.25">
      <c r="A24000" s="64" t="str">
        <f>HYPERLINK("http://www.twitter.com/GlennyRodge", "GlennyRodge")</f>
        <v>GlennyRodge</v>
      </c>
      <c r="B24000" s="65"/>
    </row>
    <row r="24001" spans="1:2" x14ac:dyDescent="0.25">
      <c r="A24001" s="64" t="str">
        <f>HYPERLINK("http://www.twitter.com/wet_kipper", "wet_kipper")</f>
        <v>wet_kipper</v>
      </c>
      <c r="B24001" s="65" t="s">
        <v>517</v>
      </c>
    </row>
    <row r="24002" spans="1:2" x14ac:dyDescent="0.25">
      <c r="A24002" s="64" t="str">
        <f>HYPERLINK("http://www.twitter.com/EllieMaskova", "EllieMaskova")</f>
        <v>EllieMaskova</v>
      </c>
      <c r="B24002" s="65" t="s">
        <v>10731</v>
      </c>
    </row>
    <row r="24003" spans="1:2" x14ac:dyDescent="0.25">
      <c r="A24003" s="64" t="str">
        <f>HYPERLINK("http://www.twitter.com/evacatherine_p", "evacatherine_p")</f>
        <v>evacatherine_p</v>
      </c>
      <c r="B24003" s="65" t="s">
        <v>10732</v>
      </c>
    </row>
    <row r="24004" spans="1:2" x14ac:dyDescent="0.25">
      <c r="A24004" s="64" t="str">
        <f>HYPERLINK("http://www.twitter.com/colonpress", "colonpress")</f>
        <v>colonpress</v>
      </c>
      <c r="B24004" s="65" t="s">
        <v>10733</v>
      </c>
    </row>
    <row r="24005" spans="1:2" x14ac:dyDescent="0.25">
      <c r="A24005" s="64" t="str">
        <f>HYPERLINK("http://www.twitter.com/plaine_vicky", "plaine_vicky")</f>
        <v>plaine_vicky</v>
      </c>
      <c r="B24005" s="65"/>
    </row>
    <row r="24006" spans="1:2" x14ac:dyDescent="0.25">
      <c r="A24006" s="64" t="str">
        <f>HYPERLINK("http://www.twitter.com/tracy666666", "tracy666666")</f>
        <v>tracy666666</v>
      </c>
      <c r="B24006" s="65"/>
    </row>
    <row r="24007" spans="1:2" x14ac:dyDescent="0.25">
      <c r="A24007" s="64" t="str">
        <f>HYPERLINK("http://www.twitter.com/gbzraj", "gbzraj")</f>
        <v>gbzraj</v>
      </c>
      <c r="B24007" s="65"/>
    </row>
    <row r="24008" spans="1:2" x14ac:dyDescent="0.25">
      <c r="A24008" s="64" t="str">
        <f>HYPERLINK("http://www.twitter.com/hamchick", "hamchick")</f>
        <v>hamchick</v>
      </c>
      <c r="B24008" s="65" t="s">
        <v>10734</v>
      </c>
    </row>
    <row r="24009" spans="1:2" x14ac:dyDescent="0.25">
      <c r="A24009" s="64" t="str">
        <f>HYPERLINK("http://www.twitter.com/shoebox25", "shoebox25")</f>
        <v>shoebox25</v>
      </c>
      <c r="B24009" s="65" t="s">
        <v>10735</v>
      </c>
    </row>
    <row r="24010" spans="1:2" x14ac:dyDescent="0.25">
      <c r="A24010" s="64" t="str">
        <f>HYPERLINK("http://www.twitter.com/RadioProducerUK", "RadioProducerUK")</f>
        <v>RadioProducerUK</v>
      </c>
      <c r="B24010" s="65" t="s">
        <v>10736</v>
      </c>
    </row>
    <row r="24011" spans="1:2" x14ac:dyDescent="0.25">
      <c r="A24011" s="64" t="str">
        <f>HYPERLINK("http://www.twitter.com/wrightmurkin", "wrightmurkin")</f>
        <v>wrightmurkin</v>
      </c>
      <c r="B24011" s="65"/>
    </row>
    <row r="24012" spans="1:2" x14ac:dyDescent="0.25">
      <c r="A24012" s="64" t="str">
        <f>HYPERLINK("http://www.twitter.com/sallyrholder", "sallyrholder")</f>
        <v>sallyrholder</v>
      </c>
      <c r="B24012" s="65" t="s">
        <v>10737</v>
      </c>
    </row>
    <row r="24013" spans="1:2" x14ac:dyDescent="0.25">
      <c r="A24013" s="64" t="str">
        <f>HYPERLINK("http://www.twitter.com/missflorapost", "missflorapost")</f>
        <v>missflorapost</v>
      </c>
      <c r="B24013" s="65"/>
    </row>
    <row r="24014" spans="1:2" x14ac:dyDescent="0.25">
      <c r="A24014" s="64" t="str">
        <f>HYPERLINK("http://www.twitter.com/alans_bird", "alans_bird")</f>
        <v>alans_bird</v>
      </c>
      <c r="B24014" s="65" t="s">
        <v>5965</v>
      </c>
    </row>
    <row r="24015" spans="1:2" x14ac:dyDescent="0.25">
      <c r="A24015" s="64" t="str">
        <f>HYPERLINK("http://www.twitter.com/made_of_sand", "made_of_sand")</f>
        <v>made_of_sand</v>
      </c>
      <c r="B24015" s="65"/>
    </row>
    <row r="24016" spans="1:2" x14ac:dyDescent="0.25">
      <c r="A24016" s="64" t="str">
        <f>HYPERLINK("http://www.twitter.com/totallygriffin", "totallygriffin")</f>
        <v>totallygriffin</v>
      </c>
      <c r="B24016" s="65" t="s">
        <v>138</v>
      </c>
    </row>
    <row r="24017" spans="1:2" x14ac:dyDescent="0.25">
      <c r="A24017" s="64" t="str">
        <f>HYPERLINK("http://www.twitter.com/vandaltwo", "vandaltwo")</f>
        <v>vandaltwo</v>
      </c>
      <c r="B24017" s="65" t="s">
        <v>2583</v>
      </c>
    </row>
    <row r="24018" spans="1:2" x14ac:dyDescent="0.25">
      <c r="A24018" s="64" t="str">
        <f>HYPERLINK("http://www.twitter.com/art_sutherland", "art_sutherland")</f>
        <v>art_sutherland</v>
      </c>
      <c r="B24018" s="65" t="s">
        <v>4499</v>
      </c>
    </row>
    <row r="24019" spans="1:2" x14ac:dyDescent="0.25">
      <c r="A24019" s="64" t="str">
        <f>HYPERLINK("http://www.twitter.com/Ms_Sims_", "Ms_Sims_")</f>
        <v>Ms_Sims_</v>
      </c>
      <c r="B24019" s="65"/>
    </row>
    <row r="24020" spans="1:2" x14ac:dyDescent="0.25">
      <c r="A24020" s="64" t="str">
        <f>HYPERLINK("http://www.twitter.com/kittykatkent", "kittykatkent")</f>
        <v>kittykatkent</v>
      </c>
      <c r="B24020" s="65" t="s">
        <v>5188</v>
      </c>
    </row>
    <row r="24021" spans="1:2" x14ac:dyDescent="0.25">
      <c r="A24021" s="64" t="str">
        <f>HYPERLINK("http://www.twitter.com/weenosha", "weenosha")</f>
        <v>weenosha</v>
      </c>
      <c r="B24021" s="65"/>
    </row>
    <row r="24022" spans="1:2" x14ac:dyDescent="0.25">
      <c r="A24022" s="64" t="str">
        <f>HYPERLINK("http://www.twitter.com/annmarieAHPSLT", "annmarieAHPSLT")</f>
        <v>annmarieAHPSLT</v>
      </c>
      <c r="B24022" s="65"/>
    </row>
    <row r="24023" spans="1:2" x14ac:dyDescent="0.25">
      <c r="A24023" s="64" t="str">
        <f>HYPERLINK("http://www.twitter.com/hannahstark86", "hannahstark86")</f>
        <v>hannahstark86</v>
      </c>
      <c r="B24023" s="65"/>
    </row>
    <row r="24024" spans="1:2" x14ac:dyDescent="0.25">
      <c r="A24024" s="64" t="str">
        <f>HYPERLINK("http://www.twitter.com/JaneRusbridge", "JaneRusbridge")</f>
        <v>JaneRusbridge</v>
      </c>
      <c r="B24024" s="65" t="s">
        <v>10738</v>
      </c>
    </row>
    <row r="24025" spans="1:2" x14ac:dyDescent="0.25">
      <c r="A24025" s="64" t="str">
        <f>HYPERLINK("http://www.twitter.com/shaunwpettitt", "shaunwpettitt")</f>
        <v>shaunwpettitt</v>
      </c>
      <c r="B24025" s="65" t="s">
        <v>10739</v>
      </c>
    </row>
    <row r="24026" spans="1:2" x14ac:dyDescent="0.25">
      <c r="A24026" s="64" t="str">
        <f>HYPERLINK("http://www.twitter.com/IgniteBooks", "IgniteBooks")</f>
        <v>IgniteBooks</v>
      </c>
      <c r="B24026" s="65"/>
    </row>
    <row r="24027" spans="1:2" x14ac:dyDescent="0.25">
      <c r="A24027" s="64" t="str">
        <f>HYPERLINK("http://www.twitter.com/chr1sCarlisle", "chr1sCarlisle")</f>
        <v>chr1sCarlisle</v>
      </c>
      <c r="B24027" s="65" t="s">
        <v>1417</v>
      </c>
    </row>
    <row r="24028" spans="1:2" x14ac:dyDescent="0.25">
      <c r="A24028" s="64" t="str">
        <f>HYPERLINK("http://www.twitter.com/daveneil", "daveneil")</f>
        <v>daveneil</v>
      </c>
      <c r="B24028" s="65" t="s">
        <v>2007</v>
      </c>
    </row>
    <row r="24029" spans="1:2" x14ac:dyDescent="0.25">
      <c r="A24029" s="64" t="str">
        <f>HYPERLINK("http://www.twitter.com/podiatryunicorn", "podiatryunicorn")</f>
        <v>podiatryunicorn</v>
      </c>
      <c r="B24029" s="65"/>
    </row>
    <row r="24030" spans="1:2" x14ac:dyDescent="0.25">
      <c r="A24030" s="64" t="str">
        <f>HYPERLINK("http://www.twitter.com/pernille2017", "pernille2017")</f>
        <v>pernille2017</v>
      </c>
      <c r="B24030" s="65"/>
    </row>
    <row r="24031" spans="1:2" x14ac:dyDescent="0.25">
      <c r="A24031" s="64" t="str">
        <f>HYPERLINK("http://www.twitter.com/scotsdragonfly", "scotsdragonfly")</f>
        <v>scotsdragonfly</v>
      </c>
      <c r="B24031" s="65" t="s">
        <v>296</v>
      </c>
    </row>
    <row r="24032" spans="1:2" x14ac:dyDescent="0.25">
      <c r="A24032" s="64" t="str">
        <f>HYPERLINK("http://www.twitter.com/mistyv69", "mistyv69")</f>
        <v>mistyv69</v>
      </c>
      <c r="B24032" s="65" t="s">
        <v>10740</v>
      </c>
    </row>
    <row r="24033" spans="1:2" x14ac:dyDescent="0.25">
      <c r="A24033" s="64" t="str">
        <f>HYPERLINK("http://www.twitter.com/hads_gh", "hads_gh")</f>
        <v>hads_gh</v>
      </c>
      <c r="B24033" s="65" t="s">
        <v>10741</v>
      </c>
    </row>
    <row r="24034" spans="1:2" x14ac:dyDescent="0.25">
      <c r="A24034" s="64" t="str">
        <f>HYPERLINK("http://www.twitter.com/ryoki_e", "ryoki_e")</f>
        <v>ryoki_e</v>
      </c>
      <c r="B24034" s="65" t="s">
        <v>10742</v>
      </c>
    </row>
    <row r="24035" spans="1:2" x14ac:dyDescent="0.25">
      <c r="A24035" s="64" t="str">
        <f>HYPERLINK("http://www.twitter.com/Lelog", "Lelog")</f>
        <v>Lelog</v>
      </c>
      <c r="B24035" s="65" t="s">
        <v>248</v>
      </c>
    </row>
    <row r="24036" spans="1:2" x14ac:dyDescent="0.25">
      <c r="A24036" s="64" t="str">
        <f>HYPERLINK("http://www.twitter.com/em_mitch", "em_mitch")</f>
        <v>em_mitch</v>
      </c>
      <c r="B24036" s="65"/>
    </row>
    <row r="24037" spans="1:2" x14ac:dyDescent="0.25">
      <c r="A24037" s="64" t="str">
        <f>HYPERLINK("http://www.twitter.com/PollyLouisaR", "PollyLouisaR")</f>
        <v>PollyLouisaR</v>
      </c>
      <c r="B24037" s="65"/>
    </row>
    <row r="24038" spans="1:2" x14ac:dyDescent="0.25">
      <c r="A24038" s="64" t="str">
        <f>HYPERLINK("http://www.twitter.com/fionak777", "fionak777")</f>
        <v>fionak777</v>
      </c>
      <c r="B24038" s="65"/>
    </row>
    <row r="24039" spans="1:2" x14ac:dyDescent="0.25">
      <c r="A24039" s="64" t="str">
        <f>HYPERLINK("http://www.twitter.com/SuzyTan7", "SuzyTan7")</f>
        <v>SuzyTan7</v>
      </c>
      <c r="B24039" s="65" t="s">
        <v>296</v>
      </c>
    </row>
    <row r="24040" spans="1:2" x14ac:dyDescent="0.25">
      <c r="A24040" s="64" t="str">
        <f>HYPERLINK("http://www.twitter.com/CalWatts", "CalWatts")</f>
        <v>CalWatts</v>
      </c>
      <c r="B24040" s="65" t="s">
        <v>1490</v>
      </c>
    </row>
    <row r="24041" spans="1:2" x14ac:dyDescent="0.25">
      <c r="A24041" s="64" t="str">
        <f>HYPERLINK("http://www.twitter.com/Weave_HC", "Weave_HC")</f>
        <v>Weave_HC</v>
      </c>
      <c r="B24041" s="65"/>
    </row>
    <row r="24042" spans="1:2" x14ac:dyDescent="0.25">
      <c r="A24042" s="64" t="str">
        <f>HYPERLINK("http://www.twitter.com/dmacd62", "dmacd62")</f>
        <v>dmacd62</v>
      </c>
      <c r="B24042" s="65"/>
    </row>
    <row r="24043" spans="1:2" x14ac:dyDescent="0.25">
      <c r="A24043" s="64" t="str">
        <f>HYPERLINK("http://www.twitter.com/MummyNoonin", "MummyNoonin")</f>
        <v>MummyNoonin</v>
      </c>
      <c r="B24043" s="65"/>
    </row>
    <row r="24044" spans="1:2" x14ac:dyDescent="0.25">
      <c r="A24044" s="64" t="str">
        <f>HYPERLINK("http://www.twitter.com/web_master_dave", "web_master_dave")</f>
        <v>web_master_dave</v>
      </c>
      <c r="B24044" s="65" t="s">
        <v>10743</v>
      </c>
    </row>
    <row r="24045" spans="1:2" x14ac:dyDescent="0.25">
      <c r="A24045" s="64" t="str">
        <f>HYPERLINK("http://www.twitter.com/ScarletMoriarty", "ScarletMoriarty")</f>
        <v>ScarletMoriarty</v>
      </c>
      <c r="B24045" s="65" t="s">
        <v>3281</v>
      </c>
    </row>
    <row r="24046" spans="1:2" x14ac:dyDescent="0.25">
      <c r="A24046" s="64" t="str">
        <f>HYPERLINK("http://www.twitter.com/nikki_northcott", "nikki_northcott")</f>
        <v>nikki_northcott</v>
      </c>
      <c r="B24046" s="65" t="s">
        <v>8204</v>
      </c>
    </row>
    <row r="24047" spans="1:2" x14ac:dyDescent="0.25">
      <c r="A24047" s="64" t="str">
        <f>HYPERLINK("http://www.twitter.com/The_only_Alice", "The_only_Alice")</f>
        <v>The_only_Alice</v>
      </c>
      <c r="B24047" s="65" t="s">
        <v>296</v>
      </c>
    </row>
    <row r="24048" spans="1:2" x14ac:dyDescent="0.25">
      <c r="A24048" s="64" t="str">
        <f>HYPERLINK("http://www.twitter.com/lovelytoseeyou", "lovelytoseeyou")</f>
        <v>lovelytoseeyou</v>
      </c>
      <c r="B24048" s="65"/>
    </row>
    <row r="24049" spans="1:2" x14ac:dyDescent="0.25">
      <c r="A24049" s="64" t="str">
        <f>HYPERLINK("http://www.twitter.com/tony_shelley", "tony_shelley")</f>
        <v>tony_shelley</v>
      </c>
      <c r="B24049" s="65" t="s">
        <v>3761</v>
      </c>
    </row>
    <row r="24050" spans="1:2" x14ac:dyDescent="0.25">
      <c r="A24050" s="64" t="str">
        <f>HYPERLINK("http://www.twitter.com/GeoKitching", "GeoKitching")</f>
        <v>GeoKitching</v>
      </c>
      <c r="B24050" s="65" t="s">
        <v>10744</v>
      </c>
    </row>
    <row r="24051" spans="1:2" x14ac:dyDescent="0.25">
      <c r="A24051" s="64" t="str">
        <f>HYPERLINK("http://www.twitter.com/pablom148", "pablom148")</f>
        <v>pablom148</v>
      </c>
      <c r="B24051" s="65"/>
    </row>
    <row r="24052" spans="1:2" x14ac:dyDescent="0.25">
      <c r="A24052" s="64" t="str">
        <f>HYPERLINK("http://www.twitter.com/awd1969", "awd1969")</f>
        <v>awd1969</v>
      </c>
      <c r="B24052" s="65"/>
    </row>
    <row r="24053" spans="1:2" x14ac:dyDescent="0.25">
      <c r="A24053" s="64" t="str">
        <f>HYPERLINK("http://www.twitter.com/stevespaull", "stevespaull")</f>
        <v>stevespaull</v>
      </c>
      <c r="B24053" s="65" t="s">
        <v>630</v>
      </c>
    </row>
    <row r="24054" spans="1:2" x14ac:dyDescent="0.25">
      <c r="A24054" s="64" t="str">
        <f>HYPERLINK("http://www.twitter.com/PattiHD", "PattiHD")</f>
        <v>PattiHD</v>
      </c>
      <c r="B24054" s="65" t="s">
        <v>115</v>
      </c>
    </row>
    <row r="24055" spans="1:2" x14ac:dyDescent="0.25">
      <c r="A24055" s="64" t="str">
        <f>HYPERLINK("http://www.twitter.com/EdHancox", "EdHancox")</f>
        <v>EdHancox</v>
      </c>
      <c r="B24055" s="65" t="s">
        <v>10745</v>
      </c>
    </row>
    <row r="24056" spans="1:2" x14ac:dyDescent="0.25">
      <c r="A24056" s="64" t="str">
        <f>HYPERLINK("http://www.twitter.com/LynneRaven", "LynneRaven")</f>
        <v>LynneRaven</v>
      </c>
      <c r="B24056" s="65"/>
    </row>
    <row r="24057" spans="1:2" x14ac:dyDescent="0.25">
      <c r="A24057" s="64" t="str">
        <f>HYPERLINK("http://www.twitter.com/airvin01", "airvin01")</f>
        <v>airvin01</v>
      </c>
      <c r="B24057" s="65"/>
    </row>
    <row r="24058" spans="1:2" x14ac:dyDescent="0.25">
      <c r="A24058" s="64" t="str">
        <f>HYPERLINK("http://www.twitter.com/thoughtfox", "thoughtfox")</f>
        <v>thoughtfox</v>
      </c>
      <c r="B24058" s="65" t="s">
        <v>10746</v>
      </c>
    </row>
    <row r="24059" spans="1:2" x14ac:dyDescent="0.25">
      <c r="A24059" s="64" t="str">
        <f>HYPERLINK("http://www.twitter.com/BrianDonovan2", "BrianDonovan2")</f>
        <v>BrianDonovan2</v>
      </c>
      <c r="B24059" s="65"/>
    </row>
    <row r="24060" spans="1:2" x14ac:dyDescent="0.25">
      <c r="A24060" s="64" t="str">
        <f>HYPERLINK("http://www.twitter.com/timcullinan", "timcullinan")</f>
        <v>timcullinan</v>
      </c>
      <c r="B24060" s="65"/>
    </row>
    <row r="24061" spans="1:2" x14ac:dyDescent="0.25">
      <c r="A24061" s="64" t="str">
        <f>HYPERLINK("http://www.twitter.com/Skiweaver", "Skiweaver")</f>
        <v>Skiweaver</v>
      </c>
      <c r="B24061" s="65"/>
    </row>
    <row r="24062" spans="1:2" x14ac:dyDescent="0.25">
      <c r="A24062" s="64" t="str">
        <f>HYPERLINK("http://www.twitter.com/janiep73", "janiep73")</f>
        <v>janiep73</v>
      </c>
      <c r="B24062" s="65"/>
    </row>
    <row r="24063" spans="1:2" x14ac:dyDescent="0.25">
      <c r="A24063" s="64" t="str">
        <f>HYPERLINK("http://www.twitter.com/solvinorway", "solvinorway")</f>
        <v>solvinorway</v>
      </c>
      <c r="B24063" s="65" t="s">
        <v>4274</v>
      </c>
    </row>
    <row r="24064" spans="1:2" x14ac:dyDescent="0.25">
      <c r="A24064" s="64" t="str">
        <f>HYPERLINK("http://www.twitter.com/scarletlolly", "scarletlolly")</f>
        <v>scarletlolly</v>
      </c>
      <c r="B24064" s="65"/>
    </row>
    <row r="24065" spans="1:2" x14ac:dyDescent="0.25">
      <c r="A24065" s="64" t="str">
        <f>HYPERLINK("http://www.twitter.com/vickispreadbury", "vickispreadbury")</f>
        <v>vickispreadbury</v>
      </c>
      <c r="B24065" s="65" t="s">
        <v>10747</v>
      </c>
    </row>
    <row r="24066" spans="1:2" x14ac:dyDescent="0.25">
      <c r="A24066" s="64" t="str">
        <f>HYPERLINK("http://www.twitter.com/jacquelinic", "jacquelinic")</f>
        <v>jacquelinic</v>
      </c>
      <c r="B24066" s="65" t="s">
        <v>296</v>
      </c>
    </row>
    <row r="24067" spans="1:2" x14ac:dyDescent="0.25">
      <c r="A24067" s="64" t="str">
        <f>HYPERLINK("http://www.twitter.com/sblake1982", "sblake1982")</f>
        <v>sblake1982</v>
      </c>
      <c r="B24067" s="65" t="s">
        <v>1790</v>
      </c>
    </row>
    <row r="24068" spans="1:2" x14ac:dyDescent="0.25">
      <c r="A24068" s="64" t="str">
        <f>HYPERLINK("http://www.twitter.com/snapdragongreen", "snapdragongreen")</f>
        <v>snapdragongreen</v>
      </c>
      <c r="B24068" s="65"/>
    </row>
    <row r="24069" spans="1:2" x14ac:dyDescent="0.25">
      <c r="A24069" s="64" t="str">
        <f>HYPERLINK("http://www.twitter.com/hmur68", "hmur68")</f>
        <v>hmur68</v>
      </c>
      <c r="B24069" s="65" t="s">
        <v>10748</v>
      </c>
    </row>
    <row r="24070" spans="1:2" x14ac:dyDescent="0.25">
      <c r="A24070" s="64" t="str">
        <f>HYPERLINK("http://www.twitter.com/Kay_Porter", "Kay_Porter")</f>
        <v>Kay_Porter</v>
      </c>
      <c r="B24070" s="65"/>
    </row>
    <row r="24071" spans="1:2" x14ac:dyDescent="0.25">
      <c r="A24071" s="64" t="str">
        <f>HYPERLINK("http://www.twitter.com/RosieClewett", "RosieClewett")</f>
        <v>RosieClewett</v>
      </c>
      <c r="B24071" s="65" t="s">
        <v>477</v>
      </c>
    </row>
    <row r="24072" spans="1:2" x14ac:dyDescent="0.25">
      <c r="A24072" s="64" t="str">
        <f>HYPERLINK("http://www.twitter.com/Possumputer", "Possumputer")</f>
        <v>Possumputer</v>
      </c>
      <c r="B24072" s="65" t="s">
        <v>10749</v>
      </c>
    </row>
    <row r="24073" spans="1:2" x14ac:dyDescent="0.25">
      <c r="A24073" s="64" t="str">
        <f>HYPERLINK("http://www.twitter.com/EmSw12", "EmSw12")</f>
        <v>EmSw12</v>
      </c>
      <c r="B24073" s="65"/>
    </row>
    <row r="24074" spans="1:2" x14ac:dyDescent="0.25">
      <c r="A24074" s="64" t="str">
        <f>HYPERLINK("http://www.twitter.com/MichiganArtiste", "MichiganArtiste")</f>
        <v>MichiganArtiste</v>
      </c>
      <c r="B24074" s="65" t="s">
        <v>4255</v>
      </c>
    </row>
    <row r="24075" spans="1:2" x14ac:dyDescent="0.25">
      <c r="A24075" s="64" t="str">
        <f>HYPERLINK("http://www.twitter.com/SaraTomczynski", "SaraTomczynski")</f>
        <v>SaraTomczynski</v>
      </c>
      <c r="B24075" s="65" t="s">
        <v>3660</v>
      </c>
    </row>
    <row r="24076" spans="1:2" x14ac:dyDescent="0.25">
      <c r="A24076" s="64" t="str">
        <f>HYPERLINK("http://www.twitter.com/whatisaquestion", "whatisaquestion")</f>
        <v>whatisaquestion</v>
      </c>
      <c r="B24076" s="65" t="s">
        <v>8258</v>
      </c>
    </row>
    <row r="24077" spans="1:2" x14ac:dyDescent="0.25">
      <c r="A24077" s="64" t="str">
        <f>HYPERLINK("http://www.twitter.com/foodlibrarian", "foodlibrarian")</f>
        <v>foodlibrarian</v>
      </c>
      <c r="B24077" s="65" t="s">
        <v>3775</v>
      </c>
    </row>
    <row r="24078" spans="1:2" x14ac:dyDescent="0.25">
      <c r="A24078" s="64" t="str">
        <f>HYPERLINK("http://www.twitter.com/DenebAlOkab", "DenebAlOkab")</f>
        <v>DenebAlOkab</v>
      </c>
      <c r="B24078" s="65" t="s">
        <v>10750</v>
      </c>
    </row>
    <row r="24079" spans="1:2" x14ac:dyDescent="0.25">
      <c r="A24079" s="64" t="str">
        <f>HYPERLINK("http://www.twitter.com/KareliaReijo", "KareliaReijo")</f>
        <v>KareliaReijo</v>
      </c>
      <c r="B24079" s="65"/>
    </row>
    <row r="24080" spans="1:2" x14ac:dyDescent="0.25">
      <c r="A24080" s="64" t="str">
        <f>HYPERLINK("http://www.twitter.com/lp_madnae", "lp_madnae")</f>
        <v>lp_madnae</v>
      </c>
      <c r="B24080" s="65" t="s">
        <v>10751</v>
      </c>
    </row>
    <row r="24081" spans="1:2" x14ac:dyDescent="0.25">
      <c r="A24081" s="64" t="str">
        <f>HYPERLINK("http://www.twitter.com/da", "da")</f>
        <v>da</v>
      </c>
      <c r="B24081" s="65" t="s">
        <v>10752</v>
      </c>
    </row>
    <row r="24082" spans="1:2" x14ac:dyDescent="0.25">
      <c r="A24082" s="64" t="str">
        <f>HYPERLINK("http://www.twitter.com/FSoames", "FSoames")</f>
        <v>FSoames</v>
      </c>
      <c r="B24082" s="65" t="s">
        <v>7816</v>
      </c>
    </row>
    <row r="24083" spans="1:2" x14ac:dyDescent="0.25">
      <c r="A24083" s="64" t="str">
        <f>HYPERLINK("http://www.twitter.com/a_schmall", "a_schmall")</f>
        <v>a_schmall</v>
      </c>
      <c r="B24083" s="65"/>
    </row>
    <row r="24084" spans="1:2" x14ac:dyDescent="0.25">
      <c r="A24084" s="64" t="str">
        <f>HYPERLINK("http://www.twitter.com/bethdobson", "bethdobson")</f>
        <v>bethdobson</v>
      </c>
      <c r="B24084" s="65" t="s">
        <v>10753</v>
      </c>
    </row>
    <row r="24085" spans="1:2" x14ac:dyDescent="0.25">
      <c r="A24085" s="64" t="str">
        <f>HYPERLINK("http://www.twitter.com/NancyWoodka", "NancyWoodka")</f>
        <v>NancyWoodka</v>
      </c>
      <c r="B24085" s="65" t="s">
        <v>10754</v>
      </c>
    </row>
    <row r="24086" spans="1:2" x14ac:dyDescent="0.25">
      <c r="A24086" s="64" t="str">
        <f>HYPERLINK("http://www.twitter.com/bunniboiler", "bunniboiler")</f>
        <v>bunniboiler</v>
      </c>
      <c r="B24086" s="65" t="s">
        <v>2449</v>
      </c>
    </row>
    <row r="24087" spans="1:2" x14ac:dyDescent="0.25">
      <c r="A24087" s="64" t="str">
        <f>HYPERLINK("http://www.twitter.com/shelfemployed", "shelfemployed")</f>
        <v>shelfemployed</v>
      </c>
      <c r="B24087" s="65" t="s">
        <v>4579</v>
      </c>
    </row>
    <row r="24088" spans="1:2" x14ac:dyDescent="0.25">
      <c r="A24088" s="64" t="str">
        <f>HYPERLINK("http://www.twitter.com/douglasfortune8", "douglasfortune8")</f>
        <v>douglasfortune8</v>
      </c>
      <c r="B24088" s="65" t="s">
        <v>10755</v>
      </c>
    </row>
    <row r="24089" spans="1:2" x14ac:dyDescent="0.25">
      <c r="A24089" s="64" t="str">
        <f>HYPERLINK("http://www.twitter.com/ssorainos", "ssorainos")</f>
        <v>ssorainos</v>
      </c>
      <c r="B24089" s="65"/>
    </row>
    <row r="24090" spans="1:2" x14ac:dyDescent="0.25">
      <c r="A24090" s="64" t="str">
        <f>HYPERLINK("http://www.twitter.com/gavcheyne", "gavcheyne")</f>
        <v>gavcheyne</v>
      </c>
      <c r="B24090" s="65" t="s">
        <v>24</v>
      </c>
    </row>
    <row r="24091" spans="1:2" x14ac:dyDescent="0.25">
      <c r="A24091" s="64" t="str">
        <f>HYPERLINK("http://www.twitter.com/StarringMH", "StarringMH")</f>
        <v>StarringMH</v>
      </c>
      <c r="B24091" s="65" t="s">
        <v>36</v>
      </c>
    </row>
    <row r="24092" spans="1:2" x14ac:dyDescent="0.25">
      <c r="A24092" s="64" t="str">
        <f>HYPERLINK("http://www.twitter.com/pritypretty", "pritypretty")</f>
        <v>pritypretty</v>
      </c>
      <c r="B24092" s="65"/>
    </row>
    <row r="24093" spans="1:2" x14ac:dyDescent="0.25">
      <c r="A24093" s="64" t="str">
        <f>HYPERLINK("http://www.twitter.com/ShawnaAnnDailey", "ShawnaAnnDailey")</f>
        <v>ShawnaAnnDailey</v>
      </c>
      <c r="B24093" s="65" t="s">
        <v>10756</v>
      </c>
    </row>
    <row r="24094" spans="1:2" x14ac:dyDescent="0.25">
      <c r="A24094" s="64" t="str">
        <f>HYPERLINK("http://www.twitter.com/LiesKnol", "LiesKnol")</f>
        <v>LiesKnol</v>
      </c>
      <c r="B24094" s="65" t="s">
        <v>10757</v>
      </c>
    </row>
    <row r="24095" spans="1:2" x14ac:dyDescent="0.25">
      <c r="A24095" s="64" t="str">
        <f>HYPERLINK("http://www.twitter.com/LibraRRian", "LibraRRian")</f>
        <v>LibraRRian</v>
      </c>
      <c r="B24095" s="65"/>
    </row>
    <row r="24096" spans="1:2" x14ac:dyDescent="0.25">
      <c r="A24096" s="64" t="str">
        <f>HYPERLINK("http://www.twitter.com/neilbabytiger", "neilbabytiger")</f>
        <v>neilbabytiger</v>
      </c>
      <c r="B24096" s="65" t="s">
        <v>24</v>
      </c>
    </row>
    <row r="24097" spans="1:2" x14ac:dyDescent="0.25">
      <c r="A24097" s="64" t="str">
        <f>HYPERLINK("http://www.twitter.com/the_black_otter", "the_black_otter")</f>
        <v>the_black_otter</v>
      </c>
      <c r="B24097" s="65"/>
    </row>
    <row r="24098" spans="1:2" x14ac:dyDescent="0.25">
      <c r="A24098" s="64" t="str">
        <f>HYPERLINK("http://www.twitter.com/dbc_ii", "dbc_ii")</f>
        <v>dbc_ii</v>
      </c>
      <c r="B24098" s="65" t="s">
        <v>7650</v>
      </c>
    </row>
    <row r="24099" spans="1:2" x14ac:dyDescent="0.25">
      <c r="A24099" s="64" t="str">
        <f>HYPERLINK("http://www.twitter.com/Taggerty", "Taggerty")</f>
        <v>Taggerty</v>
      </c>
      <c r="B24099" s="65"/>
    </row>
    <row r="24100" spans="1:2" x14ac:dyDescent="0.25">
      <c r="A24100" s="64" t="str">
        <f>HYPERLINK("http://www.twitter.com/ubclibrary", "ubclibrary")</f>
        <v>ubclibrary</v>
      </c>
      <c r="B24100" s="65" t="s">
        <v>4981</v>
      </c>
    </row>
    <row r="24101" spans="1:2" x14ac:dyDescent="0.25">
      <c r="A24101" s="64" t="str">
        <f>HYPERLINK("http://www.twitter.com/LibLauren", "LibLauren")</f>
        <v>LibLauren</v>
      </c>
      <c r="B24101" s="65" t="s">
        <v>10758</v>
      </c>
    </row>
    <row r="24102" spans="1:2" x14ac:dyDescent="0.25">
      <c r="A24102" s="64" t="str">
        <f>HYPERLINK("http://www.twitter.com/ShirroneS", "ShirroneS")</f>
        <v>ShirroneS</v>
      </c>
      <c r="B24102" s="65"/>
    </row>
    <row r="24103" spans="1:2" x14ac:dyDescent="0.25">
      <c r="A24103" s="64" t="str">
        <f>HYPERLINK("http://www.twitter.com/JaneTaylor1904", "JaneTaylor1904")</f>
        <v>JaneTaylor1904</v>
      </c>
      <c r="B24103" s="65" t="s">
        <v>10759</v>
      </c>
    </row>
    <row r="24104" spans="1:2" x14ac:dyDescent="0.25">
      <c r="A24104" s="64" t="str">
        <f>HYPERLINK("http://www.twitter.com/ben_shore", "ben_shore")</f>
        <v>ben_shore</v>
      </c>
      <c r="B24104" s="65" t="s">
        <v>10760</v>
      </c>
    </row>
    <row r="24105" spans="1:2" x14ac:dyDescent="0.25">
      <c r="A24105" s="64" t="str">
        <f>HYPERLINK("http://www.twitter.com/nuala_clarke", "nuala_clarke")</f>
        <v>nuala_clarke</v>
      </c>
      <c r="B24105" s="65"/>
    </row>
    <row r="24106" spans="1:2" x14ac:dyDescent="0.25">
      <c r="A24106" s="64" t="str">
        <f>HYPERLINK("http://www.twitter.com/MaireadFountain", "MaireadFountain")</f>
        <v>MaireadFountain</v>
      </c>
      <c r="B24106" s="65" t="s">
        <v>4634</v>
      </c>
    </row>
    <row r="24107" spans="1:2" x14ac:dyDescent="0.25">
      <c r="A24107" s="64" t="str">
        <f>HYPERLINK("http://www.twitter.com/bclplyr", "bclplyr")</f>
        <v>bclplyr</v>
      </c>
      <c r="B24107" s="65" t="s">
        <v>7318</v>
      </c>
    </row>
    <row r="24108" spans="1:2" x14ac:dyDescent="0.25">
      <c r="A24108" s="64" t="str">
        <f>HYPERLINK("http://www.twitter.com/EnchantedLion", "EnchantedLion")</f>
        <v>EnchantedLion</v>
      </c>
      <c r="B24108" s="65" t="s">
        <v>10274</v>
      </c>
    </row>
    <row r="24109" spans="1:2" x14ac:dyDescent="0.25">
      <c r="A24109" s="64" t="str">
        <f>HYPERLINK("http://www.twitter.com/slgday", "slgday")</f>
        <v>slgday</v>
      </c>
      <c r="B24109" s="65" t="s">
        <v>10761</v>
      </c>
    </row>
    <row r="24110" spans="1:2" x14ac:dyDescent="0.25">
      <c r="A24110" s="64" t="str">
        <f>HYPERLINK("http://www.twitter.com/Biscuitlibrary", "Biscuitlibrary")</f>
        <v>Biscuitlibrary</v>
      </c>
      <c r="B24110" s="65" t="s">
        <v>10762</v>
      </c>
    </row>
    <row r="24111" spans="1:2" x14ac:dyDescent="0.25">
      <c r="A24111" s="64" t="str">
        <f>HYPERLINK("http://www.twitter.com/librariansti", "librariansti")</f>
        <v>librariansti</v>
      </c>
      <c r="B24111" s="65" t="s">
        <v>10556</v>
      </c>
    </row>
    <row r="24112" spans="1:2" x14ac:dyDescent="0.25">
      <c r="A24112" s="64" t="str">
        <f>HYPERLINK("http://www.twitter.com/friendswoodlib", "friendswoodlib")</f>
        <v>friendswoodlib</v>
      </c>
      <c r="B24112" s="65" t="s">
        <v>10763</v>
      </c>
    </row>
    <row r="24113" spans="1:2" x14ac:dyDescent="0.25">
      <c r="A24113" s="64" t="str">
        <f>HYPERLINK("http://www.twitter.com/DearbornLibrary", "DearbornLibrary")</f>
        <v>DearbornLibrary</v>
      </c>
      <c r="B24113" s="65" t="s">
        <v>10758</v>
      </c>
    </row>
    <row r="24114" spans="1:2" x14ac:dyDescent="0.25">
      <c r="A24114" s="64" t="str">
        <f>HYPERLINK("http://www.twitter.com/ajbsh", "ajbsh")</f>
        <v>ajbsh</v>
      </c>
      <c r="B24114" s="65" t="s">
        <v>10764</v>
      </c>
    </row>
    <row r="24115" spans="1:2" x14ac:dyDescent="0.25">
      <c r="A24115" s="64" t="str">
        <f>HYPERLINK("http://www.twitter.com/sheilawoodburn", "sheilawoodburn")</f>
        <v>sheilawoodburn</v>
      </c>
      <c r="B24115" s="65"/>
    </row>
    <row r="24116" spans="1:2" x14ac:dyDescent="0.25">
      <c r="A24116" s="64" t="str">
        <f>HYPERLINK("http://www.twitter.com/ChrisLeslie2", "ChrisLeslie2")</f>
        <v>ChrisLeslie2</v>
      </c>
      <c r="B24116" s="65" t="s">
        <v>24</v>
      </c>
    </row>
    <row r="24117" spans="1:2" x14ac:dyDescent="0.25">
      <c r="A24117" s="64" t="str">
        <f>HYPERLINK("http://www.twitter.com/cjburns", "cjburns")</f>
        <v>cjburns</v>
      </c>
      <c r="B24117" s="65" t="s">
        <v>6926</v>
      </c>
    </row>
    <row r="24118" spans="1:2" x14ac:dyDescent="0.25">
      <c r="A24118" s="64" t="str">
        <f>HYPERLINK("http://www.twitter.com/TheRiddleAges", "TheRiddleAges")</f>
        <v>TheRiddleAges</v>
      </c>
      <c r="B24118" s="65"/>
    </row>
    <row r="24119" spans="1:2" x14ac:dyDescent="0.25">
      <c r="A24119" s="64" t="str">
        <f>HYPERLINK("http://www.twitter.com/librarymole", "librarymole")</f>
        <v>librarymole</v>
      </c>
      <c r="B24119" s="65" t="s">
        <v>36</v>
      </c>
    </row>
    <row r="24120" spans="1:2" x14ac:dyDescent="0.25">
      <c r="A24120" s="64" t="str">
        <f>HYPERLINK("http://www.twitter.com/CroydonLibs", "CroydonLibs")</f>
        <v>CroydonLibs</v>
      </c>
      <c r="B24120" s="65" t="s">
        <v>1250</v>
      </c>
    </row>
    <row r="24121" spans="1:2" x14ac:dyDescent="0.25">
      <c r="A24121" s="64" t="str">
        <f>HYPERLINK("http://www.twitter.com/portushead", "portushead")</f>
        <v>portushead</v>
      </c>
      <c r="B24121" s="65" t="s">
        <v>459</v>
      </c>
    </row>
    <row r="24122" spans="1:2" x14ac:dyDescent="0.25">
      <c r="A24122" s="64" t="str">
        <f>HYPERLINK("http://www.twitter.com/JIWarren", "JIWarren")</f>
        <v>JIWarren</v>
      </c>
      <c r="B24122" s="65" t="s">
        <v>788</v>
      </c>
    </row>
    <row r="24123" spans="1:2" x14ac:dyDescent="0.25">
      <c r="A24123" s="64" t="str">
        <f>HYPERLINK("http://www.twitter.com/ImperfProduct", "ImperfProduct")</f>
        <v>ImperfProduct</v>
      </c>
      <c r="B24123" s="65"/>
    </row>
    <row r="24124" spans="1:2" x14ac:dyDescent="0.25">
      <c r="A24124" s="64" t="str">
        <f>HYPERLINK("http://www.twitter.com/gonenbrown", "gonenbrown")</f>
        <v>gonenbrown</v>
      </c>
      <c r="B24124" s="65" t="s">
        <v>10765</v>
      </c>
    </row>
    <row r="24125" spans="1:2" x14ac:dyDescent="0.25">
      <c r="A24125" s="64" t="str">
        <f>HYPERLINK("http://www.twitter.com/nearly_gone", "nearly_gone")</f>
        <v>nearly_gone</v>
      </c>
      <c r="B24125" s="65" t="s">
        <v>327</v>
      </c>
    </row>
    <row r="24126" spans="1:2" x14ac:dyDescent="0.25">
      <c r="A24126" s="64" t="str">
        <f>HYPERLINK("http://www.twitter.com/merthyrlibrary", "merthyrlibrary")</f>
        <v>merthyrlibrary</v>
      </c>
      <c r="B24126" s="65" t="s">
        <v>1186</v>
      </c>
    </row>
    <row r="24127" spans="1:2" x14ac:dyDescent="0.25">
      <c r="A24127" s="64" t="str">
        <f>HYPERLINK("http://www.twitter.com/tourscotland", "tourscotland")</f>
        <v>tourscotland</v>
      </c>
      <c r="B24127" s="65" t="s">
        <v>517</v>
      </c>
    </row>
    <row r="24128" spans="1:2" x14ac:dyDescent="0.25">
      <c r="A24128" s="64" t="str">
        <f>HYPERLINK("http://www.twitter.com/amyinlspace", "amyinlspace")</f>
        <v>amyinlspace</v>
      </c>
      <c r="B24128" s="65"/>
    </row>
    <row r="24129" spans="1:2" x14ac:dyDescent="0.25">
      <c r="A24129" s="64" t="str">
        <f>HYPERLINK("http://www.twitter.com/RobPalindrome", "RobPalindrome")</f>
        <v>RobPalindrome</v>
      </c>
      <c r="B24129" s="65"/>
    </row>
    <row r="24130" spans="1:2" x14ac:dyDescent="0.25">
      <c r="A24130" s="64" t="str">
        <f>HYPERLINK("http://www.twitter.com/Gareth_West_BL", "Gareth_West_BL")</f>
        <v>Gareth_West_BL</v>
      </c>
      <c r="B24130" s="65" t="s">
        <v>36</v>
      </c>
    </row>
    <row r="24131" spans="1:2" x14ac:dyDescent="0.25">
      <c r="A24131" s="64" t="str">
        <f>HYPERLINK("http://www.twitter.com/shoestringjane", "shoestringjane")</f>
        <v>shoestringjane</v>
      </c>
      <c r="B24131" s="65"/>
    </row>
    <row r="24132" spans="1:2" x14ac:dyDescent="0.25">
      <c r="A24132" s="64" t="str">
        <f>HYPERLINK("http://www.twitter.com/PagingMrPage", "PagingMrPage")</f>
        <v>PagingMrPage</v>
      </c>
      <c r="B24132" s="65" t="s">
        <v>296</v>
      </c>
    </row>
    <row r="24133" spans="1:2" x14ac:dyDescent="0.25">
      <c r="A24133" s="64" t="str">
        <f>HYPERLINK("http://www.twitter.com/Daniel_M_Lovell", "Daniel_M_Lovell")</f>
        <v>Daniel_M_Lovell</v>
      </c>
      <c r="B24133" s="65" t="s">
        <v>36</v>
      </c>
    </row>
    <row r="24134" spans="1:2" x14ac:dyDescent="0.25">
      <c r="A24134" s="64" t="str">
        <f>HYPERLINK("http://www.twitter.com/BanbridgeLib", "BanbridgeLib")</f>
        <v>BanbridgeLib</v>
      </c>
      <c r="B24134" s="65" t="s">
        <v>1022</v>
      </c>
    </row>
    <row r="24135" spans="1:2" x14ac:dyDescent="0.25">
      <c r="A24135" s="64" t="str">
        <f>HYPERLINK("http://www.twitter.com/STVEdinFootage", "STVEdinFootage")</f>
        <v>STVEdinFootage</v>
      </c>
      <c r="B24135" s="65" t="s">
        <v>24</v>
      </c>
    </row>
    <row r="24136" spans="1:2" x14ac:dyDescent="0.25">
      <c r="A24136" s="64" t="str">
        <f>HYPERLINK("http://www.twitter.com/NoraPalora", "NoraPalora")</f>
        <v>NoraPalora</v>
      </c>
      <c r="B24136" s="65" t="s">
        <v>487</v>
      </c>
    </row>
    <row r="24137" spans="1:2" x14ac:dyDescent="0.25">
      <c r="A24137" s="64" t="str">
        <f>HYPERLINK("http://www.twitter.com/chrisfrancis27", "chrisfrancis27")</f>
        <v>chrisfrancis27</v>
      </c>
      <c r="B24137" s="65" t="s">
        <v>10766</v>
      </c>
    </row>
    <row r="24138" spans="1:2" x14ac:dyDescent="0.25">
      <c r="A24138" s="64" t="str">
        <f>HYPERLINK("http://www.twitter.com/SteveJRobertson", "SteveJRobertson")</f>
        <v>SteveJRobertson</v>
      </c>
      <c r="B24138" s="65" t="s">
        <v>487</v>
      </c>
    </row>
    <row r="24139" spans="1:2" x14ac:dyDescent="0.25">
      <c r="A24139" s="64" t="str">
        <f>HYPERLINK("http://www.twitter.com/coffeeccup", "coffeeccup")</f>
        <v>coffeeccup</v>
      </c>
      <c r="B24139" s="65" t="s">
        <v>4129</v>
      </c>
    </row>
    <row r="24140" spans="1:2" x14ac:dyDescent="0.25">
      <c r="A24140" s="64" t="str">
        <f>HYPERLINK("http://www.twitter.com/nerysephillps", "nerysephillps")</f>
        <v>nerysephillps</v>
      </c>
      <c r="B24140" s="65" t="s">
        <v>20</v>
      </c>
    </row>
    <row r="24141" spans="1:2" x14ac:dyDescent="0.25">
      <c r="A24141" s="64" t="str">
        <f>HYPERLINK("http://www.twitter.com/ItsIanNipper", "ItsIanNipper")</f>
        <v>ItsIanNipper</v>
      </c>
      <c r="B24141" s="65" t="s">
        <v>10767</v>
      </c>
    </row>
    <row r="24142" spans="1:2" x14ac:dyDescent="0.25">
      <c r="A24142" s="64" t="str">
        <f>HYPERLINK("http://www.twitter.com/WBerksLibraries", "WBerksLibraries")</f>
        <v>WBerksLibraries</v>
      </c>
      <c r="B24142" s="65" t="s">
        <v>776</v>
      </c>
    </row>
    <row r="24143" spans="1:2" x14ac:dyDescent="0.25">
      <c r="A24143" s="64" t="str">
        <f>HYPERLINK("http://www.twitter.com/SPRI_Library", "SPRI_Library")</f>
        <v>SPRI_Library</v>
      </c>
      <c r="B24143" s="65" t="s">
        <v>788</v>
      </c>
    </row>
    <row r="24144" spans="1:2" x14ac:dyDescent="0.25">
      <c r="A24144" s="64" t="str">
        <f>HYPERLINK("http://www.twitter.com/digitalshrew", "digitalshrew")</f>
        <v>digitalshrew</v>
      </c>
      <c r="B24144" s="65" t="s">
        <v>788</v>
      </c>
    </row>
    <row r="24145" spans="1:2" x14ac:dyDescent="0.25">
      <c r="A24145" s="64" t="str">
        <f>HYPERLINK("http://www.twitter.com/hantslibraries", "hantslibraries")</f>
        <v>hantslibraries</v>
      </c>
      <c r="B24145" s="65" t="s">
        <v>453</v>
      </c>
    </row>
    <row r="24146" spans="1:2" x14ac:dyDescent="0.25">
      <c r="A24146" s="64" t="str">
        <f>HYPERLINK("http://www.twitter.com/CarolineLina70", "CarolineLina70")</f>
        <v>CarolineLina70</v>
      </c>
      <c r="B24146" s="65" t="s">
        <v>24</v>
      </c>
    </row>
    <row r="24147" spans="1:2" x14ac:dyDescent="0.25">
      <c r="A24147" s="64" t="str">
        <f>HYPERLINK("http://www.twitter.com/CSGLibrary", "CSGLibrary")</f>
        <v>CSGLibrary</v>
      </c>
      <c r="B24147" s="65" t="s">
        <v>10768</v>
      </c>
    </row>
    <row r="24148" spans="1:2" x14ac:dyDescent="0.25">
      <c r="A24148" s="64" t="str">
        <f>HYPERLINK("http://www.twitter.com/ForAcadLib", "ForAcadLib")</f>
        <v>ForAcadLib</v>
      </c>
      <c r="B24148" s="65" t="s">
        <v>1905</v>
      </c>
    </row>
    <row r="24149" spans="1:2" x14ac:dyDescent="0.25">
      <c r="A24149" s="64" t="str">
        <f>HYPERLINK("http://www.twitter.com/LCFTLibrarian", "LCFTLibrarian")</f>
        <v>LCFTLibrarian</v>
      </c>
      <c r="B24149" s="65"/>
    </row>
    <row r="24150" spans="1:2" x14ac:dyDescent="0.25">
      <c r="A24150" s="64" t="str">
        <f>HYPERLINK("http://www.twitter.com/GeeBeeDeeDee", "GeeBeeDeeDee")</f>
        <v>GeeBeeDeeDee</v>
      </c>
      <c r="B24150" s="65" t="s">
        <v>10769</v>
      </c>
    </row>
    <row r="24151" spans="1:2" x14ac:dyDescent="0.25">
      <c r="A24151" s="64" t="str">
        <f>HYPERLINK("http://www.twitter.com/joletwit", "joletwit")</f>
        <v>joletwit</v>
      </c>
      <c r="B24151" s="65"/>
    </row>
    <row r="24152" spans="1:2" x14ac:dyDescent="0.25">
      <c r="A24152" s="64" t="str">
        <f>HYPERLINK("http://www.twitter.com/RWRichmond", "RWRichmond")</f>
        <v>RWRichmond</v>
      </c>
      <c r="B24152" s="65" t="s">
        <v>20</v>
      </c>
    </row>
    <row r="24153" spans="1:2" x14ac:dyDescent="0.25">
      <c r="A24153" s="64" t="str">
        <f>HYPERLINK("http://www.twitter.com/BitGay", "BitGay")</f>
        <v>BitGay</v>
      </c>
      <c r="B24153" s="65" t="s">
        <v>10770</v>
      </c>
    </row>
    <row r="24154" spans="1:2" x14ac:dyDescent="0.25">
      <c r="A24154" s="64" t="str">
        <f>HYPERLINK("http://www.twitter.com/swanstonmuir", "swanstonmuir")</f>
        <v>swanstonmuir</v>
      </c>
      <c r="B24154" s="65" t="s">
        <v>20</v>
      </c>
    </row>
    <row r="24155" spans="1:2" x14ac:dyDescent="0.25">
      <c r="A24155" s="64" t="str">
        <f>HYPERLINK("http://www.twitter.com/494darkangel", "494darkangel")</f>
        <v>494darkangel</v>
      </c>
      <c r="B24155" s="65"/>
    </row>
    <row r="24156" spans="1:2" x14ac:dyDescent="0.25">
      <c r="A24156" s="64" t="str">
        <f>HYPERLINK("http://www.twitter.com/hjls73", "hjls73")</f>
        <v>hjls73</v>
      </c>
      <c r="B24156" s="65" t="s">
        <v>10771</v>
      </c>
    </row>
    <row r="24157" spans="1:2" x14ac:dyDescent="0.25">
      <c r="A24157" s="64" t="str">
        <f>HYPERLINK("http://www.twitter.com/hmmac", "hmmac")</f>
        <v>hmmac</v>
      </c>
      <c r="B24157" s="65"/>
    </row>
    <row r="24158" spans="1:2" x14ac:dyDescent="0.25">
      <c r="A24158" s="64" t="str">
        <f>HYPERLINK("http://www.twitter.com/Suzie_Knits", "Suzie_Knits")</f>
        <v>Suzie_Knits</v>
      </c>
      <c r="B24158" s="65" t="s">
        <v>5366</v>
      </c>
    </row>
    <row r="24159" spans="1:2" x14ac:dyDescent="0.25">
      <c r="A24159" s="64" t="str">
        <f>HYPERLINK("http://www.twitter.com/SusieHillhouse", "SusieHillhouse")</f>
        <v>SusieHillhouse</v>
      </c>
      <c r="B24159" s="65" t="s">
        <v>487</v>
      </c>
    </row>
    <row r="24160" spans="1:2" x14ac:dyDescent="0.25">
      <c r="A24160" s="64" t="str">
        <f>HYPERLINK("http://www.twitter.com/janereger", "janereger")</f>
        <v>janereger</v>
      </c>
      <c r="B24160" s="65" t="s">
        <v>10772</v>
      </c>
    </row>
    <row r="24161" spans="1:2" x14ac:dyDescent="0.25">
      <c r="A24161" s="64" t="str">
        <f>HYPERLINK("http://www.twitter.com/KarenPlaydon", "KarenPlaydon")</f>
        <v>KarenPlaydon</v>
      </c>
      <c r="B24161" s="65"/>
    </row>
    <row r="24162" spans="1:2" x14ac:dyDescent="0.25">
      <c r="A24162" s="64" t="str">
        <f>HYPERLINK("http://www.twitter.com/greengecko29", "greengecko29")</f>
        <v>greengecko29</v>
      </c>
      <c r="B24162" s="65" t="s">
        <v>4236</v>
      </c>
    </row>
    <row r="24163" spans="1:2" x14ac:dyDescent="0.25">
      <c r="A24163" s="64" t="str">
        <f>HYPERLINK("http://www.twitter.com/amysaga", "amysaga")</f>
        <v>amysaga</v>
      </c>
      <c r="B24163" s="65"/>
    </row>
    <row r="24164" spans="1:2" x14ac:dyDescent="0.25">
      <c r="A24164" s="64" t="str">
        <f>HYPERLINK("http://www.twitter.com/BookieMonsterNZ", "BookieMonsterNZ")</f>
        <v>BookieMonsterNZ</v>
      </c>
      <c r="B24164" s="65" t="s">
        <v>10005</v>
      </c>
    </row>
    <row r="24165" spans="1:2" x14ac:dyDescent="0.25">
      <c r="A24165" s="64" t="str">
        <f>HYPERLINK("http://www.twitter.com/NanaMaryto8", "NanaMaryto8")</f>
        <v>NanaMaryto8</v>
      </c>
      <c r="B24165" s="65"/>
    </row>
    <row r="24166" spans="1:2" x14ac:dyDescent="0.25">
      <c r="A24166" s="64" t="str">
        <f>HYPERLINK("http://www.twitter.com/NavadaSmiles", "NavadaSmiles")</f>
        <v>NavadaSmiles</v>
      </c>
      <c r="B24166" s="65" t="s">
        <v>3948</v>
      </c>
    </row>
    <row r="24167" spans="1:2" x14ac:dyDescent="0.25">
      <c r="A24167" s="64" t="str">
        <f>HYPERLINK("http://www.twitter.com/danburylibrary", "danburylibrary")</f>
        <v>danburylibrary</v>
      </c>
      <c r="B24167" s="65" t="s">
        <v>10773</v>
      </c>
    </row>
    <row r="24168" spans="1:2" x14ac:dyDescent="0.25">
      <c r="A24168" s="64" t="str">
        <f>HYPERLINK("http://www.twitter.com/ker_k", "ker_k")</f>
        <v>ker_k</v>
      </c>
      <c r="B24168" s="65" t="s">
        <v>1479</v>
      </c>
    </row>
    <row r="24169" spans="1:2" x14ac:dyDescent="0.25">
      <c r="A24169" s="64" t="str">
        <f>HYPERLINK("http://www.twitter.com/angelblue212", "angelblue212")</f>
        <v>angelblue212</v>
      </c>
      <c r="B24169" s="65" t="s">
        <v>598</v>
      </c>
    </row>
    <row r="24170" spans="1:2" x14ac:dyDescent="0.25">
      <c r="A24170" s="64" t="str">
        <f>HYPERLINK("http://www.twitter.com/annaviolinista", "annaviolinista")</f>
        <v>annaviolinista</v>
      </c>
      <c r="B24170" s="65"/>
    </row>
    <row r="24171" spans="1:2" x14ac:dyDescent="0.25">
      <c r="A24171" s="64" t="str">
        <f>HYPERLINK("http://www.twitter.com/manikpixi", "manikpixi")</f>
        <v>manikpixi</v>
      </c>
      <c r="B24171" s="65" t="s">
        <v>3816</v>
      </c>
    </row>
    <row r="24172" spans="1:2" x14ac:dyDescent="0.25">
      <c r="A24172" s="64" t="str">
        <f>HYPERLINK("http://www.twitter.com/mtnfeath", "mtnfeath")</f>
        <v>mtnfeath</v>
      </c>
      <c r="B24172" s="65" t="s">
        <v>10774</v>
      </c>
    </row>
    <row r="24173" spans="1:2" x14ac:dyDescent="0.25">
      <c r="A24173" s="64" t="str">
        <f>HYPERLINK("http://www.twitter.com/MsMenopausal", "MsMenopausal")</f>
        <v>MsMenopausal</v>
      </c>
      <c r="B24173" s="65" t="s">
        <v>2372</v>
      </c>
    </row>
    <row r="24174" spans="1:2" x14ac:dyDescent="0.25">
      <c r="A24174" s="64" t="str">
        <f>HYPERLINK("http://www.twitter.com/jackgirl2313", "jackgirl2313")</f>
        <v>jackgirl2313</v>
      </c>
      <c r="B24174" s="65" t="s">
        <v>10775</v>
      </c>
    </row>
    <row r="24175" spans="1:2" x14ac:dyDescent="0.25">
      <c r="A24175" s="64" t="str">
        <f>HYPERLINK("http://www.twitter.com/ccb_library", "ccb_library")</f>
        <v>ccb_library</v>
      </c>
      <c r="B24175" s="65" t="s">
        <v>2595</v>
      </c>
    </row>
    <row r="24176" spans="1:2" x14ac:dyDescent="0.25">
      <c r="A24176" s="64" t="str">
        <f>HYPERLINK("http://www.twitter.com/OCLC_ANZ", "OCLC_ANZ")</f>
        <v>OCLC_ANZ</v>
      </c>
      <c r="B24176" s="65" t="s">
        <v>10776</v>
      </c>
    </row>
    <row r="24177" spans="1:2" x14ac:dyDescent="0.25">
      <c r="A24177" s="64" t="str">
        <f>HYPERLINK("http://www.twitter.com/stettlerlibrary", "stettlerlibrary")</f>
        <v>stettlerlibrary</v>
      </c>
      <c r="B24177" s="65" t="s">
        <v>10777</v>
      </c>
    </row>
    <row r="24178" spans="1:2" x14ac:dyDescent="0.25">
      <c r="A24178" s="64" t="str">
        <f>HYPERLINK("http://www.twitter.com/AaronWalton", "AaronWalton")</f>
        <v>AaronWalton</v>
      </c>
      <c r="B24178" s="65" t="s">
        <v>10778</v>
      </c>
    </row>
    <row r="24179" spans="1:2" x14ac:dyDescent="0.25">
      <c r="A24179" s="64" t="str">
        <f>HYPERLINK("http://www.twitter.com/sheltie21", "sheltie21")</f>
        <v>sheltie21</v>
      </c>
      <c r="B24179" s="65"/>
    </row>
    <row r="24180" spans="1:2" x14ac:dyDescent="0.25">
      <c r="A24180" s="64" t="str">
        <f>HYPERLINK("http://www.twitter.com/dokocath", "dokocath")</f>
        <v>dokocath</v>
      </c>
      <c r="B24180" s="65" t="s">
        <v>10333</v>
      </c>
    </row>
    <row r="24181" spans="1:2" x14ac:dyDescent="0.25">
      <c r="A24181" s="64" t="str">
        <f>HYPERLINK("http://www.twitter.com/anniesuilven", "anniesuilven")</f>
        <v>anniesuilven</v>
      </c>
      <c r="B24181" s="65"/>
    </row>
    <row r="24182" spans="1:2" x14ac:dyDescent="0.25">
      <c r="A24182" s="64" t="str">
        <f>HYPERLINK("http://www.twitter.com/libchris", "libchris")</f>
        <v>libchris</v>
      </c>
      <c r="B24182" s="65" t="s">
        <v>788</v>
      </c>
    </row>
    <row r="24183" spans="1:2" x14ac:dyDescent="0.25">
      <c r="A24183" s="64" t="str">
        <f>HYPERLINK("http://www.twitter.com/neferjej", "neferjej")</f>
        <v>neferjej</v>
      </c>
      <c r="B24183" s="65" t="s">
        <v>24</v>
      </c>
    </row>
    <row r="24184" spans="1:2" x14ac:dyDescent="0.25">
      <c r="A24184" s="64" t="str">
        <f>HYPERLINK("http://www.twitter.com/ser_pez", "ser_pez")</f>
        <v>ser_pez</v>
      </c>
      <c r="B24184" s="65" t="s">
        <v>4522</v>
      </c>
    </row>
    <row r="24185" spans="1:2" x14ac:dyDescent="0.25">
      <c r="A24185" s="64" t="str">
        <f>HYPERLINK("http://www.twitter.com/merrylegs27", "merrylegs27")</f>
        <v>merrylegs27</v>
      </c>
      <c r="B24185" s="65"/>
    </row>
    <row r="24186" spans="1:2" x14ac:dyDescent="0.25">
      <c r="A24186" s="64" t="str">
        <f>HYPERLINK("http://www.twitter.com/fandmlibrary", "fandmlibrary")</f>
        <v>fandmlibrary</v>
      </c>
      <c r="B24186" s="65" t="s">
        <v>10779</v>
      </c>
    </row>
    <row r="24187" spans="1:2" x14ac:dyDescent="0.25">
      <c r="A24187" s="64" t="str">
        <f>HYPERLINK("http://www.twitter.com/Heffalumpridge", "Heffalumpridge")</f>
        <v>Heffalumpridge</v>
      </c>
      <c r="B24187" s="65" t="s">
        <v>70</v>
      </c>
    </row>
    <row r="24188" spans="1:2" x14ac:dyDescent="0.25">
      <c r="A24188" s="64" t="str">
        <f>HYPERLINK("http://www.twitter.com/anna_kayhko", "anna_kayhko")</f>
        <v>anna_kayhko</v>
      </c>
      <c r="B24188" s="65" t="s">
        <v>4152</v>
      </c>
    </row>
    <row r="24189" spans="1:2" x14ac:dyDescent="0.25">
      <c r="A24189" s="64" t="str">
        <f>HYPERLINK("http://www.twitter.com/kqnlvn", "kqnlvn")</f>
        <v>kqnlvn</v>
      </c>
      <c r="B24189" s="65" t="s">
        <v>10780</v>
      </c>
    </row>
    <row r="24190" spans="1:2" x14ac:dyDescent="0.25">
      <c r="A24190" s="64" t="str">
        <f>HYPERLINK("http://www.twitter.com/hutchina101", "hutchina101")</f>
        <v>hutchina101</v>
      </c>
      <c r="B24190" s="65" t="s">
        <v>5953</v>
      </c>
    </row>
    <row r="24191" spans="1:2" x14ac:dyDescent="0.25">
      <c r="A24191" s="64" t="str">
        <f>HYPERLINK("http://www.twitter.com/sbar831461", "sbar831461")</f>
        <v>sbar831461</v>
      </c>
      <c r="B24191" s="65"/>
    </row>
    <row r="24192" spans="1:2" x14ac:dyDescent="0.25">
      <c r="A24192" s="64" t="str">
        <f>HYPERLINK("http://www.twitter.com/helenfielden", "helenfielden")</f>
        <v>helenfielden</v>
      </c>
      <c r="B24192" s="65"/>
    </row>
    <row r="24193" spans="1:2" x14ac:dyDescent="0.25">
      <c r="A24193" s="64" t="str">
        <f>HYPERLINK("http://www.twitter.com/jocolibrary", "jocolibrary")</f>
        <v>jocolibrary</v>
      </c>
      <c r="B24193" s="65" t="s">
        <v>10781</v>
      </c>
    </row>
    <row r="24194" spans="1:2" x14ac:dyDescent="0.25">
      <c r="A24194" s="64" t="str">
        <f>HYPERLINK("http://www.twitter.com/Lilbookpusher", "Lilbookpusher")</f>
        <v>Lilbookpusher</v>
      </c>
      <c r="B24194" s="65"/>
    </row>
    <row r="24195" spans="1:2" x14ac:dyDescent="0.25">
      <c r="A24195" s="64" t="str">
        <f>HYPERLINK("http://www.twitter.com/greentint", "greentint")</f>
        <v>greentint</v>
      </c>
      <c r="B24195" s="65"/>
    </row>
    <row r="24196" spans="1:2" x14ac:dyDescent="0.25">
      <c r="A24196" s="64" t="str">
        <f>HYPERLINK("http://www.twitter.com/SebastianFaulks", "SebastianFaulks")</f>
        <v>SebastianFaulks</v>
      </c>
      <c r="B24196" s="65"/>
    </row>
    <row r="24197" spans="1:2" x14ac:dyDescent="0.25">
      <c r="A24197" s="64" t="str">
        <f>HYPERLINK("http://www.twitter.com/EilidhMclean", "EilidhMclean")</f>
        <v>EilidhMclean</v>
      </c>
      <c r="B24197" s="65"/>
    </row>
    <row r="24198" spans="1:2" x14ac:dyDescent="0.25">
      <c r="A24198" s="64" t="str">
        <f>HYPERLINK("http://www.twitter.com/ElDoradoLibrary", "ElDoradoLibrary")</f>
        <v>ElDoradoLibrary</v>
      </c>
      <c r="B24198" s="65" t="s">
        <v>10782</v>
      </c>
    </row>
    <row r="24199" spans="1:2" x14ac:dyDescent="0.25">
      <c r="A24199" s="64" t="str">
        <f>HYPERLINK("http://www.twitter.com/fairestam", "fairestam")</f>
        <v>fairestam</v>
      </c>
      <c r="B24199" s="65"/>
    </row>
    <row r="24200" spans="1:2" x14ac:dyDescent="0.25">
      <c r="A24200" s="64" t="str">
        <f>HYPERLINK("http://www.twitter.com/DJEBMMM", "DJEBMMM")</f>
        <v>DJEBMMM</v>
      </c>
      <c r="B24200" s="65"/>
    </row>
    <row r="24201" spans="1:2" x14ac:dyDescent="0.25">
      <c r="A24201" s="64" t="str">
        <f>HYPERLINK("http://www.twitter.com/amyhowlett", "amyhowlett")</f>
        <v>amyhowlett</v>
      </c>
      <c r="B24201" s="65" t="s">
        <v>10783</v>
      </c>
    </row>
    <row r="24202" spans="1:2" x14ac:dyDescent="0.25">
      <c r="A24202" s="64" t="str">
        <f>HYPERLINK("http://www.twitter.com/TheNewNPL", "TheNewNPL")</f>
        <v>TheNewNPL</v>
      </c>
      <c r="B24202" s="65" t="s">
        <v>10784</v>
      </c>
    </row>
    <row r="24203" spans="1:2" x14ac:dyDescent="0.25">
      <c r="A24203" s="64" t="str">
        <f>HYPERLINK("http://www.twitter.com/yerawizardkari", "yerawizardkari")</f>
        <v>yerawizardkari</v>
      </c>
      <c r="B24203" s="65" t="s">
        <v>5016</v>
      </c>
    </row>
    <row r="24204" spans="1:2" x14ac:dyDescent="0.25">
      <c r="A24204" s="64" t="str">
        <f>HYPERLINK("http://www.twitter.com/EvaThackeray", "EvaThackeray")</f>
        <v>EvaThackeray</v>
      </c>
      <c r="B24204" s="65"/>
    </row>
    <row r="24205" spans="1:2" x14ac:dyDescent="0.25">
      <c r="A24205" s="64" t="str">
        <f>HYPERLINK("http://www.twitter.com/weatherlore", "weatherlore")</f>
        <v>weatherlore</v>
      </c>
      <c r="B24205" s="65" t="s">
        <v>7728</v>
      </c>
    </row>
    <row r="24206" spans="1:2" x14ac:dyDescent="0.25">
      <c r="A24206" s="64" t="str">
        <f>HYPERLINK("http://www.twitter.com/Welly_Library", "Welly_Library")</f>
        <v>Welly_Library</v>
      </c>
      <c r="B24206" s="65"/>
    </row>
    <row r="24207" spans="1:2" x14ac:dyDescent="0.25">
      <c r="A24207" s="64" t="str">
        <f>HYPERLINK("http://www.twitter.com/collegeappguide", "collegeappguide")</f>
        <v>collegeappguide</v>
      </c>
      <c r="B24207" s="65"/>
    </row>
    <row r="24208" spans="1:2" x14ac:dyDescent="0.25">
      <c r="A24208" s="64" t="str">
        <f>HYPERLINK("http://www.twitter.com/hnorborg", "hnorborg")</f>
        <v>hnorborg</v>
      </c>
      <c r="B24208" s="65" t="s">
        <v>3863</v>
      </c>
    </row>
    <row r="24209" spans="1:2" x14ac:dyDescent="0.25">
      <c r="A24209" s="64" t="str">
        <f>HYPERLINK("http://www.twitter.com/lauraews", "lauraews")</f>
        <v>lauraews</v>
      </c>
      <c r="B24209" s="65" t="s">
        <v>10785</v>
      </c>
    </row>
    <row r="24210" spans="1:2" x14ac:dyDescent="0.25">
      <c r="A24210" s="64" t="str">
        <f>HYPERLINK("http://www.twitter.com/donna_book", "donna_book")</f>
        <v>donna_book</v>
      </c>
      <c r="B24210" s="65"/>
    </row>
    <row r="24211" spans="1:2" x14ac:dyDescent="0.25">
      <c r="A24211" s="64" t="str">
        <f>HYPERLINK("http://www.twitter.com/HMInzombia", "HMInzombia")</f>
        <v>HMInzombia</v>
      </c>
      <c r="B24211" s="65"/>
    </row>
    <row r="24212" spans="1:2" x14ac:dyDescent="0.25">
      <c r="A24212" s="64" t="str">
        <f>HYPERLINK("http://www.twitter.com/sarajbloomfield", "sarajbloomfield")</f>
        <v>sarajbloomfield</v>
      </c>
      <c r="B24212" s="65"/>
    </row>
    <row r="24213" spans="1:2" x14ac:dyDescent="0.25">
      <c r="A24213" s="64" t="str">
        <f>HYPERLINK("http://www.twitter.com/swbroadstone", "swbroadstone")</f>
        <v>swbroadstone</v>
      </c>
      <c r="B24213" s="65"/>
    </row>
    <row r="24214" spans="1:2" x14ac:dyDescent="0.25">
      <c r="A24214" s="64" t="str">
        <f>HYPERLINK("http://www.twitter.com/STACLibrary", "STACLibrary")</f>
        <v>STACLibrary</v>
      </c>
      <c r="B24214" s="65" t="s">
        <v>36</v>
      </c>
    </row>
    <row r="24215" spans="1:2" x14ac:dyDescent="0.25">
      <c r="A24215" s="64" t="str">
        <f>HYPERLINK("http://www.twitter.com/emilylhauser", "emilylhauser")</f>
        <v>emilylhauser</v>
      </c>
      <c r="B24215" s="65" t="s">
        <v>10786</v>
      </c>
    </row>
    <row r="24216" spans="1:2" x14ac:dyDescent="0.25">
      <c r="A24216" s="64" t="str">
        <f>HYPERLINK("http://www.twitter.com/SiobhanWGLib", "SiobhanWGLib")</f>
        <v>SiobhanWGLib</v>
      </c>
      <c r="B24216" s="65" t="s">
        <v>427</v>
      </c>
    </row>
    <row r="24217" spans="1:2" x14ac:dyDescent="0.25">
      <c r="A24217" s="64" t="str">
        <f>HYPERLINK("http://www.twitter.com/DebraKirchhoff", "DebraKirchhoff")</f>
        <v>DebraKirchhoff</v>
      </c>
      <c r="B24217" s="65"/>
    </row>
    <row r="24218" spans="1:2" x14ac:dyDescent="0.25">
      <c r="A24218" s="64" t="str">
        <f>HYPERLINK("http://www.twitter.com/martinistall", "martinistall")</f>
        <v>martinistall</v>
      </c>
      <c r="B24218" s="65" t="s">
        <v>2369</v>
      </c>
    </row>
    <row r="24219" spans="1:2" x14ac:dyDescent="0.25">
      <c r="A24219" s="64" t="str">
        <f>HYPERLINK("http://www.twitter.com/ChampCoLibOH", "ChampCoLibOH")</f>
        <v>ChampCoLibOH</v>
      </c>
      <c r="B24219" s="65" t="s">
        <v>10787</v>
      </c>
    </row>
    <row r="24220" spans="1:2" x14ac:dyDescent="0.25">
      <c r="A24220" s="64" t="str">
        <f>HYPERLINK("http://www.twitter.com/MarciLibrarian", "MarciLibrarian")</f>
        <v>MarciLibrarian</v>
      </c>
      <c r="B24220" s="65"/>
    </row>
    <row r="24221" spans="1:2" x14ac:dyDescent="0.25">
      <c r="A24221" s="64" t="str">
        <f>HYPERLINK("http://www.twitter.com/hohollyy", "hohollyy")</f>
        <v>hohollyy</v>
      </c>
      <c r="B24221" s="65"/>
    </row>
    <row r="24222" spans="1:2" x14ac:dyDescent="0.25">
      <c r="A24222" s="64" t="str">
        <f>HYPERLINK("http://www.twitter.com/laurajthomson", "laurajthomson")</f>
        <v>laurajthomson</v>
      </c>
      <c r="B24222" s="65" t="s">
        <v>4050</v>
      </c>
    </row>
    <row r="24223" spans="1:2" x14ac:dyDescent="0.25">
      <c r="A24223" s="64" t="str">
        <f>HYPERLINK("http://www.twitter.com/debbiediesen", "debbiediesen")</f>
        <v>debbiediesen</v>
      </c>
      <c r="B24223" s="65" t="s">
        <v>4255</v>
      </c>
    </row>
    <row r="24224" spans="1:2" x14ac:dyDescent="0.25">
      <c r="A24224" s="64" t="str">
        <f>HYPERLINK("http://www.twitter.com/warylibrarian", "warylibrarian")</f>
        <v>warylibrarian</v>
      </c>
      <c r="B24224" s="65" t="s">
        <v>10788</v>
      </c>
    </row>
    <row r="24225" spans="1:2" x14ac:dyDescent="0.25">
      <c r="A24225" s="64" t="str">
        <f>HYPERLINK("http://www.twitter.com/MarmiteGal", "MarmiteGal")</f>
        <v>MarmiteGal</v>
      </c>
      <c r="B24225" s="65" t="s">
        <v>8298</v>
      </c>
    </row>
    <row r="24226" spans="1:2" x14ac:dyDescent="0.25">
      <c r="A24226" s="64" t="str">
        <f>HYPERLINK("http://www.twitter.com/shamblesklutz", "shamblesklutz")</f>
        <v>shamblesklutz</v>
      </c>
      <c r="B24226" s="65"/>
    </row>
    <row r="24227" spans="1:2" x14ac:dyDescent="0.25">
      <c r="A24227" s="64" t="str">
        <f>HYPERLINK("http://www.twitter.com/RachAtkinson", "RachAtkinson")</f>
        <v>RachAtkinson</v>
      </c>
      <c r="B24227" s="65" t="s">
        <v>24</v>
      </c>
    </row>
    <row r="24228" spans="1:2" x14ac:dyDescent="0.25">
      <c r="A24228" s="64" t="str">
        <f>HYPERLINK("http://www.twitter.com/SlitelyAskew", "SlitelyAskew")</f>
        <v>SlitelyAskew</v>
      </c>
      <c r="B24228" s="65" t="s">
        <v>10789</v>
      </c>
    </row>
    <row r="24229" spans="1:2" x14ac:dyDescent="0.25">
      <c r="A24229" s="64" t="str">
        <f>HYPERLINK("http://www.twitter.com/Dutiful_Murdock", "Dutiful_Murdock")</f>
        <v>Dutiful_Murdock</v>
      </c>
      <c r="B24229" s="65"/>
    </row>
    <row r="24230" spans="1:2" x14ac:dyDescent="0.25">
      <c r="A24230" s="64" t="str">
        <f>HYPERLINK("http://www.twitter.com/amirable", "amirable")</f>
        <v>amirable</v>
      </c>
      <c r="B24230" s="65"/>
    </row>
    <row r="24231" spans="1:2" x14ac:dyDescent="0.25">
      <c r="A24231" s="64" t="str">
        <f>HYPERLINK("http://www.twitter.com/cbeach65", "cbeach65")</f>
        <v>cbeach65</v>
      </c>
      <c r="B24231" s="65" t="s">
        <v>10790</v>
      </c>
    </row>
    <row r="24232" spans="1:2" x14ac:dyDescent="0.25">
      <c r="A24232" s="64" t="str">
        <f>HYPERLINK("http://www.twitter.com/pandion1", "pandion1")</f>
        <v>pandion1</v>
      </c>
      <c r="B24232" s="65" t="s">
        <v>10791</v>
      </c>
    </row>
    <row r="24233" spans="1:2" x14ac:dyDescent="0.25">
      <c r="A24233" s="64" t="str">
        <f>HYPERLINK("http://www.twitter.com/HarlaxColLib", "HarlaxColLib")</f>
        <v>HarlaxColLib</v>
      </c>
      <c r="B24233" s="65" t="s">
        <v>1622</v>
      </c>
    </row>
    <row r="24234" spans="1:2" x14ac:dyDescent="0.25">
      <c r="A24234" s="64" t="str">
        <f>HYPERLINK("http://www.twitter.com/LVCoombs", "LVCoombs")</f>
        <v>LVCoombs</v>
      </c>
      <c r="B24234" s="65" t="s">
        <v>10792</v>
      </c>
    </row>
    <row r="24235" spans="1:2" x14ac:dyDescent="0.25">
      <c r="A24235" s="64" t="str">
        <f>HYPERLINK("http://www.twitter.com/LuiginaLopez", "LuiginaLopez")</f>
        <v>LuiginaLopez</v>
      </c>
      <c r="B24235" s="65" t="s">
        <v>4767</v>
      </c>
    </row>
    <row r="24236" spans="1:2" x14ac:dyDescent="0.25">
      <c r="A24236" s="64" t="str">
        <f>HYPERLINK("http://www.twitter.com/rarrtemis", "rarrtemis")</f>
        <v>rarrtemis</v>
      </c>
      <c r="B24236" s="65" t="s">
        <v>10793</v>
      </c>
    </row>
    <row r="24237" spans="1:2" x14ac:dyDescent="0.25">
      <c r="A24237" s="64" t="str">
        <f>HYPERLINK("http://www.twitter.com/sstephenson910", "sstephenson910")</f>
        <v>sstephenson910</v>
      </c>
      <c r="B24237" s="65"/>
    </row>
    <row r="24238" spans="1:2" x14ac:dyDescent="0.25">
      <c r="A24238" s="64" t="str">
        <f>HYPERLINK("http://www.twitter.com/adelebeeken", "adelebeeken")</f>
        <v>adelebeeken</v>
      </c>
      <c r="B24238" s="65" t="s">
        <v>2142</v>
      </c>
    </row>
    <row r="24239" spans="1:2" x14ac:dyDescent="0.25">
      <c r="A24239" s="64" t="str">
        <f>HYPERLINK("http://www.twitter.com/jilld17", "jilld17")</f>
        <v>jilld17</v>
      </c>
      <c r="B24239" s="65" t="s">
        <v>232</v>
      </c>
    </row>
    <row r="24240" spans="1:2" x14ac:dyDescent="0.25">
      <c r="A24240" s="64" t="str">
        <f>HYPERLINK("http://www.twitter.com/Rory_W_MacLeod", "Rory_W_MacLeod")</f>
        <v>Rory_W_MacLeod</v>
      </c>
      <c r="B24240" s="65"/>
    </row>
    <row r="24241" spans="1:2" x14ac:dyDescent="0.25">
      <c r="A24241" s="64" t="str">
        <f>HYPERLINK("http://www.twitter.com/gcsmlibrary", "gcsmlibrary")</f>
        <v>gcsmlibrary</v>
      </c>
      <c r="B24241" s="65" t="s">
        <v>10794</v>
      </c>
    </row>
    <row r="24242" spans="1:2" x14ac:dyDescent="0.25">
      <c r="A24242" s="64" t="str">
        <f>HYPERLINK("http://www.twitter.com/pixxiecrafter", "pixxiecrafter")</f>
        <v>pixxiecrafter</v>
      </c>
      <c r="B24242" s="65" t="s">
        <v>10795</v>
      </c>
    </row>
    <row r="24243" spans="1:2" x14ac:dyDescent="0.25">
      <c r="A24243" s="64" t="str">
        <f>HYPERLINK("http://www.twitter.com/RPCLibrary", "RPCLibrary")</f>
        <v>RPCLibrary</v>
      </c>
      <c r="B24243" s="65" t="s">
        <v>1189</v>
      </c>
    </row>
    <row r="24244" spans="1:2" x14ac:dyDescent="0.25">
      <c r="A24244" s="64" t="str">
        <f>HYPERLINK("http://www.twitter.com/onfife", "onfife")</f>
        <v>onfife</v>
      </c>
      <c r="B24244" s="65" t="s">
        <v>5389</v>
      </c>
    </row>
    <row r="24245" spans="1:2" x14ac:dyDescent="0.25">
      <c r="A24245" s="64" t="str">
        <f>HYPERLINK("http://www.twitter.com/kath_humphreys", "kath_humphreys")</f>
        <v>kath_humphreys</v>
      </c>
      <c r="B24245" s="65"/>
    </row>
    <row r="24246" spans="1:2" x14ac:dyDescent="0.25">
      <c r="A24246" s="64" t="str">
        <f>HYPERLINK("http://www.twitter.com/KarenInSellyOak", "KarenInSellyOak")</f>
        <v>KarenInSellyOak</v>
      </c>
      <c r="B24246" s="65" t="s">
        <v>10796</v>
      </c>
    </row>
    <row r="24247" spans="1:2" x14ac:dyDescent="0.25">
      <c r="A24247" s="64" t="str">
        <f>HYPERLINK("http://www.twitter.com/Pixie3000UK", "Pixie3000UK")</f>
        <v>Pixie3000UK</v>
      </c>
      <c r="B24247" s="65"/>
    </row>
    <row r="24248" spans="1:2" x14ac:dyDescent="0.25">
      <c r="A24248" s="64" t="str">
        <f>HYPERLINK("http://www.twitter.com/eleventeen", "eleventeen")</f>
        <v>eleventeen</v>
      </c>
      <c r="B24248" s="65" t="s">
        <v>10797</v>
      </c>
    </row>
    <row r="24249" spans="1:2" x14ac:dyDescent="0.25">
      <c r="A24249" s="64" t="str">
        <f>HYPERLINK("http://www.twitter.com/julescw31", "julescw31")</f>
        <v>julescw31</v>
      </c>
      <c r="B24249" s="65" t="s">
        <v>10798</v>
      </c>
    </row>
    <row r="24250" spans="1:2" x14ac:dyDescent="0.25">
      <c r="A24250" s="64" t="str">
        <f>HYPERLINK("http://www.twitter.com/Jane_Forgay", "Jane_Forgay")</f>
        <v>Jane_Forgay</v>
      </c>
      <c r="B24250" s="65" t="s">
        <v>10799</v>
      </c>
    </row>
    <row r="24251" spans="1:2" x14ac:dyDescent="0.25">
      <c r="A24251" s="64" t="str">
        <f>HYPERLINK("http://www.twitter.com/curlybubbles", "curlybubbles")</f>
        <v>curlybubbles</v>
      </c>
      <c r="B24251" s="65" t="s">
        <v>627</v>
      </c>
    </row>
    <row r="24252" spans="1:2" x14ac:dyDescent="0.25">
      <c r="A24252" s="64" t="str">
        <f>HYPERLINK("http://www.twitter.com/dawniscool53", "dawniscool53")</f>
        <v>dawniscool53</v>
      </c>
      <c r="B24252" s="65"/>
    </row>
    <row r="24253" spans="1:2" x14ac:dyDescent="0.25">
      <c r="A24253" s="64" t="str">
        <f>HYPERLINK("http://www.twitter.com/EdinburghCarers", "EdinburghCarers")</f>
        <v>EdinburghCarers</v>
      </c>
      <c r="B24253" s="65" t="s">
        <v>24</v>
      </c>
    </row>
    <row r="24254" spans="1:2" x14ac:dyDescent="0.25">
      <c r="A24254" s="64" t="str">
        <f>HYPERLINK("http://www.twitter.com/PaulProbert1", "PaulProbert1")</f>
        <v>PaulProbert1</v>
      </c>
      <c r="B24254" s="65" t="s">
        <v>10800</v>
      </c>
    </row>
    <row r="24255" spans="1:2" x14ac:dyDescent="0.25">
      <c r="A24255" s="64" t="str">
        <f>HYPERLINK("http://www.twitter.com/hackessex", "hackessex")</f>
        <v>hackessex</v>
      </c>
      <c r="B24255" s="65" t="s">
        <v>122</v>
      </c>
    </row>
    <row r="24256" spans="1:2" x14ac:dyDescent="0.25">
      <c r="A24256" s="64" t="str">
        <f>HYPERLINK("http://www.twitter.com/ElsieF100", "ElsieF100")</f>
        <v>ElsieF100</v>
      </c>
      <c r="B24256" s="65"/>
    </row>
    <row r="24257" spans="1:2" x14ac:dyDescent="0.25">
      <c r="A24257" s="64" t="str">
        <f>HYPERLINK("http://www.twitter.com/SparklyBooks", "SparklyBooks")</f>
        <v>SparklyBooks</v>
      </c>
      <c r="B24257" s="65"/>
    </row>
    <row r="24258" spans="1:2" x14ac:dyDescent="0.25">
      <c r="A24258" s="64" t="str">
        <f>HYPERLINK("http://www.twitter.com/KPL_GSRHistory", "KPL_GSRHistory")</f>
        <v>KPL_GSRHistory</v>
      </c>
      <c r="B24258" s="65" t="s">
        <v>10801</v>
      </c>
    </row>
    <row r="24259" spans="1:2" x14ac:dyDescent="0.25">
      <c r="A24259" s="64" t="str">
        <f>HYPERLINK("http://www.twitter.com/LilaRex", "LilaRex")</f>
        <v>LilaRex</v>
      </c>
      <c r="B24259" s="65"/>
    </row>
    <row r="24260" spans="1:2" x14ac:dyDescent="0.25">
      <c r="A24260" s="64" t="str">
        <f>HYPERLINK("http://www.twitter.com/AskthePast", "AskthePast")</f>
        <v>AskthePast</v>
      </c>
      <c r="B24260" s="65"/>
    </row>
    <row r="24261" spans="1:2" x14ac:dyDescent="0.25">
      <c r="A24261" s="64" t="str">
        <f>HYPERLINK("http://www.twitter.com/mgoutsidou", "mgoutsidou")</f>
        <v>mgoutsidou</v>
      </c>
      <c r="B24261" s="65" t="s">
        <v>8026</v>
      </c>
    </row>
    <row r="24262" spans="1:2" x14ac:dyDescent="0.25">
      <c r="A24262" s="64" t="str">
        <f>HYPERLINK("http://www.twitter.com/BG_Recruitment", "BG_Recruitment")</f>
        <v>BG_Recruitment</v>
      </c>
      <c r="B24262" s="65"/>
    </row>
    <row r="24263" spans="1:2" x14ac:dyDescent="0.25">
      <c r="A24263" s="64" t="str">
        <f>HYPERLINK("http://www.twitter.com/Brunel_Library", "Brunel_Library")</f>
        <v>Brunel_Library</v>
      </c>
      <c r="B24263" s="65" t="s">
        <v>375</v>
      </c>
    </row>
    <row r="24264" spans="1:2" x14ac:dyDescent="0.25">
      <c r="A24264" s="64" t="str">
        <f>HYPERLINK("http://www.twitter.com/Edgar12Jean", "Edgar12Jean")</f>
        <v>Edgar12Jean</v>
      </c>
      <c r="B24264" s="65"/>
    </row>
    <row r="24265" spans="1:2" x14ac:dyDescent="0.25">
      <c r="A24265" s="64" t="str">
        <f>HYPERLINK("http://www.twitter.com/CRC_EdUni", "CRC_EdUni")</f>
        <v>CRC_EdUni</v>
      </c>
      <c r="B24265" s="65" t="s">
        <v>67</v>
      </c>
    </row>
    <row r="24266" spans="1:2" x14ac:dyDescent="0.25">
      <c r="A24266" s="64" t="str">
        <f>HYPERLINK("http://www.twitter.com/mabeldog22", "mabeldog22")</f>
        <v>mabeldog22</v>
      </c>
      <c r="B24266" s="65"/>
    </row>
    <row r="24267" spans="1:2" x14ac:dyDescent="0.25">
      <c r="A24267" s="64" t="str">
        <f>HYPERLINK("http://www.twitter.com/MaudeandMartha", "MaudeandMartha")</f>
        <v>MaudeandMartha</v>
      </c>
      <c r="B24267" s="65" t="s">
        <v>10526</v>
      </c>
    </row>
    <row r="24268" spans="1:2" x14ac:dyDescent="0.25">
      <c r="A24268" s="64" t="str">
        <f>HYPERLINK("http://www.twitter.com/CMQueen", "CMQueen")</f>
        <v>CMQueen</v>
      </c>
      <c r="B24268" s="65" t="s">
        <v>138</v>
      </c>
    </row>
    <row r="24269" spans="1:2" x14ac:dyDescent="0.25">
      <c r="A24269" s="64" t="str">
        <f>HYPERLINK("http://www.twitter.com/HWU_IS", "HWU_IS")</f>
        <v>HWU_IS</v>
      </c>
      <c r="B24269" s="65" t="s">
        <v>24</v>
      </c>
    </row>
    <row r="24270" spans="1:2" x14ac:dyDescent="0.25">
      <c r="A24270" s="64" t="str">
        <f>HYPERLINK("http://www.twitter.com/NHFTNHSLibrary", "NHFTNHSLibrary")</f>
        <v>NHFTNHSLibrary</v>
      </c>
      <c r="B24270" s="65" t="s">
        <v>1033</v>
      </c>
    </row>
    <row r="24271" spans="1:2" x14ac:dyDescent="0.25">
      <c r="A24271" s="64" t="str">
        <f>HYPERLINK("http://www.twitter.com/abilemon", "abilemon")</f>
        <v>abilemon</v>
      </c>
      <c r="B24271" s="65"/>
    </row>
    <row r="24272" spans="1:2" x14ac:dyDescent="0.25">
      <c r="A24272" s="64" t="str">
        <f>HYPERLINK("http://www.twitter.com/JaimeeUK", "JaimeeUK")</f>
        <v>JaimeeUK</v>
      </c>
      <c r="B24272" s="65" t="s">
        <v>36</v>
      </c>
    </row>
    <row r="24273" spans="1:2" x14ac:dyDescent="0.25">
      <c r="A24273" s="64" t="str">
        <f>HYPERLINK("http://www.twitter.com/JaclynMartin84", "JaclynMartin84")</f>
        <v>JaclynMartin84</v>
      </c>
      <c r="B24273" s="65" t="s">
        <v>1221</v>
      </c>
    </row>
    <row r="24274" spans="1:2" x14ac:dyDescent="0.25">
      <c r="A24274" s="64" t="str">
        <f>HYPERLINK("http://www.twitter.com/ninfield", "ninfield")</f>
        <v>ninfield</v>
      </c>
      <c r="B24274" s="65" t="s">
        <v>10802</v>
      </c>
    </row>
    <row r="24275" spans="1:2" x14ac:dyDescent="0.25">
      <c r="A24275" s="64" t="str">
        <f>HYPERLINK("http://www.twitter.com/corinneberry", "corinneberry")</f>
        <v>corinneberry</v>
      </c>
      <c r="B24275" s="65"/>
    </row>
    <row r="24276" spans="1:2" x14ac:dyDescent="0.25">
      <c r="A24276" s="64" t="str">
        <f>HYPERLINK("http://www.twitter.com/AlexanderMCrow", "AlexanderMCrow")</f>
        <v>AlexanderMCrow</v>
      </c>
      <c r="B24276" s="65" t="s">
        <v>10803</v>
      </c>
    </row>
    <row r="24277" spans="1:2" x14ac:dyDescent="0.25">
      <c r="A24277" s="64" t="str">
        <f>HYPERLINK("http://www.twitter.com/CumbriaSLS", "CumbriaSLS")</f>
        <v>CumbriaSLS</v>
      </c>
      <c r="B24277" s="65" t="s">
        <v>1417</v>
      </c>
    </row>
    <row r="24278" spans="1:2" x14ac:dyDescent="0.25">
      <c r="A24278" s="64" t="str">
        <f>HYPERLINK("http://www.twitter.com/NBP16LRC", "NBP16LRC")</f>
        <v>NBP16LRC</v>
      </c>
      <c r="B24278" s="65" t="s">
        <v>1295</v>
      </c>
    </row>
    <row r="24279" spans="1:2" x14ac:dyDescent="0.25">
      <c r="A24279" s="64" t="str">
        <f>HYPERLINK("http://www.twitter.com/benplumpton", "benplumpton")</f>
        <v>benplumpton</v>
      </c>
      <c r="B24279" s="65"/>
    </row>
    <row r="24280" spans="1:2" x14ac:dyDescent="0.25">
      <c r="A24280" s="64" t="str">
        <f>HYPERLINK("http://www.twitter.com/colemancarol", "colemancarol")</f>
        <v>colemancarol</v>
      </c>
      <c r="B24280" s="65"/>
    </row>
    <row r="24281" spans="1:2" x14ac:dyDescent="0.25">
      <c r="A24281" s="64" t="str">
        <f>HYPERLINK("http://www.twitter.com/nielanell", "nielanell")</f>
        <v>nielanell</v>
      </c>
      <c r="B24281" s="65" t="s">
        <v>10804</v>
      </c>
    </row>
    <row r="24282" spans="1:2" x14ac:dyDescent="0.25">
      <c r="A24282" s="64" t="str">
        <f>HYPERLINK("http://www.twitter.com/Annika222", "Annika222")</f>
        <v>Annika222</v>
      </c>
      <c r="B24282" s="65" t="s">
        <v>517</v>
      </c>
    </row>
    <row r="24283" spans="1:2" x14ac:dyDescent="0.25">
      <c r="A24283" s="64" t="str">
        <f>HYPERLINK("http://www.twitter.com/bridget_march", "bridget_march")</f>
        <v>bridget_march</v>
      </c>
      <c r="B24283" s="65"/>
    </row>
    <row r="24284" spans="1:2" x14ac:dyDescent="0.25">
      <c r="A24284" s="64" t="str">
        <f>HYPERLINK("http://www.twitter.com/moragm23", "moragm23")</f>
        <v>moragm23</v>
      </c>
      <c r="B24284" s="65" t="s">
        <v>36</v>
      </c>
    </row>
    <row r="24285" spans="1:2" x14ac:dyDescent="0.25">
      <c r="A24285" s="64" t="str">
        <f>HYPERLINK("http://www.twitter.com/jscammel", "jscammel")</f>
        <v>jscammel</v>
      </c>
      <c r="B24285" s="65" t="s">
        <v>477</v>
      </c>
    </row>
    <row r="24286" spans="1:2" x14ac:dyDescent="0.25">
      <c r="A24286" s="64" t="str">
        <f>HYPERLINK("http://www.twitter.com/naomiprady", "naomiprady")</f>
        <v>naomiprady</v>
      </c>
      <c r="B24286" s="65" t="s">
        <v>3890</v>
      </c>
    </row>
    <row r="24287" spans="1:2" x14ac:dyDescent="0.25">
      <c r="A24287" s="64" t="str">
        <f>HYPERLINK("http://www.twitter.com/wilslib", "wilslib")</f>
        <v>wilslib</v>
      </c>
      <c r="B24287" s="65"/>
    </row>
    <row r="24288" spans="1:2" x14ac:dyDescent="0.25">
      <c r="A24288" s="64" t="str">
        <f>HYPERLINK("http://www.twitter.com/BexCarrington", "BexCarrington")</f>
        <v>BexCarrington</v>
      </c>
      <c r="B24288" s="65"/>
    </row>
    <row r="24289" spans="1:2" x14ac:dyDescent="0.25">
      <c r="A24289" s="64" t="str">
        <f>HYPERLINK("http://www.twitter.com/AngelaBarnes", "AngelaBarnes")</f>
        <v>AngelaBarnes</v>
      </c>
      <c r="B24289" s="65" t="s">
        <v>36</v>
      </c>
    </row>
    <row r="24290" spans="1:2" x14ac:dyDescent="0.25">
      <c r="A24290" s="64" t="str">
        <f>HYPERLINK("http://www.twitter.com/lankashirewitch", "lankashirewitch")</f>
        <v>lankashirewitch</v>
      </c>
      <c r="B24290" s="65"/>
    </row>
    <row r="24291" spans="1:2" x14ac:dyDescent="0.25">
      <c r="A24291" s="64" t="str">
        <f>HYPERLINK("http://www.twitter.com/LauraBrennanArt", "LauraBrennanArt")</f>
        <v>LauraBrennanArt</v>
      </c>
      <c r="B24291" s="65" t="s">
        <v>448</v>
      </c>
    </row>
    <row r="24292" spans="1:2" x14ac:dyDescent="0.25">
      <c r="A24292" s="64" t="str">
        <f>HYPERLINK("http://www.twitter.com/CCLProperty", "CCLProperty")</f>
        <v>CCLProperty</v>
      </c>
      <c r="B24292" s="65" t="s">
        <v>5423</v>
      </c>
    </row>
    <row r="24293" spans="1:2" x14ac:dyDescent="0.25">
      <c r="A24293" s="64" t="str">
        <f>HYPERLINK("http://www.twitter.com/Frances_IH", "Frances_IH")</f>
        <v>Frances_IH</v>
      </c>
      <c r="B24293" s="65" t="s">
        <v>2369</v>
      </c>
    </row>
    <row r="24294" spans="1:2" x14ac:dyDescent="0.25">
      <c r="A24294" s="64" t="str">
        <f>HYPERLINK("http://www.twitter.com/UoNLibraries", "UoNLibraries")</f>
        <v>UoNLibraries</v>
      </c>
      <c r="B24294" s="65" t="s">
        <v>526</v>
      </c>
    </row>
    <row r="24295" spans="1:2" x14ac:dyDescent="0.25">
      <c r="A24295" s="64" t="str">
        <f>HYPERLINK("http://www.twitter.com/mopennock", "mopennock")</f>
        <v>mopennock</v>
      </c>
      <c r="B24295" s="65" t="s">
        <v>4501</v>
      </c>
    </row>
    <row r="24296" spans="1:2" x14ac:dyDescent="0.25">
      <c r="A24296" s="64" t="str">
        <f>HYPERLINK("http://www.twitter.com/edcentrallib", "edcentrallib")</f>
        <v>edcentrallib</v>
      </c>
      <c r="B24296" s="65" t="s">
        <v>24</v>
      </c>
    </row>
    <row r="24297" spans="1:2" x14ac:dyDescent="0.25">
      <c r="A24297" s="64" t="str">
        <f>HYPERLINK("http://www.twitter.com/MacnamaraMark", "MacnamaraMark")</f>
        <v>MacnamaraMark</v>
      </c>
      <c r="B24297" s="65"/>
    </row>
    <row r="24298" spans="1:2" x14ac:dyDescent="0.25">
      <c r="A24298" s="64" t="str">
        <f>HYPERLINK("http://www.twitter.com/librarian_bro", "librarian_bro")</f>
        <v>librarian_bro</v>
      </c>
      <c r="B24298" s="65" t="s">
        <v>10805</v>
      </c>
    </row>
    <row r="24299" spans="1:2" x14ac:dyDescent="0.25">
      <c r="A24299" s="64" t="str">
        <f>HYPERLINK("http://www.twitter.com/StevenDora", "StevenDora")</f>
        <v>StevenDora</v>
      </c>
      <c r="B24299" s="65"/>
    </row>
    <row r="24300" spans="1:2" x14ac:dyDescent="0.25">
      <c r="A24300" s="64" t="str">
        <f>HYPERLINK("http://www.twitter.com/hazelsmith_1910", "hazelsmith_1910")</f>
        <v>hazelsmith_1910</v>
      </c>
      <c r="B24300" s="65" t="s">
        <v>10806</v>
      </c>
    </row>
    <row r="24301" spans="1:2" x14ac:dyDescent="0.25">
      <c r="A24301" s="64" t="str">
        <f>HYPERLINK("http://www.twitter.com/CathyHammer1", "CathyHammer1")</f>
        <v>CathyHammer1</v>
      </c>
      <c r="B24301" s="65"/>
    </row>
    <row r="24302" spans="1:2" x14ac:dyDescent="0.25">
      <c r="A24302" s="64" t="str">
        <f>HYPERLINK("http://www.twitter.com/monashunilib", "monashunilib")</f>
        <v>monashunilib</v>
      </c>
      <c r="B24302" s="65" t="s">
        <v>4147</v>
      </c>
    </row>
    <row r="24303" spans="1:2" x14ac:dyDescent="0.25">
      <c r="A24303" s="64" t="str">
        <f>HYPERLINK("http://www.twitter.com/jsevrobb", "jsevrobb")</f>
        <v>jsevrobb</v>
      </c>
      <c r="B24303" s="65"/>
    </row>
    <row r="24304" spans="1:2" x14ac:dyDescent="0.25">
      <c r="A24304" s="64" t="str">
        <f>HYPERLINK("http://www.twitter.com/yvetteparker", "yvetteparker")</f>
        <v>yvetteparker</v>
      </c>
      <c r="B24304" s="65" t="s">
        <v>10807</v>
      </c>
    </row>
    <row r="24305" spans="1:2" x14ac:dyDescent="0.25">
      <c r="A24305" s="64" t="str">
        <f>HYPERLINK("http://www.twitter.com/HKPerkinson", "HKPerkinson")</f>
        <v>HKPerkinson</v>
      </c>
      <c r="B24305" s="65" t="s">
        <v>4825</v>
      </c>
    </row>
    <row r="24306" spans="1:2" x14ac:dyDescent="0.25">
      <c r="A24306" s="64" t="str">
        <f>HYPERLINK("http://www.twitter.com/Ascasewwen", "Ascasewwen")</f>
        <v>Ascasewwen</v>
      </c>
      <c r="B24306" s="65"/>
    </row>
    <row r="24307" spans="1:2" x14ac:dyDescent="0.25">
      <c r="A24307" s="64" t="str">
        <f>HYPERLINK("http://www.twitter.com/libraryrat4", "libraryrat4")</f>
        <v>libraryrat4</v>
      </c>
      <c r="B24307" s="65" t="s">
        <v>10808</v>
      </c>
    </row>
    <row r="24308" spans="1:2" x14ac:dyDescent="0.25">
      <c r="A24308" s="64" t="str">
        <f>HYPERLINK("http://www.twitter.com/SarahJMorley", "SarahJMorley")</f>
        <v>SarahJMorley</v>
      </c>
      <c r="B24308" s="65" t="s">
        <v>4237</v>
      </c>
    </row>
    <row r="24309" spans="1:2" x14ac:dyDescent="0.25">
      <c r="A24309" s="64" t="str">
        <f>HYPERLINK("http://www.twitter.com/SpamDino", "SpamDino")</f>
        <v>SpamDino</v>
      </c>
      <c r="B24309" s="65"/>
    </row>
    <row r="24310" spans="1:2" x14ac:dyDescent="0.25">
      <c r="A24310" s="64" t="str">
        <f>HYPERLINK("http://www.twitter.com/RaewynPatton", "RaewynPatton")</f>
        <v>RaewynPatton</v>
      </c>
      <c r="B24310" s="65" t="s">
        <v>10809</v>
      </c>
    </row>
    <row r="24311" spans="1:2" x14ac:dyDescent="0.25">
      <c r="A24311" s="64" t="str">
        <f>HYPERLINK("http://www.twitter.com/Jeff_Hump", "Jeff_Hump")</f>
        <v>Jeff_Hump</v>
      </c>
      <c r="B24311" s="65" t="s">
        <v>10810</v>
      </c>
    </row>
    <row r="24312" spans="1:2" x14ac:dyDescent="0.25">
      <c r="A24312" s="64" t="str">
        <f>HYPERLINK("http://www.twitter.com/katreeeena", "katreeeena")</f>
        <v>katreeeena</v>
      </c>
      <c r="B24312" s="65" t="s">
        <v>10811</v>
      </c>
    </row>
    <row r="24313" spans="1:2" x14ac:dyDescent="0.25">
      <c r="A24313" s="64" t="str">
        <f>HYPERLINK("http://www.twitter.com/slatheredgems", "slatheredgems")</f>
        <v>slatheredgems</v>
      </c>
      <c r="B24313" s="65" t="s">
        <v>10812</v>
      </c>
    </row>
    <row r="24314" spans="1:2" x14ac:dyDescent="0.25">
      <c r="A24314" s="64" t="str">
        <f>HYPERLINK("http://www.twitter.com/DuffyChristina", "DuffyChristina")</f>
        <v>DuffyChristina</v>
      </c>
      <c r="B24314" s="65" t="s">
        <v>36</v>
      </c>
    </row>
    <row r="24315" spans="1:2" x14ac:dyDescent="0.25">
      <c r="A24315" s="64" t="str">
        <f>HYPERLINK("http://www.twitter.com/pomonal", "pomonal")</f>
        <v>pomonal</v>
      </c>
      <c r="B24315" s="65" t="s">
        <v>3988</v>
      </c>
    </row>
    <row r="24316" spans="1:2" x14ac:dyDescent="0.25">
      <c r="A24316" s="64" t="str">
        <f>HYPERLINK("http://www.twitter.com/jaegard", "jaegard")</f>
        <v>jaegard</v>
      </c>
      <c r="B24316" s="65" t="s">
        <v>10813</v>
      </c>
    </row>
    <row r="24317" spans="1:2" x14ac:dyDescent="0.25">
      <c r="A24317" s="64" t="str">
        <f>HYPERLINK("http://www.twitter.com/melaniedobbs", "melaniedobbs")</f>
        <v>melaniedobbs</v>
      </c>
      <c r="B24317" s="65"/>
    </row>
    <row r="24318" spans="1:2" x14ac:dyDescent="0.25">
      <c r="A24318" s="64" t="str">
        <f>HYPERLINK("http://www.twitter.com/TheDink84", "TheDink84")</f>
        <v>TheDink84</v>
      </c>
      <c r="B24318" s="65"/>
    </row>
    <row r="24319" spans="1:2" x14ac:dyDescent="0.25">
      <c r="A24319" s="64" t="str">
        <f>HYPERLINK("http://www.twitter.com/estibrennan", "estibrennan")</f>
        <v>estibrennan</v>
      </c>
      <c r="B24319" s="65" t="s">
        <v>10814</v>
      </c>
    </row>
    <row r="24320" spans="1:2" x14ac:dyDescent="0.25">
      <c r="A24320" s="64" t="str">
        <f>HYPERLINK("http://www.twitter.com/anjana_barnett", "anjana_barnett")</f>
        <v>anjana_barnett</v>
      </c>
      <c r="B24320" s="65"/>
    </row>
    <row r="24321" spans="1:2" x14ac:dyDescent="0.25">
      <c r="A24321" s="64" t="str">
        <f>HYPERLINK("http://www.twitter.com/GMOCallaghan", "GMOCallaghan")</f>
        <v>GMOCallaghan</v>
      </c>
      <c r="B24321" s="65" t="s">
        <v>10815</v>
      </c>
    </row>
    <row r="24322" spans="1:2" x14ac:dyDescent="0.25">
      <c r="A24322" s="64" t="str">
        <f>HYPERLINK("http://www.twitter.com/alisplat", "alisplat")</f>
        <v>alisplat</v>
      </c>
      <c r="B24322" s="65"/>
    </row>
    <row r="24323" spans="1:2" x14ac:dyDescent="0.25">
      <c r="A24323" s="64" t="str">
        <f>HYPERLINK("http://www.twitter.com/cathgilbert", "cathgilbert")</f>
        <v>cathgilbert</v>
      </c>
      <c r="B24323" s="65" t="s">
        <v>3988</v>
      </c>
    </row>
    <row r="24324" spans="1:2" x14ac:dyDescent="0.25">
      <c r="A24324" s="64" t="str">
        <f>HYPERLINK("http://www.twitter.com/Rodge_23", "Rodge_23")</f>
        <v>Rodge_23</v>
      </c>
      <c r="B24324" s="65"/>
    </row>
    <row r="24325" spans="1:2" x14ac:dyDescent="0.25">
      <c r="A24325" s="64" t="str">
        <f>HYPERLINK("http://www.twitter.com/tirsdagerpaenko", "tirsdagerpaenko")</f>
        <v>tirsdagerpaenko</v>
      </c>
      <c r="B24325" s="65"/>
    </row>
    <row r="24326" spans="1:2" x14ac:dyDescent="0.25">
      <c r="A24326" s="64" t="str">
        <f>HYPERLINK("http://www.twitter.com/BonnieMagerNZ", "BonnieMagerNZ")</f>
        <v>BonnieMagerNZ</v>
      </c>
      <c r="B24326" s="65" t="s">
        <v>10816</v>
      </c>
    </row>
    <row r="24327" spans="1:2" x14ac:dyDescent="0.25">
      <c r="A24327" s="64" t="str">
        <f>HYPERLINK("http://www.twitter.com/aamelles", "aamelles")</f>
        <v>aamelles</v>
      </c>
      <c r="B24327" s="65" t="s">
        <v>4147</v>
      </c>
    </row>
    <row r="24328" spans="1:2" x14ac:dyDescent="0.25">
      <c r="A24328" s="64" t="str">
        <f>HYPERLINK("http://www.twitter.com/stups0711", "stups0711")</f>
        <v>stups0711</v>
      </c>
      <c r="B24328" s="65" t="s">
        <v>10817</v>
      </c>
    </row>
    <row r="24329" spans="1:2" x14ac:dyDescent="0.25">
      <c r="A24329" s="64" t="str">
        <f>HYPERLINK("http://www.twitter.com/NSWFireLibrary", "NSWFireLibrary")</f>
        <v>NSWFireLibrary</v>
      </c>
      <c r="B24329" s="65" t="s">
        <v>7556</v>
      </c>
    </row>
    <row r="24330" spans="1:2" x14ac:dyDescent="0.25">
      <c r="A24330" s="64" t="str">
        <f>HYPERLINK("http://www.twitter.com/CarolineAGale", "CarolineAGale")</f>
        <v>CarolineAGale</v>
      </c>
      <c r="B24330" s="65" t="s">
        <v>10818</v>
      </c>
    </row>
    <row r="24331" spans="1:2" x14ac:dyDescent="0.25">
      <c r="A24331" s="64" t="str">
        <f>HYPERLINK("http://www.twitter.com/MsDodgyDog", "MsDodgyDog")</f>
        <v>MsDodgyDog</v>
      </c>
      <c r="B24331" s="65" t="s">
        <v>4237</v>
      </c>
    </row>
    <row r="24332" spans="1:2" x14ac:dyDescent="0.25">
      <c r="A24332" s="64" t="str">
        <f>HYPERLINK("http://www.twitter.com/KellyFrazer", "KellyFrazer")</f>
        <v>KellyFrazer</v>
      </c>
      <c r="B24332" s="65"/>
    </row>
    <row r="24333" spans="1:2" x14ac:dyDescent="0.25">
      <c r="A24333" s="64" t="str">
        <f>HYPERLINK("http://www.twitter.com/africahands", "africahands")</f>
        <v>africahands</v>
      </c>
      <c r="B24333" s="65"/>
    </row>
    <row r="24334" spans="1:2" x14ac:dyDescent="0.25">
      <c r="A24334" s="64" t="str">
        <f>HYPERLINK("http://www.twitter.com/dibrarian", "dibrarian")</f>
        <v>dibrarian</v>
      </c>
      <c r="B24334" s="65" t="s">
        <v>4148</v>
      </c>
    </row>
    <row r="24335" spans="1:2" x14ac:dyDescent="0.25">
      <c r="A24335" s="64" t="str">
        <f>HYPERLINK("http://www.twitter.com/ninjalampie", "ninjalampie")</f>
        <v>ninjalampie</v>
      </c>
      <c r="B24335" s="65" t="s">
        <v>4766</v>
      </c>
    </row>
    <row r="24336" spans="1:2" x14ac:dyDescent="0.25">
      <c r="A24336" s="64" t="str">
        <f>HYPERLINK("http://www.twitter.com/INFOGODDESS1", "INFOGODDESS1")</f>
        <v>INFOGODDESS1</v>
      </c>
      <c r="B24336" s="65"/>
    </row>
    <row r="24337" spans="1:2" x14ac:dyDescent="0.25">
      <c r="A24337" s="64" t="str">
        <f>HYPERLINK("http://www.twitter.com/YummyHistory", "YummyHistory")</f>
        <v>YummyHistory</v>
      </c>
      <c r="B24337" s="65" t="s">
        <v>10819</v>
      </c>
    </row>
    <row r="24338" spans="1:2" x14ac:dyDescent="0.25">
      <c r="A24338" s="64" t="str">
        <f>HYPERLINK("http://www.twitter.com/lwilliams02346", "lwilliams02346")</f>
        <v>lwilliams02346</v>
      </c>
      <c r="B24338" s="65"/>
    </row>
    <row r="24339" spans="1:2" x14ac:dyDescent="0.25">
      <c r="A24339" s="64" t="str">
        <f>HYPERLINK("http://www.twitter.com/belmontlibma", "belmontlibma")</f>
        <v>belmontlibma</v>
      </c>
      <c r="B24339" s="65" t="s">
        <v>10820</v>
      </c>
    </row>
    <row r="24340" spans="1:2" x14ac:dyDescent="0.25">
      <c r="A24340" s="64" t="str">
        <f>HYPERLINK("http://www.twitter.com/TheLibraryWhiz", "TheLibraryWhiz")</f>
        <v>TheLibraryWhiz</v>
      </c>
      <c r="B24340" s="65" t="s">
        <v>7728</v>
      </c>
    </row>
    <row r="24341" spans="1:2" x14ac:dyDescent="0.25">
      <c r="A24341" s="64" t="str">
        <f>HYPERLINK("http://www.twitter.com/ForlornFalou", "ForlornFalou")</f>
        <v>ForlornFalou</v>
      </c>
      <c r="B24341" s="65"/>
    </row>
    <row r="24342" spans="1:2" x14ac:dyDescent="0.25">
      <c r="A24342" s="64" t="str">
        <f>HYPERLINK("http://www.twitter.com/DavePick", "DavePick")</f>
        <v>DavePick</v>
      </c>
      <c r="B24342" s="65" t="s">
        <v>10821</v>
      </c>
    </row>
    <row r="24343" spans="1:2" x14ac:dyDescent="0.25">
      <c r="A24343" s="64" t="str">
        <f>HYPERLINK("http://www.twitter.com/MSUBLib", "MSUBLib")</f>
        <v>MSUBLib</v>
      </c>
      <c r="B24343" s="65" t="s">
        <v>10822</v>
      </c>
    </row>
    <row r="24344" spans="1:2" x14ac:dyDescent="0.25">
      <c r="A24344" s="64" t="str">
        <f>HYPERLINK("http://www.twitter.com/booktown_djini", "booktown_djini")</f>
        <v>booktown_djini</v>
      </c>
      <c r="B24344" s="65"/>
    </row>
    <row r="24345" spans="1:2" x14ac:dyDescent="0.25">
      <c r="A24345" s="64" t="str">
        <f>HYPERLINK("http://www.twitter.com/akgrl33", "akgrl33")</f>
        <v>akgrl33</v>
      </c>
      <c r="B24345" s="65" t="s">
        <v>10823</v>
      </c>
    </row>
    <row r="24346" spans="1:2" x14ac:dyDescent="0.25">
      <c r="A24346" s="64" t="str">
        <f>HYPERLINK("http://www.twitter.com/GilliancSimpson", "GilliancSimpson")</f>
        <v>GilliancSimpson</v>
      </c>
      <c r="B24346" s="65"/>
    </row>
    <row r="24347" spans="1:2" x14ac:dyDescent="0.25">
      <c r="A24347" s="64" t="str">
        <f>HYPERLINK("http://www.twitter.com/MTbeekeeper", "MTbeekeeper")</f>
        <v>MTbeekeeper</v>
      </c>
      <c r="B24347" s="65"/>
    </row>
    <row r="24348" spans="1:2" x14ac:dyDescent="0.25">
      <c r="A24348" s="64" t="str">
        <f>HYPERLINK("http://www.twitter.com/library_anthony", "library_anthony")</f>
        <v>library_anthony</v>
      </c>
      <c r="B24348" s="65" t="s">
        <v>10824</v>
      </c>
    </row>
    <row r="24349" spans="1:2" x14ac:dyDescent="0.25">
      <c r="A24349" s="64" t="str">
        <f>HYPERLINK("http://www.twitter.com/emilyjmacaulay", "emilyjmacaulay")</f>
        <v>emilyjmacaulay</v>
      </c>
      <c r="B24349" s="65" t="s">
        <v>1716</v>
      </c>
    </row>
    <row r="24350" spans="1:2" x14ac:dyDescent="0.25">
      <c r="A24350" s="64" t="str">
        <f>HYPERLINK("http://www.twitter.com/pmmpfeiffer", "pmmpfeiffer")</f>
        <v>pmmpfeiffer</v>
      </c>
      <c r="B24350" s="65"/>
    </row>
    <row r="24351" spans="1:2" x14ac:dyDescent="0.25">
      <c r="A24351" s="64" t="str">
        <f>HYPERLINK("http://www.twitter.com/moonlightbulb", "moonlightbulb")</f>
        <v>moonlightbulb</v>
      </c>
      <c r="B24351" s="65" t="s">
        <v>10825</v>
      </c>
    </row>
    <row r="24352" spans="1:2" x14ac:dyDescent="0.25">
      <c r="A24352" s="64" t="str">
        <f>HYPERLINK("http://www.twitter.com/janecowell8", "janecowell8")</f>
        <v>janecowell8</v>
      </c>
      <c r="B24352" s="65" t="s">
        <v>4222</v>
      </c>
    </row>
    <row r="24353" spans="1:2" x14ac:dyDescent="0.25">
      <c r="A24353" s="64" t="str">
        <f>HYPERLINK("http://www.twitter.com/crrlnews", "crrlnews")</f>
        <v>crrlnews</v>
      </c>
      <c r="B24353" s="65" t="s">
        <v>10826</v>
      </c>
    </row>
    <row r="24354" spans="1:2" x14ac:dyDescent="0.25">
      <c r="A24354" s="64" t="str">
        <f>HYPERLINK("http://www.twitter.com/charlotteswhere", "charlotteswhere")</f>
        <v>charlotteswhere</v>
      </c>
      <c r="B24354" s="65"/>
    </row>
    <row r="24355" spans="1:2" x14ac:dyDescent="0.25">
      <c r="A24355" s="64" t="str">
        <f>HYPERLINK("http://www.twitter.com/ButlerLib", "ButlerLib")</f>
        <v>ButlerLib</v>
      </c>
      <c r="B24355" s="65" t="s">
        <v>4701</v>
      </c>
    </row>
    <row r="24356" spans="1:2" x14ac:dyDescent="0.25">
      <c r="A24356" s="64" t="str">
        <f>HYPERLINK("http://www.twitter.com/parr_cath", "parr_cath")</f>
        <v>parr_cath</v>
      </c>
      <c r="B24356" s="65"/>
    </row>
    <row r="24357" spans="1:2" x14ac:dyDescent="0.25">
      <c r="A24357" s="64" t="str">
        <f>HYPERLINK("http://www.twitter.com/cmclibrary", "cmclibrary")</f>
        <v>cmclibrary</v>
      </c>
      <c r="B24357" s="65" t="s">
        <v>10827</v>
      </c>
    </row>
    <row r="24358" spans="1:2" x14ac:dyDescent="0.25">
      <c r="A24358" s="64" t="str">
        <f>HYPERLINK("http://www.twitter.com/Chri5rowell", "Chri5rowell")</f>
        <v>Chri5rowell</v>
      </c>
      <c r="B24358" s="65" t="s">
        <v>7415</v>
      </c>
    </row>
    <row r="24359" spans="1:2" x14ac:dyDescent="0.25">
      <c r="A24359" s="64" t="str">
        <f>HYPERLINK("http://www.twitter.com/Leweslibrary", "Leweslibrary")</f>
        <v>Leweslibrary</v>
      </c>
      <c r="B24359" s="65" t="s">
        <v>10828</v>
      </c>
    </row>
    <row r="24360" spans="1:2" x14ac:dyDescent="0.25">
      <c r="A24360" s="64" t="str">
        <f>HYPERLINK("http://www.twitter.com/ChrisMalinow", "ChrisMalinow")</f>
        <v>ChrisMalinow</v>
      </c>
      <c r="B24360" s="65" t="s">
        <v>6826</v>
      </c>
    </row>
    <row r="24361" spans="1:2" x14ac:dyDescent="0.25">
      <c r="A24361" s="64" t="str">
        <f>HYPERLINK("http://www.twitter.com/cali4nagurl", "cali4nagurl")</f>
        <v>cali4nagurl</v>
      </c>
      <c r="B24361" s="65"/>
    </row>
    <row r="24362" spans="1:2" x14ac:dyDescent="0.25">
      <c r="A24362" s="64" t="str">
        <f>HYPERLINK("http://www.twitter.com/heyyoukid415", "heyyoukid415")</f>
        <v>heyyoukid415</v>
      </c>
      <c r="B24362" s="65" t="s">
        <v>3921</v>
      </c>
    </row>
    <row r="24363" spans="1:2" x14ac:dyDescent="0.25">
      <c r="A24363" s="64" t="str">
        <f>HYPERLINK("http://www.twitter.com/abetcher", "abetcher")</f>
        <v>abetcher</v>
      </c>
      <c r="B24363" s="65"/>
    </row>
    <row r="24364" spans="1:2" x14ac:dyDescent="0.25">
      <c r="A24364" s="64" t="str">
        <f>HYPERLINK("http://www.twitter.com/Noel_Kopriva", "Noel_Kopriva")</f>
        <v>Noel_Kopriva</v>
      </c>
      <c r="B24364" s="65" t="s">
        <v>10829</v>
      </c>
    </row>
    <row r="24365" spans="1:2" x14ac:dyDescent="0.25">
      <c r="A24365" s="64" t="str">
        <f>HYPERLINK("http://www.twitter.com/Loki_Lady", "Loki_Lady")</f>
        <v>Loki_Lady</v>
      </c>
      <c r="B24365" s="65" t="s">
        <v>10830</v>
      </c>
    </row>
    <row r="24366" spans="1:2" x14ac:dyDescent="0.25">
      <c r="A24366" s="64" t="str">
        <f>HYPERLINK("http://www.twitter.com/erinac1", "erinac1")</f>
        <v>erinac1</v>
      </c>
      <c r="B24366" s="65"/>
    </row>
    <row r="24367" spans="1:2" x14ac:dyDescent="0.25">
      <c r="A24367" s="64" t="str">
        <f>HYPERLINK("http://www.twitter.com/SodaSpill", "SodaSpill")</f>
        <v>SodaSpill</v>
      </c>
      <c r="B24367" s="65" t="s">
        <v>4339</v>
      </c>
    </row>
    <row r="24368" spans="1:2" x14ac:dyDescent="0.25">
      <c r="A24368" s="64" t="str">
        <f>HYPERLINK("http://www.twitter.com/PancakeReport", "PancakeReport")</f>
        <v>PancakeReport</v>
      </c>
      <c r="B24368" s="65" t="s">
        <v>10831</v>
      </c>
    </row>
    <row r="24369" spans="1:2" x14ac:dyDescent="0.25">
      <c r="A24369" s="64" t="str">
        <f>HYPERLINK("http://www.twitter.com/gennytun", "gennytun")</f>
        <v>gennytun</v>
      </c>
      <c r="B24369" s="65" t="s">
        <v>2030</v>
      </c>
    </row>
    <row r="24370" spans="1:2" x14ac:dyDescent="0.25">
      <c r="A24370" s="64" t="str">
        <f>HYPERLINK("http://www.twitter.com/Tullutta", "Tullutta")</f>
        <v>Tullutta</v>
      </c>
      <c r="B24370" s="65" t="s">
        <v>33</v>
      </c>
    </row>
    <row r="24371" spans="1:2" x14ac:dyDescent="0.25">
      <c r="A24371" s="64" t="str">
        <f>HYPERLINK("http://www.twitter.com/PattyBaldwin", "PattyBaldwin")</f>
        <v>PattyBaldwin</v>
      </c>
      <c r="B24371" s="65"/>
    </row>
    <row r="24372" spans="1:2" x14ac:dyDescent="0.25">
      <c r="A24372" s="64" t="str">
        <f>HYPERLINK("http://www.twitter.com/James03M", "James03M")</f>
        <v>James03M</v>
      </c>
      <c r="B24372" s="65"/>
    </row>
    <row r="24373" spans="1:2" x14ac:dyDescent="0.25">
      <c r="A24373" s="64" t="str">
        <f>HYPERLINK("http://www.twitter.com/wccls", "wccls")</f>
        <v>wccls</v>
      </c>
      <c r="B24373" s="65" t="s">
        <v>10832</v>
      </c>
    </row>
    <row r="24374" spans="1:2" x14ac:dyDescent="0.25">
      <c r="A24374" s="64" t="str">
        <f>HYPERLINK("http://www.twitter.com/librarycase", "librarycase")</f>
        <v>librarycase</v>
      </c>
      <c r="B24374" s="65" t="s">
        <v>5173</v>
      </c>
    </row>
    <row r="24375" spans="1:2" x14ac:dyDescent="0.25">
      <c r="A24375" s="64" t="str">
        <f>HYPERLINK("http://www.twitter.com/LibraryCdale", "LibraryCdale")</f>
        <v>LibraryCdale</v>
      </c>
      <c r="B24375" s="65"/>
    </row>
    <row r="24376" spans="1:2" x14ac:dyDescent="0.25">
      <c r="A24376" s="64" t="str">
        <f>HYPERLINK("http://www.twitter.com/LibrarianLinds", "LibrarianLinds")</f>
        <v>LibrarianLinds</v>
      </c>
      <c r="B24376" s="65"/>
    </row>
    <row r="24377" spans="1:2" x14ac:dyDescent="0.25">
      <c r="A24377" s="64" t="str">
        <f>HYPERLINK("http://www.twitter.com/mbagshaw68", "mbagshaw68")</f>
        <v>mbagshaw68</v>
      </c>
      <c r="B24377" s="65" t="s">
        <v>7318</v>
      </c>
    </row>
    <row r="24378" spans="1:2" x14ac:dyDescent="0.25">
      <c r="A24378" s="64" t="str">
        <f>HYPERLINK("http://www.twitter.com/piw13", "piw13")</f>
        <v>piw13</v>
      </c>
      <c r="B24378" s="65" t="s">
        <v>10833</v>
      </c>
    </row>
    <row r="24379" spans="1:2" x14ac:dyDescent="0.25">
      <c r="A24379" s="64" t="str">
        <f>HYPERLINK("http://www.twitter.com/untitled_1", "untitled_1")</f>
        <v>untitled_1</v>
      </c>
      <c r="B24379" s="65" t="s">
        <v>10834</v>
      </c>
    </row>
    <row r="24380" spans="1:2" x14ac:dyDescent="0.25">
      <c r="A24380" s="64" t="str">
        <f>HYPERLINK("http://www.twitter.com/Beckipeg", "Beckipeg")</f>
        <v>Beckipeg</v>
      </c>
      <c r="B24380" s="65"/>
    </row>
    <row r="24381" spans="1:2" x14ac:dyDescent="0.25">
      <c r="A24381" s="64" t="str">
        <f>HYPERLINK("http://www.twitter.com/lefnelson", "lefnelson")</f>
        <v>lefnelson</v>
      </c>
      <c r="B24381" s="65" t="s">
        <v>10835</v>
      </c>
    </row>
    <row r="24382" spans="1:2" x14ac:dyDescent="0.25">
      <c r="A24382" s="64" t="str">
        <f>HYPERLINK("http://www.twitter.com/AnonNyanCat", "AnonNyanCat")</f>
        <v>AnonNyanCat</v>
      </c>
      <c r="B24382" s="65" t="s">
        <v>10836</v>
      </c>
    </row>
    <row r="24383" spans="1:2" x14ac:dyDescent="0.25">
      <c r="A24383" s="64" t="str">
        <f>HYPERLINK("http://www.twitter.com/variouspagings", "variouspagings")</f>
        <v>variouspagings</v>
      </c>
      <c r="B24383" s="65" t="s">
        <v>3776</v>
      </c>
    </row>
    <row r="24384" spans="1:2" x14ac:dyDescent="0.25">
      <c r="A24384" s="64" t="str">
        <f>HYPERLINK("http://www.twitter.com/CoilinOConnor", "CoilinOConnor")</f>
        <v>CoilinOConnor</v>
      </c>
      <c r="B24384" s="65" t="s">
        <v>4644</v>
      </c>
    </row>
    <row r="24385" spans="1:2" x14ac:dyDescent="0.25">
      <c r="A24385" s="64" t="str">
        <f>HYPERLINK("http://www.twitter.com/bh_film", "bh_film")</f>
        <v>bh_film</v>
      </c>
      <c r="B24385" s="65"/>
    </row>
    <row r="24386" spans="1:2" x14ac:dyDescent="0.25">
      <c r="A24386" s="64" t="str">
        <f>HYPERLINK("http://www.twitter.com/AnUncivilPhD", "AnUncivilPhD")</f>
        <v>AnUncivilPhD</v>
      </c>
      <c r="B24386" s="65" t="s">
        <v>10836</v>
      </c>
    </row>
    <row r="24387" spans="1:2" x14ac:dyDescent="0.25">
      <c r="A24387" s="64" t="str">
        <f>HYPERLINK("http://www.twitter.com/swright1842", "swright1842")</f>
        <v>swright1842</v>
      </c>
      <c r="B24387" s="65" t="s">
        <v>10837</v>
      </c>
    </row>
    <row r="24388" spans="1:2" x14ac:dyDescent="0.25">
      <c r="A24388" s="64" t="str">
        <f>HYPERLINK("http://www.twitter.com/NatalieZiarnik", "NatalieZiarnik")</f>
        <v>NatalieZiarnik</v>
      </c>
      <c r="B24388" s="65"/>
    </row>
    <row r="24389" spans="1:2" x14ac:dyDescent="0.25">
      <c r="A24389" s="64" t="str">
        <f>HYPERLINK("http://www.twitter.com/OwensCCLibrary", "OwensCCLibrary")</f>
        <v>OwensCCLibrary</v>
      </c>
      <c r="B24389" s="65" t="s">
        <v>10838</v>
      </c>
    </row>
    <row r="24390" spans="1:2" x14ac:dyDescent="0.25">
      <c r="A24390" s="64" t="str">
        <f>HYPERLINK("http://www.twitter.com/bethanjane", "bethanjane")</f>
        <v>bethanjane</v>
      </c>
      <c r="B24390" s="65" t="s">
        <v>5104</v>
      </c>
    </row>
    <row r="24391" spans="1:2" x14ac:dyDescent="0.25">
      <c r="A24391" s="64" t="str">
        <f>HYPERLINK("http://www.twitter.com/clairesayswhat", "clairesayswhat")</f>
        <v>clairesayswhat</v>
      </c>
      <c r="B24391" s="65"/>
    </row>
    <row r="24392" spans="1:2" x14ac:dyDescent="0.25">
      <c r="A24392" s="64" t="str">
        <f>HYPERLINK("http://www.twitter.com/jaenn", "jaenn")</f>
        <v>jaenn</v>
      </c>
      <c r="B24392" s="65" t="s">
        <v>110</v>
      </c>
    </row>
    <row r="24393" spans="1:2" x14ac:dyDescent="0.25">
      <c r="A24393" s="64" t="str">
        <f>HYPERLINK("http://www.twitter.com/mishiechau", "mishiechau")</f>
        <v>mishiechau</v>
      </c>
      <c r="B24393" s="65" t="s">
        <v>10839</v>
      </c>
    </row>
    <row r="24394" spans="1:2" x14ac:dyDescent="0.25">
      <c r="A24394" s="64" t="str">
        <f>HYPERLINK("http://www.twitter.com/Hutchiee", "Hutchiee")</f>
        <v>Hutchiee</v>
      </c>
      <c r="B24394" s="65"/>
    </row>
    <row r="24395" spans="1:2" x14ac:dyDescent="0.25">
      <c r="A24395" s="64" t="str">
        <f>HYPERLINK("http://www.twitter.com/CuratorLaura", "CuratorLaura")</f>
        <v>CuratorLaura</v>
      </c>
      <c r="B24395" s="65" t="s">
        <v>10840</v>
      </c>
    </row>
    <row r="24396" spans="1:2" x14ac:dyDescent="0.25">
      <c r="A24396" s="64" t="str">
        <f>HYPERLINK("http://www.twitter.com/lib_librarian83", "lib_librarian83")</f>
        <v>lib_librarian83</v>
      </c>
      <c r="B24396" s="65"/>
    </row>
    <row r="24397" spans="1:2" x14ac:dyDescent="0.25">
      <c r="A24397" s="64" t="str">
        <f>HYPERLINK("http://www.twitter.com/bookavore", "bookavore")</f>
        <v>bookavore</v>
      </c>
      <c r="B24397" s="65" t="s">
        <v>10841</v>
      </c>
    </row>
    <row r="24398" spans="1:2" x14ac:dyDescent="0.25">
      <c r="A24398" s="64" t="str">
        <f>HYPERLINK("http://www.twitter.com/AV_DiscoTech", "AV_DiscoTech")</f>
        <v>AV_DiscoTech</v>
      </c>
      <c r="B24398" s="65" t="s">
        <v>4692</v>
      </c>
    </row>
    <row r="24399" spans="1:2" x14ac:dyDescent="0.25">
      <c r="A24399" s="64" t="str">
        <f>HYPERLINK("http://www.twitter.com/OrkneyFiddler", "OrkneyFiddler")</f>
        <v>OrkneyFiddler</v>
      </c>
      <c r="B24399" s="65" t="s">
        <v>5412</v>
      </c>
    </row>
    <row r="24400" spans="1:2" x14ac:dyDescent="0.25">
      <c r="A24400" s="64" t="str">
        <f>HYPERLINK("http://www.twitter.com/langridgep", "langridgep")</f>
        <v>langridgep</v>
      </c>
      <c r="B24400" s="65" t="s">
        <v>10030</v>
      </c>
    </row>
    <row r="24401" spans="1:2" x14ac:dyDescent="0.25">
      <c r="A24401" s="64" t="str">
        <f>HYPERLINK("http://www.twitter.com/AquilesBrayner", "AquilesBrayner")</f>
        <v>AquilesBrayner</v>
      </c>
      <c r="B24401" s="65" t="s">
        <v>36</v>
      </c>
    </row>
    <row r="24402" spans="1:2" x14ac:dyDescent="0.25">
      <c r="A24402" s="64" t="str">
        <f>HYPERLINK("http://www.twitter.com/Gabyell", "Gabyell")</f>
        <v>Gabyell</v>
      </c>
      <c r="B24402" s="65" t="s">
        <v>1490</v>
      </c>
    </row>
    <row r="24403" spans="1:2" x14ac:dyDescent="0.25">
      <c r="A24403" s="64" t="str">
        <f>HYPERLINK("http://www.twitter.com/BL_Learning", "BL_Learning")</f>
        <v>BL_Learning</v>
      </c>
      <c r="B24403" s="65" t="s">
        <v>7336</v>
      </c>
    </row>
    <row r="24404" spans="1:2" x14ac:dyDescent="0.25">
      <c r="A24404" s="64" t="str">
        <f>HYPERLINK("http://www.twitter.com/SpectrumRecruit", "SpectrumRecruit")</f>
        <v>SpectrumRecruit</v>
      </c>
      <c r="B24404" s="65" t="s">
        <v>10842</v>
      </c>
    </row>
    <row r="24405" spans="1:2" x14ac:dyDescent="0.25">
      <c r="A24405" s="64" t="str">
        <f>HYPERLINK("http://www.twitter.com/Opipop", "Opipop")</f>
        <v>Opipop</v>
      </c>
      <c r="B24405" s="65" t="s">
        <v>4862</v>
      </c>
    </row>
    <row r="24406" spans="1:2" x14ac:dyDescent="0.25">
      <c r="A24406" s="64" t="str">
        <f>HYPERLINK("http://www.twitter.com/AlasLittleJim", "AlasLittleJim")</f>
        <v>AlasLittleJim</v>
      </c>
      <c r="B24406" s="65" t="s">
        <v>487</v>
      </c>
    </row>
    <row r="24407" spans="1:2" x14ac:dyDescent="0.25">
      <c r="A24407" s="64" t="str">
        <f>HYPERLINK("http://www.twitter.com/RobRowbotham", "RobRowbotham")</f>
        <v>RobRowbotham</v>
      </c>
      <c r="B24407" s="65" t="s">
        <v>10843</v>
      </c>
    </row>
    <row r="24408" spans="1:2" x14ac:dyDescent="0.25">
      <c r="A24408" s="64" t="str">
        <f>HYPERLINK("http://www.twitter.com/Liblaff", "Liblaff")</f>
        <v>Liblaff</v>
      </c>
      <c r="B24408" s="65"/>
    </row>
    <row r="24409" spans="1:2" x14ac:dyDescent="0.25">
      <c r="A24409" s="64" t="str">
        <f>HYPERLINK("http://www.twitter.com/tinyalyce", "tinyalyce")</f>
        <v>tinyalyce</v>
      </c>
      <c r="B24409" s="65"/>
    </row>
    <row r="24410" spans="1:2" x14ac:dyDescent="0.25">
      <c r="A24410" s="64" t="str">
        <f>HYPERLINK("http://www.twitter.com/Clublibrarian", "Clublibrarian")</f>
        <v>Clublibrarian</v>
      </c>
      <c r="B24410" s="65" t="s">
        <v>487</v>
      </c>
    </row>
    <row r="24411" spans="1:2" x14ac:dyDescent="0.25">
      <c r="A24411" s="64" t="str">
        <f>HYPERLINK("http://www.twitter.com/JenniferBoyne", "JenniferBoyne")</f>
        <v>JenniferBoyne</v>
      </c>
      <c r="B24411" s="65" t="s">
        <v>10844</v>
      </c>
    </row>
    <row r="24412" spans="1:2" x14ac:dyDescent="0.25">
      <c r="A24412" s="64" t="str">
        <f>HYPERLINK("http://www.twitter.com/TanyaKirk", "TanyaKirk")</f>
        <v>TanyaKirk</v>
      </c>
      <c r="B24412" s="65" t="s">
        <v>10845</v>
      </c>
    </row>
    <row r="24413" spans="1:2" x14ac:dyDescent="0.25">
      <c r="A24413" s="64" t="str">
        <f>HYPERLINK("http://www.twitter.com/EGSCLibrary", "EGSCLibrary")</f>
        <v>EGSCLibrary</v>
      </c>
      <c r="B24413" s="65" t="s">
        <v>10846</v>
      </c>
    </row>
    <row r="24414" spans="1:2" x14ac:dyDescent="0.25">
      <c r="A24414" s="64" t="str">
        <f>HYPERLINK("http://www.twitter.com/KatrinaHourston", "KatrinaHourston")</f>
        <v>KatrinaHourston</v>
      </c>
      <c r="B24414" s="65" t="s">
        <v>5667</v>
      </c>
    </row>
    <row r="24415" spans="1:2" x14ac:dyDescent="0.25">
      <c r="A24415" s="64" t="str">
        <f>HYPERLINK("http://www.twitter.com/AntonyGroves", "AntonyGroves")</f>
        <v>AntonyGroves</v>
      </c>
      <c r="B24415" s="65" t="s">
        <v>1967</v>
      </c>
    </row>
    <row r="24416" spans="1:2" x14ac:dyDescent="0.25">
      <c r="A24416" s="64" t="str">
        <f>HYPERLINK("http://www.twitter.com/EMacLellan", "EMacLellan")</f>
        <v>EMacLellan</v>
      </c>
      <c r="B24416" s="65" t="s">
        <v>6939</v>
      </c>
    </row>
    <row r="24417" spans="1:2" x14ac:dyDescent="0.25">
      <c r="A24417" s="64" t="str">
        <f>HYPERLINK("http://www.twitter.com/soledad_sister", "soledad_sister")</f>
        <v>soledad_sister</v>
      </c>
      <c r="B24417" s="65" t="s">
        <v>10847</v>
      </c>
    </row>
    <row r="24418" spans="1:2" x14ac:dyDescent="0.25">
      <c r="A24418" s="64" t="str">
        <f>HYPERLINK("http://www.twitter.com/UR_Library", "UR_Library")</f>
        <v>UR_Library</v>
      </c>
      <c r="B24418" s="65" t="s">
        <v>988</v>
      </c>
    </row>
    <row r="24419" spans="1:2" x14ac:dyDescent="0.25">
      <c r="A24419" s="64" t="str">
        <f>HYPERLINK("http://www.twitter.com/ElspethCooper", "ElspethCooper")</f>
        <v>ElspethCooper</v>
      </c>
      <c r="B24419" s="65"/>
    </row>
    <row r="24420" spans="1:2" x14ac:dyDescent="0.25">
      <c r="A24420" s="64" t="str">
        <f>HYPERLINK("http://www.twitter.com/katelaity", "katelaity")</f>
        <v>katelaity</v>
      </c>
      <c r="B24420" s="65" t="s">
        <v>10848</v>
      </c>
    </row>
    <row r="24421" spans="1:2" x14ac:dyDescent="0.25">
      <c r="A24421" s="64" t="str">
        <f>HYPERLINK("http://www.twitter.com/RobertsonImogen", "RobertsonImogen")</f>
        <v>RobertsonImogen</v>
      </c>
      <c r="B24421" s="65" t="s">
        <v>36</v>
      </c>
    </row>
    <row r="24422" spans="1:2" x14ac:dyDescent="0.25">
      <c r="A24422" s="64" t="str">
        <f>HYPERLINK("http://www.twitter.com/Colmandito", "Colmandito")</f>
        <v>Colmandito</v>
      </c>
      <c r="B24422" s="65" t="s">
        <v>4145</v>
      </c>
    </row>
    <row r="24423" spans="1:2" x14ac:dyDescent="0.25">
      <c r="A24423" s="64" t="str">
        <f>HYPERLINK("http://www.twitter.com/nommac", "nommac")</f>
        <v>nommac</v>
      </c>
      <c r="B24423" s="65"/>
    </row>
    <row r="24424" spans="1:2" x14ac:dyDescent="0.25">
      <c r="A24424" s="64" t="str">
        <f>HYPERLINK("http://www.twitter.com/penguin_brenda", "penguin_brenda")</f>
        <v>penguin_brenda</v>
      </c>
      <c r="B24424" s="65"/>
    </row>
    <row r="24425" spans="1:2" x14ac:dyDescent="0.25">
      <c r="A24425" s="64" t="str">
        <f>HYPERLINK("http://www.twitter.com/BeardyHowse", "BeardyHowse")</f>
        <v>BeardyHowse</v>
      </c>
      <c r="B24425" s="65"/>
    </row>
    <row r="24426" spans="1:2" x14ac:dyDescent="0.25">
      <c r="A24426" s="64" t="str">
        <f>HYPERLINK("http://www.twitter.com/highstbooks", "highstbooks")</f>
        <v>highstbooks</v>
      </c>
      <c r="B24426" s="65" t="s">
        <v>10849</v>
      </c>
    </row>
    <row r="24427" spans="1:2" x14ac:dyDescent="0.25">
      <c r="A24427" s="64" t="str">
        <f>HYPERLINK("http://www.twitter.com/Shazazzle", "Shazazzle")</f>
        <v>Shazazzle</v>
      </c>
      <c r="B24427" s="65"/>
    </row>
    <row r="24428" spans="1:2" x14ac:dyDescent="0.25">
      <c r="A24428" s="64" t="str">
        <f>HYPERLINK("http://www.twitter.com/dtphotography", "dtphotography")</f>
        <v>dtphotography</v>
      </c>
      <c r="B24428" s="65" t="s">
        <v>6968</v>
      </c>
    </row>
    <row r="24429" spans="1:2" x14ac:dyDescent="0.25">
      <c r="A24429" s="64" t="str">
        <f>HYPERLINK("http://www.twitter.com/DJ_Pearson", "DJ_Pearson")</f>
        <v>DJ_Pearson</v>
      </c>
      <c r="B24429" s="65" t="s">
        <v>36</v>
      </c>
    </row>
    <row r="24430" spans="1:2" x14ac:dyDescent="0.25">
      <c r="A24430" s="64" t="str">
        <f>HYPERLINK("http://www.twitter.com/DubOdyssey", "DubOdyssey")</f>
        <v>DubOdyssey</v>
      </c>
      <c r="B24430" s="65" t="s">
        <v>4136</v>
      </c>
    </row>
    <row r="24431" spans="1:2" x14ac:dyDescent="0.25">
      <c r="A24431" s="64" t="str">
        <f>HYPERLINK("http://www.twitter.com/WeAreLovedOnes", "WeAreLovedOnes")</f>
        <v>WeAreLovedOnes</v>
      </c>
      <c r="B24431" s="65" t="s">
        <v>3040</v>
      </c>
    </row>
    <row r="24432" spans="1:2" x14ac:dyDescent="0.25">
      <c r="A24432" s="64" t="str">
        <f>HYPERLINK("http://www.twitter.com/bookworm768", "bookworm768")</f>
        <v>bookworm768</v>
      </c>
      <c r="B24432" s="65" t="s">
        <v>2602</v>
      </c>
    </row>
    <row r="24433" spans="1:2" x14ac:dyDescent="0.25">
      <c r="A24433" s="64" t="str">
        <f>HYPERLINK("http://www.twitter.com/librarian_lee", "librarian_lee")</f>
        <v>librarian_lee</v>
      </c>
      <c r="B24433" s="65" t="s">
        <v>10850</v>
      </c>
    </row>
    <row r="24434" spans="1:2" x14ac:dyDescent="0.25">
      <c r="A24434" s="64" t="str">
        <f>HYPERLINK("http://www.twitter.com/barbjoyshep", "barbjoyshep")</f>
        <v>barbjoyshep</v>
      </c>
      <c r="B24434" s="65" t="s">
        <v>296</v>
      </c>
    </row>
    <row r="24435" spans="1:2" x14ac:dyDescent="0.25">
      <c r="A24435" s="64" t="str">
        <f>HYPERLINK("http://www.twitter.com/BHSKSC", "BHSKSC")</f>
        <v>BHSKSC</v>
      </c>
      <c r="B24435" s="65"/>
    </row>
    <row r="24436" spans="1:2" x14ac:dyDescent="0.25">
      <c r="A24436" s="64" t="str">
        <f>HYPERLINK("http://www.twitter.com/1630revello", "1630revello")</f>
        <v>1630revello</v>
      </c>
      <c r="B24436" s="65" t="s">
        <v>10851</v>
      </c>
    </row>
    <row r="24437" spans="1:2" x14ac:dyDescent="0.25">
      <c r="A24437" s="64" t="str">
        <f>HYPERLINK("http://www.twitter.com/citrinesunset", "citrinesunset")</f>
        <v>citrinesunset</v>
      </c>
      <c r="B24437" s="65" t="s">
        <v>3797</v>
      </c>
    </row>
    <row r="24438" spans="1:2" x14ac:dyDescent="0.25">
      <c r="A24438" s="64" t="str">
        <f>HYPERLINK("http://www.twitter.com/j3ncantwell", "j3ncantwell")</f>
        <v>j3ncantwell</v>
      </c>
      <c r="B24438" s="65" t="s">
        <v>10852</v>
      </c>
    </row>
    <row r="24439" spans="1:2" x14ac:dyDescent="0.25">
      <c r="A24439" s="64" t="str">
        <f>HYPERLINK("http://www.twitter.com/two8collective", "two8collective")</f>
        <v>two8collective</v>
      </c>
      <c r="B24439" s="65"/>
    </row>
    <row r="24440" spans="1:2" x14ac:dyDescent="0.25">
      <c r="A24440" s="64" t="str">
        <f>HYPERLINK("http://www.twitter.com/smallgreenberd", "smallgreenberd")</f>
        <v>smallgreenberd</v>
      </c>
      <c r="B24440" s="65" t="s">
        <v>1189</v>
      </c>
    </row>
    <row r="24441" spans="1:2" x14ac:dyDescent="0.25">
      <c r="A24441" s="64" t="str">
        <f>HYPERLINK("http://www.twitter.com/noatun", "noatun")</f>
        <v>noatun</v>
      </c>
      <c r="B24441" s="65" t="s">
        <v>10853</v>
      </c>
    </row>
    <row r="24442" spans="1:2" x14ac:dyDescent="0.25">
      <c r="A24442" s="64" t="str">
        <f>HYPERLINK("http://www.twitter.com/HashtagAlex", "HashtagAlex")</f>
        <v>HashtagAlex</v>
      </c>
      <c r="B24442" s="65" t="s">
        <v>10854</v>
      </c>
    </row>
    <row r="24443" spans="1:2" x14ac:dyDescent="0.25">
      <c r="A24443" s="64" t="str">
        <f>HYPERLINK("http://www.twitter.com/libde", "libde")</f>
        <v>libde</v>
      </c>
      <c r="B24443" s="65"/>
    </row>
    <row r="24444" spans="1:2" x14ac:dyDescent="0.25">
      <c r="A24444" s="64" t="str">
        <f>HYPERLINK("http://www.twitter.com/darioiltoro", "darioiltoro")</f>
        <v>darioiltoro</v>
      </c>
      <c r="B24444" s="65"/>
    </row>
    <row r="24445" spans="1:2" x14ac:dyDescent="0.25">
      <c r="A24445" s="64" t="str">
        <f>HYPERLINK("http://www.twitter.com/Mother_of_Crows", "Mother_of_Crows")</f>
        <v>Mother_of_Crows</v>
      </c>
      <c r="B24445" s="65" t="s">
        <v>3797</v>
      </c>
    </row>
    <row r="24446" spans="1:2" x14ac:dyDescent="0.25">
      <c r="A24446" s="64" t="str">
        <f>HYPERLINK("http://www.twitter.com/fenna_will", "fenna_will")</f>
        <v>fenna_will</v>
      </c>
      <c r="B24446" s="65"/>
    </row>
    <row r="24447" spans="1:2" x14ac:dyDescent="0.25">
      <c r="A24447" s="64" t="str">
        <f>HYPERLINK("http://www.twitter.com/everjanet", "everjanet")</f>
        <v>everjanet</v>
      </c>
      <c r="B24447" s="65" t="s">
        <v>10855</v>
      </c>
    </row>
    <row r="24448" spans="1:2" x14ac:dyDescent="0.25">
      <c r="A24448" s="64" t="str">
        <f>HYPERLINK("http://www.twitter.com/SLAVConnects", "SLAVConnects")</f>
        <v>SLAVConnects</v>
      </c>
      <c r="B24448" s="65" t="s">
        <v>10856</v>
      </c>
    </row>
    <row r="24449" spans="1:2" x14ac:dyDescent="0.25">
      <c r="A24449" s="64" t="str">
        <f>HYPERLINK("http://www.twitter.com/holleranjessica", "holleranjessica")</f>
        <v>holleranjessica</v>
      </c>
      <c r="B24449" s="65" t="s">
        <v>4147</v>
      </c>
    </row>
    <row r="24450" spans="1:2" x14ac:dyDescent="0.25">
      <c r="A24450" s="64" t="str">
        <f>HYPERLINK("http://www.twitter.com/FeeConn", "FeeConn")</f>
        <v>FeeConn</v>
      </c>
      <c r="B24450" s="65" t="s">
        <v>9262</v>
      </c>
    </row>
    <row r="24451" spans="1:2" x14ac:dyDescent="0.25">
      <c r="A24451" s="64" t="str">
        <f>HYPERLINK("http://www.twitter.com/CatMWilliamson", "CatMWilliamson")</f>
        <v>CatMWilliamson</v>
      </c>
      <c r="B24451" s="65" t="s">
        <v>2887</v>
      </c>
    </row>
    <row r="24452" spans="1:2" x14ac:dyDescent="0.25">
      <c r="A24452" s="64" t="str">
        <f>HYPERLINK("http://www.twitter.com/sarahbeltrame", "sarahbeltrame")</f>
        <v>sarahbeltrame</v>
      </c>
      <c r="B24452" s="65" t="s">
        <v>3988</v>
      </c>
    </row>
    <row r="24453" spans="1:2" x14ac:dyDescent="0.25">
      <c r="A24453" s="64" t="str">
        <f>HYPERLINK("http://www.twitter.com/Rubin259", "Rubin259")</f>
        <v>Rubin259</v>
      </c>
      <c r="B24453" s="65" t="s">
        <v>3779</v>
      </c>
    </row>
    <row r="24454" spans="1:2" x14ac:dyDescent="0.25">
      <c r="A24454" s="64" t="str">
        <f>HYPERLINK("http://www.twitter.com/ajudy19", "ajudy19")</f>
        <v>ajudy19</v>
      </c>
      <c r="B24454" s="65"/>
    </row>
    <row r="24455" spans="1:2" x14ac:dyDescent="0.25">
      <c r="A24455" s="64" t="str">
        <f>HYPERLINK("http://www.twitter.com/kestra", "kestra")</f>
        <v>kestra</v>
      </c>
      <c r="B24455" s="65" t="s">
        <v>3978</v>
      </c>
    </row>
    <row r="24456" spans="1:2" x14ac:dyDescent="0.25">
      <c r="A24456" s="64" t="str">
        <f>HYPERLINK("http://www.twitter.com/LibraryHelpMGS", "LibraryHelpMGS")</f>
        <v>LibraryHelpMGS</v>
      </c>
      <c r="B24456" s="65" t="s">
        <v>10857</v>
      </c>
    </row>
    <row r="24457" spans="1:2" x14ac:dyDescent="0.25">
      <c r="A24457" s="64" t="str">
        <f>HYPERLINK("http://www.twitter.com/MiffyF02", "MiffyF02")</f>
        <v>MiffyF02</v>
      </c>
      <c r="B24457" s="65" t="s">
        <v>4147</v>
      </c>
    </row>
    <row r="24458" spans="1:2" x14ac:dyDescent="0.25">
      <c r="A24458" s="64" t="str">
        <f>HYPERLINK("http://www.twitter.com/kimmywoz", "kimmywoz")</f>
        <v>kimmywoz</v>
      </c>
      <c r="B24458" s="65" t="s">
        <v>7130</v>
      </c>
    </row>
    <row r="24459" spans="1:2" x14ac:dyDescent="0.25">
      <c r="A24459" s="64" t="str">
        <f>HYPERLINK("http://www.twitter.com/MeecoYoueco", "MeecoYoueco")</f>
        <v>MeecoYoueco</v>
      </c>
      <c r="B24459" s="65" t="s">
        <v>24</v>
      </c>
    </row>
    <row r="24460" spans="1:2" x14ac:dyDescent="0.25">
      <c r="A24460" s="64" t="str">
        <f>HYPERLINK("http://www.twitter.com/shannonmmiller", "shannonmmiller")</f>
        <v>shannonmmiller</v>
      </c>
      <c r="B24460" s="65" t="s">
        <v>10858</v>
      </c>
    </row>
    <row r="24461" spans="1:2" x14ac:dyDescent="0.25">
      <c r="A24461" s="64" t="str">
        <f>HYPERLINK("http://www.twitter.com/genscan", "genscan")</f>
        <v>genscan</v>
      </c>
      <c r="B24461" s="65" t="s">
        <v>10859</v>
      </c>
    </row>
    <row r="24462" spans="1:2" x14ac:dyDescent="0.25">
      <c r="A24462" s="64" t="str">
        <f>HYPERLINK("http://www.twitter.com/makeroomforthe1", "makeroomforthe1")</f>
        <v>makeroomforthe1</v>
      </c>
      <c r="B24462" s="65" t="s">
        <v>8699</v>
      </c>
    </row>
    <row r="24463" spans="1:2" x14ac:dyDescent="0.25">
      <c r="A24463" s="64" t="str">
        <f>HYPERLINK("http://www.twitter.com/ebretall", "ebretall")</f>
        <v>ebretall</v>
      </c>
      <c r="B24463" s="65" t="s">
        <v>10860</v>
      </c>
    </row>
    <row r="24464" spans="1:2" x14ac:dyDescent="0.25">
      <c r="A24464" s="64" t="str">
        <f>HYPERLINK("http://www.twitter.com/JJSabatin", "JJSabatin")</f>
        <v>JJSabatin</v>
      </c>
      <c r="B24464" s="65" t="s">
        <v>3872</v>
      </c>
    </row>
    <row r="24465" spans="1:2" x14ac:dyDescent="0.25">
      <c r="A24465" s="64" t="str">
        <f>HYPERLINK("http://www.twitter.com/Kiddosphere", "Kiddosphere")</f>
        <v>Kiddosphere</v>
      </c>
      <c r="B24465" s="65" t="s">
        <v>10861</v>
      </c>
    </row>
    <row r="24466" spans="1:2" x14ac:dyDescent="0.25">
      <c r="A24466" s="64" t="str">
        <f>HYPERLINK("http://www.twitter.com/mandyshype", "mandyshype")</f>
        <v>mandyshype</v>
      </c>
      <c r="B24466" s="65"/>
    </row>
    <row r="24467" spans="1:2" x14ac:dyDescent="0.25">
      <c r="A24467" s="64" t="str">
        <f>HYPERLINK("http://www.twitter.com/melmardun", "melmardun")</f>
        <v>melmardun</v>
      </c>
      <c r="B24467" s="65" t="s">
        <v>4250</v>
      </c>
    </row>
    <row r="24468" spans="1:2" x14ac:dyDescent="0.25">
      <c r="A24468" s="64" t="str">
        <f>HYPERLINK("http://www.twitter.com/CalhounLibrary", "CalhounLibrary")</f>
        <v>CalhounLibrary</v>
      </c>
      <c r="B24468" s="65" t="s">
        <v>10862</v>
      </c>
    </row>
    <row r="24469" spans="1:2" x14ac:dyDescent="0.25">
      <c r="A24469" s="64" t="str">
        <f>HYPERLINK("http://www.twitter.com/Fongolia", "Fongolia")</f>
        <v>Fongolia</v>
      </c>
      <c r="B24469" s="65" t="s">
        <v>4981</v>
      </c>
    </row>
    <row r="24470" spans="1:2" x14ac:dyDescent="0.25">
      <c r="A24470" s="64" t="str">
        <f>HYPERLINK("http://www.twitter.com/thenzlibrarian", "thenzlibrarian")</f>
        <v>thenzlibrarian</v>
      </c>
      <c r="B24470" s="65" t="s">
        <v>10863</v>
      </c>
    </row>
    <row r="24471" spans="1:2" x14ac:dyDescent="0.25">
      <c r="A24471" s="64" t="str">
        <f>HYPERLINK("http://www.twitter.com/carabeein", "carabeein")</f>
        <v>carabeein</v>
      </c>
      <c r="B24471" s="65"/>
    </row>
    <row r="24472" spans="1:2" x14ac:dyDescent="0.25">
      <c r="A24472" s="64" t="str">
        <f>HYPERLINK("http://www.twitter.com/Kellybrarian", "Kellybrarian")</f>
        <v>Kellybrarian</v>
      </c>
      <c r="B24472" s="65" t="s">
        <v>10864</v>
      </c>
    </row>
    <row r="24473" spans="1:2" x14ac:dyDescent="0.25">
      <c r="A24473" s="64" t="str">
        <f>HYPERLINK("http://www.twitter.com/annws", "annws")</f>
        <v>annws</v>
      </c>
      <c r="B24473" s="65" t="s">
        <v>5016</v>
      </c>
    </row>
    <row r="24474" spans="1:2" x14ac:dyDescent="0.25">
      <c r="A24474" s="64" t="str">
        <f>HYPERLINK("http://www.twitter.com/salorpin", "salorpin")</f>
        <v>salorpin</v>
      </c>
      <c r="B24474" s="65" t="s">
        <v>3779</v>
      </c>
    </row>
    <row r="24475" spans="1:2" x14ac:dyDescent="0.25">
      <c r="A24475" s="64" t="str">
        <f>HYPERLINK("http://www.twitter.com/FaCWebResource", "FaCWebResource")</f>
        <v>FaCWebResource</v>
      </c>
      <c r="B24475" s="65" t="s">
        <v>3988</v>
      </c>
    </row>
    <row r="24476" spans="1:2" x14ac:dyDescent="0.25">
      <c r="A24476" s="64" t="str">
        <f>HYPERLINK("http://www.twitter.com/clydemccready", "clydemccready")</f>
        <v>clydemccready</v>
      </c>
      <c r="B24476" s="65" t="s">
        <v>10865</v>
      </c>
    </row>
    <row r="24477" spans="1:2" x14ac:dyDescent="0.25">
      <c r="A24477" s="64" t="str">
        <f>HYPERLINK("http://www.twitter.com/V_Yarbrough", "V_Yarbrough")</f>
        <v>V_Yarbrough</v>
      </c>
      <c r="B24477" s="65" t="s">
        <v>10866</v>
      </c>
    </row>
    <row r="24478" spans="1:2" x14ac:dyDescent="0.25">
      <c r="A24478" s="64" t="str">
        <f>HYPERLINK("http://www.twitter.com/milkweed321", "milkweed321")</f>
        <v>milkweed321</v>
      </c>
      <c r="B24478" s="65" t="s">
        <v>10867</v>
      </c>
    </row>
    <row r="24479" spans="1:2" x14ac:dyDescent="0.25">
      <c r="A24479" s="64" t="str">
        <f>HYPERLINK("http://www.twitter.com/C_OSulliv", "C_OSulliv")</f>
        <v>C_OSulliv</v>
      </c>
      <c r="B24479" s="65" t="s">
        <v>10868</v>
      </c>
    </row>
    <row r="24480" spans="1:2" x14ac:dyDescent="0.25">
      <c r="A24480" s="64" t="str">
        <f>HYPERLINK("http://www.twitter.com/sharonlayburn", "sharonlayburn")</f>
        <v>sharonlayburn</v>
      </c>
      <c r="B24480" s="65"/>
    </row>
    <row r="24481" spans="1:2" x14ac:dyDescent="0.25">
      <c r="A24481" s="64" t="str">
        <f>HYPERLINK("http://www.twitter.com/trudyfraser", "trudyfraser")</f>
        <v>trudyfraser</v>
      </c>
      <c r="B24481" s="65" t="s">
        <v>10869</v>
      </c>
    </row>
    <row r="24482" spans="1:2" x14ac:dyDescent="0.25">
      <c r="A24482" s="64" t="str">
        <f>HYPERLINK("http://www.twitter.com/AnneDance2", "AnneDance2")</f>
        <v>AnneDance2</v>
      </c>
      <c r="B24482" s="65" t="s">
        <v>3894</v>
      </c>
    </row>
    <row r="24483" spans="1:2" x14ac:dyDescent="0.25">
      <c r="A24483" s="64" t="str">
        <f>HYPERLINK("http://www.twitter.com/dee987", "dee987")</f>
        <v>dee987</v>
      </c>
      <c r="B24483" s="65" t="s">
        <v>10870</v>
      </c>
    </row>
    <row r="24484" spans="1:2" x14ac:dyDescent="0.25">
      <c r="A24484" s="64" t="str">
        <f>HYPERLINK("http://www.twitter.com/fionawatkin", "fionawatkin")</f>
        <v>fionawatkin</v>
      </c>
      <c r="B24484" s="65" t="s">
        <v>1479</v>
      </c>
    </row>
    <row r="24485" spans="1:2" x14ac:dyDescent="0.25">
      <c r="A24485" s="64" t="str">
        <f>HYPERLINK("http://www.twitter.com/mburkey", "mburkey")</f>
        <v>mburkey</v>
      </c>
      <c r="B24485" s="65" t="s">
        <v>3984</v>
      </c>
    </row>
    <row r="24486" spans="1:2" x14ac:dyDescent="0.25">
      <c r="A24486" s="64" t="str">
        <f>HYPERLINK("http://www.twitter.com/moominlibrarian", "moominlibrarian")</f>
        <v>moominlibrarian</v>
      </c>
      <c r="B24486" s="65" t="s">
        <v>5357</v>
      </c>
    </row>
    <row r="24487" spans="1:2" x14ac:dyDescent="0.25">
      <c r="A24487" s="64" t="str">
        <f>HYPERLINK("http://www.twitter.com/RuthSchiffmann", "RuthSchiffmann")</f>
        <v>RuthSchiffmann</v>
      </c>
      <c r="B24487" s="65" t="s">
        <v>10871</v>
      </c>
    </row>
    <row r="24488" spans="1:2" x14ac:dyDescent="0.25">
      <c r="A24488" s="64" t="str">
        <f>HYPERLINK("http://www.twitter.com/Margaret585", "Margaret585")</f>
        <v>Margaret585</v>
      </c>
      <c r="B24488" s="65"/>
    </row>
    <row r="24489" spans="1:2" x14ac:dyDescent="0.25">
      <c r="A24489" s="64" t="str">
        <f>HYPERLINK("http://www.twitter.com/CindyKump", "CindyKump")</f>
        <v>CindyKump</v>
      </c>
      <c r="B24489" s="65" t="s">
        <v>10872</v>
      </c>
    </row>
    <row r="24490" spans="1:2" x14ac:dyDescent="0.25">
      <c r="A24490" s="64" t="str">
        <f>HYPERLINK("http://www.twitter.com/janiec55", "janiec55")</f>
        <v>janiec55</v>
      </c>
      <c r="B24490" s="65" t="s">
        <v>10873</v>
      </c>
    </row>
    <row r="24491" spans="1:2" x14ac:dyDescent="0.25">
      <c r="A24491" s="64" t="str">
        <f>HYPERLINK("http://www.twitter.com/asg3", "asg3")</f>
        <v>asg3</v>
      </c>
      <c r="B24491" s="65" t="s">
        <v>4039</v>
      </c>
    </row>
    <row r="24492" spans="1:2" x14ac:dyDescent="0.25">
      <c r="A24492" s="64" t="str">
        <f>HYPERLINK("http://www.twitter.com/stephmcg", "stephmcg")</f>
        <v>stephmcg</v>
      </c>
      <c r="B24492" s="65" t="s">
        <v>10874</v>
      </c>
    </row>
    <row r="24493" spans="1:2" x14ac:dyDescent="0.25">
      <c r="A24493" s="64" t="str">
        <f>HYPERLINK("http://www.twitter.com/justbiblio", "justbiblio")</f>
        <v>justbiblio</v>
      </c>
      <c r="B24493" s="65" t="s">
        <v>3779</v>
      </c>
    </row>
    <row r="24494" spans="1:2" x14ac:dyDescent="0.25">
      <c r="A24494" s="64" t="str">
        <f>HYPERLINK("http://www.twitter.com/ALIANational", "ALIANational")</f>
        <v>ALIANational</v>
      </c>
      <c r="B24494" s="65" t="s">
        <v>6571</v>
      </c>
    </row>
    <row r="24495" spans="1:2" x14ac:dyDescent="0.25">
      <c r="A24495" s="64" t="str">
        <f>HYPERLINK("http://www.twitter.com/oesterlelib", "oesterlelib")</f>
        <v>oesterlelib</v>
      </c>
      <c r="B24495" s="65" t="s">
        <v>10875</v>
      </c>
    </row>
    <row r="24496" spans="1:2" x14ac:dyDescent="0.25">
      <c r="A24496" s="64" t="str">
        <f>HYPERLINK("http://www.twitter.com/lmlefeber", "lmlefeber")</f>
        <v>lmlefeber</v>
      </c>
      <c r="B24496" s="65"/>
    </row>
    <row r="24497" spans="1:2" x14ac:dyDescent="0.25">
      <c r="A24497" s="64" t="str">
        <f>HYPERLINK("http://www.twitter.com/Annodare", "Annodare")</f>
        <v>Annodare</v>
      </c>
      <c r="B24497" s="65"/>
    </row>
    <row r="24498" spans="1:2" x14ac:dyDescent="0.25">
      <c r="A24498" s="64" t="str">
        <f>HYPERLINK("http://www.twitter.com/missmittin", "missmittin")</f>
        <v>missmittin</v>
      </c>
      <c r="B24498" s="65" t="s">
        <v>33</v>
      </c>
    </row>
    <row r="24499" spans="1:2" x14ac:dyDescent="0.25">
      <c r="A24499" s="64" t="str">
        <f>HYPERLINK("http://www.twitter.com/jenalaska", "jenalaska")</f>
        <v>jenalaska</v>
      </c>
      <c r="B24499" s="65"/>
    </row>
    <row r="24500" spans="1:2" x14ac:dyDescent="0.25">
      <c r="A24500" s="64" t="str">
        <f>HYPERLINK("http://www.twitter.com/JillBurt1974", "JillBurt1974")</f>
        <v>JillBurt1974</v>
      </c>
      <c r="B24500" s="65" t="s">
        <v>10755</v>
      </c>
    </row>
    <row r="24501" spans="1:2" x14ac:dyDescent="0.25">
      <c r="A24501" s="64" t="str">
        <f>HYPERLINK("http://www.twitter.com/nancympike", "nancympike")</f>
        <v>nancympike</v>
      </c>
      <c r="B24501" s="65"/>
    </row>
    <row r="24502" spans="1:2" x14ac:dyDescent="0.25">
      <c r="A24502" s="64" t="str">
        <f>HYPERLINK("http://www.twitter.com/Jonah_Stead", "Jonah_Stead")</f>
        <v>Jonah_Stead</v>
      </c>
      <c r="B24502" s="65" t="s">
        <v>10876</v>
      </c>
    </row>
    <row r="24503" spans="1:2" x14ac:dyDescent="0.25">
      <c r="A24503" s="64" t="str">
        <f>HYPERLINK("http://www.twitter.com/goldiebug", "goldiebug")</f>
        <v>goldiebug</v>
      </c>
      <c r="B24503" s="65" t="s">
        <v>10731</v>
      </c>
    </row>
    <row r="24504" spans="1:2" x14ac:dyDescent="0.25">
      <c r="A24504" s="64" t="str">
        <f>HYPERLINK("http://www.twitter.com/Elaine", "Elaine")</f>
        <v>Elaine</v>
      </c>
      <c r="B24504" s="65" t="s">
        <v>10877</v>
      </c>
    </row>
    <row r="24505" spans="1:2" x14ac:dyDescent="0.25">
      <c r="A24505" s="64" t="str">
        <f>HYPERLINK("http://www.twitter.com/madbaker617", "madbaker617")</f>
        <v>madbaker617</v>
      </c>
      <c r="B24505" s="65" t="s">
        <v>10878</v>
      </c>
    </row>
    <row r="24506" spans="1:2" x14ac:dyDescent="0.25">
      <c r="A24506" s="64" t="str">
        <f>HYPERLINK("http://www.twitter.com/alangmclaren", "alangmclaren")</f>
        <v>alangmclaren</v>
      </c>
      <c r="B24506" s="65"/>
    </row>
    <row r="24507" spans="1:2" x14ac:dyDescent="0.25">
      <c r="A24507" s="64" t="str">
        <f>HYPERLINK("http://www.twitter.com/CBDiscoveries", "CBDiscoveries")</f>
        <v>CBDiscoveries</v>
      </c>
      <c r="B24507" s="65"/>
    </row>
    <row r="24508" spans="1:2" x14ac:dyDescent="0.25">
      <c r="A24508" s="64" t="str">
        <f>HYPERLINK("http://www.twitter.com/DanaLHendrix", "DanaLHendrix")</f>
        <v>DanaLHendrix</v>
      </c>
      <c r="B24508" s="65" t="s">
        <v>10879</v>
      </c>
    </row>
    <row r="24509" spans="1:2" x14ac:dyDescent="0.25">
      <c r="A24509" s="64" t="str">
        <f>HYPERLINK("http://www.twitter.com/marlamcdaniel", "marlamcdaniel")</f>
        <v>marlamcdaniel</v>
      </c>
      <c r="B24509" s="65"/>
    </row>
    <row r="24510" spans="1:2" x14ac:dyDescent="0.25">
      <c r="A24510" s="64" t="str">
        <f>HYPERLINK("http://www.twitter.com/LaraFromOhio", "LaraFromOhio")</f>
        <v>LaraFromOhio</v>
      </c>
      <c r="B24510" s="65" t="s">
        <v>3984</v>
      </c>
    </row>
    <row r="24511" spans="1:2" x14ac:dyDescent="0.25">
      <c r="A24511" s="64" t="str">
        <f>HYPERLINK("http://www.twitter.com/pennynickls", "pennynickls")</f>
        <v>pennynickls</v>
      </c>
      <c r="B24511" s="65"/>
    </row>
    <row r="24512" spans="1:2" x14ac:dyDescent="0.25">
      <c r="A24512" s="64" t="str">
        <f>HYPERLINK("http://www.twitter.com/watchareadin", "watchareadin")</f>
        <v>watchareadin</v>
      </c>
      <c r="B24512" s="65" t="s">
        <v>3872</v>
      </c>
    </row>
    <row r="24513" spans="1:2" x14ac:dyDescent="0.25">
      <c r="A24513" s="64" t="str">
        <f>HYPERLINK("http://www.twitter.com/your_average_jo", "your_average_jo")</f>
        <v>your_average_jo</v>
      </c>
      <c r="B24513" s="65"/>
    </row>
    <row r="24514" spans="1:2" x14ac:dyDescent="0.25">
      <c r="A24514" s="64" t="str">
        <f>HYPERLINK("http://www.twitter.com/ismellicecream", "ismellicecream")</f>
        <v>ismellicecream</v>
      </c>
      <c r="B24514" s="65" t="s">
        <v>10880</v>
      </c>
    </row>
    <row r="24515" spans="1:2" x14ac:dyDescent="0.25">
      <c r="A24515" s="64" t="str">
        <f>HYPERLINK("http://www.twitter.com/whyhellocynthia", "whyhellocynthia")</f>
        <v>whyhellocynthia</v>
      </c>
      <c r="B24515" s="65" t="s">
        <v>10881</v>
      </c>
    </row>
    <row r="24516" spans="1:2" x14ac:dyDescent="0.25">
      <c r="A24516" s="64" t="str">
        <f>HYPERLINK("http://www.twitter.com/UTCLibrary", "UTCLibrary")</f>
        <v>UTCLibrary</v>
      </c>
      <c r="B24516" s="65" t="s">
        <v>10882</v>
      </c>
    </row>
    <row r="24517" spans="1:2" x14ac:dyDescent="0.25">
      <c r="A24517" s="64" t="str">
        <f>HYPERLINK("http://www.twitter.com/sccld", "sccld")</f>
        <v>sccld</v>
      </c>
      <c r="B24517" s="65" t="s">
        <v>10883</v>
      </c>
    </row>
    <row r="24518" spans="1:2" x14ac:dyDescent="0.25">
      <c r="A24518" s="64" t="str">
        <f>HYPERLINK("http://www.twitter.com/regreters", "regreters")</f>
        <v>regreters</v>
      </c>
      <c r="B24518" s="65" t="s">
        <v>3785</v>
      </c>
    </row>
    <row r="24519" spans="1:2" x14ac:dyDescent="0.25">
      <c r="A24519" s="64" t="str">
        <f>HYPERLINK("http://www.twitter.com/MLHolmgren", "MLHolmgren")</f>
        <v>MLHolmgren</v>
      </c>
      <c r="B24519" s="65" t="s">
        <v>7609</v>
      </c>
    </row>
    <row r="24520" spans="1:2" x14ac:dyDescent="0.25">
      <c r="A24520" s="64" t="str">
        <f>HYPERLINK("http://www.twitter.com/kelly_clever", "kelly_clever")</f>
        <v>kelly_clever</v>
      </c>
      <c r="B24520" s="65" t="s">
        <v>5686</v>
      </c>
    </row>
    <row r="24521" spans="1:2" x14ac:dyDescent="0.25">
      <c r="A24521" s="64" t="str">
        <f>HYPERLINK("http://www.twitter.com/VPizzarotti", "VPizzarotti")</f>
        <v>VPizzarotti</v>
      </c>
      <c r="B24521" s="65" t="s">
        <v>10884</v>
      </c>
    </row>
    <row r="24522" spans="1:2" x14ac:dyDescent="0.25">
      <c r="A24522" s="64" t="str">
        <f>HYPERLINK("http://www.twitter.com/GonzoPhotogrphr", "GonzoPhotogrphr")</f>
        <v>GonzoPhotogrphr</v>
      </c>
      <c r="B24522" s="65" t="s">
        <v>4120</v>
      </c>
    </row>
    <row r="24523" spans="1:2" x14ac:dyDescent="0.25">
      <c r="A24523" s="64" t="str">
        <f>HYPERLINK("http://www.twitter.com/HuhPuh", "HuhPuh")</f>
        <v>HuhPuh</v>
      </c>
      <c r="B24523" s="65"/>
    </row>
    <row r="24524" spans="1:2" x14ac:dyDescent="0.25">
      <c r="A24524" s="64" t="str">
        <f>HYPERLINK("http://www.twitter.com/nrgibby", "nrgibby")</f>
        <v>nrgibby</v>
      </c>
      <c r="B24524" s="65"/>
    </row>
    <row r="24525" spans="1:2" x14ac:dyDescent="0.25">
      <c r="A24525" s="64" t="str">
        <f>HYPERLINK("http://www.twitter.com/MultCoLib", "MultCoLib")</f>
        <v>MultCoLib</v>
      </c>
      <c r="B24525" s="65" t="s">
        <v>10885</v>
      </c>
    </row>
    <row r="24526" spans="1:2" x14ac:dyDescent="0.25">
      <c r="A24526" s="64" t="str">
        <f>HYPERLINK("http://www.twitter.com/skepticine", "skepticine")</f>
        <v>skepticine</v>
      </c>
      <c r="B24526" s="65" t="s">
        <v>517</v>
      </c>
    </row>
    <row r="24527" spans="1:2" x14ac:dyDescent="0.25">
      <c r="A24527" s="64" t="str">
        <f>HYPERLINK("http://www.twitter.com/librarianamby", "librarianamby")</f>
        <v>librarianamby</v>
      </c>
      <c r="B24527" s="65" t="s">
        <v>10864</v>
      </c>
    </row>
    <row r="24528" spans="1:2" x14ac:dyDescent="0.25">
      <c r="A24528" s="64" t="str">
        <f>HYPERLINK("http://www.twitter.com/highlandlibre", "highlandlibre")</f>
        <v>highlandlibre</v>
      </c>
      <c r="B24528" s="65" t="s">
        <v>10886</v>
      </c>
    </row>
    <row r="24529" spans="1:2" x14ac:dyDescent="0.25">
      <c r="A24529" s="64" t="str">
        <f>HYPERLINK("http://www.twitter.com/syw", "syw")</f>
        <v>syw</v>
      </c>
      <c r="B24529" s="65"/>
    </row>
    <row r="24530" spans="1:2" x14ac:dyDescent="0.25">
      <c r="A24530" s="64" t="str">
        <f>HYPERLINK("http://www.twitter.com/mariemanton", "mariemanton")</f>
        <v>mariemanton</v>
      </c>
      <c r="B24530" s="65" t="s">
        <v>5602</v>
      </c>
    </row>
    <row r="24531" spans="1:2" x14ac:dyDescent="0.25">
      <c r="A24531" s="64" t="str">
        <f>HYPERLINK("http://www.twitter.com/meg_smith0913", "meg_smith0913")</f>
        <v>meg_smith0913</v>
      </c>
      <c r="B24531" s="65" t="s">
        <v>10887</v>
      </c>
    </row>
    <row r="24532" spans="1:2" x14ac:dyDescent="0.25">
      <c r="A24532" s="64" t="str">
        <f>HYPERLINK("http://www.twitter.com/petesime", "petesime")</f>
        <v>petesime</v>
      </c>
      <c r="B24532" s="65" t="s">
        <v>10888</v>
      </c>
    </row>
    <row r="24533" spans="1:2" x14ac:dyDescent="0.25">
      <c r="A24533" s="64" t="str">
        <f>HYPERLINK("http://www.twitter.com/oatmealandtea", "oatmealandtea")</f>
        <v>oatmealandtea</v>
      </c>
      <c r="B24533" s="65" t="s">
        <v>4551</v>
      </c>
    </row>
    <row r="24534" spans="1:2" x14ac:dyDescent="0.25">
      <c r="A24534" s="64" t="str">
        <f>HYPERLINK("http://www.twitter.com/lilouzee84", "lilouzee84")</f>
        <v>lilouzee84</v>
      </c>
      <c r="B24534" s="65" t="s">
        <v>4288</v>
      </c>
    </row>
    <row r="24535" spans="1:2" x14ac:dyDescent="0.25">
      <c r="A24535" s="64" t="str">
        <f>HYPERLINK("http://www.twitter.com/DebbietheduckH", "DebbietheduckH")</f>
        <v>DebbietheduckH</v>
      </c>
      <c r="B24535" s="65"/>
    </row>
    <row r="24536" spans="1:2" x14ac:dyDescent="0.25">
      <c r="A24536" s="64" t="str">
        <f>HYPERLINK("http://www.twitter.com/Pageturner99", "Pageturner99")</f>
        <v>Pageturner99</v>
      </c>
      <c r="B24536" s="65" t="s">
        <v>10889</v>
      </c>
    </row>
    <row r="24537" spans="1:2" x14ac:dyDescent="0.25">
      <c r="A24537" s="64" t="str">
        <f>HYPERLINK("http://www.twitter.com/Racy_Bear", "Racy_Bear")</f>
        <v>Racy_Bear</v>
      </c>
      <c r="B24537" s="65" t="s">
        <v>3317</v>
      </c>
    </row>
    <row r="24538" spans="1:2" x14ac:dyDescent="0.25">
      <c r="A24538" s="64" t="str">
        <f>HYPERLINK("http://www.twitter.com/_sandwichday", "_sandwichday")</f>
        <v>_sandwichday</v>
      </c>
      <c r="B24538" s="65" t="s">
        <v>10652</v>
      </c>
    </row>
    <row r="24539" spans="1:2" x14ac:dyDescent="0.25">
      <c r="A24539" s="64" t="str">
        <f>HYPERLINK("http://www.twitter.com/KieranRidgers", "KieranRidgers")</f>
        <v>KieranRidgers</v>
      </c>
      <c r="B24539" s="65"/>
    </row>
    <row r="24540" spans="1:2" x14ac:dyDescent="0.25">
      <c r="A24540" s="64" t="str">
        <f>HYPERLINK("http://www.twitter.com/Cathy_Wade", "Cathy_Wade")</f>
        <v>Cathy_Wade</v>
      </c>
      <c r="B24540" s="65"/>
    </row>
    <row r="24541" spans="1:2" x14ac:dyDescent="0.25">
      <c r="A24541" s="64" t="str">
        <f>HYPERLINK("http://www.twitter.com/AlysonGSmyth", "AlysonGSmyth")</f>
        <v>AlysonGSmyth</v>
      </c>
      <c r="B24541" s="65"/>
    </row>
    <row r="24542" spans="1:2" x14ac:dyDescent="0.25">
      <c r="A24542" s="64" t="str">
        <f>HYPERLINK("http://www.twitter.com/TheKimberTurner", "TheKimberTurner")</f>
        <v>TheKimberTurner</v>
      </c>
      <c r="B24542" s="65" t="s">
        <v>10890</v>
      </c>
    </row>
    <row r="24543" spans="1:2" x14ac:dyDescent="0.25">
      <c r="A24543" s="64" t="str">
        <f>HYPERLINK("http://www.twitter.com/cololibrarylove", "cololibrarylove")</f>
        <v>cololibrarylove</v>
      </c>
      <c r="B24543" s="65"/>
    </row>
    <row r="24544" spans="1:2" x14ac:dyDescent="0.25">
      <c r="A24544" s="64" t="str">
        <f>HYPERLINK("http://www.twitter.com/ERAUHuntLibrary", "ERAUHuntLibrary")</f>
        <v>ERAUHuntLibrary</v>
      </c>
      <c r="B24544" s="65" t="s">
        <v>10891</v>
      </c>
    </row>
    <row r="24545" spans="1:2" x14ac:dyDescent="0.25">
      <c r="A24545" s="64" t="str">
        <f>HYPERLINK("http://www.twitter.com/PhxLibrary", "PhxLibrary")</f>
        <v>PhxLibrary</v>
      </c>
      <c r="B24545" s="65" t="s">
        <v>10892</v>
      </c>
    </row>
    <row r="24546" spans="1:2" x14ac:dyDescent="0.25">
      <c r="A24546" s="64" t="str">
        <f>HYPERLINK("http://www.twitter.com/PamYeow", "PamYeow")</f>
        <v>PamYeow</v>
      </c>
      <c r="B24546" s="65" t="s">
        <v>4500</v>
      </c>
    </row>
    <row r="24547" spans="1:2" x14ac:dyDescent="0.25">
      <c r="A24547" s="64" t="str">
        <f>HYPERLINK("http://www.twitter.com/RochesterPLD", "RochesterPLD")</f>
        <v>RochesterPLD</v>
      </c>
      <c r="B24547" s="65" t="s">
        <v>10893</v>
      </c>
    </row>
    <row r="24548" spans="1:2" x14ac:dyDescent="0.25">
      <c r="A24548" s="64" t="str">
        <f>HYPERLINK("http://www.twitter.com/Hels_Belle", "Hels_Belle")</f>
        <v>Hels_Belle</v>
      </c>
      <c r="B24548" s="65"/>
    </row>
    <row r="24549" spans="1:2" x14ac:dyDescent="0.25">
      <c r="A24549" s="64" t="str">
        <f>HYPERLINK("http://www.twitter.com/m_sovik", "m_sovik")</f>
        <v>m_sovik</v>
      </c>
      <c r="B24549" s="65"/>
    </row>
    <row r="24550" spans="1:2" x14ac:dyDescent="0.25">
      <c r="A24550" s="64" t="str">
        <f>HYPERLINK("http://www.twitter.com/SteelCat", "SteelCat")</f>
        <v>SteelCat</v>
      </c>
      <c r="B24550" s="65"/>
    </row>
    <row r="24551" spans="1:2" x14ac:dyDescent="0.25">
      <c r="A24551" s="64" t="str">
        <f>HYPERLINK("http://www.twitter.com/celticraven1962", "celticraven1962")</f>
        <v>celticraven1962</v>
      </c>
      <c r="B24551" s="65" t="s">
        <v>10894</v>
      </c>
    </row>
    <row r="24552" spans="1:2" x14ac:dyDescent="0.25">
      <c r="A24552" s="64" t="str">
        <f>HYPERLINK("http://www.twitter.com/Kirsten_Clair", "Kirsten_Clair")</f>
        <v>Kirsten_Clair</v>
      </c>
      <c r="B24552" s="65"/>
    </row>
    <row r="24553" spans="1:2" x14ac:dyDescent="0.25">
      <c r="A24553" s="64" t="str">
        <f>HYPERLINK("http://www.twitter.com/cocc_library", "cocc_library")</f>
        <v>cocc_library</v>
      </c>
      <c r="B24553" s="65" t="s">
        <v>10895</v>
      </c>
    </row>
    <row r="24554" spans="1:2" x14ac:dyDescent="0.25">
      <c r="A24554" s="64" t="str">
        <f>HYPERLINK("http://www.twitter.com/JunctionCityWFC", "JunctionCityWFC")</f>
        <v>JunctionCityWFC</v>
      </c>
      <c r="B24554" s="65" t="s">
        <v>10896</v>
      </c>
    </row>
    <row r="24555" spans="1:2" x14ac:dyDescent="0.25">
      <c r="A24555" s="64" t="str">
        <f>HYPERLINK("http://www.twitter.com/_theloopfactory", "_theloopfactory")</f>
        <v>_theloopfactory</v>
      </c>
      <c r="B24555" s="65"/>
    </row>
    <row r="24556" spans="1:2" x14ac:dyDescent="0.25">
      <c r="A24556" s="64" t="str">
        <f>HYPERLINK("http://www.twitter.com/catlee1234", "catlee1234")</f>
        <v>catlee1234</v>
      </c>
      <c r="B24556" s="65" t="s">
        <v>36</v>
      </c>
    </row>
    <row r="24557" spans="1:2" x14ac:dyDescent="0.25">
      <c r="A24557" s="64" t="str">
        <f>HYPERLINK("http://www.twitter.com/RMabbs", "RMabbs")</f>
        <v>RMabbs</v>
      </c>
      <c r="B24557" s="65"/>
    </row>
    <row r="24558" spans="1:2" x14ac:dyDescent="0.25">
      <c r="A24558" s="64" t="str">
        <f>HYPERLINK("http://www.twitter.com/lsulibraries", "lsulibraries")</f>
        <v>lsulibraries</v>
      </c>
      <c r="B24558" s="65" t="s">
        <v>7739</v>
      </c>
    </row>
    <row r="24559" spans="1:2" x14ac:dyDescent="0.25">
      <c r="A24559" s="64" t="str">
        <f>HYPERLINK("http://www.twitter.com/_harrietm", "_harrietm")</f>
        <v>_harrietm</v>
      </c>
      <c r="B24559" s="65" t="s">
        <v>7567</v>
      </c>
    </row>
    <row r="24560" spans="1:2" x14ac:dyDescent="0.25">
      <c r="A24560" s="64" t="str">
        <f>HYPERLINK("http://www.twitter.com/katyandtony81", "katyandtony81")</f>
        <v>katyandtony81</v>
      </c>
      <c r="B24560" s="65"/>
    </row>
    <row r="24561" spans="1:2" x14ac:dyDescent="0.25">
      <c r="A24561" s="64" t="str">
        <f>HYPERLINK("http://www.twitter.com/allanmmacrae", "allanmmacrae")</f>
        <v>allanmmacrae</v>
      </c>
      <c r="B24561" s="65" t="s">
        <v>10897</v>
      </c>
    </row>
    <row r="24562" spans="1:2" x14ac:dyDescent="0.25">
      <c r="A24562" s="64" t="str">
        <f>HYPERLINK("http://www.twitter.com/WineySarcasm", "WineySarcasm")</f>
        <v>WineySarcasm</v>
      </c>
      <c r="B24562" s="65" t="s">
        <v>10898</v>
      </c>
    </row>
    <row r="24563" spans="1:2" x14ac:dyDescent="0.25">
      <c r="A24563" s="64" t="str">
        <f>HYPERLINK("http://www.twitter.com/helencharron", "helencharron")</f>
        <v>helencharron</v>
      </c>
      <c r="B24563" s="65"/>
    </row>
    <row r="24564" spans="1:2" x14ac:dyDescent="0.25">
      <c r="A24564" s="64" t="str">
        <f>HYPERLINK("http://www.twitter.com/astrasouthy", "astrasouthy")</f>
        <v>astrasouthy</v>
      </c>
      <c r="B24564" s="65"/>
    </row>
    <row r="24565" spans="1:2" x14ac:dyDescent="0.25">
      <c r="A24565" s="64" t="str">
        <f>HYPERLINK("http://www.twitter.com/DeadTall", "DeadTall")</f>
        <v>DeadTall</v>
      </c>
      <c r="B24565" s="65"/>
    </row>
    <row r="24566" spans="1:2" x14ac:dyDescent="0.25">
      <c r="A24566" s="64" t="str">
        <f>HYPERLINK("http://www.twitter.com/stdl", "stdl")</f>
        <v>stdl</v>
      </c>
      <c r="B24566" s="65" t="s">
        <v>10899</v>
      </c>
    </row>
    <row r="24567" spans="1:2" x14ac:dyDescent="0.25">
      <c r="A24567" s="64" t="str">
        <f>HYPERLINK("http://www.twitter.com/MentorPL", "MentorPL")</f>
        <v>MentorPL</v>
      </c>
      <c r="B24567" s="65" t="s">
        <v>10900</v>
      </c>
    </row>
    <row r="24568" spans="1:2" x14ac:dyDescent="0.25">
      <c r="A24568" s="64" t="str">
        <f>HYPERLINK("http://www.twitter.com/ThreePlums", "ThreePlums")</f>
        <v>ThreePlums</v>
      </c>
      <c r="B24568" s="65" t="s">
        <v>4529</v>
      </c>
    </row>
    <row r="24569" spans="1:2" x14ac:dyDescent="0.25">
      <c r="A24569" s="64" t="str">
        <f>HYPERLINK("http://www.twitter.com/RioHondoLibrary", "RioHondoLibrary")</f>
        <v>RioHondoLibrary</v>
      </c>
      <c r="B24569" s="65" t="s">
        <v>10901</v>
      </c>
    </row>
    <row r="24570" spans="1:2" x14ac:dyDescent="0.25">
      <c r="A24570" s="64" t="str">
        <f>HYPERLINK("http://www.twitter.com/Taleyho", "Taleyho")</f>
        <v>Taleyho</v>
      </c>
      <c r="B24570" s="65" t="s">
        <v>1841</v>
      </c>
    </row>
    <row r="24571" spans="1:2" x14ac:dyDescent="0.25">
      <c r="A24571" s="64" t="str">
        <f>HYPERLINK("http://www.twitter.com/Charl0tteWilkes", "Charl0tteWilkes")</f>
        <v>Charl0tteWilkes</v>
      </c>
      <c r="B24571" s="65"/>
    </row>
    <row r="24572" spans="1:2" x14ac:dyDescent="0.25">
      <c r="A24572" s="64" t="str">
        <f>HYPERLINK("http://www.twitter.com/PinkyVauxhall", "PinkyVauxhall")</f>
        <v>PinkyVauxhall</v>
      </c>
      <c r="B24572" s="65" t="s">
        <v>3483</v>
      </c>
    </row>
    <row r="24573" spans="1:2" x14ac:dyDescent="0.25">
      <c r="A24573" s="64" t="str">
        <f>HYPERLINK("http://www.twitter.com/eli3abethc", "eli3abethc")</f>
        <v>eli3abethc</v>
      </c>
      <c r="B24573" s="65" t="s">
        <v>10902</v>
      </c>
    </row>
    <row r="24574" spans="1:2" x14ac:dyDescent="0.25">
      <c r="A24574" s="64" t="str">
        <f>HYPERLINK("http://www.twitter.com/JenLautz", "JenLautz")</f>
        <v>JenLautz</v>
      </c>
      <c r="B24574" s="65"/>
    </row>
    <row r="24575" spans="1:2" x14ac:dyDescent="0.25">
      <c r="A24575" s="64" t="str">
        <f>HYPERLINK("http://www.twitter.com/mellonycwu", "mellonycwu")</f>
        <v>mellonycwu</v>
      </c>
      <c r="B24575" s="65" t="s">
        <v>4981</v>
      </c>
    </row>
    <row r="24576" spans="1:2" x14ac:dyDescent="0.25">
      <c r="A24576" s="64" t="str">
        <f>HYPERLINK("http://www.twitter.com/GardeningGirl29", "GardeningGirl29")</f>
        <v>GardeningGirl29</v>
      </c>
      <c r="B24576" s="65" t="s">
        <v>517</v>
      </c>
    </row>
    <row r="24577" spans="1:2" x14ac:dyDescent="0.25">
      <c r="A24577" s="64" t="str">
        <f>HYPERLINK("http://www.twitter.com/1ardentadmirer", "1ardentadmirer")</f>
        <v>1ardentadmirer</v>
      </c>
      <c r="B24577" s="65"/>
    </row>
    <row r="24578" spans="1:2" x14ac:dyDescent="0.25">
      <c r="A24578" s="64" t="str">
        <f>HYPERLINK("http://www.twitter.com/SanditonLib", "SanditonLib")</f>
        <v>SanditonLib</v>
      </c>
      <c r="B24578" s="65" t="s">
        <v>10903</v>
      </c>
    </row>
    <row r="24579" spans="1:2" x14ac:dyDescent="0.25">
      <c r="A24579" s="64" t="str">
        <f>HYPERLINK("http://www.twitter.com/summerkosuge", "summerkosuge")</f>
        <v>summerkosuge</v>
      </c>
      <c r="B24579" s="65" t="s">
        <v>3863</v>
      </c>
    </row>
    <row r="24580" spans="1:2" x14ac:dyDescent="0.25">
      <c r="A24580" s="64" t="str">
        <f>HYPERLINK("http://www.twitter.com/ChormieGirl", "ChormieGirl")</f>
        <v>ChormieGirl</v>
      </c>
      <c r="B24580" s="65" t="s">
        <v>7797</v>
      </c>
    </row>
    <row r="24581" spans="1:2" x14ac:dyDescent="0.25">
      <c r="A24581" s="64" t="str">
        <f>HYPERLINK("http://www.twitter.com/clairejoy19", "clairejoy19")</f>
        <v>clairejoy19</v>
      </c>
      <c r="B24581" s="65"/>
    </row>
    <row r="24582" spans="1:2" x14ac:dyDescent="0.25">
      <c r="A24582" s="64" t="str">
        <f>HYPERLINK("http://www.twitter.com/wconnic", "wconnic")</f>
        <v>wconnic</v>
      </c>
      <c r="B24582" s="65" t="s">
        <v>10904</v>
      </c>
    </row>
    <row r="24583" spans="1:2" x14ac:dyDescent="0.25">
      <c r="A24583" s="64" t="str">
        <f>HYPERLINK("http://www.twitter.com/Prolix39", "Prolix39")</f>
        <v>Prolix39</v>
      </c>
      <c r="B24583" s="65"/>
    </row>
    <row r="24584" spans="1:2" x14ac:dyDescent="0.25">
      <c r="A24584" s="64" t="str">
        <f>HYPERLINK("http://www.twitter.com/janeejane", "janeejane")</f>
        <v>janeejane</v>
      </c>
      <c r="B24584" s="65" t="s">
        <v>36</v>
      </c>
    </row>
    <row r="24585" spans="1:2" x14ac:dyDescent="0.25">
      <c r="A24585" s="64" t="str">
        <f>HYPERLINK("http://www.twitter.com/sylvialaarman", "sylvialaarman")</f>
        <v>sylvialaarman</v>
      </c>
      <c r="B24585" s="65" t="s">
        <v>10905</v>
      </c>
    </row>
    <row r="24586" spans="1:2" x14ac:dyDescent="0.25">
      <c r="A24586" s="64" t="str">
        <f>HYPERLINK("http://www.twitter.com/CBLLibrarian", "CBLLibrarian")</f>
        <v>CBLLibrarian</v>
      </c>
      <c r="B24586" s="65" t="s">
        <v>4145</v>
      </c>
    </row>
    <row r="24587" spans="1:2" x14ac:dyDescent="0.25">
      <c r="A24587" s="64" t="str">
        <f>HYPERLINK("http://www.twitter.com/lscslibraries", "lscslibraries")</f>
        <v>lscslibraries</v>
      </c>
      <c r="B24587" s="65" t="s">
        <v>10906</v>
      </c>
    </row>
    <row r="24588" spans="1:2" x14ac:dyDescent="0.25">
      <c r="A24588" s="64" t="str">
        <f>HYPERLINK("http://www.twitter.com/rebeccaglover84", "rebeccaglover84")</f>
        <v>rebeccaglover84</v>
      </c>
      <c r="B24588" s="65"/>
    </row>
    <row r="24589" spans="1:2" x14ac:dyDescent="0.25">
      <c r="A24589" s="64" t="str">
        <f>HYPERLINK("http://www.twitter.com/SClubBethan", "SClubBethan")</f>
        <v>SClubBethan</v>
      </c>
      <c r="B24589" s="65"/>
    </row>
    <row r="24590" spans="1:2" x14ac:dyDescent="0.25">
      <c r="A24590" s="64" t="str">
        <f>HYPERLINK("http://www.twitter.com/helenwedgwood", "helenwedgwood")</f>
        <v>helenwedgwood</v>
      </c>
      <c r="B24590" s="65"/>
    </row>
    <row r="24591" spans="1:2" x14ac:dyDescent="0.25">
      <c r="A24591" s="64" t="str">
        <f>HYPERLINK("http://www.twitter.com/TomTaylorMLIS", "TomTaylorMLIS")</f>
        <v>TomTaylorMLIS</v>
      </c>
      <c r="B24591" s="65" t="s">
        <v>4643</v>
      </c>
    </row>
    <row r="24592" spans="1:2" x14ac:dyDescent="0.25">
      <c r="A24592" s="64" t="str">
        <f>HYPERLINK("http://www.twitter.com/hhunter31", "hhunter31")</f>
        <v>hhunter31</v>
      </c>
      <c r="B24592" s="65" t="s">
        <v>10907</v>
      </c>
    </row>
    <row r="24593" spans="1:2" x14ac:dyDescent="0.25">
      <c r="A24593" s="64" t="str">
        <f>HYPERLINK("http://www.twitter.com/northbrookpl", "northbrookpl")</f>
        <v>northbrookpl</v>
      </c>
      <c r="B24593" s="65" t="s">
        <v>10908</v>
      </c>
    </row>
    <row r="24594" spans="1:2" x14ac:dyDescent="0.25">
      <c r="A24594" s="64" t="str">
        <f>HYPERLINK("http://www.twitter.com/MarsyLass", "MarsyLass")</f>
        <v>MarsyLass</v>
      </c>
      <c r="B24594" s="65"/>
    </row>
    <row r="24595" spans="1:2" x14ac:dyDescent="0.25">
      <c r="A24595" s="64" t="str">
        <f>HYPERLINK("http://www.twitter.com/utlibraries", "utlibraries")</f>
        <v>utlibraries</v>
      </c>
      <c r="B24595" s="65" t="s">
        <v>4529</v>
      </c>
    </row>
    <row r="24596" spans="1:2" x14ac:dyDescent="0.25">
      <c r="A24596" s="64" t="str">
        <f>HYPERLINK("http://www.twitter.com/RachelMcDodd", "RachelMcDodd")</f>
        <v>RachelMcDodd</v>
      </c>
      <c r="B24596" s="65"/>
    </row>
    <row r="24597" spans="1:2" x14ac:dyDescent="0.25">
      <c r="A24597" s="64" t="str">
        <f>HYPERLINK("http://www.twitter.com/ORLreads", "ORLreads")</f>
        <v>ORLreads</v>
      </c>
      <c r="B24597" s="65" t="s">
        <v>10909</v>
      </c>
    </row>
    <row r="24598" spans="1:2" x14ac:dyDescent="0.25">
      <c r="A24598" s="64" t="str">
        <f>HYPERLINK("http://www.twitter.com/LuluBlue76", "LuluBlue76")</f>
        <v>LuluBlue76</v>
      </c>
      <c r="B24598" s="65" t="s">
        <v>5970</v>
      </c>
    </row>
    <row r="24599" spans="1:2" x14ac:dyDescent="0.25">
      <c r="A24599" s="64" t="str">
        <f>HYPERLINK("http://www.twitter.com/sgmudd", "sgmudd")</f>
        <v>sgmudd</v>
      </c>
      <c r="B24599" s="65" t="s">
        <v>5652</v>
      </c>
    </row>
    <row r="24600" spans="1:2" x14ac:dyDescent="0.25">
      <c r="A24600" s="64" t="str">
        <f>HYPERLINK("http://www.twitter.com/brarygirl84", "brarygirl84")</f>
        <v>brarygirl84</v>
      </c>
      <c r="B24600" s="65" t="s">
        <v>10910</v>
      </c>
    </row>
    <row r="24601" spans="1:2" x14ac:dyDescent="0.25">
      <c r="A24601" s="64" t="str">
        <f>HYPERLINK("http://www.twitter.com/charleneswansen", "charleneswansen")</f>
        <v>charleneswansen</v>
      </c>
      <c r="B24601" s="65" t="s">
        <v>10911</v>
      </c>
    </row>
    <row r="24602" spans="1:2" x14ac:dyDescent="0.25">
      <c r="A24602" s="64" t="str">
        <f>HYPERLINK("http://www.twitter.com/marykatwahl", "marykatwahl")</f>
        <v>marykatwahl</v>
      </c>
      <c r="B24602" s="65" t="s">
        <v>3775</v>
      </c>
    </row>
    <row r="24603" spans="1:2" x14ac:dyDescent="0.25">
      <c r="A24603" s="64" t="str">
        <f>HYPERLINK("http://www.twitter.com/CarnegiePublic", "CarnegiePublic")</f>
        <v>CarnegiePublic</v>
      </c>
      <c r="B24603" s="65" t="s">
        <v>10912</v>
      </c>
    </row>
    <row r="24604" spans="1:2" x14ac:dyDescent="0.25">
      <c r="A24604" s="64" t="str">
        <f>HYPERLINK("http://www.twitter.com/cat4713", "cat4713")</f>
        <v>cat4713</v>
      </c>
      <c r="B24604" s="65"/>
    </row>
    <row r="24605" spans="1:2" x14ac:dyDescent="0.25">
      <c r="A24605" s="64" t="str">
        <f>HYPERLINK("http://www.twitter.com/allisonmaricle", "allisonmaricle")</f>
        <v>allisonmaricle</v>
      </c>
      <c r="B24605" s="65" t="s">
        <v>10913</v>
      </c>
    </row>
    <row r="24606" spans="1:2" x14ac:dyDescent="0.25">
      <c r="A24606" s="64" t="str">
        <f>HYPERLINK("http://www.twitter.com/LoriBoschert", "LoriBoschert")</f>
        <v>LoriBoschert</v>
      </c>
      <c r="B24606" s="65"/>
    </row>
    <row r="24607" spans="1:2" x14ac:dyDescent="0.25">
      <c r="A24607" s="64" t="str">
        <f>HYPERLINK("http://www.twitter.com/anchlibrary", "anchlibrary")</f>
        <v>anchlibrary</v>
      </c>
      <c r="B24607" s="65" t="s">
        <v>10914</v>
      </c>
    </row>
    <row r="24608" spans="1:2" x14ac:dyDescent="0.25">
      <c r="A24608" s="64" t="str">
        <f>HYPERLINK("http://www.twitter.com/amoguel3", "amoguel3")</f>
        <v>amoguel3</v>
      </c>
      <c r="B24608" s="65" t="s">
        <v>3775</v>
      </c>
    </row>
    <row r="24609" spans="1:2" x14ac:dyDescent="0.25">
      <c r="A24609" s="64" t="str">
        <f>HYPERLINK("http://www.twitter.com/MBBreen", "MBBreen")</f>
        <v>MBBreen</v>
      </c>
      <c r="B24609" s="65" t="s">
        <v>10915</v>
      </c>
    </row>
    <row r="24610" spans="1:2" x14ac:dyDescent="0.25">
      <c r="A24610" s="64" t="str">
        <f>HYPERLINK("http://www.twitter.com/lisabroughman", "lisabroughman")</f>
        <v>lisabroughman</v>
      </c>
      <c r="B24610" s="65" t="s">
        <v>10916</v>
      </c>
    </row>
    <row r="24611" spans="1:2" x14ac:dyDescent="0.25">
      <c r="A24611" s="64" t="str">
        <f>HYPERLINK("http://www.twitter.com/LibraryShelly", "LibraryShelly")</f>
        <v>LibraryShelly</v>
      </c>
      <c r="B24611" s="65"/>
    </row>
    <row r="24612" spans="1:2" x14ac:dyDescent="0.25">
      <c r="A24612" s="64" t="str">
        <f>HYPERLINK("http://www.twitter.com/mskkauffman", "mskkauffman")</f>
        <v>mskkauffman</v>
      </c>
      <c r="B24612" s="65" t="s">
        <v>10917</v>
      </c>
    </row>
    <row r="24613" spans="1:2" x14ac:dyDescent="0.25">
      <c r="A24613" s="64" t="str">
        <f>HYPERLINK("http://www.twitter.com/KPULibrary", "KPULibrary")</f>
        <v>KPULibrary</v>
      </c>
      <c r="B24613" s="65" t="s">
        <v>7568</v>
      </c>
    </row>
    <row r="24614" spans="1:2" x14ac:dyDescent="0.25">
      <c r="A24614" s="64" t="str">
        <f>HYPERLINK("http://www.twitter.com/booksnthingsnyc", "booksnthingsnyc")</f>
        <v>booksnthingsnyc</v>
      </c>
      <c r="B24614" s="65" t="s">
        <v>4145</v>
      </c>
    </row>
    <row r="24615" spans="1:2" x14ac:dyDescent="0.25">
      <c r="A24615" s="64" t="str">
        <f>HYPERLINK("http://www.twitter.com/seflinlib", "seflinlib")</f>
        <v>seflinlib</v>
      </c>
      <c r="B24615" s="65" t="s">
        <v>4978</v>
      </c>
    </row>
    <row r="24616" spans="1:2" x14ac:dyDescent="0.25">
      <c r="A24616" s="64" t="str">
        <f>HYPERLINK("http://www.twitter.com/DeniseRayman", "DeniseRayman")</f>
        <v>DeniseRayman</v>
      </c>
      <c r="B24616" s="65" t="s">
        <v>4701</v>
      </c>
    </row>
    <row r="24617" spans="1:2" x14ac:dyDescent="0.25">
      <c r="A24617" s="64" t="str">
        <f>HYPERLINK("http://www.twitter.com/KimDConstable", "KimDConstable")</f>
        <v>KimDConstable</v>
      </c>
      <c r="B24617" s="65"/>
    </row>
    <row r="24618" spans="1:2" x14ac:dyDescent="0.25">
      <c r="A24618" s="64" t="str">
        <f>HYPERLINK("http://www.twitter.com/sofiayleung", "sofiayleung")</f>
        <v>sofiayleung</v>
      </c>
      <c r="B24618" s="65" t="s">
        <v>6826</v>
      </c>
    </row>
    <row r="24619" spans="1:2" x14ac:dyDescent="0.25">
      <c r="A24619" s="64" t="str">
        <f>HYPERLINK("http://www.twitter.com/DianeBockrath", "DianeBockrath")</f>
        <v>DianeBockrath</v>
      </c>
      <c r="B24619" s="65" t="s">
        <v>10918</v>
      </c>
    </row>
    <row r="24620" spans="1:2" x14ac:dyDescent="0.25">
      <c r="A24620" s="64" t="str">
        <f>HYPERLINK("http://www.twitter.com/elsablack", "elsablack")</f>
        <v>elsablack</v>
      </c>
      <c r="B24620" s="65" t="s">
        <v>5455</v>
      </c>
    </row>
    <row r="24621" spans="1:2" x14ac:dyDescent="0.25">
      <c r="A24621" s="64" t="str">
        <f>HYPERLINK("http://www.twitter.com/OakmontLibrary", "OakmontLibrary")</f>
        <v>OakmontLibrary</v>
      </c>
      <c r="B24621" s="65" t="s">
        <v>10919</v>
      </c>
    </row>
    <row r="24622" spans="1:2" x14ac:dyDescent="0.25">
      <c r="A24622" s="64" t="str">
        <f>HYPERLINK("http://www.twitter.com/aapld", "aapld")</f>
        <v>aapld</v>
      </c>
      <c r="B24622" s="65" t="s">
        <v>10920</v>
      </c>
    </row>
    <row r="24623" spans="1:2" x14ac:dyDescent="0.25">
      <c r="A24623" s="64" t="str">
        <f>HYPERLINK("http://www.twitter.com/AmeliaLibrarian", "AmeliaLibrarian")</f>
        <v>AmeliaLibrarian</v>
      </c>
      <c r="B24623" s="65" t="s">
        <v>10646</v>
      </c>
    </row>
    <row r="24624" spans="1:2" x14ac:dyDescent="0.25">
      <c r="A24624" s="64" t="str">
        <f>HYPERLINK("http://www.twitter.com/LMBTexas", "LMBTexas")</f>
        <v>LMBTexas</v>
      </c>
      <c r="B24624" s="65" t="s">
        <v>5422</v>
      </c>
    </row>
    <row r="24625" spans="1:2" x14ac:dyDescent="0.25">
      <c r="A24625" s="64" t="str">
        <f>HYPERLINK("http://www.twitter.com/ferskner", "ferskner")</f>
        <v>ferskner</v>
      </c>
      <c r="B24625" s="65" t="s">
        <v>10921</v>
      </c>
    </row>
    <row r="24626" spans="1:2" x14ac:dyDescent="0.25">
      <c r="A24626" s="64" t="str">
        <f>HYPERLINK("http://www.twitter.com/CliftonIndy", "CliftonIndy")</f>
        <v>CliftonIndy</v>
      </c>
      <c r="B24626" s="65" t="s">
        <v>4701</v>
      </c>
    </row>
    <row r="24627" spans="1:2" x14ac:dyDescent="0.25">
      <c r="A24627" s="64" t="str">
        <f>HYPERLINK("http://www.twitter.com/GirovagoGirl", "GirovagoGirl")</f>
        <v>GirovagoGirl</v>
      </c>
      <c r="B24627" s="65" t="s">
        <v>3853</v>
      </c>
    </row>
    <row r="24628" spans="1:2" x14ac:dyDescent="0.25">
      <c r="A24628" s="64" t="str">
        <f>HYPERLINK("http://www.twitter.com/regretsky3000", "regretsky3000")</f>
        <v>regretsky3000</v>
      </c>
      <c r="B24628" s="65" t="s">
        <v>10922</v>
      </c>
    </row>
    <row r="24629" spans="1:2" x14ac:dyDescent="0.25">
      <c r="A24629" s="64" t="str">
        <f>HYPERLINK("http://www.twitter.com/KentStateSLIS", "KentStateSLIS")</f>
        <v>KentStateSLIS</v>
      </c>
      <c r="B24629" s="65" t="s">
        <v>10923</v>
      </c>
    </row>
    <row r="24630" spans="1:2" x14ac:dyDescent="0.25">
      <c r="A24630" s="64" t="str">
        <f>HYPERLINK("http://www.twitter.com/nshkrob", "nshkrob")</f>
        <v>nshkrob</v>
      </c>
      <c r="B24630" s="65"/>
    </row>
    <row r="24631" spans="1:2" x14ac:dyDescent="0.25">
      <c r="A24631" s="64" t="str">
        <f>HYPERLINK("http://www.twitter.com/UKeiG", "UKeiG")</f>
        <v>UKeiG</v>
      </c>
      <c r="B24631" s="65" t="s">
        <v>296</v>
      </c>
    </row>
    <row r="24632" spans="1:2" x14ac:dyDescent="0.25">
      <c r="A24632" s="64" t="str">
        <f>HYPERLINK("http://www.twitter.com/ehdowney", "ehdowney")</f>
        <v>ehdowney</v>
      </c>
      <c r="B24632" s="65" t="s">
        <v>4578</v>
      </c>
    </row>
    <row r="24633" spans="1:2" x14ac:dyDescent="0.25">
      <c r="A24633" s="64" t="str">
        <f>HYPERLINK("http://www.twitter.com/WestLibSys", "WestLibSys")</f>
        <v>WestLibSys</v>
      </c>
      <c r="B24633" s="65" t="s">
        <v>10924</v>
      </c>
    </row>
    <row r="24634" spans="1:2" x14ac:dyDescent="0.25">
      <c r="A24634" s="64" t="str">
        <f>HYPERLINK("http://www.twitter.com/Sazbeanz", "Sazbeanz")</f>
        <v>Sazbeanz</v>
      </c>
      <c r="B24634" s="65" t="s">
        <v>10925</v>
      </c>
    </row>
    <row r="24635" spans="1:2" x14ac:dyDescent="0.25">
      <c r="A24635" s="64" t="str">
        <f>HYPERLINK("http://www.twitter.com/valleylibs", "valleylibs")</f>
        <v>valleylibs</v>
      </c>
      <c r="B24635" s="65" t="s">
        <v>5362</v>
      </c>
    </row>
    <row r="24636" spans="1:2" x14ac:dyDescent="0.25">
      <c r="A24636" s="64" t="str">
        <f>HYPERLINK("http://www.twitter.com/MinLibNet", "MinLibNet")</f>
        <v>MinLibNet</v>
      </c>
      <c r="B24636" s="65"/>
    </row>
    <row r="24637" spans="1:2" x14ac:dyDescent="0.25">
      <c r="A24637" s="64" t="str">
        <f>HYPERLINK("http://www.twitter.com/EBClark10", "EBClark10")</f>
        <v>EBClark10</v>
      </c>
      <c r="B24637" s="65"/>
    </row>
    <row r="24638" spans="1:2" x14ac:dyDescent="0.25">
      <c r="A24638" s="64" t="str">
        <f>HYPERLINK("http://www.twitter.com/kaliobooks", "kaliobooks")</f>
        <v>kaliobooks</v>
      </c>
      <c r="B24638" s="65" t="s">
        <v>4309</v>
      </c>
    </row>
    <row r="24639" spans="1:2" x14ac:dyDescent="0.25">
      <c r="A24639" s="64" t="str">
        <f>HYPERLINK("http://www.twitter.com/DWestLibrary", "DWestLibrary")</f>
        <v>DWestLibrary</v>
      </c>
      <c r="B24639" s="65" t="s">
        <v>10926</v>
      </c>
    </row>
    <row r="24640" spans="1:2" x14ac:dyDescent="0.25">
      <c r="A24640" s="64" t="str">
        <f>HYPERLINK("http://www.twitter.com/newtonmiller", "newtonmiller")</f>
        <v>newtonmiller</v>
      </c>
      <c r="B24640" s="65"/>
    </row>
    <row r="24641" spans="1:2" x14ac:dyDescent="0.25">
      <c r="A24641" s="64" t="str">
        <f>HYPERLINK("http://www.twitter.com/susanne_trego", "susanne_trego")</f>
        <v>susanne_trego</v>
      </c>
      <c r="B24641" s="65" t="s">
        <v>7554</v>
      </c>
    </row>
    <row r="24642" spans="1:2" x14ac:dyDescent="0.25">
      <c r="A24642" s="64" t="str">
        <f>HYPERLINK("http://www.twitter.com/Justin_Nobles", "Justin_Nobles")</f>
        <v>Justin_Nobles</v>
      </c>
      <c r="B24642" s="65" t="s">
        <v>10927</v>
      </c>
    </row>
    <row r="24643" spans="1:2" x14ac:dyDescent="0.25">
      <c r="A24643" s="64" t="str">
        <f>HYPERLINK("http://www.twitter.com/gribiche", "gribiche")</f>
        <v>gribiche</v>
      </c>
      <c r="B24643" s="65"/>
    </row>
    <row r="24644" spans="1:2" x14ac:dyDescent="0.25">
      <c r="A24644" s="64" t="str">
        <f>HYPERLINK("http://www.twitter.com/Babs827", "Babs827")</f>
        <v>Babs827</v>
      </c>
      <c r="B24644" s="65" t="s">
        <v>10928</v>
      </c>
    </row>
    <row r="24645" spans="1:2" x14ac:dyDescent="0.25">
      <c r="A24645" s="64" t="str">
        <f>HYPERLINK("http://www.twitter.com/roeschlibrary", "roeschlibrary")</f>
        <v>roeschlibrary</v>
      </c>
      <c r="B24645" s="65" t="s">
        <v>10910</v>
      </c>
    </row>
    <row r="24646" spans="1:2" x14ac:dyDescent="0.25">
      <c r="A24646" s="64" t="str">
        <f>HYPERLINK("http://www.twitter.com/ekelistic", "ekelistic")</f>
        <v>ekelistic</v>
      </c>
      <c r="B24646" s="65" t="s">
        <v>10929</v>
      </c>
    </row>
    <row r="24647" spans="1:2" x14ac:dyDescent="0.25">
      <c r="A24647" s="64" t="str">
        <f>HYPERLINK("http://www.twitter.com/cigmis", "cigmis")</f>
        <v>cigmis</v>
      </c>
      <c r="B24647" s="65" t="s">
        <v>4551</v>
      </c>
    </row>
    <row r="24648" spans="1:2" x14ac:dyDescent="0.25">
      <c r="A24648" s="64" t="str">
        <f>HYPERLINK("http://www.twitter.com/kath782", "kath782")</f>
        <v>kath782</v>
      </c>
      <c r="B24648" s="65"/>
    </row>
    <row r="24649" spans="1:2" x14ac:dyDescent="0.25">
      <c r="A24649" s="64" t="str">
        <f>HYPERLINK("http://www.twitter.com/utdigitalrepo", "utdigitalrepo")</f>
        <v>utdigitalrepo</v>
      </c>
      <c r="B24649" s="65" t="s">
        <v>4529</v>
      </c>
    </row>
    <row r="24650" spans="1:2" x14ac:dyDescent="0.25">
      <c r="A24650" s="64" t="str">
        <f>HYPERLINK("http://www.twitter.com/anjacoe", "anjacoe")</f>
        <v>anjacoe</v>
      </c>
      <c r="B24650" s="65" t="s">
        <v>4765</v>
      </c>
    </row>
    <row r="24651" spans="1:2" x14ac:dyDescent="0.25">
      <c r="A24651" s="64" t="str">
        <f>HYPERLINK("http://www.twitter.com/Cause_4_Effect", "Cause_4_Effect")</f>
        <v>Cause_4_Effect</v>
      </c>
      <c r="B24651" s="65" t="s">
        <v>808</v>
      </c>
    </row>
    <row r="24652" spans="1:2" x14ac:dyDescent="0.25">
      <c r="A24652" s="64" t="str">
        <f>HYPERLINK("http://www.twitter.com/rkclement", "rkclement")</f>
        <v>rkclement</v>
      </c>
      <c r="B24652" s="65" t="s">
        <v>10930</v>
      </c>
    </row>
    <row r="24653" spans="1:2" x14ac:dyDescent="0.25">
      <c r="A24653" s="64" t="str">
        <f>HYPERLINK("http://www.twitter.com/helenm295", "helenm295")</f>
        <v>helenm295</v>
      </c>
      <c r="B24653" s="65" t="s">
        <v>4771</v>
      </c>
    </row>
    <row r="24654" spans="1:2" x14ac:dyDescent="0.25">
      <c r="A24654" s="64" t="str">
        <f>HYPERLINK("http://www.twitter.com/eplsdotorg", "eplsdotorg")</f>
        <v>eplsdotorg</v>
      </c>
      <c r="B24654" s="65" t="s">
        <v>10133</v>
      </c>
    </row>
    <row r="24655" spans="1:2" x14ac:dyDescent="0.25">
      <c r="A24655" s="64" t="str">
        <f>HYPERLINK("http://www.twitter.com/genevievetweet", "genevievetweet")</f>
        <v>genevievetweet</v>
      </c>
      <c r="B24655" s="65" t="s">
        <v>10931</v>
      </c>
    </row>
    <row r="24656" spans="1:2" x14ac:dyDescent="0.25">
      <c r="A24656" s="64" t="str">
        <f>HYPERLINK("http://www.twitter.com/KrisWJ", "KrisWJ")</f>
        <v>KrisWJ</v>
      </c>
      <c r="B24656" s="65" t="s">
        <v>1218</v>
      </c>
    </row>
    <row r="24657" spans="1:2" x14ac:dyDescent="0.25">
      <c r="A24657" s="64" t="str">
        <f>HYPERLINK("http://www.twitter.com/whitbylibrary", "whitbylibrary")</f>
        <v>whitbylibrary</v>
      </c>
      <c r="B24657" s="65" t="s">
        <v>10932</v>
      </c>
    </row>
    <row r="24658" spans="1:2" x14ac:dyDescent="0.25">
      <c r="A24658" s="64" t="str">
        <f>HYPERLINK("http://www.twitter.com/karlstadsbibl", "karlstadsbibl")</f>
        <v>karlstadsbibl</v>
      </c>
      <c r="B24658" s="65" t="s">
        <v>4765</v>
      </c>
    </row>
    <row r="24659" spans="1:2" x14ac:dyDescent="0.25">
      <c r="A24659" s="64" t="str">
        <f>HYPERLINK("http://www.twitter.com/YpsiLibrary", "YpsiLibrary")</f>
        <v>YpsiLibrary</v>
      </c>
      <c r="B24659" s="65" t="s">
        <v>4679</v>
      </c>
    </row>
    <row r="24660" spans="1:2" x14ac:dyDescent="0.25">
      <c r="A24660" s="64" t="str">
        <f>HYPERLINK("http://www.twitter.com/sidnukenot", "sidnukenot")</f>
        <v>sidnukenot</v>
      </c>
      <c r="B24660" s="65"/>
    </row>
    <row r="24661" spans="1:2" x14ac:dyDescent="0.25">
      <c r="A24661" s="64" t="str">
        <f>HYPERLINK("http://www.twitter.com/dawnyjstone", "dawnyjstone")</f>
        <v>dawnyjstone</v>
      </c>
      <c r="B24661" s="65"/>
    </row>
    <row r="24662" spans="1:2" x14ac:dyDescent="0.25">
      <c r="A24662" s="64" t="str">
        <f>HYPERLINK("http://www.twitter.com/yrajkishore", "yrajkishore")</f>
        <v>yrajkishore</v>
      </c>
      <c r="B24662" s="65" t="s">
        <v>5181</v>
      </c>
    </row>
    <row r="24663" spans="1:2" x14ac:dyDescent="0.25">
      <c r="A24663" s="64" t="str">
        <f>HYPERLINK("http://www.twitter.com/paranoidbaker", "paranoidbaker")</f>
        <v>paranoidbaker</v>
      </c>
      <c r="B24663" s="65" t="s">
        <v>5181</v>
      </c>
    </row>
    <row r="24664" spans="1:2" x14ac:dyDescent="0.25">
      <c r="A24664" s="64" t="str">
        <f>HYPERLINK("http://www.twitter.com/CSkondin", "CSkondin")</f>
        <v>CSkondin</v>
      </c>
      <c r="B24664" s="65" t="s">
        <v>3872</v>
      </c>
    </row>
    <row r="24665" spans="1:2" x14ac:dyDescent="0.25">
      <c r="A24665" s="64" t="str">
        <f>HYPERLINK("http://www.twitter.com/MercedesSperlin", "MercedesSperlin")</f>
        <v>MercedesSperlin</v>
      </c>
      <c r="B24665" s="65" t="s">
        <v>4848</v>
      </c>
    </row>
    <row r="24666" spans="1:2" x14ac:dyDescent="0.25">
      <c r="A24666" s="64" t="str">
        <f>HYPERLINK("http://www.twitter.com/floatingclouds", "floatingclouds")</f>
        <v>floatingclouds</v>
      </c>
      <c r="B24666" s="65" t="s">
        <v>10933</v>
      </c>
    </row>
    <row r="24667" spans="1:2" x14ac:dyDescent="0.25">
      <c r="A24667" s="64" t="str">
        <f>HYPERLINK("http://www.twitter.com/Mindyourfinger", "Mindyourfinger")</f>
        <v>Mindyourfinger</v>
      </c>
      <c r="B24667" s="65"/>
    </row>
    <row r="24668" spans="1:2" x14ac:dyDescent="0.25">
      <c r="A24668" s="64" t="str">
        <f>HYPERLINK("http://www.twitter.com/rich_unger", "rich_unger")</f>
        <v>rich_unger</v>
      </c>
      <c r="B24668" s="65" t="s">
        <v>5156</v>
      </c>
    </row>
    <row r="24669" spans="1:2" x14ac:dyDescent="0.25">
      <c r="A24669" s="64" t="str">
        <f>HYPERLINK("http://www.twitter.com/nzfi", "nzfi")</f>
        <v>nzfi</v>
      </c>
      <c r="B24669" s="65" t="s">
        <v>4436</v>
      </c>
    </row>
    <row r="24670" spans="1:2" x14ac:dyDescent="0.25">
      <c r="A24670" s="64" t="str">
        <f>HYPERLINK("http://www.twitter.com/TheWill", "TheWill")</f>
        <v>TheWill</v>
      </c>
      <c r="B24670" s="65" t="s">
        <v>10934</v>
      </c>
    </row>
    <row r="24671" spans="1:2" x14ac:dyDescent="0.25">
      <c r="A24671" s="64" t="str">
        <f>HYPERLINK("http://www.twitter.com/atgirl72", "atgirl72")</f>
        <v>atgirl72</v>
      </c>
      <c r="B24671" s="65" t="s">
        <v>10935</v>
      </c>
    </row>
    <row r="24672" spans="1:2" x14ac:dyDescent="0.25">
      <c r="A24672" s="64" t="str">
        <f>HYPERLINK("http://www.twitter.com/SleekitCorbie", "SleekitCorbie")</f>
        <v>SleekitCorbie</v>
      </c>
      <c r="B24672" s="65" t="s">
        <v>24</v>
      </c>
    </row>
    <row r="24673" spans="1:2" x14ac:dyDescent="0.25">
      <c r="A24673" s="64" t="str">
        <f>HYPERLINK("http://www.twitter.com/saramctweets", "saramctweets")</f>
        <v>saramctweets</v>
      </c>
      <c r="B24673" s="65" t="s">
        <v>3921</v>
      </c>
    </row>
    <row r="24674" spans="1:2" x14ac:dyDescent="0.25">
      <c r="A24674" s="64" t="str">
        <f>HYPERLINK("http://www.twitter.com/PTNowLibrarian", "PTNowLibrarian")</f>
        <v>PTNowLibrarian</v>
      </c>
      <c r="B24674" s="65"/>
    </row>
    <row r="24675" spans="1:2" x14ac:dyDescent="0.25">
      <c r="A24675" s="64" t="str">
        <f>HYPERLINK("http://www.twitter.com/desl", "desl")</f>
        <v>desl</v>
      </c>
      <c r="B24675" s="65" t="s">
        <v>6457</v>
      </c>
    </row>
    <row r="24676" spans="1:2" x14ac:dyDescent="0.25">
      <c r="A24676" s="64" t="str">
        <f>HYPERLINK("http://www.twitter.com/xhorsechestnutx", "xhorsechestnutx")</f>
        <v>xhorsechestnutx</v>
      </c>
      <c r="B24676" s="65"/>
    </row>
    <row r="24677" spans="1:2" x14ac:dyDescent="0.25">
      <c r="A24677" s="64" t="str">
        <f>HYPERLINK("http://www.twitter.com/Char_Westie", "Char_Westie")</f>
        <v>Char_Westie</v>
      </c>
      <c r="B24677" s="65" t="s">
        <v>4018</v>
      </c>
    </row>
    <row r="24678" spans="1:2" x14ac:dyDescent="0.25">
      <c r="A24678" s="64" t="str">
        <f>HYPERLINK("http://www.twitter.com/oldfangledjo", "oldfangledjo")</f>
        <v>oldfangledjo</v>
      </c>
      <c r="B24678" s="65" t="s">
        <v>24</v>
      </c>
    </row>
    <row r="24679" spans="1:2" x14ac:dyDescent="0.25">
      <c r="A24679" s="64" t="str">
        <f>HYPERLINK("http://www.twitter.com/suzypuss", "suzypuss")</f>
        <v>suzypuss</v>
      </c>
      <c r="B24679" s="65" t="s">
        <v>10936</v>
      </c>
    </row>
    <row r="24680" spans="1:2" x14ac:dyDescent="0.25">
      <c r="A24680" s="64" t="str">
        <f>HYPERLINK("http://www.twitter.com/MVORmvor", "MVORmvor")</f>
        <v>MVORmvor</v>
      </c>
      <c r="B24680" s="65"/>
    </row>
    <row r="24681" spans="1:2" x14ac:dyDescent="0.25">
      <c r="A24681" s="64" t="str">
        <f>HYPERLINK("http://www.twitter.com/galileolibrary", "galileolibrary")</f>
        <v>galileolibrary</v>
      </c>
      <c r="B24681" s="65"/>
    </row>
    <row r="24682" spans="1:2" x14ac:dyDescent="0.25">
      <c r="A24682" s="64" t="str">
        <f>HYPERLINK("http://www.twitter.com/CranstonLibrary", "CranstonLibrary")</f>
        <v>CranstonLibrary</v>
      </c>
      <c r="B24682" s="65" t="s">
        <v>10937</v>
      </c>
    </row>
    <row r="24683" spans="1:2" x14ac:dyDescent="0.25">
      <c r="A24683" s="64" t="str">
        <f>HYPERLINK("http://www.twitter.com/KatieHMackenzie", "KatieHMackenzie")</f>
        <v>KatieHMackenzie</v>
      </c>
      <c r="B24683" s="65" t="s">
        <v>138</v>
      </c>
    </row>
    <row r="24684" spans="1:2" x14ac:dyDescent="0.25">
      <c r="A24684" s="64" t="str">
        <f>HYPERLINK("http://www.twitter.com/FoxingClever", "FoxingClever")</f>
        <v>FoxingClever</v>
      </c>
      <c r="B24684" s="65" t="s">
        <v>505</v>
      </c>
    </row>
    <row r="24685" spans="1:2" x14ac:dyDescent="0.25">
      <c r="A24685" s="64" t="str">
        <f>HYPERLINK("http://www.twitter.com/nmstatelibrary", "nmstatelibrary")</f>
        <v>nmstatelibrary</v>
      </c>
      <c r="B24685" s="65" t="s">
        <v>10938</v>
      </c>
    </row>
    <row r="24686" spans="1:2" x14ac:dyDescent="0.25">
      <c r="A24686" s="64" t="str">
        <f>HYPERLINK("http://www.twitter.com/annrocket", "annrocket")</f>
        <v>annrocket</v>
      </c>
      <c r="B24686" s="65"/>
    </row>
    <row r="24687" spans="1:2" x14ac:dyDescent="0.25">
      <c r="A24687" s="64" t="str">
        <f>HYPERLINK("http://www.twitter.com/ResoluteMag", "ResoluteMag")</f>
        <v>ResoluteMag</v>
      </c>
      <c r="B24687" s="65" t="s">
        <v>10939</v>
      </c>
    </row>
    <row r="24688" spans="1:2" x14ac:dyDescent="0.25">
      <c r="A24688" s="64" t="str">
        <f>HYPERLINK("http://www.twitter.com/dennispross", "dennispross")</f>
        <v>dennispross</v>
      </c>
      <c r="B24688" s="65"/>
    </row>
    <row r="24689" spans="1:2" x14ac:dyDescent="0.25">
      <c r="A24689" s="64" t="str">
        <f>HYPERLINK("http://www.twitter.com/BethanyHLA", "BethanyHLA")</f>
        <v>BethanyHLA</v>
      </c>
      <c r="B24689" s="65" t="s">
        <v>10940</v>
      </c>
    </row>
    <row r="24690" spans="1:2" x14ac:dyDescent="0.25">
      <c r="A24690" s="64" t="str">
        <f>HYPERLINK("http://www.twitter.com/xDLauraar", "xDLauraar")</f>
        <v>xDLauraar</v>
      </c>
      <c r="B24690" s="65"/>
    </row>
    <row r="24691" spans="1:2" x14ac:dyDescent="0.25">
      <c r="A24691" s="64" t="str">
        <f>HYPERLINK("http://www.twitter.com/sleepygoose", "sleepygoose")</f>
        <v>sleepygoose</v>
      </c>
      <c r="B24691" s="65" t="s">
        <v>10941</v>
      </c>
    </row>
    <row r="24692" spans="1:2" x14ac:dyDescent="0.25">
      <c r="A24692" s="64" t="str">
        <f>HYPERLINK("http://www.twitter.com/ShortgrassNews", "ShortgrassNews")</f>
        <v>ShortgrassNews</v>
      </c>
      <c r="B24692" s="65" t="s">
        <v>4415</v>
      </c>
    </row>
    <row r="24693" spans="1:2" x14ac:dyDescent="0.25">
      <c r="A24693" s="64" t="str">
        <f>HYPERLINK("http://www.twitter.com/dianapurnell", "dianapurnell")</f>
        <v>dianapurnell</v>
      </c>
      <c r="B24693" s="65"/>
    </row>
    <row r="24694" spans="1:2" x14ac:dyDescent="0.25">
      <c r="A24694" s="64" t="str">
        <f>HYPERLINK("http://www.twitter.com/kadyferris", "kadyferris")</f>
        <v>kadyferris</v>
      </c>
      <c r="B24694" s="65" t="s">
        <v>3872</v>
      </c>
    </row>
    <row r="24695" spans="1:2" x14ac:dyDescent="0.25">
      <c r="A24695" s="64" t="str">
        <f>HYPERLINK("http://www.twitter.com/kurrik", "kurrik")</f>
        <v>kurrik</v>
      </c>
      <c r="B24695" s="65" t="s">
        <v>10942</v>
      </c>
    </row>
    <row r="24696" spans="1:2" x14ac:dyDescent="0.25">
      <c r="A24696" s="64" t="str">
        <f>HYPERLINK("http://www.twitter.com/perelandran", "perelandran")</f>
        <v>perelandran</v>
      </c>
      <c r="B24696" s="65" t="s">
        <v>10847</v>
      </c>
    </row>
    <row r="24697" spans="1:2" x14ac:dyDescent="0.25">
      <c r="A24697" s="64" t="str">
        <f>HYPERLINK("http://www.twitter.com/rycobookcovers", "rycobookcovers")</f>
        <v>rycobookcovers</v>
      </c>
      <c r="B24697" s="65" t="s">
        <v>4062</v>
      </c>
    </row>
    <row r="24698" spans="1:2" x14ac:dyDescent="0.25">
      <c r="A24698" s="64" t="str">
        <f>HYPERLINK("http://www.twitter.com/marisamahood", "marisamahood")</f>
        <v>marisamahood</v>
      </c>
      <c r="B24698" s="65" t="s">
        <v>2232</v>
      </c>
    </row>
    <row r="24699" spans="1:2" x14ac:dyDescent="0.25">
      <c r="A24699" s="64" t="str">
        <f>HYPERLINK("http://www.twitter.com/tanjamarimint", "tanjamarimint")</f>
        <v>tanjamarimint</v>
      </c>
      <c r="B24699" s="65" t="s">
        <v>4152</v>
      </c>
    </row>
    <row r="24700" spans="1:2" x14ac:dyDescent="0.25">
      <c r="A24700" s="64" t="str">
        <f>HYPERLINK("http://www.twitter.com/ellen_mackay", "ellen_mackay")</f>
        <v>ellen_mackay</v>
      </c>
      <c r="B24700" s="65" t="s">
        <v>10943</v>
      </c>
    </row>
    <row r="24701" spans="1:2" x14ac:dyDescent="0.25">
      <c r="A24701" s="64" t="str">
        <f>HYPERLINK("http://www.twitter.com/Chrishorsnell", "Chrishorsnell")</f>
        <v>Chrishorsnell</v>
      </c>
      <c r="B24701" s="65"/>
    </row>
    <row r="24702" spans="1:2" x14ac:dyDescent="0.25">
      <c r="A24702" s="64" t="str">
        <f>HYPERLINK("http://www.twitter.com/Treiziemesalope", "Treiziemesalope")</f>
        <v>Treiziemesalope</v>
      </c>
      <c r="B24702" s="65" t="s">
        <v>10944</v>
      </c>
    </row>
    <row r="24703" spans="1:2" x14ac:dyDescent="0.25">
      <c r="A24703" s="64" t="str">
        <f>HYPERLINK("http://www.twitter.com/Borstuk", "Borstuk")</f>
        <v>Borstuk</v>
      </c>
      <c r="B24703" s="65"/>
    </row>
    <row r="24704" spans="1:2" x14ac:dyDescent="0.25">
      <c r="A24704" s="64" t="str">
        <f>HYPERLINK("http://www.twitter.com/mcjoynt", "mcjoynt")</f>
        <v>mcjoynt</v>
      </c>
      <c r="B24704" s="65" t="s">
        <v>10945</v>
      </c>
    </row>
    <row r="24705" spans="1:2" x14ac:dyDescent="0.25">
      <c r="A24705" s="64" t="str">
        <f>HYPERLINK("http://www.twitter.com/justSuzanneQ", "justSuzanneQ")</f>
        <v>justSuzanneQ</v>
      </c>
      <c r="B24705" s="65"/>
    </row>
    <row r="24706" spans="1:2" x14ac:dyDescent="0.25">
      <c r="A24706" s="64" t="str">
        <f>HYPERLINK("http://www.twitter.com/setsponiesfree", "setsponiesfree")</f>
        <v>setsponiesfree</v>
      </c>
      <c r="B24706" s="65" t="s">
        <v>10946</v>
      </c>
    </row>
    <row r="24707" spans="1:2" x14ac:dyDescent="0.25">
      <c r="A24707" s="64" t="str">
        <f>HYPERLINK("http://www.twitter.com/iuils", "iuils")</f>
        <v>iuils</v>
      </c>
      <c r="B24707" s="65" t="s">
        <v>4209</v>
      </c>
    </row>
    <row r="24708" spans="1:2" x14ac:dyDescent="0.25">
      <c r="A24708" s="64" t="str">
        <f>HYPERLINK("http://www.twitter.com/jolz11", "jolz11")</f>
        <v>jolz11</v>
      </c>
      <c r="B24708" s="65"/>
    </row>
    <row r="24709" spans="1:2" x14ac:dyDescent="0.25">
      <c r="A24709" s="64" t="str">
        <f>HYPERLINK("http://www.twitter.com/gwyllgi", "gwyllgi")</f>
        <v>gwyllgi</v>
      </c>
      <c r="B24709" s="65" t="s">
        <v>10947</v>
      </c>
    </row>
    <row r="24710" spans="1:2" x14ac:dyDescent="0.25">
      <c r="A24710" s="64" t="str">
        <f>HYPERLINK("http://www.twitter.com/Lycograd98", "Lycograd98")</f>
        <v>Lycograd98</v>
      </c>
      <c r="B24710" s="65"/>
    </row>
    <row r="24711" spans="1:2" x14ac:dyDescent="0.25">
      <c r="A24711" s="64" t="str">
        <f>HYPERLINK("http://www.twitter.com/kiwionthego", "kiwionthego")</f>
        <v>kiwionthego</v>
      </c>
      <c r="B24711" s="65" t="s">
        <v>10948</v>
      </c>
    </row>
    <row r="24712" spans="1:2" x14ac:dyDescent="0.25">
      <c r="A24712" s="64" t="str">
        <f>HYPERLINK("http://www.twitter.com/HerPlotThickens", "HerPlotThickens")</f>
        <v>HerPlotThickens</v>
      </c>
      <c r="B24712" s="65" t="s">
        <v>9245</v>
      </c>
    </row>
    <row r="24713" spans="1:2" x14ac:dyDescent="0.25">
      <c r="A24713" s="64" t="str">
        <f>HYPERLINK("http://www.twitter.com/kenny_murray", "kenny_murray")</f>
        <v>kenny_murray</v>
      </c>
      <c r="B24713" s="65" t="s">
        <v>318</v>
      </c>
    </row>
    <row r="24714" spans="1:2" x14ac:dyDescent="0.25">
      <c r="A24714" s="64" t="str">
        <f>HYPERLINK("http://www.twitter.com/socialoafer", "socialoafer")</f>
        <v>socialoafer</v>
      </c>
      <c r="B24714" s="65" t="s">
        <v>24</v>
      </c>
    </row>
    <row r="24715" spans="1:2" x14ac:dyDescent="0.25">
      <c r="A24715" s="64" t="str">
        <f>HYPERLINK("http://www.twitter.com/jenny_haworth", "jenny_haworth")</f>
        <v>jenny_haworth</v>
      </c>
      <c r="B24715" s="65" t="s">
        <v>10949</v>
      </c>
    </row>
    <row r="24716" spans="1:2" x14ac:dyDescent="0.25">
      <c r="A24716" s="64" t="str">
        <f>HYPERLINK("http://www.twitter.com/JRMeyerhofer", "JRMeyerhofer")</f>
        <v>JRMeyerhofer</v>
      </c>
      <c r="B24716" s="65"/>
    </row>
    <row r="24717" spans="1:2" x14ac:dyDescent="0.25">
      <c r="A24717" s="64" t="str">
        <f>HYPERLINK("http://www.twitter.com/GumbergLibrary", "GumbergLibrary")</f>
        <v>GumbergLibrary</v>
      </c>
      <c r="B24717" s="65" t="s">
        <v>4001</v>
      </c>
    </row>
    <row r="24718" spans="1:2" x14ac:dyDescent="0.25">
      <c r="A24718" s="64" t="str">
        <f>HYPERLINK("http://www.twitter.com/macwull", "macwull")</f>
        <v>macwull</v>
      </c>
      <c r="B24718" s="65" t="s">
        <v>6118</v>
      </c>
    </row>
    <row r="24719" spans="1:2" x14ac:dyDescent="0.25">
      <c r="A24719" s="64" t="str">
        <f>HYPERLINK("http://www.twitter.com/ponyonabalcony", "ponyonabalcony")</f>
        <v>ponyonabalcony</v>
      </c>
      <c r="B24719" s="65" t="s">
        <v>10950</v>
      </c>
    </row>
    <row r="24720" spans="1:2" x14ac:dyDescent="0.25">
      <c r="A24720" s="64" t="str">
        <f>HYPERLINK("http://www.twitter.com/MichelleSwab", "MichelleSwab")</f>
        <v>MichelleSwab</v>
      </c>
      <c r="B24720" s="65" t="s">
        <v>10951</v>
      </c>
    </row>
    <row r="24721" spans="1:2" x14ac:dyDescent="0.25">
      <c r="A24721" s="64" t="str">
        <f>HYPERLINK("http://www.twitter.com/contrariwisely", "contrariwisely")</f>
        <v>contrariwisely</v>
      </c>
      <c r="B24721" s="65"/>
    </row>
    <row r="24722" spans="1:2" x14ac:dyDescent="0.25">
      <c r="A24722" s="64" t="str">
        <f>HYPERLINK("http://www.twitter.com/EnricoCarca", "EnricoCarca")</f>
        <v>EnricoCarca</v>
      </c>
      <c r="B24722" s="65"/>
    </row>
    <row r="24723" spans="1:2" x14ac:dyDescent="0.25">
      <c r="A24723" s="64" t="str">
        <f>HYPERLINK("http://www.twitter.com/GillianECarroll", "GillianECarroll")</f>
        <v>GillianECarroll</v>
      </c>
      <c r="B24723" s="65"/>
    </row>
    <row r="24724" spans="1:2" x14ac:dyDescent="0.25">
      <c r="A24724" s="64" t="str">
        <f>HYPERLINK("http://www.twitter.com/andrewnlhill", "andrewnlhill")</f>
        <v>andrewnlhill</v>
      </c>
      <c r="B24724" s="65" t="s">
        <v>10952</v>
      </c>
    </row>
    <row r="24725" spans="1:2" x14ac:dyDescent="0.25">
      <c r="A24725" s="64" t="str">
        <f>HYPERLINK("http://www.twitter.com/CarrieKirby13", "CarrieKirby13")</f>
        <v>CarrieKirby13</v>
      </c>
      <c r="B24725" s="65"/>
    </row>
    <row r="24726" spans="1:2" x14ac:dyDescent="0.25">
      <c r="A24726" s="64" t="str">
        <f>HYPERLINK("http://www.twitter.com/libtechdw", "libtechdw")</f>
        <v>libtechdw</v>
      </c>
      <c r="B24726" s="65" t="s">
        <v>6840</v>
      </c>
    </row>
    <row r="24727" spans="1:2" x14ac:dyDescent="0.25">
      <c r="A24727" s="64" t="str">
        <f>HYPERLINK("http://www.twitter.com/Hoeb4U", "Hoeb4U")</f>
        <v>Hoeb4U</v>
      </c>
      <c r="B24727" s="65" t="s">
        <v>10953</v>
      </c>
    </row>
    <row r="24728" spans="1:2" x14ac:dyDescent="0.25">
      <c r="A24728" s="64" t="str">
        <f>HYPERLINK("http://www.twitter.com/becreech", "becreech")</f>
        <v>becreech</v>
      </c>
      <c r="B24728" s="65" t="s">
        <v>10954</v>
      </c>
    </row>
    <row r="24729" spans="1:2" x14ac:dyDescent="0.25">
      <c r="A24729" s="64" t="str">
        <f>HYPERLINK("http://www.twitter.com/JohnAlmoni", "JohnAlmoni")</f>
        <v>JohnAlmoni</v>
      </c>
      <c r="B24729" s="65"/>
    </row>
    <row r="24730" spans="1:2" x14ac:dyDescent="0.25">
      <c r="A24730" s="64" t="str">
        <f>HYPERLINK("http://www.twitter.com/kirkleesdot", "kirkleesdot")</f>
        <v>kirkleesdot</v>
      </c>
      <c r="B24730" s="65" t="s">
        <v>10955</v>
      </c>
    </row>
    <row r="24731" spans="1:2" x14ac:dyDescent="0.25">
      <c r="A24731" s="64" t="str">
        <f>HYPERLINK("http://www.twitter.com/KMH_nowinVA", "KMH_nowinVA")</f>
        <v>KMH_nowinVA</v>
      </c>
      <c r="B24731" s="65" t="s">
        <v>5191</v>
      </c>
    </row>
    <row r="24732" spans="1:2" x14ac:dyDescent="0.25">
      <c r="A24732" s="64" t="str">
        <f>HYPERLINK("http://www.twitter.com/MedStorytelling", "MedStorytelling")</f>
        <v>MedStorytelling</v>
      </c>
      <c r="B24732" s="65" t="s">
        <v>10956</v>
      </c>
    </row>
    <row r="24733" spans="1:2" x14ac:dyDescent="0.25">
      <c r="A24733" s="64" t="str">
        <f>HYPERLINK("http://www.twitter.com/hannaballoo", "hannaballoo")</f>
        <v>hannaballoo</v>
      </c>
      <c r="B24733" s="65" t="s">
        <v>12</v>
      </c>
    </row>
    <row r="24734" spans="1:2" x14ac:dyDescent="0.25">
      <c r="A24734" s="64" t="str">
        <f>HYPERLINK("http://www.twitter.com/TriniLiz1983", "TriniLiz1983")</f>
        <v>TriniLiz1983</v>
      </c>
      <c r="B24734" s="65" t="s">
        <v>10957</v>
      </c>
    </row>
    <row r="24735" spans="1:2" x14ac:dyDescent="0.25">
      <c r="A24735" s="64" t="str">
        <f>HYPERLINK("http://www.twitter.com/msing2101", "msing2101")</f>
        <v>msing2101</v>
      </c>
      <c r="B24735" s="65"/>
    </row>
    <row r="24736" spans="1:2" x14ac:dyDescent="0.25">
      <c r="A24736" s="64" t="str">
        <f>HYPERLINK("http://www.twitter.com/amyzima", "amyzima")</f>
        <v>amyzima</v>
      </c>
      <c r="B24736" s="65" t="s">
        <v>477</v>
      </c>
    </row>
    <row r="24737" spans="1:2" x14ac:dyDescent="0.25">
      <c r="A24737" s="64" t="str">
        <f>HYPERLINK("http://www.twitter.com/WFitzinger", "WFitzinger")</f>
        <v>WFitzinger</v>
      </c>
      <c r="B24737" s="65" t="s">
        <v>10958</v>
      </c>
    </row>
    <row r="24738" spans="1:2" x14ac:dyDescent="0.25">
      <c r="A24738" s="64" t="str">
        <f>HYPERLINK("http://www.twitter.com/textmagasinet", "textmagasinet")</f>
        <v>textmagasinet</v>
      </c>
      <c r="B24738" s="65" t="s">
        <v>10959</v>
      </c>
    </row>
    <row r="24739" spans="1:2" x14ac:dyDescent="0.25">
      <c r="A24739" s="64" t="str">
        <f>HYPERLINK("http://www.twitter.com/ChellesW", "ChellesW")</f>
        <v>ChellesW</v>
      </c>
      <c r="B24739" s="65" t="s">
        <v>4237</v>
      </c>
    </row>
    <row r="24740" spans="1:2" x14ac:dyDescent="0.25">
      <c r="A24740" s="64" t="str">
        <f>HYPERLINK("http://www.twitter.com/Rikardinho76", "Rikardinho76")</f>
        <v>Rikardinho76</v>
      </c>
      <c r="B24740" s="65" t="s">
        <v>9047</v>
      </c>
    </row>
    <row r="24741" spans="1:2" x14ac:dyDescent="0.25">
      <c r="A24741" s="64" t="str">
        <f>HYPERLINK("http://www.twitter.com/naomic_rawford", "naomic_rawford")</f>
        <v>naomic_rawford</v>
      </c>
      <c r="B24741" s="65" t="s">
        <v>2303</v>
      </c>
    </row>
    <row r="24742" spans="1:2" x14ac:dyDescent="0.25">
      <c r="A24742" s="64" t="str">
        <f>HYPERLINK("http://www.twitter.com/johnxlarson", "johnxlarson")</f>
        <v>johnxlarson</v>
      </c>
      <c r="B24742" s="65" t="s">
        <v>10960</v>
      </c>
    </row>
    <row r="24743" spans="1:2" x14ac:dyDescent="0.25">
      <c r="A24743" s="64" t="str">
        <f>HYPERLINK("http://www.twitter.com/readinthecorner", "readinthecorner")</f>
        <v>readinthecorner</v>
      </c>
      <c r="B24743" s="65"/>
    </row>
    <row r="24744" spans="1:2" x14ac:dyDescent="0.25">
      <c r="A24744" s="64" t="str">
        <f>HYPERLINK("http://www.twitter.com/JoeyFischler", "JoeyFischler")</f>
        <v>JoeyFischler</v>
      </c>
      <c r="B24744" s="65" t="s">
        <v>10961</v>
      </c>
    </row>
    <row r="24745" spans="1:2" x14ac:dyDescent="0.25">
      <c r="A24745" s="64" t="str">
        <f>HYPERLINK("http://www.twitter.com/EileenLouden", "EileenLouden")</f>
        <v>EileenLouden</v>
      </c>
      <c r="B24745" s="65" t="s">
        <v>4147</v>
      </c>
    </row>
    <row r="24746" spans="1:2" x14ac:dyDescent="0.25">
      <c r="A24746" s="64" t="str">
        <f>HYPERLINK("http://www.twitter.com/hula78", "hula78")</f>
        <v>hula78</v>
      </c>
      <c r="B24746" s="65" t="s">
        <v>10962</v>
      </c>
    </row>
    <row r="24747" spans="1:2" x14ac:dyDescent="0.25">
      <c r="A24747" s="64" t="str">
        <f>HYPERLINK("http://www.twitter.com/ruth4truth", "ruth4truth")</f>
        <v>ruth4truth</v>
      </c>
      <c r="B24747" s="65" t="s">
        <v>10963</v>
      </c>
    </row>
    <row r="24748" spans="1:2" x14ac:dyDescent="0.25">
      <c r="A24748" s="64" t="str">
        <f>HYPERLINK("http://www.twitter.com/kirrin", "kirrin")</f>
        <v>kirrin</v>
      </c>
      <c r="B24748" s="65" t="s">
        <v>2602</v>
      </c>
    </row>
    <row r="24749" spans="1:2" x14ac:dyDescent="0.25">
      <c r="A24749" s="64" t="str">
        <f>HYPERLINK("http://www.twitter.com/victopus", "victopus")</f>
        <v>victopus</v>
      </c>
      <c r="B24749" s="65"/>
    </row>
    <row r="24750" spans="1:2" x14ac:dyDescent="0.25">
      <c r="A24750" s="64" t="str">
        <f>HYPERLINK("http://www.twitter.com/sammie", "sammie")</f>
        <v>sammie</v>
      </c>
      <c r="B24750" s="65" t="s">
        <v>10964</v>
      </c>
    </row>
    <row r="24751" spans="1:2" x14ac:dyDescent="0.25">
      <c r="A24751" s="64" t="str">
        <f>HYPERLINK("http://www.twitter.com/SuzieDayDavies", "SuzieDayDavies")</f>
        <v>SuzieDayDavies</v>
      </c>
      <c r="B24751" s="65" t="s">
        <v>10965</v>
      </c>
    </row>
    <row r="24752" spans="1:2" x14ac:dyDescent="0.25">
      <c r="A24752" s="64" t="str">
        <f>HYPERLINK("http://www.twitter.com/OliveOil83", "OliveOil83")</f>
        <v>OliveOil83</v>
      </c>
      <c r="B24752" s="65"/>
    </row>
    <row r="24753" spans="1:2" x14ac:dyDescent="0.25">
      <c r="A24753" s="64" t="str">
        <f>HYPERLINK("http://www.twitter.com/gemmanewby", "gemmanewby")</f>
        <v>gemmanewby</v>
      </c>
      <c r="B24753" s="65" t="s">
        <v>36</v>
      </c>
    </row>
    <row r="24754" spans="1:2" x14ac:dyDescent="0.25">
      <c r="A24754" s="64" t="str">
        <f>HYPERLINK("http://www.twitter.com/rosaellen", "rosaellen")</f>
        <v>rosaellen</v>
      </c>
      <c r="B24754" s="65" t="s">
        <v>10966</v>
      </c>
    </row>
    <row r="24755" spans="1:2" x14ac:dyDescent="0.25">
      <c r="A24755" s="64" t="str">
        <f>HYPERLINK("http://www.twitter.com/itsnottuesday", "itsnottuesday")</f>
        <v>itsnottuesday</v>
      </c>
      <c r="B24755" s="65"/>
    </row>
    <row r="24756" spans="1:2" x14ac:dyDescent="0.25">
      <c r="A24756" s="64" t="str">
        <f>HYPERLINK("http://www.twitter.com/dickinson781", "dickinson781")</f>
        <v>dickinson781</v>
      </c>
      <c r="B24756" s="65" t="s">
        <v>10624</v>
      </c>
    </row>
    <row r="24757" spans="1:2" x14ac:dyDescent="0.25">
      <c r="A24757" s="64" t="str">
        <f>HYPERLINK("http://www.twitter.com/cal_lindsay1", "cal_lindsay1")</f>
        <v>cal_lindsay1</v>
      </c>
      <c r="B24757" s="65"/>
    </row>
    <row r="24758" spans="1:2" x14ac:dyDescent="0.25">
      <c r="A24758" s="64" t="str">
        <f>HYPERLINK("http://www.twitter.com/KelOnWheelsVA", "KelOnWheelsVA")</f>
        <v>KelOnWheelsVA</v>
      </c>
      <c r="B24758" s="65"/>
    </row>
    <row r="24759" spans="1:2" x14ac:dyDescent="0.25">
      <c r="A24759" s="64" t="str">
        <f>HYPERLINK("http://www.twitter.com/KatyRose18", "KatyRose18")</f>
        <v>KatyRose18</v>
      </c>
      <c r="B24759" s="65" t="s">
        <v>24</v>
      </c>
    </row>
    <row r="24760" spans="1:2" x14ac:dyDescent="0.25">
      <c r="A24760" s="64" t="str">
        <f>HYPERLINK("http://www.twitter.com/DanHalford", "DanHalford")</f>
        <v>DanHalford</v>
      </c>
      <c r="B24760" s="65" t="s">
        <v>1479</v>
      </c>
    </row>
    <row r="24761" spans="1:2" x14ac:dyDescent="0.25">
      <c r="A24761" s="64" t="str">
        <f>HYPERLINK("http://www.twitter.com/Miracamou", "Miracamou")</f>
        <v>Miracamou</v>
      </c>
      <c r="B24761" s="65" t="s">
        <v>517</v>
      </c>
    </row>
    <row r="24762" spans="1:2" x14ac:dyDescent="0.25">
      <c r="A24762" s="64" t="str">
        <f>HYPERLINK("http://www.twitter.com/kbalmer", "kbalmer")</f>
        <v>kbalmer</v>
      </c>
      <c r="B24762" s="65" t="s">
        <v>6972</v>
      </c>
    </row>
    <row r="24763" spans="1:2" x14ac:dyDescent="0.25">
      <c r="A24763" s="64" t="str">
        <f>HYPERLINK("http://www.twitter.com/escott863", "escott863")</f>
        <v>escott863</v>
      </c>
      <c r="B24763" s="65"/>
    </row>
    <row r="24764" spans="1:2" x14ac:dyDescent="0.25">
      <c r="A24764" s="64" t="str">
        <f>HYPERLINK("http://www.twitter.com/Rachael_M1", "Rachael_M1")</f>
        <v>Rachael_M1</v>
      </c>
      <c r="B24764" s="65" t="s">
        <v>520</v>
      </c>
    </row>
    <row r="24765" spans="1:2" x14ac:dyDescent="0.25">
      <c r="A24765" s="64" t="str">
        <f>HYPERLINK("http://www.twitter.com/miriamkate", "miriamkate")</f>
        <v>miriamkate</v>
      </c>
      <c r="B24765" s="65" t="s">
        <v>36</v>
      </c>
    </row>
    <row r="24766" spans="1:2" x14ac:dyDescent="0.25">
      <c r="A24766" s="64" t="str">
        <f>HYPERLINK("http://www.twitter.com/rhythmstiks", "rhythmstiks")</f>
        <v>rhythmstiks</v>
      </c>
      <c r="B24766" s="65" t="s">
        <v>10967</v>
      </c>
    </row>
    <row r="24767" spans="1:2" x14ac:dyDescent="0.25">
      <c r="A24767" s="64" t="str">
        <f>HYPERLINK("http://www.twitter.com/pammydun", "pammydun")</f>
        <v>pammydun</v>
      </c>
      <c r="B24767" s="65" t="s">
        <v>10968</v>
      </c>
    </row>
    <row r="24768" spans="1:2" x14ac:dyDescent="0.25">
      <c r="A24768" s="64" t="str">
        <f>HYPERLINK("http://www.twitter.com/JaneioW", "JaneioW")</f>
        <v>JaneioW</v>
      </c>
      <c r="B24768" s="65" t="s">
        <v>4254</v>
      </c>
    </row>
    <row r="24769" spans="1:2" x14ac:dyDescent="0.25">
      <c r="A24769" s="64" t="str">
        <f>HYPERLINK("http://www.twitter.com/fjshslibrary", "fjshslibrary")</f>
        <v>fjshslibrary</v>
      </c>
      <c r="B24769" s="65" t="s">
        <v>10969</v>
      </c>
    </row>
    <row r="24770" spans="1:2" x14ac:dyDescent="0.25">
      <c r="A24770" s="64" t="str">
        <f>HYPERLINK("http://www.twitter.com/BGSLibrarian", "BGSLibrarian")</f>
        <v>BGSLibrarian</v>
      </c>
      <c r="B24770" s="65" t="s">
        <v>1873</v>
      </c>
    </row>
    <row r="24771" spans="1:2" x14ac:dyDescent="0.25">
      <c r="A24771" s="64" t="str">
        <f>HYPERLINK("http://www.twitter.com/LindaGth", "LindaGth")</f>
        <v>LindaGth</v>
      </c>
      <c r="B24771" s="65" t="s">
        <v>10970</v>
      </c>
    </row>
    <row r="24772" spans="1:2" x14ac:dyDescent="0.25">
      <c r="A24772" s="64" t="str">
        <f>HYPERLINK("http://www.twitter.com/Solo_Mo", "Solo_Mo")</f>
        <v>Solo_Mo</v>
      </c>
      <c r="B24772" s="65" t="s">
        <v>6234</v>
      </c>
    </row>
    <row r="24773" spans="1:2" x14ac:dyDescent="0.25">
      <c r="A24773" s="64" t="str">
        <f>HYPERLINK("http://www.twitter.com/RayGroundwater", "RayGroundwater")</f>
        <v>RayGroundwater</v>
      </c>
      <c r="B24773" s="65" t="s">
        <v>20</v>
      </c>
    </row>
    <row r="24774" spans="1:2" x14ac:dyDescent="0.25">
      <c r="A24774" s="64" t="str">
        <f>HYPERLINK("http://www.twitter.com/leodhasach", "leodhasach")</f>
        <v>leodhasach</v>
      </c>
      <c r="B24774" s="65" t="s">
        <v>10971</v>
      </c>
    </row>
    <row r="24775" spans="1:2" x14ac:dyDescent="0.25">
      <c r="A24775" s="64" t="str">
        <f>HYPERLINK("http://www.twitter.com/lizhobman", "lizhobman")</f>
        <v>lizhobman</v>
      </c>
      <c r="B24775" s="65" t="s">
        <v>3988</v>
      </c>
    </row>
    <row r="24776" spans="1:2" x14ac:dyDescent="0.25">
      <c r="A24776" s="64" t="str">
        <f>HYPERLINK("http://www.twitter.com/MikeLaing3", "MikeLaing3")</f>
        <v>MikeLaing3</v>
      </c>
      <c r="B24776" s="65"/>
    </row>
    <row r="24777" spans="1:2" x14ac:dyDescent="0.25">
      <c r="A24777" s="64" t="str">
        <f>HYPERLINK("http://www.twitter.com/DAFYoung", "DAFYoung")</f>
        <v>DAFYoung</v>
      </c>
      <c r="B24777" s="65" t="s">
        <v>10972</v>
      </c>
    </row>
    <row r="24778" spans="1:2" x14ac:dyDescent="0.25">
      <c r="A24778" s="64" t="str">
        <f>HYPERLINK("http://www.twitter.com/LindsayPindsay", "LindsayPindsay")</f>
        <v>LindsayPindsay</v>
      </c>
      <c r="B24778" s="65" t="s">
        <v>3976</v>
      </c>
    </row>
    <row r="24779" spans="1:2" x14ac:dyDescent="0.25">
      <c r="A24779" s="64" t="str">
        <f>HYPERLINK("http://www.twitter.com/jonasherriot", "jonasherriot")</f>
        <v>jonasherriot</v>
      </c>
      <c r="B24779" s="65" t="s">
        <v>624</v>
      </c>
    </row>
    <row r="24780" spans="1:2" x14ac:dyDescent="0.25">
      <c r="A24780" s="64" t="str">
        <f>HYPERLINK("http://www.twitter.com/granmabruce", "granmabruce")</f>
        <v>granmabruce</v>
      </c>
      <c r="B24780" s="65"/>
    </row>
    <row r="24781" spans="1:2" x14ac:dyDescent="0.25">
      <c r="A24781" s="64" t="str">
        <f>HYPERLINK("http://www.twitter.com/noxchisoul", "noxchisoul")</f>
        <v>noxchisoul</v>
      </c>
      <c r="B24781" s="65" t="s">
        <v>487</v>
      </c>
    </row>
    <row r="24782" spans="1:2" x14ac:dyDescent="0.25">
      <c r="A24782" s="64" t="str">
        <f>HYPERLINK("http://www.twitter.com/TolsonHalf_Pig", "TolsonHalf_Pig")</f>
        <v>TolsonHalf_Pig</v>
      </c>
      <c r="B24782" s="65" t="s">
        <v>10973</v>
      </c>
    </row>
    <row r="24783" spans="1:2" x14ac:dyDescent="0.25">
      <c r="A24783" s="64" t="str">
        <f>HYPERLINK("http://www.twitter.com/sherryngick", "sherryngick")</f>
        <v>sherryngick</v>
      </c>
      <c r="B24783" s="65" t="s">
        <v>10872</v>
      </c>
    </row>
    <row r="24784" spans="1:2" x14ac:dyDescent="0.25">
      <c r="A24784" s="64" t="str">
        <f>HYPERLINK("http://www.twitter.com/SusieSpeechie", "SusieSpeechie")</f>
        <v>SusieSpeechie</v>
      </c>
      <c r="B24784" s="65" t="s">
        <v>138</v>
      </c>
    </row>
    <row r="24785" spans="1:2" x14ac:dyDescent="0.25">
      <c r="A24785" s="64" t="str">
        <f>HYPERLINK("http://www.twitter.com/TonyJWHill", "TonyJWHill")</f>
        <v>TonyJWHill</v>
      </c>
      <c r="B24785" s="65" t="s">
        <v>4085</v>
      </c>
    </row>
    <row r="24786" spans="1:2" x14ac:dyDescent="0.25">
      <c r="A24786" s="64" t="str">
        <f>HYPERLINK("http://www.twitter.com/YorksAesthetics", "YorksAesthetics")</f>
        <v>YorksAesthetics</v>
      </c>
      <c r="B24786" s="65" t="s">
        <v>10974</v>
      </c>
    </row>
    <row r="24787" spans="1:2" x14ac:dyDescent="0.25">
      <c r="A24787" s="64" t="str">
        <f>HYPERLINK("http://www.twitter.com/david_rochford", "david_rochford")</f>
        <v>david_rochford</v>
      </c>
      <c r="B24787" s="65" t="s">
        <v>4254</v>
      </c>
    </row>
    <row r="24788" spans="1:2" x14ac:dyDescent="0.25">
      <c r="A24788" s="64" t="str">
        <f>HYPERLINK("http://www.twitter.com/TripleThreatLib", "TripleThreatLib")</f>
        <v>TripleThreatLib</v>
      </c>
      <c r="B24788" s="65" t="s">
        <v>3779</v>
      </c>
    </row>
    <row r="24789" spans="1:2" x14ac:dyDescent="0.25">
      <c r="A24789" s="64" t="str">
        <f>HYPERLINK("http://www.twitter.com/WaterlooLib", "WaterlooLib")</f>
        <v>WaterlooLib</v>
      </c>
      <c r="B24789" s="65" t="s">
        <v>1408</v>
      </c>
    </row>
    <row r="24790" spans="1:2" x14ac:dyDescent="0.25">
      <c r="A24790" s="64" t="str">
        <f>HYPERLINK("http://www.twitter.com/sophiegraetz", "sophiegraetz")</f>
        <v>sophiegraetz</v>
      </c>
      <c r="B24790" s="65" t="s">
        <v>10975</v>
      </c>
    </row>
    <row r="24791" spans="1:2" x14ac:dyDescent="0.25">
      <c r="A24791" s="64" t="str">
        <f>HYPERLINK("http://www.twitter.com/MrsBalfy", "MrsBalfy")</f>
        <v>MrsBalfy</v>
      </c>
      <c r="B24791" s="65" t="s">
        <v>10976</v>
      </c>
    </row>
    <row r="24792" spans="1:2" x14ac:dyDescent="0.25">
      <c r="A24792" s="64" t="str">
        <f>HYPERLINK("http://www.twitter.com/illustrationetc", "illustrationetc")</f>
        <v>illustrationetc</v>
      </c>
      <c r="B24792" s="65" t="s">
        <v>138</v>
      </c>
    </row>
    <row r="24793" spans="1:2" x14ac:dyDescent="0.25">
      <c r="A24793" s="64" t="str">
        <f>HYPERLINK("http://www.twitter.com/ChrisAdamLong", "ChrisAdamLong")</f>
        <v>ChrisAdamLong</v>
      </c>
      <c r="B24793" s="65" t="s">
        <v>138</v>
      </c>
    </row>
    <row r="24794" spans="1:2" x14ac:dyDescent="0.25">
      <c r="A24794" s="64" t="str">
        <f>HYPERLINK("http://www.twitter.com/hbailie", "hbailie")</f>
        <v>hbailie</v>
      </c>
      <c r="B24794" s="65" t="s">
        <v>4147</v>
      </c>
    </row>
    <row r="24795" spans="1:2" x14ac:dyDescent="0.25">
      <c r="A24795" s="64" t="str">
        <f>HYPERLINK("http://www.twitter.com/clicker72", "clicker72")</f>
        <v>clicker72</v>
      </c>
      <c r="B24795" s="65"/>
    </row>
    <row r="24796" spans="1:2" x14ac:dyDescent="0.25">
      <c r="A24796" s="64" t="str">
        <f>HYPERLINK("http://www.twitter.com/belreich", "belreich")</f>
        <v>belreich</v>
      </c>
      <c r="B24796" s="65" t="s">
        <v>5110</v>
      </c>
    </row>
    <row r="24797" spans="1:2" x14ac:dyDescent="0.25">
      <c r="A24797" s="64" t="str">
        <f>HYPERLINK("http://www.twitter.com/monicaskuebler", "monicaskuebler")</f>
        <v>monicaskuebler</v>
      </c>
      <c r="B24797" s="65" t="s">
        <v>4681</v>
      </c>
    </row>
    <row r="24798" spans="1:2" x14ac:dyDescent="0.25">
      <c r="A24798" s="64" t="str">
        <f>HYPERLINK("http://www.twitter.com/rachelmcewen", "rachelmcewen")</f>
        <v>rachelmcewen</v>
      </c>
      <c r="B24798" s="65"/>
    </row>
    <row r="24799" spans="1:2" x14ac:dyDescent="0.25">
      <c r="A24799" s="64" t="str">
        <f>HYPERLINK("http://www.twitter.com/vikihudds", "vikihudds")</f>
        <v>vikihudds</v>
      </c>
      <c r="B24799" s="65" t="s">
        <v>2369</v>
      </c>
    </row>
    <row r="24800" spans="1:2" x14ac:dyDescent="0.25">
      <c r="A24800" s="64" t="str">
        <f>HYPERLINK("http://www.twitter.com/Jujoos", "Jujoos")</f>
        <v>Jujoos</v>
      </c>
      <c r="B24800" s="65" t="s">
        <v>4040</v>
      </c>
    </row>
    <row r="24801" spans="1:2" x14ac:dyDescent="0.25">
      <c r="A24801" s="64" t="str">
        <f>HYPERLINK("http://www.twitter.com/aymeq", "aymeq")</f>
        <v>aymeq</v>
      </c>
      <c r="B24801" s="65" t="s">
        <v>4254</v>
      </c>
    </row>
    <row r="24802" spans="1:2" x14ac:dyDescent="0.25">
      <c r="A24802" s="64" t="str">
        <f>HYPERLINK("http://www.twitter.com/garrybanjo", "garrybanjo")</f>
        <v>garrybanjo</v>
      </c>
      <c r="B24802" s="65" t="s">
        <v>4325</v>
      </c>
    </row>
    <row r="24803" spans="1:2" x14ac:dyDescent="0.25">
      <c r="A24803" s="64" t="str">
        <f>HYPERLINK("http://www.twitter.com/nickibeebee", "nickibeebee")</f>
        <v>nickibeebee</v>
      </c>
      <c r="B24803" s="65" t="s">
        <v>10977</v>
      </c>
    </row>
    <row r="24804" spans="1:2" x14ac:dyDescent="0.25">
      <c r="A24804" s="64" t="str">
        <f>HYPERLINK("http://www.twitter.com/ClaireNoble4", "ClaireNoble4")</f>
        <v>ClaireNoble4</v>
      </c>
      <c r="B24804" s="65" t="s">
        <v>3919</v>
      </c>
    </row>
    <row r="24805" spans="1:2" x14ac:dyDescent="0.25">
      <c r="A24805" s="64" t="str">
        <f>HYPERLINK("http://www.twitter.com/KatharineDS", "KatharineDS")</f>
        <v>KatharineDS</v>
      </c>
      <c r="B24805" s="65" t="s">
        <v>310</v>
      </c>
    </row>
    <row r="24806" spans="1:2" x14ac:dyDescent="0.25">
      <c r="A24806" s="64" t="str">
        <f>HYPERLINK("http://www.twitter.com/cvatkinson", "cvatkinson")</f>
        <v>cvatkinson</v>
      </c>
      <c r="B24806" s="65"/>
    </row>
    <row r="24807" spans="1:2" x14ac:dyDescent="0.25">
      <c r="A24807" s="64" t="str">
        <f>HYPERLINK("http://www.twitter.com/BurntCreamBlog", "BurntCreamBlog")</f>
        <v>BurntCreamBlog</v>
      </c>
      <c r="B24807" s="65"/>
    </row>
    <row r="24808" spans="1:2" x14ac:dyDescent="0.25">
      <c r="A24808" s="64" t="str">
        <f>HYPERLINK("http://www.twitter.com/LastWordSuppers", "LastWordSuppers")</f>
        <v>LastWordSuppers</v>
      </c>
      <c r="B24808" s="65" t="s">
        <v>10978</v>
      </c>
    </row>
    <row r="24809" spans="1:2" x14ac:dyDescent="0.25">
      <c r="A24809" s="64" t="str">
        <f>HYPERLINK("http://www.twitter.com/jennifer_alissa", "jennifer_alissa")</f>
        <v>jennifer_alissa</v>
      </c>
      <c r="B24809" s="65" t="s">
        <v>477</v>
      </c>
    </row>
    <row r="24810" spans="1:2" x14ac:dyDescent="0.25">
      <c r="A24810" s="64" t="str">
        <f>HYPERLINK("http://www.twitter.com/stewcarswell", "stewcarswell")</f>
        <v>stewcarswell</v>
      </c>
      <c r="B24810" s="65" t="s">
        <v>788</v>
      </c>
    </row>
    <row r="24811" spans="1:2" x14ac:dyDescent="0.25">
      <c r="A24811" s="64" t="str">
        <f>HYPERLINK("http://www.twitter.com/VonJulmust", "VonJulmust")</f>
        <v>VonJulmust</v>
      </c>
      <c r="B24811" s="65" t="s">
        <v>757</v>
      </c>
    </row>
    <row r="24812" spans="1:2" x14ac:dyDescent="0.25">
      <c r="A24812" s="64" t="str">
        <f>HYPERLINK("http://www.twitter.com/ScotWildlife", "ScotWildlife")</f>
        <v>ScotWildlife</v>
      </c>
      <c r="B24812" s="65" t="s">
        <v>10979</v>
      </c>
    </row>
    <row r="24813" spans="1:2" x14ac:dyDescent="0.25">
      <c r="A24813" s="64" t="str">
        <f>HYPERLINK("http://www.twitter.com/gribgrabgru", "gribgrabgru")</f>
        <v>gribgrabgru</v>
      </c>
      <c r="B24813" s="65" t="s">
        <v>110</v>
      </c>
    </row>
    <row r="24814" spans="1:2" x14ac:dyDescent="0.25">
      <c r="A24814" s="64" t="str">
        <f>HYPERLINK("http://www.twitter.com/gracerosemcneil", "gracerosemcneil")</f>
        <v>gracerosemcneil</v>
      </c>
      <c r="B24814" s="65" t="s">
        <v>630</v>
      </c>
    </row>
    <row r="24815" spans="1:2" x14ac:dyDescent="0.25">
      <c r="A24815" s="64" t="str">
        <f>HYPERLINK("http://www.twitter.com/morganandpink", "morganandpink")</f>
        <v>morganandpink</v>
      </c>
      <c r="B24815" s="65" t="s">
        <v>12</v>
      </c>
    </row>
    <row r="24816" spans="1:2" x14ac:dyDescent="0.25">
      <c r="A24816" s="64" t="str">
        <f>HYPERLINK("http://www.twitter.com/RebekahHarriman", "RebekahHarriman")</f>
        <v>RebekahHarriman</v>
      </c>
      <c r="B24816" s="65" t="s">
        <v>2185</v>
      </c>
    </row>
    <row r="24817" spans="1:2" x14ac:dyDescent="0.25">
      <c r="A24817" s="64" t="str">
        <f>HYPERLINK("http://www.twitter.com/a_p_tottle", "a_p_tottle")</f>
        <v>a_p_tottle</v>
      </c>
      <c r="B24817" s="65"/>
    </row>
    <row r="24818" spans="1:2" x14ac:dyDescent="0.25">
      <c r="A24818" s="64" t="str">
        <f>HYPERLINK("http://www.twitter.com/cjleoc", "cjleoc")</f>
        <v>cjleoc</v>
      </c>
      <c r="B24818" s="65" t="s">
        <v>4062</v>
      </c>
    </row>
    <row r="24819" spans="1:2" x14ac:dyDescent="0.25">
      <c r="A24819" s="64" t="str">
        <f>HYPERLINK("http://www.twitter.com/konstantkaos", "konstantkaos")</f>
        <v>konstantkaos</v>
      </c>
      <c r="B24819" s="65" t="s">
        <v>3978</v>
      </c>
    </row>
    <row r="24820" spans="1:2" x14ac:dyDescent="0.25">
      <c r="A24820" s="64" t="str">
        <f>HYPERLINK("http://www.twitter.com/KateAGriffin", "KateAGriffin")</f>
        <v>KateAGriffin</v>
      </c>
      <c r="B24820" s="65"/>
    </row>
    <row r="24821" spans="1:2" x14ac:dyDescent="0.25">
      <c r="A24821" s="64" t="str">
        <f>HYPERLINK("http://www.twitter.com/SusRoddick", "SusRoddick")</f>
        <v>SusRoddick</v>
      </c>
      <c r="B24821" s="65" t="s">
        <v>10980</v>
      </c>
    </row>
    <row r="24822" spans="1:2" x14ac:dyDescent="0.25">
      <c r="A24822" s="64" t="str">
        <f>HYPERLINK("http://www.twitter.com/MillarSally", "MillarSally")</f>
        <v>MillarSally</v>
      </c>
      <c r="B24822" s="65"/>
    </row>
    <row r="24823" spans="1:2" x14ac:dyDescent="0.25">
      <c r="A24823" s="64" t="str">
        <f>HYPERLINK("http://www.twitter.com/HietikkoMarjo", "HietikkoMarjo")</f>
        <v>HietikkoMarjo</v>
      </c>
      <c r="B24823" s="65"/>
    </row>
    <row r="24824" spans="1:2" x14ac:dyDescent="0.25">
      <c r="A24824" s="64" t="str">
        <f>HYPERLINK("http://www.twitter.com/vambo", "vambo")</f>
        <v>vambo</v>
      </c>
      <c r="B24824" s="65" t="s">
        <v>808</v>
      </c>
    </row>
    <row r="24825" spans="1:2" x14ac:dyDescent="0.25">
      <c r="A24825" s="64" t="str">
        <f>HYPERLINK("http://www.twitter.com/MarkBillingham", "MarkBillingham")</f>
        <v>MarkBillingham</v>
      </c>
      <c r="B24825" s="65" t="s">
        <v>36</v>
      </c>
    </row>
    <row r="24826" spans="1:2" x14ac:dyDescent="0.25">
      <c r="A24826" s="64" t="str">
        <f>HYPERLINK("http://www.twitter.com/agudle", "agudle")</f>
        <v>agudle</v>
      </c>
      <c r="B24826" s="65" t="s">
        <v>526</v>
      </c>
    </row>
    <row r="24827" spans="1:2" x14ac:dyDescent="0.25">
      <c r="A24827" s="64" t="str">
        <f>HYPERLINK("http://www.twitter.com/miss_e_prince", "miss_e_prince")</f>
        <v>miss_e_prince</v>
      </c>
      <c r="B24827" s="65"/>
    </row>
    <row r="24828" spans="1:2" x14ac:dyDescent="0.25">
      <c r="A24828" s="64" t="str">
        <f>HYPERLINK("http://www.twitter.com/callumwaddell", "callumwaddell")</f>
        <v>callumwaddell</v>
      </c>
      <c r="B24828" s="65" t="s">
        <v>8524</v>
      </c>
    </row>
    <row r="24829" spans="1:2" x14ac:dyDescent="0.25">
      <c r="A24829" s="64" t="str">
        <f>HYPERLINK("http://www.twitter.com/sally_felton", "sally_felton")</f>
        <v>sally_felton</v>
      </c>
      <c r="B24829" s="65" t="s">
        <v>296</v>
      </c>
    </row>
    <row r="24830" spans="1:2" x14ac:dyDescent="0.25">
      <c r="A24830" s="64" t="str">
        <f>HYPERLINK("http://www.twitter.com/ReadingCollLib", "ReadingCollLib")</f>
        <v>ReadingCollLib</v>
      </c>
      <c r="B24830" s="65" t="s">
        <v>7273</v>
      </c>
    </row>
    <row r="24831" spans="1:2" x14ac:dyDescent="0.25">
      <c r="A24831" s="64" t="str">
        <f>HYPERLINK("http://www.twitter.com/FriendsofLakes", "FriendsofLakes")</f>
        <v>FriendsofLakes</v>
      </c>
      <c r="B24831" s="65" t="s">
        <v>7860</v>
      </c>
    </row>
    <row r="24832" spans="1:2" x14ac:dyDescent="0.25">
      <c r="A24832" s="64" t="str">
        <f>HYPERLINK("http://www.twitter.com/MoragHughson", "MoragHughson")</f>
        <v>MoragHughson</v>
      </c>
      <c r="B24832" s="65"/>
    </row>
    <row r="24833" spans="1:2" x14ac:dyDescent="0.25">
      <c r="A24833" s="64" t="str">
        <f>HYPERLINK("http://www.twitter.com/houssalastair", "houssalastair")</f>
        <v>houssalastair</v>
      </c>
      <c r="B24833" s="65"/>
    </row>
    <row r="24834" spans="1:2" x14ac:dyDescent="0.25">
      <c r="A24834" s="64" t="str">
        <f>HYPERLINK("http://www.twitter.com/psmith", "psmith")</f>
        <v>psmith</v>
      </c>
      <c r="B24834" s="65" t="s">
        <v>10981</v>
      </c>
    </row>
    <row r="24835" spans="1:2" x14ac:dyDescent="0.25">
      <c r="A24835" s="64" t="str">
        <f>HYPERLINK("http://www.twitter.com/Fionamiller1", "Fionamiller1")</f>
        <v>Fionamiller1</v>
      </c>
      <c r="B24835" s="65"/>
    </row>
    <row r="24836" spans="1:2" x14ac:dyDescent="0.25">
      <c r="A24836" s="64" t="str">
        <f>HYPERLINK("http://www.twitter.com/dopiaza", "dopiaza")</f>
        <v>dopiaza</v>
      </c>
      <c r="B24836" s="65" t="s">
        <v>702</v>
      </c>
    </row>
    <row r="24837" spans="1:2" x14ac:dyDescent="0.25">
      <c r="A24837" s="64" t="str">
        <f>HYPERLINK("http://www.twitter.com/helenrothnie", "helenrothnie")</f>
        <v>helenrothnie</v>
      </c>
      <c r="B24837" s="65"/>
    </row>
    <row r="24838" spans="1:2" x14ac:dyDescent="0.25">
      <c r="A24838" s="64" t="str">
        <f>HYPERLINK("http://www.twitter.com/Hello_Beth", "Hello_Beth")</f>
        <v>Hello_Beth</v>
      </c>
      <c r="B24838" s="65" t="s">
        <v>926</v>
      </c>
    </row>
    <row r="24839" spans="1:2" x14ac:dyDescent="0.25">
      <c r="A24839" s="64" t="str">
        <f>HYPERLINK("http://www.twitter.com/MrsLJWhitehead", "MrsLJWhitehead")</f>
        <v>MrsLJWhitehead</v>
      </c>
      <c r="B24839" s="65" t="s">
        <v>459</v>
      </c>
    </row>
    <row r="24840" spans="1:2" x14ac:dyDescent="0.25">
      <c r="A24840" s="64" t="str">
        <f>HYPERLINK("http://www.twitter.com/msllloyd", "msllloyd")</f>
        <v>msllloyd</v>
      </c>
      <c r="B24840" s="65" t="s">
        <v>36</v>
      </c>
    </row>
    <row r="24841" spans="1:2" x14ac:dyDescent="0.25">
      <c r="A24841" s="64" t="str">
        <f>HYPERLINK("http://www.twitter.com/Chris_Lib", "Chris_Lib")</f>
        <v>Chris_Lib</v>
      </c>
      <c r="B24841" s="65"/>
    </row>
    <row r="24842" spans="1:2" x14ac:dyDescent="0.25">
      <c r="A24842" s="64" t="str">
        <f>HYPERLINK("http://www.twitter.com/Scottrpub", "Scottrpub")</f>
        <v>Scottrpub</v>
      </c>
      <c r="B24842" s="65" t="s">
        <v>517</v>
      </c>
    </row>
    <row r="24843" spans="1:2" x14ac:dyDescent="0.25">
      <c r="A24843" s="64" t="str">
        <f>HYPERLINK("http://www.twitter.com/satchelguru", "satchelguru")</f>
        <v>satchelguru</v>
      </c>
      <c r="B24843" s="65" t="s">
        <v>517</v>
      </c>
    </row>
    <row r="24844" spans="1:2" x14ac:dyDescent="0.25">
      <c r="A24844" s="64" t="str">
        <f>HYPERLINK("http://www.twitter.com/amyaag", "amyaag")</f>
        <v>amyaag</v>
      </c>
      <c r="B24844" s="65"/>
    </row>
    <row r="24845" spans="1:2" x14ac:dyDescent="0.25">
      <c r="A24845" s="64" t="str">
        <f>HYPERLINK("http://www.twitter.com/SianKennedyxx", "SianKennedyxx")</f>
        <v>SianKennedyxx</v>
      </c>
      <c r="B24845" s="65"/>
    </row>
    <row r="24846" spans="1:2" x14ac:dyDescent="0.25">
      <c r="A24846" s="64" t="str">
        <f>HYPERLINK("http://www.twitter.com/Ali_M_Campbell", "Ali_M_Campbell")</f>
        <v>Ali_M_Campbell</v>
      </c>
      <c r="B24846" s="65"/>
    </row>
    <row r="24847" spans="1:2" x14ac:dyDescent="0.25">
      <c r="A24847" s="64" t="str">
        <f>HYPERLINK("http://www.twitter.com/LuiseValentiner", "LuiseValentiner")</f>
        <v>LuiseValentiner</v>
      </c>
      <c r="B24847" s="65"/>
    </row>
    <row r="24848" spans="1:2" x14ac:dyDescent="0.25">
      <c r="A24848" s="64" t="str">
        <f>HYPERLINK("http://www.twitter.com/JessHopeish", "JessHopeish")</f>
        <v>JessHopeish</v>
      </c>
      <c r="B24848" s="65" t="s">
        <v>10982</v>
      </c>
    </row>
    <row r="24849" spans="1:2" x14ac:dyDescent="0.25">
      <c r="A24849" s="64" t="str">
        <f>HYPERLINK("http://www.twitter.com/HRMediatheek", "HRMediatheek")</f>
        <v>HRMediatheek</v>
      </c>
      <c r="B24849" s="65" t="s">
        <v>3933</v>
      </c>
    </row>
    <row r="24850" spans="1:2" x14ac:dyDescent="0.25">
      <c r="A24850" s="64" t="str">
        <f>HYPERLINK("http://www.twitter.com/captainpotatoes", "captainpotatoes")</f>
        <v>captainpotatoes</v>
      </c>
      <c r="B24850" s="65"/>
    </row>
    <row r="24851" spans="1:2" x14ac:dyDescent="0.25">
      <c r="A24851" s="64" t="str">
        <f>HYPERLINK("http://www.twitter.com/watkin_liz", "watkin_liz")</f>
        <v>watkin_liz</v>
      </c>
      <c r="B24851" s="65"/>
    </row>
    <row r="24852" spans="1:2" x14ac:dyDescent="0.25">
      <c r="A24852" s="64" t="str">
        <f>HYPERLINK("http://www.twitter.com/_franklyd", "_franklyd")</f>
        <v>_franklyd</v>
      </c>
      <c r="B24852" s="65" t="s">
        <v>1479</v>
      </c>
    </row>
    <row r="24853" spans="1:2" x14ac:dyDescent="0.25">
      <c r="A24853" s="64" t="str">
        <f>HYPERLINK("http://www.twitter.com/infogenium", "infogenium")</f>
        <v>infogenium</v>
      </c>
      <c r="B24853" s="65"/>
    </row>
    <row r="24854" spans="1:2" x14ac:dyDescent="0.25">
      <c r="A24854" s="64" t="str">
        <f>HYPERLINK("http://www.twitter.com/shelleywriter", "shelleywriter")</f>
        <v>shelleywriter</v>
      </c>
      <c r="B24854" s="65" t="s">
        <v>10983</v>
      </c>
    </row>
    <row r="24855" spans="1:2" x14ac:dyDescent="0.25">
      <c r="A24855" s="64" t="str">
        <f>HYPERLINK("http://www.twitter.com/Andy_Russell86", "Andy_Russell86")</f>
        <v>Andy_Russell86</v>
      </c>
      <c r="B24855" s="65"/>
    </row>
    <row r="24856" spans="1:2" x14ac:dyDescent="0.25">
      <c r="A24856" s="64" t="str">
        <f>HYPERLINK("http://www.twitter.com/tbh_lee", "tbh_lee")</f>
        <v>tbh_lee</v>
      </c>
      <c r="B24856" s="65"/>
    </row>
    <row r="24857" spans="1:2" x14ac:dyDescent="0.25">
      <c r="A24857" s="64" t="str">
        <f>HYPERLINK("http://www.twitter.com/angelabartie", "angelabartie")</f>
        <v>angelabartie</v>
      </c>
      <c r="B24857" s="65" t="s">
        <v>138</v>
      </c>
    </row>
    <row r="24858" spans="1:2" x14ac:dyDescent="0.25">
      <c r="A24858" s="64" t="str">
        <f>HYPERLINK("http://www.twitter.com/jorgenlundqvist", "jorgenlundqvist")</f>
        <v>jorgenlundqvist</v>
      </c>
      <c r="B24858" s="65" t="s">
        <v>10984</v>
      </c>
    </row>
    <row r="24859" spans="1:2" x14ac:dyDescent="0.25">
      <c r="A24859" s="64" t="str">
        <f>HYPERLINK("http://www.twitter.com/pykelets", "pykelets")</f>
        <v>pykelets</v>
      </c>
      <c r="B24859" s="65"/>
    </row>
    <row r="24860" spans="1:2" x14ac:dyDescent="0.25">
      <c r="A24860" s="64" t="str">
        <f>HYPERLINK("http://www.twitter.com/CCSkills", "CCSkills")</f>
        <v>CCSkills</v>
      </c>
      <c r="B24860" s="65" t="s">
        <v>296</v>
      </c>
    </row>
    <row r="24861" spans="1:2" x14ac:dyDescent="0.25">
      <c r="A24861" s="64" t="str">
        <f>HYPERLINK("http://www.twitter.com/hanthylou", "hanthylou")</f>
        <v>hanthylou</v>
      </c>
      <c r="B24861" s="65"/>
    </row>
    <row r="24862" spans="1:2" x14ac:dyDescent="0.25">
      <c r="A24862" s="64" t="str">
        <f>HYPERLINK("http://www.twitter.com/Lowconcept", "Lowconcept")</f>
        <v>Lowconcept</v>
      </c>
      <c r="B24862" s="65" t="s">
        <v>3921</v>
      </c>
    </row>
    <row r="24863" spans="1:2" x14ac:dyDescent="0.25">
      <c r="A24863" s="64" t="str">
        <f>HYPERLINK("http://www.twitter.com/john3ners", "john3ners")</f>
        <v>john3ners</v>
      </c>
      <c r="B24863" s="65" t="s">
        <v>10985</v>
      </c>
    </row>
    <row r="24864" spans="1:2" x14ac:dyDescent="0.25">
      <c r="A24864" s="64" t="str">
        <f>HYPERLINK("http://www.twitter.com/sheenagh", "sheenagh")</f>
        <v>sheenagh</v>
      </c>
      <c r="B24864" s="65" t="s">
        <v>505</v>
      </c>
    </row>
    <row r="24865" spans="1:2" x14ac:dyDescent="0.25">
      <c r="A24865" s="64" t="str">
        <f>HYPERLINK("http://www.twitter.com/DesgrDesgr", "DesgrDesgr")</f>
        <v>DesgrDesgr</v>
      </c>
      <c r="B24865" s="65"/>
    </row>
    <row r="24866" spans="1:2" x14ac:dyDescent="0.25">
      <c r="A24866" s="64" t="str">
        <f>HYPERLINK("http://www.twitter.com/Moyze", "Moyze")</f>
        <v>Moyze</v>
      </c>
      <c r="B24866" s="65" t="s">
        <v>3988</v>
      </c>
    </row>
    <row r="24867" spans="1:2" x14ac:dyDescent="0.25">
      <c r="A24867" s="64" t="str">
        <f>HYPERLINK("http://www.twitter.com/CfN_historia", "CfN_historia")</f>
        <v>CfN_historia</v>
      </c>
      <c r="B24867" s="65" t="s">
        <v>10986</v>
      </c>
    </row>
    <row r="24868" spans="1:2" x14ac:dyDescent="0.25">
      <c r="A24868" s="64" t="str">
        <f>HYPERLINK("http://www.twitter.com/Kamigoto", "Kamigoto")</f>
        <v>Kamigoto</v>
      </c>
      <c r="B24868" s="65"/>
    </row>
    <row r="24869" spans="1:2" x14ac:dyDescent="0.25">
      <c r="A24869" s="64" t="str">
        <f>HYPERLINK("http://www.twitter.com/bibliophilemrh", "bibliophilemrh")</f>
        <v>bibliophilemrh</v>
      </c>
      <c r="B24869" s="65" t="s">
        <v>10987</v>
      </c>
    </row>
    <row r="24870" spans="1:2" x14ac:dyDescent="0.25">
      <c r="A24870" s="64" t="str">
        <f>HYPERLINK("http://www.twitter.com/JaneyPA", "JaneyPA")</f>
        <v>JaneyPA</v>
      </c>
      <c r="B24870" s="65"/>
    </row>
    <row r="24871" spans="1:2" x14ac:dyDescent="0.25">
      <c r="A24871" s="64" t="str">
        <f>HYPERLINK("http://www.twitter.com/ameithyste", "ameithyste")</f>
        <v>ameithyste</v>
      </c>
      <c r="B24871" s="65" t="s">
        <v>10988</v>
      </c>
    </row>
    <row r="24872" spans="1:2" x14ac:dyDescent="0.25">
      <c r="A24872" s="64" t="str">
        <f>HYPERLINK("http://www.twitter.com/widewallfisher", "widewallfisher")</f>
        <v>widewallfisher</v>
      </c>
      <c r="B24872" s="65"/>
    </row>
    <row r="24873" spans="1:2" x14ac:dyDescent="0.25">
      <c r="A24873" s="64" t="str">
        <f>HYPERLINK("http://www.twitter.com/lennartssonl", "lennartssonl")</f>
        <v>lennartssonl</v>
      </c>
      <c r="B24873" s="65"/>
    </row>
    <row r="24874" spans="1:2" x14ac:dyDescent="0.25">
      <c r="A24874" s="64" t="str">
        <f>HYPERLINK("http://www.twitter.com/TheLemonyQueen", "TheLemonyQueen")</f>
        <v>TheLemonyQueen</v>
      </c>
      <c r="B24874" s="65" t="s">
        <v>10989</v>
      </c>
    </row>
    <row r="24875" spans="1:2" x14ac:dyDescent="0.25">
      <c r="A24875" s="64" t="str">
        <f>HYPERLINK("http://www.twitter.com/SimonWicker", "SimonWicker")</f>
        <v>SimonWicker</v>
      </c>
      <c r="B24875" s="65" t="s">
        <v>3543</v>
      </c>
    </row>
    <row r="24876" spans="1:2" x14ac:dyDescent="0.25">
      <c r="A24876" s="64" t="str">
        <f>HYPERLINK("http://www.twitter.com/fiewers", "fiewers")</f>
        <v>fiewers</v>
      </c>
      <c r="B24876" s="65"/>
    </row>
    <row r="24877" spans="1:2" x14ac:dyDescent="0.25">
      <c r="A24877" s="64" t="str">
        <f>HYPERLINK("http://www.twitter.com/landwomble", "landwomble")</f>
        <v>landwomble</v>
      </c>
      <c r="B24877" s="65" t="s">
        <v>33</v>
      </c>
    </row>
    <row r="24878" spans="1:2" x14ac:dyDescent="0.25">
      <c r="A24878" s="64" t="str">
        <f>HYPERLINK("http://www.twitter.com/TheDrewyd", "TheDrewyd")</f>
        <v>TheDrewyd</v>
      </c>
      <c r="B24878" s="65" t="s">
        <v>4575</v>
      </c>
    </row>
    <row r="24879" spans="1:2" x14ac:dyDescent="0.25">
      <c r="A24879" s="64" t="str">
        <f>HYPERLINK("http://www.twitter.com/GogoOlive", "GogoOlive")</f>
        <v>GogoOlive</v>
      </c>
      <c r="B24879" s="65" t="s">
        <v>10990</v>
      </c>
    </row>
    <row r="24880" spans="1:2" x14ac:dyDescent="0.25">
      <c r="A24880" s="64" t="str">
        <f>HYPERLINK("http://www.twitter.com/STRAYPHOTON", "STRAYPHOTON")</f>
        <v>STRAYPHOTON</v>
      </c>
      <c r="B24880" s="65"/>
    </row>
    <row r="24881" spans="1:2" x14ac:dyDescent="0.25">
      <c r="A24881" s="64" t="str">
        <f>HYPERLINK("http://www.twitter.com/goglet", "goglet")</f>
        <v>goglet</v>
      </c>
      <c r="B24881" s="65" t="s">
        <v>10991</v>
      </c>
    </row>
    <row r="24882" spans="1:2" x14ac:dyDescent="0.25">
      <c r="A24882" s="64" t="str">
        <f>HYPERLINK("http://www.twitter.com/PickleKicker", "PickleKicker")</f>
        <v>PickleKicker</v>
      </c>
      <c r="B24882" s="65" t="s">
        <v>10992</v>
      </c>
    </row>
    <row r="24883" spans="1:2" x14ac:dyDescent="0.25">
      <c r="A24883" s="64" t="str">
        <f>HYPERLINK("http://www.twitter.com/HarryOulton1", "HarryOulton1")</f>
        <v>HarryOulton1</v>
      </c>
      <c r="B24883" s="65" t="s">
        <v>10993</v>
      </c>
    </row>
    <row r="24884" spans="1:2" x14ac:dyDescent="0.25">
      <c r="A24884" s="64" t="str">
        <f>HYPERLINK("http://www.twitter.com/SDennett", "SDennett")</f>
        <v>SDennett</v>
      </c>
      <c r="B24884" s="65"/>
    </row>
    <row r="24885" spans="1:2" x14ac:dyDescent="0.25">
      <c r="A24885" s="64" t="str">
        <f>HYPERLINK("http://www.twitter.com/lisseut", "lisseut")</f>
        <v>lisseut</v>
      </c>
      <c r="B24885" s="65"/>
    </row>
    <row r="24886" spans="1:2" x14ac:dyDescent="0.25">
      <c r="A24886" s="64" t="str">
        <f>HYPERLINK("http://www.twitter.com/mummymac70", "mummymac70")</f>
        <v>mummymac70</v>
      </c>
      <c r="B24886" s="65"/>
    </row>
    <row r="24887" spans="1:2" x14ac:dyDescent="0.25">
      <c r="A24887" s="64" t="str">
        <f>HYPERLINK("http://www.twitter.com/ilianora", "ilianora")</f>
        <v>ilianora</v>
      </c>
      <c r="B24887" s="65" t="s">
        <v>1221</v>
      </c>
    </row>
    <row r="24888" spans="1:2" x14ac:dyDescent="0.25">
      <c r="A24888" s="64" t="str">
        <f>HYPERLINK("http://www.twitter.com/karajones", "karajones")</f>
        <v>karajones</v>
      </c>
      <c r="B24888" s="65" t="s">
        <v>1098</v>
      </c>
    </row>
    <row r="24889" spans="1:2" x14ac:dyDescent="0.25">
      <c r="A24889" s="64" t="str">
        <f>HYPERLINK("http://www.twitter.com/annatroberg", "annatroberg")</f>
        <v>annatroberg</v>
      </c>
      <c r="B24889" s="65"/>
    </row>
    <row r="24890" spans="1:2" x14ac:dyDescent="0.25">
      <c r="A24890" s="64" t="str">
        <f>HYPERLINK("http://www.twitter.com/kim_pericles", "kim_pericles")</f>
        <v>kim_pericles</v>
      </c>
      <c r="B24890" s="65" t="s">
        <v>3817</v>
      </c>
    </row>
    <row r="24891" spans="1:2" x14ac:dyDescent="0.25">
      <c r="A24891" s="64" t="str">
        <f>HYPERLINK("http://www.twitter.com/LTSAustralia", "LTSAustralia")</f>
        <v>LTSAustralia</v>
      </c>
      <c r="B24891" s="65" t="s">
        <v>10994</v>
      </c>
    </row>
    <row r="24892" spans="1:2" x14ac:dyDescent="0.25">
      <c r="A24892" s="64" t="str">
        <f>HYPERLINK("http://www.twitter.com/Videostoregrl", "Videostoregrl")</f>
        <v>Videostoregrl</v>
      </c>
      <c r="B24892" s="65" t="s">
        <v>4273</v>
      </c>
    </row>
    <row r="24893" spans="1:2" x14ac:dyDescent="0.25">
      <c r="A24893" s="64" t="str">
        <f>HYPERLINK("http://www.twitter.com/Webbredaktoren", "Webbredaktoren")</f>
        <v>Webbredaktoren</v>
      </c>
      <c r="B24893" s="65" t="s">
        <v>5417</v>
      </c>
    </row>
    <row r="24894" spans="1:2" x14ac:dyDescent="0.25">
      <c r="A24894" s="64" t="str">
        <f>HYPERLINK("http://www.twitter.com/RoarOfHumanity", "RoarOfHumanity")</f>
        <v>RoarOfHumanity</v>
      </c>
      <c r="B24894" s="65" t="s">
        <v>70</v>
      </c>
    </row>
    <row r="24895" spans="1:2" x14ac:dyDescent="0.25">
      <c r="A24895" s="64" t="str">
        <f>HYPERLINK("http://www.twitter.com/beinwen", "beinwen")</f>
        <v>beinwen</v>
      </c>
      <c r="B24895" s="65"/>
    </row>
    <row r="24896" spans="1:2" x14ac:dyDescent="0.25">
      <c r="A24896" s="64" t="str">
        <f>HYPERLINK("http://www.twitter.com/Svelteassassin", "Svelteassassin")</f>
        <v>Svelteassassin</v>
      </c>
      <c r="B24896" s="65" t="s">
        <v>3997</v>
      </c>
    </row>
    <row r="24897" spans="1:2" x14ac:dyDescent="0.25">
      <c r="A24897" s="64" t="str">
        <f>HYPERLINK("http://www.twitter.com/justine_hyde", "justine_hyde")</f>
        <v>justine_hyde</v>
      </c>
      <c r="B24897" s="65" t="s">
        <v>10995</v>
      </c>
    </row>
    <row r="24898" spans="1:2" x14ac:dyDescent="0.25">
      <c r="A24898" s="64" t="str">
        <f>HYPERLINK("http://www.twitter.com/ACatAteMyTweets", "ACatAteMyTweets")</f>
        <v>ACatAteMyTweets</v>
      </c>
      <c r="B24898" s="65" t="s">
        <v>1479</v>
      </c>
    </row>
    <row r="24899" spans="1:2" x14ac:dyDescent="0.25">
      <c r="A24899" s="64" t="str">
        <f>HYPERLINK("http://www.twitter.com/jules_s_k", "jules_s_k")</f>
        <v>jules_s_k</v>
      </c>
      <c r="B24899" s="65" t="s">
        <v>4147</v>
      </c>
    </row>
    <row r="24900" spans="1:2" x14ac:dyDescent="0.25">
      <c r="A24900" s="64" t="str">
        <f>HYPERLINK("http://www.twitter.com/veryanc", "veryanc")</f>
        <v>veryanc</v>
      </c>
      <c r="B24900" s="65" t="s">
        <v>3779</v>
      </c>
    </row>
    <row r="24901" spans="1:2" x14ac:dyDescent="0.25">
      <c r="A24901" s="64" t="str">
        <f>HYPERLINK("http://www.twitter.com/ladymidnight", "ladymidnight")</f>
        <v>ladymidnight</v>
      </c>
      <c r="B24901" s="65" t="s">
        <v>10996</v>
      </c>
    </row>
    <row r="24902" spans="1:2" x14ac:dyDescent="0.25">
      <c r="A24902" s="64" t="str">
        <f>HYPERLINK("http://www.twitter.com/manxheritage", "manxheritage")</f>
        <v>manxheritage</v>
      </c>
      <c r="B24902" s="65" t="s">
        <v>5366</v>
      </c>
    </row>
    <row r="24903" spans="1:2" x14ac:dyDescent="0.25">
      <c r="A24903" s="64" t="str">
        <f>HYPERLINK("http://www.twitter.com/nickikb", "nickikb")</f>
        <v>nickikb</v>
      </c>
      <c r="B24903" s="65"/>
    </row>
    <row r="24904" spans="1:2" x14ac:dyDescent="0.25">
      <c r="A24904" s="64" t="str">
        <f>HYPERLINK("http://www.twitter.com/kellyr365", "kellyr365")</f>
        <v>kellyr365</v>
      </c>
      <c r="B24904" s="65" t="s">
        <v>10997</v>
      </c>
    </row>
    <row r="24905" spans="1:2" x14ac:dyDescent="0.25">
      <c r="A24905" s="64" t="str">
        <f>HYPERLINK("http://www.twitter.com/jg_reid", "jg_reid")</f>
        <v>jg_reid</v>
      </c>
      <c r="B24905" s="65"/>
    </row>
    <row r="24906" spans="1:2" x14ac:dyDescent="0.25">
      <c r="A24906" s="64" t="str">
        <f>HYPERLINK("http://www.twitter.com/librarylaureng", "librarylaureng")</f>
        <v>librarylaureng</v>
      </c>
      <c r="B24906" s="65" t="s">
        <v>6806</v>
      </c>
    </row>
    <row r="24907" spans="1:2" x14ac:dyDescent="0.25">
      <c r="A24907" s="64" t="str">
        <f>HYPERLINK("http://www.twitter.com/UniRdg_MusStudy", "UniRdg_MusStudy")</f>
        <v>UniRdg_MusStudy</v>
      </c>
      <c r="B24907" s="65" t="s">
        <v>7152</v>
      </c>
    </row>
    <row r="24908" spans="1:2" x14ac:dyDescent="0.25">
      <c r="A24908" s="64" t="str">
        <f>HYPERLINK("http://www.twitter.com/sarcrossu", "sarcrossu")</f>
        <v>sarcrossu</v>
      </c>
      <c r="B24908" s="65" t="s">
        <v>318</v>
      </c>
    </row>
    <row r="24909" spans="1:2" x14ac:dyDescent="0.25">
      <c r="A24909" s="64" t="str">
        <f>HYPERLINK("http://www.twitter.com/frelibrary", "frelibrary")</f>
        <v>frelibrary</v>
      </c>
      <c r="B24909" s="65" t="s">
        <v>4786</v>
      </c>
    </row>
    <row r="24910" spans="1:2" x14ac:dyDescent="0.25">
      <c r="A24910" s="64" t="str">
        <f>HYPERLINK("http://www.twitter.com/monkeyhelen", "monkeyhelen")</f>
        <v>monkeyhelen</v>
      </c>
      <c r="B24910" s="65"/>
    </row>
    <row r="24911" spans="1:2" x14ac:dyDescent="0.25">
      <c r="A24911" s="64" t="str">
        <f>HYPERLINK("http://www.twitter.com/darweg", "darweg")</f>
        <v>darweg</v>
      </c>
      <c r="B24911" s="65"/>
    </row>
    <row r="24912" spans="1:2" x14ac:dyDescent="0.25">
      <c r="A24912" s="64" t="str">
        <f>HYPERLINK("http://www.twitter.com/MichaelWhiteway", "MichaelWhiteway")</f>
        <v>MichaelWhiteway</v>
      </c>
      <c r="B24912" s="65"/>
    </row>
    <row r="24913" spans="1:2" x14ac:dyDescent="0.25">
      <c r="A24913" s="64" t="str">
        <f>HYPERLINK("http://www.twitter.com/MsAnnaLawrence", "MsAnnaLawrence")</f>
        <v>MsAnnaLawrence</v>
      </c>
      <c r="B24913" s="65" t="s">
        <v>310</v>
      </c>
    </row>
    <row r="24914" spans="1:2" x14ac:dyDescent="0.25">
      <c r="A24914" s="64" t="str">
        <f>HYPERLINK("http://www.twitter.com/johnfield1", "johnfield1")</f>
        <v>johnfield1</v>
      </c>
      <c r="B24914" s="65" t="s">
        <v>1033</v>
      </c>
    </row>
    <row r="24915" spans="1:2" x14ac:dyDescent="0.25">
      <c r="A24915" s="64" t="str">
        <f>HYPERLINK("http://www.twitter.com/helluolibrorum", "helluolibrorum")</f>
        <v>helluolibrorum</v>
      </c>
      <c r="B24915" s="65" t="s">
        <v>3988</v>
      </c>
    </row>
    <row r="24916" spans="1:2" x14ac:dyDescent="0.25">
      <c r="A24916" s="64" t="str">
        <f>HYPERLINK("http://www.twitter.com/assangelove", "assangelove")</f>
        <v>assangelove</v>
      </c>
      <c r="B24916" s="65" t="s">
        <v>4250</v>
      </c>
    </row>
    <row r="24917" spans="1:2" x14ac:dyDescent="0.25">
      <c r="A24917" s="64" t="str">
        <f>HYPERLINK("http://www.twitter.com/NorthernSky9", "NorthernSky9")</f>
        <v>NorthernSky9</v>
      </c>
      <c r="B24917" s="65" t="s">
        <v>10998</v>
      </c>
    </row>
    <row r="24918" spans="1:2" x14ac:dyDescent="0.25">
      <c r="A24918" s="64" t="str">
        <f>HYPERLINK("http://www.twitter.com/Euan_Duthie", "Euan_Duthie")</f>
        <v>Euan_Duthie</v>
      </c>
      <c r="B24918" s="65"/>
    </row>
    <row r="24919" spans="1:2" x14ac:dyDescent="0.25">
      <c r="A24919" s="64" t="str">
        <f>HYPERLINK("http://www.twitter.com/loesvaneijk", "loesvaneijk")</f>
        <v>loesvaneijk</v>
      </c>
      <c r="B24919" s="65"/>
    </row>
    <row r="24920" spans="1:2" x14ac:dyDescent="0.25">
      <c r="A24920" s="64" t="str">
        <f>HYPERLINK("http://www.twitter.com/korbilly", "korbilly")</f>
        <v>korbilly</v>
      </c>
      <c r="B24920" s="65" t="s">
        <v>4436</v>
      </c>
    </row>
    <row r="24921" spans="1:2" x14ac:dyDescent="0.25">
      <c r="A24921" s="64" t="str">
        <f>HYPERLINK("http://www.twitter.com/sallyturbitt", "sallyturbitt")</f>
        <v>sallyturbitt</v>
      </c>
      <c r="B24921" s="65" t="s">
        <v>10999</v>
      </c>
    </row>
    <row r="24922" spans="1:2" x14ac:dyDescent="0.25">
      <c r="A24922" s="64" t="str">
        <f>HYPERLINK("http://www.twitter.com/pjgravestock", "pjgravestock")</f>
        <v>pjgravestock</v>
      </c>
      <c r="B24922" s="65"/>
    </row>
    <row r="24923" spans="1:2" x14ac:dyDescent="0.25">
      <c r="A24923" s="64" t="str">
        <f>HYPERLINK("http://www.twitter.com/GuthrieLK", "GuthrieLK")</f>
        <v>GuthrieLK</v>
      </c>
      <c r="B24923" s="65"/>
    </row>
    <row r="24924" spans="1:2" x14ac:dyDescent="0.25">
      <c r="A24924" s="64" t="str">
        <f>HYPERLINK("http://www.twitter.com/Maggiwithoutane", "Maggiwithoutane")</f>
        <v>Maggiwithoutane</v>
      </c>
      <c r="B24924" s="65" t="s">
        <v>6492</v>
      </c>
    </row>
    <row r="24925" spans="1:2" x14ac:dyDescent="0.25">
      <c r="A24925" s="64" t="str">
        <f>HYPERLINK("http://www.twitter.com/elspethnorge", "elspethnorge")</f>
        <v>elspethnorge</v>
      </c>
      <c r="B24925" s="65" t="s">
        <v>1537</v>
      </c>
    </row>
    <row r="24926" spans="1:2" x14ac:dyDescent="0.25">
      <c r="A24926" s="64" t="str">
        <f>HYPERLINK("http://www.twitter.com/LeeRowe", "LeeRowe")</f>
        <v>LeeRowe</v>
      </c>
      <c r="B24926" s="65" t="s">
        <v>11000</v>
      </c>
    </row>
    <row r="24927" spans="1:2" x14ac:dyDescent="0.25">
      <c r="A24927" s="64" t="str">
        <f>HYPERLINK("http://www.twitter.com/aliharry789", "aliharry789")</f>
        <v>aliharry789</v>
      </c>
      <c r="B24927" s="65"/>
    </row>
    <row r="24928" spans="1:2" x14ac:dyDescent="0.25">
      <c r="A24928" s="64" t="str">
        <f>HYPERLINK("http://www.twitter.com/KristinaSoh", "KristinaSoh")</f>
        <v>KristinaSoh</v>
      </c>
      <c r="B24928" s="65"/>
    </row>
    <row r="24929" spans="1:2" x14ac:dyDescent="0.25">
      <c r="A24929" s="64" t="str">
        <f>HYPERLINK("http://www.twitter.com/ruthmidget", "ruthmidget")</f>
        <v>ruthmidget</v>
      </c>
      <c r="B24929" s="65" t="s">
        <v>318</v>
      </c>
    </row>
    <row r="24930" spans="1:2" x14ac:dyDescent="0.25">
      <c r="A24930" s="64" t="str">
        <f>HYPERLINK("http://www.twitter.com/anniebean", "anniebean")</f>
        <v>anniebean</v>
      </c>
      <c r="B24930" s="65"/>
    </row>
    <row r="24931" spans="1:2" x14ac:dyDescent="0.25">
      <c r="A24931" s="64" t="str">
        <f>HYPERLINK("http://www.twitter.com/HSLICon2014", "HSLICon2014")</f>
        <v>HSLICon2014</v>
      </c>
      <c r="B24931" s="65" t="s">
        <v>6566</v>
      </c>
    </row>
    <row r="24932" spans="1:2" x14ac:dyDescent="0.25">
      <c r="A24932" s="64" t="str">
        <f>HYPERLINK("http://www.twitter.com/lsefton", "lsefton")</f>
        <v>lsefton</v>
      </c>
      <c r="B24932" s="65" t="s">
        <v>4707</v>
      </c>
    </row>
    <row r="24933" spans="1:2" x14ac:dyDescent="0.25">
      <c r="A24933" s="64" t="str">
        <f>HYPERLINK("http://www.twitter.com/CarmeFenoll", "CarmeFenoll")</f>
        <v>CarmeFenoll</v>
      </c>
      <c r="B24933" s="65" t="s">
        <v>11001</v>
      </c>
    </row>
    <row r="24934" spans="1:2" x14ac:dyDescent="0.25">
      <c r="A24934" s="64" t="str">
        <f>HYPERLINK("http://www.twitter.com/Toast_forDinner", "Toast_forDinner")</f>
        <v>Toast_forDinner</v>
      </c>
      <c r="B24934" s="65" t="s">
        <v>3779</v>
      </c>
    </row>
    <row r="24935" spans="1:2" x14ac:dyDescent="0.25">
      <c r="A24935" s="64" t="str">
        <f>HYPERLINK("http://www.twitter.com/ajgrunds", "ajgrunds")</f>
        <v>ajgrunds</v>
      </c>
      <c r="B24935" s="65"/>
    </row>
    <row r="24936" spans="1:2" x14ac:dyDescent="0.25">
      <c r="A24936" s="64" t="str">
        <f>HYPERLINK("http://www.twitter.com/lakelibrarian", "lakelibrarian")</f>
        <v>lakelibrarian</v>
      </c>
      <c r="B24936" s="65"/>
    </row>
    <row r="24937" spans="1:2" x14ac:dyDescent="0.25">
      <c r="A24937" s="64" t="str">
        <f>HYPERLINK("http://www.twitter.com/SteveBroach", "SteveBroach")</f>
        <v>SteveBroach</v>
      </c>
      <c r="B24937" s="65" t="s">
        <v>36</v>
      </c>
    </row>
    <row r="24938" spans="1:2" x14ac:dyDescent="0.25">
      <c r="A24938" s="64" t="str">
        <f>HYPERLINK("http://www.twitter.com/yo_essie", "yo_essie")</f>
        <v>yo_essie</v>
      </c>
      <c r="B24938" s="65" t="s">
        <v>5072</v>
      </c>
    </row>
    <row r="24939" spans="1:2" x14ac:dyDescent="0.25">
      <c r="A24939" s="64" t="str">
        <f>HYPERLINK("http://www.twitter.com/GClarkHellery", "GClarkHellery")</f>
        <v>GClarkHellery</v>
      </c>
      <c r="B24939" s="65"/>
    </row>
    <row r="24940" spans="1:2" x14ac:dyDescent="0.25">
      <c r="A24940" s="64" t="str">
        <f>HYPERLINK("http://www.twitter.com/mrs__laura", "mrs__laura")</f>
        <v>mrs__laura</v>
      </c>
      <c r="B24940" s="65" t="s">
        <v>2041</v>
      </c>
    </row>
    <row r="24941" spans="1:2" x14ac:dyDescent="0.25">
      <c r="A24941" s="64" t="str">
        <f>HYPERLINK("http://www.twitter.com/giveitlaldy", "giveitlaldy")</f>
        <v>giveitlaldy</v>
      </c>
      <c r="B24941" s="65"/>
    </row>
    <row r="24942" spans="1:2" x14ac:dyDescent="0.25">
      <c r="A24942" s="64" t="str">
        <f>HYPERLINK("http://www.twitter.com/lookinglush", "lookinglush")</f>
        <v>lookinglush</v>
      </c>
      <c r="B24942" s="65" t="s">
        <v>11002</v>
      </c>
    </row>
    <row r="24943" spans="1:2" x14ac:dyDescent="0.25">
      <c r="A24943" s="64" t="str">
        <f>HYPERLINK("http://www.twitter.com/LindseyTheSmith", "LindseyTheSmith")</f>
        <v>LindseyTheSmith</v>
      </c>
      <c r="B24943" s="65" t="s">
        <v>10835</v>
      </c>
    </row>
    <row r="24944" spans="1:2" x14ac:dyDescent="0.25">
      <c r="A24944" s="64" t="str">
        <f>HYPERLINK("http://www.twitter.com/dlkeane", "dlkeane")</f>
        <v>dlkeane</v>
      </c>
      <c r="B24944" s="65"/>
    </row>
    <row r="24945" spans="1:2" x14ac:dyDescent="0.25">
      <c r="A24945" s="64" t="str">
        <f>HYPERLINK("http://www.twitter.com/artlust", "artlust")</f>
        <v>artlust</v>
      </c>
      <c r="B24945" s="65" t="s">
        <v>4039</v>
      </c>
    </row>
    <row r="24946" spans="1:2" x14ac:dyDescent="0.25">
      <c r="A24946" s="64" t="str">
        <f>HYPERLINK("http://www.twitter.com/KatyTalksBooks", "KatyTalksBooks")</f>
        <v>KatyTalksBooks</v>
      </c>
      <c r="B24946" s="65"/>
    </row>
    <row r="24947" spans="1:2" x14ac:dyDescent="0.25">
      <c r="A24947" s="64" t="str">
        <f>HYPERLINK("http://www.twitter.com/Ali_in_CLE", "Ali_in_CLE")</f>
        <v>Ali_in_CLE</v>
      </c>
      <c r="B24947" s="65" t="s">
        <v>11003</v>
      </c>
    </row>
    <row r="24948" spans="1:2" x14ac:dyDescent="0.25">
      <c r="A24948" s="64" t="str">
        <f>HYPERLINK("http://www.twitter.com/AnnemarieHagan", "AnnemarieHagan")</f>
        <v>AnnemarieHagan</v>
      </c>
      <c r="B24948" s="65" t="s">
        <v>11004</v>
      </c>
    </row>
    <row r="24949" spans="1:2" x14ac:dyDescent="0.25">
      <c r="A24949" s="64" t="str">
        <f>HYPERLINK("http://www.twitter.com/AsakeJones", "AsakeJones")</f>
        <v>AsakeJones</v>
      </c>
      <c r="B24949" s="65" t="s">
        <v>4035</v>
      </c>
    </row>
    <row r="24950" spans="1:2" x14ac:dyDescent="0.25">
      <c r="A24950" s="64" t="str">
        <f>HYPERLINK("http://www.twitter.com/joabrookes", "joabrookes")</f>
        <v>joabrookes</v>
      </c>
      <c r="B24950" s="65"/>
    </row>
    <row r="24951" spans="1:2" x14ac:dyDescent="0.25">
      <c r="A24951" s="64" t="str">
        <f>HYPERLINK("http://www.twitter.com/iona34", "iona34")</f>
        <v>iona34</v>
      </c>
      <c r="B24951" s="65" t="s">
        <v>11005</v>
      </c>
    </row>
    <row r="24952" spans="1:2" x14ac:dyDescent="0.25">
      <c r="A24952" s="64" t="str">
        <f>HYPERLINK("http://www.twitter.com/geelonglibrary", "geelonglibrary")</f>
        <v>geelonglibrary</v>
      </c>
      <c r="B24952" s="65" t="s">
        <v>11006</v>
      </c>
    </row>
    <row r="24953" spans="1:2" x14ac:dyDescent="0.25">
      <c r="A24953" s="64" t="str">
        <f>HYPERLINK("http://www.twitter.com/snackery", "snackery")</f>
        <v>snackery</v>
      </c>
      <c r="B24953" s="65"/>
    </row>
    <row r="24954" spans="1:2" x14ac:dyDescent="0.25">
      <c r="A24954" s="64" t="str">
        <f>HYPERLINK("http://www.twitter.com/Carolanntack", "Carolanntack")</f>
        <v>Carolanntack</v>
      </c>
      <c r="B24954" s="65" t="s">
        <v>8500</v>
      </c>
    </row>
    <row r="24955" spans="1:2" x14ac:dyDescent="0.25">
      <c r="A24955" s="64" t="str">
        <f>HYPERLINK("http://www.twitter.com/j_groat", "j_groat")</f>
        <v>j_groat</v>
      </c>
      <c r="B24955" s="65" t="s">
        <v>4236</v>
      </c>
    </row>
    <row r="24956" spans="1:2" x14ac:dyDescent="0.25">
      <c r="A24956" s="64" t="str">
        <f>HYPERLINK("http://www.twitter.com/whirlygirly", "whirlygirly")</f>
        <v>whirlygirly</v>
      </c>
      <c r="B24956" s="65" t="s">
        <v>11007</v>
      </c>
    </row>
    <row r="24957" spans="1:2" x14ac:dyDescent="0.25">
      <c r="A24957" s="64" t="str">
        <f>HYPERLINK("http://www.twitter.com/rachaelbriana", "rachaelbriana")</f>
        <v>rachaelbriana</v>
      </c>
      <c r="B24957" s="65"/>
    </row>
    <row r="24958" spans="1:2" x14ac:dyDescent="0.25">
      <c r="A24958" s="64" t="str">
        <f>HYPERLINK("http://www.twitter.com/MaggieMMcK", "MaggieMMcK")</f>
        <v>MaggieMMcK</v>
      </c>
      <c r="B24958" s="65" t="s">
        <v>11008</v>
      </c>
    </row>
    <row r="24959" spans="1:2" x14ac:dyDescent="0.25">
      <c r="A24959" s="64" t="str">
        <f>HYPERLINK("http://www.twitter.com/sammie7", "sammie7")</f>
        <v>sammie7</v>
      </c>
      <c r="B24959" s="65" t="s">
        <v>11009</v>
      </c>
    </row>
    <row r="24960" spans="1:2" x14ac:dyDescent="0.25">
      <c r="A24960" s="64" t="str">
        <f>HYPERLINK("http://www.twitter.com/emilypaa", "emilypaa")</f>
        <v>emilypaa</v>
      </c>
      <c r="B24960" s="65" t="s">
        <v>10650</v>
      </c>
    </row>
    <row r="24961" spans="1:2" x14ac:dyDescent="0.25">
      <c r="A24961" s="64" t="str">
        <f>HYPERLINK("http://www.twitter.com/Kris_Starr", "Kris_Starr")</f>
        <v>Kris_Starr</v>
      </c>
      <c r="B24961" s="65" t="s">
        <v>11010</v>
      </c>
    </row>
    <row r="24962" spans="1:2" x14ac:dyDescent="0.25">
      <c r="A24962" s="64" t="str">
        <f>HYPERLINK("http://www.twitter.com/CassieRaczynski", "CassieRaczynski")</f>
        <v>CassieRaczynski</v>
      </c>
      <c r="B24962" s="65" t="s">
        <v>4035</v>
      </c>
    </row>
    <row r="24963" spans="1:2" x14ac:dyDescent="0.25">
      <c r="A24963" s="64" t="str">
        <f>HYPERLINK("http://www.twitter.com/kathleenhutton", "kathleenhutton")</f>
        <v>kathleenhutton</v>
      </c>
      <c r="B24963" s="65" t="s">
        <v>11011</v>
      </c>
    </row>
    <row r="24964" spans="1:2" x14ac:dyDescent="0.25">
      <c r="A24964" s="64" t="str">
        <f>HYPERLINK("http://www.twitter.com/platinumbs", "platinumbs")</f>
        <v>platinumbs</v>
      </c>
      <c r="B24964" s="65" t="s">
        <v>11012</v>
      </c>
    </row>
    <row r="24965" spans="1:2" x14ac:dyDescent="0.25">
      <c r="A24965" s="64" t="str">
        <f>HYPERLINK("http://www.twitter.com/calumbachell", "calumbachell")</f>
        <v>calumbachell</v>
      </c>
      <c r="B24965" s="65" t="s">
        <v>11013</v>
      </c>
    </row>
    <row r="24966" spans="1:2" x14ac:dyDescent="0.25">
      <c r="A24966" s="64" t="str">
        <f>HYPERLINK("http://www.twitter.com/LisaPisa", "LisaPisa")</f>
        <v>LisaPisa</v>
      </c>
      <c r="B24966" s="65"/>
    </row>
    <row r="24967" spans="1:2" x14ac:dyDescent="0.25">
      <c r="A24967" s="64" t="str">
        <f>HYPERLINK("http://www.twitter.com/punkassbkjockey", "punkassbkjockey")</f>
        <v>punkassbkjockey</v>
      </c>
      <c r="B24967" s="65"/>
    </row>
    <row r="24968" spans="1:2" x14ac:dyDescent="0.25">
      <c r="A24968" s="64" t="str">
        <f>HYPERLINK("http://www.twitter.com/ladybugger", "ladybugger")</f>
        <v>ladybugger</v>
      </c>
      <c r="B24968" s="65" t="s">
        <v>11014</v>
      </c>
    </row>
    <row r="24969" spans="1:2" x14ac:dyDescent="0.25">
      <c r="A24969" s="64" t="str">
        <f>HYPERLINK("http://www.twitter.com/uhslibrary", "uhslibrary")</f>
        <v>uhslibrary</v>
      </c>
      <c r="B24969" s="65"/>
    </row>
    <row r="24970" spans="1:2" x14ac:dyDescent="0.25">
      <c r="A24970" s="64" t="str">
        <f>HYPERLINK("http://www.twitter.com/itsaboutthebike", "itsaboutthebike")</f>
        <v>itsaboutthebike</v>
      </c>
      <c r="B24970" s="65" t="s">
        <v>11015</v>
      </c>
    </row>
    <row r="24971" spans="1:2" x14ac:dyDescent="0.25">
      <c r="A24971" s="64" t="str">
        <f>HYPERLINK("http://www.twitter.com/k_adelberg", "k_adelberg")</f>
        <v>k_adelberg</v>
      </c>
      <c r="B24971" s="65" t="s">
        <v>4529</v>
      </c>
    </row>
    <row r="24972" spans="1:2" x14ac:dyDescent="0.25">
      <c r="A24972" s="64" t="str">
        <f>HYPERLINK("http://www.twitter.com/kfolger", "kfolger")</f>
        <v>kfolger</v>
      </c>
      <c r="B24972" s="65" t="s">
        <v>4687</v>
      </c>
    </row>
    <row r="24973" spans="1:2" x14ac:dyDescent="0.25">
      <c r="A24973" s="64" t="str">
        <f>HYPERLINK("http://www.twitter.com/hbraum", "hbraum")</f>
        <v>hbraum</v>
      </c>
      <c r="B24973" s="65" t="s">
        <v>11016</v>
      </c>
    </row>
    <row r="24974" spans="1:2" x14ac:dyDescent="0.25">
      <c r="A24974" s="64" t="str">
        <f>HYPERLINK("http://www.twitter.com/Banjo_Bo", "Banjo_Bo")</f>
        <v>Banjo_Bo</v>
      </c>
      <c r="B24974" s="65" t="s">
        <v>11017</v>
      </c>
    </row>
    <row r="24975" spans="1:2" x14ac:dyDescent="0.25">
      <c r="A24975" s="64" t="str">
        <f>HYPERLINK("http://www.twitter.com/pernillan", "pernillan")</f>
        <v>pernillan</v>
      </c>
      <c r="B24975" s="65" t="s">
        <v>4210</v>
      </c>
    </row>
    <row r="24976" spans="1:2" x14ac:dyDescent="0.25">
      <c r="A24976" s="64" t="str">
        <f>HYPERLINK("http://www.twitter.com/marilynmunster", "marilynmunster")</f>
        <v>marilynmunster</v>
      </c>
      <c r="B24976" s="65"/>
    </row>
    <row r="24977" spans="1:2" x14ac:dyDescent="0.25">
      <c r="A24977" s="64" t="str">
        <f>HYPERLINK("http://www.twitter.com/kistahamilton", "kistahamilton")</f>
        <v>kistahamilton</v>
      </c>
      <c r="B24977" s="65"/>
    </row>
    <row r="24978" spans="1:2" x14ac:dyDescent="0.25">
      <c r="A24978" s="64" t="str">
        <f>HYPERLINK("http://www.twitter.com/SusiesViews", "SusiesViews")</f>
        <v>SusiesViews</v>
      </c>
      <c r="B24978" s="65" t="s">
        <v>11018</v>
      </c>
    </row>
    <row r="24979" spans="1:2" x14ac:dyDescent="0.25">
      <c r="A24979" s="64" t="str">
        <f>HYPERLINK("http://www.twitter.com/melninmic", "melninmic")</f>
        <v>melninmic</v>
      </c>
      <c r="B24979" s="65" t="s">
        <v>10652</v>
      </c>
    </row>
    <row r="24980" spans="1:2" x14ac:dyDescent="0.25">
      <c r="A24980" s="64" t="str">
        <f>HYPERLINK("http://www.twitter.com/zofeyahzia", "zofeyahzia")</f>
        <v>zofeyahzia</v>
      </c>
      <c r="B24980" s="65" t="s">
        <v>4062</v>
      </c>
    </row>
    <row r="24981" spans="1:2" x14ac:dyDescent="0.25">
      <c r="A24981" s="64" t="str">
        <f>HYPERLINK("http://www.twitter.com/hollygilbertson", "hollygilbertson")</f>
        <v>hollygilbertson</v>
      </c>
      <c r="B24981" s="65" t="s">
        <v>6935</v>
      </c>
    </row>
    <row r="24982" spans="1:2" x14ac:dyDescent="0.25">
      <c r="A24982" s="64" t="str">
        <f>HYPERLINK("http://www.twitter.com/LizB", "LizB")</f>
        <v>LizB</v>
      </c>
      <c r="B24982" s="65" t="s">
        <v>4111</v>
      </c>
    </row>
    <row r="24983" spans="1:2" x14ac:dyDescent="0.25">
      <c r="A24983" s="64" t="str">
        <f>HYPERLINK("http://www.twitter.com/StevenLeSuedois", "StevenLeSuedois")</f>
        <v>StevenLeSuedois</v>
      </c>
      <c r="B24983" s="65" t="s">
        <v>11019</v>
      </c>
    </row>
    <row r="24984" spans="1:2" x14ac:dyDescent="0.25">
      <c r="A24984" s="64" t="str">
        <f>HYPERLINK("http://www.twitter.com/AlicePaterra", "AlicePaterra")</f>
        <v>AlicePaterra</v>
      </c>
      <c r="B24984" s="65" t="s">
        <v>11020</v>
      </c>
    </row>
    <row r="24985" spans="1:2" x14ac:dyDescent="0.25">
      <c r="A24985" s="64" t="str">
        <f>HYPERLINK("http://www.twitter.com/thenoisytree", "thenoisytree")</f>
        <v>thenoisytree</v>
      </c>
      <c r="B24985" s="65" t="s">
        <v>517</v>
      </c>
    </row>
    <row r="24986" spans="1:2" x14ac:dyDescent="0.25">
      <c r="A24986" s="64" t="str">
        <f>HYPERLINK("http://www.twitter.com/JenjenLaird", "JenjenLaird")</f>
        <v>JenjenLaird</v>
      </c>
      <c r="B24986" s="65" t="s">
        <v>5822</v>
      </c>
    </row>
    <row r="24987" spans="1:2" x14ac:dyDescent="0.25">
      <c r="A24987" s="64" t="str">
        <f>HYPERLINK("http://www.twitter.com/baz1860", "baz1860")</f>
        <v>baz1860</v>
      </c>
      <c r="B24987" s="65" t="s">
        <v>1482</v>
      </c>
    </row>
    <row r="24988" spans="1:2" x14ac:dyDescent="0.25">
      <c r="A24988" s="64" t="str">
        <f>HYPERLINK("http://www.twitter.com/cartertoncc_lib", "cartertoncc_lib")</f>
        <v>cartertoncc_lib</v>
      </c>
      <c r="B24988" s="65" t="s">
        <v>2073</v>
      </c>
    </row>
    <row r="24989" spans="1:2" x14ac:dyDescent="0.25">
      <c r="A24989" s="64" t="str">
        <f>HYPERLINK("http://www.twitter.com/shannyqwhatitdo", "shannyqwhatitdo")</f>
        <v>shannyqwhatitdo</v>
      </c>
      <c r="B24989" s="65" t="s">
        <v>4867</v>
      </c>
    </row>
    <row r="24990" spans="1:2" x14ac:dyDescent="0.25">
      <c r="A24990" s="64" t="str">
        <f>HYPERLINK("http://www.twitter.com/Wendy_humps", "Wendy_humps")</f>
        <v>Wendy_humps</v>
      </c>
      <c r="B24990" s="65"/>
    </row>
    <row r="24991" spans="1:2" x14ac:dyDescent="0.25">
      <c r="A24991" s="64" t="str">
        <f>HYPERLINK("http://www.twitter.com/nathanghall", "nathanghall")</f>
        <v>nathanghall</v>
      </c>
      <c r="B24991" s="65" t="s">
        <v>11021</v>
      </c>
    </row>
    <row r="24992" spans="1:2" x14ac:dyDescent="0.25">
      <c r="A24992" s="64" t="str">
        <f>HYPERLINK("http://www.twitter.com/HankinLibrary", "HankinLibrary")</f>
        <v>HankinLibrary</v>
      </c>
      <c r="B24992" s="65" t="s">
        <v>11022</v>
      </c>
    </row>
    <row r="24993" spans="1:2" x14ac:dyDescent="0.25">
      <c r="A24993" s="64" t="str">
        <f>HYPERLINK("http://www.twitter.com/fiskerton", "fiskerton")</f>
        <v>fiskerton</v>
      </c>
      <c r="B24993" s="65" t="s">
        <v>180</v>
      </c>
    </row>
    <row r="24994" spans="1:2" x14ac:dyDescent="0.25">
      <c r="A24994" s="64" t="str">
        <f>HYPERLINK("http://www.twitter.com/TrishDavieswasC", "TrishDavieswasC")</f>
        <v>TrishDavieswasC</v>
      </c>
      <c r="B24994" s="65" t="s">
        <v>11023</v>
      </c>
    </row>
    <row r="24995" spans="1:2" x14ac:dyDescent="0.25">
      <c r="A24995" s="64" t="str">
        <f>HYPERLINK("http://www.twitter.com/pabinkley", "pabinkley")</f>
        <v>pabinkley</v>
      </c>
      <c r="B24995" s="65" t="s">
        <v>7207</v>
      </c>
    </row>
    <row r="24996" spans="1:2" x14ac:dyDescent="0.25">
      <c r="A24996" s="64" t="str">
        <f>HYPERLINK("http://www.twitter.com/hazelmcg", "hazelmcg")</f>
        <v>hazelmcg</v>
      </c>
      <c r="B24996" s="65" t="s">
        <v>11024</v>
      </c>
    </row>
    <row r="24997" spans="1:2" x14ac:dyDescent="0.25">
      <c r="A24997" s="64" t="str">
        <f>HYPERLINK("http://www.twitter.com/i3dgroup", "i3dgroup")</f>
        <v>i3dgroup</v>
      </c>
      <c r="B24997" s="65" t="s">
        <v>1841</v>
      </c>
    </row>
    <row r="24998" spans="1:2" x14ac:dyDescent="0.25">
      <c r="A24998" s="64" t="str">
        <f>HYPERLINK("http://www.twitter.com/GinaMarshall", "GinaMarshall")</f>
        <v>GinaMarshall</v>
      </c>
      <c r="B24998" s="65" t="s">
        <v>20</v>
      </c>
    </row>
    <row r="24999" spans="1:2" x14ac:dyDescent="0.25">
      <c r="A24999" s="64" t="str">
        <f>HYPERLINK("http://www.twitter.com/ThornGirl", "ThornGirl")</f>
        <v>ThornGirl</v>
      </c>
      <c r="B24999" s="65"/>
    </row>
    <row r="25000" spans="1:2" x14ac:dyDescent="0.25">
      <c r="A25000" s="64" t="str">
        <f>HYPERLINK("http://www.twitter.com/WeeWifie1981", "WeeWifie1981")</f>
        <v>WeeWifie1981</v>
      </c>
      <c r="B25000" s="65" t="s">
        <v>5971</v>
      </c>
    </row>
    <row r="25001" spans="1:2" x14ac:dyDescent="0.25">
      <c r="A25001" s="64" t="str">
        <f>HYPERLINK("http://www.twitter.com/AnnaHolland90", "AnnaHolland90")</f>
        <v>AnnaHolland90</v>
      </c>
      <c r="B25001" s="65" t="s">
        <v>20</v>
      </c>
    </row>
    <row r="25002" spans="1:2" x14ac:dyDescent="0.25">
      <c r="A25002" s="64" t="str">
        <f>HYPERLINK("http://www.twitter.com/ClearGlued", "ClearGlued")</f>
        <v>ClearGlued</v>
      </c>
      <c r="B25002" s="65" t="s">
        <v>11025</v>
      </c>
    </row>
    <row r="25003" spans="1:2" x14ac:dyDescent="0.25">
      <c r="A25003" s="64" t="str">
        <f>HYPERLINK("http://www.twitter.com/ActivateLibrary", "ActivateLibrary")</f>
        <v>ActivateLibrary</v>
      </c>
      <c r="B25003" s="65" t="s">
        <v>2348</v>
      </c>
    </row>
    <row r="25004" spans="1:2" x14ac:dyDescent="0.25">
      <c r="A25004" s="64" t="str">
        <f>HYPERLINK("http://www.twitter.com/robertleslie69", "robertleslie69")</f>
        <v>robertleslie69</v>
      </c>
      <c r="B25004" s="65" t="s">
        <v>5667</v>
      </c>
    </row>
    <row r="25005" spans="1:2" x14ac:dyDescent="0.25">
      <c r="A25005" s="64" t="str">
        <f>HYPERLINK("http://www.twitter.com/Hobbithouse72", "Hobbithouse72")</f>
        <v>Hobbithouse72</v>
      </c>
      <c r="B25005" s="65"/>
    </row>
    <row r="25006" spans="1:2" x14ac:dyDescent="0.25">
      <c r="A25006" s="64" t="str">
        <f>HYPERLINK("http://www.twitter.com/njj4", "njj4")</f>
        <v>njj4</v>
      </c>
      <c r="B25006" s="65" t="s">
        <v>8337</v>
      </c>
    </row>
    <row r="25007" spans="1:2" x14ac:dyDescent="0.25">
      <c r="A25007" s="64" t="str">
        <f>HYPERLINK("http://www.twitter.com/Bergsveinnth", "Bergsveinnth")</f>
        <v>Bergsveinnth</v>
      </c>
      <c r="B25007" s="65" t="s">
        <v>3959</v>
      </c>
    </row>
    <row r="25008" spans="1:2" x14ac:dyDescent="0.25">
      <c r="A25008" s="64" t="str">
        <f>HYPERLINK("http://www.twitter.com/hennebe", "hennebe")</f>
        <v>hennebe</v>
      </c>
      <c r="B25008" s="65" t="s">
        <v>6447</v>
      </c>
    </row>
    <row r="25009" spans="1:2" x14ac:dyDescent="0.25">
      <c r="A25009" s="64" t="str">
        <f>HYPERLINK("http://www.twitter.com/mtullock", "mtullock")</f>
        <v>mtullock</v>
      </c>
      <c r="B25009" s="65"/>
    </row>
    <row r="25010" spans="1:2" x14ac:dyDescent="0.25">
      <c r="A25010" s="64" t="str">
        <f>HYPERLINK("http://www.twitter.com/alk_night", "alk_night")</f>
        <v>alk_night</v>
      </c>
      <c r="B25010" s="65"/>
    </row>
    <row r="25011" spans="1:2" x14ac:dyDescent="0.25">
      <c r="A25011" s="64" t="str">
        <f>HYPERLINK("http://www.twitter.com/St_jinks", "St_jinks")</f>
        <v>St_jinks</v>
      </c>
      <c r="B25011" s="65" t="s">
        <v>296</v>
      </c>
    </row>
    <row r="25012" spans="1:2" x14ac:dyDescent="0.25">
      <c r="A25012" s="64" t="str">
        <f>HYPERLINK("http://www.twitter.com/camilladamsbo", "camilladamsbo")</f>
        <v>camilladamsbo</v>
      </c>
      <c r="B25012" s="65" t="s">
        <v>11026</v>
      </c>
    </row>
    <row r="25013" spans="1:2" x14ac:dyDescent="0.25">
      <c r="A25013" s="64" t="str">
        <f>HYPERLINK("http://www.twitter.com/Tinkerbellaxxxx", "Tinkerbellaxxxx")</f>
        <v>Tinkerbellaxxxx</v>
      </c>
      <c r="B25013" s="65"/>
    </row>
    <row r="25014" spans="1:2" x14ac:dyDescent="0.25">
      <c r="A25014" s="64" t="str">
        <f>HYPERLINK("http://www.twitter.com/hamishausk", "hamishausk")</f>
        <v>hamishausk</v>
      </c>
      <c r="B25014" s="65" t="s">
        <v>96</v>
      </c>
    </row>
    <row r="25015" spans="1:2" x14ac:dyDescent="0.25">
      <c r="A25015" s="64" t="str">
        <f>HYPERLINK("http://www.twitter.com/TheViralKing", "TheViralKing")</f>
        <v>TheViralKing</v>
      </c>
      <c r="B25015" s="65"/>
    </row>
    <row r="25016" spans="1:2" x14ac:dyDescent="0.25">
      <c r="A25016" s="64" t="str">
        <f>HYPERLINK("http://www.twitter.com/JanF06", "JanF06")</f>
        <v>JanF06</v>
      </c>
      <c r="B25016" s="65"/>
    </row>
    <row r="25017" spans="1:2" x14ac:dyDescent="0.25">
      <c r="A25017" s="64" t="str">
        <f>HYPERLINK("http://www.twitter.com/BubbleUp", "BubbleUp")</f>
        <v>BubbleUp</v>
      </c>
      <c r="B25017" s="65" t="s">
        <v>4247</v>
      </c>
    </row>
    <row r="25018" spans="1:2" x14ac:dyDescent="0.25">
      <c r="A25018" s="64" t="str">
        <f>HYPERLINK("http://www.twitter.com/lynnie56", "lynnie56")</f>
        <v>lynnie56</v>
      </c>
      <c r="B25018" s="65" t="s">
        <v>1765</v>
      </c>
    </row>
    <row r="25019" spans="1:2" x14ac:dyDescent="0.25">
      <c r="A25019" s="64" t="str">
        <f>HYPERLINK("http://www.twitter.com/kimkang", "kimkang")</f>
        <v>kimkang</v>
      </c>
      <c r="B25019" s="65" t="s">
        <v>4309</v>
      </c>
    </row>
    <row r="25020" spans="1:2" x14ac:dyDescent="0.25">
      <c r="A25020" s="64" t="str">
        <f>HYPERLINK("http://www.twitter.com/DuthieNatalie", "DuthieNatalie")</f>
        <v>DuthieNatalie</v>
      </c>
      <c r="B25020" s="65"/>
    </row>
    <row r="25021" spans="1:2" x14ac:dyDescent="0.25">
      <c r="A25021" s="64" t="str">
        <f>HYPERLINK("http://www.twitter.com/evanstonpl", "evanstonpl")</f>
        <v>evanstonpl</v>
      </c>
      <c r="B25021" s="65" t="s">
        <v>11027</v>
      </c>
    </row>
    <row r="25022" spans="1:2" x14ac:dyDescent="0.25">
      <c r="A25022" s="64" t="str">
        <f>HYPERLINK("http://www.twitter.com/KevinM_Johnston", "KevinM_Johnston")</f>
        <v>KevinM_Johnston</v>
      </c>
      <c r="B25022" s="65" t="s">
        <v>5522</v>
      </c>
    </row>
    <row r="25023" spans="1:2" x14ac:dyDescent="0.25">
      <c r="A25023" s="64" t="str">
        <f>HYPERLINK("http://www.twitter.com/lexistindall", "lexistindall")</f>
        <v>lexistindall</v>
      </c>
      <c r="B25023" s="65"/>
    </row>
    <row r="25024" spans="1:2" x14ac:dyDescent="0.25">
      <c r="A25024" s="64" t="str">
        <f>HYPERLINK("http://www.twitter.com/museumgeek", "museumgeek")</f>
        <v>museumgeek</v>
      </c>
      <c r="B25024" s="65"/>
    </row>
    <row r="25025" spans="1:2" x14ac:dyDescent="0.25">
      <c r="A25025" s="64" t="str">
        <f>HYPERLINK("http://www.twitter.com/UofGInfoStudies", "UofGInfoStudies")</f>
        <v>UofGInfoStudies</v>
      </c>
      <c r="B25025" s="65" t="s">
        <v>318</v>
      </c>
    </row>
    <row r="25026" spans="1:2" x14ac:dyDescent="0.25">
      <c r="A25026" s="64" t="str">
        <f>HYPERLINK("http://www.twitter.com/PatHadley", "PatHadley")</f>
        <v>PatHadley</v>
      </c>
      <c r="B25026" s="65" t="s">
        <v>2102</v>
      </c>
    </row>
    <row r="25027" spans="1:2" x14ac:dyDescent="0.25">
      <c r="A25027" s="64" t="str">
        <f>HYPERLINK("http://www.twitter.com/doctorgoth", "doctorgoth")</f>
        <v>doctorgoth</v>
      </c>
      <c r="B25027" s="65"/>
    </row>
    <row r="25028" spans="1:2" x14ac:dyDescent="0.25">
      <c r="A25028" s="64" t="str">
        <f>HYPERLINK("http://www.twitter.com/AmySaysREAD", "AmySaysREAD")</f>
        <v>AmySaysREAD</v>
      </c>
      <c r="B25028" s="65"/>
    </row>
    <row r="25029" spans="1:2" x14ac:dyDescent="0.25">
      <c r="A25029" s="64" t="str">
        <f>HYPERLINK("http://www.twitter.com/MrsFBoo", "MrsFBoo")</f>
        <v>MrsFBoo</v>
      </c>
      <c r="B25029" s="65" t="s">
        <v>11028</v>
      </c>
    </row>
    <row r="25030" spans="1:2" x14ac:dyDescent="0.25">
      <c r="A25030" s="64" t="str">
        <f>HYPERLINK("http://www.twitter.com/liz_hartley", "liz_hartley")</f>
        <v>liz_hartley</v>
      </c>
      <c r="B25030" s="65"/>
    </row>
    <row r="25031" spans="1:2" x14ac:dyDescent="0.25">
      <c r="A25031" s="64" t="str">
        <f>HYPERLINK("http://www.twitter.com/kattvantar", "kattvantar")</f>
        <v>kattvantar</v>
      </c>
      <c r="B25031" s="65" t="s">
        <v>3785</v>
      </c>
    </row>
    <row r="25032" spans="1:2" x14ac:dyDescent="0.25">
      <c r="A25032" s="64" t="str">
        <f>HYPERLINK("http://www.twitter.com/mpedson", "mpedson")</f>
        <v>mpedson</v>
      </c>
      <c r="B25032" s="65" t="s">
        <v>4177</v>
      </c>
    </row>
    <row r="25033" spans="1:2" x14ac:dyDescent="0.25">
      <c r="A25033" s="64" t="str">
        <f>HYPERLINK("http://www.twitter.com/Diana_Jarvis", "Diana_Jarvis")</f>
        <v>Diana_Jarvis</v>
      </c>
      <c r="B25033" s="65" t="s">
        <v>11029</v>
      </c>
    </row>
    <row r="25034" spans="1:2" x14ac:dyDescent="0.25">
      <c r="A25034" s="64" t="str">
        <f>HYPERLINK("http://www.twitter.com/HannahLKeith", "HannahLKeith")</f>
        <v>HannahLKeith</v>
      </c>
      <c r="B25034" s="65"/>
    </row>
    <row r="25035" spans="1:2" x14ac:dyDescent="0.25">
      <c r="A25035" s="64" t="str">
        <f>HYPERLINK("http://www.twitter.com/PaulaBonner3", "PaulaBonner3")</f>
        <v>PaulaBonner3</v>
      </c>
      <c r="B25035" s="65"/>
    </row>
    <row r="25036" spans="1:2" x14ac:dyDescent="0.25">
      <c r="A25036" s="64" t="str">
        <f>HYPERLINK("http://www.twitter.com/SaraOANow", "SaraOANow")</f>
        <v>SaraOANow</v>
      </c>
      <c r="B25036" s="65" t="s">
        <v>11030</v>
      </c>
    </row>
    <row r="25037" spans="1:2" x14ac:dyDescent="0.25">
      <c r="A25037" s="64" t="str">
        <f>HYPERLINK("http://www.twitter.com/Bibliophile1001", "Bibliophile1001")</f>
        <v>Bibliophile1001</v>
      </c>
      <c r="B25037" s="65" t="s">
        <v>1490</v>
      </c>
    </row>
    <row r="25038" spans="1:2" x14ac:dyDescent="0.25">
      <c r="A25038" s="64" t="str">
        <f>HYPERLINK("http://www.twitter.com/tonicar5", "tonicar5")</f>
        <v>tonicar5</v>
      </c>
      <c r="B25038" s="65" t="s">
        <v>36</v>
      </c>
    </row>
    <row r="25039" spans="1:2" x14ac:dyDescent="0.25">
      <c r="A25039" s="64" t="str">
        <f>HYPERLINK("http://www.twitter.com/BMBNolan", "BMBNolan")</f>
        <v>BMBNolan</v>
      </c>
      <c r="B25039" s="65" t="s">
        <v>3988</v>
      </c>
    </row>
    <row r="25040" spans="1:2" x14ac:dyDescent="0.25">
      <c r="A25040" s="64" t="str">
        <f>HYPERLINK("http://www.twitter.com/talkn3rdytome33", "talkn3rdytome33")</f>
        <v>talkn3rdytome33</v>
      </c>
      <c r="B25040" s="65" t="s">
        <v>4655</v>
      </c>
    </row>
    <row r="25041" spans="1:2" x14ac:dyDescent="0.25">
      <c r="A25041" s="64" t="str">
        <f>HYPERLINK("http://www.twitter.com/EmilyPramik", "EmilyPramik")</f>
        <v>EmilyPramik</v>
      </c>
      <c r="B25041" s="65"/>
    </row>
    <row r="25042" spans="1:2" x14ac:dyDescent="0.25">
      <c r="A25042" s="64" t="str">
        <f>HYPERLINK("http://www.twitter.com/nettsk1", "nettsk1")</f>
        <v>nettsk1</v>
      </c>
      <c r="B25042" s="65"/>
    </row>
    <row r="25043" spans="1:2" x14ac:dyDescent="0.25">
      <c r="A25043" s="64" t="str">
        <f>HYPERLINK("http://www.twitter.com/Gweilouk", "Gweilouk")</f>
        <v>Gweilouk</v>
      </c>
      <c r="B25043" s="65" t="s">
        <v>2580</v>
      </c>
    </row>
    <row r="25044" spans="1:2" x14ac:dyDescent="0.25">
      <c r="A25044" s="64" t="str">
        <f>HYPERLINK("http://www.twitter.com/Libelkat", "Libelkat")</f>
        <v>Libelkat</v>
      </c>
      <c r="B25044" s="65"/>
    </row>
    <row r="25045" spans="1:2" x14ac:dyDescent="0.25">
      <c r="A25045" s="64" t="str">
        <f>HYPERLINK("http://www.twitter.com/calumcameron", "calumcameron")</f>
        <v>calumcameron</v>
      </c>
      <c r="B25045" s="65" t="s">
        <v>11031</v>
      </c>
    </row>
    <row r="25046" spans="1:2" x14ac:dyDescent="0.25">
      <c r="A25046" s="64" t="str">
        <f>HYPERLINK("http://www.twitter.com/granite1014", "granite1014")</f>
        <v>granite1014</v>
      </c>
      <c r="B25046" s="65"/>
    </row>
    <row r="25047" spans="1:2" x14ac:dyDescent="0.25">
      <c r="A25047" s="64" t="str">
        <f>HYPERLINK("http://www.twitter.com/MissKEW", "MissKEW")</f>
        <v>MissKEW</v>
      </c>
      <c r="B25047" s="65" t="s">
        <v>24</v>
      </c>
    </row>
    <row r="25048" spans="1:2" x14ac:dyDescent="0.25">
      <c r="A25048" s="64" t="str">
        <f>HYPERLINK("http://www.twitter.com/CelticLad89", "CelticLad89")</f>
        <v>CelticLad89</v>
      </c>
      <c r="B25048" s="65" t="s">
        <v>115</v>
      </c>
    </row>
    <row r="25049" spans="1:2" x14ac:dyDescent="0.25">
      <c r="A25049" s="64" t="str">
        <f>HYPERLINK("http://www.twitter.com/Philcat4", "Philcat4")</f>
        <v>Philcat4</v>
      </c>
      <c r="B25049" s="65" t="s">
        <v>6599</v>
      </c>
    </row>
    <row r="25050" spans="1:2" x14ac:dyDescent="0.25">
      <c r="A25050" s="64" t="str">
        <f>HYPERLINK("http://www.twitter.com/StefanBirch", "StefanBirch")</f>
        <v>StefanBirch</v>
      </c>
      <c r="B25050" s="65" t="s">
        <v>7488</v>
      </c>
    </row>
    <row r="25051" spans="1:2" x14ac:dyDescent="0.25">
      <c r="A25051" s="64" t="str">
        <f>HYPERLINK("http://www.twitter.com/LPorter1789", "LPorter1789")</f>
        <v>LPorter1789</v>
      </c>
      <c r="B25051" s="65"/>
    </row>
    <row r="25052" spans="1:2" x14ac:dyDescent="0.25">
      <c r="A25052" s="64" t="str">
        <f>HYPERLINK("http://www.twitter.com/Barney_Payne", "Barney_Payne")</f>
        <v>Barney_Payne</v>
      </c>
      <c r="B25052" s="65" t="s">
        <v>1601</v>
      </c>
    </row>
    <row r="25053" spans="1:2" x14ac:dyDescent="0.25">
      <c r="A25053" s="64" t="str">
        <f>HYPERLINK("http://www.twitter.com/Dawnsls", "Dawnsls")</f>
        <v>Dawnsls</v>
      </c>
      <c r="B25053" s="65"/>
    </row>
    <row r="25054" spans="1:2" x14ac:dyDescent="0.25">
      <c r="A25054" s="64" t="str">
        <f>HYPERLINK("http://www.twitter.com/GMacademic", "GMacademic")</f>
        <v>GMacademic</v>
      </c>
      <c r="B25054" s="65" t="s">
        <v>11032</v>
      </c>
    </row>
    <row r="25055" spans="1:2" x14ac:dyDescent="0.25">
      <c r="A25055" s="64" t="str">
        <f>HYPERLINK("http://www.twitter.com/troubshaw", "troubshaw")</f>
        <v>troubshaw</v>
      </c>
      <c r="B25055" s="65" t="s">
        <v>505</v>
      </c>
    </row>
    <row r="25056" spans="1:2" x14ac:dyDescent="0.25">
      <c r="A25056" s="64" t="str">
        <f>HYPERLINK("http://www.twitter.com/CFiona87", "CFiona87")</f>
        <v>CFiona87</v>
      </c>
      <c r="B25056" s="65" t="s">
        <v>20</v>
      </c>
    </row>
    <row r="25057" spans="1:2" x14ac:dyDescent="0.25">
      <c r="A25057" s="64" t="str">
        <f>HYPERLINK("http://www.twitter.com/AnncrisRoberts", "AnncrisRoberts")</f>
        <v>AnncrisRoberts</v>
      </c>
      <c r="B25057" s="65"/>
    </row>
    <row r="25058" spans="1:2" x14ac:dyDescent="0.25">
      <c r="A25058" s="64" t="str">
        <f>HYPERLINK("http://www.twitter.com/cloquetlibrary", "cloquetlibrary")</f>
        <v>cloquetlibrary</v>
      </c>
      <c r="B25058" s="65" t="s">
        <v>11033</v>
      </c>
    </row>
    <row r="25059" spans="1:2" x14ac:dyDescent="0.25">
      <c r="A25059" s="64" t="str">
        <f>HYPERLINK("http://www.twitter.com/rodmanlibrary", "rodmanlibrary")</f>
        <v>rodmanlibrary</v>
      </c>
      <c r="B25059" s="65" t="s">
        <v>11034</v>
      </c>
    </row>
    <row r="25060" spans="1:2" x14ac:dyDescent="0.25">
      <c r="A25060" s="64" t="str">
        <f>HYPERLINK("http://www.twitter.com/laurabenedict", "laurabenedict")</f>
        <v>laurabenedict</v>
      </c>
      <c r="B25060" s="65"/>
    </row>
    <row r="25061" spans="1:2" x14ac:dyDescent="0.25">
      <c r="A25061" s="64" t="str">
        <f>HYPERLINK("http://www.twitter.com/susan_pola", "susan_pola")</f>
        <v>susan_pola</v>
      </c>
      <c r="B25061" s="65" t="s">
        <v>1479</v>
      </c>
    </row>
    <row r="25062" spans="1:2" x14ac:dyDescent="0.25">
      <c r="A25062" s="64" t="str">
        <f>HYPERLINK("http://www.twitter.com/jackiecameron1", "jackiecameron1")</f>
        <v>jackiecameron1</v>
      </c>
      <c r="B25062" s="65" t="s">
        <v>487</v>
      </c>
    </row>
    <row r="25063" spans="1:2" x14ac:dyDescent="0.25">
      <c r="A25063" s="64" t="str">
        <f>HYPERLINK("http://www.twitter.com/MegGardiner1", "MegGardiner1")</f>
        <v>MegGardiner1</v>
      </c>
      <c r="B25063" s="65" t="s">
        <v>11035</v>
      </c>
    </row>
    <row r="25064" spans="1:2" x14ac:dyDescent="0.25">
      <c r="A25064" s="64" t="str">
        <f>HYPERLINK("http://www.twitter.com/Joe_Bean", "Joe_Bean")</f>
        <v>Joe_Bean</v>
      </c>
      <c r="B25064" s="65" t="s">
        <v>11036</v>
      </c>
    </row>
    <row r="25065" spans="1:2" x14ac:dyDescent="0.25">
      <c r="A25065" s="64" t="str">
        <f>HYPERLINK("http://www.twitter.com/Gondtengwen", "Gondtengwen")</f>
        <v>Gondtengwen</v>
      </c>
      <c r="B25065" s="65" t="s">
        <v>1490</v>
      </c>
    </row>
    <row r="25066" spans="1:2" x14ac:dyDescent="0.25">
      <c r="A25066" s="64" t="str">
        <f>HYPERLINK("http://www.twitter.com/irenedrever", "irenedrever")</f>
        <v>irenedrever</v>
      </c>
      <c r="B25066" s="65"/>
    </row>
    <row r="25067" spans="1:2" x14ac:dyDescent="0.25">
      <c r="A25067" s="64" t="str">
        <f>HYPERLINK("http://www.twitter.com/Albatwinma", "Albatwinma")</f>
        <v>Albatwinma</v>
      </c>
      <c r="B25067" s="65" t="s">
        <v>1841</v>
      </c>
    </row>
    <row r="25068" spans="1:2" x14ac:dyDescent="0.25">
      <c r="A25068" s="64" t="str">
        <f>HYPERLINK("http://www.twitter.com/trainstruck", "trainstruck")</f>
        <v>trainstruck</v>
      </c>
      <c r="B25068" s="65" t="s">
        <v>4274</v>
      </c>
    </row>
    <row r="25069" spans="1:2" x14ac:dyDescent="0.25">
      <c r="A25069" s="64" t="str">
        <f>HYPERLINK("http://www.twitter.com/TIASSL", "TIASSL")</f>
        <v>TIASSL</v>
      </c>
      <c r="B25069" s="65" t="s">
        <v>517</v>
      </c>
    </row>
    <row r="25070" spans="1:2" x14ac:dyDescent="0.25">
      <c r="A25070" s="64" t="str">
        <f>HYPERLINK("http://www.twitter.com/bsbd2511", "bsbd2511")</f>
        <v>bsbd2511</v>
      </c>
      <c r="B25070" s="65"/>
    </row>
    <row r="25071" spans="1:2" x14ac:dyDescent="0.25">
      <c r="A25071" s="64" t="str">
        <f>HYPERLINK("http://www.twitter.com/SarahLynKoster", "SarahLynKoster")</f>
        <v>SarahLynKoster</v>
      </c>
      <c r="B25071" s="65" t="s">
        <v>11037</v>
      </c>
    </row>
    <row r="25072" spans="1:2" x14ac:dyDescent="0.25">
      <c r="A25072" s="64" t="str">
        <f>HYPERLINK("http://www.twitter.com/kao_neill", "kao_neill")</f>
        <v>kao_neill</v>
      </c>
      <c r="B25072" s="65"/>
    </row>
    <row r="25073" spans="1:2" x14ac:dyDescent="0.25">
      <c r="A25073" s="64" t="str">
        <f>HYPERLINK("http://www.twitter.com/lolalirola", "lolalirola")</f>
        <v>lolalirola</v>
      </c>
      <c r="B25073" s="65"/>
    </row>
    <row r="25074" spans="1:2" x14ac:dyDescent="0.25">
      <c r="A25074" s="64" t="str">
        <f>HYPERLINK("http://www.twitter.com/Razzarach", "Razzarach")</f>
        <v>Razzarach</v>
      </c>
      <c r="B25074" s="65" t="s">
        <v>11038</v>
      </c>
    </row>
    <row r="25075" spans="1:2" x14ac:dyDescent="0.25">
      <c r="A25075" s="64" t="str">
        <f>HYPERLINK("http://www.twitter.com/cegoffin", "cegoffin")</f>
        <v>cegoffin</v>
      </c>
      <c r="B25075" s="65"/>
    </row>
    <row r="25076" spans="1:2" x14ac:dyDescent="0.25">
      <c r="A25076" s="64" t="str">
        <f>HYPERLINK("http://www.twitter.com/jdr1976", "jdr1976")</f>
        <v>jdr1976</v>
      </c>
      <c r="B25076" s="65"/>
    </row>
    <row r="25077" spans="1:2" x14ac:dyDescent="0.25">
      <c r="A25077" s="64" t="str">
        <f>HYPERLINK("http://www.twitter.com/km5643", "km5643")</f>
        <v>km5643</v>
      </c>
      <c r="B25077" s="65" t="s">
        <v>4695</v>
      </c>
    </row>
    <row r="25078" spans="1:2" x14ac:dyDescent="0.25">
      <c r="A25078" s="64" t="str">
        <f>HYPERLINK("http://www.twitter.com/terrordactyl_", "terrordactyl_")</f>
        <v>terrordactyl_</v>
      </c>
      <c r="B25078" s="65" t="s">
        <v>318</v>
      </c>
    </row>
    <row r="25079" spans="1:2" x14ac:dyDescent="0.25">
      <c r="A25079" s="64" t="str">
        <f>HYPERLINK("http://www.twitter.com/meebs123", "meebs123")</f>
        <v>meebs123</v>
      </c>
      <c r="B25079" s="65" t="s">
        <v>4447</v>
      </c>
    </row>
    <row r="25080" spans="1:2" x14ac:dyDescent="0.25">
      <c r="A25080" s="64" t="str">
        <f>HYPERLINK("http://www.twitter.com/farse", "farse")</f>
        <v>farse</v>
      </c>
      <c r="B25080" s="65" t="s">
        <v>4108</v>
      </c>
    </row>
    <row r="25081" spans="1:2" x14ac:dyDescent="0.25">
      <c r="A25081" s="64" t="str">
        <f>HYPERLINK("http://www.twitter.com/davidmatkinson4", "davidmatkinson4")</f>
        <v>davidmatkinson4</v>
      </c>
      <c r="B25081" s="65"/>
    </row>
    <row r="25082" spans="1:2" x14ac:dyDescent="0.25">
      <c r="A25082" s="64" t="str">
        <f>HYPERLINK("http://www.twitter.com/GorgeousTltd", "GorgeousTltd")</f>
        <v>GorgeousTltd</v>
      </c>
      <c r="B25082" s="65" t="s">
        <v>11039</v>
      </c>
    </row>
    <row r="25083" spans="1:2" x14ac:dyDescent="0.25">
      <c r="A25083" s="64" t="str">
        <f>HYPERLINK("http://www.twitter.com/OverexcitedJrCW", "OverexcitedJrCW")</f>
        <v>OverexcitedJrCW</v>
      </c>
      <c r="B25083" s="65" t="s">
        <v>10646</v>
      </c>
    </row>
    <row r="25084" spans="1:2" x14ac:dyDescent="0.25">
      <c r="A25084" s="64" t="str">
        <f>HYPERLINK("http://www.twitter.com/ShaunOrolin", "ShaunOrolin")</f>
        <v>ShaunOrolin</v>
      </c>
      <c r="B25084" s="65"/>
    </row>
    <row r="25085" spans="1:2" x14ac:dyDescent="0.25">
      <c r="A25085" s="64" t="str">
        <f>HYPERLINK("http://www.twitter.com/Joes_head_chef", "Joes_head_chef")</f>
        <v>Joes_head_chef</v>
      </c>
      <c r="B25085" s="65" t="s">
        <v>11040</v>
      </c>
    </row>
    <row r="25086" spans="1:2" x14ac:dyDescent="0.25">
      <c r="A25086" s="64" t="str">
        <f>HYPERLINK("http://www.twitter.com/s65s", "s65s")</f>
        <v>s65s</v>
      </c>
      <c r="B25086" s="65"/>
    </row>
    <row r="25087" spans="1:2" x14ac:dyDescent="0.25">
      <c r="A25087" s="64" t="str">
        <f>HYPERLINK("http://www.twitter.com/nessmckean", "nessmckean")</f>
        <v>nessmckean</v>
      </c>
      <c r="B25087" s="65" t="s">
        <v>36</v>
      </c>
    </row>
    <row r="25088" spans="1:2" x14ac:dyDescent="0.25">
      <c r="A25088" s="64" t="str">
        <f>HYPERLINK("http://www.twitter.com/daffylondon", "daffylondon")</f>
        <v>daffylondon</v>
      </c>
      <c r="B25088" s="65" t="s">
        <v>36</v>
      </c>
    </row>
    <row r="25089" spans="1:2" x14ac:dyDescent="0.25">
      <c r="A25089" s="64" t="str">
        <f>HYPERLINK("http://www.twitter.com/cedoddsuk", "cedoddsuk")</f>
        <v>cedoddsuk</v>
      </c>
      <c r="B25089" s="65"/>
    </row>
    <row r="25090" spans="1:2" x14ac:dyDescent="0.25">
      <c r="A25090" s="64" t="str">
        <f>HYPERLINK("http://www.twitter.com/Pierres_Falkirk", "Pierres_Falkirk")</f>
        <v>Pierres_Falkirk</v>
      </c>
      <c r="B25090" s="65" t="s">
        <v>11041</v>
      </c>
    </row>
    <row r="25091" spans="1:2" x14ac:dyDescent="0.25">
      <c r="A25091" s="64" t="str">
        <f>HYPERLINK("http://www.twitter.com/SmartCanuk", "SmartCanuk")</f>
        <v>SmartCanuk</v>
      </c>
      <c r="B25091" s="65"/>
    </row>
    <row r="25092" spans="1:2" x14ac:dyDescent="0.25">
      <c r="A25092" s="64" t="str">
        <f>HYPERLINK("http://www.twitter.com/Rache76", "Rache76")</f>
        <v>Rache76</v>
      </c>
      <c r="B25092" s="65" t="s">
        <v>70</v>
      </c>
    </row>
    <row r="25093" spans="1:2" x14ac:dyDescent="0.25">
      <c r="A25093" s="64" t="str">
        <f>HYPERLINK("http://www.twitter.com/alexandhelen", "alexandhelen")</f>
        <v>alexandhelen</v>
      </c>
      <c r="B25093" s="65" t="s">
        <v>11042</v>
      </c>
    </row>
    <row r="25094" spans="1:2" x14ac:dyDescent="0.25">
      <c r="A25094" s="64" t="str">
        <f>HYPERLINK("http://www.twitter.com/anne_sigrid", "anne_sigrid")</f>
        <v>anne_sigrid</v>
      </c>
      <c r="B25094" s="65" t="s">
        <v>5877</v>
      </c>
    </row>
    <row r="25095" spans="1:2" x14ac:dyDescent="0.25">
      <c r="A25095" s="64" t="str">
        <f>HYPERLINK("http://www.twitter.com/vivacita", "vivacita")</f>
        <v>vivacita</v>
      </c>
      <c r="B25095" s="65"/>
    </row>
    <row r="25096" spans="1:2" x14ac:dyDescent="0.25">
      <c r="A25096" s="64" t="str">
        <f>HYPERLINK("http://www.twitter.com/geextwo", "geextwo")</f>
        <v>geextwo</v>
      </c>
      <c r="B25096" s="65" t="s">
        <v>5173</v>
      </c>
    </row>
    <row r="25097" spans="1:2" x14ac:dyDescent="0.25">
      <c r="A25097" s="64" t="str">
        <f>HYPERLINK("http://www.twitter.com/Sister_Twisty", "Sister_Twisty")</f>
        <v>Sister_Twisty</v>
      </c>
      <c r="B25097" s="65"/>
    </row>
    <row r="25098" spans="1:2" x14ac:dyDescent="0.25">
      <c r="A25098" s="64" t="str">
        <f>HYPERLINK("http://www.twitter.com/IzyChampion", "IzyChampion")</f>
        <v>IzyChampion</v>
      </c>
      <c r="B25098" s="65" t="s">
        <v>36</v>
      </c>
    </row>
    <row r="25099" spans="1:2" x14ac:dyDescent="0.25">
      <c r="A25099" s="64" t="str">
        <f>HYPERLINK("http://www.twitter.com/Lgraceadrea", "Lgraceadrea")</f>
        <v>Lgraceadrea</v>
      </c>
      <c r="B25099" s="65" t="s">
        <v>11043</v>
      </c>
    </row>
    <row r="25100" spans="1:2" x14ac:dyDescent="0.25">
      <c r="A25100" s="64" t="str">
        <f>HYPERLINK("http://www.twitter.com/patrickmainland", "patrickmainland")</f>
        <v>patrickmainland</v>
      </c>
      <c r="B25100" s="65"/>
    </row>
    <row r="25101" spans="1:2" x14ac:dyDescent="0.25">
      <c r="A25101" s="64" t="str">
        <f>HYPERLINK("http://www.twitter.com/JLHynum", "JLHynum")</f>
        <v>JLHynum</v>
      </c>
      <c r="B25101" s="65" t="s">
        <v>4193</v>
      </c>
    </row>
    <row r="25102" spans="1:2" x14ac:dyDescent="0.25">
      <c r="A25102" s="64" t="str">
        <f>HYPERLINK("http://www.twitter.com/willow019", "willow019")</f>
        <v>willow019</v>
      </c>
      <c r="B25102" s="65" t="s">
        <v>4193</v>
      </c>
    </row>
    <row r="25103" spans="1:2" x14ac:dyDescent="0.25">
      <c r="A25103" s="64" t="str">
        <f>HYPERLINK("http://www.twitter.com/LenaLundOlsen", "LenaLundOlsen")</f>
        <v>LenaLundOlsen</v>
      </c>
      <c r="B25103" s="65" t="s">
        <v>11044</v>
      </c>
    </row>
    <row r="25104" spans="1:2" x14ac:dyDescent="0.25">
      <c r="A25104" s="64" t="str">
        <f>HYPERLINK("http://www.twitter.com/KatieIKirby", "KatieIKirby")</f>
        <v>KatieIKirby</v>
      </c>
      <c r="B25104" s="65"/>
    </row>
    <row r="25105" spans="1:2" x14ac:dyDescent="0.25">
      <c r="A25105" s="64" t="str">
        <f>HYPERLINK("http://www.twitter.com/dallas_deb", "dallas_deb")</f>
        <v>dallas_deb</v>
      </c>
      <c r="B25105" s="65" t="s">
        <v>11045</v>
      </c>
    </row>
    <row r="25106" spans="1:2" x14ac:dyDescent="0.25">
      <c r="A25106" s="64" t="str">
        <f>HYPERLINK("http://www.twitter.com/Brodgar", "Brodgar")</f>
        <v>Brodgar</v>
      </c>
      <c r="B25106" s="65" t="s">
        <v>11046</v>
      </c>
    </row>
    <row r="25107" spans="1:2" x14ac:dyDescent="0.25">
      <c r="A25107" s="64" t="str">
        <f>HYPERLINK("http://www.twitter.com/salebfraz", "salebfraz")</f>
        <v>salebfraz</v>
      </c>
      <c r="B25107" s="65" t="s">
        <v>5667</v>
      </c>
    </row>
    <row r="25108" spans="1:2" x14ac:dyDescent="0.25">
      <c r="A25108" s="64" t="str">
        <f>HYPERLINK("http://www.twitter.com/Nannon72", "Nannon72")</f>
        <v>Nannon72</v>
      </c>
      <c r="B25108" s="65" t="s">
        <v>5718</v>
      </c>
    </row>
    <row r="25109" spans="1:2" x14ac:dyDescent="0.25">
      <c r="A25109" s="64" t="str">
        <f>HYPERLINK("http://www.twitter.com/LisR", "LisR")</f>
        <v>LisR</v>
      </c>
      <c r="B25109" s="65" t="s">
        <v>36</v>
      </c>
    </row>
    <row r="25110" spans="1:2" x14ac:dyDescent="0.25">
      <c r="A25110" s="64" t="str">
        <f>HYPERLINK("http://www.twitter.com/EMorETon47", "EMorETon47")</f>
        <v>EMorETon47</v>
      </c>
      <c r="B25110" s="65" t="s">
        <v>10105</v>
      </c>
    </row>
    <row r="25111" spans="1:2" x14ac:dyDescent="0.25">
      <c r="A25111" s="64" t="str">
        <f>HYPERLINK("http://www.twitter.com/Lee_McGeorge", "Lee_McGeorge")</f>
        <v>Lee_McGeorge</v>
      </c>
      <c r="B25111" s="65" t="s">
        <v>36</v>
      </c>
    </row>
    <row r="25112" spans="1:2" x14ac:dyDescent="0.25">
      <c r="A25112" s="64" t="str">
        <f>HYPERLINK("http://www.twitter.com/DrOwenClayton", "DrOwenClayton")</f>
        <v>DrOwenClayton</v>
      </c>
      <c r="B25112" s="65" t="s">
        <v>11047</v>
      </c>
    </row>
    <row r="25113" spans="1:2" x14ac:dyDescent="0.25">
      <c r="A25113" s="64" t="str">
        <f>HYPERLINK("http://www.twitter.com/N_G_Jones", "N_G_Jones")</f>
        <v>N_G_Jones</v>
      </c>
      <c r="B25113" s="65"/>
    </row>
    <row r="25114" spans="1:2" x14ac:dyDescent="0.25">
      <c r="A25114" s="64" t="str">
        <f>HYPERLINK("http://www.twitter.com/LezzelEd", "LezzelEd")</f>
        <v>LezzelEd</v>
      </c>
      <c r="B25114" s="65"/>
    </row>
    <row r="25115" spans="1:2" x14ac:dyDescent="0.25">
      <c r="A25115" s="64" t="str">
        <f>HYPERLINK("http://www.twitter.com/mrsphillipo", "mrsphillipo")</f>
        <v>mrsphillipo</v>
      </c>
      <c r="B25115" s="65" t="s">
        <v>569</v>
      </c>
    </row>
    <row r="25116" spans="1:2" x14ac:dyDescent="0.25">
      <c r="A25116" s="64" t="str">
        <f>HYPERLINK("http://www.twitter.com/portraitgoddess", "portraitgoddess")</f>
        <v>portraitgoddess</v>
      </c>
      <c r="B25116" s="65" t="s">
        <v>4229</v>
      </c>
    </row>
    <row r="25117" spans="1:2" x14ac:dyDescent="0.25">
      <c r="A25117" s="64" t="str">
        <f>HYPERLINK("http://www.twitter.com/kjf41", "kjf41")</f>
        <v>kjf41</v>
      </c>
      <c r="B25117" s="65"/>
    </row>
    <row r="25118" spans="1:2" x14ac:dyDescent="0.25">
      <c r="A25118" s="64" t="str">
        <f>HYPERLINK("http://www.twitter.com/fmcs227", "fmcs227")</f>
        <v>fmcs227</v>
      </c>
      <c r="B25118" s="65" t="s">
        <v>138</v>
      </c>
    </row>
    <row r="25119" spans="1:2" x14ac:dyDescent="0.25">
      <c r="A25119" s="64" t="str">
        <f>HYPERLINK("http://www.twitter.com/JessicaSulier", "JessicaSulier")</f>
        <v>JessicaSulier</v>
      </c>
      <c r="B25119" s="65" t="s">
        <v>11048</v>
      </c>
    </row>
    <row r="25120" spans="1:2" x14ac:dyDescent="0.25">
      <c r="A25120" s="64" t="str">
        <f>HYPERLINK("http://www.twitter.com/Scienceofthelab", "Scienceofthelab")</f>
        <v>Scienceofthelab</v>
      </c>
      <c r="B25120" s="65" t="s">
        <v>11049</v>
      </c>
    </row>
    <row r="25121" spans="1:2" x14ac:dyDescent="0.25">
      <c r="A25121" s="64" t="str">
        <f>HYPERLINK("http://www.twitter.com/Charlotte8694", "Charlotte8694")</f>
        <v>Charlotte8694</v>
      </c>
      <c r="B25121" s="65" t="s">
        <v>2007</v>
      </c>
    </row>
    <row r="25122" spans="1:2" x14ac:dyDescent="0.25">
      <c r="A25122" s="64" t="str">
        <f>HYPERLINK("http://www.twitter.com/cw359", "cw359")</f>
        <v>cw359</v>
      </c>
      <c r="B25122" s="65"/>
    </row>
    <row r="25123" spans="1:2" x14ac:dyDescent="0.25">
      <c r="A25123" s="64" t="str">
        <f>HYPERLINK("http://www.twitter.com/garyjshewan", "garyjshewan")</f>
        <v>garyjshewan</v>
      </c>
      <c r="B25123" s="65" t="s">
        <v>11050</v>
      </c>
    </row>
    <row r="25124" spans="1:2" x14ac:dyDescent="0.25">
      <c r="A25124" s="64" t="str">
        <f>HYPERLINK("http://www.twitter.com/emmybowow", "emmybowow")</f>
        <v>emmybowow</v>
      </c>
      <c r="B25124" s="65" t="s">
        <v>7625</v>
      </c>
    </row>
    <row r="25125" spans="1:2" x14ac:dyDescent="0.25">
      <c r="A25125" s="64" t="str">
        <f>HYPERLINK("http://www.twitter.com/ISeeBooks", "ISeeBooks")</f>
        <v>ISeeBooks</v>
      </c>
      <c r="B25125" s="65"/>
    </row>
    <row r="25126" spans="1:2" x14ac:dyDescent="0.25">
      <c r="A25126" s="64" t="str">
        <f>HYPERLINK("http://www.twitter.com/ruththerep", "ruththerep")</f>
        <v>ruththerep</v>
      </c>
      <c r="B25126" s="65" t="s">
        <v>138</v>
      </c>
    </row>
    <row r="25127" spans="1:2" x14ac:dyDescent="0.25">
      <c r="A25127" s="64" t="str">
        <f>HYPERLINK("http://www.twitter.com/elsbeth", "elsbeth")</f>
        <v>elsbeth</v>
      </c>
      <c r="B25127" s="65" t="s">
        <v>11051</v>
      </c>
    </row>
    <row r="25128" spans="1:2" x14ac:dyDescent="0.25">
      <c r="A25128" s="64" t="str">
        <f>HYPERLINK("http://www.twitter.com/wishfullythinks", "wishfullythinks")</f>
        <v>wishfullythinks</v>
      </c>
      <c r="B25128" s="65" t="s">
        <v>5807</v>
      </c>
    </row>
    <row r="25129" spans="1:2" x14ac:dyDescent="0.25">
      <c r="A25129" s="64" t="str">
        <f>HYPERLINK("http://www.twitter.com/_joehiggins", "_joehiggins")</f>
        <v>_joehiggins</v>
      </c>
      <c r="B25129" s="65" t="s">
        <v>3821</v>
      </c>
    </row>
    <row r="25130" spans="1:2" x14ac:dyDescent="0.25">
      <c r="A25130" s="64" t="str">
        <f>HYPERLINK("http://www.twitter.com/a_l_richardson", "a_l_richardson")</f>
        <v>a_l_richardson</v>
      </c>
      <c r="B25130" s="65"/>
    </row>
    <row r="25131" spans="1:2" x14ac:dyDescent="0.25">
      <c r="A25131" s="64" t="str">
        <f>HYPERLINK("http://www.twitter.com/WardCatriona", "WardCatriona")</f>
        <v>WardCatriona</v>
      </c>
      <c r="B25131" s="65" t="s">
        <v>9326</v>
      </c>
    </row>
    <row r="25132" spans="1:2" x14ac:dyDescent="0.25">
      <c r="A25132" s="64" t="str">
        <f>HYPERLINK("http://www.twitter.com/karen48495", "karen48495")</f>
        <v>karen48495</v>
      </c>
      <c r="B25132" s="65"/>
    </row>
    <row r="25133" spans="1:2" x14ac:dyDescent="0.25">
      <c r="A25133" s="64" t="str">
        <f>HYPERLINK("http://www.twitter.com/ruthcull", "ruthcull")</f>
        <v>ruthcull</v>
      </c>
      <c r="B25133" s="65" t="s">
        <v>6313</v>
      </c>
    </row>
    <row r="25134" spans="1:2" x14ac:dyDescent="0.25">
      <c r="A25134" s="64" t="str">
        <f>HYPERLINK("http://www.twitter.com/SenefelderBlack", "SenefelderBlack")</f>
        <v>SenefelderBlack</v>
      </c>
      <c r="B25134" s="65"/>
    </row>
    <row r="25135" spans="1:2" x14ac:dyDescent="0.25">
      <c r="A25135" s="64" t="str">
        <f>HYPERLINK("http://www.twitter.com/ehbeshears", "ehbeshears")</f>
        <v>ehbeshears</v>
      </c>
      <c r="B25135" s="65"/>
    </row>
    <row r="25136" spans="1:2" x14ac:dyDescent="0.25">
      <c r="A25136" s="64" t="str">
        <f>HYPERLINK("http://www.twitter.com/sajonas66", "sajonas66")</f>
        <v>sajonas66</v>
      </c>
      <c r="B25136" s="65"/>
    </row>
    <row r="25137" spans="1:2" x14ac:dyDescent="0.25">
      <c r="A25137" s="64" t="str">
        <f>HYPERLINK("http://www.twitter.com/LizMM67", "LizMM67")</f>
        <v>LizMM67</v>
      </c>
      <c r="B25137" s="65" t="s">
        <v>11052</v>
      </c>
    </row>
    <row r="25138" spans="1:2" x14ac:dyDescent="0.25">
      <c r="A25138" s="64" t="str">
        <f>HYPERLINK("http://www.twitter.com/KathyMcFadzean", "KathyMcFadzean")</f>
        <v>KathyMcFadzean</v>
      </c>
      <c r="B25138" s="65" t="s">
        <v>601</v>
      </c>
    </row>
    <row r="25139" spans="1:2" x14ac:dyDescent="0.25">
      <c r="A25139" s="64" t="str">
        <f>HYPERLINK("http://www.twitter.com/princesshannyx", "princesshannyx")</f>
        <v>princesshannyx</v>
      </c>
      <c r="B25139" s="65" t="s">
        <v>296</v>
      </c>
    </row>
    <row r="25140" spans="1:2" x14ac:dyDescent="0.25">
      <c r="A25140" s="64" t="str">
        <f>HYPERLINK("http://www.twitter.com/Bricks4KidzCorp", "Bricks4KidzCorp")</f>
        <v>Bricks4KidzCorp</v>
      </c>
      <c r="B25140" s="65" t="s">
        <v>11053</v>
      </c>
    </row>
    <row r="25141" spans="1:2" x14ac:dyDescent="0.25">
      <c r="A25141" s="64" t="str">
        <f>HYPERLINK("http://www.twitter.com/cat22_Katherine", "cat22_Katherine")</f>
        <v>cat22_Katherine</v>
      </c>
      <c r="B25141" s="65"/>
    </row>
    <row r="25142" spans="1:2" x14ac:dyDescent="0.25">
      <c r="A25142" s="64" t="str">
        <f>HYPERLINK("http://www.twitter.com/74_joanne", "74_joanne")</f>
        <v>74_joanne</v>
      </c>
      <c r="B25142" s="65" t="s">
        <v>11054</v>
      </c>
    </row>
    <row r="25143" spans="1:2" x14ac:dyDescent="0.25">
      <c r="A25143" s="64" t="str">
        <f>HYPERLINK("http://www.twitter.com/philiplittle40", "philiplittle40")</f>
        <v>philiplittle40</v>
      </c>
      <c r="B25143" s="65" t="s">
        <v>11055</v>
      </c>
    </row>
    <row r="25144" spans="1:2" x14ac:dyDescent="0.25">
      <c r="A25144" s="64" t="str">
        <f>HYPERLINK("http://www.twitter.com/cwdwalker", "cwdwalker")</f>
        <v>cwdwalker</v>
      </c>
      <c r="B25144" s="65" t="s">
        <v>459</v>
      </c>
    </row>
    <row r="25145" spans="1:2" x14ac:dyDescent="0.25">
      <c r="A25145" s="64" t="str">
        <f>HYPERLINK("http://www.twitter.com/KA_Chalmers", "KA_Chalmers")</f>
        <v>KA_Chalmers</v>
      </c>
      <c r="B25145" s="65" t="s">
        <v>138</v>
      </c>
    </row>
    <row r="25146" spans="1:2" x14ac:dyDescent="0.25">
      <c r="A25146" s="64" t="str">
        <f>HYPERLINK("http://www.twitter.com/ScarinasVault", "ScarinasVault")</f>
        <v>ScarinasVault</v>
      </c>
      <c r="B25146" s="65" t="s">
        <v>11056</v>
      </c>
    </row>
    <row r="25147" spans="1:2" x14ac:dyDescent="0.25">
      <c r="A25147" s="64" t="str">
        <f>HYPERLINK("http://www.twitter.com/spamalot56", "spamalot56")</f>
        <v>spamalot56</v>
      </c>
      <c r="B25147" s="65"/>
    </row>
    <row r="25148" spans="1:2" x14ac:dyDescent="0.25">
      <c r="A25148" s="64" t="str">
        <f>HYPERLINK("http://www.twitter.com/kathrynparry1", "kathrynparry1")</f>
        <v>kathrynparry1</v>
      </c>
      <c r="B25148" s="65" t="s">
        <v>11057</v>
      </c>
    </row>
    <row r="25149" spans="1:2" x14ac:dyDescent="0.25">
      <c r="A25149" s="64" t="str">
        <f>HYPERLINK("http://www.twitter.com/PoppyHeff", "PoppyHeff")</f>
        <v>PoppyHeff</v>
      </c>
      <c r="B25149" s="65"/>
    </row>
    <row r="25150" spans="1:2" x14ac:dyDescent="0.25">
      <c r="A25150" s="64" t="str">
        <f>HYPERLINK("http://www.twitter.com/scott123g", "scott123g")</f>
        <v>scott123g</v>
      </c>
      <c r="B25150" s="65"/>
    </row>
    <row r="25151" spans="1:2" x14ac:dyDescent="0.25">
      <c r="A25151" s="64" t="str">
        <f>HYPERLINK("http://www.twitter.com/AnnaEunson", "AnnaEunson")</f>
        <v>AnnaEunson</v>
      </c>
      <c r="B25151" s="65"/>
    </row>
    <row r="25152" spans="1:2" x14ac:dyDescent="0.25">
      <c r="A25152" s="64" t="str">
        <f>HYPERLINK("http://www.twitter.com/simdaniell", "simdaniell")</f>
        <v>simdaniell</v>
      </c>
      <c r="B25152" s="65" t="s">
        <v>11058</v>
      </c>
    </row>
    <row r="25153" spans="1:2" x14ac:dyDescent="0.25">
      <c r="A25153" s="64" t="str">
        <f>HYPERLINK("http://www.twitter.com/davelifico", "davelifico")</f>
        <v>davelifico</v>
      </c>
      <c r="B25153" s="65" t="s">
        <v>36</v>
      </c>
    </row>
    <row r="25154" spans="1:2" x14ac:dyDescent="0.25">
      <c r="A25154" s="64" t="str">
        <f>HYPERLINK("http://www.twitter.com/Maker_of_Things", "Maker_of_Things")</f>
        <v>Maker_of_Things</v>
      </c>
      <c r="B25154" s="65" t="s">
        <v>11059</v>
      </c>
    </row>
    <row r="25155" spans="1:2" x14ac:dyDescent="0.25">
      <c r="A25155" s="64" t="str">
        <f>HYPERLINK("http://www.twitter.com/MollyBassford", "MollyBassford")</f>
        <v>MollyBassford</v>
      </c>
      <c r="B25155" s="65" t="s">
        <v>5173</v>
      </c>
    </row>
    <row r="25156" spans="1:2" x14ac:dyDescent="0.25">
      <c r="A25156" s="64" t="str">
        <f>HYPERLINK("http://www.twitter.com/HighlandParkHou", "HighlandParkHou")</f>
        <v>HighlandParkHou</v>
      </c>
      <c r="B25156" s="65" t="s">
        <v>4227</v>
      </c>
    </row>
    <row r="25157" spans="1:2" x14ac:dyDescent="0.25">
      <c r="A25157" s="64" t="str">
        <f>HYPERLINK("http://www.twitter.com/CatrionaMcP", "CatrionaMcP")</f>
        <v>CatrionaMcP</v>
      </c>
      <c r="B25157" s="65" t="s">
        <v>4388</v>
      </c>
    </row>
    <row r="25158" spans="1:2" x14ac:dyDescent="0.25">
      <c r="A25158" s="64" t="str">
        <f>HYPERLINK("http://www.twitter.com/MCPublicLibrar1", "MCPublicLibrar1")</f>
        <v>MCPublicLibrar1</v>
      </c>
      <c r="B25158" s="65" t="s">
        <v>11060</v>
      </c>
    </row>
    <row r="25159" spans="1:2" x14ac:dyDescent="0.25">
      <c r="A25159" s="64" t="str">
        <f>HYPERLINK("http://www.twitter.com/Jennifer_Stone", "Jennifer_Stone")</f>
        <v>Jennifer_Stone</v>
      </c>
      <c r="B25159" s="65" t="s">
        <v>11061</v>
      </c>
    </row>
    <row r="25160" spans="1:2" x14ac:dyDescent="0.25">
      <c r="A25160" s="64" t="str">
        <f>HYPERLINK("http://www.twitter.com/thirzadune", "thirzadune")</f>
        <v>thirzadune</v>
      </c>
      <c r="B25160" s="65" t="s">
        <v>3948</v>
      </c>
    </row>
    <row r="25161" spans="1:2" x14ac:dyDescent="0.25">
      <c r="A25161" s="64" t="str">
        <f>HYPERLINK("http://www.twitter.com/keithfig", "keithfig")</f>
        <v>keithfig</v>
      </c>
      <c r="B25161" s="65" t="s">
        <v>11062</v>
      </c>
    </row>
    <row r="25162" spans="1:2" x14ac:dyDescent="0.25">
      <c r="A25162" s="64" t="str">
        <f>HYPERLINK("http://www.twitter.com/cld81", "cld81")</f>
        <v>cld81</v>
      </c>
      <c r="B25162" s="65"/>
    </row>
    <row r="25163" spans="1:2" x14ac:dyDescent="0.25">
      <c r="A25163" s="64" t="str">
        <f>HYPERLINK("http://www.twitter.com/christineanne44", "christineanne44")</f>
        <v>christineanne44</v>
      </c>
      <c r="B25163" s="65"/>
    </row>
    <row r="25164" spans="1:2" x14ac:dyDescent="0.25">
      <c r="A25164" s="64" t="str">
        <f>HYPERLINK("http://www.twitter.com/abbiscouller", "abbiscouller")</f>
        <v>abbiscouller</v>
      </c>
      <c r="B25164" s="65"/>
    </row>
    <row r="25165" spans="1:2" x14ac:dyDescent="0.25">
      <c r="A25165" s="64" t="str">
        <f>HYPERLINK("http://www.twitter.com/CaroUnLimited", "CaroUnLimited")</f>
        <v>CaroUnLimited</v>
      </c>
      <c r="B25165" s="65"/>
    </row>
    <row r="25166" spans="1:2" x14ac:dyDescent="0.25">
      <c r="A25166" s="64" t="str">
        <f>HYPERLINK("http://www.twitter.com/ReyesTheRoof", "ReyesTheRoof")</f>
        <v>ReyesTheRoof</v>
      </c>
      <c r="B25166" s="65"/>
    </row>
    <row r="25167" spans="1:2" x14ac:dyDescent="0.25">
      <c r="A25167" s="64" t="str">
        <f>HYPERLINK("http://www.twitter.com/MercanStyle", "MercanStyle")</f>
        <v>MercanStyle</v>
      </c>
      <c r="B25167" s="65" t="s">
        <v>11063</v>
      </c>
    </row>
    <row r="25168" spans="1:2" x14ac:dyDescent="0.25">
      <c r="A25168" s="64" t="str">
        <f>HYPERLINK("http://www.twitter.com/tamsin6", "tamsin6")</f>
        <v>tamsin6</v>
      </c>
      <c r="B25168" s="65" t="s">
        <v>36</v>
      </c>
    </row>
    <row r="25169" spans="1:2" x14ac:dyDescent="0.25">
      <c r="A25169" s="64" t="str">
        <f>HYPERLINK("http://www.twitter.com/gt23oct", "gt23oct")</f>
        <v>gt23oct</v>
      </c>
      <c r="B25169" s="65"/>
    </row>
    <row r="25170" spans="1:2" x14ac:dyDescent="0.25">
      <c r="A25170" s="64" t="str">
        <f>HYPERLINK("http://www.twitter.com/christineahp", "christineahp")</f>
        <v>christineahp</v>
      </c>
      <c r="B25170" s="65"/>
    </row>
    <row r="25171" spans="1:2" x14ac:dyDescent="0.25">
      <c r="A25171" s="64" t="str">
        <f>HYPERLINK("http://www.twitter.com/SheilaBauman", "SheilaBauman")</f>
        <v>SheilaBauman</v>
      </c>
      <c r="B25171" s="65" t="s">
        <v>11064</v>
      </c>
    </row>
    <row r="25172" spans="1:2" x14ac:dyDescent="0.25">
      <c r="A25172" s="64" t="str">
        <f>HYPERLINK("http://www.twitter.com/IainBurke1", "IainBurke1")</f>
        <v>IainBurke1</v>
      </c>
      <c r="B25172" s="65" t="s">
        <v>11065</v>
      </c>
    </row>
    <row r="25173" spans="1:2" x14ac:dyDescent="0.25">
      <c r="A25173" s="64" t="str">
        <f>HYPERLINK("http://www.twitter.com/jtwren", "jtwren")</f>
        <v>jtwren</v>
      </c>
      <c r="B25173" s="65" t="s">
        <v>3821</v>
      </c>
    </row>
    <row r="25174" spans="1:2" x14ac:dyDescent="0.25">
      <c r="A25174" s="64" t="str">
        <f>HYPERLINK("http://www.twitter.com/redhedhels", "redhedhels")</f>
        <v>redhedhels</v>
      </c>
      <c r="B25174" s="65"/>
    </row>
    <row r="25175" spans="1:2" x14ac:dyDescent="0.25">
      <c r="A25175" s="64" t="str">
        <f>HYPERLINK("http://www.twitter.com/kaliand", "kaliand")</f>
        <v>kaliand</v>
      </c>
      <c r="B25175" s="65" t="s">
        <v>24</v>
      </c>
    </row>
    <row r="25176" spans="1:2" x14ac:dyDescent="0.25">
      <c r="A25176" s="64" t="str">
        <f>HYPERLINK("http://www.twitter.com/MaireadMacleod", "MaireadMacleod")</f>
        <v>MaireadMacleod</v>
      </c>
      <c r="B25176" s="65" t="s">
        <v>4215</v>
      </c>
    </row>
    <row r="25177" spans="1:2" x14ac:dyDescent="0.25">
      <c r="A25177" s="64" t="str">
        <f>HYPERLINK("http://www.twitter.com/ohheydonnajay", "ohheydonnajay")</f>
        <v>ohheydonnajay</v>
      </c>
      <c r="B25177" s="65"/>
    </row>
    <row r="25178" spans="1:2" x14ac:dyDescent="0.25">
      <c r="A25178" s="64" t="str">
        <f>HYPERLINK("http://www.twitter.com/bringonthejoy", "bringonthejoy")</f>
        <v>bringonthejoy</v>
      </c>
      <c r="B25178" s="65" t="s">
        <v>24</v>
      </c>
    </row>
    <row r="25179" spans="1:2" x14ac:dyDescent="0.25">
      <c r="A25179" s="64" t="str">
        <f>HYPERLINK("http://www.twitter.com/Twiglet663", "Twiglet663")</f>
        <v>Twiglet663</v>
      </c>
      <c r="B25179" s="65"/>
    </row>
    <row r="25180" spans="1:2" x14ac:dyDescent="0.25">
      <c r="A25180" s="64" t="str">
        <f>HYPERLINK("http://www.twitter.com/HelenMhurchu", "HelenMhurchu")</f>
        <v>HelenMhurchu</v>
      </c>
      <c r="B25180" s="65"/>
    </row>
    <row r="25181" spans="1:2" x14ac:dyDescent="0.25">
      <c r="A25181" s="64" t="str">
        <f>HYPERLINK("http://www.twitter.com/arclew1s", "arclew1s")</f>
        <v>arclew1s</v>
      </c>
      <c r="B25181" s="65"/>
    </row>
    <row r="25182" spans="1:2" x14ac:dyDescent="0.25">
      <c r="A25182" s="64" t="str">
        <f>HYPERLINK("http://www.twitter.com/darrenmeacher", "darrenmeacher")</f>
        <v>darrenmeacher</v>
      </c>
      <c r="B25182" s="65" t="s">
        <v>2289</v>
      </c>
    </row>
    <row r="25183" spans="1:2" x14ac:dyDescent="0.25">
      <c r="A25183" s="64" t="str">
        <f>HYPERLINK("http://www.twitter.com/AndreaStenton23", "AndreaStenton23")</f>
        <v>AndreaStenton23</v>
      </c>
      <c r="B25183" s="65" t="s">
        <v>11066</v>
      </c>
    </row>
    <row r="25184" spans="1:2" x14ac:dyDescent="0.25">
      <c r="A25184" s="64" t="str">
        <f>HYPERLINK("http://www.twitter.com/KevinLelland", "KevinLelland")</f>
        <v>KevinLelland</v>
      </c>
      <c r="B25184" s="65" t="s">
        <v>517</v>
      </c>
    </row>
    <row r="25185" spans="1:2" x14ac:dyDescent="0.25">
      <c r="A25185" s="64" t="str">
        <f>HYPERLINK("http://www.twitter.com/mariandowling", "mariandowling")</f>
        <v>mariandowling</v>
      </c>
      <c r="B25185" s="65" t="s">
        <v>3760</v>
      </c>
    </row>
    <row r="25186" spans="1:2" x14ac:dyDescent="0.25">
      <c r="A25186" s="64" t="str">
        <f>HYPERLINK("http://www.twitter.com/christeen_d", "christeen_d")</f>
        <v>christeen_d</v>
      </c>
      <c r="B25186" s="65"/>
    </row>
    <row r="25187" spans="1:2" x14ac:dyDescent="0.25">
      <c r="A25187" s="64" t="str">
        <f>HYPERLINK("http://www.twitter.com/HelenJTBlack", "HelenJTBlack")</f>
        <v>HelenJTBlack</v>
      </c>
      <c r="B25187" s="65"/>
    </row>
    <row r="25188" spans="1:2" x14ac:dyDescent="0.25">
      <c r="A25188" s="64" t="str">
        <f>HYPERLINK("http://www.twitter.com/sterobbo", "sterobbo")</f>
        <v>sterobbo</v>
      </c>
      <c r="B25188" s="65" t="s">
        <v>4823</v>
      </c>
    </row>
    <row r="25189" spans="1:2" x14ac:dyDescent="0.25">
      <c r="A25189" s="64" t="str">
        <f>HYPERLINK("http://www.twitter.com/Jordie_Rose17", "Jordie_Rose17")</f>
        <v>Jordie_Rose17</v>
      </c>
      <c r="B25189" s="65"/>
    </row>
    <row r="25190" spans="1:2" x14ac:dyDescent="0.25">
      <c r="A25190" s="64" t="str">
        <f>HYPERLINK("http://www.twitter.com/doublyfruit", "doublyfruit")</f>
        <v>doublyfruit</v>
      </c>
      <c r="B25190" s="65" t="s">
        <v>296</v>
      </c>
    </row>
    <row r="25191" spans="1:2" x14ac:dyDescent="0.25">
      <c r="A25191" s="64" t="str">
        <f>HYPERLINK("http://www.twitter.com/Asheeey", "Asheeey")</f>
        <v>Asheeey</v>
      </c>
      <c r="B25191" s="65"/>
    </row>
    <row r="25192" spans="1:2" x14ac:dyDescent="0.25">
      <c r="A25192" s="64" t="str">
        <f>HYPERLINK("http://www.twitter.com/queenbeecc", "queenbeecc")</f>
        <v>queenbeecc</v>
      </c>
      <c r="B25192" s="65" t="s">
        <v>11067</v>
      </c>
    </row>
    <row r="25193" spans="1:2" x14ac:dyDescent="0.25">
      <c r="A25193" s="64" t="str">
        <f>HYPERLINK("http://www.twitter.com/SsjcplLori", "SsjcplLori")</f>
        <v>SsjcplLori</v>
      </c>
      <c r="B25193" s="65" t="s">
        <v>11068</v>
      </c>
    </row>
    <row r="25194" spans="1:2" x14ac:dyDescent="0.25">
      <c r="A25194" s="64" t="str">
        <f>HYPERLINK("http://www.twitter.com/UomLib_Lucy", "UomLib_Lucy")</f>
        <v>UomLib_Lucy</v>
      </c>
      <c r="B25194" s="65" t="s">
        <v>11069</v>
      </c>
    </row>
    <row r="25195" spans="1:2" x14ac:dyDescent="0.25">
      <c r="A25195" s="64" t="str">
        <f>HYPERLINK("http://www.twitter.com/_bandwagonesque", "_bandwagonesque")</f>
        <v>_bandwagonesque</v>
      </c>
      <c r="B25195" s="65" t="s">
        <v>36</v>
      </c>
    </row>
    <row r="25196" spans="1:2" x14ac:dyDescent="0.25">
      <c r="A25196" s="64" t="str">
        <f>HYPERLINK("http://www.twitter.com/clairenothelen", "clairenothelen")</f>
        <v>clairenothelen</v>
      </c>
      <c r="B25196" s="65"/>
    </row>
    <row r="25197" spans="1:2" x14ac:dyDescent="0.25">
      <c r="A25197" s="64" t="str">
        <f>HYPERLINK("http://www.twitter.com/GarriochIngrid", "GarriochIngrid")</f>
        <v>GarriochIngrid</v>
      </c>
      <c r="B25197" s="65"/>
    </row>
    <row r="25198" spans="1:2" x14ac:dyDescent="0.25">
      <c r="A25198" s="64" t="str">
        <f>HYPERLINK("http://www.twitter.com/askccref", "askccref")</f>
        <v>askccref</v>
      </c>
      <c r="B25198" s="65" t="s">
        <v>11070</v>
      </c>
    </row>
    <row r="25199" spans="1:2" x14ac:dyDescent="0.25">
      <c r="A25199" s="64" t="str">
        <f>HYPERLINK("http://www.twitter.com/lucyewf", "lucyewf")</f>
        <v>lucyewf</v>
      </c>
      <c r="B25199" s="65"/>
    </row>
    <row r="25200" spans="1:2" x14ac:dyDescent="0.25">
      <c r="A25200" s="64" t="str">
        <f>HYPERLINK("http://www.twitter.com/UIResHallLib", "UIResHallLib")</f>
        <v>UIResHallLib</v>
      </c>
      <c r="B25200" s="65"/>
    </row>
    <row r="25201" spans="1:2" x14ac:dyDescent="0.25">
      <c r="A25201" s="64" t="str">
        <f>HYPERLINK("http://www.twitter.com/kggorum", "kggorum")</f>
        <v>kggorum</v>
      </c>
      <c r="B25201" s="65"/>
    </row>
    <row r="25202" spans="1:2" x14ac:dyDescent="0.25">
      <c r="A25202" s="64" t="str">
        <f>HYPERLINK("http://www.twitter.com/RodLibrary", "RodLibrary")</f>
        <v>RodLibrary</v>
      </c>
      <c r="B25202" s="65" t="s">
        <v>11071</v>
      </c>
    </row>
    <row r="25203" spans="1:2" x14ac:dyDescent="0.25">
      <c r="A25203" s="64" t="str">
        <f>HYPERLINK("http://www.twitter.com/CatherineGDow", "CatherineGDow")</f>
        <v>CatherineGDow</v>
      </c>
      <c r="B25203" s="65"/>
    </row>
    <row r="25204" spans="1:2" x14ac:dyDescent="0.25">
      <c r="A25204" s="64" t="str">
        <f>HYPERLINK("http://www.twitter.com/FiDoran", "FiDoran")</f>
        <v>FiDoran</v>
      </c>
      <c r="B25204" s="65"/>
    </row>
    <row r="25205" spans="1:2" x14ac:dyDescent="0.25">
      <c r="A25205" s="64" t="str">
        <f>HYPERLINK("http://www.twitter.com/velvetstorm", "velvetstorm")</f>
        <v>velvetstorm</v>
      </c>
      <c r="B25205" s="65"/>
    </row>
    <row r="25206" spans="1:2" x14ac:dyDescent="0.25">
      <c r="A25206" s="64" t="str">
        <f>HYPERLINK("http://www.twitter.com/adaml101", "adaml101")</f>
        <v>adaml101</v>
      </c>
      <c r="B25206" s="65"/>
    </row>
    <row r="25207" spans="1:2" x14ac:dyDescent="0.25">
      <c r="A25207" s="64" t="str">
        <f>HYPERLINK("http://www.twitter.com/rachelcbyrne", "rachelcbyrne")</f>
        <v>rachelcbyrne</v>
      </c>
      <c r="B25207" s="65" t="s">
        <v>36</v>
      </c>
    </row>
    <row r="25208" spans="1:2" x14ac:dyDescent="0.25">
      <c r="A25208" s="64" t="str">
        <f>HYPERLINK("http://www.twitter.com/frasersmum331", "frasersmum331")</f>
        <v>frasersmum331</v>
      </c>
      <c r="B25208" s="65"/>
    </row>
    <row r="25209" spans="1:2" x14ac:dyDescent="0.25">
      <c r="A25209" s="64" t="str">
        <f>HYPERLINK("http://www.twitter.com/amandaqwriter", "amandaqwriter")</f>
        <v>amandaqwriter</v>
      </c>
      <c r="B25209" s="65"/>
    </row>
    <row r="25210" spans="1:2" x14ac:dyDescent="0.25">
      <c r="A25210" s="64" t="str">
        <f>HYPERLINK("http://www.twitter.com/fritteringwaste", "fritteringwaste")</f>
        <v>fritteringwaste</v>
      </c>
      <c r="B25210" s="65"/>
    </row>
    <row r="25211" spans="1:2" x14ac:dyDescent="0.25">
      <c r="A25211" s="64" t="str">
        <f>HYPERLINK("http://www.twitter.com/cathrober", "cathrober")</f>
        <v>cathrober</v>
      </c>
      <c r="B25211" s="65" t="s">
        <v>11072</v>
      </c>
    </row>
    <row r="25212" spans="1:2" x14ac:dyDescent="0.25">
      <c r="A25212" s="64" t="str">
        <f>HYPERLINK("http://www.twitter.com/jnyrose", "jnyrose")</f>
        <v>jnyrose</v>
      </c>
      <c r="B25212" s="65" t="s">
        <v>4040</v>
      </c>
    </row>
    <row r="25213" spans="1:2" x14ac:dyDescent="0.25">
      <c r="A25213" s="64" t="str">
        <f>HYPERLINK("http://www.twitter.com/LizzieNorm", "LizzieNorm")</f>
        <v>LizzieNorm</v>
      </c>
      <c r="B25213" s="65" t="s">
        <v>11073</v>
      </c>
    </row>
    <row r="25214" spans="1:2" x14ac:dyDescent="0.25">
      <c r="A25214" s="64" t="str">
        <f>HYPERLINK("http://www.twitter.com/YorkExplore", "YorkExplore")</f>
        <v>YorkExplore</v>
      </c>
      <c r="B25214" s="65" t="s">
        <v>404</v>
      </c>
    </row>
    <row r="25215" spans="1:2" x14ac:dyDescent="0.25">
      <c r="A25215" s="64" t="str">
        <f>HYPERLINK("http://www.twitter.com/Toutlemondo", "Toutlemondo")</f>
        <v>Toutlemondo</v>
      </c>
      <c r="B25215" s="65" t="s">
        <v>4019</v>
      </c>
    </row>
    <row r="25216" spans="1:2" x14ac:dyDescent="0.25">
      <c r="A25216" s="64" t="str">
        <f>HYPERLINK("http://www.twitter.com/PaulMJLynch", "PaulMJLynch")</f>
        <v>PaulMJLynch</v>
      </c>
      <c r="B25216" s="65" t="s">
        <v>11074</v>
      </c>
    </row>
    <row r="25217" spans="1:2" x14ac:dyDescent="0.25">
      <c r="A25217" s="64" t="str">
        <f>HYPERLINK("http://www.twitter.com/Psychonaught", "Psychonaught")</f>
        <v>Psychonaught</v>
      </c>
      <c r="B25217" s="65"/>
    </row>
    <row r="25218" spans="1:2" x14ac:dyDescent="0.25">
      <c r="A25218" s="64" t="str">
        <f>HYPERLINK("http://www.twitter.com/ERSScotland", "ERSScotland")</f>
        <v>ERSScotland</v>
      </c>
      <c r="B25218" s="65" t="s">
        <v>24</v>
      </c>
    </row>
    <row r="25219" spans="1:2" x14ac:dyDescent="0.25">
      <c r="A25219" s="64" t="str">
        <f>HYPERLINK("http://www.twitter.com/jaine9", "jaine9")</f>
        <v>jaine9</v>
      </c>
      <c r="B25219" s="65" t="s">
        <v>349</v>
      </c>
    </row>
    <row r="25220" spans="1:2" x14ac:dyDescent="0.25">
      <c r="A25220" s="64" t="str">
        <f>HYPERLINK("http://www.twitter.com/PhilipEwers", "PhilipEwers")</f>
        <v>PhilipEwers</v>
      </c>
      <c r="B25220" s="65" t="s">
        <v>36</v>
      </c>
    </row>
    <row r="25221" spans="1:2" x14ac:dyDescent="0.25">
      <c r="A25221" s="64" t="str">
        <f>HYPERLINK("http://www.twitter.com/dubaiwomble", "dubaiwomble")</f>
        <v>dubaiwomble</v>
      </c>
      <c r="B25221" s="65" t="s">
        <v>11075</v>
      </c>
    </row>
    <row r="25222" spans="1:2" x14ac:dyDescent="0.25">
      <c r="A25222" s="64" t="str">
        <f>HYPERLINK("http://www.twitter.com/bouquetcelia", "bouquetcelia")</f>
        <v>bouquetcelia</v>
      </c>
      <c r="B25222" s="65" t="s">
        <v>9002</v>
      </c>
    </row>
    <row r="25223" spans="1:2" x14ac:dyDescent="0.25">
      <c r="A25223" s="64" t="str">
        <f>HYPERLINK("http://www.twitter.com/whizzi99", "whizzi99")</f>
        <v>whizzi99</v>
      </c>
      <c r="B25223" s="65"/>
    </row>
    <row r="25224" spans="1:2" x14ac:dyDescent="0.25">
      <c r="A25224" s="64" t="str">
        <f>HYPERLINK("http://www.twitter.com/HollandEva", "HollandEva")</f>
        <v>HollandEva</v>
      </c>
      <c r="B25224" s="65"/>
    </row>
    <row r="25225" spans="1:2" x14ac:dyDescent="0.25">
      <c r="A25225" s="64" t="str">
        <f>HYPERLINK("http://www.twitter.com/Passie2703", "Passie2703")</f>
        <v>Passie2703</v>
      </c>
      <c r="B25225" s="65" t="s">
        <v>11076</v>
      </c>
    </row>
    <row r="25226" spans="1:2" x14ac:dyDescent="0.25">
      <c r="A25226" s="64" t="str">
        <f>HYPERLINK("http://www.twitter.com/greggo1685", "greggo1685")</f>
        <v>greggo1685</v>
      </c>
      <c r="B25226" s="65"/>
    </row>
    <row r="25227" spans="1:2" x14ac:dyDescent="0.25">
      <c r="A25227" s="64" t="str">
        <f>HYPERLINK("http://www.twitter.com/RonaMacleod", "RonaMacleod")</f>
        <v>RonaMacleod</v>
      </c>
      <c r="B25227" s="65"/>
    </row>
    <row r="25228" spans="1:2" x14ac:dyDescent="0.25">
      <c r="A25228" s="64" t="str">
        <f>HYPERLINK("http://www.twitter.com/Sharon_RAROC", "Sharon_RAROC")</f>
        <v>Sharon_RAROC</v>
      </c>
      <c r="B25228" s="65" t="s">
        <v>11077</v>
      </c>
    </row>
    <row r="25229" spans="1:2" x14ac:dyDescent="0.25">
      <c r="A25229" s="64" t="str">
        <f>HYPERLINK("http://www.twitter.com/emilylovedhim", "emilylovedhim")</f>
        <v>emilylovedhim</v>
      </c>
      <c r="B25229" s="65" t="s">
        <v>11078</v>
      </c>
    </row>
    <row r="25230" spans="1:2" x14ac:dyDescent="0.25">
      <c r="A25230" s="64" t="str">
        <f>HYPERLINK("http://www.twitter.com/gartenzwergli", "gartenzwergli")</f>
        <v>gartenzwergli</v>
      </c>
      <c r="B25230" s="65"/>
    </row>
    <row r="25231" spans="1:2" x14ac:dyDescent="0.25">
      <c r="A25231" s="64" t="str">
        <f>HYPERLINK("http://www.twitter.com/pinkrockkitty", "pinkrockkitty")</f>
        <v>pinkrockkitty</v>
      </c>
      <c r="B25231" s="65" t="s">
        <v>11079</v>
      </c>
    </row>
    <row r="25232" spans="1:2" x14ac:dyDescent="0.25">
      <c r="A25232" s="64" t="str">
        <f>HYPERLINK("http://www.twitter.com/christina_knox", "christina_knox")</f>
        <v>christina_knox</v>
      </c>
      <c r="B25232" s="65" t="s">
        <v>33</v>
      </c>
    </row>
    <row r="25233" spans="1:2" x14ac:dyDescent="0.25">
      <c r="A25233" s="64" t="str">
        <f>HYPERLINK("http://www.twitter.com/yorksfairy67", "yorksfairy67")</f>
        <v>yorksfairy67</v>
      </c>
      <c r="B25233" s="65" t="s">
        <v>773</v>
      </c>
    </row>
    <row r="25234" spans="1:2" x14ac:dyDescent="0.25">
      <c r="A25234" s="64" t="str">
        <f>HYPERLINK("http://www.twitter.com/vwskytiger", "vwskytiger")</f>
        <v>vwskytiger</v>
      </c>
      <c r="B25234" s="65"/>
    </row>
    <row r="25235" spans="1:2" x14ac:dyDescent="0.25">
      <c r="A25235" s="64" t="str">
        <f>HYPERLINK("http://www.twitter.com/EMurdockBaker", "EMurdockBaker")</f>
        <v>EMurdockBaker</v>
      </c>
      <c r="B25235" s="65" t="s">
        <v>6937</v>
      </c>
    </row>
    <row r="25236" spans="1:2" x14ac:dyDescent="0.25">
      <c r="A25236" s="64" t="str">
        <f>HYPERLINK("http://www.twitter.com/YarnandSpices", "YarnandSpices")</f>
        <v>YarnandSpices</v>
      </c>
      <c r="B25236" s="65" t="s">
        <v>36</v>
      </c>
    </row>
    <row r="25237" spans="1:2" x14ac:dyDescent="0.25">
      <c r="A25237" s="64" t="str">
        <f>HYPERLINK("http://www.twitter.com/LibraryBod", "LibraryBod")</f>
        <v>LibraryBod</v>
      </c>
      <c r="B25237" s="65" t="s">
        <v>36</v>
      </c>
    </row>
    <row r="25238" spans="1:2" x14ac:dyDescent="0.25">
      <c r="A25238" s="64" t="str">
        <f>HYPERLINK("http://www.twitter.com/SueArcher6", "SueArcher6")</f>
        <v>SueArcher6</v>
      </c>
      <c r="B25238" s="65" t="s">
        <v>11080</v>
      </c>
    </row>
    <row r="25239" spans="1:2" x14ac:dyDescent="0.25">
      <c r="A25239" s="64" t="str">
        <f>HYPERLINK("http://www.twitter.com/jomama1954", "jomama1954")</f>
        <v>jomama1954</v>
      </c>
      <c r="B25239" s="65"/>
    </row>
    <row r="25240" spans="1:2" x14ac:dyDescent="0.25">
      <c r="A25240" s="64" t="str">
        <f>HYPERLINK("http://www.twitter.com/cynehild", "cynehild")</f>
        <v>cynehild</v>
      </c>
      <c r="B25240" s="65" t="s">
        <v>11081</v>
      </c>
    </row>
    <row r="25241" spans="1:2" x14ac:dyDescent="0.25">
      <c r="A25241" s="64" t="str">
        <f>HYPERLINK("http://www.twitter.com/SeanALized", "SeanALized")</f>
        <v>SeanALized</v>
      </c>
      <c r="B25241" s="65"/>
    </row>
    <row r="25242" spans="1:2" x14ac:dyDescent="0.25">
      <c r="A25242" s="64" t="str">
        <f>HYPERLINK("http://www.twitter.com/AMDTransl", "AMDTransl")</f>
        <v>AMDTransl</v>
      </c>
      <c r="B25242" s="65" t="s">
        <v>4862</v>
      </c>
    </row>
    <row r="25243" spans="1:2" x14ac:dyDescent="0.25">
      <c r="A25243" s="64" t="str">
        <f>HYPERLINK("http://www.twitter.com/_chirality_", "_chirality_")</f>
        <v>_chirality_</v>
      </c>
      <c r="B25243" s="65"/>
    </row>
    <row r="25244" spans="1:2" x14ac:dyDescent="0.25">
      <c r="A25244" s="64" t="str">
        <f>HYPERLINK("http://www.twitter.com/stefiejoye", "stefiejoye")</f>
        <v>stefiejoye</v>
      </c>
      <c r="B25244" s="65" t="s">
        <v>11082</v>
      </c>
    </row>
    <row r="25245" spans="1:2" x14ac:dyDescent="0.25">
      <c r="A25245" s="64" t="str">
        <f>HYPERLINK("http://www.twitter.com/melissarunkle", "melissarunkle")</f>
        <v>melissarunkle</v>
      </c>
      <c r="B25245" s="65" t="s">
        <v>11083</v>
      </c>
    </row>
    <row r="25246" spans="1:2" x14ac:dyDescent="0.25">
      <c r="A25246" s="64" t="str">
        <f>HYPERLINK("http://www.twitter.com/RowanTreeDes", "RowanTreeDes")</f>
        <v>RowanTreeDes</v>
      </c>
      <c r="B25246" s="65" t="s">
        <v>346</v>
      </c>
    </row>
    <row r="25247" spans="1:2" x14ac:dyDescent="0.25">
      <c r="A25247" s="64" t="str">
        <f>HYPERLINK("http://www.twitter.com/duncanlean", "duncanlean")</f>
        <v>duncanlean</v>
      </c>
      <c r="B25247" s="65" t="s">
        <v>4501</v>
      </c>
    </row>
    <row r="25248" spans="1:2" x14ac:dyDescent="0.25">
      <c r="A25248" s="64" t="str">
        <f>HYPERLINK("http://www.twitter.com/librarianninja", "librarianninja")</f>
        <v>librarianninja</v>
      </c>
      <c r="B25248" s="65" t="s">
        <v>7809</v>
      </c>
    </row>
    <row r="25249" spans="1:2" x14ac:dyDescent="0.25">
      <c r="A25249" s="64" t="str">
        <f>HYPERLINK("http://www.twitter.com/ething1989", "ething1989")</f>
        <v>ething1989</v>
      </c>
      <c r="B25249" s="65"/>
    </row>
    <row r="25250" spans="1:2" x14ac:dyDescent="0.25">
      <c r="A25250" s="64" t="str">
        <f>HYPERLINK("http://www.twitter.com/malarkEClark", "malarkEClark")</f>
        <v>malarkEClark</v>
      </c>
      <c r="B25250" s="65"/>
    </row>
    <row r="25251" spans="1:2" x14ac:dyDescent="0.25">
      <c r="A25251" s="64" t="str">
        <f>HYPERLINK("http://www.twitter.com/raamatuid", "raamatuid")</f>
        <v>raamatuid</v>
      </c>
      <c r="B25251" s="65" t="s">
        <v>3797</v>
      </c>
    </row>
    <row r="25252" spans="1:2" x14ac:dyDescent="0.25">
      <c r="A25252" s="64" t="str">
        <f>HYPERLINK("http://www.twitter.com/egdingwall", "egdingwall")</f>
        <v>egdingwall</v>
      </c>
      <c r="B25252" s="65"/>
    </row>
    <row r="25253" spans="1:2" x14ac:dyDescent="0.25">
      <c r="A25253" s="64" t="str">
        <f>HYPERLINK("http://www.twitter.com/amyraekay", "amyraekay")</f>
        <v>amyraekay</v>
      </c>
      <c r="B25253" s="65"/>
    </row>
    <row r="25254" spans="1:2" x14ac:dyDescent="0.25">
      <c r="A25254" s="64" t="str">
        <f>HYPERLINK("http://www.twitter.com/HCSpeechtherapy", "HCSpeechtherapy")</f>
        <v>HCSpeechtherapy</v>
      </c>
      <c r="B25254" s="65" t="s">
        <v>1790</v>
      </c>
    </row>
    <row r="25255" spans="1:2" x14ac:dyDescent="0.25">
      <c r="A25255" s="64" t="str">
        <f>HYPERLINK("http://www.twitter.com/lissietrue", "lissietrue")</f>
        <v>lissietrue</v>
      </c>
      <c r="B25255" s="65" t="s">
        <v>11084</v>
      </c>
    </row>
    <row r="25256" spans="1:2" x14ac:dyDescent="0.25">
      <c r="A25256" s="64" t="str">
        <f>HYPERLINK("http://www.twitter.com/jenna11dowski", "jenna11dowski")</f>
        <v>jenna11dowski</v>
      </c>
      <c r="B25256" s="65"/>
    </row>
    <row r="25257" spans="1:2" x14ac:dyDescent="0.25">
      <c r="A25257" s="64" t="str">
        <f>HYPERLINK("http://www.twitter.com/grabthisbook", "grabthisbook")</f>
        <v>grabthisbook</v>
      </c>
      <c r="B25257" s="65" t="s">
        <v>11085</v>
      </c>
    </row>
    <row r="25258" spans="1:2" x14ac:dyDescent="0.25">
      <c r="A25258" s="64" t="str">
        <f>HYPERLINK("http://www.twitter.com/BungeeBall", "BungeeBall")</f>
        <v>BungeeBall</v>
      </c>
      <c r="B25258" s="65"/>
    </row>
    <row r="25259" spans="1:2" x14ac:dyDescent="0.25">
      <c r="A25259" s="64" t="str">
        <f>HYPERLINK("http://www.twitter.com/Reginamunchie", "Reginamunchie")</f>
        <v>Reginamunchie</v>
      </c>
      <c r="B25259" s="65"/>
    </row>
    <row r="25260" spans="1:2" x14ac:dyDescent="0.25">
      <c r="A25260" s="64" t="str">
        <f>HYPERLINK("http://www.twitter.com/dakotahje", "dakotahje")</f>
        <v>dakotahje</v>
      </c>
      <c r="B25260" s="65"/>
    </row>
    <row r="25261" spans="1:2" x14ac:dyDescent="0.25">
      <c r="A25261" s="64" t="str">
        <f>HYPERLINK("http://www.twitter.com/awkwardyoyo", "awkwardyoyo")</f>
        <v>awkwardyoyo</v>
      </c>
      <c r="B25261" s="65"/>
    </row>
    <row r="25262" spans="1:2" x14ac:dyDescent="0.25">
      <c r="A25262" s="64" t="str">
        <f>HYPERLINK("http://www.twitter.com/beesleybob", "beesleybob")</f>
        <v>beesleybob</v>
      </c>
      <c r="B25262" s="65" t="s">
        <v>10104</v>
      </c>
    </row>
    <row r="25263" spans="1:2" x14ac:dyDescent="0.25">
      <c r="A25263" s="64" t="str">
        <f>HYPERLINK("http://www.twitter.com/Poppett74", "Poppett74")</f>
        <v>Poppett74</v>
      </c>
      <c r="B25263" s="65"/>
    </row>
    <row r="25264" spans="1:2" x14ac:dyDescent="0.25">
      <c r="A25264" s="64" t="str">
        <f>HYPERLINK("http://www.twitter.com/Fionachughes1", "Fionachughes1")</f>
        <v>Fionachughes1</v>
      </c>
      <c r="B25264" s="65"/>
    </row>
    <row r="25265" spans="1:2" x14ac:dyDescent="0.25">
      <c r="A25265" s="64" t="str">
        <f>HYPERLINK("http://www.twitter.com/PeelLorna", "PeelLorna")</f>
        <v>PeelLorna</v>
      </c>
      <c r="B25265" s="65" t="s">
        <v>4062</v>
      </c>
    </row>
    <row r="25266" spans="1:2" x14ac:dyDescent="0.25">
      <c r="A25266" s="64" t="str">
        <f>HYPERLINK("http://www.twitter.com/volyar17", "volyar17")</f>
        <v>volyar17</v>
      </c>
      <c r="B25266" s="65" t="s">
        <v>11086</v>
      </c>
    </row>
    <row r="25267" spans="1:2" x14ac:dyDescent="0.25">
      <c r="A25267" s="64" t="str">
        <f>HYPERLINK("http://www.twitter.com/claremullady", "claremullady")</f>
        <v>claremullady</v>
      </c>
      <c r="B25267" s="65"/>
    </row>
    <row r="25268" spans="1:2" x14ac:dyDescent="0.25">
      <c r="A25268" s="64" t="str">
        <f>HYPERLINK("http://www.twitter.com/jaccattaneo", "jaccattaneo")</f>
        <v>jaccattaneo</v>
      </c>
      <c r="B25268" s="65" t="s">
        <v>1980</v>
      </c>
    </row>
    <row r="25269" spans="1:2" x14ac:dyDescent="0.25">
      <c r="A25269" s="64" t="str">
        <f>HYPERLINK("http://www.twitter.com/marcusgipps", "marcusgipps")</f>
        <v>marcusgipps</v>
      </c>
      <c r="B25269" s="65"/>
    </row>
    <row r="25270" spans="1:2" x14ac:dyDescent="0.25">
      <c r="A25270" s="64" t="str">
        <f>HYPERLINK("http://www.twitter.com/ginntonique", "ginntonique")</f>
        <v>ginntonique</v>
      </c>
      <c r="B25270" s="65" t="s">
        <v>36</v>
      </c>
    </row>
    <row r="25271" spans="1:2" x14ac:dyDescent="0.25">
      <c r="A25271" s="64" t="str">
        <f>HYPERLINK("http://www.twitter.com/MrsD_lovesTea", "MrsD_lovesTea")</f>
        <v>MrsD_lovesTea</v>
      </c>
      <c r="B25271" s="65" t="s">
        <v>5325</v>
      </c>
    </row>
    <row r="25272" spans="1:2" x14ac:dyDescent="0.25">
      <c r="A25272" s="64" t="str">
        <f>HYPERLINK("http://www.twitter.com/tamuwc", "tamuwc")</f>
        <v>tamuwc</v>
      </c>
      <c r="B25272" s="65" t="s">
        <v>11087</v>
      </c>
    </row>
    <row r="25273" spans="1:2" x14ac:dyDescent="0.25">
      <c r="A25273" s="64" t="str">
        <f>HYPERLINK("http://www.twitter.com/CEMichael", "CEMichael")</f>
        <v>CEMichael</v>
      </c>
      <c r="B25273" s="65" t="s">
        <v>11088</v>
      </c>
    </row>
    <row r="25274" spans="1:2" x14ac:dyDescent="0.25">
      <c r="A25274" s="64" t="str">
        <f>HYPERLINK("http://www.twitter.com/matildasbacon", "matildasbacon")</f>
        <v>matildasbacon</v>
      </c>
      <c r="B25274" s="65"/>
    </row>
    <row r="25275" spans="1:2" x14ac:dyDescent="0.25">
      <c r="A25275" s="64" t="str">
        <f>HYPERLINK("http://www.twitter.com/madlabuk", "madlabuk")</f>
        <v>madlabuk</v>
      </c>
      <c r="B25275" s="65" t="s">
        <v>11089</v>
      </c>
    </row>
    <row r="25276" spans="1:2" x14ac:dyDescent="0.25">
      <c r="A25276" s="64" t="str">
        <f>HYPERLINK("http://www.twitter.com/sarah_hilary", "sarah_hilary")</f>
        <v>sarah_hilary</v>
      </c>
      <c r="B25276" s="65" t="s">
        <v>1098</v>
      </c>
    </row>
    <row r="25277" spans="1:2" x14ac:dyDescent="0.25">
      <c r="A25277" s="64" t="str">
        <f>HYPERLINK("http://www.twitter.com/KaraOrford", "KaraOrford")</f>
        <v>KaraOrford</v>
      </c>
      <c r="B25277" s="65" t="s">
        <v>102</v>
      </c>
    </row>
    <row r="25278" spans="1:2" x14ac:dyDescent="0.25">
      <c r="A25278" s="64" t="str">
        <f>HYPERLINK("http://www.twitter.com/LisaTigreader", "LisaTigreader")</f>
        <v>LisaTigreader</v>
      </c>
      <c r="B25278" s="65"/>
    </row>
    <row r="25279" spans="1:2" x14ac:dyDescent="0.25">
      <c r="A25279" s="64" t="str">
        <f>HYPERLINK("http://www.twitter.com/teandoranges", "teandoranges")</f>
        <v>teandoranges</v>
      </c>
      <c r="B25279" s="65" t="s">
        <v>11090</v>
      </c>
    </row>
    <row r="25280" spans="1:2" x14ac:dyDescent="0.25">
      <c r="A25280" s="64" t="str">
        <f>HYPERLINK("http://www.twitter.com/yellowbookgirl", "yellowbookgirl")</f>
        <v>yellowbookgirl</v>
      </c>
      <c r="B25280" s="65"/>
    </row>
    <row r="25281" spans="1:2" x14ac:dyDescent="0.25">
      <c r="A25281" s="64" t="str">
        <f>HYPERLINK("http://www.twitter.com/Imianc", "Imianc")</f>
        <v>Imianc</v>
      </c>
      <c r="B25281" s="65" t="s">
        <v>33</v>
      </c>
    </row>
    <row r="25282" spans="1:2" x14ac:dyDescent="0.25">
      <c r="A25282" s="64" t="str">
        <f>HYPERLINK("http://www.twitter.com/AlexisTuttle", "AlexisTuttle")</f>
        <v>AlexisTuttle</v>
      </c>
      <c r="B25282" s="65"/>
    </row>
    <row r="25283" spans="1:2" x14ac:dyDescent="0.25">
      <c r="A25283" s="64" t="str">
        <f>HYPERLINK("http://www.twitter.com/Sabre_Queen", "Sabre_Queen")</f>
        <v>Sabre_Queen</v>
      </c>
      <c r="B25283" s="65"/>
    </row>
    <row r="25284" spans="1:2" x14ac:dyDescent="0.25">
      <c r="A25284" s="64" t="str">
        <f>HYPERLINK("http://www.twitter.com/FlamingButtWind", "FlamingButtWind")</f>
        <v>FlamingButtWind</v>
      </c>
      <c r="B25284" s="65" t="s">
        <v>11091</v>
      </c>
    </row>
    <row r="25285" spans="1:2" x14ac:dyDescent="0.25">
      <c r="A25285" s="64" t="str">
        <f>HYPERLINK("http://www.twitter.com/julian_robinson", "julian_robinson")</f>
        <v>julian_robinson</v>
      </c>
      <c r="B25285" s="65" t="s">
        <v>5339</v>
      </c>
    </row>
    <row r="25286" spans="1:2" x14ac:dyDescent="0.25">
      <c r="A25286" s="64" t="str">
        <f>HYPERLINK("http://www.twitter.com/plainknit", "plainknit")</f>
        <v>plainknit</v>
      </c>
      <c r="B25286" s="65" t="s">
        <v>296</v>
      </c>
    </row>
    <row r="25287" spans="1:2" x14ac:dyDescent="0.25">
      <c r="A25287" s="64" t="str">
        <f>HYPERLINK("http://www.twitter.com/totalmink", "totalmink")</f>
        <v>totalmink</v>
      </c>
      <c r="B25287" s="65" t="s">
        <v>11092</v>
      </c>
    </row>
    <row r="25288" spans="1:2" x14ac:dyDescent="0.25">
      <c r="A25288" s="64" t="str">
        <f>HYPERLINK("http://www.twitter.com/SaraSmitsWilson", "SaraSmitsWilson")</f>
        <v>SaraSmitsWilson</v>
      </c>
      <c r="B25288" s="65" t="s">
        <v>11093</v>
      </c>
    </row>
    <row r="25289" spans="1:2" x14ac:dyDescent="0.25">
      <c r="A25289" s="64" t="str">
        <f>HYPERLINK("http://www.twitter.com/JPhizacklea", "JPhizacklea")</f>
        <v>JPhizacklea</v>
      </c>
      <c r="B25289" s="65" t="s">
        <v>11094</v>
      </c>
    </row>
    <row r="25290" spans="1:2" x14ac:dyDescent="0.25">
      <c r="A25290" s="64" t="str">
        <f>HYPERLINK("http://www.twitter.com/LDN_Librarian", "LDN_Librarian")</f>
        <v>LDN_Librarian</v>
      </c>
      <c r="B25290" s="65" t="s">
        <v>1537</v>
      </c>
    </row>
    <row r="25291" spans="1:2" x14ac:dyDescent="0.25">
      <c r="A25291" s="64" t="str">
        <f>HYPERLINK("http://www.twitter.com/KateLechler", "KateLechler")</f>
        <v>KateLechler</v>
      </c>
      <c r="B25291" s="65" t="s">
        <v>11095</v>
      </c>
    </row>
    <row r="25292" spans="1:2" x14ac:dyDescent="0.25">
      <c r="A25292" s="64" t="str">
        <f>HYPERLINK("http://www.twitter.com/jetton_c", "jetton_c")</f>
        <v>jetton_c</v>
      </c>
      <c r="B25292" s="65" t="s">
        <v>36</v>
      </c>
    </row>
    <row r="25293" spans="1:2" x14ac:dyDescent="0.25">
      <c r="A25293" s="64" t="str">
        <f>HYPERLINK("http://www.twitter.com/KirbyMStokes", "KirbyMStokes")</f>
        <v>KirbyMStokes</v>
      </c>
      <c r="B25293" s="65"/>
    </row>
    <row r="25294" spans="1:2" x14ac:dyDescent="0.25">
      <c r="A25294" s="64" t="str">
        <f>HYPERLINK("http://www.twitter.com/ECinnamond", "ECinnamond")</f>
        <v>ECinnamond</v>
      </c>
      <c r="B25294" s="65" t="s">
        <v>8912</v>
      </c>
    </row>
    <row r="25295" spans="1:2" x14ac:dyDescent="0.25">
      <c r="A25295" s="64" t="str">
        <f>HYPERLINK("http://www.twitter.com/Lynsey_McIver", "Lynsey_McIver")</f>
        <v>Lynsey_McIver</v>
      </c>
      <c r="B25295" s="65" t="s">
        <v>5389</v>
      </c>
    </row>
    <row r="25296" spans="1:2" x14ac:dyDescent="0.25">
      <c r="A25296" s="64" t="str">
        <f>HYPERLINK("http://www.twitter.com/m_law", "m_law")</f>
        <v>m_law</v>
      </c>
      <c r="B25296" s="65" t="s">
        <v>11096</v>
      </c>
    </row>
    <row r="25297" spans="1:2" x14ac:dyDescent="0.25">
      <c r="A25297" s="64" t="str">
        <f>HYPERLINK("http://www.twitter.com/BucksburnPS", "BucksburnPS")</f>
        <v>BucksburnPS</v>
      </c>
      <c r="B25297" s="65" t="s">
        <v>11097</v>
      </c>
    </row>
    <row r="25298" spans="1:2" x14ac:dyDescent="0.25">
      <c r="A25298" s="64" t="str">
        <f>HYPERLINK("http://www.twitter.com/GillsSarah", "GillsSarah")</f>
        <v>GillsSarah</v>
      </c>
      <c r="B25298" s="65" t="s">
        <v>4716</v>
      </c>
    </row>
    <row r="25299" spans="1:2" x14ac:dyDescent="0.25">
      <c r="A25299" s="64" t="str">
        <f>HYPERLINK("http://www.twitter.com/tiggerzlsa", "tiggerzlsa")</f>
        <v>tiggerzlsa</v>
      </c>
      <c r="B25299" s="65"/>
    </row>
    <row r="25300" spans="1:2" x14ac:dyDescent="0.25">
      <c r="A25300" s="64" t="str">
        <f>HYPERLINK("http://www.twitter.com/GesciM", "GesciM")</f>
        <v>GesciM</v>
      </c>
      <c r="B25300" s="65" t="s">
        <v>11098</v>
      </c>
    </row>
    <row r="25301" spans="1:2" x14ac:dyDescent="0.25">
      <c r="A25301" s="64" t="str">
        <f>HYPERLINK("http://www.twitter.com/andrewdornoch", "andrewdornoch")</f>
        <v>andrewdornoch</v>
      </c>
      <c r="B25301" s="65"/>
    </row>
    <row r="25302" spans="1:2" x14ac:dyDescent="0.25">
      <c r="A25302" s="64" t="str">
        <f>HYPERLINK("http://www.twitter.com/jenbe_WESTA", "jenbe_WESTA")</f>
        <v>jenbe_WESTA</v>
      </c>
      <c r="B25302" s="65" t="s">
        <v>138</v>
      </c>
    </row>
    <row r="25303" spans="1:2" x14ac:dyDescent="0.25">
      <c r="A25303" s="64" t="str">
        <f>HYPERLINK("http://www.twitter.com/minitexmn", "minitexmn")</f>
        <v>minitexmn</v>
      </c>
      <c r="B25303" s="65" t="s">
        <v>4309</v>
      </c>
    </row>
    <row r="25304" spans="1:2" x14ac:dyDescent="0.25">
      <c r="A25304" s="64" t="str">
        <f>HYPERLINK("http://www.twitter.com/haylzebub", "haylzebub")</f>
        <v>haylzebub</v>
      </c>
      <c r="B25304" s="65" t="s">
        <v>138</v>
      </c>
    </row>
    <row r="25305" spans="1:2" x14ac:dyDescent="0.25">
      <c r="A25305" s="64" t="str">
        <f>HYPERLINK("http://www.twitter.com/orkneyal", "orkneyal")</f>
        <v>orkneyal</v>
      </c>
      <c r="B25305" s="65" t="s">
        <v>4180</v>
      </c>
    </row>
    <row r="25306" spans="1:2" x14ac:dyDescent="0.25">
      <c r="A25306" s="64" t="str">
        <f>HYPERLINK("http://www.twitter.com/macaskill79", "macaskill79")</f>
        <v>macaskill79</v>
      </c>
      <c r="B25306" s="65" t="s">
        <v>569</v>
      </c>
    </row>
    <row r="25307" spans="1:2" x14ac:dyDescent="0.25">
      <c r="A25307" s="64" t="str">
        <f>HYPERLINK("http://www.twitter.com/JocelynTriplett", "JocelynTriplett")</f>
        <v>JocelynTriplett</v>
      </c>
      <c r="B25307" s="65" t="s">
        <v>8258</v>
      </c>
    </row>
    <row r="25308" spans="1:2" x14ac:dyDescent="0.25">
      <c r="A25308" s="64" t="str">
        <f>HYPERLINK("http://www.twitter.com/powtj", "powtj")</f>
        <v>powtj</v>
      </c>
      <c r="B25308" s="65"/>
    </row>
    <row r="25309" spans="1:2" x14ac:dyDescent="0.25">
      <c r="A25309" s="64" t="str">
        <f>HYPERLINK("http://www.twitter.com/MitchellLIS", "MitchellLIS")</f>
        <v>MitchellLIS</v>
      </c>
      <c r="B25309" s="65" t="s">
        <v>11099</v>
      </c>
    </row>
    <row r="25310" spans="1:2" x14ac:dyDescent="0.25">
      <c r="A25310" s="64" t="str">
        <f>HYPERLINK("http://www.twitter.com/Lauralooloo32", "Lauralooloo32")</f>
        <v>Lauralooloo32</v>
      </c>
      <c r="B25310" s="65"/>
    </row>
    <row r="25311" spans="1:2" x14ac:dyDescent="0.25">
      <c r="A25311" s="64" t="str">
        <f>HYPERLINK("http://www.twitter.com/TheBigBlether", "TheBigBlether")</f>
        <v>TheBigBlether</v>
      </c>
      <c r="B25311" s="65" t="s">
        <v>2007</v>
      </c>
    </row>
    <row r="25312" spans="1:2" x14ac:dyDescent="0.25">
      <c r="A25312" s="64" t="str">
        <f>HYPERLINK("http://www.twitter.com/Living_Brook", "Living_Brook")</f>
        <v>Living_Brook</v>
      </c>
      <c r="B25312" s="65" t="s">
        <v>2457</v>
      </c>
    </row>
    <row r="25313" spans="1:2" x14ac:dyDescent="0.25">
      <c r="A25313" s="64" t="str">
        <f>HYPERLINK("http://www.twitter.com/bruce_crawford", "bruce_crawford")</f>
        <v>bruce_crawford</v>
      </c>
      <c r="B25313" s="65" t="s">
        <v>11100</v>
      </c>
    </row>
    <row r="25314" spans="1:2" x14ac:dyDescent="0.25">
      <c r="A25314" s="64" t="str">
        <f>HYPERLINK("http://www.twitter.com/dollymixture5", "dollymixture5")</f>
        <v>dollymixture5</v>
      </c>
      <c r="B25314" s="65" t="s">
        <v>808</v>
      </c>
    </row>
    <row r="25315" spans="1:2" x14ac:dyDescent="0.25">
      <c r="A25315" s="64" t="str">
        <f>HYPERLINK("http://www.twitter.com/nayohmei", "nayohmei")</f>
        <v>nayohmei</v>
      </c>
      <c r="B25315" s="65" t="s">
        <v>4508</v>
      </c>
    </row>
    <row r="25316" spans="1:2" x14ac:dyDescent="0.25">
      <c r="A25316" s="64" t="str">
        <f>HYPERLINK("http://www.twitter.com/den478", "den478")</f>
        <v>den478</v>
      </c>
      <c r="B25316" s="65" t="s">
        <v>24</v>
      </c>
    </row>
    <row r="25317" spans="1:2" x14ac:dyDescent="0.25">
      <c r="A25317" s="64" t="str">
        <f>HYPERLINK("http://www.twitter.com/ShieldsIsabella", "ShieldsIsabella")</f>
        <v>ShieldsIsabella</v>
      </c>
      <c r="B25317" s="65" t="s">
        <v>6279</v>
      </c>
    </row>
    <row r="25318" spans="1:2" x14ac:dyDescent="0.25">
      <c r="A25318" s="64" t="str">
        <f>HYPERLINK("http://www.twitter.com/kalani55", "kalani55")</f>
        <v>kalani55</v>
      </c>
      <c r="B25318" s="65" t="s">
        <v>3948</v>
      </c>
    </row>
    <row r="25319" spans="1:2" x14ac:dyDescent="0.25">
      <c r="A25319" s="64" t="str">
        <f>HYPERLINK("http://www.twitter.com/Remela_emoji", "Remela_emoji")</f>
        <v>Remela_emoji</v>
      </c>
      <c r="B25319" s="65"/>
    </row>
    <row r="25320" spans="1:2" x14ac:dyDescent="0.25">
      <c r="A25320" s="64" t="str">
        <f>HYPERLINK("http://www.twitter.com/AlLatag96", "AlLatag96")</f>
        <v>AlLatag96</v>
      </c>
      <c r="B25320" s="65"/>
    </row>
    <row r="25321" spans="1:2" x14ac:dyDescent="0.25">
      <c r="A25321" s="64" t="str">
        <f>HYPERLINK("http://www.twitter.com/Macc_177", "Macc_177")</f>
        <v>Macc_177</v>
      </c>
      <c r="B25321" s="65" t="s">
        <v>11101</v>
      </c>
    </row>
    <row r="25322" spans="1:2" x14ac:dyDescent="0.25">
      <c r="A25322" s="64" t="str">
        <f>HYPERLINK("http://www.twitter.com/gdhansen", "gdhansen")</f>
        <v>gdhansen</v>
      </c>
      <c r="B25322" s="65" t="s">
        <v>11102</v>
      </c>
    </row>
    <row r="25323" spans="1:2" x14ac:dyDescent="0.25">
      <c r="A25323" s="64" t="str">
        <f>HYPERLINK("http://www.twitter.com/fledglingnerd", "fledglingnerd")</f>
        <v>fledglingnerd</v>
      </c>
      <c r="B25323" s="65" t="s">
        <v>8250</v>
      </c>
    </row>
    <row r="25324" spans="1:2" x14ac:dyDescent="0.25">
      <c r="A25324" s="64" t="str">
        <f>HYPERLINK("http://www.twitter.com/benson_hezzab", "benson_hezzab")</f>
        <v>benson_hezzab</v>
      </c>
      <c r="B25324" s="65" t="s">
        <v>2007</v>
      </c>
    </row>
    <row r="25325" spans="1:2" x14ac:dyDescent="0.25">
      <c r="A25325" s="64" t="str">
        <f>HYPERLINK("http://www.twitter.com/SAtkins17", "SAtkins17")</f>
        <v>SAtkins17</v>
      </c>
      <c r="B25325" s="65"/>
    </row>
    <row r="25326" spans="1:2" x14ac:dyDescent="0.25">
      <c r="A25326" s="64" t="str">
        <f>HYPERLINK("http://www.twitter.com/chicagomom", "chicagomom")</f>
        <v>chicagomom</v>
      </c>
      <c r="B25326" s="65" t="s">
        <v>5254</v>
      </c>
    </row>
    <row r="25327" spans="1:2" x14ac:dyDescent="0.25">
      <c r="A25327" s="64" t="str">
        <f>HYPERLINK("http://www.twitter.com/MissBrownToYou1", "MissBrownToYou1")</f>
        <v>MissBrownToYou1</v>
      </c>
      <c r="B25327" s="65"/>
    </row>
    <row r="25328" spans="1:2" x14ac:dyDescent="0.25">
      <c r="A25328" s="64" t="str">
        <f>HYPERLINK("http://www.twitter.com/stylescanner", "stylescanner")</f>
        <v>stylescanner</v>
      </c>
      <c r="B25328" s="65" t="s">
        <v>318</v>
      </c>
    </row>
    <row r="25329" spans="1:2" x14ac:dyDescent="0.25">
      <c r="A25329" s="64" t="str">
        <f>HYPERLINK("http://www.twitter.com/MichellePerrott", "MichellePerrott")</f>
        <v>MichellePerrott</v>
      </c>
      <c r="B25329" s="65" t="s">
        <v>5187</v>
      </c>
    </row>
    <row r="25330" spans="1:2" x14ac:dyDescent="0.25">
      <c r="A25330" s="64" t="str">
        <f>HYPERLINK("http://www.twitter.com/sarakkearns", "sarakkearns")</f>
        <v>sarakkearns</v>
      </c>
      <c r="B25330" s="65"/>
    </row>
    <row r="25331" spans="1:2" x14ac:dyDescent="0.25">
      <c r="A25331" s="64" t="str">
        <f>HYPERLINK("http://www.twitter.com/Tina1Kidd", "Tina1Kidd")</f>
        <v>Tina1Kidd</v>
      </c>
      <c r="B25331" s="65" t="s">
        <v>61</v>
      </c>
    </row>
    <row r="25332" spans="1:2" x14ac:dyDescent="0.25">
      <c r="A25332" s="64" t="str">
        <f>HYPERLINK("http://www.twitter.com/LoisFundis", "LoisFundis")</f>
        <v>LoisFundis</v>
      </c>
      <c r="B25332" s="65" t="s">
        <v>11103</v>
      </c>
    </row>
    <row r="25333" spans="1:2" x14ac:dyDescent="0.25">
      <c r="A25333" s="64" t="str">
        <f>HYPERLINK("http://www.twitter.com/Bextors_lab", "Bextors_lab")</f>
        <v>Bextors_lab</v>
      </c>
      <c r="B25333" s="65" t="s">
        <v>318</v>
      </c>
    </row>
    <row r="25334" spans="1:2" x14ac:dyDescent="0.25">
      <c r="A25334" s="64" t="str">
        <f>HYPERLINK("http://www.twitter.com/troonshaz70", "troonshaz70")</f>
        <v>troonshaz70</v>
      </c>
      <c r="B25334" s="65"/>
    </row>
    <row r="25335" spans="1:2" x14ac:dyDescent="0.25">
      <c r="A25335" s="64" t="str">
        <f>HYPERLINK("http://www.twitter.com/MuseumMamma", "MuseumMamma")</f>
        <v>MuseumMamma</v>
      </c>
      <c r="B25335" s="65"/>
    </row>
    <row r="25336" spans="1:2" x14ac:dyDescent="0.25">
      <c r="A25336" s="64" t="str">
        <f>HYPERLINK("http://www.twitter.com/FozLC", "FozLC")</f>
        <v>FozLC</v>
      </c>
      <c r="B25336" s="65" t="s">
        <v>11104</v>
      </c>
    </row>
    <row r="25337" spans="1:2" x14ac:dyDescent="0.25">
      <c r="A25337" s="64" t="str">
        <f>HYPERLINK("http://www.twitter.com/LucyMProvost", "LucyMProvost")</f>
        <v>LucyMProvost</v>
      </c>
      <c r="B25337" s="65"/>
    </row>
    <row r="25338" spans="1:2" x14ac:dyDescent="0.25">
      <c r="A25338" s="64" t="str">
        <f>HYPERLINK("http://www.twitter.com/laurenwalshhx", "laurenwalshhx")</f>
        <v>laurenwalshhx</v>
      </c>
      <c r="B25338" s="65" t="s">
        <v>4327</v>
      </c>
    </row>
    <row r="25339" spans="1:2" x14ac:dyDescent="0.25">
      <c r="A25339" s="64" t="str">
        <f>HYPERLINK("http://www.twitter.com/MarthaVail", "MarthaVail")</f>
        <v>MarthaVail</v>
      </c>
      <c r="B25339" s="65" t="s">
        <v>24</v>
      </c>
    </row>
    <row r="25340" spans="1:2" x14ac:dyDescent="0.25">
      <c r="A25340" s="64" t="str">
        <f>HYPERLINK("http://www.twitter.com/_mfab", "_mfab")</f>
        <v>_mfab</v>
      </c>
      <c r="B25340" s="65"/>
    </row>
    <row r="25341" spans="1:2" x14ac:dyDescent="0.25">
      <c r="A25341" s="64" t="str">
        <f>HYPERLINK("http://www.twitter.com/jeg256", "jeg256")</f>
        <v>jeg256</v>
      </c>
      <c r="B25341" s="65" t="s">
        <v>11105</v>
      </c>
    </row>
    <row r="25342" spans="1:2" x14ac:dyDescent="0.25">
      <c r="A25342" s="64" t="str">
        <f>HYPERLINK("http://www.twitter.com/susanbdot", "susanbdot")</f>
        <v>susanbdot</v>
      </c>
      <c r="B25342" s="65" t="s">
        <v>11106</v>
      </c>
    </row>
    <row r="25343" spans="1:2" x14ac:dyDescent="0.25">
      <c r="A25343" s="64" t="str">
        <f>HYPERLINK("http://www.twitter.com/ecnjewellery", "ecnjewellery")</f>
        <v>ecnjewellery</v>
      </c>
      <c r="B25343" s="65" t="s">
        <v>24</v>
      </c>
    </row>
    <row r="25344" spans="1:2" x14ac:dyDescent="0.25">
      <c r="A25344" s="64" t="str">
        <f>HYPERLINK("http://www.twitter.com/joeychilts", "joeychilts")</f>
        <v>joeychilts</v>
      </c>
      <c r="B25344" s="65"/>
    </row>
    <row r="25345" spans="1:2" x14ac:dyDescent="0.25">
      <c r="A25345" s="64" t="str">
        <f>HYPERLINK("http://www.twitter.com/_the_realEmC", "_the_realEmC")</f>
        <v>_the_realEmC</v>
      </c>
      <c r="B25345" s="65"/>
    </row>
    <row r="25346" spans="1:2" x14ac:dyDescent="0.25">
      <c r="A25346" s="64" t="str">
        <f>HYPERLINK("http://www.twitter.com/MsDonnaNoble", "MsDonnaNoble")</f>
        <v>MsDonnaNoble</v>
      </c>
      <c r="B25346" s="65" t="s">
        <v>11107</v>
      </c>
    </row>
    <row r="25347" spans="1:2" x14ac:dyDescent="0.25">
      <c r="A25347" s="64" t="str">
        <f>HYPERLINK("http://www.twitter.com/chrisifx", "chrisifx")</f>
        <v>chrisifx</v>
      </c>
      <c r="B25347" s="65" t="s">
        <v>11108</v>
      </c>
    </row>
    <row r="25348" spans="1:2" x14ac:dyDescent="0.25">
      <c r="A25348" s="64" t="str">
        <f>HYPERLINK("http://www.twitter.com/patrick__boo", "patrick__boo")</f>
        <v>patrick__boo</v>
      </c>
      <c r="B25348" s="65" t="s">
        <v>4349</v>
      </c>
    </row>
    <row r="25349" spans="1:2" x14ac:dyDescent="0.25">
      <c r="A25349" s="64" t="str">
        <f>HYPERLINK("http://www.twitter.com/SophieLikesMe", "SophieLikesMe")</f>
        <v>SophieLikesMe</v>
      </c>
      <c r="B25349" s="65" t="s">
        <v>11109</v>
      </c>
    </row>
    <row r="25350" spans="1:2" x14ac:dyDescent="0.25">
      <c r="A25350" s="64" t="str">
        <f>HYPERLINK("http://www.twitter.com/VirginiaPrimary", "VirginiaPrimary")</f>
        <v>VirginiaPrimary</v>
      </c>
      <c r="B25350" s="65" t="s">
        <v>8768</v>
      </c>
    </row>
    <row r="25351" spans="1:2" x14ac:dyDescent="0.25">
      <c r="A25351" s="64" t="str">
        <f>HYPERLINK("http://www.twitter.com/bookleggers", "bookleggers")</f>
        <v>bookleggers</v>
      </c>
      <c r="B25351" s="65" t="s">
        <v>7986</v>
      </c>
    </row>
    <row r="25352" spans="1:2" x14ac:dyDescent="0.25">
      <c r="A25352" s="64" t="str">
        <f>HYPERLINK("http://www.twitter.com/pebbles6655", "pebbles6655")</f>
        <v>pebbles6655</v>
      </c>
      <c r="B25352" s="65" t="s">
        <v>3808</v>
      </c>
    </row>
    <row r="25353" spans="1:2" x14ac:dyDescent="0.25">
      <c r="A25353" s="64" t="str">
        <f>HYPERLINK("http://www.twitter.com/Grymish", "Grymish")</f>
        <v>Grymish</v>
      </c>
      <c r="B25353" s="65"/>
    </row>
    <row r="25354" spans="1:2" x14ac:dyDescent="0.25">
      <c r="A25354" s="64" t="str">
        <f>HYPERLINK("http://www.twitter.com/joanofork", "joanofork")</f>
        <v>joanofork</v>
      </c>
      <c r="B25354" s="65"/>
    </row>
    <row r="25355" spans="1:2" x14ac:dyDescent="0.25">
      <c r="A25355" s="64" t="str">
        <f>HYPERLINK("http://www.twitter.com/PeerieKass", "PeerieKass")</f>
        <v>PeerieKass</v>
      </c>
      <c r="B25355" s="65" t="s">
        <v>487</v>
      </c>
    </row>
    <row r="25356" spans="1:2" x14ac:dyDescent="0.25">
      <c r="A25356" s="64" t="str">
        <f>HYPERLINK("http://www.twitter.com/gracielou84", "gracielou84")</f>
        <v>gracielou84</v>
      </c>
      <c r="B25356" s="65" t="s">
        <v>4145</v>
      </c>
    </row>
    <row r="25357" spans="1:2" x14ac:dyDescent="0.25">
      <c r="A25357" s="64" t="str">
        <f>HYPERLINK("http://www.twitter.com/kkosinsk", "kkosinsk")</f>
        <v>kkosinsk</v>
      </c>
      <c r="B25357" s="65" t="s">
        <v>4687</v>
      </c>
    </row>
    <row r="25358" spans="1:2" x14ac:dyDescent="0.25">
      <c r="A25358" s="64" t="str">
        <f>HYPERLINK("http://www.twitter.com/CarlyMackay14", "CarlyMackay14")</f>
        <v>CarlyMackay14</v>
      </c>
      <c r="B25358" s="65"/>
    </row>
    <row r="25359" spans="1:2" x14ac:dyDescent="0.25">
      <c r="A25359" s="64" t="str">
        <f>HYPERLINK("http://www.twitter.com/Jamie_Ringo", "Jamie_Ringo")</f>
        <v>Jamie_Ringo</v>
      </c>
      <c r="B25359" s="65"/>
    </row>
    <row r="25360" spans="1:2" x14ac:dyDescent="0.25">
      <c r="A25360" s="64" t="str">
        <f>HYPERLINK("http://www.twitter.com/ksierks", "ksierks")</f>
        <v>ksierks</v>
      </c>
      <c r="B25360" s="65"/>
    </row>
    <row r="25361" spans="1:2" x14ac:dyDescent="0.25">
      <c r="A25361" s="64" t="str">
        <f>HYPERLINK("http://www.twitter.com/rjyouell", "rjyouell")</f>
        <v>rjyouell</v>
      </c>
      <c r="B25361" s="65" t="s">
        <v>11110</v>
      </c>
    </row>
    <row r="25362" spans="1:2" x14ac:dyDescent="0.25">
      <c r="A25362" s="64" t="str">
        <f>HYPERLINK("http://www.twitter.com/colinrosenthal", "colinrosenthal")</f>
        <v>colinrosenthal</v>
      </c>
      <c r="B25362" s="65" t="s">
        <v>5231</v>
      </c>
    </row>
    <row r="25363" spans="1:2" x14ac:dyDescent="0.25">
      <c r="A25363" s="64" t="str">
        <f>HYPERLINK("http://www.twitter.com/neeogilvy", "neeogilvy")</f>
        <v>neeogilvy</v>
      </c>
      <c r="B25363" s="65"/>
    </row>
    <row r="25364" spans="1:2" x14ac:dyDescent="0.25">
      <c r="A25364" s="64" t="str">
        <f>HYPERLINK("http://www.twitter.com/PPCLib", "PPCLib")</f>
        <v>PPCLib</v>
      </c>
      <c r="B25364" s="65" t="s">
        <v>3483</v>
      </c>
    </row>
    <row r="25365" spans="1:2" x14ac:dyDescent="0.25">
      <c r="A25365" s="64" t="str">
        <f>HYPERLINK("http://www.twitter.com/lindilou84", "lindilou84")</f>
        <v>lindilou84</v>
      </c>
      <c r="B25365" s="65" t="s">
        <v>5807</v>
      </c>
    </row>
    <row r="25366" spans="1:2" x14ac:dyDescent="0.25">
      <c r="A25366" s="64" t="str">
        <f>HYPERLINK("http://www.twitter.com/emilysaysno", "emilysaysno")</f>
        <v>emilysaysno</v>
      </c>
      <c r="B25366" s="65"/>
    </row>
    <row r="25367" spans="1:2" x14ac:dyDescent="0.25">
      <c r="A25367" s="64" t="str">
        <f>HYPERLINK("http://www.twitter.com/_CorinneMullins", "_CorinneMullins")</f>
        <v>_CorinneMullins</v>
      </c>
      <c r="B25367" s="65" t="s">
        <v>1115</v>
      </c>
    </row>
    <row r="25368" spans="1:2" x14ac:dyDescent="0.25">
      <c r="A25368" s="64" t="str">
        <f>HYPERLINK("http://www.twitter.com/eve_mcvey", "eve_mcvey")</f>
        <v>eve_mcvey</v>
      </c>
      <c r="B25368" s="65" t="s">
        <v>6281</v>
      </c>
    </row>
    <row r="25369" spans="1:2" x14ac:dyDescent="0.25">
      <c r="A25369" s="64" t="str">
        <f>HYPERLINK("http://www.twitter.com/WaClo", "WaClo")</f>
        <v>WaClo</v>
      </c>
      <c r="B25369" s="65"/>
    </row>
    <row r="25370" spans="1:2" x14ac:dyDescent="0.25">
      <c r="A25370" s="64" t="str">
        <f>HYPERLINK("http://www.twitter.com/gail_nz", "gail_nz")</f>
        <v>gail_nz</v>
      </c>
      <c r="B25370" s="65" t="s">
        <v>4117</v>
      </c>
    </row>
    <row r="25371" spans="1:2" x14ac:dyDescent="0.25">
      <c r="A25371" s="64" t="str">
        <f>HYPERLINK("http://www.twitter.com/bumblebeeally", "bumblebeeally")</f>
        <v>bumblebeeally</v>
      </c>
      <c r="B25371" s="65"/>
    </row>
    <row r="25372" spans="1:2" x14ac:dyDescent="0.25">
      <c r="A25372" s="64" t="str">
        <f>HYPERLINK("http://www.twitter.com/OMeesbooks", "OMeesbooks")</f>
        <v>OMeesbooks</v>
      </c>
      <c r="B25372" s="65"/>
    </row>
    <row r="25373" spans="1:2" x14ac:dyDescent="0.25">
      <c r="A25373" s="64" t="str">
        <f>HYPERLINK("http://www.twitter.com/rizrie1", "rizrie1")</f>
        <v>rizrie1</v>
      </c>
      <c r="B25373" s="65" t="s">
        <v>318</v>
      </c>
    </row>
    <row r="25374" spans="1:2" x14ac:dyDescent="0.25">
      <c r="A25374" s="64" t="str">
        <f>HYPERLINK("http://www.twitter.com/Suzygloom", "Suzygloom")</f>
        <v>Suzygloom</v>
      </c>
      <c r="B25374" s="65"/>
    </row>
    <row r="25375" spans="1:2" x14ac:dyDescent="0.25">
      <c r="A25375" s="64" t="str">
        <f>HYPERLINK("http://www.twitter.com/JackMacartney", "JackMacartney")</f>
        <v>JackMacartney</v>
      </c>
      <c r="B25375" s="65"/>
    </row>
    <row r="25376" spans="1:2" x14ac:dyDescent="0.25">
      <c r="A25376" s="64" t="str">
        <f>HYPERLINK("http://www.twitter.com/Sybalan", "Sybalan")</f>
        <v>Sybalan</v>
      </c>
      <c r="B25376" s="65" t="s">
        <v>11111</v>
      </c>
    </row>
    <row r="25377" spans="1:2" x14ac:dyDescent="0.25">
      <c r="A25377" s="64" t="str">
        <f>HYPERLINK("http://www.twitter.com/osbornerichard", "osbornerichard")</f>
        <v>osbornerichard</v>
      </c>
      <c r="B25377" s="65" t="s">
        <v>11112</v>
      </c>
    </row>
    <row r="25378" spans="1:2" x14ac:dyDescent="0.25">
      <c r="A25378" s="64" t="str">
        <f>HYPERLINK("http://www.twitter.com/_alifisher", "_alifisher")</f>
        <v>_alifisher</v>
      </c>
      <c r="B25378" s="65" t="s">
        <v>158</v>
      </c>
    </row>
    <row r="25379" spans="1:2" x14ac:dyDescent="0.25">
      <c r="A25379" s="64" t="str">
        <f>HYPERLINK("http://www.twitter.com/annagudge", "annagudge")</f>
        <v>annagudge</v>
      </c>
      <c r="B25379" s="65" t="s">
        <v>2007</v>
      </c>
    </row>
    <row r="25380" spans="1:2" x14ac:dyDescent="0.25">
      <c r="A25380" s="64" t="str">
        <f>HYPERLINK("http://www.twitter.com/scribetattoo", "scribetattoo")</f>
        <v>scribetattoo</v>
      </c>
      <c r="B25380" s="65" t="s">
        <v>601</v>
      </c>
    </row>
    <row r="25381" spans="1:2" x14ac:dyDescent="0.25">
      <c r="A25381" s="64" t="str">
        <f>HYPERLINK("http://www.twitter.com/MansRichPL", "MansRichPL")</f>
        <v>MansRichPL</v>
      </c>
      <c r="B25381" s="65" t="s">
        <v>11113</v>
      </c>
    </row>
    <row r="25382" spans="1:2" x14ac:dyDescent="0.25">
      <c r="A25382" s="64" t="str">
        <f>HYPERLINK("http://www.twitter.com/teletai", "teletai")</f>
        <v>teletai</v>
      </c>
      <c r="B25382" s="65" t="s">
        <v>3804</v>
      </c>
    </row>
    <row r="25383" spans="1:2" x14ac:dyDescent="0.25">
      <c r="A25383" s="64" t="str">
        <f>HYPERLINK("http://www.twitter.com/saralestrange", "saralestrange")</f>
        <v>saralestrange</v>
      </c>
      <c r="B25383" s="65"/>
    </row>
    <row r="25384" spans="1:2" x14ac:dyDescent="0.25">
      <c r="A25384" s="64" t="str">
        <f>HYPERLINK("http://www.twitter.com/darkislander", "darkislander")</f>
        <v>darkislander</v>
      </c>
      <c r="B25384" s="65"/>
    </row>
    <row r="25385" spans="1:2" x14ac:dyDescent="0.25">
      <c r="A25385" s="64" t="str">
        <f>HYPERLINK("http://www.twitter.com/tanngrisnir", "tanngrisnir")</f>
        <v>tanngrisnir</v>
      </c>
      <c r="B25385" s="65" t="s">
        <v>318</v>
      </c>
    </row>
    <row r="25386" spans="1:2" x14ac:dyDescent="0.25">
      <c r="A25386" s="64" t="str">
        <f>HYPERLINK("http://www.twitter.com/Welda57", "Welda57")</f>
        <v>Welda57</v>
      </c>
      <c r="B25386" s="65"/>
    </row>
    <row r="25387" spans="1:2" x14ac:dyDescent="0.25">
      <c r="A25387" s="64" t="str">
        <f>HYPERLINK("http://www.twitter.com/corvallislib", "corvallislib")</f>
        <v>corvallislib</v>
      </c>
      <c r="B25387" s="65" t="s">
        <v>11114</v>
      </c>
    </row>
    <row r="25388" spans="1:2" x14ac:dyDescent="0.25">
      <c r="A25388" s="64" t="str">
        <f>HYPERLINK("http://www.twitter.com/LindsayWylie1", "LindsayWylie1")</f>
        <v>LindsayWylie1</v>
      </c>
      <c r="B25388" s="65" t="s">
        <v>10943</v>
      </c>
    </row>
    <row r="25389" spans="1:2" x14ac:dyDescent="0.25">
      <c r="A25389" s="64" t="str">
        <f>HYPERLINK("http://www.twitter.com/starphoric", "starphoric")</f>
        <v>starphoric</v>
      </c>
      <c r="B25389" s="65"/>
    </row>
    <row r="25390" spans="1:2" x14ac:dyDescent="0.25">
      <c r="A25390" s="64" t="str">
        <f>HYPERLINK("http://www.twitter.com/firelightarts", "firelightarts")</f>
        <v>firelightarts</v>
      </c>
      <c r="B25390" s="65" t="s">
        <v>11043</v>
      </c>
    </row>
    <row r="25391" spans="1:2" x14ac:dyDescent="0.25">
      <c r="A25391" s="64" t="str">
        <f>HYPERLINK("http://www.twitter.com/BuchmayerC", "BuchmayerC")</f>
        <v>BuchmayerC</v>
      </c>
      <c r="B25391" s="65"/>
    </row>
    <row r="25392" spans="1:2" x14ac:dyDescent="0.25">
      <c r="A25392" s="64" t="str">
        <f>HYPERLINK("http://www.twitter.com/Flanjamin", "Flanjamin")</f>
        <v>Flanjamin</v>
      </c>
      <c r="B25392" s="65" t="s">
        <v>3262</v>
      </c>
    </row>
    <row r="25393" spans="1:2" x14ac:dyDescent="0.25">
      <c r="A25393" s="64" t="str">
        <f>HYPERLINK("http://www.twitter.com/ACamp_Bell", "ACamp_Bell")</f>
        <v>ACamp_Bell</v>
      </c>
      <c r="B25393" s="65" t="s">
        <v>138</v>
      </c>
    </row>
    <row r="25394" spans="1:2" x14ac:dyDescent="0.25">
      <c r="A25394" s="64" t="str">
        <f>HYPERLINK("http://www.twitter.com/kdhuck", "kdhuck")</f>
        <v>kdhuck</v>
      </c>
      <c r="B25394" s="65" t="s">
        <v>11115</v>
      </c>
    </row>
    <row r="25395" spans="1:2" x14ac:dyDescent="0.25">
      <c r="A25395" s="64" t="str">
        <f>HYPERLINK("http://www.twitter.com/cazohazo", "cazohazo")</f>
        <v>cazohazo</v>
      </c>
      <c r="B25395" s="65"/>
    </row>
    <row r="25396" spans="1:2" x14ac:dyDescent="0.25">
      <c r="A25396" s="64" t="str">
        <f>HYPERLINK("http://www.twitter.com/NL_SciLibrarian", "NL_SciLibrarian")</f>
        <v>NL_SciLibrarian</v>
      </c>
      <c r="B25396" s="65" t="s">
        <v>3948</v>
      </c>
    </row>
    <row r="25397" spans="1:2" x14ac:dyDescent="0.25">
      <c r="A25397" s="64" t="str">
        <f>HYPERLINK("http://www.twitter.com/GwenEnstam", "GwenEnstam")</f>
        <v>GwenEnstam</v>
      </c>
      <c r="B25397" s="65"/>
    </row>
    <row r="25398" spans="1:2" x14ac:dyDescent="0.25">
      <c r="A25398" s="64" t="str">
        <f>HYPERLINK("http://www.twitter.com/abigailarroyos", "abigailarroyos")</f>
        <v>abigailarroyos</v>
      </c>
      <c r="B25398" s="65" t="s">
        <v>11116</v>
      </c>
    </row>
    <row r="25399" spans="1:2" x14ac:dyDescent="0.25">
      <c r="A25399" s="64" t="str">
        <f>HYPERLINK("http://www.twitter.com/forest_watcher", "forest_watcher")</f>
        <v>forest_watcher</v>
      </c>
      <c r="B25399" s="65" t="s">
        <v>920</v>
      </c>
    </row>
    <row r="25400" spans="1:2" x14ac:dyDescent="0.25">
      <c r="A25400" s="64" t="str">
        <f>HYPERLINK("http://www.twitter.com/VicClifford", "VicClifford")</f>
        <v>VicClifford</v>
      </c>
      <c r="B25400" s="65"/>
    </row>
    <row r="25401" spans="1:2" x14ac:dyDescent="0.25">
      <c r="A25401" s="64" t="str">
        <f>HYPERLINK("http://www.twitter.com/Ellen_a_", "Ellen_a_")</f>
        <v>Ellen_a_</v>
      </c>
      <c r="B25401" s="65" t="s">
        <v>3984</v>
      </c>
    </row>
    <row r="25402" spans="1:2" x14ac:dyDescent="0.25">
      <c r="A25402" s="64" t="str">
        <f>HYPERLINK("http://www.twitter.com/librarylike", "librarylike")</f>
        <v>librarylike</v>
      </c>
      <c r="B25402" s="65" t="s">
        <v>4001</v>
      </c>
    </row>
    <row r="25403" spans="1:2" x14ac:dyDescent="0.25">
      <c r="A25403" s="64" t="str">
        <f>HYPERLINK("http://www.twitter.com/ae_grady", "ae_grady")</f>
        <v>ae_grady</v>
      </c>
      <c r="B25403" s="65" t="s">
        <v>4687</v>
      </c>
    </row>
    <row r="25404" spans="1:2" x14ac:dyDescent="0.25">
      <c r="A25404" s="64" t="str">
        <f>HYPERLINK("http://www.twitter.com/Arundel99", "Arundel99")</f>
        <v>Arundel99</v>
      </c>
      <c r="B25404" s="65"/>
    </row>
    <row r="25405" spans="1:2" x14ac:dyDescent="0.25">
      <c r="A25405" s="64" t="str">
        <f>HYPERLINK("http://www.twitter.com/cheerfulstate", "cheerfulstate")</f>
        <v>cheerfulstate</v>
      </c>
      <c r="B25405" s="65" t="s">
        <v>4121</v>
      </c>
    </row>
    <row r="25406" spans="1:2" x14ac:dyDescent="0.25">
      <c r="A25406" s="64" t="str">
        <f>HYPERLINK("http://www.twitter.com/elizabethdfin", "elizabethdfin")</f>
        <v>elizabethdfin</v>
      </c>
      <c r="B25406" s="65"/>
    </row>
    <row r="25407" spans="1:2" x14ac:dyDescent="0.25">
      <c r="A25407" s="64" t="str">
        <f>HYPERLINK("http://www.twitter.com/Wribrarian", "Wribrarian")</f>
        <v>Wribrarian</v>
      </c>
      <c r="B25407" s="65" t="s">
        <v>11117</v>
      </c>
    </row>
    <row r="25408" spans="1:2" x14ac:dyDescent="0.25">
      <c r="A25408" s="64" t="str">
        <f>HYPERLINK("http://www.twitter.com/anj_thepange", "anj_thepange")</f>
        <v>anj_thepange</v>
      </c>
      <c r="B25408" s="65" t="s">
        <v>517</v>
      </c>
    </row>
    <row r="25409" spans="1:2" x14ac:dyDescent="0.25">
      <c r="A25409" s="64" t="str">
        <f>HYPERLINK("http://www.twitter.com/Saravb92", "Saravb92")</f>
        <v>Saravb92</v>
      </c>
      <c r="B25409" s="65"/>
    </row>
    <row r="25410" spans="1:2" x14ac:dyDescent="0.25">
      <c r="A25410" s="64" t="str">
        <f>HYPERLINK("http://www.twitter.com/randomrooroo", "randomrooroo")</f>
        <v>randomrooroo</v>
      </c>
      <c r="B25410" s="65" t="s">
        <v>11118</v>
      </c>
    </row>
    <row r="25411" spans="1:2" x14ac:dyDescent="0.25">
      <c r="A25411" s="64" t="str">
        <f>HYPERLINK("http://www.twitter.com/kevinbspence", "kevinbspence")</f>
        <v>kevinbspence</v>
      </c>
      <c r="B25411" s="65" t="s">
        <v>11119</v>
      </c>
    </row>
    <row r="25412" spans="1:2" x14ac:dyDescent="0.25">
      <c r="A25412" s="64" t="str">
        <f>HYPERLINK("http://www.twitter.com/fintain", "fintain")</f>
        <v>fintain</v>
      </c>
      <c r="B25412" s="65" t="s">
        <v>36</v>
      </c>
    </row>
    <row r="25413" spans="1:2" x14ac:dyDescent="0.25">
      <c r="A25413" s="64" t="str">
        <f>HYPERLINK("http://www.twitter.com/cquearney", "cquearney")</f>
        <v>cquearney</v>
      </c>
      <c r="B25413" s="65" t="s">
        <v>36</v>
      </c>
    </row>
    <row r="25414" spans="1:2" x14ac:dyDescent="0.25">
      <c r="A25414" s="64" t="str">
        <f>HYPERLINK("http://www.twitter.com/crazyscot78", "crazyscot78")</f>
        <v>crazyscot78</v>
      </c>
      <c r="B25414" s="65" t="s">
        <v>3802</v>
      </c>
    </row>
    <row r="25415" spans="1:2" x14ac:dyDescent="0.25">
      <c r="A25415" s="64" t="str">
        <f>HYPERLINK("http://www.twitter.com/sarahadie", "sarahadie")</f>
        <v>sarahadie</v>
      </c>
      <c r="B25415" s="65" t="s">
        <v>33</v>
      </c>
    </row>
    <row r="25416" spans="1:2" x14ac:dyDescent="0.25">
      <c r="A25416" s="64" t="str">
        <f>HYPERLINK("http://www.twitter.com/ThreeStoats", "ThreeStoats")</f>
        <v>ThreeStoats</v>
      </c>
      <c r="B25416" s="65" t="s">
        <v>8470</v>
      </c>
    </row>
    <row r="25417" spans="1:2" x14ac:dyDescent="0.25">
      <c r="A25417" s="64" t="str">
        <f>HYPERLINK("http://www.twitter.com/hhayleyh", "hhayleyh")</f>
        <v>hhayleyh</v>
      </c>
      <c r="B25417" s="65" t="s">
        <v>36</v>
      </c>
    </row>
    <row r="25418" spans="1:2" x14ac:dyDescent="0.25">
      <c r="A25418" s="64" t="str">
        <f>HYPERLINK("http://www.twitter.com/NPourhassan", "NPourhassan")</f>
        <v>NPourhassan</v>
      </c>
      <c r="B25418" s="65" t="s">
        <v>4940</v>
      </c>
    </row>
    <row r="25419" spans="1:2" x14ac:dyDescent="0.25">
      <c r="A25419" s="64" t="str">
        <f>HYPERLINK("http://www.twitter.com/kouridge", "kouridge")</f>
        <v>kouridge</v>
      </c>
      <c r="B25419" s="65" t="s">
        <v>5156</v>
      </c>
    </row>
    <row r="25420" spans="1:2" x14ac:dyDescent="0.25">
      <c r="A25420" s="64" t="str">
        <f>HYPERLINK("http://www.twitter.com/NinaWanders", "NinaWanders")</f>
        <v>NinaWanders</v>
      </c>
      <c r="B25420" s="65" t="s">
        <v>8651</v>
      </c>
    </row>
    <row r="25421" spans="1:2" x14ac:dyDescent="0.25">
      <c r="A25421" s="64" t="str">
        <f>HYPERLINK("http://www.twitter.com/emceehorn", "emceehorn")</f>
        <v>emceehorn</v>
      </c>
      <c r="B25421" s="65" t="s">
        <v>4692</v>
      </c>
    </row>
    <row r="25422" spans="1:2" x14ac:dyDescent="0.25">
      <c r="A25422" s="64" t="str">
        <f>HYPERLINK("http://www.twitter.com/redbreastedbird", "redbreastedbird")</f>
        <v>redbreastedbird</v>
      </c>
      <c r="B25422" s="65" t="s">
        <v>1490</v>
      </c>
    </row>
    <row r="25423" spans="1:2" x14ac:dyDescent="0.25">
      <c r="A25423" s="64" t="str">
        <f>HYPERLINK("http://www.twitter.com/SAEslund", "SAEslund")</f>
        <v>SAEslund</v>
      </c>
      <c r="B25423" s="65" t="s">
        <v>11120</v>
      </c>
    </row>
    <row r="25424" spans="1:2" x14ac:dyDescent="0.25">
      <c r="A25424" s="64" t="str">
        <f>HYPERLINK("http://www.twitter.com/mandyhayward3", "mandyhayward3")</f>
        <v>mandyhayward3</v>
      </c>
      <c r="B25424" s="65"/>
    </row>
    <row r="25425" spans="1:2" x14ac:dyDescent="0.25">
      <c r="A25425" s="64" t="str">
        <f>HYPERLINK("http://www.twitter.com/newtonuk", "newtonuk")</f>
        <v>newtonuk</v>
      </c>
      <c r="B25425" s="65" t="s">
        <v>11121</v>
      </c>
    </row>
    <row r="25426" spans="1:2" x14ac:dyDescent="0.25">
      <c r="A25426" s="64" t="str">
        <f>HYPERLINK("http://www.twitter.com/kaykataj", "kaykataj")</f>
        <v>kaykataj</v>
      </c>
      <c r="B25426" s="65" t="s">
        <v>11122</v>
      </c>
    </row>
    <row r="25427" spans="1:2" x14ac:dyDescent="0.25">
      <c r="A25427" s="64" t="str">
        <f>HYPERLINK("http://www.twitter.com/troutlander", "troutlander")</f>
        <v>troutlander</v>
      </c>
      <c r="B25427" s="65" t="s">
        <v>11123</v>
      </c>
    </row>
    <row r="25428" spans="1:2" x14ac:dyDescent="0.25">
      <c r="A25428" s="64" t="str">
        <f>HYPERLINK("http://www.twitter.com/dianemalmstrom", "dianemalmstrom")</f>
        <v>dianemalmstrom</v>
      </c>
      <c r="B25428" s="65" t="s">
        <v>11124</v>
      </c>
    </row>
    <row r="25429" spans="1:2" x14ac:dyDescent="0.25">
      <c r="A25429" s="64" t="str">
        <f>HYPERLINK("http://www.twitter.com/ericamunro", "ericamunro")</f>
        <v>ericamunro</v>
      </c>
      <c r="B25429" s="65" t="s">
        <v>11125</v>
      </c>
    </row>
    <row r="25430" spans="1:2" x14ac:dyDescent="0.25">
      <c r="A25430" s="64" t="str">
        <f>HYPERLINK("http://www.twitter.com/Holly__Y", "Holly__Y")</f>
        <v>Holly__Y</v>
      </c>
      <c r="B25430" s="65" t="s">
        <v>4227</v>
      </c>
    </row>
    <row r="25431" spans="1:2" x14ac:dyDescent="0.25">
      <c r="A25431" s="64" t="str">
        <f>HYPERLINK("http://www.twitter.com/Preppyinpink365", "Preppyinpink365")</f>
        <v>Preppyinpink365</v>
      </c>
      <c r="B25431" s="65"/>
    </row>
    <row r="25432" spans="1:2" x14ac:dyDescent="0.25">
      <c r="A25432" s="64" t="str">
        <f>HYPERLINK("http://www.twitter.com/Bebbalotti", "Bebbalotti")</f>
        <v>Bebbalotti</v>
      </c>
      <c r="B25432" s="65"/>
    </row>
    <row r="25433" spans="1:2" x14ac:dyDescent="0.25">
      <c r="A25433" s="64" t="str">
        <f>HYPERLINK("http://www.twitter.com/Becca228B", "Becca228B")</f>
        <v>Becca228B</v>
      </c>
      <c r="B25433" s="65"/>
    </row>
    <row r="25434" spans="1:2" x14ac:dyDescent="0.25">
      <c r="A25434" s="64" t="str">
        <f>HYPERLINK("http://www.twitter.com/ififorget", "ififorget")</f>
        <v>ififorget</v>
      </c>
      <c r="B25434" s="65"/>
    </row>
    <row r="25435" spans="1:2" x14ac:dyDescent="0.25">
      <c r="A25435" s="64" t="str">
        <f>HYPERLINK("http://www.twitter.com/LolsMac", "LolsMac")</f>
        <v>LolsMac</v>
      </c>
      <c r="B25435" s="65" t="s">
        <v>11126</v>
      </c>
    </row>
    <row r="25436" spans="1:2" x14ac:dyDescent="0.25">
      <c r="A25436" s="64" t="str">
        <f>HYPERLINK("http://www.twitter.com/94ellenb", "94ellenb")</f>
        <v>94ellenb</v>
      </c>
      <c r="B25436" s="65"/>
    </row>
    <row r="25437" spans="1:2" x14ac:dyDescent="0.25">
      <c r="A25437" s="64" t="str">
        <f>HYPERLINK("http://www.twitter.com/poprock", "poprock")</f>
        <v>poprock</v>
      </c>
      <c r="B25437" s="65" t="s">
        <v>138</v>
      </c>
    </row>
    <row r="25438" spans="1:2" x14ac:dyDescent="0.25">
      <c r="A25438" s="64" t="str">
        <f>HYPERLINK("http://www.twitter.com/MattJCarms", "MattJCarms")</f>
        <v>MattJCarms</v>
      </c>
      <c r="B25438" s="65"/>
    </row>
    <row r="25439" spans="1:2" x14ac:dyDescent="0.25">
      <c r="A25439" s="64" t="str">
        <f>HYPERLINK("http://www.twitter.com/12books12months", "12books12months")</f>
        <v>12books12months</v>
      </c>
      <c r="B25439" s="65" t="s">
        <v>24</v>
      </c>
    </row>
    <row r="25440" spans="1:2" x14ac:dyDescent="0.25">
      <c r="A25440" s="64" t="str">
        <f>HYPERLINK("http://www.twitter.com/timneigh", "timneigh")</f>
        <v>timneigh</v>
      </c>
      <c r="B25440" s="65"/>
    </row>
    <row r="25441" spans="1:2" x14ac:dyDescent="0.25">
      <c r="A25441" s="64" t="str">
        <f>HYPERLINK("http://www.twitter.com/katiebabyyy15", "katiebabyyy15")</f>
        <v>katiebabyyy15</v>
      </c>
      <c r="B25441" s="65"/>
    </row>
    <row r="25442" spans="1:2" x14ac:dyDescent="0.25">
      <c r="A25442" s="64" t="str">
        <f>HYPERLINK("http://www.twitter.com/OrkneyRenewable", "OrkneyRenewable")</f>
        <v>OrkneyRenewable</v>
      </c>
      <c r="B25442" s="65" t="s">
        <v>20</v>
      </c>
    </row>
    <row r="25443" spans="1:2" x14ac:dyDescent="0.25">
      <c r="A25443" s="64" t="str">
        <f>HYPERLINK("http://www.twitter.com/TopFloorT", "TopFloorT")</f>
        <v>TopFloorT</v>
      </c>
      <c r="B25443" s="65" t="s">
        <v>158</v>
      </c>
    </row>
    <row r="25444" spans="1:2" x14ac:dyDescent="0.25">
      <c r="A25444" s="64" t="str">
        <f>HYPERLINK("http://www.twitter.com/lindylooo", "lindylooo")</f>
        <v>lindylooo</v>
      </c>
      <c r="B25444" s="65" t="s">
        <v>2007</v>
      </c>
    </row>
    <row r="25445" spans="1:2" x14ac:dyDescent="0.25">
      <c r="A25445" s="64" t="str">
        <f>HYPERLINK("http://www.twitter.com/meganlbruce", "meganlbruce")</f>
        <v>meganlbruce</v>
      </c>
      <c r="B25445" s="65" t="s">
        <v>663</v>
      </c>
    </row>
    <row r="25446" spans="1:2" x14ac:dyDescent="0.25">
      <c r="A25446" s="64" t="str">
        <f>HYPERLINK("http://www.twitter.com/whimsy_roo", "whimsy_roo")</f>
        <v>whimsy_roo</v>
      </c>
      <c r="B25446" s="65" t="s">
        <v>4148</v>
      </c>
    </row>
    <row r="25447" spans="1:2" x14ac:dyDescent="0.25">
      <c r="A25447" s="64" t="str">
        <f>HYPERLINK("http://www.twitter.com/batwithglasses", "batwithglasses")</f>
        <v>batwithglasses</v>
      </c>
      <c r="B25447" s="65" t="s">
        <v>11127</v>
      </c>
    </row>
    <row r="25448" spans="1:2" x14ac:dyDescent="0.25">
      <c r="A25448" s="64" t="str">
        <f>HYPERLINK("http://www.twitter.com/Sveaann", "Sveaann")</f>
        <v>Sveaann</v>
      </c>
      <c r="B25448" s="65" t="s">
        <v>7809</v>
      </c>
    </row>
    <row r="25449" spans="1:2" x14ac:dyDescent="0.25">
      <c r="A25449" s="64" t="str">
        <f>HYPERLINK("http://www.twitter.com/andychristo", "andychristo")</f>
        <v>andychristo</v>
      </c>
      <c r="B25449" s="65" t="s">
        <v>11128</v>
      </c>
    </row>
    <row r="25450" spans="1:2" x14ac:dyDescent="0.25">
      <c r="A25450" s="64" t="str">
        <f>HYPERLINK("http://www.twitter.com/mclaury24", "mclaury24")</f>
        <v>mclaury24</v>
      </c>
      <c r="B25450" s="65"/>
    </row>
    <row r="25451" spans="1:2" x14ac:dyDescent="0.25">
      <c r="A25451" s="64" t="str">
        <f>HYPERLINK("http://www.twitter.com/Green_Steve", "Green_Steve")</f>
        <v>Green_Steve</v>
      </c>
      <c r="B25451" s="65" t="s">
        <v>3633</v>
      </c>
    </row>
    <row r="25452" spans="1:2" x14ac:dyDescent="0.25">
      <c r="A25452" s="64" t="str">
        <f>HYPERLINK("http://www.twitter.com/agroforever1", "agroforever1")</f>
        <v>agroforever1</v>
      </c>
      <c r="B25452" s="65" t="s">
        <v>11129</v>
      </c>
    </row>
    <row r="25453" spans="1:2" x14ac:dyDescent="0.25">
      <c r="A25453" s="64" t="str">
        <f>HYPERLINK("http://www.twitter.com/LaCuthill", "LaCuthill")</f>
        <v>LaCuthill</v>
      </c>
      <c r="B25453" s="65" t="s">
        <v>11130</v>
      </c>
    </row>
    <row r="25454" spans="1:2" x14ac:dyDescent="0.25">
      <c r="A25454" s="64" t="str">
        <f>HYPERLINK("http://www.twitter.com/PabloCutting23", "PabloCutting23")</f>
        <v>PabloCutting23</v>
      </c>
      <c r="B25454" s="65"/>
    </row>
    <row r="25455" spans="1:2" x14ac:dyDescent="0.25">
      <c r="A25455" s="64" t="str">
        <f>HYPERLINK("http://www.twitter.com/PaulDavidAylott", "PaulDavidAylott")</f>
        <v>PaulDavidAylott</v>
      </c>
      <c r="B25455" s="65"/>
    </row>
    <row r="25456" spans="1:2" x14ac:dyDescent="0.25">
      <c r="A25456" s="64" t="str">
        <f>HYPERLINK("http://www.twitter.com/lauramcmeekin", "lauramcmeekin")</f>
        <v>lauramcmeekin</v>
      </c>
      <c r="B25456" s="65"/>
    </row>
    <row r="25457" spans="1:2" x14ac:dyDescent="0.25">
      <c r="A25457" s="64" t="str">
        <f>HYPERLINK("http://www.twitter.com/dcpl", "dcpl")</f>
        <v>dcpl</v>
      </c>
      <c r="B25457" s="65" t="s">
        <v>3785</v>
      </c>
    </row>
    <row r="25458" spans="1:2" x14ac:dyDescent="0.25">
      <c r="A25458" s="64" t="str">
        <f>HYPERLINK("http://www.twitter.com/wbdsgnr1", "wbdsgnr1")</f>
        <v>wbdsgnr1</v>
      </c>
      <c r="B25458" s="65" t="s">
        <v>11131</v>
      </c>
    </row>
    <row r="25459" spans="1:2" x14ac:dyDescent="0.25">
      <c r="A25459" s="64" t="str">
        <f>HYPERLINK("http://www.twitter.com/Liyana_Z", "Liyana_Z")</f>
        <v>Liyana_Z</v>
      </c>
      <c r="B25459" s="65"/>
    </row>
    <row r="25460" spans="1:2" x14ac:dyDescent="0.25">
      <c r="A25460" s="64" t="str">
        <f>HYPERLINK("http://www.twitter.com/osrr", "osrr")</f>
        <v>osrr</v>
      </c>
      <c r="B25460" s="65"/>
    </row>
    <row r="25461" spans="1:2" x14ac:dyDescent="0.25">
      <c r="A25461" s="64" t="str">
        <f>HYPERLINK("http://www.twitter.com/broomperson", "broomperson")</f>
        <v>broomperson</v>
      </c>
      <c r="B25461" s="65" t="s">
        <v>4153</v>
      </c>
    </row>
    <row r="25462" spans="1:2" x14ac:dyDescent="0.25">
      <c r="A25462" s="64" t="str">
        <f>HYPERLINK("http://www.twitter.com/gothiclibrarian", "gothiclibrarian")</f>
        <v>gothiclibrarian</v>
      </c>
      <c r="B25462" s="65" t="s">
        <v>11132</v>
      </c>
    </row>
    <row r="25463" spans="1:2" x14ac:dyDescent="0.25">
      <c r="A25463" s="64" t="str">
        <f>HYPERLINK("http://www.twitter.com/claremary23", "claremary23")</f>
        <v>claremary23</v>
      </c>
      <c r="B25463" s="65" t="s">
        <v>24</v>
      </c>
    </row>
    <row r="25464" spans="1:2" x14ac:dyDescent="0.25">
      <c r="A25464" s="64" t="str">
        <f>HYPERLINK("http://www.twitter.com/fionaadele", "fionaadele")</f>
        <v>fionaadele</v>
      </c>
      <c r="B25464" s="65" t="s">
        <v>4275</v>
      </c>
    </row>
    <row r="25465" spans="1:2" x14ac:dyDescent="0.25">
      <c r="A25465" s="64" t="str">
        <f>HYPERLINK("http://www.twitter.com/djkeeping", "djkeeping")</f>
        <v>djkeeping</v>
      </c>
      <c r="B25465" s="65"/>
    </row>
    <row r="25466" spans="1:2" x14ac:dyDescent="0.25">
      <c r="A25466" s="64" t="str">
        <f>HYPERLINK("http://www.twitter.com/sarahcmcooper", "sarahcmcooper")</f>
        <v>sarahcmcooper</v>
      </c>
      <c r="B25466" s="65" t="s">
        <v>138</v>
      </c>
    </row>
    <row r="25467" spans="1:2" x14ac:dyDescent="0.25">
      <c r="A25467" s="64" t="str">
        <f>HYPERLINK("http://www.twitter.com/_emmagoodman", "_emmagoodman")</f>
        <v>_emmagoodman</v>
      </c>
      <c r="B25467" s="65" t="s">
        <v>2850</v>
      </c>
    </row>
    <row r="25468" spans="1:2" x14ac:dyDescent="0.25">
      <c r="A25468" s="64" t="str">
        <f>HYPERLINK("http://www.twitter.com/pjmccormick", "pjmccormick")</f>
        <v>pjmccormick</v>
      </c>
      <c r="B25468" s="65" t="s">
        <v>11133</v>
      </c>
    </row>
    <row r="25469" spans="1:2" x14ac:dyDescent="0.25">
      <c r="A25469" s="64" t="str">
        <f>HYPERLINK("http://www.twitter.com/dirtybeppe666", "dirtybeppe666")</f>
        <v>dirtybeppe666</v>
      </c>
      <c r="B25469" s="65" t="s">
        <v>11134</v>
      </c>
    </row>
    <row r="25470" spans="1:2" x14ac:dyDescent="0.25">
      <c r="A25470" s="64" t="str">
        <f>HYPERLINK("http://www.twitter.com/sarahallison74", "sarahallison74")</f>
        <v>sarahallison74</v>
      </c>
      <c r="B25470" s="65" t="s">
        <v>5824</v>
      </c>
    </row>
    <row r="25471" spans="1:2" x14ac:dyDescent="0.25">
      <c r="A25471" s="64" t="str">
        <f>HYPERLINK("http://www.twitter.com/WaterstonesGla", "WaterstonesGla")</f>
        <v>WaterstonesGla</v>
      </c>
      <c r="B25471" s="65" t="s">
        <v>11135</v>
      </c>
    </row>
    <row r="25472" spans="1:2" x14ac:dyDescent="0.25">
      <c r="A25472" s="64" t="str">
        <f>HYPERLINK("http://www.twitter.com/momza83", "momza83")</f>
        <v>momza83</v>
      </c>
      <c r="B25472" s="65" t="s">
        <v>4039</v>
      </c>
    </row>
    <row r="25473" spans="1:2" x14ac:dyDescent="0.25">
      <c r="A25473" s="64" t="str">
        <f>HYPERLINK("http://www.twitter.com/TwittPolar", "TwittPolar")</f>
        <v>TwittPolar</v>
      </c>
      <c r="B25473" s="65" t="s">
        <v>4015</v>
      </c>
    </row>
    <row r="25474" spans="1:2" x14ac:dyDescent="0.25">
      <c r="A25474" s="64" t="str">
        <f>HYPERLINK("http://www.twitter.com/KissyCharis", "KissyCharis")</f>
        <v>KissyCharis</v>
      </c>
      <c r="B25474" s="65" t="s">
        <v>4519</v>
      </c>
    </row>
    <row r="25475" spans="1:2" x14ac:dyDescent="0.25">
      <c r="A25475" s="64" t="str">
        <f>HYPERLINK("http://www.twitter.com/elluithauren", "elluithauren")</f>
        <v>elluithauren</v>
      </c>
      <c r="B25475" s="65" t="s">
        <v>11136</v>
      </c>
    </row>
    <row r="25476" spans="1:2" x14ac:dyDescent="0.25">
      <c r="A25476" s="64" t="str">
        <f>HYPERLINK("http://www.twitter.com/gerry_cameron", "gerry_cameron")</f>
        <v>gerry_cameron</v>
      </c>
      <c r="B25476" s="65" t="s">
        <v>4167</v>
      </c>
    </row>
    <row r="25477" spans="1:2" x14ac:dyDescent="0.25">
      <c r="A25477" s="64" t="str">
        <f>HYPERLINK("http://www.twitter.com/lola_orr", "lola_orr")</f>
        <v>lola_orr</v>
      </c>
      <c r="B25477" s="65" t="s">
        <v>11137</v>
      </c>
    </row>
    <row r="25478" spans="1:2" x14ac:dyDescent="0.25">
      <c r="A25478" s="64" t="str">
        <f>HYPERLINK("http://www.twitter.com/SparkleDucken", "SparkleDucken")</f>
        <v>SparkleDucken</v>
      </c>
      <c r="B25478" s="65"/>
    </row>
    <row r="25479" spans="1:2" x14ac:dyDescent="0.25">
      <c r="A25479" s="64" t="str">
        <f>HYPERLINK("http://www.twitter.com/JaniceMinx", "JaniceMinx")</f>
        <v>JaniceMinx</v>
      </c>
      <c r="B25479" s="65" t="s">
        <v>7201</v>
      </c>
    </row>
    <row r="25480" spans="1:2" x14ac:dyDescent="0.25">
      <c r="A25480" s="64" t="str">
        <f>HYPERLINK("http://www.twitter.com/scotttt7", "scotttt7")</f>
        <v>scotttt7</v>
      </c>
      <c r="B25480" s="65"/>
    </row>
    <row r="25481" spans="1:2" x14ac:dyDescent="0.25">
      <c r="A25481" s="64" t="str">
        <f>HYPERLINK("http://www.twitter.com/emmieeharrison", "emmieeharrison")</f>
        <v>emmieeharrison</v>
      </c>
      <c r="B25481" s="65" t="s">
        <v>11138</v>
      </c>
    </row>
    <row r="25482" spans="1:2" x14ac:dyDescent="0.25">
      <c r="A25482" s="64" t="str">
        <f>HYPERLINK("http://www.twitter.com/Meldevrieze", "Meldevrieze")</f>
        <v>Meldevrieze</v>
      </c>
      <c r="B25482" s="65"/>
    </row>
    <row r="25483" spans="1:2" x14ac:dyDescent="0.25">
      <c r="A25483" s="64" t="str">
        <f>HYPERLINK("http://www.twitter.com/ok_kaitlynmay", "ok_kaitlynmay")</f>
        <v>ok_kaitlynmay</v>
      </c>
      <c r="B25483" s="65" t="s">
        <v>7593</v>
      </c>
    </row>
    <row r="25484" spans="1:2" x14ac:dyDescent="0.25">
      <c r="A25484" s="64" t="str">
        <f>HYPERLINK("http://www.twitter.com/sharpyhanna", "sharpyhanna")</f>
        <v>sharpyhanna</v>
      </c>
      <c r="B25484" s="65"/>
    </row>
    <row r="25485" spans="1:2" x14ac:dyDescent="0.25">
      <c r="A25485" s="64" t="str">
        <f>HYPERLINK("http://www.twitter.com/MaggieLottes", "MaggieLottes")</f>
        <v>MaggieLottes</v>
      </c>
      <c r="B25485" s="65"/>
    </row>
    <row r="25486" spans="1:2" x14ac:dyDescent="0.25">
      <c r="A25486" s="64" t="str">
        <f>HYPERLINK("http://www.twitter.com/Julian__West", "Julian__West")</f>
        <v>Julian__West</v>
      </c>
      <c r="B25486" s="65" t="s">
        <v>11139</v>
      </c>
    </row>
    <row r="25487" spans="1:2" x14ac:dyDescent="0.25">
      <c r="A25487" s="64" t="str">
        <f>HYPERLINK("http://www.twitter.com/laurenw_k", "laurenw_k")</f>
        <v>laurenw_k</v>
      </c>
      <c r="B25487" s="65"/>
    </row>
    <row r="25488" spans="1:2" x14ac:dyDescent="0.25">
      <c r="A25488" s="64" t="str">
        <f>HYPERLINK("http://www.twitter.com/brambleberries", "brambleberries")</f>
        <v>brambleberries</v>
      </c>
      <c r="B25488" s="65" t="s">
        <v>5529</v>
      </c>
    </row>
    <row r="25489" spans="1:2" x14ac:dyDescent="0.25">
      <c r="A25489" s="64" t="str">
        <f>HYPERLINK("http://www.twitter.com/islandwool", "islandwool")</f>
        <v>islandwool</v>
      </c>
      <c r="B25489" s="65" t="s">
        <v>296</v>
      </c>
    </row>
    <row r="25490" spans="1:2" x14ac:dyDescent="0.25">
      <c r="A25490" s="64" t="str">
        <f>HYPERLINK("http://www.twitter.com/jalinkletter", "jalinkletter")</f>
        <v>jalinkletter</v>
      </c>
      <c r="B25490" s="65" t="s">
        <v>7058</v>
      </c>
    </row>
    <row r="25491" spans="1:2" x14ac:dyDescent="0.25">
      <c r="A25491" s="64" t="str">
        <f>HYPERLINK("http://www.twitter.com/nelerina", "nelerina")</f>
        <v>nelerina</v>
      </c>
      <c r="B25491" s="65"/>
    </row>
    <row r="25492" spans="1:2" x14ac:dyDescent="0.25">
      <c r="A25492" s="64" t="str">
        <f>HYPERLINK("http://www.twitter.com/gemma246", "gemma246")</f>
        <v>gemma246</v>
      </c>
      <c r="B25492" s="65" t="s">
        <v>70</v>
      </c>
    </row>
    <row r="25493" spans="1:2" x14ac:dyDescent="0.25">
      <c r="A25493" s="64" t="str">
        <f>HYPERLINK("http://www.twitter.com/jenniferrock", "jenniferrock")</f>
        <v>jenniferrock</v>
      </c>
      <c r="B25493" s="65" t="s">
        <v>4703</v>
      </c>
    </row>
    <row r="25494" spans="1:2" x14ac:dyDescent="0.25">
      <c r="A25494" s="64" t="str">
        <f>HYPERLINK("http://www.twitter.com/Leilakaytanner", "Leilakaytanner")</f>
        <v>Leilakaytanner</v>
      </c>
      <c r="B25494" s="65" t="s">
        <v>1765</v>
      </c>
    </row>
    <row r="25495" spans="1:2" x14ac:dyDescent="0.25">
      <c r="A25495" s="64" t="str">
        <f>HYPERLINK("http://www.twitter.com/JenniferHill86", "JenniferHill86")</f>
        <v>JenniferHill86</v>
      </c>
      <c r="B25495" s="65" t="s">
        <v>11140</v>
      </c>
    </row>
    <row r="25496" spans="1:2" x14ac:dyDescent="0.25">
      <c r="A25496" s="64" t="str">
        <f>HYPERLINK("http://www.twitter.com/annawmoore", "annawmoore")</f>
        <v>annawmoore</v>
      </c>
      <c r="B25496" s="65" t="s">
        <v>11141</v>
      </c>
    </row>
    <row r="25497" spans="1:2" x14ac:dyDescent="0.25">
      <c r="A25497" s="64" t="str">
        <f>HYPERLINK("http://www.twitter.com/Whitehall1", "Whitehall1")</f>
        <v>Whitehall1</v>
      </c>
      <c r="B25497" s="65"/>
    </row>
    <row r="25498" spans="1:2" x14ac:dyDescent="0.25">
      <c r="A25498" s="64" t="str">
        <f>HYPERLINK("http://www.twitter.com/sarah_cawthorne", "sarah_cawthorne")</f>
        <v>sarah_cawthorne</v>
      </c>
      <c r="B25498" s="65" t="s">
        <v>5339</v>
      </c>
    </row>
    <row r="25499" spans="1:2" x14ac:dyDescent="0.25">
      <c r="A25499" s="64" t="str">
        <f>HYPERLINK("http://www.twitter.com/whirlinghamster", "whirlinghamster")</f>
        <v>whirlinghamster</v>
      </c>
      <c r="B25499" s="65"/>
    </row>
    <row r="25500" spans="1:2" x14ac:dyDescent="0.25">
      <c r="A25500" s="64" t="str">
        <f>HYPERLINK("http://www.twitter.com/NewCollectioner", "NewCollectioner")</f>
        <v>NewCollectioner</v>
      </c>
      <c r="B25500" s="65" t="s">
        <v>11142</v>
      </c>
    </row>
    <row r="25501" spans="1:2" x14ac:dyDescent="0.25">
      <c r="A25501" s="64" t="str">
        <f>HYPERLINK("http://www.twitter.com/CumnockRTB", "CumnockRTB")</f>
        <v>CumnockRTB</v>
      </c>
      <c r="B25501" s="65" t="s">
        <v>7835</v>
      </c>
    </row>
    <row r="25502" spans="1:2" x14ac:dyDescent="0.25">
      <c r="A25502" s="64" t="str">
        <f>HYPERLINK("http://www.twitter.com/Glitter_Fem", "Glitter_Fem")</f>
        <v>Glitter_Fem</v>
      </c>
      <c r="B25502" s="65" t="s">
        <v>11143</v>
      </c>
    </row>
    <row r="25503" spans="1:2" x14ac:dyDescent="0.25">
      <c r="A25503" s="64" t="str">
        <f>HYPERLINK("http://www.twitter.com/textsfrommydog", "textsfrommydog")</f>
        <v>textsfrommydog</v>
      </c>
      <c r="B25503" s="65"/>
    </row>
    <row r="25504" spans="1:2" x14ac:dyDescent="0.25">
      <c r="A25504" s="64" t="str">
        <f>HYPERLINK("http://www.twitter.com/SarahElizWoods", "SarahElizWoods")</f>
        <v>SarahElizWoods</v>
      </c>
      <c r="B25504" s="65" t="s">
        <v>477</v>
      </c>
    </row>
    <row r="25505" spans="1:2" x14ac:dyDescent="0.25">
      <c r="A25505" s="64" t="str">
        <f>HYPERLINK("http://www.twitter.com/D_pepps", "D_pepps")</f>
        <v>D_pepps</v>
      </c>
      <c r="B25505" s="65"/>
    </row>
    <row r="25506" spans="1:2" x14ac:dyDescent="0.25">
      <c r="A25506" s="64" t="str">
        <f>HYPERLINK("http://www.twitter.com/SirHugoOfRune", "SirHugoOfRune")</f>
        <v>SirHugoOfRune</v>
      </c>
      <c r="B25506" s="65" t="s">
        <v>5360</v>
      </c>
    </row>
    <row r="25507" spans="1:2" x14ac:dyDescent="0.25">
      <c r="A25507" s="64" t="str">
        <f>HYPERLINK("http://www.twitter.com/A_Wishart1", "A_Wishart1")</f>
        <v>A_Wishart1</v>
      </c>
      <c r="B25507" s="65"/>
    </row>
    <row r="25508" spans="1:2" x14ac:dyDescent="0.25">
      <c r="A25508" s="64" t="str">
        <f>HYPERLINK("http://www.twitter.com/FinnDelaney96", "FinnDelaney96")</f>
        <v>FinnDelaney96</v>
      </c>
      <c r="B25508" s="65" t="s">
        <v>4019</v>
      </c>
    </row>
    <row r="25509" spans="1:2" x14ac:dyDescent="0.25">
      <c r="A25509" s="64" t="str">
        <f>HYPERLINK("http://www.twitter.com/IslandGirl286", "IslandGirl286")</f>
        <v>IslandGirl286</v>
      </c>
      <c r="B25509" s="65"/>
    </row>
    <row r="25510" spans="1:2" x14ac:dyDescent="0.25">
      <c r="A25510" s="64" t="str">
        <f>HYPERLINK("http://www.twitter.com/heykristin1024", "heykristin1024")</f>
        <v>heykristin1024</v>
      </c>
      <c r="B25510" s="65" t="s">
        <v>5665</v>
      </c>
    </row>
    <row r="25511" spans="1:2" x14ac:dyDescent="0.25">
      <c r="A25511" s="64" t="str">
        <f>HYPERLINK("http://www.twitter.com/historygeek37", "historygeek37")</f>
        <v>historygeek37</v>
      </c>
      <c r="B25511" s="65" t="s">
        <v>11144</v>
      </c>
    </row>
    <row r="25512" spans="1:2" x14ac:dyDescent="0.25">
      <c r="A25512" s="64" t="str">
        <f>HYPERLINK("http://www.twitter.com/CaraJones82", "CaraJones82")</f>
        <v>CaraJones82</v>
      </c>
      <c r="B25512" s="65" t="s">
        <v>601</v>
      </c>
    </row>
    <row r="25513" spans="1:2" x14ac:dyDescent="0.25">
      <c r="A25513" s="64" t="str">
        <f>HYPERLINK("http://www.twitter.com/benosteen", "benosteen")</f>
        <v>benosteen</v>
      </c>
      <c r="B25513" s="65" t="s">
        <v>11145</v>
      </c>
    </row>
    <row r="25514" spans="1:2" x14ac:dyDescent="0.25">
      <c r="A25514" s="64" t="str">
        <f>HYPERLINK("http://www.twitter.com/HarveyHorse42", "HarveyHorse42")</f>
        <v>HarveyHorse42</v>
      </c>
      <c r="B25514" s="65"/>
    </row>
    <row r="25515" spans="1:2" x14ac:dyDescent="0.25">
      <c r="A25515" s="64" t="str">
        <f>HYPERLINK("http://www.twitter.com/ughmehl", "ughmehl")</f>
        <v>ughmehl</v>
      </c>
      <c r="B25515" s="65" t="s">
        <v>7821</v>
      </c>
    </row>
    <row r="25516" spans="1:2" x14ac:dyDescent="0.25">
      <c r="A25516" s="64" t="str">
        <f>HYPERLINK("http://www.twitter.com/Charys96", "Charys96")</f>
        <v>Charys96</v>
      </c>
      <c r="B25516" s="65"/>
    </row>
    <row r="25517" spans="1:2" x14ac:dyDescent="0.25">
      <c r="A25517" s="64" t="str">
        <f>HYPERLINK("http://www.twitter.com/christy_ms", "christy_ms")</f>
        <v>christy_ms</v>
      </c>
      <c r="B25517" s="65"/>
    </row>
    <row r="25518" spans="1:2" x14ac:dyDescent="0.25">
      <c r="A25518" s="64" t="str">
        <f>HYPERLINK("http://www.twitter.com/Magnusb96", "Magnusb96")</f>
        <v>Magnusb96</v>
      </c>
      <c r="B25518" s="65" t="s">
        <v>5104</v>
      </c>
    </row>
    <row r="25519" spans="1:2" x14ac:dyDescent="0.25">
      <c r="A25519" s="64" t="str">
        <f>HYPERLINK("http://www.twitter.com/Jacob_G_Hilton", "Jacob_G_Hilton")</f>
        <v>Jacob_G_Hilton</v>
      </c>
      <c r="B25519" s="65" t="s">
        <v>11146</v>
      </c>
    </row>
    <row r="25520" spans="1:2" x14ac:dyDescent="0.25">
      <c r="A25520" s="64" t="str">
        <f>HYPERLINK("http://www.twitter.com/SamiMelaragno", "SamiMelaragno")</f>
        <v>SamiMelaragno</v>
      </c>
      <c r="B25520" s="65" t="s">
        <v>4001</v>
      </c>
    </row>
    <row r="25521" spans="1:2" x14ac:dyDescent="0.25">
      <c r="A25521" s="64" t="str">
        <f>HYPERLINK("http://www.twitter.com/Lib_Techie", "Lib_Techie")</f>
        <v>Lib_Techie</v>
      </c>
      <c r="B25521" s="65" t="s">
        <v>11147</v>
      </c>
    </row>
    <row r="25522" spans="1:2" x14ac:dyDescent="0.25">
      <c r="A25522" s="64" t="str">
        <f>HYPERLINK("http://www.twitter.com/davenorcott", "davenorcott")</f>
        <v>davenorcott</v>
      </c>
      <c r="B25522" s="65" t="s">
        <v>1434</v>
      </c>
    </row>
    <row r="25523" spans="1:2" x14ac:dyDescent="0.25">
      <c r="A25523" s="64" t="str">
        <f>HYPERLINK("http://www.twitter.com/Yaelnaomi", "Yaelnaomi")</f>
        <v>Yaelnaomi</v>
      </c>
      <c r="B25523" s="65" t="s">
        <v>4040</v>
      </c>
    </row>
    <row r="25524" spans="1:2" x14ac:dyDescent="0.25">
      <c r="A25524" s="64" t="str">
        <f>HYPERLINK("http://www.twitter.com/MajaEllinorLind", "MajaEllinorLind")</f>
        <v>MajaEllinorLind</v>
      </c>
      <c r="B25524" s="65"/>
    </row>
    <row r="25525" spans="1:2" x14ac:dyDescent="0.25">
      <c r="A25525" s="64" t="str">
        <f>HYPERLINK("http://www.twitter.com/Cabaldani", "Cabaldani")</f>
        <v>Cabaldani</v>
      </c>
      <c r="B25525" s="65" t="s">
        <v>1479</v>
      </c>
    </row>
    <row r="25526" spans="1:2" x14ac:dyDescent="0.25">
      <c r="A25526" s="64" t="str">
        <f>HYPERLINK("http://www.twitter.com/iLoveMyGrub", "iLoveMyGrub")</f>
        <v>iLoveMyGrub</v>
      </c>
      <c r="B25526" s="65" t="s">
        <v>36</v>
      </c>
    </row>
    <row r="25527" spans="1:2" x14ac:dyDescent="0.25">
      <c r="A25527" s="64" t="str">
        <f>HYPERLINK("http://www.twitter.com/CharlieWells80", "CharlieWells80")</f>
        <v>CharlieWells80</v>
      </c>
      <c r="B25527" s="65" t="s">
        <v>4501</v>
      </c>
    </row>
    <row r="25528" spans="1:2" x14ac:dyDescent="0.25">
      <c r="A25528" s="64" t="str">
        <f>HYPERLINK("http://www.twitter.com/LRlibrarian", "LRlibrarian")</f>
        <v>LRlibrarian</v>
      </c>
      <c r="B25528" s="65" t="s">
        <v>11148</v>
      </c>
    </row>
    <row r="25529" spans="1:2" x14ac:dyDescent="0.25">
      <c r="A25529" s="64" t="str">
        <f>HYPERLINK("http://www.twitter.com/shannon_louiseM", "shannon_louiseM")</f>
        <v>shannon_louiseM</v>
      </c>
      <c r="B25529" s="65" t="s">
        <v>7085</v>
      </c>
    </row>
    <row r="25530" spans="1:2" x14ac:dyDescent="0.25">
      <c r="A25530" s="64" t="str">
        <f>HYPERLINK("http://www.twitter.com/StronResProp", "StronResProp")</f>
        <v>StronResProp</v>
      </c>
      <c r="B25530" s="65"/>
    </row>
    <row r="25531" spans="1:2" x14ac:dyDescent="0.25">
      <c r="A25531" s="64" t="str">
        <f>HYPERLINK("http://www.twitter.com/Kathy1962x", "Kathy1962x")</f>
        <v>Kathy1962x</v>
      </c>
      <c r="B25531" s="65" t="s">
        <v>11149</v>
      </c>
    </row>
    <row r="25532" spans="1:2" x14ac:dyDescent="0.25">
      <c r="A25532" s="64" t="str">
        <f>HYPERLINK("http://www.twitter.com/which_point", "which_point")</f>
        <v>which_point</v>
      </c>
      <c r="B25532" s="65"/>
    </row>
    <row r="25533" spans="1:2" x14ac:dyDescent="0.25">
      <c r="A25533" s="64" t="str">
        <f>HYPERLINK("http://www.twitter.com/sbridgman17", "sbridgman17")</f>
        <v>sbridgman17</v>
      </c>
      <c r="B25533" s="65" t="s">
        <v>11150</v>
      </c>
    </row>
    <row r="25534" spans="1:2" x14ac:dyDescent="0.25">
      <c r="A25534" s="64" t="str">
        <f>HYPERLINK("http://www.twitter.com/JacToTheFuture", "JacToTheFuture")</f>
        <v>JacToTheFuture</v>
      </c>
      <c r="B25534" s="65" t="s">
        <v>487</v>
      </c>
    </row>
    <row r="25535" spans="1:2" x14ac:dyDescent="0.25">
      <c r="A25535" s="64" t="str">
        <f>HYPERLINK("http://www.twitter.com/UILibraries", "UILibraries")</f>
        <v>UILibraries</v>
      </c>
      <c r="B25535" s="65" t="s">
        <v>4423</v>
      </c>
    </row>
    <row r="25536" spans="1:2" x14ac:dyDescent="0.25">
      <c r="A25536" s="64" t="str">
        <f>HYPERLINK("http://www.twitter.com/srharris19", "srharris19")</f>
        <v>srharris19</v>
      </c>
      <c r="B25536" s="65" t="s">
        <v>11151</v>
      </c>
    </row>
    <row r="25537" spans="1:2" x14ac:dyDescent="0.25">
      <c r="A25537" s="64" t="str">
        <f>HYPERLINK("http://www.twitter.com/Joshprend", "Joshprend")</f>
        <v>Joshprend</v>
      </c>
      <c r="B25537" s="65" t="s">
        <v>24</v>
      </c>
    </row>
    <row r="25538" spans="1:2" x14ac:dyDescent="0.25">
      <c r="A25538" s="64" t="str">
        <f>HYPERLINK("http://www.twitter.com/sanfaeorkney", "sanfaeorkney")</f>
        <v>sanfaeorkney</v>
      </c>
      <c r="B25538" s="65" t="s">
        <v>11152</v>
      </c>
    </row>
    <row r="25539" spans="1:2" x14ac:dyDescent="0.25">
      <c r="A25539" s="64" t="str">
        <f>HYPERLINK("http://www.twitter.com/louisekearney", "louisekearney")</f>
        <v>louisekearney</v>
      </c>
      <c r="B25539" s="65" t="s">
        <v>10798</v>
      </c>
    </row>
    <row r="25540" spans="1:2" x14ac:dyDescent="0.25">
      <c r="A25540" s="64" t="str">
        <f>HYPERLINK("http://www.twitter.com/thatdenisegirl_", "thatdenisegirl_")</f>
        <v>thatdenisegirl_</v>
      </c>
      <c r="B25540" s="65" t="s">
        <v>24</v>
      </c>
    </row>
    <row r="25541" spans="1:2" x14ac:dyDescent="0.25">
      <c r="A25541" s="64" t="str">
        <f>HYPERLINK("http://www.twitter.com/mimidtran", "mimidtran")</f>
        <v>mimidtran</v>
      </c>
      <c r="B25541" s="65" t="s">
        <v>5059</v>
      </c>
    </row>
    <row r="25542" spans="1:2" x14ac:dyDescent="0.25">
      <c r="A25542" s="64" t="str">
        <f>HYPERLINK("http://www.twitter.com/DeirdreShepherd", "DeirdreShepherd")</f>
        <v>DeirdreShepherd</v>
      </c>
      <c r="B25542" s="65" t="s">
        <v>24</v>
      </c>
    </row>
    <row r="25543" spans="1:2" x14ac:dyDescent="0.25">
      <c r="A25543" s="64" t="str">
        <f>HYPERLINK("http://www.twitter.com/torontolibrary", "torontolibrary")</f>
        <v>torontolibrary</v>
      </c>
      <c r="B25543" s="65" t="s">
        <v>4118</v>
      </c>
    </row>
    <row r="25544" spans="1:2" x14ac:dyDescent="0.25">
      <c r="A25544" s="64" t="str">
        <f>HYPERLINK("http://www.twitter.com/parsonsj", "parsonsj")</f>
        <v>parsonsj</v>
      </c>
      <c r="B25544" s="65" t="s">
        <v>10829</v>
      </c>
    </row>
    <row r="25545" spans="1:2" x14ac:dyDescent="0.25">
      <c r="A25545" s="64" t="str">
        <f>HYPERLINK("http://www.twitter.com/DrCombobulate", "DrCombobulate")</f>
        <v>DrCombobulate</v>
      </c>
      <c r="B25545" s="65"/>
    </row>
    <row r="25546" spans="1:2" x14ac:dyDescent="0.25">
      <c r="A25546" s="64" t="str">
        <f>HYPERLINK("http://www.twitter.com/simonmcooper", "simonmcooper")</f>
        <v>simonmcooper</v>
      </c>
      <c r="B25546" s="65" t="s">
        <v>61</v>
      </c>
    </row>
    <row r="25547" spans="1:2" x14ac:dyDescent="0.25">
      <c r="A25547" s="64" t="str">
        <f>HYPERLINK("http://www.twitter.com/GeorgiaZevs", "GeorgiaZevs")</f>
        <v>GeorgiaZevs</v>
      </c>
      <c r="B25547" s="65" t="s">
        <v>36</v>
      </c>
    </row>
    <row r="25548" spans="1:2" x14ac:dyDescent="0.25">
      <c r="A25548" s="64" t="str">
        <f>HYPERLINK("http://www.twitter.com/andrewnaughtie", "andrewnaughtie")</f>
        <v>andrewnaughtie</v>
      </c>
      <c r="B25548" s="65" t="s">
        <v>36</v>
      </c>
    </row>
    <row r="25549" spans="1:2" x14ac:dyDescent="0.25">
      <c r="A25549" s="64" t="str">
        <f>HYPERLINK("http://www.twitter.com/David_Tails", "David_Tails")</f>
        <v>David_Tails</v>
      </c>
      <c r="B25549" s="65" t="s">
        <v>569</v>
      </c>
    </row>
    <row r="25550" spans="1:2" x14ac:dyDescent="0.25">
      <c r="A25550" s="64" t="str">
        <f>HYPERLINK("http://www.twitter.com/sex_lies_tape", "sex_lies_tape")</f>
        <v>sex_lies_tape</v>
      </c>
      <c r="B25550" s="65" t="s">
        <v>11153</v>
      </c>
    </row>
    <row r="25551" spans="1:2" x14ac:dyDescent="0.25">
      <c r="A25551" s="64" t="str">
        <f>HYPERLINK("http://www.twitter.com/redfellterrier", "redfellterrier")</f>
        <v>redfellterrier</v>
      </c>
      <c r="B25551" s="65" t="s">
        <v>96</v>
      </c>
    </row>
    <row r="25552" spans="1:2" x14ac:dyDescent="0.25">
      <c r="A25552" s="64" t="str">
        <f>HYPERLINK("http://www.twitter.com/qassidas", "qassidas")</f>
        <v>qassidas</v>
      </c>
      <c r="B25552" s="65" t="s">
        <v>11154</v>
      </c>
    </row>
    <row r="25553" spans="1:2" x14ac:dyDescent="0.25">
      <c r="A25553" s="64" t="str">
        <f>HYPERLINK("http://www.twitter.com/mikelennie", "mikelennie")</f>
        <v>mikelennie</v>
      </c>
      <c r="B25553" s="65" t="s">
        <v>11155</v>
      </c>
    </row>
    <row r="25554" spans="1:2" x14ac:dyDescent="0.25">
      <c r="A25554" s="64" t="str">
        <f>HYPERLINK("http://www.twitter.com/lapsangsusie", "lapsangsusie")</f>
        <v>lapsangsusie</v>
      </c>
      <c r="B25554" s="65" t="s">
        <v>11156</v>
      </c>
    </row>
    <row r="25555" spans="1:2" x14ac:dyDescent="0.25">
      <c r="A25555" s="64" t="str">
        <f>HYPERLINK("http://www.twitter.com/magsrobs", "magsrobs")</f>
        <v>magsrobs</v>
      </c>
      <c r="B25555" s="65"/>
    </row>
    <row r="25556" spans="1:2" x14ac:dyDescent="0.25">
      <c r="A25556" s="64" t="str">
        <f>HYPERLINK("http://www.twitter.com/shellick34", "shellick34")</f>
        <v>shellick34</v>
      </c>
      <c r="B25556" s="65"/>
    </row>
    <row r="25557" spans="1:2" x14ac:dyDescent="0.25">
      <c r="A25557" s="64" t="str">
        <f>HYPERLINK("http://www.twitter.com/librarynerdgirl", "librarynerdgirl")</f>
        <v>librarynerdgirl</v>
      </c>
      <c r="B25557" s="65" t="s">
        <v>11157</v>
      </c>
    </row>
    <row r="25558" spans="1:2" x14ac:dyDescent="0.25">
      <c r="A25558" s="64" t="str">
        <f>HYPERLINK("http://www.twitter.com/Humperdink101", "Humperdink101")</f>
        <v>Humperdink101</v>
      </c>
      <c r="B25558" s="65"/>
    </row>
    <row r="25559" spans="1:2" x14ac:dyDescent="0.25">
      <c r="A25559" s="64" t="str">
        <f>HYPERLINK("http://www.twitter.com/martinlavelle1", "martinlavelle1")</f>
        <v>martinlavelle1</v>
      </c>
      <c r="B25559" s="65"/>
    </row>
    <row r="25560" spans="1:2" x14ac:dyDescent="0.25">
      <c r="A25560" s="64" t="str">
        <f>HYPERLINK("http://www.twitter.com/MichaTrombala", "MichaTrombala")</f>
        <v>MichaTrombala</v>
      </c>
      <c r="B25560" s="65"/>
    </row>
    <row r="25561" spans="1:2" x14ac:dyDescent="0.25">
      <c r="A25561" s="64" t="str">
        <f>HYPERLINK("http://www.twitter.com/LucyNews", "LucyNews")</f>
        <v>LucyNews</v>
      </c>
      <c r="B25561" s="65" t="s">
        <v>36</v>
      </c>
    </row>
    <row r="25562" spans="1:2" x14ac:dyDescent="0.25">
      <c r="A25562" s="64" t="str">
        <f>HYPERLINK("http://www.twitter.com/susuer", "susuer")</f>
        <v>susuer</v>
      </c>
      <c r="B25562" s="65"/>
    </row>
    <row r="25563" spans="1:2" x14ac:dyDescent="0.25">
      <c r="A25563" s="64" t="str">
        <f>HYPERLINK("http://www.twitter.com/jessEscape", "jessEscape")</f>
        <v>jessEscape</v>
      </c>
      <c r="B25563" s="65"/>
    </row>
    <row r="25564" spans="1:2" x14ac:dyDescent="0.25">
      <c r="A25564" s="64" t="str">
        <f>HYPERLINK("http://www.twitter.com/BorenMelody", "BorenMelody")</f>
        <v>BorenMelody</v>
      </c>
      <c r="B25564" s="65"/>
    </row>
    <row r="25565" spans="1:2" x14ac:dyDescent="0.25">
      <c r="A25565" s="64" t="str">
        <f>HYPERLINK("http://www.twitter.com/Northmaven", "Northmaven")</f>
        <v>Northmaven</v>
      </c>
      <c r="B25565" s="65" t="s">
        <v>4050</v>
      </c>
    </row>
    <row r="25566" spans="1:2" x14ac:dyDescent="0.25">
      <c r="A25566" s="64" t="str">
        <f>HYPERLINK("http://www.twitter.com/geoffodonnell", "geoffodonnell")</f>
        <v>geoffodonnell</v>
      </c>
      <c r="B25566" s="65" t="s">
        <v>6234</v>
      </c>
    </row>
    <row r="25567" spans="1:2" x14ac:dyDescent="0.25">
      <c r="A25567" s="64" t="str">
        <f>HYPERLINK("http://www.twitter.com/Eeyinnotyouwin", "Eeyinnotyouwin")</f>
        <v>Eeyinnotyouwin</v>
      </c>
      <c r="B25567" s="65"/>
    </row>
    <row r="25568" spans="1:2" x14ac:dyDescent="0.25">
      <c r="A25568" s="64" t="str">
        <f>HYPERLINK("http://www.twitter.com/mambolica", "mambolica")</f>
        <v>mambolica</v>
      </c>
      <c r="B25568" s="65" t="s">
        <v>9433</v>
      </c>
    </row>
    <row r="25569" spans="1:2" x14ac:dyDescent="0.25">
      <c r="A25569" s="64" t="str">
        <f>HYPERLINK("http://www.twitter.com/abwsoccer007", "abwsoccer007")</f>
        <v>abwsoccer007</v>
      </c>
      <c r="B25569" s="65"/>
    </row>
    <row r="25570" spans="1:2" x14ac:dyDescent="0.25">
      <c r="A25570" s="64" t="str">
        <f>HYPERLINK("http://www.twitter.com/tournesoldlivre", "tournesoldlivre")</f>
        <v>tournesoldlivre</v>
      </c>
      <c r="B25570" s="65"/>
    </row>
    <row r="25571" spans="1:2" x14ac:dyDescent="0.25">
      <c r="A25571" s="64" t="str">
        <f>HYPERLINK("http://www.twitter.com/Christinalive", "Christinalive")</f>
        <v>Christinalive</v>
      </c>
      <c r="B25571" s="65"/>
    </row>
    <row r="25572" spans="1:2" x14ac:dyDescent="0.25">
      <c r="A25572" s="64" t="str">
        <f>HYPERLINK("http://www.twitter.com/georgeatpowell", "georgeatpowell")</f>
        <v>georgeatpowell</v>
      </c>
      <c r="B25572" s="65" t="s">
        <v>5529</v>
      </c>
    </row>
    <row r="25573" spans="1:2" x14ac:dyDescent="0.25">
      <c r="A25573" s="64" t="str">
        <f>HYPERLINK("http://www.twitter.com/AE_Wimbo", "AE_Wimbo")</f>
        <v>AE_Wimbo</v>
      </c>
      <c r="B25573" s="65"/>
    </row>
    <row r="25574" spans="1:2" x14ac:dyDescent="0.25">
      <c r="A25574" s="64" t="str">
        <f>HYPERLINK("http://www.twitter.com/agathafrye", "agathafrye")</f>
        <v>agathafrye</v>
      </c>
      <c r="B25574" s="65" t="s">
        <v>8699</v>
      </c>
    </row>
    <row r="25575" spans="1:2" x14ac:dyDescent="0.25">
      <c r="A25575" s="64" t="str">
        <f>HYPERLINK("http://www.twitter.com/Librandian", "Librandian")</f>
        <v>Librandian</v>
      </c>
      <c r="B25575" s="65" t="s">
        <v>11158</v>
      </c>
    </row>
    <row r="25576" spans="1:2" x14ac:dyDescent="0.25">
      <c r="A25576" s="64" t="str">
        <f>HYPERLINK("http://www.twitter.com/blossomandsugar", "blossomandsugar")</f>
        <v>blossomandsugar</v>
      </c>
      <c r="B25576" s="65" t="s">
        <v>11159</v>
      </c>
    </row>
    <row r="25577" spans="1:2" x14ac:dyDescent="0.25">
      <c r="A25577" s="64" t="str">
        <f>HYPERLINK("http://www.twitter.com/LibraryCat2", "LibraryCat2")</f>
        <v>LibraryCat2</v>
      </c>
      <c r="B25577" s="65"/>
    </row>
    <row r="25578" spans="1:2" x14ac:dyDescent="0.25">
      <c r="A25578" s="64" t="str">
        <f>HYPERLINK("http://www.twitter.com/kkgherardi", "kkgherardi")</f>
        <v>kkgherardi</v>
      </c>
      <c r="B25578" s="65" t="s">
        <v>1377</v>
      </c>
    </row>
    <row r="25579" spans="1:2" x14ac:dyDescent="0.25">
      <c r="A25579" s="64" t="str">
        <f>HYPERLINK("http://www.twitter.com/Molittabonita", "Molittabonita")</f>
        <v>Molittabonita</v>
      </c>
      <c r="B25579" s="65"/>
    </row>
    <row r="25580" spans="1:2" x14ac:dyDescent="0.25">
      <c r="A25580" s="64" t="str">
        <f>HYPERLINK("http://www.twitter.com/Hotchi1idog", "Hotchi1idog")</f>
        <v>Hotchi1idog</v>
      </c>
      <c r="B25580" s="65" t="s">
        <v>5522</v>
      </c>
    </row>
    <row r="25581" spans="1:2" x14ac:dyDescent="0.25">
      <c r="A25581" s="64" t="str">
        <f>HYPERLINK("http://www.twitter.com/lne78", "lne78")</f>
        <v>lne78</v>
      </c>
      <c r="B25581" s="65"/>
    </row>
    <row r="25582" spans="1:2" x14ac:dyDescent="0.25">
      <c r="A25582" s="64" t="str">
        <f>HYPERLINK("http://www.twitter.com/MrRomanelli", "MrRomanelli")</f>
        <v>MrRomanelli</v>
      </c>
      <c r="B25582" s="65"/>
    </row>
    <row r="25583" spans="1:2" x14ac:dyDescent="0.25">
      <c r="A25583" s="64" t="str">
        <f>HYPERLINK("http://www.twitter.com/queenborgtweets", "queenborgtweets")</f>
        <v>queenborgtweets</v>
      </c>
      <c r="B25583" s="65" t="s">
        <v>11160</v>
      </c>
    </row>
    <row r="25584" spans="1:2" x14ac:dyDescent="0.25">
      <c r="A25584" s="64" t="str">
        <f>HYPERLINK("http://www.twitter.com/OCMarisa", "OCMarisa")</f>
        <v>OCMarisa</v>
      </c>
      <c r="B25584" s="65" t="s">
        <v>11161</v>
      </c>
    </row>
    <row r="25585" spans="1:2" x14ac:dyDescent="0.25">
      <c r="A25585" s="64" t="str">
        <f>HYPERLINK("http://www.twitter.com/sheridanwilde", "sheridanwilde")</f>
        <v>sheridanwilde</v>
      </c>
      <c r="B25585" s="65" t="s">
        <v>36</v>
      </c>
    </row>
    <row r="25586" spans="1:2" x14ac:dyDescent="0.25">
      <c r="A25586" s="64" t="str">
        <f>HYPERLINK("http://www.twitter.com/torsparkles", "torsparkles")</f>
        <v>torsparkles</v>
      </c>
      <c r="B25586" s="65" t="s">
        <v>517</v>
      </c>
    </row>
    <row r="25587" spans="1:2" x14ac:dyDescent="0.25">
      <c r="A25587" s="64" t="str">
        <f>HYPERLINK("http://www.twitter.com/rayners", "rayners")</f>
        <v>rayners</v>
      </c>
      <c r="B25587" s="65" t="s">
        <v>5718</v>
      </c>
    </row>
    <row r="25588" spans="1:2" x14ac:dyDescent="0.25">
      <c r="A25588" s="64" t="str">
        <f>HYPERLINK("http://www.twitter.com/ManhattanPL", "ManhattanPL")</f>
        <v>ManhattanPL</v>
      </c>
      <c r="B25588" s="65" t="s">
        <v>11162</v>
      </c>
    </row>
    <row r="25589" spans="1:2" x14ac:dyDescent="0.25">
      <c r="A25589" s="64" t="str">
        <f>HYPERLINK("http://www.twitter.com/Tony_Tracy", "Tony_Tracy")</f>
        <v>Tony_Tracy</v>
      </c>
      <c r="B25589" s="65" t="s">
        <v>6524</v>
      </c>
    </row>
    <row r="25590" spans="1:2" x14ac:dyDescent="0.25">
      <c r="A25590" s="64" t="str">
        <f>HYPERLINK("http://www.twitter.com/kenkenzobanks", "kenkenzobanks")</f>
        <v>kenkenzobanks</v>
      </c>
      <c r="B25590" s="65" t="s">
        <v>569</v>
      </c>
    </row>
    <row r="25591" spans="1:2" x14ac:dyDescent="0.25">
      <c r="A25591" s="64" t="str">
        <f>HYPERLINK("http://www.twitter.com/KathrynHall", "KathrynHall")</f>
        <v>KathrynHall</v>
      </c>
      <c r="B25591" s="65" t="s">
        <v>11163</v>
      </c>
    </row>
    <row r="25592" spans="1:2" x14ac:dyDescent="0.25">
      <c r="A25592" s="64" t="str">
        <f>HYPERLINK("http://www.twitter.com/AmyMacpherson", "AmyMacpherson")</f>
        <v>AmyMacpherson</v>
      </c>
      <c r="B25592" s="65"/>
    </row>
    <row r="25593" spans="1:2" x14ac:dyDescent="0.25">
      <c r="A25593" s="64" t="str">
        <f>HYPERLINK("http://www.twitter.com/barbarajpierce", "barbarajpierce")</f>
        <v>barbarajpierce</v>
      </c>
      <c r="B25593" s="65" t="s">
        <v>11164</v>
      </c>
    </row>
    <row r="25594" spans="1:2" x14ac:dyDescent="0.25">
      <c r="A25594" s="64" t="str">
        <f>HYPERLINK("http://www.twitter.com/jpod523", "jpod523")</f>
        <v>jpod523</v>
      </c>
      <c r="B25594" s="65" t="s">
        <v>3985</v>
      </c>
    </row>
    <row r="25595" spans="1:2" x14ac:dyDescent="0.25">
      <c r="A25595" s="64" t="str">
        <f>HYPERLINK("http://www.twitter.com/dangay", "dangay")</f>
        <v>dangay</v>
      </c>
      <c r="B25595" s="65" t="s">
        <v>4867</v>
      </c>
    </row>
    <row r="25596" spans="1:2" x14ac:dyDescent="0.25">
      <c r="A25596" s="64" t="str">
        <f>HYPERLINK("http://www.twitter.com/joedgar", "joedgar")</f>
        <v>joedgar</v>
      </c>
      <c r="B25596" s="65" t="s">
        <v>6449</v>
      </c>
    </row>
    <row r="25597" spans="1:2" x14ac:dyDescent="0.25">
      <c r="A25597" s="64" t="str">
        <f>HYPERLINK("http://www.twitter.com/NikkiFabulous76", "NikkiFabulous76")</f>
        <v>NikkiFabulous76</v>
      </c>
      <c r="B25597" s="65" t="s">
        <v>11165</v>
      </c>
    </row>
    <row r="25598" spans="1:2" x14ac:dyDescent="0.25">
      <c r="A25598" s="64" t="str">
        <f>HYPERLINK("http://www.twitter.com/jet_orr", "jet_orr")</f>
        <v>jet_orr</v>
      </c>
      <c r="B25598" s="65"/>
    </row>
    <row r="25599" spans="1:2" x14ac:dyDescent="0.25">
      <c r="A25599" s="64" t="str">
        <f>HYPERLINK("http://www.twitter.com/owatonnalibrary", "owatonnalibrary")</f>
        <v>owatonnalibrary</v>
      </c>
      <c r="B25599" s="65" t="s">
        <v>11166</v>
      </c>
    </row>
    <row r="25600" spans="1:2" x14ac:dyDescent="0.25">
      <c r="A25600" s="64" t="str">
        <f>HYPERLINK("http://www.twitter.com/crowbirdfly", "crowbirdfly")</f>
        <v>crowbirdfly</v>
      </c>
      <c r="B25600" s="65" t="s">
        <v>7164</v>
      </c>
    </row>
    <row r="25601" spans="1:2" x14ac:dyDescent="0.25">
      <c r="A25601" s="64" t="str">
        <f>HYPERLINK("http://www.twitter.com/steevmacartney", "steevmacartney")</f>
        <v>steevmacartney</v>
      </c>
      <c r="B25601" s="65" t="s">
        <v>248</v>
      </c>
    </row>
    <row r="25602" spans="1:2" x14ac:dyDescent="0.25">
      <c r="A25602" s="64" t="str">
        <f>HYPERLINK("http://www.twitter.com/IndieThinking", "IndieThinking")</f>
        <v>IndieThinking</v>
      </c>
      <c r="B25602" s="65" t="s">
        <v>11167</v>
      </c>
    </row>
    <row r="25603" spans="1:2" x14ac:dyDescent="0.25">
      <c r="A25603" s="64" t="str">
        <f>HYPERLINK("http://www.twitter.com/lynseyjwalsh", "lynseyjwalsh")</f>
        <v>lynseyjwalsh</v>
      </c>
      <c r="B25603" s="65" t="s">
        <v>4275</v>
      </c>
    </row>
    <row r="25604" spans="1:2" x14ac:dyDescent="0.25">
      <c r="A25604" s="64" t="str">
        <f>HYPERLINK("http://www.twitter.com/BryanatBIG", "BryanatBIG")</f>
        <v>BryanatBIG</v>
      </c>
      <c r="B25604" s="65" t="s">
        <v>138</v>
      </c>
    </row>
    <row r="25605" spans="1:2" x14ac:dyDescent="0.25">
      <c r="A25605" s="64" t="str">
        <f>HYPERLINK("http://www.twitter.com/UALibDS", "UALibDS")</f>
        <v>UALibDS</v>
      </c>
      <c r="B25605" s="65" t="s">
        <v>11168</v>
      </c>
    </row>
    <row r="25606" spans="1:2" x14ac:dyDescent="0.25">
      <c r="A25606" s="64" t="str">
        <f>HYPERLINK("http://www.twitter.com/ChenChatter", "ChenChatter")</f>
        <v>ChenChatter</v>
      </c>
      <c r="B25606" s="65"/>
    </row>
    <row r="25607" spans="1:2" x14ac:dyDescent="0.25">
      <c r="A25607" s="64" t="str">
        <f>HYPERLINK("http://www.twitter.com/kerry_rhodes", "kerry_rhodes")</f>
        <v>kerry_rhodes</v>
      </c>
      <c r="B25607" s="65" t="s">
        <v>36</v>
      </c>
    </row>
    <row r="25608" spans="1:2" x14ac:dyDescent="0.25">
      <c r="A25608" s="64" t="str">
        <f>HYPERLINK("http://www.twitter.com/alison_ish", "alison_ish")</f>
        <v>alison_ish</v>
      </c>
      <c r="B25608" s="65" t="s">
        <v>11169</v>
      </c>
    </row>
    <row r="25609" spans="1:2" x14ac:dyDescent="0.25">
      <c r="A25609" s="64" t="str">
        <f>HYPERLINK("http://www.twitter.com/whattpwrites", "whattpwrites")</f>
        <v>whattpwrites</v>
      </c>
      <c r="B25609" s="65" t="s">
        <v>11170</v>
      </c>
    </row>
    <row r="25610" spans="1:2" x14ac:dyDescent="0.25">
      <c r="A25610" s="64" t="str">
        <f>HYPERLINK("http://www.twitter.com/catwing92", "catwing92")</f>
        <v>catwing92</v>
      </c>
      <c r="B25610" s="65"/>
    </row>
    <row r="25611" spans="1:2" x14ac:dyDescent="0.25">
      <c r="A25611" s="64" t="str">
        <f>HYPERLINK("http://www.twitter.com/ptomwills", "ptomwills")</f>
        <v>ptomwills</v>
      </c>
      <c r="B25611" s="65"/>
    </row>
    <row r="25612" spans="1:2" x14ac:dyDescent="0.25">
      <c r="A25612" s="64" t="str">
        <f>HYPERLINK("http://www.twitter.com/SallyPe85533368", "SallyPe85533368")</f>
        <v>SallyPe85533368</v>
      </c>
      <c r="B25612" s="65"/>
    </row>
    <row r="25613" spans="1:2" x14ac:dyDescent="0.25">
      <c r="A25613" s="64" t="str">
        <f>HYPERLINK("http://www.twitter.com/arellanover", "arellanover")</f>
        <v>arellanover</v>
      </c>
      <c r="B25613" s="65" t="s">
        <v>11171</v>
      </c>
    </row>
    <row r="25614" spans="1:2" x14ac:dyDescent="0.25">
      <c r="A25614" s="64" t="str">
        <f>HYPERLINK("http://www.twitter.com/MollyandAilsa", "MollyandAilsa")</f>
        <v>MollyandAilsa</v>
      </c>
      <c r="B25614" s="65" t="s">
        <v>8684</v>
      </c>
    </row>
    <row r="25615" spans="1:2" x14ac:dyDescent="0.25">
      <c r="A25615" s="64" t="str">
        <f>HYPERLINK("http://www.twitter.com/wabrightwell", "wabrightwell")</f>
        <v>wabrightwell</v>
      </c>
      <c r="B25615" s="65" t="s">
        <v>11172</v>
      </c>
    </row>
    <row r="25616" spans="1:2" x14ac:dyDescent="0.25">
      <c r="A25616" s="64" t="str">
        <f>HYPERLINK("http://www.twitter.com/GiantTourtiere", "GiantTourtiere")</f>
        <v>GiantTourtiere</v>
      </c>
      <c r="B25616" s="65" t="s">
        <v>3894</v>
      </c>
    </row>
    <row r="25617" spans="1:2" x14ac:dyDescent="0.25">
      <c r="A25617" s="64" t="str">
        <f>HYPERLINK("http://www.twitter.com/BaileyCWallace", "BaileyCWallace")</f>
        <v>BaileyCWallace</v>
      </c>
      <c r="B25617" s="65" t="s">
        <v>5173</v>
      </c>
    </row>
    <row r="25618" spans="1:2" x14ac:dyDescent="0.25">
      <c r="A25618" s="64" t="str">
        <f>HYPERLINK("http://www.twitter.com/rsblock", "rsblock")</f>
        <v>rsblock</v>
      </c>
      <c r="B25618" s="65" t="s">
        <v>7190</v>
      </c>
    </row>
    <row r="25619" spans="1:2" x14ac:dyDescent="0.25">
      <c r="A25619" s="64" t="str">
        <f>HYPERLINK("http://www.twitter.com/Kevinfm25", "Kevinfm25")</f>
        <v>Kevinfm25</v>
      </c>
      <c r="B25619" s="65" t="s">
        <v>4291</v>
      </c>
    </row>
    <row r="25620" spans="1:2" x14ac:dyDescent="0.25">
      <c r="A25620" s="64" t="str">
        <f>HYPERLINK("http://www.twitter.com/STVFiona", "STVFiona")</f>
        <v>STVFiona</v>
      </c>
      <c r="B25620" s="65"/>
    </row>
    <row r="25621" spans="1:2" x14ac:dyDescent="0.25">
      <c r="A25621" s="64" t="str">
        <f>HYPERLINK("http://www.twitter.com/cowfish", "cowfish")</f>
        <v>cowfish</v>
      </c>
      <c r="B25621" s="65" t="s">
        <v>2539</v>
      </c>
    </row>
    <row r="25622" spans="1:2" x14ac:dyDescent="0.25">
      <c r="A25622" s="64" t="str">
        <f>HYPERLINK("http://www.twitter.com/KarenTSmith", "KarenTSmith")</f>
        <v>KarenTSmith</v>
      </c>
      <c r="B25622" s="65" t="s">
        <v>7140</v>
      </c>
    </row>
    <row r="25623" spans="1:2" x14ac:dyDescent="0.25">
      <c r="A25623" s="64" t="str">
        <f>HYPERLINK("http://www.twitter.com/Tim_Kelly", "Tim_Kelly")</f>
        <v>Tim_Kelly</v>
      </c>
      <c r="B25623" s="65" t="s">
        <v>11173</v>
      </c>
    </row>
    <row r="25624" spans="1:2" x14ac:dyDescent="0.25">
      <c r="A25624" s="64" t="str">
        <f>HYPERLINK("http://www.twitter.com/elspethhope", "elspethhope")</f>
        <v>elspethhope</v>
      </c>
      <c r="B25624" s="65" t="s">
        <v>11174</v>
      </c>
    </row>
    <row r="25625" spans="1:2" x14ac:dyDescent="0.25">
      <c r="A25625" s="64" t="str">
        <f>HYPERLINK("http://www.twitter.com/intisisa", "intisisa")</f>
        <v>intisisa</v>
      </c>
      <c r="B25625" s="65" t="s">
        <v>11175</v>
      </c>
    </row>
    <row r="25626" spans="1:2" x14ac:dyDescent="0.25">
      <c r="A25626" s="64" t="str">
        <f>HYPERLINK("http://www.twitter.com/reganbutler", "reganbutler")</f>
        <v>reganbutler</v>
      </c>
      <c r="B25626" s="65"/>
    </row>
    <row r="25627" spans="1:2" x14ac:dyDescent="0.25">
      <c r="A25627" s="64" t="str">
        <f>HYPERLINK("http://www.twitter.com/amybest14", "amybest14")</f>
        <v>amybest14</v>
      </c>
      <c r="B25627" s="65" t="s">
        <v>11176</v>
      </c>
    </row>
    <row r="25628" spans="1:2" x14ac:dyDescent="0.25">
      <c r="A25628" s="64" t="str">
        <f>HYPERLINK("http://www.twitter.com/thelakemonster", "thelakemonster")</f>
        <v>thelakemonster</v>
      </c>
      <c r="B25628" s="65" t="s">
        <v>7593</v>
      </c>
    </row>
    <row r="25629" spans="1:2" x14ac:dyDescent="0.25">
      <c r="A25629" s="64" t="str">
        <f>HYPERLINK("http://www.twitter.com/LuxfordC", "LuxfordC")</f>
        <v>LuxfordC</v>
      </c>
      <c r="B25629" s="65" t="s">
        <v>36</v>
      </c>
    </row>
    <row r="25630" spans="1:2" x14ac:dyDescent="0.25">
      <c r="A25630" s="64" t="str">
        <f>HYPERLINK("http://www.twitter.com/andrew_j_kerr", "andrew_j_kerr")</f>
        <v>andrew_j_kerr</v>
      </c>
      <c r="B25630" s="65"/>
    </row>
    <row r="25631" spans="1:2" x14ac:dyDescent="0.25">
      <c r="A25631" s="64" t="str">
        <f>HYPERLINK("http://www.twitter.com/AlexanderMcNabb", "AlexanderMcNabb")</f>
        <v>AlexanderMcNabb</v>
      </c>
      <c r="B25631" s="65" t="s">
        <v>7977</v>
      </c>
    </row>
    <row r="25632" spans="1:2" x14ac:dyDescent="0.25">
      <c r="A25632" s="64" t="str">
        <f>HYPERLINK("http://www.twitter.com/alli_librarian", "alli_librarian")</f>
        <v>alli_librarian</v>
      </c>
      <c r="B25632" s="65" t="s">
        <v>4383</v>
      </c>
    </row>
    <row r="25633" spans="1:2" x14ac:dyDescent="0.25">
      <c r="A25633" s="64" t="str">
        <f>HYPERLINK("http://www.twitter.com/oddityofwings", "oddityofwings")</f>
        <v>oddityofwings</v>
      </c>
      <c r="B25633" s="65" t="s">
        <v>2213</v>
      </c>
    </row>
    <row r="25634" spans="1:2" x14ac:dyDescent="0.25">
      <c r="A25634" s="64" t="str">
        <f>HYPERLINK("http://www.twitter.com/Claritybear", "Claritybear")</f>
        <v>Claritybear</v>
      </c>
      <c r="B25634" s="65" t="s">
        <v>11177</v>
      </c>
    </row>
    <row r="25635" spans="1:2" x14ac:dyDescent="0.25">
      <c r="A25635" s="64" t="str">
        <f>HYPERLINK("http://www.twitter.com/SNHULibrary", "SNHULibrary")</f>
        <v>SNHULibrary</v>
      </c>
      <c r="B25635" s="65" t="s">
        <v>11178</v>
      </c>
    </row>
    <row r="25636" spans="1:2" x14ac:dyDescent="0.25">
      <c r="A25636" s="64" t="str">
        <f>HYPERLINK("http://www.twitter.com/puzumaki", "puzumaki")</f>
        <v>puzumaki</v>
      </c>
      <c r="B25636" s="65"/>
    </row>
    <row r="25637" spans="1:2" x14ac:dyDescent="0.25">
      <c r="A25637" s="64" t="str">
        <f>HYPERLINK("http://www.twitter.com/RachelG20", "RachelG20")</f>
        <v>RachelG20</v>
      </c>
      <c r="B25637" s="65"/>
    </row>
    <row r="25638" spans="1:2" x14ac:dyDescent="0.25">
      <c r="A25638" s="64" t="str">
        <f>HYPERLINK("http://www.twitter.com/karieherringa", "karieherringa")</f>
        <v>karieherringa</v>
      </c>
      <c r="B25638" s="65" t="s">
        <v>4255</v>
      </c>
    </row>
    <row r="25639" spans="1:2" x14ac:dyDescent="0.25">
      <c r="A25639" s="64" t="str">
        <f>HYPERLINK("http://www.twitter.com/hannahlever16", "hannahlever16")</f>
        <v>hannahlever16</v>
      </c>
      <c r="B25639" s="65" t="s">
        <v>477</v>
      </c>
    </row>
    <row r="25640" spans="1:2" x14ac:dyDescent="0.25">
      <c r="A25640" s="64" t="str">
        <f>HYPERLINK("http://www.twitter.com/lookouthoney", "lookouthoney")</f>
        <v>lookouthoney</v>
      </c>
      <c r="B25640" s="65"/>
    </row>
    <row r="25641" spans="1:2" x14ac:dyDescent="0.25">
      <c r="A25641" s="64" t="str">
        <f>HYPERLINK("http://www.twitter.com/JCS_Hackett", "JCS_Hackett")</f>
        <v>JCS_Hackett</v>
      </c>
      <c r="B25641" s="65" t="s">
        <v>11179</v>
      </c>
    </row>
    <row r="25642" spans="1:2" x14ac:dyDescent="0.25">
      <c r="A25642" s="64" t="str">
        <f>HYPERLINK("http://www.twitter.com/sophoife", "sophoife")</f>
        <v>sophoife</v>
      </c>
      <c r="B25642" s="65" t="s">
        <v>3988</v>
      </c>
    </row>
    <row r="25643" spans="1:2" x14ac:dyDescent="0.25">
      <c r="A25643" s="64" t="str">
        <f>HYPERLINK("http://www.twitter.com/felipepiresdias", "felipepiresdias")</f>
        <v>felipepiresdias</v>
      </c>
      <c r="B25643" s="65" t="s">
        <v>36</v>
      </c>
    </row>
    <row r="25644" spans="1:2" x14ac:dyDescent="0.25">
      <c r="A25644" s="64" t="str">
        <f>HYPERLINK("http://www.twitter.com/MsMaidMarian", "MsMaidMarian")</f>
        <v>MsMaidMarian</v>
      </c>
      <c r="B25644" s="65"/>
    </row>
    <row r="25645" spans="1:2" x14ac:dyDescent="0.25">
      <c r="A25645" s="64" t="str">
        <f>HYPERLINK("http://www.twitter.com/librarydino", "librarydino")</f>
        <v>librarydino</v>
      </c>
      <c r="B25645" s="65" t="s">
        <v>5665</v>
      </c>
    </row>
    <row r="25646" spans="1:2" x14ac:dyDescent="0.25">
      <c r="A25646" s="64" t="str">
        <f>HYPERLINK("http://www.twitter.com/davepassfield", "davepassfield")</f>
        <v>davepassfield</v>
      </c>
      <c r="B25646" s="65" t="s">
        <v>2107</v>
      </c>
    </row>
    <row r="25647" spans="1:2" x14ac:dyDescent="0.25">
      <c r="A25647" s="64" t="str">
        <f>HYPERLINK("http://www.twitter.com/gohen", "gohen")</f>
        <v>gohen</v>
      </c>
      <c r="B25647" s="65" t="s">
        <v>424</v>
      </c>
    </row>
    <row r="25648" spans="1:2" x14ac:dyDescent="0.25">
      <c r="A25648" s="64" t="str">
        <f>HYPERLINK("http://www.twitter.com/iplh", "iplh")</f>
        <v>iplh</v>
      </c>
      <c r="B25648" s="65"/>
    </row>
    <row r="25649" spans="1:2" x14ac:dyDescent="0.25">
      <c r="A25649" s="64" t="str">
        <f>HYPERLINK("http://www.twitter.com/K_ashtonbutler", "K_ashtonbutler")</f>
        <v>K_ashtonbutler</v>
      </c>
      <c r="B25649" s="65" t="s">
        <v>2289</v>
      </c>
    </row>
    <row r="25650" spans="1:2" x14ac:dyDescent="0.25">
      <c r="A25650" s="64" t="str">
        <f>HYPERLINK("http://www.twitter.com/sophie_t246", "sophie_t246")</f>
        <v>sophie_t246</v>
      </c>
      <c r="B25650" s="65" t="s">
        <v>3817</v>
      </c>
    </row>
    <row r="25651" spans="1:2" x14ac:dyDescent="0.25">
      <c r="A25651" s="64" t="str">
        <f>HYPERLINK("http://www.twitter.com/sister_ima_poet", "sister_ima_poet")</f>
        <v>sister_ima_poet</v>
      </c>
      <c r="B25651" s="65"/>
    </row>
    <row r="25652" spans="1:2" x14ac:dyDescent="0.25">
      <c r="A25652" s="64" t="str">
        <f>HYPERLINK("http://www.twitter.com/femkolina", "femkolina")</f>
        <v>femkolina</v>
      </c>
      <c r="B25652" s="65" t="s">
        <v>70</v>
      </c>
    </row>
    <row r="25653" spans="1:2" x14ac:dyDescent="0.25">
      <c r="A25653" s="64" t="str">
        <f>HYPERLINK("http://www.twitter.com/MarmaladeAtkin", "MarmaladeAtkin")</f>
        <v>MarmaladeAtkin</v>
      </c>
      <c r="B25653" s="65" t="s">
        <v>4228</v>
      </c>
    </row>
    <row r="25654" spans="1:2" x14ac:dyDescent="0.25">
      <c r="A25654" s="64" t="str">
        <f>HYPERLINK("http://www.twitter.com/aingell", "aingell")</f>
        <v>aingell</v>
      </c>
      <c r="B25654" s="65"/>
    </row>
    <row r="25655" spans="1:2" x14ac:dyDescent="0.25">
      <c r="A25655" s="64" t="str">
        <f>HYPERLINK("http://www.twitter.com/JLRoessler", "JLRoessler")</f>
        <v>JLRoessler</v>
      </c>
      <c r="B25655" s="65" t="s">
        <v>2932</v>
      </c>
    </row>
    <row r="25656" spans="1:2" x14ac:dyDescent="0.25">
      <c r="A25656" s="64" t="str">
        <f>HYPERLINK("http://www.twitter.com/abitetley", "abitetley")</f>
        <v>abitetley</v>
      </c>
      <c r="B25656" s="65" t="s">
        <v>33</v>
      </c>
    </row>
    <row r="25657" spans="1:2" x14ac:dyDescent="0.25">
      <c r="A25657" s="64" t="str">
        <f>HYPERLINK("http://www.twitter.com/JulesssDarling", "JulesssDarling")</f>
        <v>JulesssDarling</v>
      </c>
      <c r="B25657" s="65"/>
    </row>
    <row r="25658" spans="1:2" x14ac:dyDescent="0.25">
      <c r="A25658" s="64" t="str">
        <f>HYPERLINK("http://www.twitter.com/ilefkowitz", "ilefkowitz")</f>
        <v>ilefkowitz</v>
      </c>
      <c r="B25658" s="65" t="s">
        <v>4792</v>
      </c>
    </row>
    <row r="25659" spans="1:2" x14ac:dyDescent="0.25">
      <c r="A25659" s="64" t="str">
        <f>HYPERLINK("http://www.twitter.com/Basmans_grob", "Basmans_grob")</f>
        <v>Basmans_grob</v>
      </c>
      <c r="B25659" s="65"/>
    </row>
    <row r="25660" spans="1:2" x14ac:dyDescent="0.25">
      <c r="A25660" s="64" t="str">
        <f>HYPERLINK("http://www.twitter.com/DaneinLondon", "DaneinLondon")</f>
        <v>DaneinLondon</v>
      </c>
      <c r="B25660" s="65" t="s">
        <v>36</v>
      </c>
    </row>
    <row r="25661" spans="1:2" x14ac:dyDescent="0.25">
      <c r="A25661" s="64" t="str">
        <f>HYPERLINK("http://www.twitter.com/FactoidalFaerie", "FactoidalFaerie")</f>
        <v>FactoidalFaerie</v>
      </c>
      <c r="B25661" s="65"/>
    </row>
    <row r="25662" spans="1:2" x14ac:dyDescent="0.25">
      <c r="A25662" s="64" t="str">
        <f>HYPERLINK("http://www.twitter.com/Earpythepale", "Earpythepale")</f>
        <v>Earpythepale</v>
      </c>
      <c r="B25662" s="65" t="s">
        <v>10825</v>
      </c>
    </row>
    <row r="25663" spans="1:2" x14ac:dyDescent="0.25">
      <c r="A25663" s="64" t="str">
        <f>HYPERLINK("http://www.twitter.com/itsmorag", "itsmorag")</f>
        <v>itsmorag</v>
      </c>
      <c r="B25663" s="65" t="s">
        <v>487</v>
      </c>
    </row>
    <row r="25664" spans="1:2" x14ac:dyDescent="0.25">
      <c r="A25664" s="64" t="str">
        <f>HYPERLINK("http://www.twitter.com/LindaJCracknell", "LindaJCracknell")</f>
        <v>LindaJCracknell</v>
      </c>
      <c r="B25664" s="65" t="s">
        <v>517</v>
      </c>
    </row>
    <row r="25665" spans="1:2" x14ac:dyDescent="0.25">
      <c r="A25665" s="64" t="str">
        <f>HYPERLINK("http://www.twitter.com/JoRooneyPiel", "JoRooneyPiel")</f>
        <v>JoRooneyPiel</v>
      </c>
      <c r="B25665" s="65" t="s">
        <v>3760</v>
      </c>
    </row>
    <row r="25666" spans="1:2" x14ac:dyDescent="0.25">
      <c r="A25666" s="64" t="str">
        <f>HYPERLINK("http://www.twitter.com/rebkate", "rebkate")</f>
        <v>rebkate</v>
      </c>
      <c r="B25666" s="65"/>
    </row>
    <row r="25667" spans="1:2" x14ac:dyDescent="0.25">
      <c r="A25667" s="64" t="str">
        <f>HYPERLINK("http://www.twitter.com/GregKearney23", "GregKearney23")</f>
        <v>GregKearney23</v>
      </c>
      <c r="B25667" s="65"/>
    </row>
    <row r="25668" spans="1:2" x14ac:dyDescent="0.25">
      <c r="A25668" s="64" t="str">
        <f>HYPERLINK("http://www.twitter.com/JeffCoLibAL", "JeffCoLibAL")</f>
        <v>JeffCoLibAL</v>
      </c>
      <c r="B25668" s="65" t="s">
        <v>11180</v>
      </c>
    </row>
    <row r="25669" spans="1:2" x14ac:dyDescent="0.25">
      <c r="A25669" s="64" t="str">
        <f>HYPERLINK("http://www.twitter.com/wingedhourglass", "wingedhourglass")</f>
        <v>wingedhourglass</v>
      </c>
      <c r="B25669" s="65"/>
    </row>
    <row r="25670" spans="1:2" x14ac:dyDescent="0.25">
      <c r="A25670" s="64" t="str">
        <f>HYPERLINK("http://www.twitter.com/Librarianguish", "Librarianguish")</f>
        <v>Librarianguish</v>
      </c>
      <c r="B25670" s="65" t="s">
        <v>11181</v>
      </c>
    </row>
    <row r="25671" spans="1:2" x14ac:dyDescent="0.25">
      <c r="A25671" s="64" t="str">
        <f>HYPERLINK("http://www.twitter.com/nancyo", "nancyo")</f>
        <v>nancyo</v>
      </c>
      <c r="B25671" s="65" t="s">
        <v>8551</v>
      </c>
    </row>
    <row r="25672" spans="1:2" x14ac:dyDescent="0.25">
      <c r="A25672" s="64" t="str">
        <f>HYPERLINK("http://www.twitter.com/K_Kirkham", "K_Kirkham")</f>
        <v>K_Kirkham</v>
      </c>
      <c r="B25672" s="65"/>
    </row>
    <row r="25673" spans="1:2" x14ac:dyDescent="0.25">
      <c r="A25673" s="64" t="str">
        <f>HYPERLINK("http://www.twitter.com/eve_tyler", "eve_tyler")</f>
        <v>eve_tyler</v>
      </c>
      <c r="B25673" s="65" t="s">
        <v>4500</v>
      </c>
    </row>
    <row r="25674" spans="1:2" x14ac:dyDescent="0.25">
      <c r="A25674" s="64" t="str">
        <f>HYPERLINK("http://www.twitter.com/hollisterjm", "hollisterjm")</f>
        <v>hollisterjm</v>
      </c>
      <c r="B25674" s="65" t="s">
        <v>10340</v>
      </c>
    </row>
    <row r="25675" spans="1:2" x14ac:dyDescent="0.25">
      <c r="A25675" s="64" t="str">
        <f>HYPERLINK("http://www.twitter.com/Howie_lai", "Howie_lai")</f>
        <v>Howie_lai</v>
      </c>
      <c r="B25675" s="65" t="s">
        <v>2030</v>
      </c>
    </row>
    <row r="25676" spans="1:2" x14ac:dyDescent="0.25">
      <c r="A25676" s="64" t="str">
        <f>HYPERLINK("http://www.twitter.com/ClareBurr", "ClareBurr")</f>
        <v>ClareBurr</v>
      </c>
      <c r="B25676" s="65"/>
    </row>
    <row r="25677" spans="1:2" x14ac:dyDescent="0.25">
      <c r="A25677" s="64" t="str">
        <f>HYPERLINK("http://www.twitter.com/angkaye", "angkaye")</f>
        <v>angkaye</v>
      </c>
      <c r="B25677" s="65" t="s">
        <v>3916</v>
      </c>
    </row>
    <row r="25678" spans="1:2" x14ac:dyDescent="0.25">
      <c r="A25678" s="64" t="str">
        <f>HYPERLINK("http://www.twitter.com/andiebrarian", "andiebrarian")</f>
        <v>andiebrarian</v>
      </c>
      <c r="B25678" s="65" t="s">
        <v>11182</v>
      </c>
    </row>
    <row r="25679" spans="1:2" x14ac:dyDescent="0.25">
      <c r="A25679" s="64" t="str">
        <f>HYPERLINK("http://www.twitter.com/Campion1922", "Campion1922")</f>
        <v>Campion1922</v>
      </c>
      <c r="B25679" s="65" t="s">
        <v>4309</v>
      </c>
    </row>
    <row r="25680" spans="1:2" x14ac:dyDescent="0.25">
      <c r="A25680" s="64" t="str">
        <f>HYPERLINK("http://www.twitter.com/jfadair", "jfadair")</f>
        <v>jfadair</v>
      </c>
      <c r="B25680" s="65" t="s">
        <v>487</v>
      </c>
    </row>
    <row r="25681" spans="1:2" x14ac:dyDescent="0.25">
      <c r="A25681" s="64" t="str">
        <f>HYPERLINK("http://www.twitter.com/Aliora", "Aliora")</f>
        <v>Aliora</v>
      </c>
      <c r="B25681" s="65" t="s">
        <v>926</v>
      </c>
    </row>
    <row r="25682" spans="1:2" x14ac:dyDescent="0.25">
      <c r="A25682" s="64" t="str">
        <f>HYPERLINK("http://www.twitter.com/Pogodragon", "Pogodragon")</f>
        <v>Pogodragon</v>
      </c>
      <c r="B25682" s="65"/>
    </row>
    <row r="25683" spans="1:2" x14ac:dyDescent="0.25">
      <c r="A25683" s="64" t="str">
        <f>HYPERLINK("http://www.twitter.com/WhiskeyBent27", "WhiskeyBent27")</f>
        <v>WhiskeyBent27</v>
      </c>
      <c r="B25683" s="65"/>
    </row>
    <row r="25684" spans="1:2" x14ac:dyDescent="0.25">
      <c r="A25684" s="64" t="str">
        <f>HYPERLINK("http://www.twitter.com/katiestanton_", "katiestanton_")</f>
        <v>katiestanton_</v>
      </c>
      <c r="B25684" s="65" t="s">
        <v>310</v>
      </c>
    </row>
    <row r="25685" spans="1:2" x14ac:dyDescent="0.25">
      <c r="A25685" s="64" t="str">
        <f>HYPERLINK("http://www.twitter.com/unyans", "unyans")</f>
        <v>unyans</v>
      </c>
      <c r="B25685" s="65"/>
    </row>
    <row r="25686" spans="1:2" x14ac:dyDescent="0.25">
      <c r="A25686" s="64" t="str">
        <f>HYPERLINK("http://www.twitter.com/rorita", "rorita")</f>
        <v>rorita</v>
      </c>
      <c r="B25686" s="65" t="s">
        <v>11183</v>
      </c>
    </row>
    <row r="25687" spans="1:2" x14ac:dyDescent="0.25">
      <c r="A25687" s="64" t="str">
        <f>HYPERLINK("http://www.twitter.com/rebhodson", "rebhodson")</f>
        <v>rebhodson</v>
      </c>
      <c r="B25687" s="65" t="s">
        <v>10731</v>
      </c>
    </row>
    <row r="25688" spans="1:2" x14ac:dyDescent="0.25">
      <c r="A25688" s="64" t="str">
        <f>HYPERLINK("http://www.twitter.com/VisitSutherland", "VisitSutherland")</f>
        <v>VisitSutherland</v>
      </c>
      <c r="B25688" s="65" t="s">
        <v>10493</v>
      </c>
    </row>
    <row r="25689" spans="1:2" x14ac:dyDescent="0.25">
      <c r="A25689" s="64" t="str">
        <f>HYPERLINK("http://www.twitter.com/JacquiSmith83", "JacquiSmith83")</f>
        <v>JacquiSmith83</v>
      </c>
      <c r="B25689" s="65" t="s">
        <v>11184</v>
      </c>
    </row>
    <row r="25690" spans="1:2" x14ac:dyDescent="0.25">
      <c r="A25690" s="64" t="str">
        <f>HYPERLINK("http://www.twitter.com/AbigailWestwood", "AbigailWestwood")</f>
        <v>AbigailWestwood</v>
      </c>
      <c r="B25690" s="65" t="s">
        <v>2007</v>
      </c>
    </row>
    <row r="25691" spans="1:2" x14ac:dyDescent="0.25">
      <c r="A25691" s="64" t="str">
        <f>HYPERLINK("http://www.twitter.com/VelcroShoes", "VelcroShoes")</f>
        <v>VelcroShoes</v>
      </c>
      <c r="B25691" s="65" t="s">
        <v>477</v>
      </c>
    </row>
    <row r="25692" spans="1:2" x14ac:dyDescent="0.25">
      <c r="A25692" s="64" t="str">
        <f>HYPERLINK("http://www.twitter.com/5MinMedievalist", "5MinMedievalist")</f>
        <v>5MinMedievalist</v>
      </c>
      <c r="B25692" s="65"/>
    </row>
    <row r="25693" spans="1:2" x14ac:dyDescent="0.25">
      <c r="A25693" s="64" t="str">
        <f>HYPERLINK("http://www.twitter.com/jendeschenes", "jendeschenes")</f>
        <v>jendeschenes</v>
      </c>
      <c r="B25693" s="65" t="s">
        <v>6107</v>
      </c>
    </row>
    <row r="25694" spans="1:2" x14ac:dyDescent="0.25">
      <c r="A25694" s="64" t="str">
        <f>HYPERLINK("http://www.twitter.com/keeshadawn", "keeshadawn")</f>
        <v>keeshadawn</v>
      </c>
      <c r="B25694" s="65" t="s">
        <v>5529</v>
      </c>
    </row>
    <row r="25695" spans="1:2" x14ac:dyDescent="0.25">
      <c r="A25695" s="64" t="str">
        <f>HYPERLINK("http://www.twitter.com/rapiduck", "rapiduck")</f>
        <v>rapiduck</v>
      </c>
      <c r="B25695" s="65"/>
    </row>
    <row r="25696" spans="1:2" x14ac:dyDescent="0.25">
      <c r="A25696" s="64" t="str">
        <f>HYPERLINK("http://www.twitter.com/RegineMay", "RegineMay")</f>
        <v>RegineMay</v>
      </c>
      <c r="B25696" s="65" t="s">
        <v>11185</v>
      </c>
    </row>
    <row r="25697" spans="1:2" x14ac:dyDescent="0.25">
      <c r="A25697" s="64" t="str">
        <f>HYPERLINK("http://www.twitter.com/crystal_irvine", "crystal_irvine")</f>
        <v>crystal_irvine</v>
      </c>
      <c r="B25697" s="65"/>
    </row>
    <row r="25698" spans="1:2" x14ac:dyDescent="0.25">
      <c r="A25698" s="64" t="str">
        <f>HYPERLINK("http://www.twitter.com/heatherdale", "heatherdale")</f>
        <v>heatherdale</v>
      </c>
      <c r="B25698" s="65" t="s">
        <v>6639</v>
      </c>
    </row>
    <row r="25699" spans="1:2" x14ac:dyDescent="0.25">
      <c r="A25699" s="64" t="str">
        <f>HYPERLINK("http://www.twitter.com/mhoffman79", "mhoffman79")</f>
        <v>mhoffman79</v>
      </c>
      <c r="B25699" s="65" t="s">
        <v>3893</v>
      </c>
    </row>
    <row r="25700" spans="1:2" x14ac:dyDescent="0.25">
      <c r="A25700" s="64" t="str">
        <f>HYPERLINK("http://www.twitter.com/snuffygirl", "snuffygirl")</f>
        <v>snuffygirl</v>
      </c>
      <c r="B25700" s="65" t="s">
        <v>36</v>
      </c>
    </row>
    <row r="25701" spans="1:2" x14ac:dyDescent="0.25">
      <c r="A25701" s="64" t="str">
        <f>HYPERLINK("http://www.twitter.com/westhehero", "westhehero")</f>
        <v>westhehero</v>
      </c>
      <c r="B25701" s="65" t="s">
        <v>11186</v>
      </c>
    </row>
    <row r="25702" spans="1:2" x14ac:dyDescent="0.25">
      <c r="A25702" s="64" t="str">
        <f>HYPERLINK("http://www.twitter.com/sylvfelice", "sylvfelice")</f>
        <v>sylvfelice</v>
      </c>
      <c r="B25702" s="65" t="s">
        <v>9877</v>
      </c>
    </row>
    <row r="25703" spans="1:2" x14ac:dyDescent="0.25">
      <c r="A25703" s="64" t="str">
        <f>HYPERLINK("http://www.twitter.com/buddbeth", "buddbeth")</f>
        <v>buddbeth</v>
      </c>
      <c r="B25703" s="65" t="s">
        <v>4792</v>
      </c>
    </row>
    <row r="25704" spans="1:2" x14ac:dyDescent="0.25">
      <c r="A25704" s="64" t="str">
        <f>HYPERLINK("http://www.twitter.com/sinead_heneghan", "sinead_heneghan")</f>
        <v>sinead_heneghan</v>
      </c>
      <c r="B25704" s="65" t="s">
        <v>2289</v>
      </c>
    </row>
    <row r="25705" spans="1:2" x14ac:dyDescent="0.25">
      <c r="A25705" s="64" t="str">
        <f>HYPERLINK("http://www.twitter.com/alisha_hasson", "alisha_hasson")</f>
        <v>alisha_hasson</v>
      </c>
      <c r="B25705" s="65"/>
    </row>
    <row r="25706" spans="1:2" x14ac:dyDescent="0.25">
      <c r="A25706" s="64" t="str">
        <f>HYPERLINK("http://www.twitter.com/psplib", "psplib")</f>
        <v>psplib</v>
      </c>
      <c r="B25706" s="65" t="s">
        <v>11187</v>
      </c>
    </row>
    <row r="25707" spans="1:2" x14ac:dyDescent="0.25">
      <c r="A25707" s="64" t="str">
        <f>HYPERLINK("http://www.twitter.com/enoosterman93", "enoosterman93")</f>
        <v>enoosterman93</v>
      </c>
      <c r="B25707" s="65"/>
    </row>
    <row r="25708" spans="1:2" x14ac:dyDescent="0.25">
      <c r="A25708" s="64" t="str">
        <f>HYPERLINK("http://www.twitter.com/tinasinfocastle", "tinasinfocastle")</f>
        <v>tinasinfocastle</v>
      </c>
      <c r="B25708" s="65" t="s">
        <v>11188</v>
      </c>
    </row>
    <row r="25709" spans="1:2" x14ac:dyDescent="0.25">
      <c r="A25709" s="64" t="str">
        <f>HYPERLINK("http://www.twitter.com/ashleyrich", "ashleyrich")</f>
        <v>ashleyrich</v>
      </c>
      <c r="B25709" s="65" t="s">
        <v>36</v>
      </c>
    </row>
    <row r="25710" spans="1:2" x14ac:dyDescent="0.25">
      <c r="A25710" s="64" t="str">
        <f>HYPERLINK("http://www.twitter.com/curtlocker", "curtlocker")</f>
        <v>curtlocker</v>
      </c>
      <c r="B25710" s="65" t="s">
        <v>3760</v>
      </c>
    </row>
    <row r="25711" spans="1:2" x14ac:dyDescent="0.25">
      <c r="A25711" s="64" t="str">
        <f>HYPERLINK("http://www.twitter.com/filskitfergie", "filskitfergie")</f>
        <v>filskitfergie</v>
      </c>
      <c r="B25711" s="65" t="s">
        <v>8161</v>
      </c>
    </row>
    <row r="25712" spans="1:2" x14ac:dyDescent="0.25">
      <c r="A25712" s="64" t="str">
        <f>HYPERLINK("http://www.twitter.com/ChocAndCheeese", "ChocAndCheeese")</f>
        <v>ChocAndCheeese</v>
      </c>
      <c r="B25712" s="65" t="s">
        <v>2595</v>
      </c>
    </row>
    <row r="25713" spans="1:2" x14ac:dyDescent="0.25">
      <c r="A25713" s="64" t="str">
        <f>HYPERLINK("http://www.twitter.com/Pamelatte14", "Pamelatte14")</f>
        <v>Pamelatte14</v>
      </c>
      <c r="B25713" s="65" t="s">
        <v>4275</v>
      </c>
    </row>
    <row r="25714" spans="1:2" x14ac:dyDescent="0.25">
      <c r="A25714" s="64" t="str">
        <f>HYPERLINK("http://www.twitter.com/_Laura33_", "_Laura33_")</f>
        <v>_Laura33_</v>
      </c>
      <c r="B25714" s="65" t="s">
        <v>7318</v>
      </c>
    </row>
    <row r="25715" spans="1:2" x14ac:dyDescent="0.25">
      <c r="A25715" s="64" t="str">
        <f>HYPERLINK("http://www.twitter.com/janet_cearley", "janet_cearley")</f>
        <v>janet_cearley</v>
      </c>
      <c r="B25715" s="65"/>
    </row>
    <row r="25716" spans="1:2" x14ac:dyDescent="0.25">
      <c r="A25716" s="64" t="str">
        <f>HYPERLINK("http://www.twitter.com/NHLrefdesk", "NHLrefdesk")</f>
        <v>NHLrefdesk</v>
      </c>
      <c r="B25716" s="65" t="s">
        <v>5473</v>
      </c>
    </row>
    <row r="25717" spans="1:2" x14ac:dyDescent="0.25">
      <c r="A25717" s="64" t="str">
        <f>HYPERLINK("http://www.twitter.com/jillwpatchin", "jillwpatchin")</f>
        <v>jillwpatchin</v>
      </c>
      <c r="B25717" s="65"/>
    </row>
    <row r="25718" spans="1:2" x14ac:dyDescent="0.25">
      <c r="A25718" s="64" t="str">
        <f>HYPERLINK("http://www.twitter.com/ama_bren", "ama_bren")</f>
        <v>ama_bren</v>
      </c>
      <c r="B25718" s="65" t="s">
        <v>318</v>
      </c>
    </row>
    <row r="25719" spans="1:2" x14ac:dyDescent="0.25">
      <c r="A25719" s="64" t="str">
        <f>HYPERLINK("http://www.twitter.com/HVKennedy", "HVKennedy")</f>
        <v>HVKennedy</v>
      </c>
      <c r="B25719" s="65" t="s">
        <v>456</v>
      </c>
    </row>
    <row r="25720" spans="1:2" x14ac:dyDescent="0.25">
      <c r="A25720" s="64" t="str">
        <f>HYPERLINK("http://www.twitter.com/annamkoot", "annamkoot")</f>
        <v>annamkoot</v>
      </c>
      <c r="B25720" s="65" t="s">
        <v>24</v>
      </c>
    </row>
    <row r="25721" spans="1:2" x14ac:dyDescent="0.25">
      <c r="A25721" s="64" t="str">
        <f>HYPERLINK("http://www.twitter.com/thesammy_lewis", "thesammy_lewis")</f>
        <v>thesammy_lewis</v>
      </c>
      <c r="B25721" s="65"/>
    </row>
    <row r="25722" spans="1:2" x14ac:dyDescent="0.25">
      <c r="A25722" s="64" t="str">
        <f>HYPERLINK("http://www.twitter.com/MaritandRona", "MaritandRona")</f>
        <v>MaritandRona</v>
      </c>
      <c r="B25722" s="65" t="s">
        <v>24</v>
      </c>
    </row>
    <row r="25723" spans="1:2" x14ac:dyDescent="0.25">
      <c r="A25723" s="64" t="str">
        <f>HYPERLINK("http://www.twitter.com/lcawight", "lcawight")</f>
        <v>lcawight</v>
      </c>
      <c r="B25723" s="65"/>
    </row>
    <row r="25724" spans="1:2" x14ac:dyDescent="0.25">
      <c r="A25724" s="64" t="str">
        <f>HYPERLINK("http://www.twitter.com/clairsimpson85", "clairsimpson85")</f>
        <v>clairsimpson85</v>
      </c>
      <c r="B25724" s="65" t="s">
        <v>11189</v>
      </c>
    </row>
    <row r="25725" spans="1:2" x14ac:dyDescent="0.25">
      <c r="A25725" s="64" t="str">
        <f>HYPERLINK("http://www.twitter.com/g_fourth", "g_fourth")</f>
        <v>g_fourth</v>
      </c>
      <c r="B25725" s="65" t="s">
        <v>7797</v>
      </c>
    </row>
    <row r="25726" spans="1:2" x14ac:dyDescent="0.25">
      <c r="A25726" s="64" t="str">
        <f>HYPERLINK("http://www.twitter.com/wellerwe", "wellerwe")</f>
        <v>wellerwe</v>
      </c>
      <c r="B25726" s="65" t="s">
        <v>11190</v>
      </c>
    </row>
    <row r="25727" spans="1:2" x14ac:dyDescent="0.25">
      <c r="A25727" s="64" t="str">
        <f>HYPERLINK("http://www.twitter.com/mciver_carolann", "mciver_carolann")</f>
        <v>mciver_carolann</v>
      </c>
      <c r="B25727" s="65"/>
    </row>
    <row r="25728" spans="1:2" x14ac:dyDescent="0.25">
      <c r="A25728" s="64" t="str">
        <f>HYPERLINK("http://www.twitter.com/BrandonLogan_", "BrandonLogan_")</f>
        <v>BrandonLogan_</v>
      </c>
      <c r="B25728" s="65" t="s">
        <v>11191</v>
      </c>
    </row>
    <row r="25729" spans="1:2" x14ac:dyDescent="0.25">
      <c r="A25729" s="64" t="str">
        <f>HYPERLINK("http://www.twitter.com/JOEREGAN79", "JOEREGAN79")</f>
        <v>JOEREGAN79</v>
      </c>
      <c r="B25729" s="65" t="s">
        <v>11192</v>
      </c>
    </row>
    <row r="25730" spans="1:2" x14ac:dyDescent="0.25">
      <c r="A25730" s="64" t="str">
        <f>HYPERLINK("http://www.twitter.com/djdangerruss", "djdangerruss")</f>
        <v>djdangerruss</v>
      </c>
      <c r="B25730" s="65" t="s">
        <v>11193</v>
      </c>
    </row>
    <row r="25731" spans="1:2" x14ac:dyDescent="0.25">
      <c r="A25731" s="64" t="str">
        <f>HYPERLINK("http://www.twitter.com/KimTyoDickerson", "KimTyoDickerson")</f>
        <v>KimTyoDickerson</v>
      </c>
      <c r="B25731" s="65" t="s">
        <v>4274</v>
      </c>
    </row>
    <row r="25732" spans="1:2" x14ac:dyDescent="0.25">
      <c r="A25732" s="64" t="str">
        <f>HYPERLINK("http://www.twitter.com/JVMu1999", "JVMu1999")</f>
        <v>JVMu1999</v>
      </c>
      <c r="B25732" s="65" t="s">
        <v>5686</v>
      </c>
    </row>
    <row r="25733" spans="1:2" x14ac:dyDescent="0.25">
      <c r="A25733" s="64" t="str">
        <f>HYPERLINK("http://www.twitter.com/thecrazylibrari", "thecrazylibrari")</f>
        <v>thecrazylibrari</v>
      </c>
      <c r="B25733" s="65" t="s">
        <v>10126</v>
      </c>
    </row>
    <row r="25734" spans="1:2" x14ac:dyDescent="0.25">
      <c r="A25734" s="64" t="str">
        <f>HYPERLINK("http://www.twitter.com/amandaspice", "amandaspice")</f>
        <v>amandaspice</v>
      </c>
      <c r="B25734" s="65"/>
    </row>
    <row r="25735" spans="1:2" x14ac:dyDescent="0.25">
      <c r="A25735" s="64" t="str">
        <f>HYPERLINK("http://www.twitter.com/jryde14", "jryde14")</f>
        <v>jryde14</v>
      </c>
      <c r="B25735" s="65"/>
    </row>
    <row r="25736" spans="1:2" x14ac:dyDescent="0.25">
      <c r="A25736" s="64" t="str">
        <f>HYPERLINK("http://www.twitter.com/DominicTate", "DominicTate")</f>
        <v>DominicTate</v>
      </c>
      <c r="B25736" s="65" t="s">
        <v>24</v>
      </c>
    </row>
    <row r="25737" spans="1:2" x14ac:dyDescent="0.25">
      <c r="A25737" s="64" t="str">
        <f>HYPERLINK("http://www.twitter.com/NicolaMacLeod1", "NicolaMacLeod1")</f>
        <v>NicolaMacLeod1</v>
      </c>
      <c r="B25737" s="65" t="s">
        <v>273</v>
      </c>
    </row>
    <row r="25738" spans="1:2" x14ac:dyDescent="0.25">
      <c r="A25738" s="64" t="str">
        <f>HYPERLINK("http://www.twitter.com/chrisjtucks", "chrisjtucks")</f>
        <v>chrisjtucks</v>
      </c>
      <c r="B25738" s="65"/>
    </row>
    <row r="25739" spans="1:2" x14ac:dyDescent="0.25">
      <c r="A25739" s="64" t="str">
        <f>HYPERLINK("http://www.twitter.com/HolaHulla", "HolaHulla")</f>
        <v>HolaHulla</v>
      </c>
      <c r="B25739" s="65" t="s">
        <v>4287</v>
      </c>
    </row>
    <row r="25740" spans="1:2" x14ac:dyDescent="0.25">
      <c r="A25740" s="64" t="str">
        <f>HYPERLINK("http://www.twitter.com/edcasson", "edcasson")</f>
        <v>edcasson</v>
      </c>
      <c r="B25740" s="65" t="s">
        <v>4770</v>
      </c>
    </row>
    <row r="25741" spans="1:2" x14ac:dyDescent="0.25">
      <c r="A25741" s="64" t="str">
        <f>HYPERLINK("http://www.twitter.com/rosezenker", "rosezenker")</f>
        <v>rosezenker</v>
      </c>
      <c r="B25741" s="65"/>
    </row>
    <row r="25742" spans="1:2" x14ac:dyDescent="0.25">
      <c r="A25742" s="64" t="str">
        <f>HYPERLINK("http://www.twitter.com/Feymich", "Feymich")</f>
        <v>Feymich</v>
      </c>
      <c r="B25742" s="65" t="s">
        <v>11115</v>
      </c>
    </row>
    <row r="25743" spans="1:2" x14ac:dyDescent="0.25">
      <c r="A25743" s="64" t="str">
        <f>HYPERLINK("http://www.twitter.com/hartsea", "hartsea")</f>
        <v>hartsea</v>
      </c>
      <c r="B25743" s="65" t="s">
        <v>7709</v>
      </c>
    </row>
    <row r="25744" spans="1:2" x14ac:dyDescent="0.25">
      <c r="A25744" s="64" t="str">
        <f>HYPERLINK("http://www.twitter.com/ANDREWJ0NE5", "ANDREWJ0NE5")</f>
        <v>ANDREWJ0NE5</v>
      </c>
      <c r="B25744" s="65" t="s">
        <v>2134</v>
      </c>
    </row>
    <row r="25745" spans="1:2" x14ac:dyDescent="0.25">
      <c r="A25745" s="64" t="str">
        <f>HYPERLINK("http://www.twitter.com/julietbartel", "julietbartel")</f>
        <v>julietbartel</v>
      </c>
      <c r="B25745" s="65" t="s">
        <v>11194</v>
      </c>
    </row>
    <row r="25746" spans="1:2" x14ac:dyDescent="0.25">
      <c r="A25746" s="64" t="str">
        <f>HYPERLINK("http://www.twitter.com/GHSLibrGHSLibr", "GHSLibrGHSLibr")</f>
        <v>GHSLibrGHSLibr</v>
      </c>
      <c r="B25746" s="65" t="s">
        <v>2007</v>
      </c>
    </row>
    <row r="25747" spans="1:2" x14ac:dyDescent="0.25">
      <c r="A25747" s="64" t="str">
        <f>HYPERLINK("http://www.twitter.com/steelersfreek", "steelersfreek")</f>
        <v>steelersfreek</v>
      </c>
      <c r="B25747" s="65" t="s">
        <v>11195</v>
      </c>
    </row>
    <row r="25748" spans="1:2" x14ac:dyDescent="0.25">
      <c r="A25748" s="64" t="str">
        <f>HYPERLINK("http://www.twitter.com/20sJazzBaby", "20sJazzBaby")</f>
        <v>20sJazzBaby</v>
      </c>
      <c r="B25748" s="65" t="s">
        <v>487</v>
      </c>
    </row>
    <row r="25749" spans="1:2" x14ac:dyDescent="0.25">
      <c r="A25749" s="64" t="str">
        <f>HYPERLINK("http://www.twitter.com/jbkrich", "jbkrich")</f>
        <v>jbkrich</v>
      </c>
      <c r="B25749" s="65" t="s">
        <v>11196</v>
      </c>
    </row>
    <row r="25750" spans="1:2" x14ac:dyDescent="0.25">
      <c r="A25750" s="64" t="str">
        <f>HYPERLINK("http://www.twitter.com/leileil", "leileil")</f>
        <v>leileil</v>
      </c>
      <c r="B25750" s="65" t="s">
        <v>7574</v>
      </c>
    </row>
    <row r="25751" spans="1:2" x14ac:dyDescent="0.25">
      <c r="A25751" s="64" t="str">
        <f>HYPERLINK("http://www.twitter.com/DianeWeltzer", "DianeWeltzer")</f>
        <v>DianeWeltzer</v>
      </c>
      <c r="B25751" s="65"/>
    </row>
    <row r="25752" spans="1:2" x14ac:dyDescent="0.25">
      <c r="A25752" s="64" t="str">
        <f>HYPERLINK("http://www.twitter.com/bpl", "bpl")</f>
        <v>bpl</v>
      </c>
      <c r="B25752" s="65" t="s">
        <v>11197</v>
      </c>
    </row>
    <row r="25753" spans="1:2" x14ac:dyDescent="0.25">
      <c r="A25753" s="64" t="str">
        <f>HYPERLINK("http://www.twitter.com/ScottishRockGC", "ScottishRockGC")</f>
        <v>ScottishRockGC</v>
      </c>
      <c r="B25753" s="65"/>
    </row>
    <row r="25754" spans="1:2" x14ac:dyDescent="0.25">
      <c r="A25754" s="64" t="str">
        <f>HYPERLINK("http://www.twitter.com/SekondaSteve", "SekondaSteve")</f>
        <v>SekondaSteve</v>
      </c>
      <c r="B25754" s="65"/>
    </row>
    <row r="25755" spans="1:2" x14ac:dyDescent="0.25">
      <c r="A25755" s="64" t="str">
        <f>HYPERLINK("http://www.twitter.com/chrissharp123", "chrissharp123")</f>
        <v>chrissharp123</v>
      </c>
      <c r="B25755" s="65" t="s">
        <v>11198</v>
      </c>
    </row>
    <row r="25756" spans="1:2" x14ac:dyDescent="0.25">
      <c r="A25756" s="64" t="str">
        <f>HYPERLINK("http://www.twitter.com/Katie_Hughes20", "Katie_Hughes20")</f>
        <v>Katie_Hughes20</v>
      </c>
      <c r="B25756" s="65" t="s">
        <v>4215</v>
      </c>
    </row>
    <row r="25757" spans="1:2" x14ac:dyDescent="0.25">
      <c r="A25757" s="64" t="str">
        <f>HYPERLINK("http://www.twitter.com/uwflibrary", "uwflibrary")</f>
        <v>uwflibrary</v>
      </c>
      <c r="B25757" s="65" t="s">
        <v>10427</v>
      </c>
    </row>
    <row r="25758" spans="1:2" x14ac:dyDescent="0.25">
      <c r="A25758" s="64" t="str">
        <f>HYPERLINK("http://www.twitter.com/carasulieman", "carasulieman")</f>
        <v>carasulieman</v>
      </c>
      <c r="B25758" s="65" t="s">
        <v>3875</v>
      </c>
    </row>
    <row r="25759" spans="1:2" x14ac:dyDescent="0.25">
      <c r="A25759" s="64" t="str">
        <f>HYPERLINK("http://www.twitter.com/OliJacobsAuthor", "OliJacobsAuthor")</f>
        <v>OliJacobsAuthor</v>
      </c>
      <c r="B25759" s="65" t="s">
        <v>3677</v>
      </c>
    </row>
    <row r="25760" spans="1:2" x14ac:dyDescent="0.25">
      <c r="A25760" s="64" t="str">
        <f>HYPERLINK("http://www.twitter.com/KayKirscht", "KayKirscht")</f>
        <v>KayKirscht</v>
      </c>
      <c r="B25760" s="65" t="s">
        <v>4309</v>
      </c>
    </row>
    <row r="25761" spans="1:2" x14ac:dyDescent="0.25">
      <c r="A25761" s="64" t="str">
        <f>HYPERLINK("http://www.twitter.com/robynsuli", "robynsuli")</f>
        <v>robynsuli</v>
      </c>
      <c r="B25761" s="65"/>
    </row>
    <row r="25762" spans="1:2" x14ac:dyDescent="0.25">
      <c r="A25762" s="64" t="str">
        <f>HYPERLINK("http://www.twitter.com/BenjysDad", "BenjysDad")</f>
        <v>BenjysDad</v>
      </c>
      <c r="B25762" s="65" t="s">
        <v>459</v>
      </c>
    </row>
    <row r="25763" spans="1:2" x14ac:dyDescent="0.25">
      <c r="A25763" s="64" t="str">
        <f>HYPERLINK("http://www.twitter.com/sirpaddybaxter", "sirpaddybaxter")</f>
        <v>sirpaddybaxter</v>
      </c>
      <c r="B25763" s="65" t="s">
        <v>318</v>
      </c>
    </row>
    <row r="25764" spans="1:2" x14ac:dyDescent="0.25">
      <c r="A25764" s="64" t="str">
        <f>HYPERLINK("http://www.twitter.com/eeswift", "eeswift")</f>
        <v>eeswift</v>
      </c>
      <c r="B25764" s="65" t="s">
        <v>11197</v>
      </c>
    </row>
    <row r="25765" spans="1:2" x14ac:dyDescent="0.25">
      <c r="A25765" s="64" t="str">
        <f>HYPERLINK("http://www.twitter.com/K8_Bowers", "K8_Bowers")</f>
        <v>K8_Bowers</v>
      </c>
      <c r="B25765" s="65" t="s">
        <v>4503</v>
      </c>
    </row>
    <row r="25766" spans="1:2" x14ac:dyDescent="0.25">
      <c r="A25766" s="64" t="str">
        <f>HYPERLINK("http://www.twitter.com/roycej90", "roycej90")</f>
        <v>roycej90</v>
      </c>
      <c r="B25766" s="65" t="s">
        <v>477</v>
      </c>
    </row>
    <row r="25767" spans="1:2" x14ac:dyDescent="0.25">
      <c r="A25767" s="64" t="str">
        <f>HYPERLINK("http://www.twitter.com/sayitrahshay", "sayitrahshay")</f>
        <v>sayitrahshay</v>
      </c>
      <c r="B25767" s="65" t="s">
        <v>4865</v>
      </c>
    </row>
    <row r="25768" spans="1:2" x14ac:dyDescent="0.25">
      <c r="A25768" s="64" t="str">
        <f>HYPERLINK("http://www.twitter.com/LivCraven", "LivCraven")</f>
        <v>LivCraven</v>
      </c>
      <c r="B25768" s="65" t="s">
        <v>5481</v>
      </c>
    </row>
    <row r="25769" spans="1:2" x14ac:dyDescent="0.25">
      <c r="A25769" s="64" t="str">
        <f>HYPERLINK("http://www.twitter.com/gentleanne", "gentleanne")</f>
        <v>gentleanne</v>
      </c>
      <c r="B25769" s="65" t="s">
        <v>4976</v>
      </c>
    </row>
    <row r="25770" spans="1:2" x14ac:dyDescent="0.25">
      <c r="A25770" s="64" t="str">
        <f>HYPERLINK("http://www.twitter.com/alicemylne", "alicemylne")</f>
        <v>alicemylne</v>
      </c>
      <c r="B25770" s="65" t="s">
        <v>318</v>
      </c>
    </row>
    <row r="25771" spans="1:2" x14ac:dyDescent="0.25">
      <c r="A25771" s="64" t="str">
        <f>HYPERLINK("http://www.twitter.com/isstirling", "isstirling")</f>
        <v>isstirling</v>
      </c>
      <c r="B25771" s="65" t="s">
        <v>1201</v>
      </c>
    </row>
    <row r="25772" spans="1:2" x14ac:dyDescent="0.25">
      <c r="A25772" s="64" t="str">
        <f>HYPERLINK("http://www.twitter.com/reshmadc", "reshmadc")</f>
        <v>reshmadc</v>
      </c>
      <c r="B25772" s="65"/>
    </row>
    <row r="25773" spans="1:2" x14ac:dyDescent="0.25">
      <c r="A25773" s="64" t="str">
        <f>HYPERLINK("http://www.twitter.com/thegirlmaxtous", "thegirlmaxtous")</f>
        <v>thegirlmaxtous</v>
      </c>
      <c r="B25773" s="65" t="s">
        <v>110</v>
      </c>
    </row>
    <row r="25774" spans="1:2" x14ac:dyDescent="0.25">
      <c r="A25774" s="64" t="str">
        <f>HYPERLINK("http://www.twitter.com/mlcwildlifepr", "mlcwildlifepr")</f>
        <v>mlcwildlifepr</v>
      </c>
      <c r="B25774" s="65" t="s">
        <v>10987</v>
      </c>
    </row>
    <row r="25775" spans="1:2" x14ac:dyDescent="0.25">
      <c r="A25775" s="64" t="str">
        <f>HYPERLINK("http://www.twitter.com/sfolkes", "sfolkes")</f>
        <v>sfolkes</v>
      </c>
      <c r="B25775" s="65" t="s">
        <v>4157</v>
      </c>
    </row>
    <row r="25776" spans="1:2" x14ac:dyDescent="0.25">
      <c r="A25776" s="64" t="str">
        <f>HYPERLINK("http://www.twitter.com/mumbledotswerve", "mumbledotswerve")</f>
        <v>mumbledotswerve</v>
      </c>
      <c r="B25776" s="65" t="s">
        <v>11199</v>
      </c>
    </row>
    <row r="25777" spans="1:2" x14ac:dyDescent="0.25">
      <c r="A25777" s="64" t="str">
        <f>HYPERLINK("http://www.twitter.com/estherandhorses", "estherandhorses")</f>
        <v>estherandhorses</v>
      </c>
      <c r="B25777" s="65" t="s">
        <v>11200</v>
      </c>
    </row>
    <row r="25778" spans="1:2" x14ac:dyDescent="0.25">
      <c r="A25778" s="64" t="str">
        <f>HYPERLINK("http://www.twitter.com/algifoto", "algifoto")</f>
        <v>algifoto</v>
      </c>
      <c r="B25778" s="65" t="s">
        <v>24</v>
      </c>
    </row>
    <row r="25779" spans="1:2" x14ac:dyDescent="0.25">
      <c r="A25779" s="64" t="str">
        <f>HYPERLINK("http://www.twitter.com/fussycoder", "fussycoder")</f>
        <v>fussycoder</v>
      </c>
      <c r="B25779" s="65" t="s">
        <v>788</v>
      </c>
    </row>
    <row r="25780" spans="1:2" x14ac:dyDescent="0.25">
      <c r="A25780" s="64" t="str">
        <f>HYPERLINK("http://www.twitter.com/bethanmackenzie", "bethanmackenzie")</f>
        <v>bethanmackenzie</v>
      </c>
      <c r="B25780" s="65" t="s">
        <v>138</v>
      </c>
    </row>
    <row r="25781" spans="1:2" x14ac:dyDescent="0.25">
      <c r="A25781" s="64" t="str">
        <f>HYPERLINK("http://www.twitter.com/SquareLibrary", "SquareLibrary")</f>
        <v>SquareLibrary</v>
      </c>
      <c r="B25781" s="65" t="s">
        <v>3713</v>
      </c>
    </row>
    <row r="25782" spans="1:2" x14ac:dyDescent="0.25">
      <c r="A25782" s="64" t="str">
        <f>HYPERLINK("http://www.twitter.com/historymatt", "historymatt")</f>
        <v>historymatt</v>
      </c>
      <c r="B25782" s="65" t="s">
        <v>2457</v>
      </c>
    </row>
    <row r="25783" spans="1:2" x14ac:dyDescent="0.25">
      <c r="A25783" s="64" t="str">
        <f>HYPERLINK("http://www.twitter.com/ubiquitykilljoy", "ubiquitykilljoy")</f>
        <v>ubiquitykilljoy</v>
      </c>
      <c r="B25783" s="65" t="s">
        <v>3894</v>
      </c>
    </row>
    <row r="25784" spans="1:2" x14ac:dyDescent="0.25">
      <c r="A25784" s="64" t="str">
        <f>HYPERLINK("http://www.twitter.com/KaTiElRoSs", "KaTiElRoSs")</f>
        <v>KaTiElRoSs</v>
      </c>
      <c r="B25784" s="65"/>
    </row>
    <row r="25785" spans="1:2" x14ac:dyDescent="0.25">
      <c r="A25785" s="64" t="str">
        <f>HYPERLINK("http://www.twitter.com/DanHodgsonFilms", "DanHodgsonFilms")</f>
        <v>DanHodgsonFilms</v>
      </c>
      <c r="B25785" s="65" t="s">
        <v>7029</v>
      </c>
    </row>
    <row r="25786" spans="1:2" x14ac:dyDescent="0.25">
      <c r="A25786" s="64" t="str">
        <f>HYPERLINK("http://www.twitter.com/ReneeLascala", "ReneeLascala")</f>
        <v>ReneeLascala</v>
      </c>
      <c r="B25786" s="65" t="s">
        <v>10586</v>
      </c>
    </row>
    <row r="25787" spans="1:2" x14ac:dyDescent="0.25">
      <c r="A25787" s="64" t="str">
        <f>HYPERLINK("http://www.twitter.com/LaurenHarris27", "LaurenHarris27")</f>
        <v>LaurenHarris27</v>
      </c>
      <c r="B25787" s="65"/>
    </row>
    <row r="25788" spans="1:2" x14ac:dyDescent="0.25">
      <c r="A25788" s="64" t="str">
        <f>HYPERLINK("http://www.twitter.com/DuncanHFisher", "DuncanHFisher")</f>
        <v>DuncanHFisher</v>
      </c>
      <c r="B25788" s="65" t="s">
        <v>4366</v>
      </c>
    </row>
    <row r="25789" spans="1:2" x14ac:dyDescent="0.25">
      <c r="A25789" s="64" t="str">
        <f>HYPERLINK("http://www.twitter.com/JohannesSoldal", "JohannesSoldal")</f>
        <v>JohannesSoldal</v>
      </c>
      <c r="B25789" s="65" t="s">
        <v>11201</v>
      </c>
    </row>
    <row r="25790" spans="1:2" x14ac:dyDescent="0.25">
      <c r="A25790" s="64" t="str">
        <f>HYPERLINK("http://www.twitter.com/LucyLyons", "LucyLyons")</f>
        <v>LucyLyons</v>
      </c>
      <c r="B25790" s="65"/>
    </row>
    <row r="25791" spans="1:2" x14ac:dyDescent="0.25">
      <c r="A25791" s="64" t="str">
        <f>HYPERLINK("http://www.twitter.com/DianeIrvine", "DianeIrvine")</f>
        <v>DianeIrvine</v>
      </c>
      <c r="B25791" s="65"/>
    </row>
    <row r="25792" spans="1:2" x14ac:dyDescent="0.25">
      <c r="A25792" s="64" t="str">
        <f>HYPERLINK("http://www.twitter.com/lifeofholly", "lifeofholly")</f>
        <v>lifeofholly</v>
      </c>
      <c r="B25792" s="65" t="s">
        <v>11202</v>
      </c>
    </row>
    <row r="25793" spans="1:2" x14ac:dyDescent="0.25">
      <c r="A25793" s="64" t="str">
        <f>HYPERLINK("http://www.twitter.com/CatMackenzieSNP", "CatMackenzieSNP")</f>
        <v>CatMackenzieSNP</v>
      </c>
      <c r="B25793" s="65" t="s">
        <v>808</v>
      </c>
    </row>
    <row r="25794" spans="1:2" x14ac:dyDescent="0.25">
      <c r="A25794" s="64" t="str">
        <f>HYPERLINK("http://www.twitter.com/wyolibrarian", "wyolibrarian")</f>
        <v>wyolibrarian</v>
      </c>
      <c r="B25794" s="65" t="s">
        <v>11203</v>
      </c>
    </row>
    <row r="25795" spans="1:2" x14ac:dyDescent="0.25">
      <c r="A25795" s="64" t="str">
        <f>HYPERLINK("http://www.twitter.com/mechabeardzilla", "mechabeardzilla")</f>
        <v>mechabeardzilla</v>
      </c>
      <c r="B25795" s="65" t="s">
        <v>11204</v>
      </c>
    </row>
    <row r="25796" spans="1:2" x14ac:dyDescent="0.25">
      <c r="A25796" s="64" t="str">
        <f>HYPERLINK("http://www.twitter.com/thehippoinatutu", "thehippoinatutu")</f>
        <v>thehippoinatutu</v>
      </c>
      <c r="B25796" s="65" t="s">
        <v>4579</v>
      </c>
    </row>
    <row r="25797" spans="1:2" x14ac:dyDescent="0.25">
      <c r="A25797" s="64" t="str">
        <f>HYPERLINK("http://www.twitter.com/amberclfletcher", "amberclfletcher")</f>
        <v>amberclfletcher</v>
      </c>
      <c r="B25797" s="65"/>
    </row>
    <row r="25798" spans="1:2" x14ac:dyDescent="0.25">
      <c r="A25798" s="64" t="str">
        <f>HYPERLINK("http://www.twitter.com/thunderbrarian", "thunderbrarian")</f>
        <v>thunderbrarian</v>
      </c>
      <c r="B25798" s="65" t="s">
        <v>5678</v>
      </c>
    </row>
    <row r="25799" spans="1:2" x14ac:dyDescent="0.25">
      <c r="A25799" s="64" t="str">
        <f>HYPERLINK("http://www.twitter.com/Westdale216", "Westdale216")</f>
        <v>Westdale216</v>
      </c>
      <c r="B25799" s="65" t="s">
        <v>11205</v>
      </c>
    </row>
    <row r="25800" spans="1:2" x14ac:dyDescent="0.25">
      <c r="A25800" s="64" t="str">
        <f>HYPERLINK("http://www.twitter.com/cassk", "cassk")</f>
        <v>cassk</v>
      </c>
      <c r="B25800" s="65" t="s">
        <v>11206</v>
      </c>
    </row>
    <row r="25801" spans="1:2" x14ac:dyDescent="0.25">
      <c r="A25801" s="64" t="str">
        <f>HYPERLINK("http://www.twitter.com/tbevans1982", "tbevans1982")</f>
        <v>tbevans1982</v>
      </c>
      <c r="B25801" s="65" t="s">
        <v>9339</v>
      </c>
    </row>
    <row r="25802" spans="1:2" x14ac:dyDescent="0.25">
      <c r="A25802" s="64" t="str">
        <f>HYPERLINK("http://www.twitter.com/charlotteart", "charlotteart")</f>
        <v>charlotteart</v>
      </c>
      <c r="B25802" s="65" t="s">
        <v>526</v>
      </c>
    </row>
    <row r="25803" spans="1:2" x14ac:dyDescent="0.25">
      <c r="A25803" s="64" t="str">
        <f>HYPERLINK("http://www.twitter.com/BethanyLeggett", "BethanyLeggett")</f>
        <v>BethanyLeggett</v>
      </c>
      <c r="B25803" s="65"/>
    </row>
    <row r="25804" spans="1:2" x14ac:dyDescent="0.25">
      <c r="A25804" s="64" t="str">
        <f>HYPERLINK("http://www.twitter.com/MsFionaGrant", "MsFionaGrant")</f>
        <v>MsFionaGrant</v>
      </c>
      <c r="B25804" s="65" t="s">
        <v>36</v>
      </c>
    </row>
    <row r="25805" spans="1:2" x14ac:dyDescent="0.25">
      <c r="A25805" s="64" t="str">
        <f>HYPERLINK("http://www.twitter.com/BriannaLuscombe", "BriannaLuscombe")</f>
        <v>BriannaLuscombe</v>
      </c>
      <c r="B25805" s="65"/>
    </row>
    <row r="25806" spans="1:2" x14ac:dyDescent="0.25">
      <c r="A25806" s="64" t="str">
        <f>HYPERLINK("http://www.twitter.com/PCCarroll", "PCCarroll")</f>
        <v>PCCarroll</v>
      </c>
      <c r="B25806" s="65" t="s">
        <v>4215</v>
      </c>
    </row>
    <row r="25807" spans="1:2" x14ac:dyDescent="0.25">
      <c r="A25807" s="64" t="str">
        <f>HYPERLINK("http://www.twitter.com/juliagertrud", "juliagertrud")</f>
        <v>juliagertrud</v>
      </c>
      <c r="B25807" s="65" t="s">
        <v>11207</v>
      </c>
    </row>
    <row r="25808" spans="1:2" x14ac:dyDescent="0.25">
      <c r="A25808" s="64" t="str">
        <f>HYPERLINK("http://www.twitter.com/JoshHood", "JoshHood")</f>
        <v>JoshHood</v>
      </c>
      <c r="B25808" s="65" t="s">
        <v>2951</v>
      </c>
    </row>
    <row r="25809" spans="1:2" x14ac:dyDescent="0.25">
      <c r="A25809" s="64" t="str">
        <f>HYPERLINK("http://www.twitter.com/wendyredbird", "wendyredbird")</f>
        <v>wendyredbird</v>
      </c>
      <c r="B25809" s="65"/>
    </row>
    <row r="25810" spans="1:2" x14ac:dyDescent="0.25">
      <c r="A25810" s="64" t="str">
        <f>HYPERLINK("http://www.twitter.com/furtrapperpete", "furtrapperpete")</f>
        <v>furtrapperpete</v>
      </c>
      <c r="B25810" s="65"/>
    </row>
    <row r="25811" spans="1:2" x14ac:dyDescent="0.25">
      <c r="A25811" s="64" t="str">
        <f>HYPERLINK("http://www.twitter.com/roryalsop", "roryalsop")</f>
        <v>roryalsop</v>
      </c>
      <c r="B25811" s="65" t="s">
        <v>517</v>
      </c>
    </row>
    <row r="25812" spans="1:2" x14ac:dyDescent="0.25">
      <c r="A25812" s="64" t="str">
        <f>HYPERLINK("http://www.twitter.com/olinewton", "olinewton")</f>
        <v>olinewton</v>
      </c>
      <c r="B25812" s="65" t="s">
        <v>36</v>
      </c>
    </row>
    <row r="25813" spans="1:2" x14ac:dyDescent="0.25">
      <c r="A25813" s="64" t="str">
        <f>HYPERLINK("http://www.twitter.com/wasagooze", "wasagooze")</f>
        <v>wasagooze</v>
      </c>
      <c r="B25813" s="65"/>
    </row>
    <row r="25814" spans="1:2" x14ac:dyDescent="0.25">
      <c r="A25814" s="64" t="str">
        <f>HYPERLINK("http://www.twitter.com/stephrolt", "stephrolt")</f>
        <v>stephrolt</v>
      </c>
      <c r="B25814" s="65" t="s">
        <v>36</v>
      </c>
    </row>
    <row r="25815" spans="1:2" x14ac:dyDescent="0.25">
      <c r="A25815" s="64" t="str">
        <f>HYPERLINK("http://www.twitter.com/abicornforth1", "abicornforth1")</f>
        <v>abicornforth1</v>
      </c>
      <c r="B25815" s="65"/>
    </row>
    <row r="25816" spans="1:2" x14ac:dyDescent="0.25">
      <c r="A25816" s="64" t="str">
        <f>HYPERLINK("http://www.twitter.com/theponyharvest", "theponyharvest")</f>
        <v>theponyharvest</v>
      </c>
      <c r="B25816" s="65" t="s">
        <v>459</v>
      </c>
    </row>
    <row r="25817" spans="1:2" x14ac:dyDescent="0.25">
      <c r="A25817" s="64" t="str">
        <f>HYPERLINK("http://www.twitter.com/ARAnewprofs", "ARAnewprofs")</f>
        <v>ARAnewprofs</v>
      </c>
      <c r="B25817" s="65" t="s">
        <v>4787</v>
      </c>
    </row>
    <row r="25818" spans="1:2" x14ac:dyDescent="0.25">
      <c r="A25818" s="64" t="str">
        <f>HYPERLINK("http://www.twitter.com/rarinlibrarian", "rarinlibrarian")</f>
        <v>rarinlibrarian</v>
      </c>
      <c r="B25818" s="65" t="s">
        <v>7821</v>
      </c>
    </row>
    <row r="25819" spans="1:2" x14ac:dyDescent="0.25">
      <c r="A25819" s="64" t="str">
        <f>HYPERLINK("http://www.twitter.com/alhyphenhasan", "alhyphenhasan")</f>
        <v>alhyphenhasan</v>
      </c>
      <c r="B25819" s="65" t="s">
        <v>11208</v>
      </c>
    </row>
    <row r="25820" spans="1:2" x14ac:dyDescent="0.25">
      <c r="A25820" s="64" t="str">
        <f>HYPERLINK("http://www.twitter.com/missClaypot", "missClaypot")</f>
        <v>missClaypot</v>
      </c>
      <c r="B25820" s="65" t="s">
        <v>11209</v>
      </c>
    </row>
    <row r="25821" spans="1:2" x14ac:dyDescent="0.25">
      <c r="A25821" s="64" t="str">
        <f>HYPERLINK("http://www.twitter.com/susanbruceclow", "susanbruceclow")</f>
        <v>susanbruceclow</v>
      </c>
      <c r="B25821" s="65" t="s">
        <v>4157</v>
      </c>
    </row>
    <row r="25822" spans="1:2" x14ac:dyDescent="0.25">
      <c r="A25822" s="64" t="str">
        <f>HYPERLINK("http://www.twitter.com/anitaocooper", "anitaocooper")</f>
        <v>anitaocooper</v>
      </c>
      <c r="B25822" s="65" t="s">
        <v>11210</v>
      </c>
    </row>
    <row r="25823" spans="1:2" x14ac:dyDescent="0.25">
      <c r="A25823" s="64" t="str">
        <f>HYPERLINK("http://www.twitter.com/BrewDogRona", "BrewDogRona")</f>
        <v>BrewDogRona</v>
      </c>
      <c r="B25823" s="65" t="s">
        <v>7961</v>
      </c>
    </row>
    <row r="25824" spans="1:2" x14ac:dyDescent="0.25">
      <c r="A25824" s="64" t="str">
        <f>HYPERLINK("http://www.twitter.com/breemacinnis", "breemacinnis")</f>
        <v>breemacinnis</v>
      </c>
      <c r="B25824" s="65"/>
    </row>
    <row r="25825" spans="1:2" x14ac:dyDescent="0.25">
      <c r="A25825" s="64" t="str">
        <f>HYPERLINK("http://www.twitter.com/mrlzbth", "mrlzbth")</f>
        <v>mrlzbth</v>
      </c>
      <c r="B25825" s="65"/>
    </row>
    <row r="25826" spans="1:2" x14ac:dyDescent="0.25">
      <c r="A25826" s="64" t="str">
        <f>HYPERLINK("http://www.twitter.com/tbeer77", "tbeer77")</f>
        <v>tbeer77</v>
      </c>
      <c r="B25826" s="65"/>
    </row>
    <row r="25827" spans="1:2" x14ac:dyDescent="0.25">
      <c r="A25827" s="64" t="str">
        <f>HYPERLINK("http://www.twitter.com/CatSavill", "CatSavill")</f>
        <v>CatSavill</v>
      </c>
      <c r="B25827" s="65" t="s">
        <v>11211</v>
      </c>
    </row>
    <row r="25828" spans="1:2" x14ac:dyDescent="0.25">
      <c r="A25828" s="64" t="str">
        <f>HYPERLINK("http://www.twitter.com/AlisonChiesa", "AlisonChiesa")</f>
        <v>AlisonChiesa</v>
      </c>
      <c r="B25828" s="65"/>
    </row>
    <row r="25829" spans="1:2" x14ac:dyDescent="0.25">
      <c r="A25829" s="64" t="str">
        <f>HYPERLINK("http://www.twitter.com/BaldwinLibNY", "BaldwinLibNY")</f>
        <v>BaldwinLibNY</v>
      </c>
      <c r="B25829" s="65"/>
    </row>
    <row r="25830" spans="1:2" x14ac:dyDescent="0.25">
      <c r="A25830" s="64" t="str">
        <f>HYPERLINK("http://www.twitter.com/eebeejay", "eebeejay")</f>
        <v>eebeejay</v>
      </c>
      <c r="B25830" s="65" t="s">
        <v>11212</v>
      </c>
    </row>
    <row r="25831" spans="1:2" x14ac:dyDescent="0.25">
      <c r="A25831" s="64" t="str">
        <f>HYPERLINK("http://www.twitter.com/sturmhaus", "sturmhaus")</f>
        <v>sturmhaus</v>
      </c>
      <c r="B25831" s="65"/>
    </row>
    <row r="25832" spans="1:2" x14ac:dyDescent="0.25">
      <c r="A25832" s="64" t="str">
        <f>HYPERLINK("http://www.twitter.com/KKuitenbrouwer", "KKuitenbrouwer")</f>
        <v>KKuitenbrouwer</v>
      </c>
      <c r="B25832" s="65" t="s">
        <v>3778</v>
      </c>
    </row>
    <row r="25833" spans="1:2" x14ac:dyDescent="0.25">
      <c r="A25833" s="64" t="str">
        <f>HYPERLINK("http://www.twitter.com/kate_judith", "kate_judith")</f>
        <v>kate_judith</v>
      </c>
      <c r="B25833" s="65" t="s">
        <v>1180</v>
      </c>
    </row>
    <row r="25834" spans="1:2" x14ac:dyDescent="0.25">
      <c r="A25834" s="64" t="str">
        <f>HYPERLINK("http://www.twitter.com/LizzyMercer", "LizzyMercer")</f>
        <v>LizzyMercer</v>
      </c>
      <c r="B25834" s="65" t="s">
        <v>36</v>
      </c>
    </row>
    <row r="25835" spans="1:2" x14ac:dyDescent="0.25">
      <c r="A25835" s="64" t="str">
        <f>HYPERLINK("http://www.twitter.com/floatinglush", "floatinglush")</f>
        <v>floatinglush</v>
      </c>
      <c r="B25835" s="65" t="s">
        <v>4703</v>
      </c>
    </row>
    <row r="25836" spans="1:2" x14ac:dyDescent="0.25">
      <c r="A25836" s="64" t="str">
        <f>HYPERLINK("http://www.twitter.com/marjowijnker", "marjowijnker")</f>
        <v>marjowijnker</v>
      </c>
      <c r="B25836" s="65" t="s">
        <v>11213</v>
      </c>
    </row>
    <row r="25837" spans="1:2" x14ac:dyDescent="0.25">
      <c r="A25837" s="64" t="str">
        <f>HYPERLINK("http://www.twitter.com/Mary_Nannery", "Mary_Nannery")</f>
        <v>Mary_Nannery</v>
      </c>
      <c r="B25837" s="65" t="s">
        <v>8470</v>
      </c>
    </row>
    <row r="25838" spans="1:2" x14ac:dyDescent="0.25">
      <c r="A25838" s="64" t="str">
        <f>HYPERLINK("http://www.twitter.com/Book_Of_Eleanor", "Book_Of_Eleanor")</f>
        <v>Book_Of_Eleanor</v>
      </c>
      <c r="B25838" s="65" t="s">
        <v>459</v>
      </c>
    </row>
    <row r="25839" spans="1:2" x14ac:dyDescent="0.25">
      <c r="A25839" s="64" t="str">
        <f>HYPERLINK("http://www.twitter.com/EvergreenMaker", "EvergreenMaker")</f>
        <v>EvergreenMaker</v>
      </c>
      <c r="B25839" s="65" t="s">
        <v>24</v>
      </c>
    </row>
    <row r="25840" spans="1:2" x14ac:dyDescent="0.25">
      <c r="A25840" s="64" t="str">
        <f>HYPERLINK("http://www.twitter.com/el_humbug", "el_humbug")</f>
        <v>el_humbug</v>
      </c>
      <c r="B25840" s="65" t="s">
        <v>11214</v>
      </c>
    </row>
    <row r="25841" spans="1:2" x14ac:dyDescent="0.25">
      <c r="A25841" s="64" t="str">
        <f>HYPERLINK("http://www.twitter.com/sarah_e_hay", "sarah_e_hay")</f>
        <v>sarah_e_hay</v>
      </c>
      <c r="B25841" s="65"/>
    </row>
    <row r="25842" spans="1:2" x14ac:dyDescent="0.25">
      <c r="A25842" s="64" t="str">
        <f>HYPERLINK("http://www.twitter.com/saraspoloan", "saraspoloan")</f>
        <v>saraspoloan</v>
      </c>
      <c r="B25842" s="65" t="s">
        <v>11215</v>
      </c>
    </row>
    <row r="25843" spans="1:2" x14ac:dyDescent="0.25">
      <c r="A25843" s="64" t="str">
        <f>HYPERLINK("http://www.twitter.com/lazy_hoor", "lazy_hoor")</f>
        <v>lazy_hoor</v>
      </c>
      <c r="B25843" s="65" t="s">
        <v>4254</v>
      </c>
    </row>
    <row r="25844" spans="1:2" x14ac:dyDescent="0.25">
      <c r="A25844" s="64" t="str">
        <f>HYPERLINK("http://www.twitter.com/agathabattleaxe", "agathabattleaxe")</f>
        <v>agathabattleaxe</v>
      </c>
      <c r="B25844" s="65" t="s">
        <v>61</v>
      </c>
    </row>
    <row r="25845" spans="1:2" x14ac:dyDescent="0.25">
      <c r="A25845" s="64" t="str">
        <f>HYPERLINK("http://www.twitter.com/cglancaster", "cglancaster")</f>
        <v>cglancaster</v>
      </c>
      <c r="B25845" s="65"/>
    </row>
    <row r="25846" spans="1:2" x14ac:dyDescent="0.25">
      <c r="A25846" s="64" t="str">
        <f>HYPERLINK("http://www.twitter.com/msw1066", "msw1066")</f>
        <v>msw1066</v>
      </c>
      <c r="B25846" s="65" t="s">
        <v>11216</v>
      </c>
    </row>
    <row r="25847" spans="1:2" x14ac:dyDescent="0.25">
      <c r="A25847" s="64" t="str">
        <f>HYPERLINK("http://www.twitter.com/bmbryan", "bmbryan")</f>
        <v>bmbryan</v>
      </c>
      <c r="B25847" s="65" t="s">
        <v>4992</v>
      </c>
    </row>
    <row r="25848" spans="1:2" x14ac:dyDescent="0.25">
      <c r="A25848" s="64" t="str">
        <f>HYPERLINK("http://www.twitter.com/blah_blah_blah_", "blah_blah_blah_")</f>
        <v>blah_blah_blah_</v>
      </c>
      <c r="B25848" s="65"/>
    </row>
    <row r="25849" spans="1:2" x14ac:dyDescent="0.25">
      <c r="A25849" s="64" t="str">
        <f>HYPERLINK("http://www.twitter.com/BarondOrmesan", "BarondOrmesan")</f>
        <v>BarondOrmesan</v>
      </c>
      <c r="B25849" s="65" t="s">
        <v>36</v>
      </c>
    </row>
    <row r="25850" spans="1:2" x14ac:dyDescent="0.25">
      <c r="A25850" s="64" t="str">
        <f>HYPERLINK("http://www.twitter.com/ruthpaxton", "ruthpaxton")</f>
        <v>ruthpaxton</v>
      </c>
      <c r="B25850" s="65" t="s">
        <v>4859</v>
      </c>
    </row>
    <row r="25851" spans="1:2" x14ac:dyDescent="0.25">
      <c r="A25851" s="64" t="str">
        <f>HYPERLINK("http://www.twitter.com/leonaburgess", "leonaburgess")</f>
        <v>leonaburgess</v>
      </c>
      <c r="B25851" s="65"/>
    </row>
    <row r="25852" spans="1:2" x14ac:dyDescent="0.25">
      <c r="A25852" s="64" t="str">
        <f>HYPERLINK("http://www.twitter.com/sdl2003", "sdl2003")</f>
        <v>sdl2003</v>
      </c>
      <c r="B25852" s="65"/>
    </row>
    <row r="25853" spans="1:2" x14ac:dyDescent="0.25">
      <c r="A25853" s="64" t="str">
        <f>HYPERLINK("http://www.twitter.com/Callummcp", "Callummcp")</f>
        <v>Callummcp</v>
      </c>
      <c r="B25853" s="65"/>
    </row>
    <row r="25854" spans="1:2" x14ac:dyDescent="0.25">
      <c r="A25854" s="64" t="str">
        <f>HYPERLINK("http://www.twitter.com/2wheelbuccaneer", "2wheelbuccaneer")</f>
        <v>2wheelbuccaneer</v>
      </c>
      <c r="B25854" s="65"/>
    </row>
    <row r="25855" spans="1:2" x14ac:dyDescent="0.25">
      <c r="A25855" s="64" t="str">
        <f>HYPERLINK("http://www.twitter.com/LFilkosky", "LFilkosky")</f>
        <v>LFilkosky</v>
      </c>
      <c r="B25855" s="65"/>
    </row>
    <row r="25856" spans="1:2" x14ac:dyDescent="0.25">
      <c r="A25856" s="64" t="str">
        <f>HYPERLINK("http://www.twitter.com/peteway", "peteway")</f>
        <v>peteway</v>
      </c>
      <c r="B25856" s="65" t="s">
        <v>11217</v>
      </c>
    </row>
    <row r="25857" spans="1:2" x14ac:dyDescent="0.25">
      <c r="A25857" s="64" t="str">
        <f>HYPERLINK("http://www.twitter.com/kilopapa45", "kilopapa45")</f>
        <v>kilopapa45</v>
      </c>
      <c r="B25857" s="65" t="s">
        <v>11218</v>
      </c>
    </row>
    <row r="25858" spans="1:2" x14ac:dyDescent="0.25">
      <c r="A25858" s="64" t="str">
        <f>HYPERLINK("http://www.twitter.com/clareinbrighton", "clareinbrighton")</f>
        <v>clareinbrighton</v>
      </c>
      <c r="B25858" s="65"/>
    </row>
    <row r="25859" spans="1:2" x14ac:dyDescent="0.25">
      <c r="A25859" s="64" t="str">
        <f>HYPERLINK("http://www.twitter.com/frasermac83", "frasermac83")</f>
        <v>frasermac83</v>
      </c>
      <c r="B25859" s="65" t="s">
        <v>24</v>
      </c>
    </row>
    <row r="25860" spans="1:2" x14ac:dyDescent="0.25">
      <c r="A25860" s="64" t="str">
        <f>HYPERLINK("http://www.twitter.com/chrisdb89", "chrisdb89")</f>
        <v>chrisdb89</v>
      </c>
      <c r="B25860" s="65" t="s">
        <v>36</v>
      </c>
    </row>
    <row r="25861" spans="1:2" x14ac:dyDescent="0.25">
      <c r="A25861" s="64" t="str">
        <f>HYPERLINK("http://www.twitter.com/_Jules_C", "_Jules_C")</f>
        <v>_Jules_C</v>
      </c>
      <c r="B25861" s="65"/>
    </row>
    <row r="25862" spans="1:2" x14ac:dyDescent="0.25">
      <c r="A25862" s="64" t="str">
        <f>HYPERLINK("http://www.twitter.com/glenthornelrc", "glenthornelrc")</f>
        <v>glenthornelrc</v>
      </c>
      <c r="B25862" s="65"/>
    </row>
    <row r="25863" spans="1:2" x14ac:dyDescent="0.25">
      <c r="A25863" s="64" t="str">
        <f>HYPERLINK("http://www.twitter.com/britta1988", "britta1988")</f>
        <v>britta1988</v>
      </c>
      <c r="B25863" s="65"/>
    </row>
    <row r="25864" spans="1:2" x14ac:dyDescent="0.25">
      <c r="A25864" s="64" t="str">
        <f>HYPERLINK("http://www.twitter.com/bairn1966", "bairn1966")</f>
        <v>bairn1966</v>
      </c>
      <c r="B25864" s="65" t="s">
        <v>9051</v>
      </c>
    </row>
    <row r="25865" spans="1:2" x14ac:dyDescent="0.25">
      <c r="A25865" s="64" t="str">
        <f>HYPERLINK("http://www.twitter.com/mncorvid", "mncorvid")</f>
        <v>mncorvid</v>
      </c>
      <c r="B25865" s="65" t="s">
        <v>11219</v>
      </c>
    </row>
    <row r="25866" spans="1:2" x14ac:dyDescent="0.25">
      <c r="A25866" s="64" t="str">
        <f>HYPERLINK("http://www.twitter.com/RhonaMartin55", "RhonaMartin55")</f>
        <v>RhonaMartin55</v>
      </c>
      <c r="B25866" s="65" t="s">
        <v>24</v>
      </c>
    </row>
    <row r="25867" spans="1:2" x14ac:dyDescent="0.25">
      <c r="A25867" s="64" t="str">
        <f>HYPERLINK("http://www.twitter.com/libraryleah", "libraryleah")</f>
        <v>libraryleah</v>
      </c>
      <c r="B25867" s="65" t="s">
        <v>3979</v>
      </c>
    </row>
    <row r="25868" spans="1:2" x14ac:dyDescent="0.25">
      <c r="A25868" s="64" t="str">
        <f>HYPERLINK("http://www.twitter.com/RCOPHighland", "RCOPHighland")</f>
        <v>RCOPHighland</v>
      </c>
      <c r="B25868" s="65" t="s">
        <v>6107</v>
      </c>
    </row>
    <row r="25869" spans="1:2" x14ac:dyDescent="0.25">
      <c r="A25869" s="64" t="str">
        <f>HYPERLINK("http://www.twitter.com/bobcatbrarian", "bobcatbrarian")</f>
        <v>bobcatbrarian</v>
      </c>
      <c r="B25869" s="65"/>
    </row>
    <row r="25870" spans="1:2" x14ac:dyDescent="0.25">
      <c r="A25870" s="64" t="str">
        <f>HYPERLINK("http://www.twitter.com/novemberquiroz", "novemberquiroz")</f>
        <v>novemberquiroz</v>
      </c>
      <c r="B25870" s="65" t="s">
        <v>11220</v>
      </c>
    </row>
    <row r="25871" spans="1:2" x14ac:dyDescent="0.25">
      <c r="A25871" s="64" t="str">
        <f>HYPERLINK("http://www.twitter.com/laraphillips", "laraphillips")</f>
        <v>laraphillips</v>
      </c>
      <c r="B25871" s="65" t="s">
        <v>11221</v>
      </c>
    </row>
    <row r="25872" spans="1:2" x14ac:dyDescent="0.25">
      <c r="A25872" s="64" t="str">
        <f>HYPERLINK("http://www.twitter.com/captain1diot", "captain1diot")</f>
        <v>captain1diot</v>
      </c>
      <c r="B25872" s="65" t="s">
        <v>11222</v>
      </c>
    </row>
    <row r="25873" spans="1:2" x14ac:dyDescent="0.25">
      <c r="A25873" s="64" t="str">
        <f>HYPERLINK("http://www.twitter.com/GsyRach", "GsyRach")</f>
        <v>GsyRach</v>
      </c>
      <c r="B25873" s="65" t="s">
        <v>857</v>
      </c>
    </row>
    <row r="25874" spans="1:2" x14ac:dyDescent="0.25">
      <c r="A25874" s="64" t="str">
        <f>HYPERLINK("http://www.twitter.com/matt4ck", "matt4ck")</f>
        <v>matt4ck</v>
      </c>
      <c r="B25874" s="65"/>
    </row>
    <row r="25875" spans="1:2" x14ac:dyDescent="0.25">
      <c r="A25875" s="64" t="str">
        <f>HYPERLINK("http://www.twitter.com/ckleback", "ckleback")</f>
        <v>ckleback</v>
      </c>
      <c r="B25875" s="65" t="s">
        <v>5718</v>
      </c>
    </row>
    <row r="25876" spans="1:2" x14ac:dyDescent="0.25">
      <c r="A25876" s="64" t="str">
        <f>HYPERLINK("http://www.twitter.com/wonkyrachel", "wonkyrachel")</f>
        <v>wonkyrachel</v>
      </c>
      <c r="B25876" s="65" t="s">
        <v>4865</v>
      </c>
    </row>
    <row r="25877" spans="1:2" x14ac:dyDescent="0.25">
      <c r="A25877" s="64" t="str">
        <f>HYPERLINK("http://www.twitter.com/jainty", "jainty")</f>
        <v>jainty</v>
      </c>
      <c r="B25877" s="65" t="s">
        <v>1295</v>
      </c>
    </row>
    <row r="25878" spans="1:2" x14ac:dyDescent="0.25">
      <c r="A25878" s="64" t="str">
        <f>HYPERLINK("http://www.twitter.com/lliollio", "lliollio")</f>
        <v>lliollio</v>
      </c>
      <c r="B25878" s="65" t="s">
        <v>4963</v>
      </c>
    </row>
    <row r="25879" spans="1:2" x14ac:dyDescent="0.25">
      <c r="A25879" s="64" t="str">
        <f>HYPERLINK("http://www.twitter.com/kitchenartist", "kitchenartist")</f>
        <v>kitchenartist</v>
      </c>
      <c r="B25879" s="65" t="s">
        <v>4124</v>
      </c>
    </row>
    <row r="25880" spans="1:2" x14ac:dyDescent="0.25">
      <c r="A25880" s="64" t="str">
        <f>HYPERLINK("http://www.twitter.com/NoLibraryCuts", "NoLibraryCuts")</f>
        <v>NoLibraryCuts</v>
      </c>
      <c r="B25880" s="65" t="s">
        <v>459</v>
      </c>
    </row>
    <row r="25881" spans="1:2" x14ac:dyDescent="0.25">
      <c r="A25881" s="64" t="str">
        <f>HYPERLINK("http://www.twitter.com/kateweikert", "kateweikert")</f>
        <v>kateweikert</v>
      </c>
      <c r="B25881" s="65" t="s">
        <v>5926</v>
      </c>
    </row>
    <row r="25882" spans="1:2" x14ac:dyDescent="0.25">
      <c r="A25882" s="64" t="str">
        <f>HYPERLINK("http://www.twitter.com/PhilippaOliver", "PhilippaOliver")</f>
        <v>PhilippaOliver</v>
      </c>
      <c r="B25882" s="65" t="s">
        <v>24</v>
      </c>
    </row>
    <row r="25883" spans="1:2" x14ac:dyDescent="0.25">
      <c r="A25883" s="64" t="str">
        <f>HYPERLINK("http://www.twitter.com/indigodamson", "indigodamson")</f>
        <v>indigodamson</v>
      </c>
      <c r="B25883" s="65"/>
    </row>
    <row r="25884" spans="1:2" x14ac:dyDescent="0.25">
      <c r="A25884" s="64" t="str">
        <f>HYPERLINK("http://www.twitter.com/Dylwash", "Dylwash")</f>
        <v>Dylwash</v>
      </c>
      <c r="B25884" s="65" t="s">
        <v>1218</v>
      </c>
    </row>
    <row r="25885" spans="1:2" x14ac:dyDescent="0.25">
      <c r="A25885" s="64" t="str">
        <f>HYPERLINK("http://www.twitter.com/Monkeygal81", "Monkeygal81")</f>
        <v>Monkeygal81</v>
      </c>
      <c r="B25885" s="65" t="s">
        <v>11223</v>
      </c>
    </row>
    <row r="25886" spans="1:2" x14ac:dyDescent="0.25">
      <c r="A25886" s="64" t="str">
        <f>HYPERLINK("http://www.twitter.com/malcolmmonteiro", "malcolmmonteiro")</f>
        <v>malcolmmonteiro</v>
      </c>
      <c r="B25886" s="65" t="s">
        <v>36</v>
      </c>
    </row>
    <row r="25887" spans="1:2" x14ac:dyDescent="0.25">
      <c r="A25887" s="64" t="str">
        <f>HYPERLINK("http://www.twitter.com/msgracefh", "msgracefh")</f>
        <v>msgracefh</v>
      </c>
      <c r="B25887" s="65" t="s">
        <v>33</v>
      </c>
    </row>
    <row r="25888" spans="1:2" x14ac:dyDescent="0.25">
      <c r="A25888" s="64" t="str">
        <f>HYPERLINK("http://www.twitter.com/enortee", "enortee")</f>
        <v>enortee</v>
      </c>
      <c r="B25888" s="65" t="s">
        <v>102</v>
      </c>
    </row>
    <row r="25889" spans="1:2" x14ac:dyDescent="0.25">
      <c r="A25889" s="64" t="str">
        <f>HYPERLINK("http://www.twitter.com/ptrsmpsn", "ptrsmpsn")</f>
        <v>ptrsmpsn</v>
      </c>
      <c r="B25889" s="65" t="s">
        <v>24</v>
      </c>
    </row>
    <row r="25890" spans="1:2" x14ac:dyDescent="0.25">
      <c r="A25890" s="64" t="str">
        <f>HYPERLINK("http://www.twitter.com/dclarke802", "dclarke802")</f>
        <v>dclarke802</v>
      </c>
      <c r="B25890" s="65" t="s">
        <v>487</v>
      </c>
    </row>
    <row r="25891" spans="1:2" x14ac:dyDescent="0.25">
      <c r="A25891" s="64" t="str">
        <f>HYPERLINK("http://www.twitter.com/JenicaIbarra", "JenicaIbarra")</f>
        <v>JenicaIbarra</v>
      </c>
      <c r="B25891" s="65" t="s">
        <v>4950</v>
      </c>
    </row>
    <row r="25892" spans="1:2" x14ac:dyDescent="0.25">
      <c r="A25892" s="64" t="str">
        <f>HYPERLINK("http://www.twitter.com/BocageBrit", "BocageBrit")</f>
        <v>BocageBrit</v>
      </c>
      <c r="B25892" s="65"/>
    </row>
    <row r="25893" spans="1:2" x14ac:dyDescent="0.25">
      <c r="A25893" s="64" t="str">
        <f>HYPERLINK("http://www.twitter.com/MsLauraMason", "MsLauraMason")</f>
        <v>MsLauraMason</v>
      </c>
      <c r="B25893" s="65"/>
    </row>
    <row r="25894" spans="1:2" x14ac:dyDescent="0.25">
      <c r="A25894" s="64" t="str">
        <f>HYPERLINK("http://www.twitter.com/AshtonLamont", "AshtonLamont")</f>
        <v>AshtonLamont</v>
      </c>
      <c r="B25894" s="65" t="s">
        <v>11224</v>
      </c>
    </row>
    <row r="25895" spans="1:2" x14ac:dyDescent="0.25">
      <c r="A25895" s="64" t="str">
        <f>HYPERLINK("http://www.twitter.com/joanyd", "joanyd")</f>
        <v>joanyd</v>
      </c>
      <c r="B25895" s="65" t="s">
        <v>487</v>
      </c>
    </row>
    <row r="25896" spans="1:2" x14ac:dyDescent="0.25">
      <c r="A25896" s="64" t="str">
        <f>HYPERLINK("http://www.twitter.com/jacks_gelato", "jacks_gelato")</f>
        <v>jacks_gelato</v>
      </c>
      <c r="B25896" s="65" t="s">
        <v>788</v>
      </c>
    </row>
    <row r="25897" spans="1:2" x14ac:dyDescent="0.25">
      <c r="A25897" s="64" t="str">
        <f>HYPERLINK("http://www.twitter.com/bruitist", "bruitist")</f>
        <v>bruitist</v>
      </c>
      <c r="B25897" s="65" t="s">
        <v>3559</v>
      </c>
    </row>
    <row r="25898" spans="1:2" x14ac:dyDescent="0.25">
      <c r="A25898" s="64" t="str">
        <f>HYPERLINK("http://www.twitter.com/KirstieMeehan", "KirstieMeehan")</f>
        <v>KirstieMeehan</v>
      </c>
      <c r="B25898" s="65"/>
    </row>
    <row r="25899" spans="1:2" x14ac:dyDescent="0.25">
      <c r="A25899" s="64" t="str">
        <f>HYPERLINK("http://www.twitter.com/ronfromkwon", "ronfromkwon")</f>
        <v>ronfromkwon</v>
      </c>
      <c r="B25899" s="65" t="s">
        <v>1046</v>
      </c>
    </row>
    <row r="25900" spans="1:2" x14ac:dyDescent="0.25">
      <c r="A25900" s="64" t="str">
        <f>HYPERLINK("http://www.twitter.com/SarahTtheWriter", "SarahTtheWriter")</f>
        <v>SarahTtheWriter</v>
      </c>
      <c r="B25900" s="65" t="s">
        <v>3817</v>
      </c>
    </row>
    <row r="25901" spans="1:2" x14ac:dyDescent="0.25">
      <c r="A25901" s="64" t="str">
        <f>HYPERLINK("http://www.twitter.com/beccagregs", "beccagregs")</f>
        <v>beccagregs</v>
      </c>
      <c r="B25901" s="65" t="s">
        <v>3091</v>
      </c>
    </row>
    <row r="25902" spans="1:2" x14ac:dyDescent="0.25">
      <c r="A25902" s="64" t="str">
        <f>HYPERLINK("http://www.twitter.com/Jambo12", "Jambo12")</f>
        <v>Jambo12</v>
      </c>
      <c r="B25902" s="65"/>
    </row>
    <row r="25903" spans="1:2" x14ac:dyDescent="0.25">
      <c r="A25903" s="64" t="str">
        <f>HYPERLINK("http://www.twitter.com/IanAMarks16", "IanAMarks16")</f>
        <v>IanAMarks16</v>
      </c>
      <c r="B25903" s="65" t="s">
        <v>11225</v>
      </c>
    </row>
    <row r="25904" spans="1:2" x14ac:dyDescent="0.25">
      <c r="A25904" s="64" t="str">
        <f>HYPERLINK("http://www.twitter.com/claire_helen_b", "claire_helen_b")</f>
        <v>claire_helen_b</v>
      </c>
      <c r="B25904" s="65" t="s">
        <v>11226</v>
      </c>
    </row>
    <row r="25905" spans="1:2" x14ac:dyDescent="0.25">
      <c r="A25905" s="64" t="str">
        <f>HYPERLINK("http://www.twitter.com/L15A", "L15A")</f>
        <v>L15A</v>
      </c>
      <c r="B25905" s="65" t="s">
        <v>10529</v>
      </c>
    </row>
    <row r="25906" spans="1:2" x14ac:dyDescent="0.25">
      <c r="A25906" s="64" t="str">
        <f>HYPERLINK("http://www.twitter.com/Fizzlnj", "Fizzlnj")</f>
        <v>Fizzlnj</v>
      </c>
      <c r="B25906" s="65" t="s">
        <v>296</v>
      </c>
    </row>
    <row r="25907" spans="1:2" x14ac:dyDescent="0.25">
      <c r="A25907" s="64" t="str">
        <f>HYPERLINK("http://www.twitter.com/libtechkat", "libtechkat")</f>
        <v>libtechkat</v>
      </c>
      <c r="B25907" s="65"/>
    </row>
    <row r="25908" spans="1:2" x14ac:dyDescent="0.25">
      <c r="A25908" s="64" t="str">
        <f>HYPERLINK("http://www.twitter.com/shannonanigan76", "shannonanigan76")</f>
        <v>shannonanigan76</v>
      </c>
      <c r="B25908" s="65" t="s">
        <v>11227</v>
      </c>
    </row>
    <row r="25909" spans="1:2" x14ac:dyDescent="0.25">
      <c r="A25909" s="64" t="str">
        <f>HYPERLINK("http://www.twitter.com/rachellsmall", "rachellsmall")</f>
        <v>rachellsmall</v>
      </c>
      <c r="B25909" s="65" t="s">
        <v>9339</v>
      </c>
    </row>
    <row r="25910" spans="1:2" x14ac:dyDescent="0.25">
      <c r="A25910" s="64" t="str">
        <f>HYPERLINK("http://www.twitter.com/sam_brendish", "sam_brendish")</f>
        <v>sam_brendish</v>
      </c>
      <c r="B25910" s="65"/>
    </row>
    <row r="25911" spans="1:2" x14ac:dyDescent="0.25">
      <c r="A25911" s="64" t="str">
        <f>HYPERLINK("http://www.twitter.com/KarenMoeslund", "KarenMoeslund")</f>
        <v>KarenMoeslund</v>
      </c>
      <c r="B25911" s="65"/>
    </row>
    <row r="25912" spans="1:2" x14ac:dyDescent="0.25">
      <c r="A25912" s="64" t="str">
        <f>HYPERLINK("http://www.twitter.com/InterLibNet", "InterLibNet")</f>
        <v>InterLibNet</v>
      </c>
      <c r="B25912" s="65" t="s">
        <v>11228</v>
      </c>
    </row>
    <row r="25913" spans="1:2" x14ac:dyDescent="0.25">
      <c r="A25913" s="64" t="str">
        <f>HYPERLINK("http://www.twitter.com/bexxers", "bexxers")</f>
        <v>bexxers</v>
      </c>
      <c r="B25913" s="65" t="s">
        <v>517</v>
      </c>
    </row>
    <row r="25914" spans="1:2" x14ac:dyDescent="0.25">
      <c r="A25914" s="64" t="str">
        <f>HYPERLINK("http://www.twitter.com/mryralban", "mryralban")</f>
        <v>mryralban</v>
      </c>
      <c r="B25914" s="65" t="s">
        <v>9073</v>
      </c>
    </row>
    <row r="25915" spans="1:2" x14ac:dyDescent="0.25">
      <c r="A25915" s="64" t="str">
        <f>HYPERLINK("http://www.twitter.com/Frazer_McNeill", "Frazer_McNeill")</f>
        <v>Frazer_McNeill</v>
      </c>
      <c r="B25915" s="65" t="s">
        <v>10732</v>
      </c>
    </row>
    <row r="25916" spans="1:2" x14ac:dyDescent="0.25">
      <c r="A25916" s="64" t="str">
        <f>HYPERLINK("http://www.twitter.com/booksbunni", "booksbunni")</f>
        <v>booksbunni</v>
      </c>
      <c r="B25916" s="65" t="s">
        <v>11229</v>
      </c>
    </row>
    <row r="25917" spans="1:2" x14ac:dyDescent="0.25">
      <c r="A25917" s="64" t="str">
        <f>HYPERLINK("http://www.twitter.com/maisieleddy", "maisieleddy")</f>
        <v>maisieleddy</v>
      </c>
      <c r="B25917" s="65"/>
    </row>
    <row r="25918" spans="1:2" x14ac:dyDescent="0.25">
      <c r="A25918" s="64" t="str">
        <f>HYPERLINK("http://www.twitter.com/Stu_N", "Stu_N")</f>
        <v>Stu_N</v>
      </c>
      <c r="B25918" s="65" t="s">
        <v>11230</v>
      </c>
    </row>
    <row r="25919" spans="1:2" x14ac:dyDescent="0.25">
      <c r="A25919" s="64" t="str">
        <f>HYPERLINK("http://www.twitter.com/EmilieKang", "EmilieKang")</f>
        <v>EmilieKang</v>
      </c>
      <c r="B25919" s="65"/>
    </row>
    <row r="25920" spans="1:2" x14ac:dyDescent="0.25">
      <c r="A25920" s="64" t="str">
        <f>HYPERLINK("http://www.twitter.com/WhatAmyDidNext", "WhatAmyDidNext")</f>
        <v>WhatAmyDidNext</v>
      </c>
      <c r="B25920" s="65"/>
    </row>
    <row r="25921" spans="1:2" x14ac:dyDescent="0.25">
      <c r="A25921" s="64" t="str">
        <f>HYPERLINK("http://www.twitter.com/Rachel_Update", "Rachel_Update")</f>
        <v>Rachel_Update</v>
      </c>
      <c r="B25921" s="65" t="s">
        <v>36</v>
      </c>
    </row>
    <row r="25922" spans="1:2" x14ac:dyDescent="0.25">
      <c r="A25922" s="64" t="str">
        <f>HYPERLINK("http://www.twitter.com/KatieTunn", "KatieTunn")</f>
        <v>KatieTunn</v>
      </c>
      <c r="B25922" s="65" t="s">
        <v>11231</v>
      </c>
    </row>
    <row r="25923" spans="1:2" x14ac:dyDescent="0.25">
      <c r="A25923" s="64" t="str">
        <f>HYPERLINK("http://www.twitter.com/HeavenPiercer", "HeavenPiercer")</f>
        <v>HeavenPiercer</v>
      </c>
      <c r="B25923" s="65" t="s">
        <v>11232</v>
      </c>
    </row>
    <row r="25924" spans="1:2" x14ac:dyDescent="0.25">
      <c r="A25924" s="64" t="str">
        <f>HYPERLINK("http://www.twitter.com/RosieHegartyPR", "RosieHegartyPR")</f>
        <v>RosieHegartyPR</v>
      </c>
      <c r="B25924" s="65" t="s">
        <v>10461</v>
      </c>
    </row>
    <row r="25925" spans="1:2" x14ac:dyDescent="0.25">
      <c r="A25925" s="64" t="str">
        <f>HYPERLINK("http://www.twitter.com/Dr_Bumfuzzle", "Dr_Bumfuzzle")</f>
        <v>Dr_Bumfuzzle</v>
      </c>
      <c r="B25925" s="65"/>
    </row>
    <row r="25926" spans="1:2" x14ac:dyDescent="0.25">
      <c r="A25926" s="64" t="str">
        <f>HYPERLINK("http://www.twitter.com/Kristolver", "Kristolver")</f>
        <v>Kristolver</v>
      </c>
      <c r="B25926" s="65" t="s">
        <v>4765</v>
      </c>
    </row>
    <row r="25927" spans="1:2" x14ac:dyDescent="0.25">
      <c r="A25927" s="64" t="str">
        <f>HYPERLINK("http://www.twitter.com/LuthVanD", "LuthVanD")</f>
        <v>LuthVanD</v>
      </c>
      <c r="B25927" s="65" t="s">
        <v>3778</v>
      </c>
    </row>
    <row r="25928" spans="1:2" x14ac:dyDescent="0.25">
      <c r="A25928" s="64" t="str">
        <f>HYPERLINK("http://www.twitter.com/Codepope", "Codepope")</f>
        <v>Codepope</v>
      </c>
      <c r="B25928" s="65" t="s">
        <v>36</v>
      </c>
    </row>
    <row r="25929" spans="1:2" x14ac:dyDescent="0.25">
      <c r="A25929" s="64" t="str">
        <f>HYPERLINK("http://www.twitter.com/McG3D", "McG3D")</f>
        <v>McG3D</v>
      </c>
      <c r="B25929" s="65" t="s">
        <v>318</v>
      </c>
    </row>
    <row r="25930" spans="1:2" x14ac:dyDescent="0.25">
      <c r="A25930" s="64" t="str">
        <f>HYPERLINK("http://www.twitter.com/WhirlsInPearls", "WhirlsInPearls")</f>
        <v>WhirlsInPearls</v>
      </c>
      <c r="B25930" s="65"/>
    </row>
    <row r="25931" spans="1:2" x14ac:dyDescent="0.25">
      <c r="A25931" s="64" t="str">
        <f>HYPERLINK("http://www.twitter.com/YESstoryman", "YESstoryman")</f>
        <v>YESstoryman</v>
      </c>
      <c r="B25931" s="65" t="s">
        <v>11233</v>
      </c>
    </row>
    <row r="25932" spans="1:2" x14ac:dyDescent="0.25">
      <c r="A25932" s="64" t="str">
        <f>HYPERLINK("http://www.twitter.com/DanTHearn", "DanTHearn")</f>
        <v>DanTHearn</v>
      </c>
      <c r="B25932" s="65" t="s">
        <v>6634</v>
      </c>
    </row>
    <row r="25933" spans="1:2" x14ac:dyDescent="0.25">
      <c r="A25933" s="64" t="str">
        <f>HYPERLINK("http://www.twitter.com/brenway", "brenway")</f>
        <v>brenway</v>
      </c>
      <c r="B25933" s="65" t="s">
        <v>3791</v>
      </c>
    </row>
    <row r="25934" spans="1:2" x14ac:dyDescent="0.25">
      <c r="A25934" s="64" t="str">
        <f>HYPERLINK("http://www.twitter.com/jtait60", "jtait60")</f>
        <v>jtait60</v>
      </c>
      <c r="B25934" s="65"/>
    </row>
    <row r="25935" spans="1:2" x14ac:dyDescent="0.25">
      <c r="A25935" s="64" t="str">
        <f>HYPERLINK("http://www.twitter.com/hiddle", "hiddle")</f>
        <v>hiddle</v>
      </c>
      <c r="B25935" s="65" t="s">
        <v>70</v>
      </c>
    </row>
    <row r="25936" spans="1:2" x14ac:dyDescent="0.25">
      <c r="A25936" s="64" t="str">
        <f>HYPERLINK("http://www.twitter.com/ASchuttke", "ASchuttke")</f>
        <v>ASchuttke</v>
      </c>
      <c r="B25936" s="65"/>
    </row>
    <row r="25937" spans="1:2" x14ac:dyDescent="0.25">
      <c r="A25937" s="64" t="str">
        <f>HYPERLINK("http://www.twitter.com/GN_ARC", "GN_ARC")</f>
        <v>GN_ARC</v>
      </c>
      <c r="B25937" s="65"/>
    </row>
    <row r="25938" spans="1:2" x14ac:dyDescent="0.25">
      <c r="A25938" s="64" t="str">
        <f>HYPERLINK("http://www.twitter.com/McLear22", "McLear22")</f>
        <v>McLear22</v>
      </c>
      <c r="B25938" s="65" t="s">
        <v>4171</v>
      </c>
    </row>
    <row r="25939" spans="1:2" x14ac:dyDescent="0.25">
      <c r="A25939" s="64" t="str">
        <f>HYPERLINK("http://www.twitter.com/aliceelizabethk", "aliceelizabethk")</f>
        <v>aliceelizabethk</v>
      </c>
      <c r="B25939" s="65" t="s">
        <v>36</v>
      </c>
    </row>
    <row r="25940" spans="1:2" x14ac:dyDescent="0.25">
      <c r="A25940" s="64" t="str">
        <f>HYPERLINK("http://www.twitter.com/leetlejohn", "leetlejohn")</f>
        <v>leetlejohn</v>
      </c>
      <c r="B25940" s="65" t="s">
        <v>93</v>
      </c>
    </row>
    <row r="25941" spans="1:2" x14ac:dyDescent="0.25">
      <c r="A25941" s="64" t="str">
        <f>HYPERLINK("http://www.twitter.com/BiblioKristin", "BiblioKristin")</f>
        <v>BiblioKristin</v>
      </c>
      <c r="B25941" s="65"/>
    </row>
    <row r="25942" spans="1:2" x14ac:dyDescent="0.25">
      <c r="A25942" s="64" t="str">
        <f>HYPERLINK("http://www.twitter.com/KataErvasti", "KataErvasti")</f>
        <v>KataErvasti</v>
      </c>
      <c r="B25942" s="65" t="s">
        <v>11234</v>
      </c>
    </row>
    <row r="25943" spans="1:2" x14ac:dyDescent="0.25">
      <c r="A25943" s="64" t="str">
        <f>HYPERLINK("http://www.twitter.com/nataitken", "nataitken")</f>
        <v>nataitken</v>
      </c>
      <c r="B25943" s="65" t="s">
        <v>1098</v>
      </c>
    </row>
    <row r="25944" spans="1:2" x14ac:dyDescent="0.25">
      <c r="A25944" s="64" t="str">
        <f>HYPERLINK("http://www.twitter.com/IaithAmgueddfa", "IaithAmgueddfa")</f>
        <v>IaithAmgueddfa</v>
      </c>
      <c r="B25944" s="65" t="s">
        <v>11235</v>
      </c>
    </row>
    <row r="25945" spans="1:2" x14ac:dyDescent="0.25">
      <c r="A25945" s="64" t="str">
        <f>HYPERLINK("http://www.twitter.com/celiaross", "celiaross")</f>
        <v>celiaross</v>
      </c>
      <c r="B25945" s="65" t="s">
        <v>4687</v>
      </c>
    </row>
    <row r="25946" spans="1:2" x14ac:dyDescent="0.25">
      <c r="A25946" s="64" t="str">
        <f>HYPERLINK("http://www.twitter.com/hannahsreading", "hannahsreading")</f>
        <v>hannahsreading</v>
      </c>
      <c r="B25946" s="65" t="s">
        <v>296</v>
      </c>
    </row>
    <row r="25947" spans="1:2" x14ac:dyDescent="0.25">
      <c r="A25947" s="64" t="str">
        <f>HYPERLINK("http://www.twitter.com/loobyhol", "loobyhol")</f>
        <v>loobyhol</v>
      </c>
      <c r="B25947" s="65"/>
    </row>
    <row r="25948" spans="1:2" x14ac:dyDescent="0.25">
      <c r="A25948" s="64" t="str">
        <f>HYPERLINK("http://www.twitter.com/the_su", "the_su")</f>
        <v>the_su</v>
      </c>
      <c r="B25948" s="65" t="s">
        <v>11236</v>
      </c>
    </row>
    <row r="25949" spans="1:2" x14ac:dyDescent="0.25">
      <c r="A25949" s="64" t="str">
        <f>HYPERLINK("http://www.twitter.com/EmmaEmagrieve", "EmmaEmagrieve")</f>
        <v>EmmaEmagrieve</v>
      </c>
      <c r="B25949" s="65"/>
    </row>
    <row r="25950" spans="1:2" x14ac:dyDescent="0.25">
      <c r="A25950" s="64" t="str">
        <f>HYPERLINK("http://www.twitter.com/jberge10", "jberge10")</f>
        <v>jberge10</v>
      </c>
      <c r="B25950" s="65"/>
    </row>
    <row r="25951" spans="1:2" x14ac:dyDescent="0.25">
      <c r="A25951" s="64" t="str">
        <f>HYPERLINK("http://www.twitter.com/pascaldepaepe", "pascaldepaepe")</f>
        <v>pascaldepaepe</v>
      </c>
      <c r="B25951" s="65"/>
    </row>
    <row r="25952" spans="1:2" x14ac:dyDescent="0.25">
      <c r="A25952" s="64" t="str">
        <f>HYPERLINK("http://www.twitter.com/jimmotherwell", "jimmotherwell")</f>
        <v>jimmotherwell</v>
      </c>
      <c r="B25952" s="65" t="s">
        <v>4019</v>
      </c>
    </row>
    <row r="25953" spans="1:2" x14ac:dyDescent="0.25">
      <c r="A25953" s="64" t="str">
        <f>HYPERLINK("http://www.twitter.com/LauraHANewman", "LauraHANewman")</f>
        <v>LauraHANewman</v>
      </c>
      <c r="B25953" s="65" t="s">
        <v>477</v>
      </c>
    </row>
    <row r="25954" spans="1:2" x14ac:dyDescent="0.25">
      <c r="A25954" s="64" t="str">
        <f>HYPERLINK("http://www.twitter.com/MLArents", "MLArents")</f>
        <v>MLArents</v>
      </c>
      <c r="B25954" s="65" t="s">
        <v>4110</v>
      </c>
    </row>
    <row r="25955" spans="1:2" x14ac:dyDescent="0.25">
      <c r="A25955" s="64" t="str">
        <f>HYPERLINK("http://www.twitter.com/hannah_r_young", "hannah_r_young")</f>
        <v>hannah_r_young</v>
      </c>
      <c r="B25955" s="65" t="s">
        <v>624</v>
      </c>
    </row>
    <row r="25956" spans="1:2" x14ac:dyDescent="0.25">
      <c r="A25956" s="64" t="str">
        <f>HYPERLINK("http://www.twitter.com/WillPendrill", "WillPendrill")</f>
        <v>WillPendrill</v>
      </c>
      <c r="B25956" s="65" t="s">
        <v>477</v>
      </c>
    </row>
    <row r="25957" spans="1:2" x14ac:dyDescent="0.25">
      <c r="A25957" s="64" t="str">
        <f>HYPERLINK("http://www.twitter.com/BeccaHolyhead", "BeccaHolyhead")</f>
        <v>BeccaHolyhead</v>
      </c>
      <c r="B25957" s="65"/>
    </row>
    <row r="25958" spans="1:2" x14ac:dyDescent="0.25">
      <c r="A25958" s="64" t="str">
        <f>HYPERLINK("http://www.twitter.com/kaz125", "kaz125")</f>
        <v>kaz125</v>
      </c>
      <c r="B25958" s="65" t="s">
        <v>517</v>
      </c>
    </row>
    <row r="25959" spans="1:2" x14ac:dyDescent="0.25">
      <c r="A25959" s="64" t="str">
        <f>HYPERLINK("http://www.twitter.com/mandbristol", "mandbristol")</f>
        <v>mandbristol</v>
      </c>
      <c r="B25959" s="65" t="s">
        <v>1873</v>
      </c>
    </row>
    <row r="25960" spans="1:2" x14ac:dyDescent="0.25">
      <c r="A25960" s="64" t="str">
        <f>HYPERLINK("http://www.twitter.com/masheffer", "masheffer")</f>
        <v>masheffer</v>
      </c>
      <c r="B25960" s="65"/>
    </row>
    <row r="25961" spans="1:2" x14ac:dyDescent="0.25">
      <c r="A25961" s="64" t="str">
        <f>HYPERLINK("http://www.twitter.com/bizmarock", "bizmarock")</f>
        <v>bizmarock</v>
      </c>
      <c r="B25961" s="65" t="s">
        <v>11237</v>
      </c>
    </row>
    <row r="25962" spans="1:2" x14ac:dyDescent="0.25">
      <c r="A25962" s="64" t="str">
        <f>HYPERLINK("http://www.twitter.com/HourofWrites", "HourofWrites")</f>
        <v>HourofWrites</v>
      </c>
      <c r="B25962" s="65"/>
    </row>
    <row r="25963" spans="1:2" x14ac:dyDescent="0.25">
      <c r="A25963" s="64" t="str">
        <f>HYPERLINK("http://www.twitter.com/Kellya22", "Kellya22")</f>
        <v>Kellya22</v>
      </c>
      <c r="B25963" s="65" t="s">
        <v>24</v>
      </c>
    </row>
    <row r="25964" spans="1:2" x14ac:dyDescent="0.25">
      <c r="A25964" s="64" t="str">
        <f>HYPERLINK("http://www.twitter.com/Annie_Flowerly", "Annie_Flowerly")</f>
        <v>Annie_Flowerly</v>
      </c>
      <c r="B25964" s="65" t="s">
        <v>4500</v>
      </c>
    </row>
    <row r="25965" spans="1:2" x14ac:dyDescent="0.25">
      <c r="A25965" s="64" t="str">
        <f>HYPERLINK("http://www.twitter.com/kathleensme", "kathleensme")</f>
        <v>kathleensme</v>
      </c>
      <c r="B25965" s="65" t="s">
        <v>4273</v>
      </c>
    </row>
    <row r="25966" spans="1:2" x14ac:dyDescent="0.25">
      <c r="A25966" s="64" t="str">
        <f>HYPERLINK("http://www.twitter.com/Kate_Ferguson_", "Kate_Ferguson_")</f>
        <v>Kate_Ferguson_</v>
      </c>
      <c r="B25966" s="65" t="s">
        <v>3779</v>
      </c>
    </row>
    <row r="25967" spans="1:2" x14ac:dyDescent="0.25">
      <c r="A25967" s="64" t="str">
        <f>HYPERLINK("http://www.twitter.com/callumwest11", "callumwest11")</f>
        <v>callumwest11</v>
      </c>
      <c r="B25967" s="65"/>
    </row>
    <row r="25968" spans="1:2" x14ac:dyDescent="0.25">
      <c r="A25968" s="64" t="str">
        <f>HYPERLINK("http://www.twitter.com/joejpick", "joejpick")</f>
        <v>joejpick</v>
      </c>
      <c r="B25968" s="65"/>
    </row>
    <row r="25969" spans="1:2" x14ac:dyDescent="0.25">
      <c r="A25969" s="64" t="str">
        <f>HYPERLINK("http://www.twitter.com/ATurner994", "ATurner994")</f>
        <v>ATurner994</v>
      </c>
      <c r="B25969" s="65" t="s">
        <v>5768</v>
      </c>
    </row>
    <row r="25970" spans="1:2" x14ac:dyDescent="0.25">
      <c r="A25970" s="64" t="str">
        <f>HYPERLINK("http://www.twitter.com/katmaxwell87", "katmaxwell87")</f>
        <v>katmaxwell87</v>
      </c>
      <c r="B25970" s="65" t="s">
        <v>1862</v>
      </c>
    </row>
    <row r="25971" spans="1:2" x14ac:dyDescent="0.25">
      <c r="A25971" s="64" t="str">
        <f>HYPERLINK("http://www.twitter.com/PurpleNurple74", "PurpleNurple74")</f>
        <v>PurpleNurple74</v>
      </c>
      <c r="B25971" s="65" t="s">
        <v>11238</v>
      </c>
    </row>
    <row r="25972" spans="1:2" x14ac:dyDescent="0.25">
      <c r="A25972" s="64" t="str">
        <f>HYPERLINK("http://www.twitter.com/DBanksy", "DBanksy")</f>
        <v>DBanksy</v>
      </c>
      <c r="B25972" s="65" t="s">
        <v>11239</v>
      </c>
    </row>
    <row r="25973" spans="1:2" x14ac:dyDescent="0.25">
      <c r="A25973" s="64" t="str">
        <f>HYPERLINK("http://www.twitter.com/CMailhac", "CMailhac")</f>
        <v>CMailhac</v>
      </c>
      <c r="B25973" s="65" t="s">
        <v>459</v>
      </c>
    </row>
    <row r="25974" spans="1:2" x14ac:dyDescent="0.25">
      <c r="A25974" s="64" t="str">
        <f>HYPERLINK("http://www.twitter.com/mattwallalpha", "mattwallalpha")</f>
        <v>mattwallalpha</v>
      </c>
      <c r="B25974" s="65" t="s">
        <v>4500</v>
      </c>
    </row>
    <row r="25975" spans="1:2" x14ac:dyDescent="0.25">
      <c r="A25975" s="64" t="str">
        <f>HYPERLINK("http://www.twitter.com/AimeeDraws", "AimeeDraws")</f>
        <v>AimeeDraws</v>
      </c>
      <c r="B25975" s="65" t="s">
        <v>24</v>
      </c>
    </row>
    <row r="25976" spans="1:2" x14ac:dyDescent="0.25">
      <c r="A25976" s="64" t="str">
        <f>HYPERLINK("http://www.twitter.com/sarcjenn", "sarcjenn")</f>
        <v>sarcjenn</v>
      </c>
      <c r="B25976" s="65"/>
    </row>
    <row r="25977" spans="1:2" x14ac:dyDescent="0.25">
      <c r="A25977" s="64" t="str">
        <f>HYPERLINK("http://www.twitter.com/AbigailEMG", "AbigailEMG")</f>
        <v>AbigailEMG</v>
      </c>
      <c r="B25977" s="65" t="s">
        <v>2850</v>
      </c>
    </row>
    <row r="25978" spans="1:2" x14ac:dyDescent="0.25">
      <c r="A25978" s="64" t="str">
        <f>HYPERLINK("http://www.twitter.com/ProfEHoward", "ProfEHoward")</f>
        <v>ProfEHoward</v>
      </c>
      <c r="B25978" s="65"/>
    </row>
    <row r="25979" spans="1:2" x14ac:dyDescent="0.25">
      <c r="A25979" s="64" t="str">
        <f>HYPERLINK("http://www.twitter.com/emmyl_13", "emmyl_13")</f>
        <v>emmyl_13</v>
      </c>
      <c r="B25979" s="65"/>
    </row>
    <row r="25980" spans="1:2" x14ac:dyDescent="0.25">
      <c r="A25980" s="64" t="str">
        <f>HYPERLINK("http://www.twitter.com/lit_ed", "lit_ed")</f>
        <v>lit_ed</v>
      </c>
      <c r="B25980" s="65"/>
    </row>
    <row r="25981" spans="1:2" x14ac:dyDescent="0.25">
      <c r="A25981" s="64" t="str">
        <f>HYPERLINK("http://www.twitter.com/CoreyyMacK", "CoreyyMacK")</f>
        <v>CoreyyMacK</v>
      </c>
      <c r="B25981" s="65" t="s">
        <v>318</v>
      </c>
    </row>
    <row r="25982" spans="1:2" x14ac:dyDescent="0.25">
      <c r="A25982" s="64" t="str">
        <f>HYPERLINK("http://www.twitter.com/kylibrarianjen", "kylibrarianjen")</f>
        <v>kylibrarianjen</v>
      </c>
      <c r="B25982" s="65" t="s">
        <v>5629</v>
      </c>
    </row>
    <row r="25983" spans="1:2" x14ac:dyDescent="0.25">
      <c r="A25983" s="64" t="str">
        <f>HYPERLINK("http://www.twitter.com/kerryjock", "kerryjock")</f>
        <v>kerryjock</v>
      </c>
      <c r="B25983" s="65" t="s">
        <v>4394</v>
      </c>
    </row>
    <row r="25984" spans="1:2" x14ac:dyDescent="0.25">
      <c r="A25984" s="64" t="str">
        <f>HYPERLINK("http://www.twitter.com/DanDavidson82", "DanDavidson82")</f>
        <v>DanDavidson82</v>
      </c>
      <c r="B25984" s="65" t="s">
        <v>36</v>
      </c>
    </row>
    <row r="25985" spans="1:2" x14ac:dyDescent="0.25">
      <c r="A25985" s="64" t="str">
        <f>HYPERLINK("http://www.twitter.com/jenniesuekelly", "jenniesuekelly")</f>
        <v>jenniesuekelly</v>
      </c>
      <c r="B25985" s="65" t="s">
        <v>3984</v>
      </c>
    </row>
    <row r="25986" spans="1:2" x14ac:dyDescent="0.25">
      <c r="A25986" s="64" t="str">
        <f>HYPERLINK("http://www.twitter.com/ArifulAziz", "ArifulAziz")</f>
        <v>ArifulAziz</v>
      </c>
      <c r="B25986" s="65"/>
    </row>
    <row r="25987" spans="1:2" x14ac:dyDescent="0.25">
      <c r="A25987" s="64" t="str">
        <f>HYPERLINK("http://www.twitter.com/SustransScot", "SustransScot")</f>
        <v>SustransScot</v>
      </c>
      <c r="B25987" s="65" t="s">
        <v>487</v>
      </c>
    </row>
    <row r="25988" spans="1:2" x14ac:dyDescent="0.25">
      <c r="A25988" s="64" t="str">
        <f>HYPERLINK("http://www.twitter.com/chrisjameshall", "chrisjameshall")</f>
        <v>chrisjameshall</v>
      </c>
      <c r="B25988" s="65" t="s">
        <v>11240</v>
      </c>
    </row>
    <row r="25989" spans="1:2" x14ac:dyDescent="0.25">
      <c r="A25989" s="64" t="str">
        <f>HYPERLINK("http://www.twitter.com/iklg2", "iklg2")</f>
        <v>iklg2</v>
      </c>
      <c r="B25989" s="65" t="s">
        <v>477</v>
      </c>
    </row>
    <row r="25990" spans="1:2" x14ac:dyDescent="0.25">
      <c r="A25990" s="64" t="str">
        <f>HYPERLINK("http://www.twitter.com/VCBLibrary", "VCBLibrary")</f>
        <v>VCBLibrary</v>
      </c>
      <c r="B25990" s="65" t="s">
        <v>1974</v>
      </c>
    </row>
    <row r="25991" spans="1:2" x14ac:dyDescent="0.25">
      <c r="A25991" s="64" t="str">
        <f>HYPERLINK("http://www.twitter.com/MonicaBaughman", "MonicaBaughman")</f>
        <v>MonicaBaughman</v>
      </c>
      <c r="B25991" s="65"/>
    </row>
    <row r="25992" spans="1:2" x14ac:dyDescent="0.25">
      <c r="A25992" s="64" t="str">
        <f>HYPERLINK("http://www.twitter.com/victoriacahill", "victoriacahill")</f>
        <v>victoriacahill</v>
      </c>
      <c r="B25992" s="65"/>
    </row>
    <row r="25993" spans="1:2" x14ac:dyDescent="0.25">
      <c r="A25993" s="64" t="str">
        <f>HYPERLINK("http://www.twitter.com/Emmelement", "Emmelement")</f>
        <v>Emmelement</v>
      </c>
      <c r="B25993" s="65"/>
    </row>
    <row r="25994" spans="1:2" x14ac:dyDescent="0.25">
      <c r="A25994" s="64" t="str">
        <f>HYPERLINK("http://www.twitter.com/piperman999", "piperman999")</f>
        <v>piperman999</v>
      </c>
      <c r="B25994" s="65" t="s">
        <v>11241</v>
      </c>
    </row>
    <row r="25995" spans="1:2" x14ac:dyDescent="0.25">
      <c r="A25995" s="64" t="str">
        <f>HYPERLINK("http://www.twitter.com/fhendrie", "fhendrie")</f>
        <v>fhendrie</v>
      </c>
      <c r="B25995" s="65" t="s">
        <v>5212</v>
      </c>
    </row>
    <row r="25996" spans="1:2" x14ac:dyDescent="0.25">
      <c r="A25996" s="64" t="str">
        <f>HYPERLINK("http://www.twitter.com/alexpday", "alexpday")</f>
        <v>alexpday</v>
      </c>
      <c r="B25996" s="65" t="s">
        <v>477</v>
      </c>
    </row>
    <row r="25997" spans="1:2" x14ac:dyDescent="0.25">
      <c r="A25997" s="64" t="str">
        <f>HYPERLINK("http://www.twitter.com/Whiski_Foxtrot", "Whiski_Foxtrot")</f>
        <v>Whiski_Foxtrot</v>
      </c>
      <c r="B25997" s="65" t="s">
        <v>10933</v>
      </c>
    </row>
    <row r="25998" spans="1:2" x14ac:dyDescent="0.25">
      <c r="A25998" s="64" t="str">
        <f>HYPERLINK("http://www.twitter.com/jfsmout", "jfsmout")</f>
        <v>jfsmout</v>
      </c>
      <c r="B25998" s="65" t="s">
        <v>11242</v>
      </c>
    </row>
    <row r="25999" spans="1:2" x14ac:dyDescent="0.25">
      <c r="A25999" s="64" t="str">
        <f>HYPERLINK("http://www.twitter.com/Scriptrix", "Scriptrix")</f>
        <v>Scriptrix</v>
      </c>
      <c r="B25999" s="65"/>
    </row>
    <row r="26000" spans="1:2" x14ac:dyDescent="0.25">
      <c r="A26000" s="64" t="str">
        <f>HYPERLINK("http://www.twitter.com/FFoundIt", "FFoundIt")</f>
        <v>FFoundIt</v>
      </c>
      <c r="B26000" s="65" t="s">
        <v>11243</v>
      </c>
    </row>
    <row r="26001" spans="1:2" x14ac:dyDescent="0.25">
      <c r="A26001" s="64" t="str">
        <f>HYPERLINK("http://www.twitter.com/katherinealee", "katherinealee")</f>
        <v>katherinealee</v>
      </c>
      <c r="B26001" s="65" t="s">
        <v>487</v>
      </c>
    </row>
    <row r="26002" spans="1:2" x14ac:dyDescent="0.25">
      <c r="A26002" s="64" t="str">
        <f>HYPERLINK("http://www.twitter.com/svendog3", "svendog3")</f>
        <v>svendog3</v>
      </c>
      <c r="B26002" s="65"/>
    </row>
    <row r="26003" spans="1:2" x14ac:dyDescent="0.25">
      <c r="A26003" s="64" t="str">
        <f>HYPERLINK("http://www.twitter.com/mjmcguire321", "mjmcguire321")</f>
        <v>mjmcguire321</v>
      </c>
      <c r="B26003" s="65" t="s">
        <v>4992</v>
      </c>
    </row>
    <row r="26004" spans="1:2" x14ac:dyDescent="0.25">
      <c r="A26004" s="64" t="str">
        <f>HYPERLINK("http://www.twitter.com/LizTellsStories", "LizTellsStories")</f>
        <v>LizTellsStories</v>
      </c>
      <c r="B26004" s="65" t="s">
        <v>11244</v>
      </c>
    </row>
    <row r="26005" spans="1:2" x14ac:dyDescent="0.25">
      <c r="A26005" s="64" t="str">
        <f>HYPERLINK("http://www.twitter.com/berniejo19", "berniejo19")</f>
        <v>berniejo19</v>
      </c>
      <c r="B26005" s="65"/>
    </row>
    <row r="26006" spans="1:2" x14ac:dyDescent="0.25">
      <c r="A26006" s="64" t="str">
        <f>HYPERLINK("http://www.twitter.com/hayleyfudgie", "hayleyfudgie")</f>
        <v>hayleyfudgie</v>
      </c>
      <c r="B26006" s="65" t="s">
        <v>5412</v>
      </c>
    </row>
    <row r="26007" spans="1:2" x14ac:dyDescent="0.25">
      <c r="A26007" s="64" t="str">
        <f>HYPERLINK("http://www.twitter.com/millycanread", "millycanread")</f>
        <v>millycanread</v>
      </c>
      <c r="B26007" s="65" t="s">
        <v>11245</v>
      </c>
    </row>
    <row r="26008" spans="1:2" x14ac:dyDescent="0.25">
      <c r="A26008" s="64" t="str">
        <f>HYPERLINK("http://www.twitter.com/Patrick_Dowling", "Patrick_Dowling")</f>
        <v>Patrick_Dowling</v>
      </c>
      <c r="B26008" s="65" t="s">
        <v>3760</v>
      </c>
    </row>
    <row r="26009" spans="1:2" x14ac:dyDescent="0.25">
      <c r="A26009" s="64" t="str">
        <f>HYPERLINK("http://www.twitter.com/lynwall", "lynwall")</f>
        <v>lynwall</v>
      </c>
      <c r="B26009" s="65" t="s">
        <v>487</v>
      </c>
    </row>
    <row r="26010" spans="1:2" x14ac:dyDescent="0.25">
      <c r="A26010" s="64" t="str">
        <f>HYPERLINK("http://www.twitter.com/ClaireSheeran_", "ClaireSheeran_")</f>
        <v>ClaireSheeran_</v>
      </c>
      <c r="B26010" s="65" t="s">
        <v>11246</v>
      </c>
    </row>
    <row r="26011" spans="1:2" x14ac:dyDescent="0.25">
      <c r="A26011" s="64" t="str">
        <f>HYPERLINK("http://www.twitter.com/half_bloodprice", "half_bloodprice")</f>
        <v>half_bloodprice</v>
      </c>
      <c r="B26011" s="65" t="s">
        <v>248</v>
      </c>
    </row>
    <row r="26012" spans="1:2" x14ac:dyDescent="0.25">
      <c r="A26012" s="64" t="str">
        <f>HYPERLINK("http://www.twitter.com/Luxspeed", "Luxspeed")</f>
        <v>Luxspeed</v>
      </c>
      <c r="B26012" s="65"/>
    </row>
    <row r="26013" spans="1:2" x14ac:dyDescent="0.25">
      <c r="A26013" s="64" t="str">
        <f>HYPERLINK("http://www.twitter.com/DrBurkstrom", "DrBurkstrom")</f>
        <v>DrBurkstrom</v>
      </c>
      <c r="B26013" s="65" t="s">
        <v>3040</v>
      </c>
    </row>
    <row r="26014" spans="1:2" x14ac:dyDescent="0.25">
      <c r="A26014" s="64" t="str">
        <f>HYPERLINK("http://www.twitter.com/JulieFlynn27", "JulieFlynn27")</f>
        <v>JulieFlynn27</v>
      </c>
      <c r="B26014" s="65" t="s">
        <v>318</v>
      </c>
    </row>
    <row r="26015" spans="1:2" x14ac:dyDescent="0.25">
      <c r="A26015" s="64" t="str">
        <f>HYPERLINK("http://www.twitter.com/estherbeadle", "estherbeadle")</f>
        <v>estherbeadle</v>
      </c>
      <c r="B26015" s="65" t="s">
        <v>11247</v>
      </c>
    </row>
    <row r="26016" spans="1:2" x14ac:dyDescent="0.25">
      <c r="A26016" s="64" t="str">
        <f>HYPERLINK("http://www.twitter.com/ElizmdhH", "ElizmdhH")</f>
        <v>ElizmdhH</v>
      </c>
      <c r="B26016" s="65"/>
    </row>
    <row r="26017" spans="1:2" x14ac:dyDescent="0.25">
      <c r="A26017" s="64" t="str">
        <f>HYPERLINK("http://www.twitter.com/bebci23", "bebci23")</f>
        <v>bebci23</v>
      </c>
      <c r="B26017" s="65" t="s">
        <v>477</v>
      </c>
    </row>
    <row r="26018" spans="1:2" x14ac:dyDescent="0.25">
      <c r="A26018" s="64" t="str">
        <f>HYPERLINK("http://www.twitter.com/SaberLibrarian", "SaberLibrarian")</f>
        <v>SaberLibrarian</v>
      </c>
      <c r="B26018" s="65" t="s">
        <v>11248</v>
      </c>
    </row>
    <row r="26019" spans="1:2" x14ac:dyDescent="0.25">
      <c r="A26019" s="64" t="str">
        <f>HYPERLINK("http://www.twitter.com/jennybdaly", "jennybdaly")</f>
        <v>jennybdaly</v>
      </c>
      <c r="B26019" s="65" t="s">
        <v>4062</v>
      </c>
    </row>
    <row r="26020" spans="1:2" x14ac:dyDescent="0.25">
      <c r="A26020" s="64" t="str">
        <f>HYPERLINK("http://www.twitter.com/brennawalks", "brennawalks")</f>
        <v>brennawalks</v>
      </c>
      <c r="B26020" s="65"/>
    </row>
    <row r="26021" spans="1:2" x14ac:dyDescent="0.25">
      <c r="A26021" s="64" t="str">
        <f>HYPERLINK("http://www.twitter.com/Jennnaaaaaaa", "Jennnaaaaaaa")</f>
        <v>Jennnaaaaaaa</v>
      </c>
      <c r="B26021" s="65" t="s">
        <v>11249</v>
      </c>
    </row>
    <row r="26022" spans="1:2" x14ac:dyDescent="0.25">
      <c r="A26022" s="64" t="str">
        <f>HYPERLINK("http://www.twitter.com/xrhonamackay", "xrhonamackay")</f>
        <v>xrhonamackay</v>
      </c>
      <c r="B26022" s="65" t="s">
        <v>4064</v>
      </c>
    </row>
    <row r="26023" spans="1:2" x14ac:dyDescent="0.25">
      <c r="A26023" s="64" t="str">
        <f>HYPERLINK("http://www.twitter.com/thelongestone", "thelongestone")</f>
        <v>thelongestone</v>
      </c>
      <c r="B26023" s="65" t="s">
        <v>11250</v>
      </c>
    </row>
    <row r="26024" spans="1:2" x14ac:dyDescent="0.25">
      <c r="A26024" s="64" t="str">
        <f>HYPERLINK("http://www.twitter.com/kristianreed", "kristianreed")</f>
        <v>kristianreed</v>
      </c>
      <c r="B26024" s="65" t="s">
        <v>11251</v>
      </c>
    </row>
    <row r="26025" spans="1:2" x14ac:dyDescent="0.25">
      <c r="A26025" s="64" t="str">
        <f>HYPERLINK("http://www.twitter.com/Northlighter", "Northlighter")</f>
        <v>Northlighter</v>
      </c>
      <c r="B26025" s="65" t="s">
        <v>138</v>
      </c>
    </row>
    <row r="26026" spans="1:2" x14ac:dyDescent="0.25">
      <c r="A26026" s="64" t="str">
        <f>HYPERLINK("http://www.twitter.com/emmahansonwhite", "emmahansonwhite")</f>
        <v>emmahansonwhite</v>
      </c>
      <c r="B26026" s="65" t="s">
        <v>4394</v>
      </c>
    </row>
    <row r="26027" spans="1:2" x14ac:dyDescent="0.25">
      <c r="A26027" s="64" t="str">
        <f>HYPERLINK("http://www.twitter.com/jrsterling", "jrsterling")</f>
        <v>jrsterling</v>
      </c>
      <c r="B26027" s="65" t="s">
        <v>11252</v>
      </c>
    </row>
    <row r="26028" spans="1:2" x14ac:dyDescent="0.25">
      <c r="A26028" s="64" t="str">
        <f>HYPERLINK("http://www.twitter.com/jadewalker", "jadewalker")</f>
        <v>jadewalker</v>
      </c>
      <c r="B26028" s="65" t="s">
        <v>7722</v>
      </c>
    </row>
    <row r="26029" spans="1:2" x14ac:dyDescent="0.25">
      <c r="A26029" s="64" t="str">
        <f>HYPERLINK("http://www.twitter.com/artdavey", "artdavey")</f>
        <v>artdavey</v>
      </c>
      <c r="B26029" s="65" t="s">
        <v>11253</v>
      </c>
    </row>
    <row r="26030" spans="1:2" x14ac:dyDescent="0.25">
      <c r="A26030" s="64" t="str">
        <f>HYPERLINK("http://www.twitter.com/MrMNightingale", "MrMNightingale")</f>
        <v>MrMNightingale</v>
      </c>
      <c r="B26030" s="65" t="s">
        <v>4394</v>
      </c>
    </row>
    <row r="26031" spans="1:2" x14ac:dyDescent="0.25">
      <c r="A26031" s="64" t="str">
        <f>HYPERLINK("http://www.twitter.com/kaeso617", "kaeso617")</f>
        <v>kaeso617</v>
      </c>
      <c r="B26031" s="65" t="s">
        <v>517</v>
      </c>
    </row>
    <row r="26032" spans="1:2" x14ac:dyDescent="0.25">
      <c r="A26032" s="64" t="str">
        <f>HYPERLINK("http://www.twitter.com/bettymunkle", "bettymunkle")</f>
        <v>bettymunkle</v>
      </c>
      <c r="B26032" s="65" t="s">
        <v>138</v>
      </c>
    </row>
    <row r="26033" spans="1:2" x14ac:dyDescent="0.25">
      <c r="A26033" s="64" t="str">
        <f>HYPERLINK("http://www.twitter.com/dmviola", "dmviola")</f>
        <v>dmviola</v>
      </c>
      <c r="B26033" s="65" t="s">
        <v>318</v>
      </c>
    </row>
    <row r="26034" spans="1:2" x14ac:dyDescent="0.25">
      <c r="A26034" s="64" t="str">
        <f>HYPERLINK("http://www.twitter.com/KarenJKHart", "KarenJKHart")</f>
        <v>KarenJKHart</v>
      </c>
      <c r="B26034" s="65" t="s">
        <v>11254</v>
      </c>
    </row>
    <row r="26035" spans="1:2" x14ac:dyDescent="0.25">
      <c r="A26035" s="64" t="str">
        <f>HYPERLINK("http://www.twitter.com/Oisoonsy", "Oisoonsy")</f>
        <v>Oisoonsy</v>
      </c>
      <c r="B26035" s="65" t="s">
        <v>9195</v>
      </c>
    </row>
    <row r="26036" spans="1:2" x14ac:dyDescent="0.25">
      <c r="A26036" s="64" t="str">
        <f>HYPERLINK("http://www.twitter.com/wawaaallen", "wawaaallen")</f>
        <v>wawaaallen</v>
      </c>
      <c r="B26036" s="65"/>
    </row>
    <row r="26037" spans="1:2" x14ac:dyDescent="0.25">
      <c r="A26037" s="64" t="str">
        <f>HYPERLINK("http://www.twitter.com/13tangodown13", "13tangodown13")</f>
        <v>13tangodown13</v>
      </c>
      <c r="B26037" s="65" t="s">
        <v>20</v>
      </c>
    </row>
    <row r="26038" spans="1:2" x14ac:dyDescent="0.25">
      <c r="A26038" s="64" t="str">
        <f>HYPERLINK("http://www.twitter.com/little_miffy", "little_miffy")</f>
        <v>little_miffy</v>
      </c>
      <c r="B26038" s="65"/>
    </row>
    <row r="26039" spans="1:2" x14ac:dyDescent="0.25">
      <c r="A26039" s="64" t="str">
        <f>HYPERLINK("http://www.twitter.com/SmartPigLoans", "SmartPigLoans")</f>
        <v>SmartPigLoans</v>
      </c>
      <c r="B26039" s="65" t="s">
        <v>110</v>
      </c>
    </row>
    <row r="26040" spans="1:2" x14ac:dyDescent="0.25">
      <c r="A26040" s="64" t="str">
        <f>HYPERLINK("http://www.twitter.com/SHarleyMills", "SHarleyMills")</f>
        <v>SHarleyMills</v>
      </c>
      <c r="B26040" s="65"/>
    </row>
    <row r="26041" spans="1:2" x14ac:dyDescent="0.25">
      <c r="A26041" s="64" t="str">
        <f>HYPERLINK("http://www.twitter.com/MMULibrary", "MMULibrary")</f>
        <v>MMULibrary</v>
      </c>
      <c r="B26041" s="65" t="s">
        <v>290</v>
      </c>
    </row>
    <row r="26042" spans="1:2" x14ac:dyDescent="0.25">
      <c r="A26042" s="64" t="str">
        <f>HYPERLINK("http://www.twitter.com/TheJT", "TheJT")</f>
        <v>TheJT</v>
      </c>
      <c r="B26042" s="65" t="s">
        <v>110</v>
      </c>
    </row>
    <row r="26043" spans="1:2" x14ac:dyDescent="0.25">
      <c r="A26043" s="64" t="str">
        <f>HYPERLINK("http://www.twitter.com/theg00dies", "theg00dies")</f>
        <v>theg00dies</v>
      </c>
      <c r="B26043" s="65"/>
    </row>
    <row r="26044" spans="1:2" x14ac:dyDescent="0.25">
      <c r="A26044" s="64" t="str">
        <f>HYPERLINK("http://www.twitter.com/Thefunkypigeon", "Thefunkypigeon")</f>
        <v>Thefunkypigeon</v>
      </c>
      <c r="B26044" s="65" t="s">
        <v>11255</v>
      </c>
    </row>
    <row r="26045" spans="1:2" x14ac:dyDescent="0.25">
      <c r="A26045" s="64" t="str">
        <f>HYPERLINK("http://www.twitter.com/Allie_lufc", "Allie_lufc")</f>
        <v>Allie_lufc</v>
      </c>
      <c r="B26045" s="65" t="s">
        <v>11256</v>
      </c>
    </row>
    <row r="26046" spans="1:2" x14ac:dyDescent="0.25">
      <c r="A26046" s="64" t="str">
        <f>HYPERLINK("http://www.twitter.com/lornaheatley", "lornaheatley")</f>
        <v>lornaheatley</v>
      </c>
      <c r="B26046" s="65" t="s">
        <v>11257</v>
      </c>
    </row>
    <row r="26047" spans="1:2" x14ac:dyDescent="0.25">
      <c r="A26047" s="64" t="str">
        <f>HYPERLINK("http://www.twitter.com/BGroundwater", "BGroundwater")</f>
        <v>BGroundwater</v>
      </c>
      <c r="B26047" s="65"/>
    </row>
    <row r="26048" spans="1:2" x14ac:dyDescent="0.25">
      <c r="A26048" s="64" t="str">
        <f>HYPERLINK("http://www.twitter.com/SamFreeth", "SamFreeth")</f>
        <v>SamFreeth</v>
      </c>
      <c r="B26048" s="65" t="s">
        <v>11258</v>
      </c>
    </row>
    <row r="26049" spans="1:2" x14ac:dyDescent="0.25">
      <c r="A26049" s="64" t="str">
        <f>HYPERLINK("http://www.twitter.com/TomButler", "TomButler")</f>
        <v>TomButler</v>
      </c>
      <c r="B26049" s="65" t="s">
        <v>11259</v>
      </c>
    </row>
    <row r="26050" spans="1:2" x14ac:dyDescent="0.25">
      <c r="A26050" s="64" t="str">
        <f>HYPERLINK("http://www.twitter.com/Barney_McCarthy", "Barney_McCarthy")</f>
        <v>Barney_McCarthy</v>
      </c>
      <c r="B26050" s="65" t="s">
        <v>11260</v>
      </c>
    </row>
    <row r="26051" spans="1:2" x14ac:dyDescent="0.25">
      <c r="A26051" s="64" t="str">
        <f>HYPERLINK("http://www.twitter.com/SarahTBird", "SarahTBird")</f>
        <v>SarahTBird</v>
      </c>
      <c r="B26051" s="65" t="s">
        <v>3559</v>
      </c>
    </row>
    <row r="26052" spans="1:2" x14ac:dyDescent="0.25">
      <c r="A26052" s="64" t="str">
        <f>HYPERLINK("http://www.twitter.com/CharSquires", "CharSquires")</f>
        <v>CharSquires</v>
      </c>
      <c r="B26052" s="65" t="s">
        <v>487</v>
      </c>
    </row>
    <row r="26053" spans="1:2" x14ac:dyDescent="0.25">
      <c r="A26053" s="64" t="str">
        <f>HYPERLINK("http://www.twitter.com/LCShops", "LCShops")</f>
        <v>LCShops</v>
      </c>
      <c r="B26053" s="65" t="s">
        <v>11261</v>
      </c>
    </row>
    <row r="26054" spans="1:2" x14ac:dyDescent="0.25">
      <c r="A26054" s="64" t="str">
        <f>HYPERLINK("http://www.twitter.com/tazzyjas", "tazzyjas")</f>
        <v>tazzyjas</v>
      </c>
      <c r="B26054" s="65"/>
    </row>
    <row r="26055" spans="1:2" x14ac:dyDescent="0.25">
      <c r="A26055" s="64" t="str">
        <f>HYPERLINK("http://www.twitter.com/GeorgiaSmith101", "GeorgiaSmith101")</f>
        <v>GeorgiaSmith101</v>
      </c>
      <c r="B26055" s="65" t="s">
        <v>36</v>
      </c>
    </row>
    <row r="26056" spans="1:2" x14ac:dyDescent="0.25">
      <c r="A26056" s="64" t="str">
        <f>HYPERLINK("http://www.twitter.com/debs_field", "debs_field")</f>
        <v>debs_field</v>
      </c>
      <c r="B26056" s="65" t="s">
        <v>11262</v>
      </c>
    </row>
    <row r="26057" spans="1:2" x14ac:dyDescent="0.25">
      <c r="A26057" s="64" t="str">
        <f>HYPERLINK("http://www.twitter.com/CamillaGreenall", "CamillaGreenall")</f>
        <v>CamillaGreenall</v>
      </c>
      <c r="B26057" s="65"/>
    </row>
    <row r="26058" spans="1:2" x14ac:dyDescent="0.25">
      <c r="A26058" s="64" t="str">
        <f>HYPERLINK("http://www.twitter.com/LosTheSkald", "LosTheSkald")</f>
        <v>LosTheSkald</v>
      </c>
      <c r="B26058" s="65" t="s">
        <v>505</v>
      </c>
    </row>
    <row r="26059" spans="1:2" x14ac:dyDescent="0.25">
      <c r="A26059" s="64" t="str">
        <f>HYPERLINK("http://www.twitter.com/rhender4", "rhender4")</f>
        <v>rhender4</v>
      </c>
      <c r="B26059" s="65" t="s">
        <v>517</v>
      </c>
    </row>
    <row r="26060" spans="1:2" x14ac:dyDescent="0.25">
      <c r="A26060" s="64" t="str">
        <f>HYPERLINK("http://www.twitter.com/harryjstewart", "harryjstewart")</f>
        <v>harryjstewart</v>
      </c>
      <c r="B26060" s="65" t="s">
        <v>61</v>
      </c>
    </row>
    <row r="26061" spans="1:2" x14ac:dyDescent="0.25">
      <c r="A26061" s="64" t="str">
        <f>HYPERLINK("http://www.twitter.com/Hannajandro", "Hannajandro")</f>
        <v>Hannajandro</v>
      </c>
      <c r="B26061" s="65" t="s">
        <v>318</v>
      </c>
    </row>
    <row r="26062" spans="1:2" x14ac:dyDescent="0.25">
      <c r="A26062" s="64" t="str">
        <f>HYPERLINK("http://www.twitter.com/lily61", "lily61")</f>
        <v>lily61</v>
      </c>
      <c r="B26062" s="65"/>
    </row>
    <row r="26063" spans="1:2" x14ac:dyDescent="0.25">
      <c r="A26063" s="64" t="str">
        <f>HYPERLINK("http://www.twitter.com/Jo_Bell", "Jo_Bell")</f>
        <v>Jo_Bell</v>
      </c>
      <c r="B26063" s="65" t="s">
        <v>11263</v>
      </c>
    </row>
    <row r="26064" spans="1:2" x14ac:dyDescent="0.25">
      <c r="A26064" s="64" t="str">
        <f>HYPERLINK("http://www.twitter.com/rarr0108", "rarr0108")</f>
        <v>rarr0108</v>
      </c>
      <c r="B26064" s="65"/>
    </row>
    <row r="26065" spans="1:2" x14ac:dyDescent="0.25">
      <c r="A26065" s="64" t="str">
        <f>HYPERLINK("http://www.twitter.com/MollyKernan", "MollyKernan")</f>
        <v>MollyKernan</v>
      </c>
      <c r="B26065" s="65"/>
    </row>
    <row r="26066" spans="1:2" x14ac:dyDescent="0.25">
      <c r="A26066" s="64" t="str">
        <f>HYPERLINK("http://www.twitter.com/mcfrosty", "mcfrosty")</f>
        <v>mcfrosty</v>
      </c>
      <c r="B26066" s="65" t="s">
        <v>4019</v>
      </c>
    </row>
    <row r="26067" spans="1:2" x14ac:dyDescent="0.25">
      <c r="A26067" s="64" t="str">
        <f>HYPERLINK("http://www.twitter.com/AdrianCla", "AdrianCla")</f>
        <v>AdrianCla</v>
      </c>
      <c r="B26067" s="65" t="s">
        <v>3988</v>
      </c>
    </row>
    <row r="26068" spans="1:2" x14ac:dyDescent="0.25">
      <c r="A26068" s="64" t="str">
        <f>HYPERLINK("http://www.twitter.com/RachelRayner", "RachelRayner")</f>
        <v>RachelRayner</v>
      </c>
      <c r="B26068" s="65" t="s">
        <v>5453</v>
      </c>
    </row>
    <row r="26069" spans="1:2" x14ac:dyDescent="0.25">
      <c r="A26069" s="64" t="str">
        <f>HYPERLINK("http://www.twitter.com/shadynade", "shadynade")</f>
        <v>shadynade</v>
      </c>
      <c r="B26069" s="65" t="s">
        <v>3317</v>
      </c>
    </row>
    <row r="26070" spans="1:2" x14ac:dyDescent="0.25">
      <c r="A26070" s="64" t="str">
        <f>HYPERLINK("http://www.twitter.com/Kiwimrsmac", "Kiwimrsmac")</f>
        <v>Kiwimrsmac</v>
      </c>
      <c r="B26070" s="65" t="s">
        <v>3816</v>
      </c>
    </row>
    <row r="26071" spans="1:2" x14ac:dyDescent="0.25">
      <c r="A26071" s="64" t="str">
        <f>HYPERLINK("http://www.twitter.com/WaterstonesTW", "WaterstonesTW")</f>
        <v>WaterstonesTW</v>
      </c>
      <c r="B26071" s="65" t="s">
        <v>5745</v>
      </c>
    </row>
    <row r="26072" spans="1:2" x14ac:dyDescent="0.25">
      <c r="A26072" s="64" t="str">
        <f>HYPERLINK("http://www.twitter.com/blumph", "blumph")</f>
        <v>blumph</v>
      </c>
      <c r="B26072" s="65"/>
    </row>
    <row r="26073" spans="1:2" x14ac:dyDescent="0.25">
      <c r="A26073" s="64" t="str">
        <f>HYPERLINK("http://www.twitter.com/PerfectOrdered", "PerfectOrdered")</f>
        <v>PerfectOrdered</v>
      </c>
      <c r="B26073" s="65" t="s">
        <v>11264</v>
      </c>
    </row>
    <row r="26074" spans="1:2" x14ac:dyDescent="0.25">
      <c r="A26074" s="64" t="str">
        <f>HYPERLINK("http://www.twitter.com/Arass_Abdullah", "Arass_Abdullah")</f>
        <v>Arass_Abdullah</v>
      </c>
      <c r="B26074" s="65" t="s">
        <v>11265</v>
      </c>
    </row>
    <row r="26075" spans="1:2" x14ac:dyDescent="0.25">
      <c r="A26075" s="64" t="str">
        <f>HYPERLINK("http://www.twitter.com/Mackthehat", "Mackthehat")</f>
        <v>Mackthehat</v>
      </c>
      <c r="B26075" s="65" t="s">
        <v>11266</v>
      </c>
    </row>
    <row r="26076" spans="1:2" x14ac:dyDescent="0.25">
      <c r="A26076" s="64" t="str">
        <f>HYPERLINK("http://www.twitter.com/MeandringLibrn", "MeandringLibrn")</f>
        <v>MeandringLibrn</v>
      </c>
      <c r="B26076" s="65" t="s">
        <v>11267</v>
      </c>
    </row>
    <row r="26077" spans="1:2" x14ac:dyDescent="0.25">
      <c r="A26077" s="64" t="str">
        <f>HYPERLINK("http://www.twitter.com/agwenmac", "agwenmac")</f>
        <v>agwenmac</v>
      </c>
      <c r="B26077" s="65" t="s">
        <v>11268</v>
      </c>
    </row>
    <row r="26078" spans="1:2" x14ac:dyDescent="0.25">
      <c r="A26078" s="64" t="str">
        <f>HYPERLINK("http://www.twitter.com/ciarahav", "ciarahav")</f>
        <v>ciarahav</v>
      </c>
      <c r="B26078" s="65" t="s">
        <v>4215</v>
      </c>
    </row>
    <row r="26079" spans="1:2" x14ac:dyDescent="0.25">
      <c r="A26079" s="64" t="str">
        <f>HYPERLINK("http://www.twitter.com/Lexi_Lexis", "Lexi_Lexis")</f>
        <v>Lexi_Lexis</v>
      </c>
      <c r="B26079" s="65" t="s">
        <v>926</v>
      </c>
    </row>
    <row r="26080" spans="1:2" x14ac:dyDescent="0.25">
      <c r="A26080" s="64" t="str">
        <f>HYPERLINK("http://www.twitter.com/Sarah_natters", "Sarah_natters")</f>
        <v>Sarah_natters</v>
      </c>
      <c r="B26080" s="65" t="s">
        <v>487</v>
      </c>
    </row>
    <row r="26081" spans="1:2" x14ac:dyDescent="0.25">
      <c r="A26081" s="64" t="str">
        <f>HYPERLINK("http://www.twitter.com/saylor_23", "saylor_23")</f>
        <v>saylor_23</v>
      </c>
      <c r="B26081" s="65"/>
    </row>
    <row r="26082" spans="1:2" x14ac:dyDescent="0.25">
      <c r="A26082" s="64" t="str">
        <f>HYPERLINK("http://www.twitter.com/heald_j", "heald_j")</f>
        <v>heald_j</v>
      </c>
      <c r="B26082" s="65"/>
    </row>
    <row r="26083" spans="1:2" x14ac:dyDescent="0.25">
      <c r="A26083" s="64" t="str">
        <f>HYPERLINK("http://www.twitter.com/SeeJayEye", "SeeJayEye")</f>
        <v>SeeJayEye</v>
      </c>
      <c r="B26083" s="65"/>
    </row>
    <row r="26084" spans="1:2" x14ac:dyDescent="0.25">
      <c r="A26084" s="64" t="str">
        <f>HYPERLINK("http://www.twitter.com/mrcottonsox", "mrcottonsox")</f>
        <v>mrcottonsox</v>
      </c>
      <c r="B26084" s="65" t="s">
        <v>296</v>
      </c>
    </row>
    <row r="26085" spans="1:2" x14ac:dyDescent="0.25">
      <c r="A26085" s="64" t="str">
        <f>HYPERLINK("http://www.twitter.com/csmramsden", "csmramsden")</f>
        <v>csmramsden</v>
      </c>
      <c r="B26085" s="65" t="s">
        <v>11269</v>
      </c>
    </row>
    <row r="26086" spans="1:2" x14ac:dyDescent="0.25">
      <c r="A26086" s="64" t="str">
        <f>HYPERLINK("http://www.twitter.com/dickerboy", "dickerboy")</f>
        <v>dickerboy</v>
      </c>
      <c r="B26086" s="65"/>
    </row>
    <row r="26087" spans="1:2" x14ac:dyDescent="0.25">
      <c r="A26087" s="64" t="str">
        <f>HYPERLINK("http://www.twitter.com/peel_acres", "peel_acres")</f>
        <v>peel_acres</v>
      </c>
      <c r="B26087" s="65" t="s">
        <v>11270</v>
      </c>
    </row>
    <row r="26088" spans="1:2" x14ac:dyDescent="0.25">
      <c r="A26088" s="64" t="str">
        <f>HYPERLINK("http://www.twitter.com/deiknuo", "deiknuo")</f>
        <v>deiknuo</v>
      </c>
      <c r="B26088" s="65" t="s">
        <v>6101</v>
      </c>
    </row>
    <row r="26089" spans="1:2" x14ac:dyDescent="0.25">
      <c r="A26089" s="64" t="str">
        <f>HYPERLINK("http://www.twitter.com/danaeshell", "danaeshell")</f>
        <v>danaeshell</v>
      </c>
      <c r="B26089" s="65"/>
    </row>
    <row r="26090" spans="1:2" x14ac:dyDescent="0.25">
      <c r="A26090" s="64" t="str">
        <f>HYPERLINK("http://www.twitter.com/benjihewlett", "benjihewlett")</f>
        <v>benjihewlett</v>
      </c>
      <c r="B26090" s="65" t="s">
        <v>11271</v>
      </c>
    </row>
    <row r="26091" spans="1:2" x14ac:dyDescent="0.25">
      <c r="A26091" s="64" t="str">
        <f>HYPERLINK("http://www.twitter.com/Rhodri_H_Davies", "Rhodri_H_Davies")</f>
        <v>Rhodri_H_Davies</v>
      </c>
      <c r="B26091" s="65" t="s">
        <v>11272</v>
      </c>
    </row>
    <row r="26092" spans="1:2" x14ac:dyDescent="0.25">
      <c r="A26092" s="64" t="str">
        <f>HYPERLINK("http://www.twitter.com/samphire", "samphire")</f>
        <v>samphire</v>
      </c>
      <c r="B26092" s="65" t="s">
        <v>3817</v>
      </c>
    </row>
    <row r="26093" spans="1:2" x14ac:dyDescent="0.25">
      <c r="A26093" s="64" t="str">
        <f>HYPERLINK("http://www.twitter.com/squiredog", "squiredog")</f>
        <v>squiredog</v>
      </c>
      <c r="B26093" s="65" t="s">
        <v>251</v>
      </c>
    </row>
    <row r="26094" spans="1:2" x14ac:dyDescent="0.25">
      <c r="A26094" s="64" t="str">
        <f>HYPERLINK("http://www.twitter.com/emilykar_", "emilykar_")</f>
        <v>emilykar_</v>
      </c>
      <c r="B26094" s="65" t="s">
        <v>11273</v>
      </c>
    </row>
    <row r="26095" spans="1:2" x14ac:dyDescent="0.25">
      <c r="A26095" s="64" t="str">
        <f>HYPERLINK("http://www.twitter.com/betsy_ghost1", "betsy_ghost1")</f>
        <v>betsy_ghost1</v>
      </c>
      <c r="B26095" s="65" t="s">
        <v>11274</v>
      </c>
    </row>
    <row r="26096" spans="1:2" x14ac:dyDescent="0.25">
      <c r="A26096" s="64" t="str">
        <f>HYPERLINK("http://www.twitter.com/BeccaOfTheMays", "BeccaOfTheMays")</f>
        <v>BeccaOfTheMays</v>
      </c>
      <c r="B26096" s="65"/>
    </row>
    <row r="26097" spans="1:2" x14ac:dyDescent="0.25">
      <c r="A26097" s="64" t="str">
        <f>HYPERLINK("http://www.twitter.com/m_d247", "m_d247")</f>
        <v>m_d247</v>
      </c>
      <c r="B26097" s="65"/>
    </row>
    <row r="26098" spans="1:2" x14ac:dyDescent="0.25">
      <c r="A26098" s="64" t="str">
        <f>HYPERLINK("http://www.twitter.com/lotfourthelakes", "lotfourthelakes")</f>
        <v>lotfourthelakes</v>
      </c>
      <c r="B26098" s="65" t="s">
        <v>4436</v>
      </c>
    </row>
    <row r="26099" spans="1:2" x14ac:dyDescent="0.25">
      <c r="A26099" s="64" t="str">
        <f>HYPERLINK("http://www.twitter.com/flritch", "flritch")</f>
        <v>flritch</v>
      </c>
      <c r="B26099" s="65"/>
    </row>
    <row r="26100" spans="1:2" x14ac:dyDescent="0.25">
      <c r="A26100" s="64" t="str">
        <f>HYPERLINK("http://www.twitter.com/alilinzee", "alilinzee")</f>
        <v>alilinzee</v>
      </c>
      <c r="B26100" s="65" t="s">
        <v>11275</v>
      </c>
    </row>
    <row r="26101" spans="1:2" x14ac:dyDescent="0.25">
      <c r="A26101" s="64" t="str">
        <f>HYPERLINK("http://www.twitter.com/sarahlsaurous", "sarahlsaurous")</f>
        <v>sarahlsaurous</v>
      </c>
      <c r="B26101" s="65" t="s">
        <v>36</v>
      </c>
    </row>
    <row r="26102" spans="1:2" x14ac:dyDescent="0.25">
      <c r="A26102" s="64" t="str">
        <f>HYPERLINK("http://www.twitter.com/AFMtoo", "AFMtoo")</f>
        <v>AFMtoo</v>
      </c>
      <c r="B26102" s="65" t="s">
        <v>11276</v>
      </c>
    </row>
    <row r="26103" spans="1:2" x14ac:dyDescent="0.25">
      <c r="A26103" s="64" t="str">
        <f>HYPERLINK("http://www.twitter.com/bumblebint", "bumblebint")</f>
        <v>bumblebint</v>
      </c>
      <c r="B26103" s="65" t="s">
        <v>296</v>
      </c>
    </row>
    <row r="26104" spans="1:2" x14ac:dyDescent="0.25">
      <c r="A26104" s="64" t="str">
        <f>HYPERLINK("http://www.twitter.com/EvilBazz", "EvilBazz")</f>
        <v>EvilBazz</v>
      </c>
      <c r="B26104" s="65" t="s">
        <v>11277</v>
      </c>
    </row>
    <row r="26105" spans="1:2" x14ac:dyDescent="0.25">
      <c r="A26105" s="64" t="str">
        <f>HYPERLINK("http://www.twitter.com/EwartElaine", "EwartElaine")</f>
        <v>EwartElaine</v>
      </c>
      <c r="B26105" s="65"/>
    </row>
    <row r="26106" spans="1:2" x14ac:dyDescent="0.25">
      <c r="A26106" s="64" t="str">
        <f>HYPERLINK("http://www.twitter.com/HarrietElkerton", "HarrietElkerton")</f>
        <v>HarrietElkerton</v>
      </c>
      <c r="B26106" s="65" t="s">
        <v>1180</v>
      </c>
    </row>
    <row r="26107" spans="1:2" x14ac:dyDescent="0.25">
      <c r="A26107" s="64" t="str">
        <f>HYPERLINK("http://www.twitter.com/holllymay", "holllymay")</f>
        <v>holllymay</v>
      </c>
      <c r="B26107" s="65"/>
    </row>
    <row r="26108" spans="1:2" x14ac:dyDescent="0.25">
      <c r="A26108" s="64" t="str">
        <f>HYPERLINK("http://www.twitter.com/kateryder_vet", "kateryder_vet")</f>
        <v>kateryder_vet</v>
      </c>
      <c r="B26108" s="65" t="s">
        <v>296</v>
      </c>
    </row>
    <row r="26109" spans="1:2" x14ac:dyDescent="0.25">
      <c r="A26109" s="64" t="str">
        <f>HYPERLINK("http://www.twitter.com/joadoc1", "joadoc1")</f>
        <v>joadoc1</v>
      </c>
      <c r="B26109" s="65"/>
    </row>
    <row r="26110" spans="1:2" x14ac:dyDescent="0.25">
      <c r="A26110" s="64" t="str">
        <f>HYPERLINK("http://www.twitter.com/BallymenaLib", "BallymenaLib")</f>
        <v>BallymenaLib</v>
      </c>
      <c r="B26110" s="65" t="s">
        <v>1498</v>
      </c>
    </row>
    <row r="26111" spans="1:2" x14ac:dyDescent="0.25">
      <c r="A26111" s="64" t="str">
        <f>HYPERLINK("http://www.twitter.com/jenken1950", "jenken1950")</f>
        <v>jenken1950</v>
      </c>
      <c r="B26111" s="65"/>
    </row>
    <row r="26112" spans="1:2" x14ac:dyDescent="0.25">
      <c r="A26112" s="64" t="str">
        <f>HYPERLINK("http://www.twitter.com/jransom", "jransom")</f>
        <v>jransom</v>
      </c>
      <c r="B26112" s="65" t="s">
        <v>4436</v>
      </c>
    </row>
    <row r="26113" spans="1:2" x14ac:dyDescent="0.25">
      <c r="A26113" s="64" t="str">
        <f>HYPERLINK("http://www.twitter.com/LinseyMac", "LinseyMac")</f>
        <v>LinseyMac</v>
      </c>
      <c r="B26113" s="65"/>
    </row>
    <row r="26114" spans="1:2" x14ac:dyDescent="0.25">
      <c r="A26114" s="64" t="str">
        <f>HYPERLINK("http://www.twitter.com/Uwaine", "Uwaine")</f>
        <v>Uwaine</v>
      </c>
      <c r="B26114" s="65" t="s">
        <v>4111</v>
      </c>
    </row>
    <row r="26115" spans="1:2" x14ac:dyDescent="0.25">
      <c r="A26115" s="64" t="str">
        <f>HYPERLINK("http://www.twitter.com/TreatMyThyroid", "TreatMyThyroid")</f>
        <v>TreatMyThyroid</v>
      </c>
      <c r="B26115" s="65" t="s">
        <v>11278</v>
      </c>
    </row>
    <row r="26116" spans="1:2" x14ac:dyDescent="0.25">
      <c r="A26116" s="64" t="str">
        <f>HYPERLINK("http://www.twitter.com/luna_schlosser", "luna_schlosser")</f>
        <v>luna_schlosser</v>
      </c>
      <c r="B26116" s="65" t="s">
        <v>4276</v>
      </c>
    </row>
    <row r="26117" spans="1:2" x14ac:dyDescent="0.25">
      <c r="A26117" s="64" t="str">
        <f>HYPERLINK("http://www.twitter.com/thirdmanuk", "thirdmanuk")</f>
        <v>thirdmanuk</v>
      </c>
      <c r="B26117" s="65"/>
    </row>
    <row r="26118" spans="1:2" x14ac:dyDescent="0.25">
      <c r="A26118" s="64" t="str">
        <f>HYPERLINK("http://www.twitter.com/relt14", "relt14")</f>
        <v>relt14</v>
      </c>
      <c r="B26118" s="65"/>
    </row>
    <row r="26119" spans="1:2" x14ac:dyDescent="0.25">
      <c r="A26119" s="64" t="str">
        <f>HYPERLINK("http://www.twitter.com/fionagorton", "fionagorton")</f>
        <v>fionagorton</v>
      </c>
      <c r="B26119" s="65"/>
    </row>
    <row r="26120" spans="1:2" x14ac:dyDescent="0.25">
      <c r="A26120" s="64" t="str">
        <f>HYPERLINK("http://www.twitter.com/Joe_throup", "Joe_throup")</f>
        <v>Joe_throup</v>
      </c>
      <c r="B26120" s="65" t="s">
        <v>526</v>
      </c>
    </row>
    <row r="26121" spans="1:2" x14ac:dyDescent="0.25">
      <c r="A26121" s="64" t="str">
        <f>HYPERLINK("http://www.twitter.com/Radlein", "Radlein")</f>
        <v>Radlein</v>
      </c>
      <c r="B26121" s="65" t="s">
        <v>4948</v>
      </c>
    </row>
    <row r="26122" spans="1:2" x14ac:dyDescent="0.25">
      <c r="A26122" s="64" t="str">
        <f>HYPERLINK("http://www.twitter.com/smlfbvr", "smlfbvr")</f>
        <v>smlfbvr</v>
      </c>
      <c r="B26122" s="65"/>
    </row>
    <row r="26123" spans="1:2" x14ac:dyDescent="0.25">
      <c r="A26123" s="64" t="str">
        <f>HYPERLINK("http://www.twitter.com/TattyHennessy", "TattyHennessy")</f>
        <v>TattyHennessy</v>
      </c>
      <c r="B26123" s="65"/>
    </row>
    <row r="26124" spans="1:2" x14ac:dyDescent="0.25">
      <c r="A26124" s="64" t="str">
        <f>HYPERLINK("http://www.twitter.com/cedwardpatt", "cedwardpatt")</f>
        <v>cedwardpatt</v>
      </c>
      <c r="B26124" s="65"/>
    </row>
    <row r="26125" spans="1:2" x14ac:dyDescent="0.25">
      <c r="A26125" s="64" t="str">
        <f>HYPERLINK("http://www.twitter.com/steve_bilgin", "steve_bilgin")</f>
        <v>steve_bilgin</v>
      </c>
      <c r="B26125" s="65"/>
    </row>
    <row r="26126" spans="1:2" x14ac:dyDescent="0.25">
      <c r="A26126" s="64" t="str">
        <f>HYPERLINK("http://www.twitter.com/Lindsaypip", "Lindsaypip")</f>
        <v>Lindsaypip</v>
      </c>
      <c r="B26126" s="65" t="s">
        <v>11279</v>
      </c>
    </row>
    <row r="26127" spans="1:2" x14ac:dyDescent="0.25">
      <c r="A26127" s="64" t="str">
        <f>HYPERLINK("http://www.twitter.com/sihawks68", "sihawks68")</f>
        <v>sihawks68</v>
      </c>
      <c r="B26127" s="65" t="s">
        <v>1490</v>
      </c>
    </row>
    <row r="26128" spans="1:2" x14ac:dyDescent="0.25">
      <c r="A26128" s="64" t="str">
        <f>HYPERLINK("http://www.twitter.com/LUBookshop", "LUBookshop")</f>
        <v>LUBookshop</v>
      </c>
      <c r="B26128" s="65"/>
    </row>
    <row r="26129" spans="1:2" x14ac:dyDescent="0.25">
      <c r="A26129" s="64" t="str">
        <f>HYPERLINK("http://www.twitter.com/CharlieMayer93", "CharlieMayer93")</f>
        <v>CharlieMayer93</v>
      </c>
      <c r="B26129" s="65" t="s">
        <v>33</v>
      </c>
    </row>
    <row r="26130" spans="1:2" x14ac:dyDescent="0.25">
      <c r="A26130" s="64" t="str">
        <f>HYPERLINK("http://www.twitter.com/manchesterlynn", "manchesterlynn")</f>
        <v>manchesterlynn</v>
      </c>
      <c r="B26130" s="65" t="s">
        <v>11280</v>
      </c>
    </row>
    <row r="26131" spans="1:2" x14ac:dyDescent="0.25">
      <c r="A26131" s="64" t="str">
        <f>HYPERLINK("http://www.twitter.com/JessiePimhill", "JessiePimhill")</f>
        <v>JessiePimhill</v>
      </c>
      <c r="B26131" s="65" t="s">
        <v>4453</v>
      </c>
    </row>
    <row r="26132" spans="1:2" x14ac:dyDescent="0.25">
      <c r="A26132" s="64" t="str">
        <f>HYPERLINK("http://www.twitter.com/lucy_129", "lucy_129")</f>
        <v>lucy_129</v>
      </c>
      <c r="B26132" s="65"/>
    </row>
    <row r="26133" spans="1:2" x14ac:dyDescent="0.25">
      <c r="A26133" s="64" t="str">
        <f>HYPERLINK("http://www.twitter.com/AuthorSJBolton", "AuthorSJBolton")</f>
        <v>AuthorSJBolton</v>
      </c>
      <c r="B26133" s="65" t="s">
        <v>1377</v>
      </c>
    </row>
    <row r="26134" spans="1:2" x14ac:dyDescent="0.25">
      <c r="A26134" s="64" t="str">
        <f>HYPERLINK("http://www.twitter.com/qodarkness", "qodarkness")</f>
        <v>qodarkness</v>
      </c>
      <c r="B26134" s="65"/>
    </row>
    <row r="26135" spans="1:2" x14ac:dyDescent="0.25">
      <c r="A26135" s="64" t="str">
        <f>HYPERLINK("http://www.twitter.com/Higher_Boy", "Higher_Boy")</f>
        <v>Higher_Boy</v>
      </c>
      <c r="B26135" s="65" t="s">
        <v>2774</v>
      </c>
    </row>
    <row r="26136" spans="1:2" x14ac:dyDescent="0.25">
      <c r="A26136" s="64" t="str">
        <f>HYPERLINK("http://www.twitter.com/zenuska", "zenuska")</f>
        <v>zenuska</v>
      </c>
      <c r="B26136" s="65" t="s">
        <v>3779</v>
      </c>
    </row>
    <row r="26137" spans="1:2" x14ac:dyDescent="0.25">
      <c r="A26137" s="64" t="str">
        <f>HYPERLINK("http://www.twitter.com/HWestie1", "HWestie1")</f>
        <v>HWestie1</v>
      </c>
      <c r="B26137" s="65" t="s">
        <v>11281</v>
      </c>
    </row>
    <row r="26138" spans="1:2" x14ac:dyDescent="0.25">
      <c r="A26138" s="64" t="str">
        <f>HYPERLINK("http://www.twitter.com/alexclymo", "alexclymo")</f>
        <v>alexclymo</v>
      </c>
      <c r="B26138" s="65" t="s">
        <v>5014</v>
      </c>
    </row>
    <row r="26139" spans="1:2" x14ac:dyDescent="0.25">
      <c r="A26139" s="64" t="str">
        <f>HYPERLINK("http://www.twitter.com/hartacus", "hartacus")</f>
        <v>hartacus</v>
      </c>
      <c r="B26139" s="65" t="s">
        <v>5501</v>
      </c>
    </row>
    <row r="26140" spans="1:2" x14ac:dyDescent="0.25">
      <c r="A26140" s="64" t="str">
        <f>HYPERLINK("http://www.twitter.com/simpsd", "simpsd")</f>
        <v>simpsd</v>
      </c>
      <c r="B26140" s="65"/>
    </row>
    <row r="26141" spans="1:2" x14ac:dyDescent="0.25">
      <c r="A26141" s="64" t="str">
        <f>HYPERLINK("http://www.twitter.com/0509jb", "0509jb")</f>
        <v>0509jb</v>
      </c>
      <c r="B26141" s="65"/>
    </row>
    <row r="26142" spans="1:2" x14ac:dyDescent="0.25">
      <c r="A26142" s="64" t="str">
        <f>HYPERLINK("http://www.twitter.com/whatmichaelsays", "whatmichaelsays")</f>
        <v>whatmichaelsays</v>
      </c>
      <c r="B26142" s="65" t="s">
        <v>180</v>
      </c>
    </row>
    <row r="26143" spans="1:2" x14ac:dyDescent="0.25">
      <c r="A26143" s="64" t="str">
        <f>HYPERLINK("http://www.twitter.com/markm94", "markm94")</f>
        <v>markm94</v>
      </c>
      <c r="B26143" s="65" t="s">
        <v>517</v>
      </c>
    </row>
    <row r="26144" spans="1:2" x14ac:dyDescent="0.25">
      <c r="A26144" s="64" t="str">
        <f>HYPERLINK("http://www.twitter.com/mrnjb45", "mrnjb45")</f>
        <v>mrnjb45</v>
      </c>
      <c r="B26144" s="65" t="s">
        <v>11282</v>
      </c>
    </row>
    <row r="26145" spans="1:2" x14ac:dyDescent="0.25">
      <c r="A26145" s="64" t="str">
        <f>HYPERLINK("http://www.twitter.com/AlisonWnz", "AlisonWnz")</f>
        <v>AlisonWnz</v>
      </c>
      <c r="B26145" s="65" t="s">
        <v>4436</v>
      </c>
    </row>
    <row r="26146" spans="1:2" x14ac:dyDescent="0.25">
      <c r="A26146" s="64" t="str">
        <f>HYPERLINK("http://www.twitter.com/Tia_24", "Tia_24")</f>
        <v>Tia_24</v>
      </c>
      <c r="B26146" s="65"/>
    </row>
    <row r="26147" spans="1:2" x14ac:dyDescent="0.25">
      <c r="A26147" s="64" t="str">
        <f>HYPERLINK("http://www.twitter.com/lizziemacisaac", "lizziemacisaac")</f>
        <v>lizziemacisaac</v>
      </c>
      <c r="B26147" s="65"/>
    </row>
    <row r="26148" spans="1:2" x14ac:dyDescent="0.25">
      <c r="A26148" s="64" t="str">
        <f>HYPERLINK("http://www.twitter.com/scslocum", "scslocum")</f>
        <v>scslocum</v>
      </c>
      <c r="B26148" s="65"/>
    </row>
    <row r="26149" spans="1:2" x14ac:dyDescent="0.25">
      <c r="A26149" s="64" t="str">
        <f>HYPERLINK("http://www.twitter.com/Amymcd1986", "Amymcd1986")</f>
        <v>Amymcd1986</v>
      </c>
      <c r="B26149" s="65"/>
    </row>
    <row r="26150" spans="1:2" x14ac:dyDescent="0.25">
      <c r="A26150" s="64" t="str">
        <f>HYPERLINK("http://www.twitter.com/therustyimp", "therustyimp")</f>
        <v>therustyimp</v>
      </c>
      <c r="B26150" s="65"/>
    </row>
    <row r="26151" spans="1:2" x14ac:dyDescent="0.25">
      <c r="A26151" s="64" t="str">
        <f>HYPERLINK("http://www.twitter.com/mrjack248", "mrjack248")</f>
        <v>mrjack248</v>
      </c>
      <c r="B26151" s="65" t="s">
        <v>11283</v>
      </c>
    </row>
    <row r="26152" spans="1:2" x14ac:dyDescent="0.25">
      <c r="A26152" s="64" t="str">
        <f>HYPERLINK("http://www.twitter.com/partickular1", "partickular1")</f>
        <v>partickular1</v>
      </c>
      <c r="B26152" s="65"/>
    </row>
    <row r="26153" spans="1:2" x14ac:dyDescent="0.25">
      <c r="A26153" s="64" t="str">
        <f>HYPERLINK("http://www.twitter.com/toomanytigers", "toomanytigers")</f>
        <v>toomanytigers</v>
      </c>
      <c r="B26153" s="65" t="s">
        <v>1873</v>
      </c>
    </row>
    <row r="26154" spans="1:2" x14ac:dyDescent="0.25">
      <c r="A26154" s="64" t="str">
        <f>HYPERLINK("http://www.twitter.com/ben_bt", "ben_bt")</f>
        <v>ben_bt</v>
      </c>
      <c r="B26154" s="65" t="s">
        <v>11284</v>
      </c>
    </row>
    <row r="26155" spans="1:2" x14ac:dyDescent="0.25">
      <c r="A26155" s="64" t="str">
        <f>HYPERLINK("http://www.twitter.com/ribbonsundone", "ribbonsundone")</f>
        <v>ribbonsundone</v>
      </c>
      <c r="B26155" s="65"/>
    </row>
    <row r="26156" spans="1:2" x14ac:dyDescent="0.25">
      <c r="A26156" s="64" t="str">
        <f>HYPERLINK("http://www.twitter.com/freeeeesha", "freeeeesha")</f>
        <v>freeeeesha</v>
      </c>
      <c r="B26156" s="65"/>
    </row>
    <row r="26157" spans="1:2" x14ac:dyDescent="0.25">
      <c r="A26157" s="64" t="str">
        <f>HYPERLINK("http://www.twitter.com/biddyboo192", "biddyboo192")</f>
        <v>biddyboo192</v>
      </c>
      <c r="B26157" s="65"/>
    </row>
    <row r="26158" spans="1:2" x14ac:dyDescent="0.25">
      <c r="A26158" s="64" t="str">
        <f>HYPERLINK("http://www.twitter.com/hurricane_ros", "hurricane_ros")</f>
        <v>hurricane_ros</v>
      </c>
      <c r="B26158" s="65" t="s">
        <v>33</v>
      </c>
    </row>
    <row r="26159" spans="1:2" x14ac:dyDescent="0.25">
      <c r="A26159" s="64" t="str">
        <f>HYPERLINK("http://www.twitter.com/DunnePaddywpd", "DunnePaddywpd")</f>
        <v>DunnePaddywpd</v>
      </c>
      <c r="B26159" s="65" t="s">
        <v>601</v>
      </c>
    </row>
    <row r="26160" spans="1:2" x14ac:dyDescent="0.25">
      <c r="A26160" s="64" t="str">
        <f>HYPERLINK("http://www.twitter.com/_Poots", "_Poots")</f>
        <v>_Poots</v>
      </c>
      <c r="B26160" s="65" t="s">
        <v>36</v>
      </c>
    </row>
    <row r="26161" spans="1:2" x14ac:dyDescent="0.25">
      <c r="A26161" s="64" t="str">
        <f>HYPERLINK("http://www.twitter.com/davemusson", "davemusson")</f>
        <v>davemusson</v>
      </c>
      <c r="B26161" s="65" t="s">
        <v>11285</v>
      </c>
    </row>
    <row r="26162" spans="1:2" x14ac:dyDescent="0.25">
      <c r="A26162" s="64" t="str">
        <f>HYPERLINK("http://www.twitter.com/elenikyr", "elenikyr")</f>
        <v>elenikyr</v>
      </c>
      <c r="B26162" s="65" t="s">
        <v>36</v>
      </c>
    </row>
    <row r="26163" spans="1:2" x14ac:dyDescent="0.25">
      <c r="A26163" s="64" t="str">
        <f>HYPERLINK("http://www.twitter.com/J_Harrington212", "J_Harrington212")</f>
        <v>J_Harrington212</v>
      </c>
      <c r="B26163" s="65" t="s">
        <v>477</v>
      </c>
    </row>
    <row r="26164" spans="1:2" x14ac:dyDescent="0.25">
      <c r="A26164" s="64" t="str">
        <f>HYPERLINK("http://www.twitter.com/kclarkviola", "kclarkviola")</f>
        <v>kclarkviola</v>
      </c>
      <c r="B26164" s="65" t="s">
        <v>36</v>
      </c>
    </row>
    <row r="26165" spans="1:2" x14ac:dyDescent="0.25">
      <c r="A26165" s="64" t="str">
        <f>HYPERLINK("http://www.twitter.com/samparkercouk", "samparkercouk")</f>
        <v>samparkercouk</v>
      </c>
      <c r="B26165" s="65" t="s">
        <v>11286</v>
      </c>
    </row>
    <row r="26166" spans="1:2" x14ac:dyDescent="0.25">
      <c r="A26166" s="64" t="str">
        <f>HYPERLINK("http://www.twitter.com/AndrewWood22", "AndrewWood22")</f>
        <v>AndrewWood22</v>
      </c>
      <c r="B26166" s="65"/>
    </row>
    <row r="26167" spans="1:2" x14ac:dyDescent="0.25">
      <c r="A26167" s="64" t="str">
        <f>HYPERLINK("http://www.twitter.com/blindheight", "blindheight")</f>
        <v>blindheight</v>
      </c>
      <c r="B26167" s="65" t="s">
        <v>11287</v>
      </c>
    </row>
    <row r="26168" spans="1:2" x14ac:dyDescent="0.25">
      <c r="A26168" s="64" t="str">
        <f>HYPERLINK("http://www.twitter.com/allysinyard", "allysinyard")</f>
        <v>allysinyard</v>
      </c>
      <c r="B26168" s="65" t="s">
        <v>36</v>
      </c>
    </row>
    <row r="26169" spans="1:2" x14ac:dyDescent="0.25">
      <c r="A26169" s="64" t="str">
        <f>HYPERLINK("http://www.twitter.com/JimNu", "JimNu")</f>
        <v>JimNu</v>
      </c>
      <c r="B26169" s="65"/>
    </row>
    <row r="26170" spans="1:2" x14ac:dyDescent="0.25">
      <c r="A26170" s="64" t="str">
        <f>HYPERLINK("http://www.twitter.com/SarahRBarr", "SarahRBarr")</f>
        <v>SarahRBarr</v>
      </c>
      <c r="B26170" s="65"/>
    </row>
    <row r="26171" spans="1:2" x14ac:dyDescent="0.25">
      <c r="A26171" s="64" t="str">
        <f>HYPERLINK("http://www.twitter.com/sheenastarbuck", "sheenastarbuck")</f>
        <v>sheenastarbuck</v>
      </c>
      <c r="B26171" s="65"/>
    </row>
    <row r="26172" spans="1:2" x14ac:dyDescent="0.25">
      <c r="A26172" s="64" t="str">
        <f>HYPERLINK("http://www.twitter.com/Anou82", "Anou82")</f>
        <v>Anou82</v>
      </c>
      <c r="B26172" s="65" t="s">
        <v>3524</v>
      </c>
    </row>
    <row r="26173" spans="1:2" x14ac:dyDescent="0.25">
      <c r="A26173" s="64" t="str">
        <f>HYPERLINK("http://www.twitter.com/wuthering_alice", "wuthering_alice")</f>
        <v>wuthering_alice</v>
      </c>
      <c r="B26173" s="65" t="s">
        <v>1980</v>
      </c>
    </row>
    <row r="26174" spans="1:2" x14ac:dyDescent="0.25">
      <c r="A26174" s="64" t="str">
        <f>HYPERLINK("http://www.twitter.com/_not_susan", "_not_susan")</f>
        <v>_not_susan</v>
      </c>
      <c r="B26174" s="65" t="s">
        <v>808</v>
      </c>
    </row>
    <row r="26175" spans="1:2" x14ac:dyDescent="0.25">
      <c r="A26175" s="64" t="str">
        <f>HYPERLINK("http://www.twitter.com/jonesy2008", "jonesy2008")</f>
        <v>jonesy2008</v>
      </c>
      <c r="B26175" s="65" t="s">
        <v>11288</v>
      </c>
    </row>
    <row r="26176" spans="1:2" x14ac:dyDescent="0.25">
      <c r="A26176" s="64" t="str">
        <f>HYPERLINK("http://www.twitter.com/hospiceninja", "hospiceninja")</f>
        <v>hospiceninja</v>
      </c>
      <c r="B26176" s="65"/>
    </row>
    <row r="26177" spans="1:2" x14ac:dyDescent="0.25">
      <c r="A26177" s="64" t="str">
        <f>HYPERLINK("http://www.twitter.com/KatMJClements", "KatMJClements")</f>
        <v>KatMJClements</v>
      </c>
      <c r="B26177" s="65" t="s">
        <v>11289</v>
      </c>
    </row>
    <row r="26178" spans="1:2" x14ac:dyDescent="0.25">
      <c r="A26178" s="64" t="str">
        <f>HYPERLINK("http://www.twitter.com/CeSalter", "CeSalter")</f>
        <v>CeSalter</v>
      </c>
      <c r="B26178" s="65" t="s">
        <v>3966</v>
      </c>
    </row>
    <row r="26179" spans="1:2" x14ac:dyDescent="0.25">
      <c r="A26179" s="64" t="str">
        <f>HYPERLINK("http://www.twitter.com/burlesqpenguin", "burlesqpenguin")</f>
        <v>burlesqpenguin</v>
      </c>
      <c r="B26179" s="65" t="s">
        <v>11290</v>
      </c>
    </row>
    <row r="26180" spans="1:2" x14ac:dyDescent="0.25">
      <c r="A26180" s="64" t="str">
        <f>HYPERLINK("http://www.twitter.com/CazSteps", "CazSteps")</f>
        <v>CazSteps</v>
      </c>
      <c r="B26180" s="65"/>
    </row>
    <row r="26181" spans="1:2" x14ac:dyDescent="0.25">
      <c r="A26181" s="64" t="str">
        <f>HYPERLINK("http://www.twitter.com/terror_aust", "terror_aust")</f>
        <v>terror_aust</v>
      </c>
      <c r="B26181" s="65" t="s">
        <v>11291</v>
      </c>
    </row>
    <row r="26182" spans="1:2" x14ac:dyDescent="0.25">
      <c r="A26182" s="64" t="str">
        <f>HYPERLINK("http://www.twitter.com/xmotorlib", "xmotorlib")</f>
        <v>xmotorlib</v>
      </c>
      <c r="B26182" s="65" t="s">
        <v>4237</v>
      </c>
    </row>
    <row r="26183" spans="1:2" x14ac:dyDescent="0.25">
      <c r="A26183" s="64" t="str">
        <f>HYPERLINK("http://www.twitter.com/jcmjcmoore", "jcmjcmoore")</f>
        <v>jcmjcmoore</v>
      </c>
      <c r="B26183" s="65"/>
    </row>
    <row r="26184" spans="1:2" x14ac:dyDescent="0.25">
      <c r="A26184" s="64" t="str">
        <f>HYPERLINK("http://www.twitter.com/Risguardi", "Risguardi")</f>
        <v>Risguardi</v>
      </c>
      <c r="B26184" s="65" t="s">
        <v>5909</v>
      </c>
    </row>
    <row r="26185" spans="1:2" x14ac:dyDescent="0.25">
      <c r="A26185" s="64" t="str">
        <f>HYPERLINK("http://www.twitter.com/LoveBooksReston", "LoveBooksReston")</f>
        <v>LoveBooksReston</v>
      </c>
      <c r="B26185" s="65" t="s">
        <v>11292</v>
      </c>
    </row>
    <row r="26186" spans="1:2" x14ac:dyDescent="0.25">
      <c r="A26186" s="64" t="str">
        <f>HYPERLINK("http://www.twitter.com/redheidbedheid", "redheidbedheid")</f>
        <v>redheidbedheid</v>
      </c>
      <c r="B26186" s="65"/>
    </row>
    <row r="26187" spans="1:2" x14ac:dyDescent="0.25">
      <c r="A26187" s="64" t="str">
        <f>HYPERLINK("http://www.twitter.com/budroitamu", "budroitamu")</f>
        <v>budroitamu</v>
      </c>
      <c r="B26187" s="65" t="s">
        <v>11293</v>
      </c>
    </row>
    <row r="26188" spans="1:2" x14ac:dyDescent="0.25">
      <c r="A26188" s="64" t="str">
        <f>HYPERLINK("http://www.twitter.com/papa75011", "papa75011")</f>
        <v>papa75011</v>
      </c>
      <c r="B26188" s="65" t="s">
        <v>11294</v>
      </c>
    </row>
    <row r="26189" spans="1:2" x14ac:dyDescent="0.25">
      <c r="A26189" s="64" t="str">
        <f>HYPERLINK("http://www.twitter.com/MattAndersonUT", "MattAndersonUT")</f>
        <v>MattAndersonUT</v>
      </c>
      <c r="B26189" s="65" t="s">
        <v>11295</v>
      </c>
    </row>
    <row r="26190" spans="1:2" x14ac:dyDescent="0.25">
      <c r="A26190" s="64" t="str">
        <f>HYPERLINK("http://www.twitter.com/craig_smither79", "craig_smither79")</f>
        <v>craig_smither79</v>
      </c>
      <c r="B26190" s="65" t="s">
        <v>5667</v>
      </c>
    </row>
    <row r="26191" spans="1:2" x14ac:dyDescent="0.25">
      <c r="A26191" s="64" t="str">
        <f>HYPERLINK("http://www.twitter.com/Taffimaistories", "Taffimaistories")</f>
        <v>Taffimaistories</v>
      </c>
      <c r="B26191" s="65" t="s">
        <v>11296</v>
      </c>
    </row>
    <row r="26192" spans="1:2" x14ac:dyDescent="0.25">
      <c r="A26192" s="64" t="str">
        <f>HYPERLINK("http://www.twitter.com/NewmarketPL", "NewmarketPL")</f>
        <v>NewmarketPL</v>
      </c>
      <c r="B26192" s="65" t="s">
        <v>11297</v>
      </c>
    </row>
    <row r="26193" spans="1:2" x14ac:dyDescent="0.25">
      <c r="A26193" s="64" t="str">
        <f>HYPERLINK("http://www.twitter.com/OUArchives", "OUArchives")</f>
        <v>OUArchives</v>
      </c>
      <c r="B26193" s="65" t="s">
        <v>11298</v>
      </c>
    </row>
    <row r="26194" spans="1:2" x14ac:dyDescent="0.25">
      <c r="A26194" s="64" t="str">
        <f>HYPERLINK("http://www.twitter.com/MissLibrarianP", "MissLibrarianP")</f>
        <v>MissLibrarianP</v>
      </c>
      <c r="B26194" s="65" t="s">
        <v>11299</v>
      </c>
    </row>
    <row r="26195" spans="1:2" x14ac:dyDescent="0.25">
      <c r="A26195" s="64" t="str">
        <f>HYPERLINK("http://www.twitter.com/LibraryLantern", "LibraryLantern")</f>
        <v>LibraryLantern</v>
      </c>
      <c r="B26195" s="65" t="s">
        <v>70</v>
      </c>
    </row>
    <row r="26196" spans="1:2" x14ac:dyDescent="0.25">
      <c r="A26196" s="64" t="str">
        <f>HYPERLINK("http://www.twitter.com/ajimdd", "ajimdd")</f>
        <v>ajimdd</v>
      </c>
      <c r="B26196" s="65" t="s">
        <v>11300</v>
      </c>
    </row>
    <row r="26197" spans="1:2" x14ac:dyDescent="0.25">
      <c r="A26197" s="64" t="str">
        <f>HYPERLINK("http://www.twitter.com/DerbyshireLibs", "DerbyshireLibs")</f>
        <v>DerbyshireLibs</v>
      </c>
      <c r="B26197" s="65"/>
    </row>
    <row r="26198" spans="1:2" x14ac:dyDescent="0.25">
      <c r="A26198" s="64" t="str">
        <f>HYPERLINK("http://www.twitter.com/YstradMynachLib", "YstradMynachLib")</f>
        <v>YstradMynachLib</v>
      </c>
      <c r="B26198" s="65" t="s">
        <v>1221</v>
      </c>
    </row>
    <row r="26199" spans="1:2" x14ac:dyDescent="0.25">
      <c r="A26199" s="64" t="str">
        <f>HYPERLINK("http://www.twitter.com/thebookseller", "thebookseller")</f>
        <v>thebookseller</v>
      </c>
      <c r="B26199" s="65" t="s">
        <v>110</v>
      </c>
    </row>
    <row r="26200" spans="1:2" x14ac:dyDescent="0.25">
      <c r="A26200" s="64" t="str">
        <f>HYPERLINK("http://www.twitter.com/pariahpress", "pariahpress")</f>
        <v>pariahpress</v>
      </c>
      <c r="B26200" s="65" t="s">
        <v>11301</v>
      </c>
    </row>
    <row r="26201" spans="1:2" x14ac:dyDescent="0.25">
      <c r="A26201" s="64" t="str">
        <f>HYPERLINK("http://www.twitter.com/mn73", "mn73")</f>
        <v>mn73</v>
      </c>
      <c r="B26201" s="65" t="s">
        <v>11302</v>
      </c>
    </row>
    <row r="26202" spans="1:2" x14ac:dyDescent="0.25">
      <c r="A26202" s="64" t="str">
        <f>HYPERLINK("http://www.twitter.com/mariwriter", "mariwriter")</f>
        <v>mariwriter</v>
      </c>
      <c r="B26202" s="65" t="s">
        <v>1328</v>
      </c>
    </row>
    <row r="26203" spans="1:2" x14ac:dyDescent="0.25">
      <c r="A26203" s="64" t="str">
        <f>HYPERLINK("http://www.twitter.com/MaddyMelrose", "MaddyMelrose")</f>
        <v>MaddyMelrose</v>
      </c>
      <c r="B26203" s="65"/>
    </row>
    <row r="26204" spans="1:2" x14ac:dyDescent="0.25">
      <c r="A26204" s="64" t="str">
        <f>HYPERLINK("http://www.twitter.com/gracejhenderson", "gracejhenderson")</f>
        <v>gracejhenderson</v>
      </c>
      <c r="B26204" s="65" t="s">
        <v>2492</v>
      </c>
    </row>
    <row r="26205" spans="1:2" x14ac:dyDescent="0.25">
      <c r="A26205" s="64" t="str">
        <f>HYPERLINK("http://www.twitter.com/wendypooh", "wendypooh")</f>
        <v>wendypooh</v>
      </c>
      <c r="B26205" s="65" t="s">
        <v>4436</v>
      </c>
    </row>
    <row r="26206" spans="1:2" x14ac:dyDescent="0.25">
      <c r="A26206" s="64" t="str">
        <f>HYPERLINK("http://www.twitter.com/Sam_Britten", "Sam_Britten")</f>
        <v>Sam_Britten</v>
      </c>
      <c r="B26206" s="65" t="s">
        <v>20</v>
      </c>
    </row>
    <row r="26207" spans="1:2" x14ac:dyDescent="0.25">
      <c r="A26207" s="64" t="str">
        <f>HYPERLINK("http://www.twitter.com/jbbmclean", "jbbmclean")</f>
        <v>jbbmclean</v>
      </c>
      <c r="B26207" s="65"/>
    </row>
    <row r="26208" spans="1:2" x14ac:dyDescent="0.25">
      <c r="A26208" s="64" t="str">
        <f>HYPERLINK("http://www.twitter.com/ChristopherGrea", "ChristopherGrea")</f>
        <v>ChristopherGrea</v>
      </c>
      <c r="B26208" s="65" t="s">
        <v>11303</v>
      </c>
    </row>
    <row r="26209" spans="1:2" x14ac:dyDescent="0.25">
      <c r="A26209" s="64" t="str">
        <f>HYPERLINK("http://www.twitter.com/ClaraAnschuber", "ClaraAnschuber")</f>
        <v>ClaraAnschuber</v>
      </c>
      <c r="B26209" s="65"/>
    </row>
    <row r="26210" spans="1:2" x14ac:dyDescent="0.25">
      <c r="A26210" s="64" t="str">
        <f>HYPERLINK("http://www.twitter.com/VenetiaNorris", "VenetiaNorris")</f>
        <v>VenetiaNorris</v>
      </c>
      <c r="B26210" s="65" t="s">
        <v>36</v>
      </c>
    </row>
    <row r="26211" spans="1:2" x14ac:dyDescent="0.25">
      <c r="A26211" s="64" t="str">
        <f>HYPERLINK("http://www.twitter.com/ekensler", "ekensler")</f>
        <v>ekensler</v>
      </c>
      <c r="B26211" s="65" t="s">
        <v>5727</v>
      </c>
    </row>
    <row r="26212" spans="1:2" x14ac:dyDescent="0.25">
      <c r="A26212" s="64" t="str">
        <f>HYPERLINK("http://www.twitter.com/orkneycomms", "orkneycomms")</f>
        <v>orkneycomms</v>
      </c>
      <c r="B26212" s="65"/>
    </row>
    <row r="26213" spans="1:2" x14ac:dyDescent="0.25">
      <c r="A26213" s="64" t="str">
        <f>HYPERLINK("http://www.twitter.com/Elite_Secretary", "Elite_Secretary")</f>
        <v>Elite_Secretary</v>
      </c>
      <c r="B26213" s="65" t="s">
        <v>11304</v>
      </c>
    </row>
    <row r="26214" spans="1:2" x14ac:dyDescent="0.25">
      <c r="A26214" s="64" t="str">
        <f>HYPERLINK("http://www.twitter.com/Knit_British", "Knit_British")</f>
        <v>Knit_British</v>
      </c>
      <c r="B26214" s="65" t="s">
        <v>24</v>
      </c>
    </row>
    <row r="26215" spans="1:2" x14ac:dyDescent="0.25">
      <c r="A26215" s="64" t="str">
        <f>HYPERLINK("http://www.twitter.com/AllieBueller", "AllieBueller")</f>
        <v>AllieBueller</v>
      </c>
      <c r="B26215" s="65" t="s">
        <v>11305</v>
      </c>
    </row>
    <row r="26216" spans="1:2" x14ac:dyDescent="0.25">
      <c r="A26216" s="64" t="str">
        <f>HYPERLINK("http://www.twitter.com/amyratc", "amyratc")</f>
        <v>amyratc</v>
      </c>
      <c r="B26216" s="65"/>
    </row>
    <row r="26217" spans="1:2" x14ac:dyDescent="0.25">
      <c r="A26217" s="64" t="str">
        <f>HYPERLINK("http://www.twitter.com/AyrshireSpeaker", "AyrshireSpeaker")</f>
        <v>AyrshireSpeaker</v>
      </c>
      <c r="B26217" s="65"/>
    </row>
    <row r="26218" spans="1:2" x14ac:dyDescent="0.25">
      <c r="A26218" s="64" t="str">
        <f>HYPERLINK("http://www.twitter.com/1107nikki", "1107nikki")</f>
        <v>1107nikki</v>
      </c>
      <c r="B26218" s="65" t="s">
        <v>3974</v>
      </c>
    </row>
    <row r="26219" spans="1:2" x14ac:dyDescent="0.25">
      <c r="A26219" s="64" t="str">
        <f>HYPERLINK("http://www.twitter.com/Keeley_Jeffs", "Keeley_Jeffs")</f>
        <v>Keeley_Jeffs</v>
      </c>
      <c r="B26219" s="65" t="s">
        <v>2131</v>
      </c>
    </row>
    <row r="26220" spans="1:2" x14ac:dyDescent="0.25">
      <c r="A26220" s="64" t="str">
        <f>HYPERLINK("http://www.twitter.com/LaurieFleming", "LaurieFleming")</f>
        <v>LaurieFleming</v>
      </c>
      <c r="B26220" s="65" t="s">
        <v>11306</v>
      </c>
    </row>
    <row r="26221" spans="1:2" x14ac:dyDescent="0.25">
      <c r="A26221" s="64" t="str">
        <f>HYPERLINK("http://www.twitter.com/ScottishYT", "ScottishYT")</f>
        <v>ScottishYT</v>
      </c>
      <c r="B26221" s="65" t="s">
        <v>4840</v>
      </c>
    </row>
    <row r="26222" spans="1:2" x14ac:dyDescent="0.25">
      <c r="A26222" s="64" t="str">
        <f>HYPERLINK("http://www.twitter.com/Si_Hart", "Si_Hart")</f>
        <v>Si_Hart</v>
      </c>
      <c r="B26222" s="65" t="s">
        <v>11307</v>
      </c>
    </row>
    <row r="26223" spans="1:2" x14ac:dyDescent="0.25">
      <c r="A26223" s="64" t="str">
        <f>HYPERLINK("http://www.twitter.com/WriterStoriesTV", "WriterStoriesTV")</f>
        <v>WriterStoriesTV</v>
      </c>
      <c r="B26223" s="65" t="s">
        <v>487</v>
      </c>
    </row>
    <row r="26224" spans="1:2" x14ac:dyDescent="0.25">
      <c r="A26224" s="64" t="str">
        <f>HYPERLINK("http://www.twitter.com/SuzanneMcLellan", "SuzanneMcLellan")</f>
        <v>SuzanneMcLellan</v>
      </c>
      <c r="B26224" s="65" t="s">
        <v>138</v>
      </c>
    </row>
    <row r="26225" spans="1:2" x14ac:dyDescent="0.25">
      <c r="A26225" s="64" t="str">
        <f>HYPERLINK("http://www.twitter.com/AyrGaiety", "AyrGaiety")</f>
        <v>AyrGaiety</v>
      </c>
      <c r="B26225" s="65" t="s">
        <v>5009</v>
      </c>
    </row>
    <row r="26226" spans="1:2" x14ac:dyDescent="0.25">
      <c r="A26226" s="64" t="str">
        <f>HYPERLINK("http://www.twitter.com/SwanshurstLib", "SwanshurstLib")</f>
        <v>SwanshurstLib</v>
      </c>
      <c r="B26226" s="65" t="s">
        <v>926</v>
      </c>
    </row>
    <row r="26227" spans="1:2" x14ac:dyDescent="0.25">
      <c r="A26227" s="64" t="str">
        <f>HYPERLINK("http://www.twitter.com/UoCInfoServ", "UoCInfoServ")</f>
        <v>UoCInfoServ</v>
      </c>
      <c r="B26227" s="65" t="s">
        <v>1679</v>
      </c>
    </row>
    <row r="26228" spans="1:2" x14ac:dyDescent="0.25">
      <c r="A26228" s="64" t="str">
        <f>HYPERLINK("http://www.twitter.com/justine_jordan", "justine_jordan")</f>
        <v>justine_jordan</v>
      </c>
      <c r="B26228" s="65" t="s">
        <v>11308</v>
      </c>
    </row>
    <row r="26229" spans="1:2" x14ac:dyDescent="0.25">
      <c r="A26229" s="64" t="str">
        <f>HYPERLINK("http://www.twitter.com/stevemyalleats", "stevemyalleats")</f>
        <v>stevemyalleats</v>
      </c>
      <c r="B26229" s="65" t="s">
        <v>7165</v>
      </c>
    </row>
    <row r="26230" spans="1:2" x14ac:dyDescent="0.25">
      <c r="A26230" s="64" t="str">
        <f>HYPERLINK("http://www.twitter.com/Workforce_Scot", "Workforce_Scot")</f>
        <v>Workforce_Scot</v>
      </c>
      <c r="B26230" s="65" t="s">
        <v>517</v>
      </c>
    </row>
    <row r="26231" spans="1:2" x14ac:dyDescent="0.25">
      <c r="A26231" s="64" t="str">
        <f>HYPERLINK("http://www.twitter.com/ianduncan765", "ianduncan765")</f>
        <v>ianduncan765</v>
      </c>
      <c r="B26231" s="65" t="s">
        <v>6003</v>
      </c>
    </row>
    <row r="26232" spans="1:2" x14ac:dyDescent="0.25">
      <c r="A26232" s="64" t="str">
        <f>HYPERLINK("http://www.twitter.com/Guardianpublic", "Guardianpublic")</f>
        <v>Guardianpublic</v>
      </c>
      <c r="B26232" s="65" t="s">
        <v>36</v>
      </c>
    </row>
    <row r="26233" spans="1:2" x14ac:dyDescent="0.25">
      <c r="A26233" s="64" t="str">
        <f>HYPERLINK("http://www.twitter.com/Rachel_Madley", "Rachel_Madley")</f>
        <v>Rachel_Madley</v>
      </c>
      <c r="B26233" s="65"/>
    </row>
    <row r="26234" spans="1:2" x14ac:dyDescent="0.25">
      <c r="A26234" s="64" t="str">
        <f>HYPERLINK("http://www.twitter.com/Jen5am", "Jen5am")</f>
        <v>Jen5am</v>
      </c>
      <c r="B26234" s="65" t="s">
        <v>24</v>
      </c>
    </row>
    <row r="26235" spans="1:2" x14ac:dyDescent="0.25">
      <c r="A26235" s="64" t="str">
        <f>HYPERLINK("http://www.twitter.com/SusaninLangside", "SusaninLangside")</f>
        <v>SusaninLangside</v>
      </c>
      <c r="B26235" s="65" t="s">
        <v>138</v>
      </c>
    </row>
    <row r="26236" spans="1:2" x14ac:dyDescent="0.25">
      <c r="A26236" s="64" t="str">
        <f>HYPERLINK("http://www.twitter.com/AmyCircleSkirt", "AmyCircleSkirt")</f>
        <v>AmyCircleSkirt</v>
      </c>
      <c r="B26236" s="65" t="s">
        <v>2951</v>
      </c>
    </row>
    <row r="26237" spans="1:2" x14ac:dyDescent="0.25">
      <c r="A26237" s="64" t="str">
        <f>HYPERLINK("http://www.twitter.com/RJCP", "RJCP")</f>
        <v>RJCP</v>
      </c>
      <c r="B26237" s="65" t="s">
        <v>11309</v>
      </c>
    </row>
    <row r="26238" spans="1:2" x14ac:dyDescent="0.25">
      <c r="A26238" s="64" t="str">
        <f>HYPERLINK("http://www.twitter.com/SwarfegaUK", "SwarfegaUK")</f>
        <v>SwarfegaUK</v>
      </c>
      <c r="B26238" s="65" t="s">
        <v>11310</v>
      </c>
    </row>
    <row r="26239" spans="1:2" x14ac:dyDescent="0.25">
      <c r="A26239" s="64" t="str">
        <f>HYPERLINK("http://www.twitter.com/philearle", "philearle")</f>
        <v>philearle</v>
      </c>
      <c r="B26239" s="65" t="s">
        <v>11311</v>
      </c>
    </row>
    <row r="26240" spans="1:2" x14ac:dyDescent="0.25">
      <c r="A26240" s="64" t="str">
        <f>HYPERLINK("http://www.twitter.com/ICTLdave", "ICTLdave")</f>
        <v>ICTLdave</v>
      </c>
      <c r="B26240" s="65" t="s">
        <v>11312</v>
      </c>
    </row>
    <row r="26241" spans="1:2" x14ac:dyDescent="0.25">
      <c r="A26241" s="64" t="str">
        <f>HYPERLINK("http://www.twitter.com/BulkAndCheap", "BulkAndCheap")</f>
        <v>BulkAndCheap</v>
      </c>
      <c r="B26241" s="65"/>
    </row>
    <row r="26242" spans="1:2" x14ac:dyDescent="0.25">
      <c r="A26242" s="64" t="str">
        <f>HYPERLINK("http://www.twitter.com/tcooper_music", "tcooper_music")</f>
        <v>tcooper_music</v>
      </c>
      <c r="B26242" s="65" t="s">
        <v>517</v>
      </c>
    </row>
    <row r="26243" spans="1:2" x14ac:dyDescent="0.25">
      <c r="A26243" s="64" t="str">
        <f>HYPERLINK("http://www.twitter.com/JenkinsRhona", "JenkinsRhona")</f>
        <v>JenkinsRhona</v>
      </c>
      <c r="B26243" s="65"/>
    </row>
    <row r="26244" spans="1:2" x14ac:dyDescent="0.25">
      <c r="A26244" s="64" t="str">
        <f>HYPERLINK("http://www.twitter.com/copytaker", "copytaker")</f>
        <v>copytaker</v>
      </c>
      <c r="B26244" s="65" t="s">
        <v>517</v>
      </c>
    </row>
    <row r="26245" spans="1:2" x14ac:dyDescent="0.25">
      <c r="A26245" s="64" t="str">
        <f>HYPERLINK("http://www.twitter.com/cat_jpg", "cat_jpg")</f>
        <v>cat_jpg</v>
      </c>
      <c r="B26245" s="65" t="s">
        <v>11313</v>
      </c>
    </row>
    <row r="26246" spans="1:2" x14ac:dyDescent="0.25">
      <c r="A26246" s="64" t="str">
        <f>HYPERLINK("http://www.twitter.com/MDovauthor", "MDovauthor")</f>
        <v>MDovauthor</v>
      </c>
      <c r="B26246" s="65"/>
    </row>
    <row r="26247" spans="1:2" x14ac:dyDescent="0.25">
      <c r="A26247" s="64" t="str">
        <f>HYPERLINK("http://www.twitter.com/iratesheep", "iratesheep")</f>
        <v>iratesheep</v>
      </c>
      <c r="B26247" s="65" t="s">
        <v>11314</v>
      </c>
    </row>
    <row r="26248" spans="1:2" x14ac:dyDescent="0.25">
      <c r="A26248" s="64" t="str">
        <f>HYPERLINK("http://www.twitter.com/bigbadwolffe", "bigbadwolffe")</f>
        <v>bigbadwolffe</v>
      </c>
      <c r="B26248" s="65" t="s">
        <v>11315</v>
      </c>
    </row>
    <row r="26249" spans="1:2" x14ac:dyDescent="0.25">
      <c r="A26249" s="64" t="str">
        <f>HYPERLINK("http://www.twitter.com/clay_jenny", "clay_jenny")</f>
        <v>clay_jenny</v>
      </c>
      <c r="B26249" s="65"/>
    </row>
    <row r="26250" spans="1:2" x14ac:dyDescent="0.25">
      <c r="A26250" s="64" t="str">
        <f>HYPERLINK("http://www.twitter.com/alzscot", "alzscot")</f>
        <v>alzscot</v>
      </c>
      <c r="B26250" s="65" t="s">
        <v>517</v>
      </c>
    </row>
    <row r="26251" spans="1:2" x14ac:dyDescent="0.25">
      <c r="A26251" s="64" t="str">
        <f>HYPERLINK("http://www.twitter.com/Literatur_Papst", "Literatur_Papst")</f>
        <v>Literatur_Papst</v>
      </c>
      <c r="B26251" s="65"/>
    </row>
    <row r="26252" spans="1:2" x14ac:dyDescent="0.25">
      <c r="A26252" s="64" t="str">
        <f>HYPERLINK("http://www.twitter.com/cwaclibraries", "cwaclibraries")</f>
        <v>cwaclibraries</v>
      </c>
      <c r="B26252" s="65"/>
    </row>
    <row r="26253" spans="1:2" x14ac:dyDescent="0.25">
      <c r="A26253" s="64" t="str">
        <f>HYPERLINK("http://www.twitter.com/EdinburghWishes", "EdinburghWishes")</f>
        <v>EdinburghWishes</v>
      </c>
      <c r="B26253" s="65" t="s">
        <v>24</v>
      </c>
    </row>
    <row r="26254" spans="1:2" x14ac:dyDescent="0.25">
      <c r="A26254" s="64" t="str">
        <f>HYPERLINK("http://www.twitter.com/Toonser", "Toonser")</f>
        <v>Toonser</v>
      </c>
      <c r="B26254" s="65"/>
    </row>
    <row r="26255" spans="1:2" x14ac:dyDescent="0.25">
      <c r="A26255" s="64" t="str">
        <f>HYPERLINK("http://www.twitter.com/Kate_wise", "Kate_wise")</f>
        <v>Kate_wise</v>
      </c>
      <c r="B26255" s="65" t="s">
        <v>11316</v>
      </c>
    </row>
    <row r="26256" spans="1:2" x14ac:dyDescent="0.25">
      <c r="A26256" s="64" t="str">
        <f>HYPERLINK("http://www.twitter.com/rachelparris", "rachelparris")</f>
        <v>rachelparris</v>
      </c>
      <c r="B26256" s="65" t="s">
        <v>36</v>
      </c>
    </row>
    <row r="26257" spans="1:2" x14ac:dyDescent="0.25">
      <c r="A26257" s="64" t="str">
        <f>HYPERLINK("http://www.twitter.com/laurenmusing", "laurenmusing")</f>
        <v>laurenmusing</v>
      </c>
      <c r="B26257" s="65" t="s">
        <v>36</v>
      </c>
    </row>
    <row r="26258" spans="1:2" x14ac:dyDescent="0.25">
      <c r="A26258" s="64" t="str">
        <f>HYPERLINK("http://www.twitter.com/cashdrago", "cashdrago")</f>
        <v>cashdrago</v>
      </c>
      <c r="B26258" s="65"/>
    </row>
    <row r="26259" spans="1:2" x14ac:dyDescent="0.25">
      <c r="A26259" s="64" t="str">
        <f>HYPERLINK("http://www.twitter.com/fionagreen229", "fionagreen229")</f>
        <v>fionagreen229</v>
      </c>
      <c r="B26259" s="65"/>
    </row>
    <row r="26260" spans="1:2" x14ac:dyDescent="0.25">
      <c r="A26260" s="64" t="str">
        <f>HYPERLINK("http://www.twitter.com/Ldh26", "Ldh26")</f>
        <v>Ldh26</v>
      </c>
      <c r="B26260" s="65" t="s">
        <v>601</v>
      </c>
    </row>
    <row r="26261" spans="1:2" x14ac:dyDescent="0.25">
      <c r="A26261" s="64" t="str">
        <f>HYPERLINK("http://www.twitter.com/sinnon7", "sinnon7")</f>
        <v>sinnon7</v>
      </c>
      <c r="B26261" s="65" t="s">
        <v>569</v>
      </c>
    </row>
    <row r="26262" spans="1:2" x14ac:dyDescent="0.25">
      <c r="A26262" s="64" t="str">
        <f>HYPERLINK("http://www.twitter.com/acTeam21", "acTeam21")</f>
        <v>acTeam21</v>
      </c>
      <c r="B26262" s="65" t="s">
        <v>296</v>
      </c>
    </row>
    <row r="26263" spans="1:2" x14ac:dyDescent="0.25">
      <c r="A26263" s="64" t="str">
        <f>HYPERLINK("http://www.twitter.com/redambition", "redambition")</f>
        <v>redambition</v>
      </c>
      <c r="B26263" s="65" t="s">
        <v>4237</v>
      </c>
    </row>
    <row r="26264" spans="1:2" x14ac:dyDescent="0.25">
      <c r="A26264" s="64" t="str">
        <f>HYPERLINK("http://www.twitter.com/projectdirt", "projectdirt")</f>
        <v>projectdirt</v>
      </c>
      <c r="B26264" s="65" t="s">
        <v>70</v>
      </c>
    </row>
    <row r="26265" spans="1:2" x14ac:dyDescent="0.25">
      <c r="A26265" s="64" t="str">
        <f>HYPERLINK("http://www.twitter.com/saralibraria", "saralibraria")</f>
        <v>saralibraria</v>
      </c>
      <c r="B26265" s="65"/>
    </row>
    <row r="26266" spans="1:2" x14ac:dyDescent="0.25">
      <c r="A26266" s="64" t="str">
        <f>HYPERLINK("http://www.twitter.com/benpartridge", "benpartridge")</f>
        <v>benpartridge</v>
      </c>
      <c r="B26266" s="65"/>
    </row>
    <row r="26267" spans="1:2" x14ac:dyDescent="0.25">
      <c r="A26267" s="64" t="str">
        <f>HYPERLINK("http://www.twitter.com/spiderlegs1982", "spiderlegs1982")</f>
        <v>spiderlegs1982</v>
      </c>
      <c r="B26267" s="65" t="s">
        <v>11317</v>
      </c>
    </row>
    <row r="26268" spans="1:2" x14ac:dyDescent="0.25">
      <c r="A26268" s="64" t="str">
        <f>HYPERLINK("http://www.twitter.com/jennyfrky", "jennyfrky")</f>
        <v>jennyfrky</v>
      </c>
      <c r="B26268" s="65" t="s">
        <v>11318</v>
      </c>
    </row>
    <row r="26269" spans="1:2" x14ac:dyDescent="0.25">
      <c r="A26269" s="64" t="str">
        <f>HYPERLINK("http://www.twitter.com/wombat1974", "wombat1974")</f>
        <v>wombat1974</v>
      </c>
      <c r="B26269" s="65" t="s">
        <v>4147</v>
      </c>
    </row>
    <row r="26270" spans="1:2" x14ac:dyDescent="0.25">
      <c r="A26270" s="64" t="str">
        <f>HYPERLINK("http://www.twitter.com/jaffne", "jaffne")</f>
        <v>jaffne</v>
      </c>
      <c r="B26270" s="65" t="s">
        <v>5007</v>
      </c>
    </row>
    <row r="26271" spans="1:2" x14ac:dyDescent="0.25">
      <c r="A26271" s="64" t="str">
        <f>HYPERLINK("http://www.twitter.com/littlecazza", "littlecazza")</f>
        <v>littlecazza</v>
      </c>
      <c r="B26271" s="65"/>
    </row>
    <row r="26272" spans="1:2" x14ac:dyDescent="0.25">
      <c r="A26272" s="64" t="str">
        <f>HYPERLINK("http://www.twitter.com/WRIRCLib", "WRIRCLib")</f>
        <v>WRIRCLib</v>
      </c>
      <c r="B26272" s="65"/>
    </row>
    <row r="26273" spans="1:2" x14ac:dyDescent="0.25">
      <c r="A26273" s="64" t="str">
        <f>HYPERLINK("http://www.twitter.com/RylandPeters", "RylandPeters")</f>
        <v>RylandPeters</v>
      </c>
      <c r="B26273" s="65" t="s">
        <v>36</v>
      </c>
    </row>
    <row r="26274" spans="1:2" x14ac:dyDescent="0.25">
      <c r="A26274" s="64" t="str">
        <f>HYPERLINK("http://www.twitter.com/MAKEetcBooks", "MAKEetcBooks")</f>
        <v>MAKEetcBooks</v>
      </c>
      <c r="B26274" s="65" t="s">
        <v>36</v>
      </c>
    </row>
    <row r="26275" spans="1:2" x14ac:dyDescent="0.25">
      <c r="A26275" s="64" t="str">
        <f>HYPERLINK("http://www.twitter.com/LetsGetCrafting", "LetsGetCrafting")</f>
        <v>LetsGetCrafting</v>
      </c>
      <c r="B26275" s="65" t="s">
        <v>122</v>
      </c>
    </row>
    <row r="26276" spans="1:2" x14ac:dyDescent="0.25">
      <c r="A26276" s="64" t="str">
        <f>HYPERLINK("http://www.twitter.com/paulsilkywhite", "paulsilkywhite")</f>
        <v>paulsilkywhite</v>
      </c>
      <c r="B26276" s="65" t="s">
        <v>11319</v>
      </c>
    </row>
    <row r="26277" spans="1:2" x14ac:dyDescent="0.25">
      <c r="A26277" s="64" t="str">
        <f>HYPERLINK("http://www.twitter.com/zephyrama", "zephyrama")</f>
        <v>zephyrama</v>
      </c>
      <c r="B26277" s="65"/>
    </row>
    <row r="26278" spans="1:2" x14ac:dyDescent="0.25">
      <c r="A26278" s="64" t="str">
        <f>HYPERLINK("http://www.twitter.com/chriswhitepoet", "chriswhitepoet")</f>
        <v>chriswhitepoet</v>
      </c>
      <c r="B26278" s="65" t="s">
        <v>6204</v>
      </c>
    </row>
    <row r="26279" spans="1:2" x14ac:dyDescent="0.25">
      <c r="A26279" s="64" t="str">
        <f>HYPERLINK("http://www.twitter.com/markdjohnstone", "markdjohnstone")</f>
        <v>markdjohnstone</v>
      </c>
      <c r="B26279" s="65" t="s">
        <v>6492</v>
      </c>
    </row>
    <row r="26280" spans="1:2" x14ac:dyDescent="0.25">
      <c r="A26280" s="64" t="str">
        <f>HYPERLINK("http://www.twitter.com/buechereiwien", "buechereiwien")</f>
        <v>buechereiwien</v>
      </c>
      <c r="B26280" s="65" t="s">
        <v>6097</v>
      </c>
    </row>
    <row r="26281" spans="1:2" x14ac:dyDescent="0.25">
      <c r="A26281" s="64" t="str">
        <f>HYPERLINK("http://www.twitter.com/aschoeke", "aschoeke")</f>
        <v>aschoeke</v>
      </c>
      <c r="B26281" s="65"/>
    </row>
    <row r="26282" spans="1:2" x14ac:dyDescent="0.25">
      <c r="A26282" s="64" t="str">
        <f>HYPERLINK("http://www.twitter.com/SmutMuppet", "SmutMuppet")</f>
        <v>SmutMuppet</v>
      </c>
      <c r="B26282" s="65" t="s">
        <v>11320</v>
      </c>
    </row>
    <row r="26283" spans="1:2" x14ac:dyDescent="0.25">
      <c r="A26283" s="64" t="str">
        <f>HYPERLINK("http://www.twitter.com/conradhc", "conradhc")</f>
        <v>conradhc</v>
      </c>
      <c r="B26283" s="65" t="s">
        <v>11321</v>
      </c>
    </row>
    <row r="26284" spans="1:2" x14ac:dyDescent="0.25">
      <c r="A26284" s="64" t="str">
        <f>HYPERLINK("http://www.twitter.com/Issy", "Issy")</f>
        <v>Issy</v>
      </c>
      <c r="B26284" s="65" t="s">
        <v>36</v>
      </c>
    </row>
    <row r="26285" spans="1:2" x14ac:dyDescent="0.25">
      <c r="A26285" s="64" t="str">
        <f>HYPERLINK("http://www.twitter.com/PressDublin", "PressDublin")</f>
        <v>PressDublin</v>
      </c>
      <c r="B26285" s="65" t="s">
        <v>4291</v>
      </c>
    </row>
    <row r="26286" spans="1:2" x14ac:dyDescent="0.25">
      <c r="A26286" s="64" t="str">
        <f>HYPERLINK("http://www.twitter.com/clairebbbear", "clairebbbear")</f>
        <v>clairebbbear</v>
      </c>
      <c r="B26286" s="65" t="s">
        <v>11322</v>
      </c>
    </row>
    <row r="26287" spans="1:2" x14ac:dyDescent="0.25">
      <c r="A26287" s="64" t="str">
        <f>HYPERLINK("http://www.twitter.com/swimmer_hoop", "swimmer_hoop")</f>
        <v>swimmer_hoop</v>
      </c>
      <c r="B26287" s="65" t="s">
        <v>10875</v>
      </c>
    </row>
    <row r="26288" spans="1:2" x14ac:dyDescent="0.25">
      <c r="A26288" s="64" t="str">
        <f>HYPERLINK("http://www.twitter.com/CatrionaMCox", "CatrionaMCox")</f>
        <v>CatrionaMCox</v>
      </c>
      <c r="B26288" s="65" t="s">
        <v>24</v>
      </c>
    </row>
    <row r="26289" spans="1:2" x14ac:dyDescent="0.25">
      <c r="A26289" s="64" t="str">
        <f>HYPERLINK("http://www.twitter.com/martmcg_", "martmcg_")</f>
        <v>martmcg_</v>
      </c>
      <c r="B26289" s="65" t="s">
        <v>110</v>
      </c>
    </row>
    <row r="26290" spans="1:2" x14ac:dyDescent="0.25">
      <c r="A26290" s="64" t="str">
        <f>HYPERLINK("http://www.twitter.com/PaulMurphyX", "PaulMurphyX")</f>
        <v>PaulMurphyX</v>
      </c>
      <c r="B26290" s="65" t="s">
        <v>11323</v>
      </c>
    </row>
    <row r="26291" spans="1:2" x14ac:dyDescent="0.25">
      <c r="A26291" s="64" t="str">
        <f>HYPERLINK("http://www.twitter.com/StAnthonysMaths", "StAnthonysMaths")</f>
        <v>StAnthonysMaths</v>
      </c>
      <c r="B26291" s="65" t="s">
        <v>11324</v>
      </c>
    </row>
    <row r="26292" spans="1:2" x14ac:dyDescent="0.25">
      <c r="A26292" s="64" t="str">
        <f>HYPERLINK("http://www.twitter.com/classicalbeat", "classicalbeat")</f>
        <v>classicalbeat</v>
      </c>
      <c r="B26292" s="65"/>
    </row>
    <row r="26293" spans="1:2" x14ac:dyDescent="0.25">
      <c r="A26293" s="64" t="str">
        <f>HYPERLINK("http://www.twitter.com/johdxb", "johdxb")</f>
        <v>johdxb</v>
      </c>
      <c r="B26293" s="65"/>
    </row>
    <row r="26294" spans="1:2" x14ac:dyDescent="0.25">
      <c r="A26294" s="64" t="str">
        <f>HYPERLINK("http://www.twitter.com/craigycarter", "craigycarter")</f>
        <v>craigycarter</v>
      </c>
      <c r="B26294" s="65" t="s">
        <v>526</v>
      </c>
    </row>
    <row r="26295" spans="1:2" x14ac:dyDescent="0.25">
      <c r="A26295" s="64" t="str">
        <f>HYPERLINK("http://www.twitter.com/pochemuchka27", "pochemuchka27")</f>
        <v>pochemuchka27</v>
      </c>
      <c r="B26295" s="65" t="s">
        <v>11325</v>
      </c>
    </row>
    <row r="26296" spans="1:2" x14ac:dyDescent="0.25">
      <c r="A26296" s="64" t="str">
        <f>HYPERLINK("http://www.twitter.com/liamcbride", "liamcbride")</f>
        <v>liamcbride</v>
      </c>
      <c r="B26296" s="65" t="s">
        <v>477</v>
      </c>
    </row>
    <row r="26297" spans="1:2" x14ac:dyDescent="0.25">
      <c r="A26297" s="64" t="str">
        <f>HYPERLINK("http://www.twitter.com/NewcastleDreams", "NewcastleDreams")</f>
        <v>NewcastleDreams</v>
      </c>
      <c r="B26297" s="65"/>
    </row>
    <row r="26298" spans="1:2" x14ac:dyDescent="0.25">
      <c r="A26298" s="64" t="str">
        <f>HYPERLINK("http://www.twitter.com/jacksrus57", "jacksrus57")</f>
        <v>jacksrus57</v>
      </c>
      <c r="B26298" s="65" t="s">
        <v>3890</v>
      </c>
    </row>
    <row r="26299" spans="1:2" x14ac:dyDescent="0.25">
      <c r="A26299" s="64" t="str">
        <f>HYPERLINK("http://www.twitter.com/chris_webmail", "chris_webmail")</f>
        <v>chris_webmail</v>
      </c>
      <c r="B26299" s="65"/>
    </row>
    <row r="26300" spans="1:2" x14ac:dyDescent="0.25">
      <c r="A26300" s="64" t="str">
        <f>HYPERLINK("http://www.twitter.com/paintingandbook", "paintingandbook")</f>
        <v>paintingandbook</v>
      </c>
      <c r="B26300" s="65" t="s">
        <v>1739</v>
      </c>
    </row>
    <row r="26301" spans="1:2" x14ac:dyDescent="0.25">
      <c r="A26301" s="64" t="str">
        <f>HYPERLINK("http://www.twitter.com/probablykaty", "probablykaty")</f>
        <v>probablykaty</v>
      </c>
      <c r="B26301" s="65"/>
    </row>
    <row r="26302" spans="1:2" x14ac:dyDescent="0.25">
      <c r="A26302" s="64" t="str">
        <f>HYPERLINK("http://www.twitter.com/jonnykickingkuh", "jonnykickingkuh")</f>
        <v>jonnykickingkuh</v>
      </c>
      <c r="B26302" s="65" t="s">
        <v>11326</v>
      </c>
    </row>
    <row r="26303" spans="1:2" x14ac:dyDescent="0.25">
      <c r="A26303" s="64" t="str">
        <f>HYPERLINK("http://www.twitter.com/OlaTomalanka", "OlaTomalanka")</f>
        <v>OlaTomalanka</v>
      </c>
      <c r="B26303" s="65" t="s">
        <v>11327</v>
      </c>
    </row>
    <row r="26304" spans="1:2" x14ac:dyDescent="0.25">
      <c r="A26304" s="64" t="str">
        <f>HYPERLINK("http://www.twitter.com/frannny74", "frannny74")</f>
        <v>frannny74</v>
      </c>
      <c r="B26304" s="65"/>
    </row>
    <row r="26305" spans="1:2" x14ac:dyDescent="0.25">
      <c r="A26305" s="64" t="str">
        <f>HYPERLINK("http://www.twitter.com/wilsonali", "wilsonali")</f>
        <v>wilsonali</v>
      </c>
      <c r="B26305" s="65"/>
    </row>
    <row r="26306" spans="1:2" x14ac:dyDescent="0.25">
      <c r="A26306" s="64" t="str">
        <f>HYPERLINK("http://www.twitter.com/DJ_JulieVee", "DJ_JulieVee")</f>
        <v>DJ_JulieVee</v>
      </c>
      <c r="B26306" s="65"/>
    </row>
    <row r="26307" spans="1:2" x14ac:dyDescent="0.25">
      <c r="A26307" s="64" t="str">
        <f>HYPERLINK("http://www.twitter.com/lynneyfer", "lynneyfer")</f>
        <v>lynneyfer</v>
      </c>
      <c r="B26307" s="65" t="s">
        <v>10343</v>
      </c>
    </row>
    <row r="26308" spans="1:2" x14ac:dyDescent="0.25">
      <c r="A26308" s="64" t="str">
        <f>HYPERLINK("http://www.twitter.com/karlquigley", "karlquigley")</f>
        <v>karlquigley</v>
      </c>
      <c r="B26308" s="65" t="s">
        <v>7304</v>
      </c>
    </row>
    <row r="26309" spans="1:2" x14ac:dyDescent="0.25">
      <c r="A26309" s="64" t="str">
        <f>HYPERLINK("http://www.twitter.com/T_J_Clark", "T_J_Clark")</f>
        <v>T_J_Clark</v>
      </c>
      <c r="B26309" s="65" t="s">
        <v>1908</v>
      </c>
    </row>
    <row r="26310" spans="1:2" x14ac:dyDescent="0.25">
      <c r="A26310" s="64" t="str">
        <f>HYPERLINK("http://www.twitter.com/BetterPlayUK", "BetterPlayUK")</f>
        <v>BetterPlayUK</v>
      </c>
      <c r="B26310" s="65"/>
    </row>
    <row r="26311" spans="1:2" x14ac:dyDescent="0.25">
      <c r="A26311" s="64" t="str">
        <f>HYPERLINK("http://www.twitter.com/glasgowken", "glasgowken")</f>
        <v>glasgowken</v>
      </c>
      <c r="B26311" s="65" t="s">
        <v>138</v>
      </c>
    </row>
    <row r="26312" spans="1:2" x14ac:dyDescent="0.25">
      <c r="A26312" s="64" t="str">
        <f>HYPERLINK("http://www.twitter.com/BettyDoops", "BettyDoops")</f>
        <v>BettyDoops</v>
      </c>
      <c r="B26312" s="65" t="s">
        <v>3650</v>
      </c>
    </row>
    <row r="26313" spans="1:2" x14ac:dyDescent="0.25">
      <c r="A26313" s="64" t="str">
        <f>HYPERLINK("http://www.twitter.com/susancupples", "susancupples")</f>
        <v>susancupples</v>
      </c>
      <c r="B26313" s="65" t="s">
        <v>3650</v>
      </c>
    </row>
    <row r="26314" spans="1:2" x14ac:dyDescent="0.25">
      <c r="A26314" s="64" t="str">
        <f>HYPERLINK("http://www.twitter.com/LoopeyDoops", "LoopeyDoops")</f>
        <v>LoopeyDoops</v>
      </c>
      <c r="B26314" s="65" t="s">
        <v>3650</v>
      </c>
    </row>
    <row r="26315" spans="1:2" x14ac:dyDescent="0.25">
      <c r="A26315" s="64" t="str">
        <f>HYPERLINK("http://www.twitter.com/RMTLearningHI", "RMTLearningHI")</f>
        <v>RMTLearningHI</v>
      </c>
      <c r="B26315" s="65" t="s">
        <v>5397</v>
      </c>
    </row>
    <row r="26316" spans="1:2" x14ac:dyDescent="0.25">
      <c r="A26316" s="64" t="str">
        <f>HYPERLINK("http://www.twitter.com/petewylie", "petewylie")</f>
        <v>petewylie</v>
      </c>
      <c r="B26316" s="65" t="s">
        <v>11328</v>
      </c>
    </row>
    <row r="26317" spans="1:2" x14ac:dyDescent="0.25">
      <c r="A26317" s="64" t="str">
        <f>HYPERLINK("http://www.twitter.com/SRDorman", "SRDorman")</f>
        <v>SRDorman</v>
      </c>
      <c r="B26317" s="65" t="s">
        <v>487</v>
      </c>
    </row>
    <row r="26318" spans="1:2" x14ac:dyDescent="0.25">
      <c r="A26318" s="64" t="str">
        <f>HYPERLINK("http://www.twitter.com/IslandsBookTrst", "IslandsBookTrst")</f>
        <v>IslandsBookTrst</v>
      </c>
      <c r="B26318" s="65" t="s">
        <v>11329</v>
      </c>
    </row>
    <row r="26319" spans="1:2" x14ac:dyDescent="0.25">
      <c r="A26319" s="64" t="str">
        <f>HYPERLINK("http://www.twitter.com/Tenbobeyes", "Tenbobeyes")</f>
        <v>Tenbobeyes</v>
      </c>
      <c r="B26319" s="65" t="s">
        <v>11330</v>
      </c>
    </row>
    <row r="26320" spans="1:2" x14ac:dyDescent="0.25">
      <c r="A26320" s="64" t="str">
        <f>HYPERLINK("http://www.twitter.com/JackieKayPoet", "JackieKayPoet")</f>
        <v>JackieKayPoet</v>
      </c>
      <c r="B26320" s="65"/>
    </row>
    <row r="26321" spans="1:2" x14ac:dyDescent="0.25">
      <c r="A26321" s="64" t="str">
        <f>HYPERLINK("http://www.twitter.com/EBRPLKids", "EBRPLKids")</f>
        <v>EBRPLKids</v>
      </c>
      <c r="B26321" s="65" t="s">
        <v>7739</v>
      </c>
    </row>
    <row r="26322" spans="1:2" x14ac:dyDescent="0.25">
      <c r="A26322" s="64" t="str">
        <f>HYPERLINK("http://www.twitter.com/walkthedust", "walkthedust")</f>
        <v>walkthedust</v>
      </c>
      <c r="B26322" s="65" t="s">
        <v>296</v>
      </c>
    </row>
    <row r="26323" spans="1:2" x14ac:dyDescent="0.25">
      <c r="A26323" s="64" t="str">
        <f>HYPERLINK("http://www.twitter.com/literaryness", "literaryness")</f>
        <v>literaryness</v>
      </c>
      <c r="B26323" s="65"/>
    </row>
    <row r="26324" spans="1:2" x14ac:dyDescent="0.25">
      <c r="A26324" s="64" t="str">
        <f>HYPERLINK("http://www.twitter.com/myrmidonbooks", "myrmidonbooks")</f>
        <v>myrmidonbooks</v>
      </c>
      <c r="B26324" s="65" t="s">
        <v>361</v>
      </c>
    </row>
    <row r="26325" spans="1:2" x14ac:dyDescent="0.25">
      <c r="A26325" s="64" t="str">
        <f>HYPERLINK("http://www.twitter.com/the_enormity", "the_enormity")</f>
        <v>the_enormity</v>
      </c>
      <c r="B26325" s="65" t="s">
        <v>1841</v>
      </c>
    </row>
    <row r="26326" spans="1:2" x14ac:dyDescent="0.25">
      <c r="A26326" s="64" t="str">
        <f>HYPERLINK("http://www.twitter.com/BeatleBecks", "BeatleBecks")</f>
        <v>BeatleBecks</v>
      </c>
      <c r="B26326" s="65"/>
    </row>
    <row r="26327" spans="1:2" x14ac:dyDescent="0.25">
      <c r="A26327" s="64" t="str">
        <f>HYPERLINK("http://www.twitter.com/alextangent", "alextangent")</f>
        <v>alextangent</v>
      </c>
      <c r="B26327" s="65" t="s">
        <v>11331</v>
      </c>
    </row>
    <row r="26328" spans="1:2" x14ac:dyDescent="0.25">
      <c r="A26328" s="64" t="str">
        <f>HYPERLINK("http://www.twitter.com/OrkneyCharTrust", "OrkneyCharTrust")</f>
        <v>OrkneyCharTrust</v>
      </c>
      <c r="B26328" s="65" t="s">
        <v>4227</v>
      </c>
    </row>
    <row r="26329" spans="1:2" x14ac:dyDescent="0.25">
      <c r="A26329" s="64" t="str">
        <f>HYPERLINK("http://www.twitter.com/zeutschelgmbh", "zeutschelgmbh")</f>
        <v>zeutschelgmbh</v>
      </c>
      <c r="B26329" s="65" t="s">
        <v>11332</v>
      </c>
    </row>
    <row r="26330" spans="1:2" x14ac:dyDescent="0.25">
      <c r="A26330" s="64" t="str">
        <f>HYPERLINK("http://www.twitter.com/LadyLavish", "LadyLavish")</f>
        <v>LadyLavish</v>
      </c>
      <c r="B26330" s="65" t="s">
        <v>11333</v>
      </c>
    </row>
    <row r="26331" spans="1:2" x14ac:dyDescent="0.25">
      <c r="A26331" s="64" t="str">
        <f>HYPERLINK("http://www.twitter.com/PGJpublishing", "PGJpublishing")</f>
        <v>PGJpublishing</v>
      </c>
      <c r="B26331" s="65" t="s">
        <v>11334</v>
      </c>
    </row>
    <row r="26332" spans="1:2" x14ac:dyDescent="0.25">
      <c r="A26332" s="64" t="str">
        <f>HYPERLINK("http://www.twitter.com/andyfallat", "andyfallat")</f>
        <v>andyfallat</v>
      </c>
      <c r="B26332" s="65" t="s">
        <v>11335</v>
      </c>
    </row>
    <row r="26333" spans="1:2" x14ac:dyDescent="0.25">
      <c r="A26333" s="64" t="str">
        <f>HYPERLINK("http://www.twitter.com/FiDiack", "FiDiack")</f>
        <v>FiDiack</v>
      </c>
      <c r="B26333" s="65" t="s">
        <v>24</v>
      </c>
    </row>
    <row r="26334" spans="1:2" x14ac:dyDescent="0.25">
      <c r="A26334" s="64" t="str">
        <f>HYPERLINK("http://www.twitter.com/TessyBritton", "TessyBritton")</f>
        <v>TessyBritton</v>
      </c>
      <c r="B26334" s="65" t="s">
        <v>11336</v>
      </c>
    </row>
    <row r="26335" spans="1:2" x14ac:dyDescent="0.25">
      <c r="A26335" s="64" t="str">
        <f>HYPERLINK("http://www.twitter.com/rufusgizmo", "rufusgizmo")</f>
        <v>rufusgizmo</v>
      </c>
      <c r="B26335" s="65" t="s">
        <v>11337</v>
      </c>
    </row>
    <row r="26336" spans="1:2" x14ac:dyDescent="0.25">
      <c r="A26336" s="64" t="str">
        <f>HYPERLINK("http://www.twitter.com/johnolongden", "johnolongden")</f>
        <v>johnolongden</v>
      </c>
      <c r="B26336" s="65"/>
    </row>
    <row r="26337" spans="1:2" x14ac:dyDescent="0.25">
      <c r="A26337" s="64" t="str">
        <f>HYPERLINK("http://www.twitter.com/ChrisHawkinsUK", "ChrisHawkinsUK")</f>
        <v>ChrisHawkinsUK</v>
      </c>
      <c r="B26337" s="65" t="s">
        <v>33</v>
      </c>
    </row>
    <row r="26338" spans="1:2" x14ac:dyDescent="0.25">
      <c r="A26338" s="64" t="str">
        <f>HYPERLINK("http://www.twitter.com/GrahamBichan", "GrahamBichan")</f>
        <v>GrahamBichan</v>
      </c>
      <c r="B26338" s="65"/>
    </row>
    <row r="26339" spans="1:2" x14ac:dyDescent="0.25">
      <c r="A26339" s="64" t="str">
        <f>HYPERLINK("http://www.twitter.com/CeciliaGstrom", "CeciliaGstrom")</f>
        <v>CeciliaGstrom</v>
      </c>
      <c r="B26339" s="65"/>
    </row>
    <row r="26340" spans="1:2" x14ac:dyDescent="0.25">
      <c r="A26340" s="64" t="str">
        <f>HYPERLINK("http://www.twitter.com/megpickard", "megpickard")</f>
        <v>megpickard</v>
      </c>
      <c r="B26340" s="65" t="s">
        <v>11338</v>
      </c>
    </row>
    <row r="26341" spans="1:2" x14ac:dyDescent="0.25">
      <c r="A26341" s="64" t="str">
        <f>HYPERLINK("http://www.twitter.com/cakeandtea101", "cakeandtea101")</f>
        <v>cakeandtea101</v>
      </c>
      <c r="B26341" s="65" t="s">
        <v>4500</v>
      </c>
    </row>
    <row r="26342" spans="1:2" x14ac:dyDescent="0.25">
      <c r="A26342" s="64" t="str">
        <f>HYPERLINK("http://www.twitter.com/SKFairley", "SKFairley")</f>
        <v>SKFairley</v>
      </c>
      <c r="B26342" s="65" t="s">
        <v>3778</v>
      </c>
    </row>
    <row r="26343" spans="1:2" x14ac:dyDescent="0.25">
      <c r="A26343" s="64" t="str">
        <f>HYPERLINK("http://www.twitter.com/AdamDay_Phoenix", "AdamDay_Phoenix")</f>
        <v>AdamDay_Phoenix</v>
      </c>
      <c r="B26343" s="65" t="s">
        <v>77</v>
      </c>
    </row>
    <row r="26344" spans="1:2" x14ac:dyDescent="0.25">
      <c r="A26344" s="64" t="str">
        <f>HYPERLINK("http://www.twitter.com/tomwheeley", "tomwheeley")</f>
        <v>tomwheeley</v>
      </c>
      <c r="B26344" s="65" t="s">
        <v>6685</v>
      </c>
    </row>
    <row r="26345" spans="1:2" x14ac:dyDescent="0.25">
      <c r="A26345" s="64" t="str">
        <f>HYPERLINK("http://www.twitter.com/seaside62", "seaside62")</f>
        <v>seaside62</v>
      </c>
      <c r="B26345" s="65" t="s">
        <v>1980</v>
      </c>
    </row>
    <row r="26346" spans="1:2" x14ac:dyDescent="0.25">
      <c r="A26346" s="64" t="str">
        <f>HYPERLINK("http://www.twitter.com/wifflebatty", "wifflebatty")</f>
        <v>wifflebatty</v>
      </c>
      <c r="B26346" s="65" t="s">
        <v>9454</v>
      </c>
    </row>
    <row r="26347" spans="1:2" x14ac:dyDescent="0.25">
      <c r="A26347" s="64" t="str">
        <f>HYPERLINK("http://www.twitter.com/madelineLsmith", "madelineLsmith")</f>
        <v>madelineLsmith</v>
      </c>
      <c r="B26347" s="65"/>
    </row>
    <row r="26348" spans="1:2" x14ac:dyDescent="0.25">
      <c r="A26348" s="64" t="str">
        <f>HYPERLINK("http://www.twitter.com/madfamily75", "madfamily75")</f>
        <v>madfamily75</v>
      </c>
      <c r="B26348" s="65" t="s">
        <v>36</v>
      </c>
    </row>
    <row r="26349" spans="1:2" x14ac:dyDescent="0.25">
      <c r="A26349" s="64" t="str">
        <f>HYPERLINK("http://www.twitter.com/glake242", "glake242")</f>
        <v>glake242</v>
      </c>
      <c r="B26349" s="65" t="s">
        <v>508</v>
      </c>
    </row>
    <row r="26350" spans="1:2" x14ac:dyDescent="0.25">
      <c r="A26350" s="64" t="str">
        <f>HYPERLINK("http://www.twitter.com/daquifsta", "daquifsta")</f>
        <v>daquifsta</v>
      </c>
      <c r="B26350" s="65" t="s">
        <v>7105</v>
      </c>
    </row>
    <row r="26351" spans="1:2" x14ac:dyDescent="0.25">
      <c r="A26351" s="64" t="str">
        <f>HYPERLINK("http://www.twitter.com/noodler73", "noodler73")</f>
        <v>noodler73</v>
      </c>
      <c r="B26351" s="65" t="s">
        <v>33</v>
      </c>
    </row>
    <row r="26352" spans="1:2" x14ac:dyDescent="0.25">
      <c r="A26352" s="64" t="str">
        <f>HYPERLINK("http://www.twitter.com/CPetitwriter", "CPetitwriter")</f>
        <v>CPetitwriter</v>
      </c>
      <c r="B26352" s="65"/>
    </row>
    <row r="26353" spans="1:2" x14ac:dyDescent="0.25">
      <c r="A26353" s="64" t="str">
        <f>HYPERLINK("http://www.twitter.com/BikesNBukes", "BikesNBukes")</f>
        <v>BikesNBukes</v>
      </c>
      <c r="B26353" s="65" t="s">
        <v>487</v>
      </c>
    </row>
    <row r="26354" spans="1:2" x14ac:dyDescent="0.25">
      <c r="A26354" s="64" t="str">
        <f>HYPERLINK("http://www.twitter.com/baibi", "baibi")</f>
        <v>baibi</v>
      </c>
      <c r="B26354" s="65" t="s">
        <v>6571</v>
      </c>
    </row>
    <row r="26355" spans="1:2" x14ac:dyDescent="0.25">
      <c r="A26355" s="64" t="str">
        <f>HYPERLINK("http://www.twitter.com/katestwirl", "katestwirl")</f>
        <v>katestwirl</v>
      </c>
      <c r="B26355" s="65" t="s">
        <v>36</v>
      </c>
    </row>
    <row r="26356" spans="1:2" x14ac:dyDescent="0.25">
      <c r="A26356" s="64" t="str">
        <f>HYPERLINK("http://www.twitter.com/Moodyarchive", "Moodyarchive")</f>
        <v>Moodyarchive</v>
      </c>
      <c r="B26356" s="65"/>
    </row>
    <row r="26357" spans="1:2" x14ac:dyDescent="0.25">
      <c r="A26357" s="64" t="str">
        <f>HYPERLINK("http://www.twitter.com/AFJM_", "AFJM_")</f>
        <v>AFJM_</v>
      </c>
      <c r="B26357" s="65"/>
    </row>
    <row r="26358" spans="1:2" x14ac:dyDescent="0.25">
      <c r="A26358" s="64" t="str">
        <f>HYPERLINK("http://www.twitter.com/elwoodcock", "elwoodcock")</f>
        <v>elwoodcock</v>
      </c>
      <c r="B26358" s="65" t="s">
        <v>7750</v>
      </c>
    </row>
    <row r="26359" spans="1:2" x14ac:dyDescent="0.25">
      <c r="A26359" s="64" t="str">
        <f>HYPERLINK("http://www.twitter.com/jasonmarkwebber", "jasonmarkwebber")</f>
        <v>jasonmarkwebber</v>
      </c>
      <c r="B26359" s="65" t="s">
        <v>36</v>
      </c>
    </row>
    <row r="26360" spans="1:2" x14ac:dyDescent="0.25">
      <c r="A26360" s="64" t="str">
        <f>HYPERLINK("http://www.twitter.com/LauraEStrang", "LauraEStrang")</f>
        <v>LauraEStrang</v>
      </c>
      <c r="B26360" s="65"/>
    </row>
    <row r="26361" spans="1:2" x14ac:dyDescent="0.25">
      <c r="A26361" s="64" t="str">
        <f>HYPERLINK("http://www.twitter.com/littledoorbooks", "littledoorbooks")</f>
        <v>littledoorbooks</v>
      </c>
      <c r="B26361" s="65" t="s">
        <v>11339</v>
      </c>
    </row>
    <row r="26362" spans="1:2" x14ac:dyDescent="0.25">
      <c r="A26362" s="64" t="str">
        <f>HYPERLINK("http://www.twitter.com/pbrycewylie14", "pbrycewylie14")</f>
        <v>pbrycewylie14</v>
      </c>
      <c r="B26362" s="65"/>
    </row>
    <row r="26363" spans="1:2" x14ac:dyDescent="0.25">
      <c r="A26363" s="64" t="str">
        <f>HYPERLINK("http://www.twitter.com/RonaAStephen", "RonaAStephen")</f>
        <v>RonaAStephen</v>
      </c>
      <c r="B26363" s="65"/>
    </row>
    <row r="26364" spans="1:2" x14ac:dyDescent="0.25">
      <c r="A26364" s="64" t="str">
        <f>HYPERLINK("http://www.twitter.com/libraryjoy4", "libraryjoy4")</f>
        <v>libraryjoy4</v>
      </c>
      <c r="B26364" s="65" t="s">
        <v>569</v>
      </c>
    </row>
    <row r="26365" spans="1:2" x14ac:dyDescent="0.25">
      <c r="A26365" s="64" t="str">
        <f>HYPERLINK("http://www.twitter.com/OldhamLibraries", "OldhamLibraries")</f>
        <v>OldhamLibraries</v>
      </c>
      <c r="B26365" s="65" t="s">
        <v>633</v>
      </c>
    </row>
    <row r="26366" spans="1:2" x14ac:dyDescent="0.25">
      <c r="A26366" s="64" t="str">
        <f>HYPERLINK("http://www.twitter.com/Linda_M_A", "Linda_M_A")</f>
        <v>Linda_M_A</v>
      </c>
      <c r="B26366" s="65"/>
    </row>
    <row r="26367" spans="1:2" x14ac:dyDescent="0.25">
      <c r="A26367" s="64" t="str">
        <f>HYPERLINK("http://www.twitter.com/Lozzab64", "Lozzab64")</f>
        <v>Lozzab64</v>
      </c>
      <c r="B26367" s="65"/>
    </row>
    <row r="26368" spans="1:2" x14ac:dyDescent="0.25">
      <c r="A26368" s="64" t="str">
        <f>HYPERLINK("http://www.twitter.com/UoCCareers", "UoCCareers")</f>
        <v>UoCCareers</v>
      </c>
      <c r="B26368" s="65" t="s">
        <v>5436</v>
      </c>
    </row>
    <row r="26369" spans="1:2" x14ac:dyDescent="0.25">
      <c r="A26369" s="64" t="str">
        <f>HYPERLINK("http://www.twitter.com/harriet852", "harriet852")</f>
        <v>harriet852</v>
      </c>
      <c r="B26369" s="65" t="s">
        <v>477</v>
      </c>
    </row>
    <row r="26370" spans="1:2" x14ac:dyDescent="0.25">
      <c r="A26370" s="64" t="str">
        <f>HYPERLINK("http://www.twitter.com/mythwoodbooks", "mythwoodbooks")</f>
        <v>mythwoodbooks</v>
      </c>
      <c r="B26370" s="65" t="s">
        <v>12</v>
      </c>
    </row>
    <row r="26371" spans="1:2" x14ac:dyDescent="0.25">
      <c r="A26371" s="64" t="str">
        <f>HYPERLINK("http://www.twitter.com/litlifestories", "litlifestories")</f>
        <v>litlifestories</v>
      </c>
      <c r="B26371" s="65" t="s">
        <v>36</v>
      </c>
    </row>
    <row r="26372" spans="1:2" x14ac:dyDescent="0.25">
      <c r="A26372" s="64" t="str">
        <f>HYPERLINK("http://www.twitter.com/ldu_middlesex", "ldu_middlesex")</f>
        <v>ldu_middlesex</v>
      </c>
      <c r="B26372" s="65" t="s">
        <v>36</v>
      </c>
    </row>
    <row r="26373" spans="1:2" x14ac:dyDescent="0.25">
      <c r="A26373" s="64" t="str">
        <f>HYPERLINK("http://www.twitter.com/TVFolk", "TVFolk")</f>
        <v>TVFolk</v>
      </c>
      <c r="B26373" s="65" t="s">
        <v>296</v>
      </c>
    </row>
    <row r="26374" spans="1:2" x14ac:dyDescent="0.25">
      <c r="A26374" s="64" t="str">
        <f>HYPERLINK("http://www.twitter.com/OrkneyTech", "OrkneyTech")</f>
        <v>OrkneyTech</v>
      </c>
      <c r="B26374" s="65" t="s">
        <v>4227</v>
      </c>
    </row>
    <row r="26375" spans="1:2" x14ac:dyDescent="0.25">
      <c r="A26375" s="64" t="str">
        <f>HYPERLINK("http://www.twitter.com/anharaliali", "anharaliali")</f>
        <v>anharaliali</v>
      </c>
      <c r="B26375" s="65"/>
    </row>
    <row r="26376" spans="1:2" x14ac:dyDescent="0.25">
      <c r="A26376" s="64" t="str">
        <f>HYPERLINK("http://www.twitter.com/writermels", "writermels")</f>
        <v>writermels</v>
      </c>
      <c r="B26376" s="65" t="s">
        <v>1325</v>
      </c>
    </row>
    <row r="26377" spans="1:2" x14ac:dyDescent="0.25">
      <c r="A26377" s="64" t="str">
        <f>HYPERLINK("http://www.twitter.com/pugsween", "pugsween")</f>
        <v>pugsween</v>
      </c>
      <c r="B26377" s="65" t="s">
        <v>11340</v>
      </c>
    </row>
    <row r="26378" spans="1:2" x14ac:dyDescent="0.25">
      <c r="A26378" s="64" t="str">
        <f>HYPERLINK("http://www.twitter.com/MKosteruk", "MKosteruk")</f>
        <v>MKosteruk</v>
      </c>
      <c r="B26378" s="65" t="s">
        <v>20</v>
      </c>
    </row>
    <row r="26379" spans="1:2" x14ac:dyDescent="0.25">
      <c r="A26379" s="64" t="str">
        <f>HYPERLINK("http://www.twitter.com/amymckay14", "amymckay14")</f>
        <v>amymckay14</v>
      </c>
      <c r="B26379" s="65"/>
    </row>
    <row r="26380" spans="1:2" x14ac:dyDescent="0.25">
      <c r="A26380" s="64" t="str">
        <f>HYPERLINK("http://www.twitter.com/kamokyla", "kamokyla")</f>
        <v>kamokyla</v>
      </c>
      <c r="B26380" s="65" t="s">
        <v>808</v>
      </c>
    </row>
    <row r="26381" spans="1:2" x14ac:dyDescent="0.25">
      <c r="A26381" s="64" t="str">
        <f>HYPERLINK("http://www.twitter.com/stockwell_deano", "stockwell_deano")</f>
        <v>stockwell_deano</v>
      </c>
      <c r="B26381" s="65" t="s">
        <v>11341</v>
      </c>
    </row>
    <row r="26382" spans="1:2" x14ac:dyDescent="0.25">
      <c r="A26382" s="64" t="str">
        <f>HYPERLINK("http://www.twitter.com/MarionMacInnes", "MarionMacInnes")</f>
        <v>MarionMacInnes</v>
      </c>
      <c r="B26382" s="65" t="s">
        <v>5006</v>
      </c>
    </row>
    <row r="26383" spans="1:2" x14ac:dyDescent="0.25">
      <c r="A26383" s="64" t="str">
        <f>HYPERLINK("http://www.twitter.com/EmilysLibrary", "EmilysLibrary")</f>
        <v>EmilysLibrary</v>
      </c>
      <c r="B26383" s="65"/>
    </row>
    <row r="26384" spans="1:2" x14ac:dyDescent="0.25">
      <c r="A26384" s="64" t="str">
        <f>HYPERLINK("http://www.twitter.com/elafrula", "elafrula")</f>
        <v>elafrula</v>
      </c>
      <c r="B26384" s="65" t="s">
        <v>11342</v>
      </c>
    </row>
    <row r="26385" spans="1:2" x14ac:dyDescent="0.25">
      <c r="A26385" s="64" t="str">
        <f>HYPERLINK("http://www.twitter.com/BrianNorquay", "BrianNorquay")</f>
        <v>BrianNorquay</v>
      </c>
      <c r="B26385" s="65"/>
    </row>
    <row r="26386" spans="1:2" x14ac:dyDescent="0.25">
      <c r="A26386" s="64" t="str">
        <f>HYPERLINK("http://www.twitter.com/andreruiter", "andreruiter")</f>
        <v>andreruiter</v>
      </c>
      <c r="B26386" s="65" t="s">
        <v>11343</v>
      </c>
    </row>
    <row r="26387" spans="1:2" x14ac:dyDescent="0.25">
      <c r="A26387" s="64" t="str">
        <f>HYPERLINK("http://www.twitter.com/SecretBeck", "SecretBeck")</f>
        <v>SecretBeck</v>
      </c>
      <c r="B26387" s="65" t="s">
        <v>11344</v>
      </c>
    </row>
    <row r="26388" spans="1:2" x14ac:dyDescent="0.25">
      <c r="A26388" s="64" t="str">
        <f>HYPERLINK("http://www.twitter.com/glassplanetarts", "glassplanetarts")</f>
        <v>glassplanetarts</v>
      </c>
      <c r="B26388" s="65" t="s">
        <v>24</v>
      </c>
    </row>
    <row r="26389" spans="1:2" x14ac:dyDescent="0.25">
      <c r="A26389" s="64" t="str">
        <f>HYPERLINK("http://www.twitter.com/BrodinKat", "BrodinKat")</f>
        <v>BrodinKat</v>
      </c>
      <c r="B26389" s="65" t="s">
        <v>138</v>
      </c>
    </row>
    <row r="26390" spans="1:2" x14ac:dyDescent="0.25">
      <c r="A26390" s="64" t="str">
        <f>HYPERLINK("http://www.twitter.com/moira_young", "moira_young")</f>
        <v>moira_young</v>
      </c>
      <c r="B26390" s="65" t="s">
        <v>296</v>
      </c>
    </row>
    <row r="26391" spans="1:2" x14ac:dyDescent="0.25">
      <c r="A26391" s="64" t="str">
        <f>HYPERLINK("http://www.twitter.com/robbieguillory", "robbieguillory")</f>
        <v>robbieguillory</v>
      </c>
      <c r="B26391" s="65"/>
    </row>
    <row r="26392" spans="1:2" x14ac:dyDescent="0.25">
      <c r="A26392" s="64" t="str">
        <f>HYPERLINK("http://www.twitter.com/eastnewscam", "eastnewscam")</f>
        <v>eastnewscam</v>
      </c>
      <c r="B26392" s="65" t="s">
        <v>4324</v>
      </c>
    </row>
    <row r="26393" spans="1:2" x14ac:dyDescent="0.25">
      <c r="A26393" s="64" t="str">
        <f>HYPERLINK("http://www.twitter.com/Finn_Mackay", "Finn_Mackay")</f>
        <v>Finn_Mackay</v>
      </c>
      <c r="B26393" s="65" t="s">
        <v>1295</v>
      </c>
    </row>
    <row r="26394" spans="1:2" x14ac:dyDescent="0.25">
      <c r="A26394" s="64" t="str">
        <f>HYPERLINK("http://www.twitter.com/pahuntly", "pahuntly")</f>
        <v>pahuntly</v>
      </c>
      <c r="B26394" s="65" t="s">
        <v>6171</v>
      </c>
    </row>
    <row r="26395" spans="1:2" x14ac:dyDescent="0.25">
      <c r="A26395" s="64" t="str">
        <f>HYPERLINK("http://www.twitter.com/BestShetland", "BestShetland")</f>
        <v>BestShetland</v>
      </c>
      <c r="B26395" s="65" t="s">
        <v>115</v>
      </c>
    </row>
    <row r="26396" spans="1:2" x14ac:dyDescent="0.25">
      <c r="A26396" s="64" t="str">
        <f>HYPERLINK("http://www.twitter.com/TayeDiggs", "TayeDiggs")</f>
        <v>TayeDiggs</v>
      </c>
      <c r="B26396" s="65" t="s">
        <v>4193</v>
      </c>
    </row>
    <row r="26397" spans="1:2" x14ac:dyDescent="0.25">
      <c r="A26397" s="64" t="str">
        <f>HYPERLINK("http://www.twitter.com/OneNightStanzas", "OneNightStanzas")</f>
        <v>OneNightStanzas</v>
      </c>
      <c r="B26397" s="65" t="s">
        <v>24</v>
      </c>
    </row>
    <row r="26398" spans="1:2" x14ac:dyDescent="0.25">
      <c r="A26398" s="64" t="str">
        <f>HYPERLINK("http://www.twitter.com/hannyschlammy", "hannyschlammy")</f>
        <v>hannyschlammy</v>
      </c>
      <c r="B26398" s="65" t="s">
        <v>24</v>
      </c>
    </row>
    <row r="26399" spans="1:2" x14ac:dyDescent="0.25">
      <c r="A26399" s="64" t="str">
        <f>HYPERLINK("http://www.twitter.com/sacrevert", "sacrevert")</f>
        <v>sacrevert</v>
      </c>
      <c r="B26399" s="65" t="s">
        <v>11345</v>
      </c>
    </row>
    <row r="26400" spans="1:2" x14ac:dyDescent="0.25">
      <c r="A26400" s="64" t="str">
        <f>HYPERLINK("http://www.twitter.com/Jan16893479", "Jan16893479")</f>
        <v>Jan16893479</v>
      </c>
      <c r="B26400" s="65" t="s">
        <v>5027</v>
      </c>
    </row>
    <row r="26401" spans="1:2" x14ac:dyDescent="0.25">
      <c r="A26401" s="64" t="str">
        <f>HYPERLINK("http://www.twitter.com/HelIKnit", "HelIKnit")</f>
        <v>HelIKnit</v>
      </c>
      <c r="B26401" s="65"/>
    </row>
    <row r="26402" spans="1:2" x14ac:dyDescent="0.25">
      <c r="A26402" s="64" t="str">
        <f>HYPERLINK("http://www.twitter.com/cockburnlibrary", "cockburnlibrary")</f>
        <v>cockburnlibrary</v>
      </c>
      <c r="B26402" s="65" t="s">
        <v>4129</v>
      </c>
    </row>
    <row r="26403" spans="1:2" x14ac:dyDescent="0.25">
      <c r="A26403" s="64" t="str">
        <f>HYPERLINK("http://www.twitter.com/Hellybootwader", "Hellybootwader")</f>
        <v>Hellybootwader</v>
      </c>
      <c r="B26403" s="65"/>
    </row>
    <row r="26404" spans="1:2" x14ac:dyDescent="0.25">
      <c r="A26404" s="64" t="str">
        <f>HYPERLINK("http://www.twitter.com/julie_mackin", "julie_mackin")</f>
        <v>julie_mackin</v>
      </c>
      <c r="B26404" s="65"/>
    </row>
    <row r="26405" spans="1:2" x14ac:dyDescent="0.25">
      <c r="A26405" s="64" t="str">
        <f>HYPERLINK("http://www.twitter.com/JulesArch", "JulesArch")</f>
        <v>JulesArch</v>
      </c>
      <c r="B26405" s="65"/>
    </row>
    <row r="26406" spans="1:2" x14ac:dyDescent="0.25">
      <c r="A26406" s="64" t="str">
        <f>HYPERLINK("http://www.twitter.com/TeesUniLib", "TeesUniLib")</f>
        <v>TeesUniLib</v>
      </c>
      <c r="B26406" s="65" t="s">
        <v>364</v>
      </c>
    </row>
    <row r="26407" spans="1:2" x14ac:dyDescent="0.25">
      <c r="A26407" s="64" t="str">
        <f>HYPERLINK("http://www.twitter.com/kevin_addies", "kevin_addies")</f>
        <v>kevin_addies</v>
      </c>
      <c r="B26407" s="65" t="s">
        <v>4215</v>
      </c>
    </row>
    <row r="26408" spans="1:2" x14ac:dyDescent="0.25">
      <c r="A26408" s="64" t="str">
        <f>HYPERLINK("http://www.twitter.com/sfo0708", "sfo0708")</f>
        <v>sfo0708</v>
      </c>
      <c r="B26408" s="65"/>
    </row>
    <row r="26409" spans="1:2" x14ac:dyDescent="0.25">
      <c r="A26409" s="64" t="str">
        <f>HYPERLINK("http://www.twitter.com/LAS3158", "LAS3158")</f>
        <v>LAS3158</v>
      </c>
      <c r="B26409" s="65" t="s">
        <v>138</v>
      </c>
    </row>
    <row r="26410" spans="1:2" x14ac:dyDescent="0.25">
      <c r="A26410" s="64" t="str">
        <f>HYPERLINK("http://www.twitter.com/HumanitiesUoD", "HumanitiesUoD")</f>
        <v>HumanitiesUoD</v>
      </c>
      <c r="B26410" s="65" t="s">
        <v>1482</v>
      </c>
    </row>
    <row r="26411" spans="1:2" x14ac:dyDescent="0.25">
      <c r="A26411" s="64" t="str">
        <f>HYPERLINK("http://www.twitter.com/ThatGregDobbins", "ThatGregDobbins")</f>
        <v>ThatGregDobbins</v>
      </c>
      <c r="B26411" s="65" t="s">
        <v>11346</v>
      </c>
    </row>
    <row r="26412" spans="1:2" x14ac:dyDescent="0.25">
      <c r="A26412" s="64" t="str">
        <f>HYPERLINK("http://www.twitter.com/FleurHitchcock", "FleurHitchcock")</f>
        <v>FleurHitchcock</v>
      </c>
      <c r="B26412" s="65" t="s">
        <v>11347</v>
      </c>
    </row>
    <row r="26413" spans="1:2" x14ac:dyDescent="0.25">
      <c r="A26413" s="64" t="str">
        <f>HYPERLINK("http://www.twitter.com/pignutree", "pignutree")</f>
        <v>pignutree</v>
      </c>
      <c r="B26413" s="65" t="s">
        <v>517</v>
      </c>
    </row>
    <row r="26414" spans="1:2" x14ac:dyDescent="0.25">
      <c r="A26414" s="64" t="str">
        <f>HYPERLINK("http://www.twitter.com/ClareCavanagh1", "ClareCavanagh1")</f>
        <v>ClareCavanagh1</v>
      </c>
      <c r="B26414" s="65" t="s">
        <v>24</v>
      </c>
    </row>
    <row r="26415" spans="1:2" x14ac:dyDescent="0.25">
      <c r="A26415" s="64" t="str">
        <f>HYPERLINK("http://www.twitter.com/KyraVernall", "KyraVernall")</f>
        <v>KyraVernall</v>
      </c>
      <c r="B26415" s="65"/>
    </row>
    <row r="26416" spans="1:2" x14ac:dyDescent="0.25">
      <c r="A26416" s="64" t="str">
        <f>HYPERLINK("http://www.twitter.com/GracOnline", "GracOnline")</f>
        <v>GracOnline</v>
      </c>
      <c r="B26416" s="65" t="s">
        <v>11348</v>
      </c>
    </row>
    <row r="26417" spans="1:2" x14ac:dyDescent="0.25">
      <c r="A26417" s="64" t="str">
        <f>HYPERLINK("http://www.twitter.com/brock_library", "brock_library")</f>
        <v>brock_library</v>
      </c>
      <c r="B26417" s="65" t="s">
        <v>11349</v>
      </c>
    </row>
    <row r="26418" spans="1:2" x14ac:dyDescent="0.25">
      <c r="A26418" s="64" t="str">
        <f>HYPERLINK("http://www.twitter.com/T0B3S", "T0B3S")</f>
        <v>T0B3S</v>
      </c>
      <c r="B26418" s="65" t="s">
        <v>5793</v>
      </c>
    </row>
    <row r="26419" spans="1:2" x14ac:dyDescent="0.25">
      <c r="A26419" s="64" t="str">
        <f>HYPERLINK("http://www.twitter.com/missalicebmbds", "missalicebmbds")</f>
        <v>missalicebmbds</v>
      </c>
      <c r="B26419" s="65" t="s">
        <v>36</v>
      </c>
    </row>
    <row r="26420" spans="1:2" x14ac:dyDescent="0.25">
      <c r="A26420" s="64" t="str">
        <f>HYPERLINK("http://www.twitter.com/IanGibson11", "IanGibson11")</f>
        <v>IanGibson11</v>
      </c>
      <c r="B26420" s="65" t="s">
        <v>11350</v>
      </c>
    </row>
    <row r="26421" spans="1:2" x14ac:dyDescent="0.25">
      <c r="A26421" s="64" t="str">
        <f>HYPERLINK("http://www.twitter.com/historivist", "historivist")</f>
        <v>historivist</v>
      </c>
      <c r="B26421" s="65" t="s">
        <v>11351</v>
      </c>
    </row>
    <row r="26422" spans="1:2" x14ac:dyDescent="0.25">
      <c r="A26422" s="64" t="str">
        <f>HYPERLINK("http://www.twitter.com/EuanWemyss", "EuanWemyss")</f>
        <v>EuanWemyss</v>
      </c>
      <c r="B26422" s="65" t="s">
        <v>808</v>
      </c>
    </row>
    <row r="26423" spans="1:2" x14ac:dyDescent="0.25">
      <c r="A26423" s="64" t="str">
        <f>HYPERLINK("http://www.twitter.com/fosterpan", "fosterpan")</f>
        <v>fosterpan</v>
      </c>
      <c r="B26423" s="65" t="s">
        <v>5540</v>
      </c>
    </row>
    <row r="26424" spans="1:2" x14ac:dyDescent="0.25">
      <c r="A26424" s="64" t="str">
        <f>HYPERLINK("http://www.twitter.com/sophiechristoph", "sophiechristoph")</f>
        <v>sophiechristoph</v>
      </c>
      <c r="B26424" s="65" t="s">
        <v>36</v>
      </c>
    </row>
    <row r="26425" spans="1:2" x14ac:dyDescent="0.25">
      <c r="A26425" s="64" t="str">
        <f>HYPERLINK("http://www.twitter.com/Charlzlamb", "Charlzlamb")</f>
        <v>Charlzlamb</v>
      </c>
      <c r="B26425" s="65"/>
    </row>
    <row r="26426" spans="1:2" x14ac:dyDescent="0.25">
      <c r="A26426" s="64" t="str">
        <f>HYPERLINK("http://www.twitter.com/sueh662", "sueh662")</f>
        <v>sueh662</v>
      </c>
      <c r="B26426" s="65" t="s">
        <v>8593</v>
      </c>
    </row>
    <row r="26427" spans="1:2" x14ac:dyDescent="0.25">
      <c r="A26427" s="64" t="str">
        <f>HYPERLINK("http://www.twitter.com/SonjaPretis", "SonjaPretis")</f>
        <v>SonjaPretis</v>
      </c>
      <c r="B26427" s="65" t="s">
        <v>1490</v>
      </c>
    </row>
    <row r="26428" spans="1:2" x14ac:dyDescent="0.25">
      <c r="A26428" s="64" t="str">
        <f>HYPERLINK("http://www.twitter.com/heymancheeseman", "heymancheeseman")</f>
        <v>heymancheeseman</v>
      </c>
      <c r="B26428" s="65" t="s">
        <v>487</v>
      </c>
    </row>
    <row r="26429" spans="1:2" x14ac:dyDescent="0.25">
      <c r="A26429" s="64" t="str">
        <f>HYPERLINK("http://www.twitter.com/curlsdiva", "curlsdiva")</f>
        <v>curlsdiva</v>
      </c>
      <c r="B26429" s="65"/>
    </row>
    <row r="26430" spans="1:2" x14ac:dyDescent="0.25">
      <c r="A26430" s="64" t="str">
        <f>HYPERLINK("http://www.twitter.com/stuartbevan88", "stuartbevan88")</f>
        <v>stuartbevan88</v>
      </c>
      <c r="B26430" s="65"/>
    </row>
    <row r="26431" spans="1:2" x14ac:dyDescent="0.25">
      <c r="A26431" s="64" t="str">
        <f>HYPERLINK("http://www.twitter.com/pizzahutdouglas", "pizzahutdouglas")</f>
        <v>pizzahutdouglas</v>
      </c>
      <c r="B26431" s="65" t="s">
        <v>11352</v>
      </c>
    </row>
    <row r="26432" spans="1:2" x14ac:dyDescent="0.25">
      <c r="A26432" s="64" t="str">
        <f>HYPERLINK("http://www.twitter.com/Biblioho", "Biblioho")</f>
        <v>Biblioho</v>
      </c>
      <c r="B26432" s="65"/>
    </row>
    <row r="26433" spans="1:2" x14ac:dyDescent="0.25">
      <c r="A26433" s="64" t="str">
        <f>HYPERLINK("http://www.twitter.com/LucyMajella", "LucyMajella")</f>
        <v>LucyMajella</v>
      </c>
      <c r="B26433" s="65" t="s">
        <v>24</v>
      </c>
    </row>
    <row r="26434" spans="1:2" x14ac:dyDescent="0.25">
      <c r="A26434" s="64" t="str">
        <f>HYPERLINK("http://www.twitter.com/museumsDave", "museumsDave")</f>
        <v>museumsDave</v>
      </c>
      <c r="B26434" s="65" t="s">
        <v>138</v>
      </c>
    </row>
    <row r="26435" spans="1:2" x14ac:dyDescent="0.25">
      <c r="A26435" s="64" t="str">
        <f>HYPERLINK("http://www.twitter.com/sine1820", "sine1820")</f>
        <v>sine1820</v>
      </c>
      <c r="B26435" s="65"/>
    </row>
    <row r="26436" spans="1:2" x14ac:dyDescent="0.25">
      <c r="A26436" s="64" t="str">
        <f>HYPERLINK("http://www.twitter.com/mrsktkelly", "mrsktkelly")</f>
        <v>mrsktkelly</v>
      </c>
      <c r="B26436" s="65" t="s">
        <v>24</v>
      </c>
    </row>
    <row r="26437" spans="1:2" x14ac:dyDescent="0.25">
      <c r="A26437" s="64" t="str">
        <f>HYPERLINK("http://www.twitter.com/p_gwriter", "p_gwriter")</f>
        <v>p_gwriter</v>
      </c>
      <c r="B26437" s="65" t="s">
        <v>11353</v>
      </c>
    </row>
    <row r="26438" spans="1:2" x14ac:dyDescent="0.25">
      <c r="A26438" s="64" t="str">
        <f>HYPERLINK("http://www.twitter.com/Caroleh48", "Caroleh48")</f>
        <v>Caroleh48</v>
      </c>
      <c r="B26438" s="65"/>
    </row>
    <row r="26439" spans="1:2" x14ac:dyDescent="0.25">
      <c r="A26439" s="64" t="str">
        <f>HYPERLINK("http://www.twitter.com/LuathPress", "LuathPress")</f>
        <v>LuathPress</v>
      </c>
      <c r="B26439" s="65" t="s">
        <v>24</v>
      </c>
    </row>
    <row r="26440" spans="1:2" x14ac:dyDescent="0.25">
      <c r="A26440" s="64" t="str">
        <f>HYPERLINK("http://www.twitter.com/929998ae02eb475", "929998ae02eb475")</f>
        <v>929998ae02eb475</v>
      </c>
      <c r="B26440" s="65"/>
    </row>
    <row r="26441" spans="1:2" x14ac:dyDescent="0.25">
      <c r="A26441" s="64" t="str">
        <f>HYPERLINK("http://www.twitter.com/stuartskea", "stuartskea")</f>
        <v>stuartskea</v>
      </c>
      <c r="B26441" s="65" t="s">
        <v>24</v>
      </c>
    </row>
    <row r="26442" spans="1:2" x14ac:dyDescent="0.25">
      <c r="A26442" s="64" t="str">
        <f>HYPERLINK("http://www.twitter.com/dancarmichael92", "dancarmichael92")</f>
        <v>dancarmichael92</v>
      </c>
      <c r="B26442" s="65" t="s">
        <v>11354</v>
      </c>
    </row>
    <row r="26443" spans="1:2" x14ac:dyDescent="0.25">
      <c r="A26443" s="64" t="str">
        <f>HYPERLINK("http://www.twitter.com/HanJMWright", "HanJMWright")</f>
        <v>HanJMWright</v>
      </c>
      <c r="B26443" s="65" t="s">
        <v>11355</v>
      </c>
    </row>
    <row r="26444" spans="1:2" x14ac:dyDescent="0.25">
      <c r="A26444" s="64" t="str">
        <f>HYPERLINK("http://www.twitter.com/luci_wallace", "luci_wallace")</f>
        <v>luci_wallace</v>
      </c>
      <c r="B26444" s="65"/>
    </row>
    <row r="26445" spans="1:2" x14ac:dyDescent="0.25">
      <c r="A26445" s="64" t="str">
        <f>HYPERLINK("http://www.twitter.com/natalieisafraud", "natalieisafraud")</f>
        <v>natalieisafraud</v>
      </c>
      <c r="B26445" s="65" t="s">
        <v>36</v>
      </c>
    </row>
    <row r="26446" spans="1:2" x14ac:dyDescent="0.25">
      <c r="A26446" s="64" t="str">
        <f>HYPERLINK("http://www.twitter.com/iannicholson0", "iannicholson0")</f>
        <v>iannicholson0</v>
      </c>
      <c r="B26446" s="65" t="s">
        <v>11356</v>
      </c>
    </row>
    <row r="26447" spans="1:2" x14ac:dyDescent="0.25">
      <c r="A26447" s="64" t="str">
        <f>HYPERLINK("http://www.twitter.com/eilidh_s", "eilidh_s")</f>
        <v>eilidh_s</v>
      </c>
      <c r="B26447" s="65" t="s">
        <v>11357</v>
      </c>
    </row>
    <row r="26448" spans="1:2" x14ac:dyDescent="0.25">
      <c r="A26448" s="64" t="str">
        <f>HYPERLINK("http://www.twitter.com/kennyjohnstone", "kennyjohnstone")</f>
        <v>kennyjohnstone</v>
      </c>
      <c r="B26448" s="65" t="s">
        <v>4566</v>
      </c>
    </row>
    <row r="26449" spans="1:2" x14ac:dyDescent="0.25">
      <c r="A26449" s="64" t="str">
        <f>HYPERLINK("http://www.twitter.com/alextronic", "alextronic")</f>
        <v>alextronic</v>
      </c>
      <c r="B26449" s="65" t="s">
        <v>11358</v>
      </c>
    </row>
    <row r="26450" spans="1:2" x14ac:dyDescent="0.25">
      <c r="A26450" s="64" t="str">
        <f>HYPERLINK("http://www.twitter.com/kirstyelizzie", "kirstyelizzie")</f>
        <v>kirstyelizzie</v>
      </c>
      <c r="B26450" s="65"/>
    </row>
    <row r="26451" spans="1:2" x14ac:dyDescent="0.25">
      <c r="A26451" s="64" t="str">
        <f>HYPERLINK("http://www.twitter.com/lottiebollox", "lottiebollox")</f>
        <v>lottiebollox</v>
      </c>
      <c r="B26451" s="65"/>
    </row>
    <row r="26452" spans="1:2" x14ac:dyDescent="0.25">
      <c r="A26452" s="64" t="str">
        <f>HYPERLINK("http://www.twitter.com/stef3d", "stef3d")</f>
        <v>stef3d</v>
      </c>
      <c r="B26452" s="65" t="s">
        <v>138</v>
      </c>
    </row>
    <row r="26453" spans="1:2" x14ac:dyDescent="0.25">
      <c r="A26453" s="64" t="str">
        <f>HYPERLINK("http://www.twitter.com/weescottishmum", "weescottishmum")</f>
        <v>weescottishmum</v>
      </c>
      <c r="B26453" s="65" t="s">
        <v>487</v>
      </c>
    </row>
    <row r="26454" spans="1:2" x14ac:dyDescent="0.25">
      <c r="A26454" s="64" t="str">
        <f>HYPERLINK("http://www.twitter.com/vicfeatherstone", "vicfeatherstone")</f>
        <v>vicfeatherstone</v>
      </c>
      <c r="B26454" s="65"/>
    </row>
    <row r="26455" spans="1:2" x14ac:dyDescent="0.25">
      <c r="A26455" s="64" t="str">
        <f>HYPERLINK("http://www.twitter.com/McRowena", "McRowena")</f>
        <v>McRowena</v>
      </c>
      <c r="B26455" s="65" t="s">
        <v>138</v>
      </c>
    </row>
    <row r="26456" spans="1:2" x14ac:dyDescent="0.25">
      <c r="A26456" s="64" t="str">
        <f>HYPERLINK("http://www.twitter.com/FiMeade", "FiMeade")</f>
        <v>FiMeade</v>
      </c>
      <c r="B26456" s="65" t="s">
        <v>11359</v>
      </c>
    </row>
    <row r="26457" spans="1:2" x14ac:dyDescent="0.25">
      <c r="A26457" s="64" t="str">
        <f>HYPERLINK("http://www.twitter.com/lynnwil78", "lynnwil78")</f>
        <v>lynnwil78</v>
      </c>
      <c r="B26457" s="65" t="s">
        <v>517</v>
      </c>
    </row>
    <row r="26458" spans="1:2" x14ac:dyDescent="0.25">
      <c r="A26458" s="64" t="str">
        <f>HYPERLINK("http://www.twitter.com/nikkihvy", "nikkihvy")</f>
        <v>nikkihvy</v>
      </c>
      <c r="B26458" s="65"/>
    </row>
    <row r="26459" spans="1:2" x14ac:dyDescent="0.25">
      <c r="A26459" s="64" t="str">
        <f>HYPERLINK("http://www.twitter.com/johndpettie", "johndpettie")</f>
        <v>johndpettie</v>
      </c>
      <c r="B26459" s="65"/>
    </row>
    <row r="26460" spans="1:2" x14ac:dyDescent="0.25">
      <c r="A26460" s="64" t="str">
        <f>HYPERLINK("http://www.twitter.com/Pulligesicht", "Pulligesicht")</f>
        <v>Pulligesicht</v>
      </c>
      <c r="B26460" s="65"/>
    </row>
    <row r="26461" spans="1:2" x14ac:dyDescent="0.25">
      <c r="A26461" s="64" t="str">
        <f>HYPERLINK("http://www.twitter.com/henkrobson", "henkrobson")</f>
        <v>henkrobson</v>
      </c>
      <c r="B26461" s="65" t="s">
        <v>2107</v>
      </c>
    </row>
    <row r="26462" spans="1:2" x14ac:dyDescent="0.25">
      <c r="A26462" s="64" t="str">
        <f>HYPERLINK("http://www.twitter.com/lindym81", "lindym81")</f>
        <v>lindym81</v>
      </c>
      <c r="B26462" s="65" t="s">
        <v>517</v>
      </c>
    </row>
    <row r="26463" spans="1:2" x14ac:dyDescent="0.25">
      <c r="A26463" s="64" t="str">
        <f>HYPERLINK("http://www.twitter.com/sfcalcio", "sfcalcio")</f>
        <v>sfcalcio</v>
      </c>
      <c r="B26463" s="65" t="s">
        <v>138</v>
      </c>
    </row>
    <row r="26464" spans="1:2" x14ac:dyDescent="0.25">
      <c r="A26464" s="64" t="str">
        <f>HYPERLINK("http://www.twitter.com/OPFSUSTOGETHER", "OPFSUSTOGETHER")</f>
        <v>OPFSUSTOGETHER</v>
      </c>
      <c r="B26464" s="65"/>
    </row>
    <row r="26465" spans="1:2" x14ac:dyDescent="0.25">
      <c r="A26465" s="64" t="str">
        <f>HYPERLINK("http://www.twitter.com/SummerhallTV", "SummerhallTV")</f>
        <v>SummerhallTV</v>
      </c>
      <c r="B26465" s="65" t="s">
        <v>24</v>
      </c>
    </row>
    <row r="26466" spans="1:2" x14ac:dyDescent="0.25">
      <c r="A26466" s="64" t="str">
        <f>HYPERLINK("http://www.twitter.com/dottfair", "dottfair")</f>
        <v>dottfair</v>
      </c>
      <c r="B26466" s="65" t="s">
        <v>5315</v>
      </c>
    </row>
    <row r="26467" spans="1:2" x14ac:dyDescent="0.25">
      <c r="A26467" s="64" t="str">
        <f>HYPERLINK("http://www.twitter.com/ceejcook", "ceejcook")</f>
        <v>ceejcook</v>
      </c>
      <c r="B26467" s="65" t="s">
        <v>24</v>
      </c>
    </row>
    <row r="26468" spans="1:2" x14ac:dyDescent="0.25">
      <c r="A26468" s="64" t="str">
        <f>HYPERLINK("http://www.twitter.com/monkeycrumbs", "monkeycrumbs")</f>
        <v>monkeycrumbs</v>
      </c>
      <c r="B26468" s="65"/>
    </row>
    <row r="26469" spans="1:2" x14ac:dyDescent="0.25">
      <c r="A26469" s="64" t="str">
        <f>HYPERLINK("http://www.twitter.com/scottwas", "scottwas")</f>
        <v>scottwas</v>
      </c>
      <c r="B26469" s="65" t="s">
        <v>11360</v>
      </c>
    </row>
    <row r="26470" spans="1:2" x14ac:dyDescent="0.25">
      <c r="A26470" s="64" t="str">
        <f>HYPERLINK("http://www.twitter.com/ali_low", "ali_low")</f>
        <v>ali_low</v>
      </c>
      <c r="B26470" s="65" t="s">
        <v>11361</v>
      </c>
    </row>
    <row r="26471" spans="1:2" x14ac:dyDescent="0.25">
      <c r="A26471" s="64" t="str">
        <f>HYPERLINK("http://www.twitter.com/youngswain", "youngswain")</f>
        <v>youngswain</v>
      </c>
      <c r="B26471" s="65" t="s">
        <v>11362</v>
      </c>
    </row>
    <row r="26472" spans="1:2" x14ac:dyDescent="0.25">
      <c r="A26472" s="64" t="str">
        <f>HYPERLINK("http://www.twitter.com/dininininnes", "dininininnes")</f>
        <v>dininininnes</v>
      </c>
      <c r="B26472" s="65" t="s">
        <v>2289</v>
      </c>
    </row>
    <row r="26473" spans="1:2" x14ac:dyDescent="0.25">
      <c r="A26473" s="64" t="str">
        <f>HYPERLINK("http://www.twitter.com/carnkiematch", "carnkiematch")</f>
        <v>carnkiematch</v>
      </c>
      <c r="B26473" s="65"/>
    </row>
    <row r="26474" spans="1:2" x14ac:dyDescent="0.25">
      <c r="A26474" s="64" t="str">
        <f>HYPERLINK("http://www.twitter.com/thepaulcarlin", "thepaulcarlin")</f>
        <v>thepaulcarlin</v>
      </c>
      <c r="B26474" s="65" t="s">
        <v>11363</v>
      </c>
    </row>
    <row r="26475" spans="1:2" x14ac:dyDescent="0.25">
      <c r="A26475" s="64" t="str">
        <f>HYPERLINK("http://www.twitter.com/herbhyssop", "herbhyssop")</f>
        <v>herbhyssop</v>
      </c>
      <c r="B26475" s="65" t="s">
        <v>11364</v>
      </c>
    </row>
    <row r="26476" spans="1:2" x14ac:dyDescent="0.25">
      <c r="A26476" s="64" t="str">
        <f>HYPERLINK("http://www.twitter.com/PatMcClay", "PatMcClay")</f>
        <v>PatMcClay</v>
      </c>
      <c r="B26476" s="65" t="s">
        <v>517</v>
      </c>
    </row>
    <row r="26477" spans="1:2" x14ac:dyDescent="0.25">
      <c r="A26477" s="64" t="str">
        <f>HYPERLINK("http://www.twitter.com/jamesyirvine", "jamesyirvine")</f>
        <v>jamesyirvine</v>
      </c>
      <c r="B26477" s="65" t="s">
        <v>2007</v>
      </c>
    </row>
    <row r="26478" spans="1:2" x14ac:dyDescent="0.25">
      <c r="A26478" s="64" t="str">
        <f>HYPERLINK("http://www.twitter.com/kerennicol", "kerennicol")</f>
        <v>kerennicol</v>
      </c>
      <c r="B26478" s="65" t="s">
        <v>138</v>
      </c>
    </row>
    <row r="26479" spans="1:2" x14ac:dyDescent="0.25">
      <c r="A26479" s="64" t="str">
        <f>HYPERLINK("http://www.twitter.com/PonderMeThat", "PonderMeThat")</f>
        <v>PonderMeThat</v>
      </c>
      <c r="B26479" s="65" t="s">
        <v>517</v>
      </c>
    </row>
    <row r="26480" spans="1:2" x14ac:dyDescent="0.25">
      <c r="A26480" s="64" t="str">
        <f>HYPERLINK("http://www.twitter.com/camberwell01", "camberwell01")</f>
        <v>camberwell01</v>
      </c>
      <c r="B26480" s="65"/>
    </row>
    <row r="26481" spans="1:2" x14ac:dyDescent="0.25">
      <c r="A26481" s="64" t="str">
        <f>HYPERLINK("http://www.twitter.com/calumcam", "calumcam")</f>
        <v>calumcam</v>
      </c>
      <c r="B26481" s="65" t="s">
        <v>24</v>
      </c>
    </row>
    <row r="26482" spans="1:2" x14ac:dyDescent="0.25">
      <c r="A26482" s="64" t="str">
        <f>HYPERLINK("http://www.twitter.com/sarahdfc82", "sarahdfc82")</f>
        <v>sarahdfc82</v>
      </c>
      <c r="B26482" s="65"/>
    </row>
    <row r="26483" spans="1:2" x14ac:dyDescent="0.25">
      <c r="A26483" s="64" t="str">
        <f>HYPERLINK("http://www.twitter.com/merchant47", "merchant47")</f>
        <v>merchant47</v>
      </c>
      <c r="B26483" s="65"/>
    </row>
    <row r="26484" spans="1:2" x14ac:dyDescent="0.25">
      <c r="A26484" s="64" t="str">
        <f>HYPERLINK("http://www.twitter.com/Davidofficer", "Davidofficer")</f>
        <v>Davidofficer</v>
      </c>
      <c r="B26484" s="65" t="s">
        <v>11365</v>
      </c>
    </row>
    <row r="26485" spans="1:2" x14ac:dyDescent="0.25">
      <c r="A26485" s="64" t="str">
        <f>HYPERLINK("http://www.twitter.com/mrskerryw", "mrskerryw")</f>
        <v>mrskerryw</v>
      </c>
      <c r="B26485" s="65" t="s">
        <v>4238</v>
      </c>
    </row>
    <row r="26486" spans="1:2" x14ac:dyDescent="0.25">
      <c r="A26486" s="64" t="str">
        <f>HYPERLINK("http://www.twitter.com/KidCanaveral", "KidCanaveral")</f>
        <v>KidCanaveral</v>
      </c>
      <c r="B26486" s="65" t="s">
        <v>11366</v>
      </c>
    </row>
    <row r="26487" spans="1:2" x14ac:dyDescent="0.25">
      <c r="A26487" s="64" t="str">
        <f>HYPERLINK("http://www.twitter.com/librariesmoray", "librariesmoray")</f>
        <v>librariesmoray</v>
      </c>
      <c r="B26487" s="65"/>
    </row>
    <row r="26488" spans="1:2" x14ac:dyDescent="0.25">
      <c r="A26488" s="64" t="str">
        <f>HYPERLINK("http://www.twitter.com/isilOCLC", "isilOCLC")</f>
        <v>isilOCLC</v>
      </c>
      <c r="B26488" s="65"/>
    </row>
    <row r="26489" spans="1:2" x14ac:dyDescent="0.25">
      <c r="A26489" s="64" t="str">
        <f>HYPERLINK("http://www.twitter.com/LaurenHenning87", "LaurenHenning87")</f>
        <v>LaurenHenning87</v>
      </c>
      <c r="B26489" s="65" t="s">
        <v>11367</v>
      </c>
    </row>
    <row r="26490" spans="1:2" x14ac:dyDescent="0.25">
      <c r="A26490" s="64" t="str">
        <f>HYPERLINK("http://www.twitter.com/BDBootle", "BDBootle")</f>
        <v>BDBootle</v>
      </c>
      <c r="B26490" s="65" t="s">
        <v>11368</v>
      </c>
    </row>
    <row r="26491" spans="1:2" x14ac:dyDescent="0.25">
      <c r="A26491" s="64" t="str">
        <f>HYPERLINK("http://www.twitter.com/RachelMPeterson", "RachelMPeterson")</f>
        <v>RachelMPeterson</v>
      </c>
      <c r="B26491" s="65" t="s">
        <v>3829</v>
      </c>
    </row>
    <row r="26492" spans="1:2" x14ac:dyDescent="0.25">
      <c r="A26492" s="64" t="str">
        <f>HYPERLINK("http://www.twitter.com/annasteadman", "annasteadman")</f>
        <v>annasteadman</v>
      </c>
      <c r="B26492" s="65" t="s">
        <v>36</v>
      </c>
    </row>
    <row r="26493" spans="1:2" x14ac:dyDescent="0.25">
      <c r="A26493" s="64" t="str">
        <f>HYPERLINK("http://www.twitter.com/obarojnr", "obarojnr")</f>
        <v>obarojnr</v>
      </c>
      <c r="B26493" s="65" t="s">
        <v>11369</v>
      </c>
    </row>
    <row r="26494" spans="1:2" x14ac:dyDescent="0.25">
      <c r="A26494" s="64" t="str">
        <f>HYPERLINK("http://www.twitter.com/delphicdays", "delphicdays")</f>
        <v>delphicdays</v>
      </c>
      <c r="B26494" s="65" t="s">
        <v>8500</v>
      </c>
    </row>
    <row r="26495" spans="1:2" x14ac:dyDescent="0.25">
      <c r="A26495" s="64" t="str">
        <f>HYPERLINK("http://www.twitter.com/avalonlibrary", "avalonlibrary")</f>
        <v>avalonlibrary</v>
      </c>
      <c r="B26495" s="65" t="s">
        <v>11370</v>
      </c>
    </row>
    <row r="26496" spans="1:2" x14ac:dyDescent="0.25">
      <c r="A26496" s="64" t="str">
        <f>HYPERLINK("http://www.twitter.com/bibulb", "bibulb")</f>
        <v>bibulb</v>
      </c>
      <c r="B26496" s="65"/>
    </row>
    <row r="26497" spans="1:2" x14ac:dyDescent="0.25">
      <c r="A26497" s="64" t="str">
        <f>HYPERLINK("http://www.twitter.com/carrie_paxton", "carrie_paxton")</f>
        <v>carrie_paxton</v>
      </c>
      <c r="B26497" s="65" t="s">
        <v>24</v>
      </c>
    </row>
    <row r="26498" spans="1:2" x14ac:dyDescent="0.25">
      <c r="A26498" s="64" t="str">
        <f>HYPERLINK("http://www.twitter.com/GwendaShearer", "GwendaShearer")</f>
        <v>GwendaShearer</v>
      </c>
      <c r="B26498" s="65"/>
    </row>
    <row r="26499" spans="1:2" x14ac:dyDescent="0.25">
      <c r="A26499" s="64" t="str">
        <f>HYPERLINK("http://www.twitter.com/sosiawanp", "sosiawanp")</f>
        <v>sosiawanp</v>
      </c>
      <c r="B26499" s="65"/>
    </row>
    <row r="26500" spans="1:2" x14ac:dyDescent="0.25">
      <c r="A26500" s="64" t="str">
        <f>HYPERLINK("http://www.twitter.com/cilipswest", "cilipswest")</f>
        <v>cilipswest</v>
      </c>
      <c r="B26500" s="65"/>
    </row>
    <row r="26501" spans="1:2" x14ac:dyDescent="0.25">
      <c r="A26501" s="64" t="str">
        <f>HYPERLINK("http://www.twitter.com/misterbrwn", "misterbrwn")</f>
        <v>misterbrwn</v>
      </c>
      <c r="B26501" s="65"/>
    </row>
    <row r="26502" spans="1:2" x14ac:dyDescent="0.25">
      <c r="A26502" s="64" t="str">
        <f>HYPERLINK("http://www.twitter.com/StromnessNav", "StromnessNav")</f>
        <v>StromnessNav</v>
      </c>
      <c r="B26502" s="65"/>
    </row>
    <row r="26503" spans="1:2" x14ac:dyDescent="0.25">
      <c r="A26503" s="64" t="str">
        <f>HYPERLINK("http://www.twitter.com/R0ryF0rd", "R0ryF0rd")</f>
        <v>R0ryF0rd</v>
      </c>
      <c r="B26503" s="65" t="s">
        <v>11371</v>
      </c>
    </row>
    <row r="26504" spans="1:2" x14ac:dyDescent="0.25">
      <c r="A26504" s="64" t="str">
        <f>HYPERLINK("http://www.twitter.com/tin_angels", "tin_angels")</f>
        <v>tin_angels</v>
      </c>
      <c r="B26504" s="65"/>
    </row>
    <row r="26505" spans="1:2" x14ac:dyDescent="0.25">
      <c r="A26505" s="64" t="str">
        <f>HYPERLINK("http://www.twitter.com/Jennymurdoch", "Jennymurdoch")</f>
        <v>Jennymurdoch</v>
      </c>
      <c r="B26505" s="65"/>
    </row>
    <row r="26506" spans="1:2" x14ac:dyDescent="0.25">
      <c r="A26506" s="64" t="str">
        <f>HYPERLINK("http://www.twitter.com/peteandsandi", "peteandsandi")</f>
        <v>peteandsandi</v>
      </c>
      <c r="B26506" s="65"/>
    </row>
    <row r="26507" spans="1:2" x14ac:dyDescent="0.25">
      <c r="A26507" s="64" t="str">
        <f>HYPERLINK("http://www.twitter.com/nullnullsjo", "nullnullsjo")</f>
        <v>nullnullsjo</v>
      </c>
      <c r="B26507" s="65" t="s">
        <v>6709</v>
      </c>
    </row>
    <row r="26508" spans="1:2" x14ac:dyDescent="0.25">
      <c r="A26508" s="64" t="str">
        <f>HYPERLINK("http://www.twitter.com/theleeside2", "theleeside2")</f>
        <v>theleeside2</v>
      </c>
      <c r="B26508" s="65"/>
    </row>
    <row r="26509" spans="1:2" x14ac:dyDescent="0.25">
      <c r="A26509" s="64" t="str">
        <f>HYPERLINK("http://www.twitter.com/KatyjaMoran", "KatyjaMoran")</f>
        <v>KatyjaMoran</v>
      </c>
      <c r="B26509" s="65"/>
    </row>
    <row r="26510" spans="1:2" x14ac:dyDescent="0.25">
      <c r="A26510" s="64" t="str">
        <f>HYPERLINK("http://www.twitter.com/nicolegretta", "nicolegretta")</f>
        <v>nicolegretta</v>
      </c>
      <c r="B26510" s="65" t="s">
        <v>3988</v>
      </c>
    </row>
    <row r="26511" spans="1:2" x14ac:dyDescent="0.25">
      <c r="A26511" s="64" t="str">
        <f>HYPERLINK("http://www.twitter.com/rachelbfoster", "rachelbfoster")</f>
        <v>rachelbfoster</v>
      </c>
      <c r="B26511" s="65" t="s">
        <v>7552</v>
      </c>
    </row>
    <row r="26512" spans="1:2" x14ac:dyDescent="0.25">
      <c r="A26512" s="64" t="str">
        <f>HYPERLINK("http://www.twitter.com/acahacker", "acahacker")</f>
        <v>acahacker</v>
      </c>
      <c r="B26512" s="65" t="s">
        <v>3817</v>
      </c>
    </row>
    <row r="26513" spans="1:2" x14ac:dyDescent="0.25">
      <c r="A26513" s="64" t="str">
        <f>HYPERLINK("http://www.twitter.com/KHourston", "KHourston")</f>
        <v>KHourston</v>
      </c>
      <c r="B26513" s="65" t="s">
        <v>5104</v>
      </c>
    </row>
    <row r="26514" spans="1:2" x14ac:dyDescent="0.25">
      <c r="A26514" s="64" t="str">
        <f>HYPERLINK("http://www.twitter.com/GNM_Hancock", "GNM_Hancock")</f>
        <v>GNM_Hancock</v>
      </c>
      <c r="B26514" s="65" t="s">
        <v>361</v>
      </c>
    </row>
    <row r="26515" spans="1:2" x14ac:dyDescent="0.25">
      <c r="A26515" s="64" t="str">
        <f>HYPERLINK("http://www.twitter.com/robertgibbon475", "robertgibbon475")</f>
        <v>robertgibbon475</v>
      </c>
      <c r="B26515" s="65"/>
    </row>
    <row r="26516" spans="1:2" x14ac:dyDescent="0.25">
      <c r="A26516" s="64" t="str">
        <f>HYPERLINK("http://www.twitter.com/LibrarianSmiles", "LibrarianSmiles")</f>
        <v>LibrarianSmiles</v>
      </c>
      <c r="B26516" s="65" t="s">
        <v>11372</v>
      </c>
    </row>
    <row r="26517" spans="1:2" x14ac:dyDescent="0.25">
      <c r="A26517" s="64" t="str">
        <f>HYPERLINK("http://www.twitter.com/sotypicat", "sotypicat")</f>
        <v>sotypicat</v>
      </c>
      <c r="B26517" s="65" t="s">
        <v>5313</v>
      </c>
    </row>
    <row r="26518" spans="1:2" x14ac:dyDescent="0.25">
      <c r="A26518" s="64" t="str">
        <f>HYPERLINK("http://www.twitter.com/coralee051", "coralee051")</f>
        <v>coralee051</v>
      </c>
      <c r="B26518" s="65" t="s">
        <v>11373</v>
      </c>
    </row>
    <row r="26519" spans="1:2" x14ac:dyDescent="0.25">
      <c r="A26519" s="64" t="str">
        <f>HYPERLINK("http://www.twitter.com/islandbakery", "islandbakery")</f>
        <v>islandbakery</v>
      </c>
      <c r="B26519" s="65" t="s">
        <v>11374</v>
      </c>
    </row>
    <row r="26520" spans="1:2" x14ac:dyDescent="0.25">
      <c r="A26520" s="64" t="str">
        <f>HYPERLINK("http://www.twitter.com/nici_b", "nici_b")</f>
        <v>nici_b</v>
      </c>
      <c r="B26520" s="65" t="s">
        <v>11375</v>
      </c>
    </row>
    <row r="26521" spans="1:2" x14ac:dyDescent="0.25">
      <c r="A26521" s="64" t="str">
        <f>HYPERLINK("http://www.twitter.com/paulinegibb", "paulinegibb")</f>
        <v>paulinegibb</v>
      </c>
      <c r="B26521" s="65" t="s">
        <v>11376</v>
      </c>
    </row>
    <row r="26522" spans="1:2" x14ac:dyDescent="0.25">
      <c r="A26522" s="64" t="str">
        <f>HYPERLINK("http://www.twitter.com/HamiltonBorder", "HamiltonBorder")</f>
        <v>HamiltonBorder</v>
      </c>
      <c r="B26522" s="65"/>
    </row>
    <row r="26523" spans="1:2" x14ac:dyDescent="0.25">
      <c r="A26523" s="64" t="str">
        <f>HYPERLINK("http://www.twitter.com/RileyResearch", "RileyResearch")</f>
        <v>RileyResearch</v>
      </c>
      <c r="B26523" s="65" t="s">
        <v>11377</v>
      </c>
    </row>
    <row r="26524" spans="1:2" x14ac:dyDescent="0.25">
      <c r="A26524" s="64" t="str">
        <f>HYPERLINK("http://www.twitter.com/HippieDalek", "HippieDalek")</f>
        <v>HippieDalek</v>
      </c>
      <c r="B26524" s="65" t="s">
        <v>11378</v>
      </c>
    </row>
    <row r="26525" spans="1:2" x14ac:dyDescent="0.25">
      <c r="A26525" s="64" t="str">
        <f>HYPERLINK("http://www.twitter.com/maryknitter1975", "maryknitter1975")</f>
        <v>maryknitter1975</v>
      </c>
      <c r="B26525" s="65" t="s">
        <v>20</v>
      </c>
    </row>
    <row r="26526" spans="1:2" x14ac:dyDescent="0.25">
      <c r="A26526" s="64" t="str">
        <f>HYPERLINK("http://www.twitter.com/SStones", "SStones")</f>
        <v>SStones</v>
      </c>
      <c r="B26526" s="65" t="s">
        <v>11379</v>
      </c>
    </row>
    <row r="26527" spans="1:2" x14ac:dyDescent="0.25">
      <c r="A26527" s="64" t="str">
        <f>HYPERLINK("http://www.twitter.com/maureen_rita", "maureen_rita")</f>
        <v>maureen_rita</v>
      </c>
      <c r="B26527" s="65"/>
    </row>
    <row r="26528" spans="1:2" x14ac:dyDescent="0.25">
      <c r="A26528" s="64" t="str">
        <f>HYPERLINK("http://www.twitter.com/sarah_hatton", "sarah_hatton")</f>
        <v>sarah_hatton</v>
      </c>
      <c r="B26528" s="65" t="s">
        <v>11380</v>
      </c>
    </row>
    <row r="26529" spans="1:2" x14ac:dyDescent="0.25">
      <c r="A26529" s="64" t="str">
        <f>HYPERLINK("http://www.twitter.com/KenrisMacLeod", "KenrisMacLeod")</f>
        <v>KenrisMacLeod</v>
      </c>
      <c r="B26529" s="65" t="s">
        <v>24</v>
      </c>
    </row>
    <row r="26530" spans="1:2" x14ac:dyDescent="0.25">
      <c r="A26530" s="64" t="str">
        <f>HYPERLINK("http://www.twitter.com/freescotland", "freescotland")</f>
        <v>freescotland</v>
      </c>
      <c r="B26530" s="65"/>
    </row>
    <row r="26531" spans="1:2" x14ac:dyDescent="0.25">
      <c r="A26531" s="64" t="str">
        <f>HYPERLINK("http://www.twitter.com/LibraryLiz101", "LibraryLiz101")</f>
        <v>LibraryLiz101</v>
      </c>
      <c r="B26531" s="65"/>
    </row>
    <row r="26532" spans="1:2" x14ac:dyDescent="0.25">
      <c r="A26532" s="64" t="str">
        <f>HYPERLINK("http://www.twitter.com/FredaNorquay", "FredaNorquay")</f>
        <v>FredaNorquay</v>
      </c>
      <c r="B26532" s="65"/>
    </row>
    <row r="26533" spans="1:2" x14ac:dyDescent="0.25">
      <c r="A26533" s="64" t="str">
        <f>HYPERLINK("http://www.twitter.com/PyotrSidwell", "PyotrSidwell")</f>
        <v>PyotrSidwell</v>
      </c>
      <c r="B26533" s="65" t="s">
        <v>10849</v>
      </c>
    </row>
    <row r="26534" spans="1:2" x14ac:dyDescent="0.25">
      <c r="A26534" s="64" t="str">
        <f>HYPERLINK("http://www.twitter.com/littlelea", "littlelea")</f>
        <v>littlelea</v>
      </c>
      <c r="B26534" s="65" t="s">
        <v>421</v>
      </c>
    </row>
    <row r="26535" spans="1:2" x14ac:dyDescent="0.25">
      <c r="A26535" s="64" t="str">
        <f>HYPERLINK("http://www.twitter.com/thelighthouseuk", "thelighthouseuk")</f>
        <v>thelighthouseuk</v>
      </c>
      <c r="B26535" s="65" t="s">
        <v>5195</v>
      </c>
    </row>
    <row r="26536" spans="1:2" x14ac:dyDescent="0.25">
      <c r="A26536" s="64" t="str">
        <f>HYPERLINK("http://www.twitter.com/_rabs84", "_rabs84")</f>
        <v>_rabs84</v>
      </c>
      <c r="B26536" s="65" t="s">
        <v>180</v>
      </c>
    </row>
    <row r="26537" spans="1:2" x14ac:dyDescent="0.25">
      <c r="A26537" s="64" t="str">
        <f>HYPERLINK("http://www.twitter.com/AlbertaEE", "AlbertaEE")</f>
        <v>AlbertaEE</v>
      </c>
      <c r="B26537" s="65"/>
    </row>
    <row r="26538" spans="1:2" x14ac:dyDescent="0.25">
      <c r="A26538" s="64" t="str">
        <f>HYPERLINK("http://www.twitter.com/info_gee", "info_gee")</f>
        <v>info_gee</v>
      </c>
      <c r="B26538" s="65"/>
    </row>
    <row r="26539" spans="1:2" x14ac:dyDescent="0.25">
      <c r="A26539" s="64" t="str">
        <f>HYPERLINK("http://www.twitter.com/LostTeleri", "LostTeleri")</f>
        <v>LostTeleri</v>
      </c>
      <c r="B26539" s="65" t="s">
        <v>7617</v>
      </c>
    </row>
    <row r="26540" spans="1:2" x14ac:dyDescent="0.25">
      <c r="A26540" s="64" t="str">
        <f>HYPERLINK("http://www.twitter.com/GallierS1", "GallierS1")</f>
        <v>GallierS1</v>
      </c>
      <c r="B26540" s="65"/>
    </row>
    <row r="26541" spans="1:2" x14ac:dyDescent="0.25">
      <c r="A26541" s="64" t="str">
        <f>HYPERLINK("http://www.twitter.com/rosesblue", "rosesblue")</f>
        <v>rosesblue</v>
      </c>
      <c r="B26541" s="65" t="s">
        <v>11381</v>
      </c>
    </row>
    <row r="26542" spans="1:2" x14ac:dyDescent="0.25">
      <c r="A26542" s="64" t="str">
        <f>HYPERLINK("http://www.twitter.com/Jon_Kinsella", "Jon_Kinsella")</f>
        <v>Jon_Kinsella</v>
      </c>
      <c r="B26542" s="65" t="s">
        <v>102</v>
      </c>
    </row>
    <row r="26543" spans="1:2" x14ac:dyDescent="0.25">
      <c r="A26543" s="64" t="str">
        <f>HYPERLINK("http://www.twitter.com/HMohamud", "HMohamud")</f>
        <v>HMohamud</v>
      </c>
      <c r="B26543" s="65" t="s">
        <v>102</v>
      </c>
    </row>
    <row r="26544" spans="1:2" x14ac:dyDescent="0.25">
      <c r="A26544" s="64" t="str">
        <f>HYPERLINK("http://www.twitter.com/Freesiabelle", "Freesiabelle")</f>
        <v>Freesiabelle</v>
      </c>
      <c r="B26544" s="65" t="s">
        <v>102</v>
      </c>
    </row>
    <row r="26545" spans="1:2" x14ac:dyDescent="0.25">
      <c r="A26545" s="64" t="str">
        <f>HYPERLINK("http://www.twitter.com/johngermain99", "johngermain99")</f>
        <v>johngermain99</v>
      </c>
      <c r="B26545" s="65" t="s">
        <v>642</v>
      </c>
    </row>
    <row r="26546" spans="1:2" x14ac:dyDescent="0.25">
      <c r="A26546" s="64" t="str">
        <f>HYPERLINK("http://www.twitter.com/DMCarroll2", "DMCarroll2")</f>
        <v>DMCarroll2</v>
      </c>
      <c r="B26546" s="65"/>
    </row>
    <row r="26547" spans="1:2" x14ac:dyDescent="0.25">
      <c r="A26547" s="64" t="str">
        <f>HYPERLINK("http://www.twitter.com/Brummbaerkatze", "Brummbaerkatze")</f>
        <v>Brummbaerkatze</v>
      </c>
      <c r="B26547" s="65"/>
    </row>
    <row r="26548" spans="1:2" x14ac:dyDescent="0.25">
      <c r="A26548" s="64" t="str">
        <f>HYPERLINK("http://www.twitter.com/GraceGroome", "GraceGroome")</f>
        <v>GraceGroome</v>
      </c>
      <c r="B26548" s="65"/>
    </row>
    <row r="26549" spans="1:2" x14ac:dyDescent="0.25">
      <c r="A26549" s="64" t="str">
        <f>HYPERLINK("http://www.twitter.com/joyjoy1505", "joyjoy1505")</f>
        <v>joyjoy1505</v>
      </c>
      <c r="B26549" s="65"/>
    </row>
    <row r="26550" spans="1:2" x14ac:dyDescent="0.25">
      <c r="A26550" s="64" t="str">
        <f>HYPERLINK("http://www.twitter.com/ilonadkish", "ilonadkish")</f>
        <v>ilonadkish</v>
      </c>
      <c r="B26550" s="65" t="s">
        <v>4829</v>
      </c>
    </row>
    <row r="26551" spans="1:2" x14ac:dyDescent="0.25">
      <c r="A26551" s="64" t="str">
        <f>HYPERLINK("http://www.twitter.com/spud271", "spud271")</f>
        <v>spud271</v>
      </c>
      <c r="B26551" s="65" t="s">
        <v>1226</v>
      </c>
    </row>
    <row r="26552" spans="1:2" x14ac:dyDescent="0.25">
      <c r="A26552" s="64" t="str">
        <f>HYPERLINK("http://www.twitter.com/mye_tutor", "mye_tutor")</f>
        <v>mye_tutor</v>
      </c>
      <c r="B26552" s="65" t="s">
        <v>517</v>
      </c>
    </row>
    <row r="26553" spans="1:2" x14ac:dyDescent="0.25">
      <c r="A26553" s="64" t="str">
        <f>HYPERLINK("http://www.twitter.com/BarryTuckwood", "BarryTuckwood")</f>
        <v>BarryTuckwood</v>
      </c>
      <c r="B26553" s="65" t="s">
        <v>477</v>
      </c>
    </row>
    <row r="26554" spans="1:2" x14ac:dyDescent="0.25">
      <c r="A26554" s="64" t="str">
        <f>HYPERLINK("http://www.twitter.com/HelenKilleen1", "HelenKilleen1")</f>
        <v>HelenKilleen1</v>
      </c>
      <c r="B26554" s="65"/>
    </row>
    <row r="26555" spans="1:2" x14ac:dyDescent="0.25">
      <c r="A26555" s="64" t="str">
        <f>HYPERLINK("http://www.twitter.com/helenhawkeye84", "helenhawkeye84")</f>
        <v>helenhawkeye84</v>
      </c>
      <c r="B26555" s="65"/>
    </row>
    <row r="26556" spans="1:2" x14ac:dyDescent="0.25">
      <c r="A26556" s="64" t="str">
        <f>HYPERLINK("http://www.twitter.com/WinsomeTahn", "WinsomeTahn")</f>
        <v>WinsomeTahn</v>
      </c>
      <c r="B26556" s="65" t="s">
        <v>517</v>
      </c>
    </row>
    <row r="26557" spans="1:2" x14ac:dyDescent="0.25">
      <c r="A26557" s="64" t="str">
        <f>HYPERLINK("http://www.twitter.com/benofoz1", "benofoz1")</f>
        <v>benofoz1</v>
      </c>
      <c r="B26557" s="65"/>
    </row>
    <row r="26558" spans="1:2" x14ac:dyDescent="0.25">
      <c r="A26558" s="64" t="str">
        <f>HYPERLINK("http://www.twitter.com/amazonians", "amazonians")</f>
        <v>amazonians</v>
      </c>
      <c r="B26558" s="65" t="s">
        <v>2580</v>
      </c>
    </row>
    <row r="26559" spans="1:2" x14ac:dyDescent="0.25">
      <c r="A26559" s="64" t="str">
        <f>HYPERLINK("http://www.twitter.com/TheRachelLewis", "TheRachelLewis")</f>
        <v>TheRachelLewis</v>
      </c>
      <c r="B26559" s="65" t="s">
        <v>4981</v>
      </c>
    </row>
    <row r="26560" spans="1:2" x14ac:dyDescent="0.25">
      <c r="A26560" s="64" t="str">
        <f>HYPERLINK("http://www.twitter.com/AndyKirkman", "AndyKirkman")</f>
        <v>AndyKirkman</v>
      </c>
      <c r="B26560" s="65"/>
    </row>
    <row r="26561" spans="1:2" x14ac:dyDescent="0.25">
      <c r="A26561" s="64" t="str">
        <f>HYPERLINK("http://www.twitter.com/ViewforthHE", "ViewforthHE")</f>
        <v>ViewforthHE</v>
      </c>
      <c r="B26561" s="65" t="s">
        <v>11382</v>
      </c>
    </row>
    <row r="26562" spans="1:2" x14ac:dyDescent="0.25">
      <c r="A26562" s="64" t="str">
        <f>HYPERLINK("http://www.twitter.com/captain_eddy", "captain_eddy")</f>
        <v>captain_eddy</v>
      </c>
      <c r="B26562" s="65" t="s">
        <v>318</v>
      </c>
    </row>
    <row r="26563" spans="1:2" x14ac:dyDescent="0.25">
      <c r="A26563" s="64" t="str">
        <f>HYPERLINK("http://www.twitter.com/BadAlbumCovers", "BadAlbumCovers")</f>
        <v>BadAlbumCovers</v>
      </c>
      <c r="B26563" s="65"/>
    </row>
    <row r="26564" spans="1:2" x14ac:dyDescent="0.25">
      <c r="A26564" s="64" t="str">
        <f>HYPERLINK("http://www.twitter.com/k_loulee", "k_loulee")</f>
        <v>k_loulee</v>
      </c>
      <c r="B26564" s="65"/>
    </row>
    <row r="26565" spans="1:2" x14ac:dyDescent="0.25">
      <c r="A26565" s="64" t="str">
        <f>HYPERLINK("http://www.twitter.com/CPKLibraries", "CPKLibraries")</f>
        <v>CPKLibraries</v>
      </c>
      <c r="B26565" s="65" t="s">
        <v>517</v>
      </c>
    </row>
    <row r="26566" spans="1:2" x14ac:dyDescent="0.25">
      <c r="A26566" s="64" t="str">
        <f>HYPERLINK("http://www.twitter.com/gilesdraws", "gilesdraws")</f>
        <v>gilesdraws</v>
      </c>
      <c r="B26566" s="65" t="s">
        <v>4040</v>
      </c>
    </row>
    <row r="26567" spans="1:2" x14ac:dyDescent="0.25">
      <c r="A26567" s="64" t="str">
        <f>HYPERLINK("http://www.twitter.com/norwichjules", "norwichjules")</f>
        <v>norwichjules</v>
      </c>
      <c r="B26567" s="65"/>
    </row>
    <row r="26568" spans="1:2" x14ac:dyDescent="0.25">
      <c r="A26568" s="64" t="str">
        <f>HYPERLINK("http://www.twitter.com/bondigal", "bondigal")</f>
        <v>bondigal</v>
      </c>
      <c r="B26568" s="65" t="s">
        <v>11383</v>
      </c>
    </row>
    <row r="26569" spans="1:2" x14ac:dyDescent="0.25">
      <c r="A26569" s="64" t="str">
        <f>HYPERLINK("http://www.twitter.com/SalMarden", "SalMarden")</f>
        <v>SalMarden</v>
      </c>
      <c r="B26569" s="65" t="s">
        <v>11384</v>
      </c>
    </row>
    <row r="26570" spans="1:2" x14ac:dyDescent="0.25">
      <c r="A26570" s="64" t="str">
        <f>HYPERLINK("http://www.twitter.com/KloKlo", "KloKlo")</f>
        <v>KloKlo</v>
      </c>
      <c r="B26570" s="65" t="s">
        <v>477</v>
      </c>
    </row>
    <row r="26571" spans="1:2" x14ac:dyDescent="0.25">
      <c r="A26571" s="64" t="str">
        <f>HYPERLINK("http://www.twitter.com/ashleyjdalton", "ashleyjdalton")</f>
        <v>ashleyjdalton</v>
      </c>
      <c r="B26571" s="65" t="s">
        <v>11385</v>
      </c>
    </row>
    <row r="26572" spans="1:2" x14ac:dyDescent="0.25">
      <c r="A26572" s="64" t="str">
        <f>HYPERLINK("http://www.twitter.com/madebydbm", "madebydbm")</f>
        <v>madebydbm</v>
      </c>
      <c r="B26572" s="65" t="s">
        <v>11386</v>
      </c>
    </row>
    <row r="26573" spans="1:2" x14ac:dyDescent="0.25">
      <c r="A26573" s="64" t="str">
        <f>HYPERLINK("http://www.twitter.com/flamehair", "flamehair")</f>
        <v>flamehair</v>
      </c>
      <c r="B26573" s="65" t="s">
        <v>6775</v>
      </c>
    </row>
    <row r="26574" spans="1:2" x14ac:dyDescent="0.25">
      <c r="A26574" s="64" t="str">
        <f>HYPERLINK("http://www.twitter.com/cthon1c", "cthon1c")</f>
        <v>cthon1c</v>
      </c>
      <c r="B26574" s="65" t="s">
        <v>11387</v>
      </c>
    </row>
    <row r="26575" spans="1:2" x14ac:dyDescent="0.25">
      <c r="A26575" s="64" t="str">
        <f>HYPERLINK("http://www.twitter.com/DrParnassus", "DrParnassus")</f>
        <v>DrParnassus</v>
      </c>
      <c r="B26575" s="65" t="s">
        <v>11388</v>
      </c>
    </row>
    <row r="26576" spans="1:2" x14ac:dyDescent="0.25">
      <c r="A26576" s="64" t="str">
        <f>HYPERLINK("http://www.twitter.com/gilescharter", "gilescharter")</f>
        <v>gilescharter</v>
      </c>
      <c r="B26576" s="65"/>
    </row>
    <row r="26577" spans="1:2" x14ac:dyDescent="0.25">
      <c r="A26577" s="64" t="str">
        <f>HYPERLINK("http://www.twitter.com/RachelF00te", "RachelF00te")</f>
        <v>RachelF00te</v>
      </c>
      <c r="B26577" s="65"/>
    </row>
    <row r="26578" spans="1:2" x14ac:dyDescent="0.25">
      <c r="A26578" s="64" t="str">
        <f>HYPERLINK("http://www.twitter.com/rachelfarrier", "rachelfarrier")</f>
        <v>rachelfarrier</v>
      </c>
      <c r="B26578" s="65" t="s">
        <v>11389</v>
      </c>
    </row>
    <row r="26579" spans="1:2" x14ac:dyDescent="0.25">
      <c r="A26579" s="64" t="str">
        <f>HYPERLINK("http://www.twitter.com/gsoutar", "gsoutar")</f>
        <v>gsoutar</v>
      </c>
      <c r="B26579" s="65" t="s">
        <v>24</v>
      </c>
    </row>
    <row r="26580" spans="1:2" x14ac:dyDescent="0.25">
      <c r="A26580" s="64" t="str">
        <f>HYPERLINK("http://www.twitter.com/PaulPeros", "PaulPeros")</f>
        <v>PaulPeros</v>
      </c>
      <c r="B26580" s="65" t="s">
        <v>5236</v>
      </c>
    </row>
    <row r="26581" spans="1:2" x14ac:dyDescent="0.25">
      <c r="A26581" s="64" t="str">
        <f>HYPERLINK("http://www.twitter.com/TimWeekes67", "TimWeekes67")</f>
        <v>TimWeekes67</v>
      </c>
      <c r="B26581" s="65" t="s">
        <v>11390</v>
      </c>
    </row>
    <row r="26582" spans="1:2" x14ac:dyDescent="0.25">
      <c r="A26582" s="64" t="str">
        <f>HYPERLINK("http://www.twitter.com/andyh9266", "andyh9266")</f>
        <v>andyh9266</v>
      </c>
      <c r="B26582" s="65" t="s">
        <v>1490</v>
      </c>
    </row>
    <row r="26583" spans="1:2" x14ac:dyDescent="0.25">
      <c r="A26583" s="64" t="str">
        <f>HYPERLINK("http://www.twitter.com/Troybaba", "Troybaba")</f>
        <v>Troybaba</v>
      </c>
      <c r="B26583" s="65" t="s">
        <v>4129</v>
      </c>
    </row>
    <row r="26584" spans="1:2" x14ac:dyDescent="0.25">
      <c r="A26584" s="64" t="str">
        <f>HYPERLINK("http://www.twitter.com/HMcScribbler", "HMcScribbler")</f>
        <v>HMcScribbler</v>
      </c>
      <c r="B26584" s="65" t="s">
        <v>8635</v>
      </c>
    </row>
    <row r="26585" spans="1:2" x14ac:dyDescent="0.25">
      <c r="A26585" s="64" t="str">
        <f>HYPERLINK("http://www.twitter.com/TorbayLibraries", "TorbayLibraries")</f>
        <v>TorbayLibraries</v>
      </c>
      <c r="B26585" s="65" t="s">
        <v>973</v>
      </c>
    </row>
    <row r="26586" spans="1:2" x14ac:dyDescent="0.25">
      <c r="A26586" s="64" t="str">
        <f>HYPERLINK("http://www.twitter.com/GirlofBooks", "GirlofBooks")</f>
        <v>GirlofBooks</v>
      </c>
      <c r="B26586" s="65" t="s">
        <v>67</v>
      </c>
    </row>
    <row r="26587" spans="1:2" x14ac:dyDescent="0.25">
      <c r="A26587" s="64" t="str">
        <f>HYPERLINK("http://www.twitter.com/fergusedmondson", "fergusedmondson")</f>
        <v>fergusedmondson</v>
      </c>
      <c r="B26587" s="65"/>
    </row>
    <row r="26588" spans="1:2" x14ac:dyDescent="0.25">
      <c r="A26588" s="64" t="str">
        <f>HYPERLINK("http://www.twitter.com/LauraKPeatman", "LauraKPeatman")</f>
        <v>LauraKPeatman</v>
      </c>
      <c r="B26588" s="65" t="s">
        <v>110</v>
      </c>
    </row>
    <row r="26589" spans="1:2" x14ac:dyDescent="0.25">
      <c r="A26589" s="64" t="str">
        <f>HYPERLINK("http://www.twitter.com/CarsonTim", "CarsonTim")</f>
        <v>CarsonTim</v>
      </c>
      <c r="B26589" s="65"/>
    </row>
    <row r="26590" spans="1:2" x14ac:dyDescent="0.25">
      <c r="A26590" s="64" t="str">
        <f>HYPERLINK("http://www.twitter.com/JPG_Morgan", "JPG_Morgan")</f>
        <v>JPG_Morgan</v>
      </c>
      <c r="B26590" s="65" t="s">
        <v>8667</v>
      </c>
    </row>
    <row r="26591" spans="1:2" x14ac:dyDescent="0.25">
      <c r="A26591" s="64" t="str">
        <f>HYPERLINK("http://www.twitter.com/KennedyKite", "KennedyKite")</f>
        <v>KennedyKite</v>
      </c>
      <c r="B26591" s="65"/>
    </row>
    <row r="26592" spans="1:2" x14ac:dyDescent="0.25">
      <c r="A26592" s="64" t="str">
        <f>HYPERLINK("http://www.twitter.com/lisa_penman", "lisa_penman")</f>
        <v>lisa_penman</v>
      </c>
      <c r="B26592" s="65" t="s">
        <v>421</v>
      </c>
    </row>
    <row r="26593" spans="1:2" x14ac:dyDescent="0.25">
      <c r="A26593" s="64" t="str">
        <f>HYPERLINK("http://www.twitter.com/literarychick", "literarychick")</f>
        <v>literarychick</v>
      </c>
      <c r="B26593" s="65" t="s">
        <v>296</v>
      </c>
    </row>
    <row r="26594" spans="1:2" x14ac:dyDescent="0.25">
      <c r="A26594" s="64" t="str">
        <f>HYPERLINK("http://www.twitter.com/1currantbun", "1currantbun")</f>
        <v>1currantbun</v>
      </c>
      <c r="B26594" s="65"/>
    </row>
    <row r="26595" spans="1:2" x14ac:dyDescent="0.25">
      <c r="A26595" s="64" t="str">
        <f>HYPERLINK("http://www.twitter.com/stephkelly92", "stephkelly92")</f>
        <v>stephkelly92</v>
      </c>
      <c r="B26595" s="65" t="s">
        <v>517</v>
      </c>
    </row>
    <row r="26596" spans="1:2" x14ac:dyDescent="0.25">
      <c r="A26596" s="64" t="str">
        <f>HYPERLINK("http://www.twitter.com/IETLibArch", "IETLibArch")</f>
        <v>IETLibArch</v>
      </c>
      <c r="B26596" s="65" t="s">
        <v>36</v>
      </c>
    </row>
    <row r="26597" spans="1:2" x14ac:dyDescent="0.25">
      <c r="A26597" s="64" t="str">
        <f>HYPERLINK("http://www.twitter.com/barry_duggan", "barry_duggan")</f>
        <v>barry_duggan</v>
      </c>
      <c r="B26597" s="65"/>
    </row>
    <row r="26598" spans="1:2" x14ac:dyDescent="0.25">
      <c r="A26598" s="64" t="str">
        <f>HYPERLINK("http://www.twitter.com/Nickhall_1970", "Nickhall_1970")</f>
        <v>Nickhall_1970</v>
      </c>
      <c r="B26598" s="65" t="s">
        <v>102</v>
      </c>
    </row>
    <row r="26599" spans="1:2" x14ac:dyDescent="0.25">
      <c r="A26599" s="64" t="str">
        <f>HYPERLINK("http://www.twitter.com/Barru_k", "Barru_k")</f>
        <v>Barru_k</v>
      </c>
      <c r="B26599" s="65"/>
    </row>
    <row r="26600" spans="1:2" x14ac:dyDescent="0.25">
      <c r="A26600" s="64" t="str">
        <f>HYPERLINK("http://www.twitter.com/flynn_rachael", "flynn_rachael")</f>
        <v>flynn_rachael</v>
      </c>
      <c r="B26600" s="65"/>
    </row>
    <row r="26601" spans="1:2" x14ac:dyDescent="0.25">
      <c r="A26601" s="64" t="str">
        <f>HYPERLINK("http://www.twitter.com/ste123456", "ste123456")</f>
        <v>ste123456</v>
      </c>
      <c r="B26601" s="65" t="s">
        <v>11391</v>
      </c>
    </row>
    <row r="26602" spans="1:2" x14ac:dyDescent="0.25">
      <c r="A26602" s="64" t="str">
        <f>HYPERLINK("http://www.twitter.com/Rachelkatex", "Rachelkatex")</f>
        <v>Rachelkatex</v>
      </c>
      <c r="B26602" s="65" t="s">
        <v>2864</v>
      </c>
    </row>
    <row r="26603" spans="1:2" x14ac:dyDescent="0.25">
      <c r="A26603" s="64" t="str">
        <f>HYPERLINK("http://www.twitter.com/pizzlestickdean", "pizzlestickdean")</f>
        <v>pizzlestickdean</v>
      </c>
      <c r="B26603" s="65"/>
    </row>
    <row r="26604" spans="1:2" x14ac:dyDescent="0.25">
      <c r="A26604" s="64" t="str">
        <f>HYPERLINK("http://www.twitter.com/GaryBrown2112", "GaryBrown2112")</f>
        <v>GaryBrown2112</v>
      </c>
      <c r="B26604" s="65" t="s">
        <v>642</v>
      </c>
    </row>
    <row r="26605" spans="1:2" x14ac:dyDescent="0.25">
      <c r="A26605" s="64" t="str">
        <f>HYPERLINK("http://www.twitter.com/elineof", "elineof")</f>
        <v>elineof</v>
      </c>
      <c r="B26605" s="65" t="s">
        <v>4274</v>
      </c>
    </row>
    <row r="26606" spans="1:2" x14ac:dyDescent="0.25">
      <c r="A26606" s="64" t="str">
        <f>HYPERLINK("http://www.twitter.com/Rethrifted", "Rethrifted")</f>
        <v>Rethrifted</v>
      </c>
      <c r="B26606" s="65" t="s">
        <v>11392</v>
      </c>
    </row>
    <row r="26607" spans="1:2" x14ac:dyDescent="0.25">
      <c r="A26607" s="64" t="str">
        <f>HYPERLINK("http://www.twitter.com/VCDesertRose", "VCDesertRose")</f>
        <v>VCDesertRose</v>
      </c>
      <c r="B26607" s="65"/>
    </row>
    <row r="26608" spans="1:2" x14ac:dyDescent="0.25">
      <c r="A26608" s="64" t="str">
        <f>HYPERLINK("http://www.twitter.com/mechacoda", "mechacoda")</f>
        <v>mechacoda</v>
      </c>
      <c r="B26608" s="65"/>
    </row>
    <row r="26609" spans="1:2" x14ac:dyDescent="0.25">
      <c r="A26609" s="64" t="str">
        <f>HYPERLINK("http://www.twitter.com/PeggyMcCracken", "PeggyMcCracken")</f>
        <v>PeggyMcCracken</v>
      </c>
      <c r="B26609" s="65"/>
    </row>
    <row r="26610" spans="1:2" x14ac:dyDescent="0.25">
      <c r="A26610" s="64" t="str">
        <f>HYPERLINK("http://www.twitter.com/LISU_lboro", "LISU_lboro")</f>
        <v>LISU_lboro</v>
      </c>
      <c r="B26610" s="65"/>
    </row>
    <row r="26611" spans="1:2" x14ac:dyDescent="0.25">
      <c r="A26611" s="64" t="str">
        <f>HYPERLINK("http://www.twitter.com/FaceEquality", "FaceEquality")</f>
        <v>FaceEquality</v>
      </c>
      <c r="B26611" s="65" t="s">
        <v>11393</v>
      </c>
    </row>
    <row r="26612" spans="1:2" x14ac:dyDescent="0.25">
      <c r="A26612" s="64" t="str">
        <f>HYPERLINK("http://www.twitter.com/desnels", "desnels")</f>
        <v>desnels</v>
      </c>
      <c r="B26612" s="65"/>
    </row>
    <row r="26613" spans="1:2" x14ac:dyDescent="0.25">
      <c r="A26613" s="64" t="str">
        <f>HYPERLINK("http://www.twitter.com/Drew3Jayne", "Drew3Jayne")</f>
        <v>Drew3Jayne</v>
      </c>
      <c r="B26613" s="65" t="s">
        <v>4234</v>
      </c>
    </row>
    <row r="26614" spans="1:2" x14ac:dyDescent="0.25">
      <c r="A26614" s="64" t="str">
        <f>HYPERLINK("http://www.twitter.com/BW0151", "BW0151")</f>
        <v>BW0151</v>
      </c>
      <c r="B26614" s="65"/>
    </row>
    <row r="26615" spans="1:2" x14ac:dyDescent="0.25">
      <c r="A26615" s="64" t="str">
        <f>HYPERLINK("http://www.twitter.com/cmfors", "cmfors")</f>
        <v>cmfors</v>
      </c>
      <c r="B26615" s="65" t="s">
        <v>24</v>
      </c>
    </row>
    <row r="26616" spans="1:2" x14ac:dyDescent="0.25">
      <c r="A26616" s="64" t="str">
        <f>HYPERLINK("http://www.twitter.com/msiowaintheuk", "msiowaintheuk")</f>
        <v>msiowaintheuk</v>
      </c>
      <c r="B26616" s="65" t="s">
        <v>102</v>
      </c>
    </row>
    <row r="26617" spans="1:2" x14ac:dyDescent="0.25">
      <c r="A26617" s="64" t="str">
        <f>HYPERLINK("http://www.twitter.com/PeterWJHarrigan", "PeterWJHarrigan")</f>
        <v>PeterWJHarrigan</v>
      </c>
      <c r="B26617" s="65"/>
    </row>
    <row r="26618" spans="1:2" x14ac:dyDescent="0.25">
      <c r="A26618" s="64" t="str">
        <f>HYPERLINK("http://www.twitter.com/cat_barlow", "cat_barlow")</f>
        <v>cat_barlow</v>
      </c>
      <c r="B26618" s="65" t="s">
        <v>11394</v>
      </c>
    </row>
    <row r="26619" spans="1:2" x14ac:dyDescent="0.25">
      <c r="A26619" s="64" t="str">
        <f>HYPERLINK("http://www.twitter.com/LaurseyK", "LaurseyK")</f>
        <v>LaurseyK</v>
      </c>
      <c r="B26619" s="65" t="s">
        <v>11395</v>
      </c>
    </row>
    <row r="26620" spans="1:2" x14ac:dyDescent="0.25">
      <c r="A26620" s="64" t="str">
        <f>HYPERLINK("http://www.twitter.com/jpwarren", "jpwarren")</f>
        <v>jpwarren</v>
      </c>
      <c r="B26620" s="65" t="s">
        <v>11396</v>
      </c>
    </row>
    <row r="26621" spans="1:2" x14ac:dyDescent="0.25">
      <c r="A26621" s="64" t="str">
        <f>HYPERLINK("http://www.twitter.com/jojoeffe", "jojoeffe")</f>
        <v>jojoeffe</v>
      </c>
      <c r="B26621" s="65" t="s">
        <v>11397</v>
      </c>
    </row>
    <row r="26622" spans="1:2" x14ac:dyDescent="0.25">
      <c r="A26622" s="64" t="str">
        <f>HYPERLINK("http://www.twitter.com/ICTStorage", "ICTStorage")</f>
        <v>ICTStorage</v>
      </c>
      <c r="B26622" s="65" t="s">
        <v>4409</v>
      </c>
    </row>
    <row r="26623" spans="1:2" x14ac:dyDescent="0.25">
      <c r="A26623" s="64" t="str">
        <f>HYPERLINK("http://www.twitter.com/jmp1701", "jmp1701")</f>
        <v>jmp1701</v>
      </c>
      <c r="B26623" s="65"/>
    </row>
    <row r="26624" spans="1:2" x14ac:dyDescent="0.25">
      <c r="A26624" s="64" t="str">
        <f>HYPERLINK("http://www.twitter.com/OxfamMoseleyBks", "OxfamMoseleyBks")</f>
        <v>OxfamMoseleyBks</v>
      </c>
      <c r="B26624" s="65" t="s">
        <v>2030</v>
      </c>
    </row>
    <row r="26625" spans="1:2" x14ac:dyDescent="0.25">
      <c r="A26625" s="64" t="str">
        <f>HYPERLINK("http://www.twitter.com/addy_helen", "addy_helen")</f>
        <v>addy_helen</v>
      </c>
      <c r="B26625" s="65" t="s">
        <v>11398</v>
      </c>
    </row>
    <row r="26626" spans="1:2" x14ac:dyDescent="0.25">
      <c r="A26626" s="64" t="str">
        <f>HYPERLINK("http://www.twitter.com/EarlofSteve", "EarlofSteve")</f>
        <v>EarlofSteve</v>
      </c>
      <c r="B26626" s="65" t="s">
        <v>11399</v>
      </c>
    </row>
    <row r="26627" spans="1:2" x14ac:dyDescent="0.25">
      <c r="A26627" s="64" t="str">
        <f>HYPERLINK("http://www.twitter.com/Tim_Baynes", "Tim_Baynes")</f>
        <v>Tim_Baynes</v>
      </c>
      <c r="B26627" s="65" t="s">
        <v>36</v>
      </c>
    </row>
    <row r="26628" spans="1:2" x14ac:dyDescent="0.25">
      <c r="A26628" s="64" t="str">
        <f>HYPERLINK("http://www.twitter.com/SaintVickster", "SaintVickster")</f>
        <v>SaintVickster</v>
      </c>
      <c r="B26628" s="65"/>
    </row>
    <row r="26629" spans="1:2" x14ac:dyDescent="0.25">
      <c r="A26629" s="64" t="str">
        <f>HYPERLINK("http://www.twitter.com/MBCornwall", "MBCornwall")</f>
        <v>MBCornwall</v>
      </c>
      <c r="B26629" s="65"/>
    </row>
    <row r="26630" spans="1:2" x14ac:dyDescent="0.25">
      <c r="A26630" s="64" t="str">
        <f>HYPERLINK("http://www.twitter.com/dmontfort", "dmontfort")</f>
        <v>dmontfort</v>
      </c>
      <c r="B26630" s="65" t="s">
        <v>1377</v>
      </c>
    </row>
    <row r="26631" spans="1:2" x14ac:dyDescent="0.25">
      <c r="A26631" s="64" t="str">
        <f>HYPERLINK("http://www.twitter.com/MathewPay", "MathewPay")</f>
        <v>MathewPay</v>
      </c>
      <c r="B26631" s="65" t="s">
        <v>138</v>
      </c>
    </row>
    <row r="26632" spans="1:2" x14ac:dyDescent="0.25">
      <c r="A26632" s="64" t="str">
        <f>HYPERLINK("http://www.twitter.com/arnot_david", "arnot_david")</f>
        <v>arnot_david</v>
      </c>
      <c r="B26632" s="65"/>
    </row>
    <row r="26633" spans="1:2" x14ac:dyDescent="0.25">
      <c r="A26633" s="64" t="str">
        <f>HYPERLINK("http://www.twitter.com/wbGabbleRatchet", "wbGabbleRatchet")</f>
        <v>wbGabbleRatchet</v>
      </c>
      <c r="B26633" s="65" t="s">
        <v>11400</v>
      </c>
    </row>
    <row r="26634" spans="1:2" x14ac:dyDescent="0.25">
      <c r="A26634" s="64" t="str">
        <f>HYPERLINK("http://www.twitter.com/WindingH", "WindingH")</f>
        <v>WindingH</v>
      </c>
      <c r="B26634" s="65" t="s">
        <v>11401</v>
      </c>
    </row>
    <row r="26635" spans="1:2" x14ac:dyDescent="0.25">
      <c r="A26635" s="64" t="str">
        <f>HYPERLINK("http://www.twitter.com/rainydaysaow", "rainydaysaow")</f>
        <v>rainydaysaow</v>
      </c>
      <c r="B26635" s="65" t="s">
        <v>11402</v>
      </c>
    </row>
    <row r="26636" spans="1:2" x14ac:dyDescent="0.25">
      <c r="A26636" s="64" t="str">
        <f>HYPERLINK("http://www.twitter.com/sarahgb", "sarahgb")</f>
        <v>sarahgb</v>
      </c>
      <c r="B26636" s="65" t="s">
        <v>11403</v>
      </c>
    </row>
    <row r="26637" spans="1:2" x14ac:dyDescent="0.25">
      <c r="A26637" s="64" t="str">
        <f>HYPERLINK("http://www.twitter.com/dorkymum", "dorkymum")</f>
        <v>dorkymum</v>
      </c>
      <c r="B26637" s="65" t="s">
        <v>11404</v>
      </c>
    </row>
    <row r="26638" spans="1:2" x14ac:dyDescent="0.25">
      <c r="A26638" s="64" t="str">
        <f>HYPERLINK("http://www.twitter.com/rachaelbews", "rachaelbews")</f>
        <v>rachaelbews</v>
      </c>
      <c r="B26638" s="65" t="s">
        <v>2007</v>
      </c>
    </row>
    <row r="26639" spans="1:2" x14ac:dyDescent="0.25">
      <c r="A26639" s="64" t="str">
        <f>HYPERLINK("http://www.twitter.com/anglosaxonmonk", "anglosaxonmonk")</f>
        <v>anglosaxonmonk</v>
      </c>
      <c r="B26639" s="65" t="s">
        <v>11405</v>
      </c>
    </row>
    <row r="26640" spans="1:2" x14ac:dyDescent="0.25">
      <c r="A26640" s="64" t="str">
        <f>HYPERLINK("http://www.twitter.com/Jakarta1974", "Jakarta1974")</f>
        <v>Jakarta1974</v>
      </c>
      <c r="B26640" s="65" t="s">
        <v>4237</v>
      </c>
    </row>
    <row r="26641" spans="1:2" x14ac:dyDescent="0.25">
      <c r="A26641" s="64" t="str">
        <f>HYPERLINK("http://www.twitter.com/full_fathom_5", "full_fathom_5")</f>
        <v>full_fathom_5</v>
      </c>
      <c r="B26641" s="65"/>
    </row>
    <row r="26642" spans="1:2" x14ac:dyDescent="0.25">
      <c r="A26642" s="64" t="str">
        <f>HYPERLINK("http://www.twitter.com/chriskeene", "chriskeene")</f>
        <v>chriskeene</v>
      </c>
      <c r="B26642" s="65" t="s">
        <v>5522</v>
      </c>
    </row>
    <row r="26643" spans="1:2" x14ac:dyDescent="0.25">
      <c r="A26643" s="64" t="str">
        <f>HYPERLINK("http://www.twitter.com/tantan5", "tantan5")</f>
        <v>tantan5</v>
      </c>
      <c r="B26643" s="65" t="s">
        <v>5027</v>
      </c>
    </row>
    <row r="26644" spans="1:2" x14ac:dyDescent="0.25">
      <c r="A26644" s="64" t="str">
        <f>HYPERLINK("http://www.twitter.com/aileenstr", "aileenstr")</f>
        <v>aileenstr</v>
      </c>
      <c r="B26644" s="65"/>
    </row>
    <row r="26645" spans="1:2" x14ac:dyDescent="0.25">
      <c r="A26645" s="64" t="str">
        <f>HYPERLINK("http://www.twitter.com/Jet1577", "Jet1577")</f>
        <v>Jet1577</v>
      </c>
      <c r="B26645" s="65"/>
    </row>
    <row r="26646" spans="1:2" x14ac:dyDescent="0.25">
      <c r="A26646" s="64" t="str">
        <f>HYPERLINK("http://www.twitter.com/MrsJThornton", "MrsJThornton")</f>
        <v>MrsJThornton</v>
      </c>
      <c r="B26646" s="65" t="s">
        <v>7739</v>
      </c>
    </row>
    <row r="26647" spans="1:2" x14ac:dyDescent="0.25">
      <c r="A26647" s="64" t="str">
        <f>HYPERLINK("http://www.twitter.com/chethamslibrary", "chethamslibrary")</f>
        <v>chethamslibrary</v>
      </c>
      <c r="B26647" s="65" t="s">
        <v>33</v>
      </c>
    </row>
    <row r="26648" spans="1:2" x14ac:dyDescent="0.25">
      <c r="A26648" s="64" t="str">
        <f>HYPERLINK("http://www.twitter.com/foggiebee", "foggiebee")</f>
        <v>foggiebee</v>
      </c>
      <c r="B26648" s="65" t="s">
        <v>5259</v>
      </c>
    </row>
    <row r="26649" spans="1:2" x14ac:dyDescent="0.25">
      <c r="A26649" s="64" t="str">
        <f>HYPERLINK("http://www.twitter.com/annestrange", "annestrange")</f>
        <v>annestrange</v>
      </c>
      <c r="B26649" s="65" t="s">
        <v>8879</v>
      </c>
    </row>
    <row r="26650" spans="1:2" x14ac:dyDescent="0.25">
      <c r="A26650" s="64" t="str">
        <f>HYPERLINK("http://www.twitter.com/MonLeather", "MonLeather")</f>
        <v>MonLeather</v>
      </c>
      <c r="B26650" s="65" t="s">
        <v>4161</v>
      </c>
    </row>
    <row r="26651" spans="1:2" x14ac:dyDescent="0.25">
      <c r="A26651" s="64" t="str">
        <f>HYPERLINK("http://www.twitter.com/annemariewyley", "annemariewyley")</f>
        <v>annemariewyley</v>
      </c>
      <c r="B26651" s="65" t="s">
        <v>11406</v>
      </c>
    </row>
    <row r="26652" spans="1:2" x14ac:dyDescent="0.25">
      <c r="A26652" s="64" t="str">
        <f>HYPERLINK("http://www.twitter.com/McWampuss", "McWampuss")</f>
        <v>McWampuss</v>
      </c>
      <c r="B26652" s="65" t="s">
        <v>3963</v>
      </c>
    </row>
    <row r="26653" spans="1:2" x14ac:dyDescent="0.25">
      <c r="A26653" s="64" t="str">
        <f>HYPERLINK("http://www.twitter.com/nysoclib", "nysoclib")</f>
        <v>nysoclib</v>
      </c>
      <c r="B26653" s="65" t="s">
        <v>5819</v>
      </c>
    </row>
    <row r="26654" spans="1:2" x14ac:dyDescent="0.25">
      <c r="A26654" s="64" t="str">
        <f>HYPERLINK("http://www.twitter.com/KirstenMcCorm11", "KirstenMcCorm11")</f>
        <v>KirstenMcCorm11</v>
      </c>
      <c r="B26654" s="65" t="s">
        <v>138</v>
      </c>
    </row>
    <row r="26655" spans="1:2" x14ac:dyDescent="0.25">
      <c r="A26655" s="64" t="str">
        <f>HYPERLINK("http://www.twitter.com/NESClib", "NESClib")</f>
        <v>NESClib</v>
      </c>
      <c r="B26655" s="65"/>
    </row>
    <row r="26656" spans="1:2" x14ac:dyDescent="0.25">
      <c r="A26656" s="64" t="str">
        <f>HYPERLINK("http://www.twitter.com/WMFSLibrary", "WMFSLibrary")</f>
        <v>WMFSLibrary</v>
      </c>
      <c r="B26656" s="65" t="s">
        <v>2156</v>
      </c>
    </row>
    <row r="26657" spans="1:2" x14ac:dyDescent="0.25">
      <c r="A26657" s="64" t="str">
        <f>HYPERLINK("http://www.twitter.com/UoLLibrary", "UoLLibrary")</f>
        <v>UoLLibrary</v>
      </c>
      <c r="B26657" s="65" t="s">
        <v>390</v>
      </c>
    </row>
    <row r="26658" spans="1:2" x14ac:dyDescent="0.25">
      <c r="A26658" s="64" t="str">
        <f>HYPERLINK("http://www.twitter.com/2Newlot", "2Newlot")</f>
        <v>2Newlot</v>
      </c>
      <c r="B26658" s="65"/>
    </row>
    <row r="26659" spans="1:2" x14ac:dyDescent="0.25">
      <c r="A26659" s="64" t="str">
        <f>HYPERLINK("http://www.twitter.com/stufromoz", "stufromoz")</f>
        <v>stufromoz</v>
      </c>
      <c r="B26659" s="65" t="s">
        <v>4237</v>
      </c>
    </row>
    <row r="26660" spans="1:2" x14ac:dyDescent="0.25">
      <c r="A26660" s="64" t="str">
        <f>HYPERLINK("http://www.twitter.com/CalgacusMacA", "CalgacusMacA")</f>
        <v>CalgacusMacA</v>
      </c>
      <c r="B26660" s="65"/>
    </row>
    <row r="26661" spans="1:2" x14ac:dyDescent="0.25">
      <c r="A26661" s="64" t="str">
        <f>HYPERLINK("http://www.twitter.com/AilieWilson", "AilieWilson")</f>
        <v>AilieWilson</v>
      </c>
      <c r="B26661" s="65" t="s">
        <v>11407</v>
      </c>
    </row>
    <row r="26662" spans="1:2" x14ac:dyDescent="0.25">
      <c r="A26662" s="64" t="str">
        <f>HYPERLINK("http://www.twitter.com/drpetrie48", "drpetrie48")</f>
        <v>drpetrie48</v>
      </c>
      <c r="B26662" s="65"/>
    </row>
    <row r="26663" spans="1:2" x14ac:dyDescent="0.25">
      <c r="A26663" s="64" t="str">
        <f>HYPERLINK("http://www.twitter.com/tafyboy", "tafyboy")</f>
        <v>tafyboy</v>
      </c>
      <c r="B26663" s="65" t="s">
        <v>11408</v>
      </c>
    </row>
    <row r="26664" spans="1:2" x14ac:dyDescent="0.25">
      <c r="A26664" s="64" t="str">
        <f>HYPERLINK("http://www.twitter.com/ForumSouthend", "ForumSouthend")</f>
        <v>ForumSouthend</v>
      </c>
      <c r="B26664" s="65" t="s">
        <v>950</v>
      </c>
    </row>
    <row r="26665" spans="1:2" x14ac:dyDescent="0.25">
      <c r="A26665" s="64" t="str">
        <f>HYPERLINK("http://www.twitter.com/emilylawty", "emilylawty")</f>
        <v>emilylawty</v>
      </c>
      <c r="B26665" s="65" t="s">
        <v>138</v>
      </c>
    </row>
    <row r="26666" spans="1:2" x14ac:dyDescent="0.25">
      <c r="A26666" s="64" t="str">
        <f>HYPERLINK("http://www.twitter.com/Eastward_House", "Eastward_House")</f>
        <v>Eastward_House</v>
      </c>
      <c r="B26666" s="65" t="s">
        <v>20</v>
      </c>
    </row>
    <row r="26667" spans="1:2" x14ac:dyDescent="0.25">
      <c r="A26667" s="64" t="str">
        <f>HYPERLINK("http://www.twitter.com/shrlnsnks", "shrlnsnks")</f>
        <v>shrlnsnks</v>
      </c>
      <c r="B26667" s="65" t="s">
        <v>11409</v>
      </c>
    </row>
    <row r="26668" spans="1:2" x14ac:dyDescent="0.25">
      <c r="A26668" s="64" t="str">
        <f>HYPERLINK("http://www.twitter.com/AnnieFlett", "AnnieFlett")</f>
        <v>AnnieFlett</v>
      </c>
      <c r="B26668" s="65"/>
    </row>
    <row r="26669" spans="1:2" x14ac:dyDescent="0.25">
      <c r="A26669" s="64" t="str">
        <f>HYPERLINK("http://www.twitter.com/RigoleBooks", "RigoleBooks")</f>
        <v>RigoleBooks</v>
      </c>
      <c r="B26669" s="65" t="s">
        <v>70</v>
      </c>
    </row>
    <row r="26670" spans="1:2" x14ac:dyDescent="0.25">
      <c r="A26670" s="64" t="str">
        <f>HYPERLINK("http://www.twitter.com/EllenRendall", "EllenRendall")</f>
        <v>EllenRendall</v>
      </c>
      <c r="B26670" s="65"/>
    </row>
    <row r="26671" spans="1:2" x14ac:dyDescent="0.25">
      <c r="A26671" s="64" t="str">
        <f>HYPERLINK("http://www.twitter.com/natalieo171", "natalieo171")</f>
        <v>natalieo171</v>
      </c>
      <c r="B26671" s="65" t="s">
        <v>3988</v>
      </c>
    </row>
    <row r="26672" spans="1:2" x14ac:dyDescent="0.25">
      <c r="A26672" s="64" t="str">
        <f>HYPERLINK("http://www.twitter.com/helenksaunders", "helenksaunders")</f>
        <v>helenksaunders</v>
      </c>
      <c r="B26672" s="65" t="s">
        <v>36</v>
      </c>
    </row>
    <row r="26673" spans="1:2" x14ac:dyDescent="0.25">
      <c r="A26673" s="64" t="str">
        <f>HYPERLINK("http://www.twitter.com/jmmj", "jmmj")</f>
        <v>jmmj</v>
      </c>
      <c r="B26673" s="65" t="s">
        <v>9810</v>
      </c>
    </row>
    <row r="26674" spans="1:2" x14ac:dyDescent="0.25">
      <c r="A26674" s="64" t="str">
        <f>HYPERLINK("http://www.twitter.com/EmboIain", "EmboIain")</f>
        <v>EmboIain</v>
      </c>
      <c r="B26674" s="65" t="s">
        <v>11410</v>
      </c>
    </row>
    <row r="26675" spans="1:2" x14ac:dyDescent="0.25">
      <c r="A26675" s="64" t="str">
        <f>HYPERLINK("http://www.twitter.com/indothom", "indothom")</f>
        <v>indothom</v>
      </c>
      <c r="B26675" s="65" t="s">
        <v>487</v>
      </c>
    </row>
    <row r="26676" spans="1:2" x14ac:dyDescent="0.25">
      <c r="A26676" s="64" t="str">
        <f>HYPERLINK("http://www.twitter.com/MissSimonesta", "MissSimonesta")</f>
        <v>MissSimonesta</v>
      </c>
      <c r="B26676" s="65" t="s">
        <v>11411</v>
      </c>
    </row>
    <row r="26677" spans="1:2" x14ac:dyDescent="0.25">
      <c r="A26677" s="64" t="str">
        <f>HYPERLINK("http://www.twitter.com/NPTLibraries", "NPTLibraries")</f>
        <v>NPTLibraries</v>
      </c>
      <c r="B26677" s="65" t="s">
        <v>923</v>
      </c>
    </row>
    <row r="26678" spans="1:2" x14ac:dyDescent="0.25">
      <c r="A26678" s="64" t="str">
        <f>HYPERLINK("http://www.twitter.com/colinteapad", "colinteapad")</f>
        <v>colinteapad</v>
      </c>
      <c r="B26678" s="65" t="s">
        <v>6345</v>
      </c>
    </row>
    <row r="26679" spans="1:2" x14ac:dyDescent="0.25">
      <c r="A26679" s="64" t="str">
        <f>HYPERLINK("http://www.twitter.com/weezelnz", "weezelnz")</f>
        <v>weezelnz</v>
      </c>
      <c r="B26679" s="65" t="s">
        <v>11412</v>
      </c>
    </row>
    <row r="26680" spans="1:2" x14ac:dyDescent="0.25">
      <c r="A26680" s="64" t="str">
        <f>HYPERLINK("http://www.twitter.com/FoggyBe", "FoggyBe")</f>
        <v>FoggyBe</v>
      </c>
      <c r="B26680" s="65"/>
    </row>
    <row r="26681" spans="1:2" x14ac:dyDescent="0.25">
      <c r="A26681" s="64" t="str">
        <f>HYPERLINK("http://www.twitter.com/betty_blythe", "betty_blythe")</f>
        <v>betty_blythe</v>
      </c>
      <c r="B26681" s="65" t="s">
        <v>11413</v>
      </c>
    </row>
    <row r="26682" spans="1:2" x14ac:dyDescent="0.25">
      <c r="A26682" s="64" t="str">
        <f>HYPERLINK("http://www.twitter.com/undomgoddess", "undomgoddess")</f>
        <v>undomgoddess</v>
      </c>
      <c r="B26682" s="65" t="s">
        <v>1098</v>
      </c>
    </row>
    <row r="26683" spans="1:2" x14ac:dyDescent="0.25">
      <c r="A26683" s="64" t="str">
        <f>HYPERLINK("http://www.twitter.com/dotkronda", "dotkronda")</f>
        <v>dotkronda</v>
      </c>
      <c r="B26683" s="65"/>
    </row>
    <row r="26684" spans="1:2" x14ac:dyDescent="0.25">
      <c r="A26684" s="64" t="str">
        <f>HYPERLINK("http://www.twitter.com/KrondaDot", "KrondaDot")</f>
        <v>KrondaDot</v>
      </c>
      <c r="B26684" s="65"/>
    </row>
    <row r="26685" spans="1:2" x14ac:dyDescent="0.25">
      <c r="A26685" s="64" t="str">
        <f>HYPERLINK("http://www.twitter.com/forestgate08", "forestgate08")</f>
        <v>forestgate08</v>
      </c>
      <c r="B26685" s="65"/>
    </row>
    <row r="26686" spans="1:2" x14ac:dyDescent="0.25">
      <c r="A26686" s="64" t="str">
        <f>HYPERLINK("http://www.twitter.com/katherinebquinn", "katherinebquinn")</f>
        <v>katherinebquinn</v>
      </c>
      <c r="B26686" s="65" t="s">
        <v>926</v>
      </c>
    </row>
    <row r="26687" spans="1:2" x14ac:dyDescent="0.25">
      <c r="A26687" s="64" t="str">
        <f>HYPERLINK("http://www.twitter.com/bwpublishing", "bwpublishing")</f>
        <v>bwpublishing</v>
      </c>
      <c r="B26687" s="65" t="s">
        <v>24</v>
      </c>
    </row>
    <row r="26688" spans="1:2" x14ac:dyDescent="0.25">
      <c r="A26688" s="64" t="str">
        <f>HYPERLINK("http://www.twitter.com/XineOB", "XineOB")</f>
        <v>XineOB</v>
      </c>
      <c r="B26688" s="65"/>
    </row>
    <row r="26689" spans="1:2" x14ac:dyDescent="0.25">
      <c r="A26689" s="64" t="str">
        <f>HYPERLINK("http://www.twitter.com/adbrora", "adbrora")</f>
        <v>adbrora</v>
      </c>
      <c r="B26689" s="65" t="s">
        <v>24</v>
      </c>
    </row>
    <row r="26690" spans="1:2" x14ac:dyDescent="0.25">
      <c r="A26690" s="64" t="str">
        <f>HYPERLINK("http://www.twitter.com/dpgreen", "dpgreen")</f>
        <v>dpgreen</v>
      </c>
      <c r="B26690" s="65" t="s">
        <v>11414</v>
      </c>
    </row>
    <row r="26691" spans="1:2" x14ac:dyDescent="0.25">
      <c r="A26691" s="64" t="str">
        <f>HYPERLINK("http://www.twitter.com/cfwaters", "cfwaters")</f>
        <v>cfwaters</v>
      </c>
      <c r="B26691" s="65" t="s">
        <v>7659</v>
      </c>
    </row>
    <row r="26692" spans="1:2" x14ac:dyDescent="0.25">
      <c r="A26692" s="64" t="str">
        <f>HYPERLINK("http://www.twitter.com/HestiaHughes", "HestiaHughes")</f>
        <v>HestiaHughes</v>
      </c>
      <c r="B26692" s="65" t="s">
        <v>11415</v>
      </c>
    </row>
    <row r="26693" spans="1:2" x14ac:dyDescent="0.25">
      <c r="A26693" s="64" t="str">
        <f>HYPERLINK("http://www.twitter.com/mrsbrazendale", "mrsbrazendale")</f>
        <v>mrsbrazendale</v>
      </c>
      <c r="B26693" s="65" t="s">
        <v>11416</v>
      </c>
    </row>
    <row r="26694" spans="1:2" x14ac:dyDescent="0.25">
      <c r="A26694" s="64" t="str">
        <f>HYPERLINK("http://www.twitter.com/sarahcassl", "sarahcassl")</f>
        <v>sarahcassl</v>
      </c>
      <c r="B26694" s="65" t="s">
        <v>36</v>
      </c>
    </row>
    <row r="26695" spans="1:2" x14ac:dyDescent="0.25">
      <c r="A26695" s="64" t="str">
        <f>HYPERLINK("http://www.twitter.com/RtikChick", "RtikChick")</f>
        <v>RtikChick</v>
      </c>
      <c r="B26695" s="65" t="s">
        <v>11417</v>
      </c>
    </row>
    <row r="26696" spans="1:2" x14ac:dyDescent="0.25">
      <c r="A26696" s="64" t="str">
        <f>HYPERLINK("http://www.twitter.com/mogz24", "mogz24")</f>
        <v>mogz24</v>
      </c>
      <c r="B26696" s="65"/>
    </row>
    <row r="26697" spans="1:2" x14ac:dyDescent="0.25">
      <c r="A26697" s="64" t="str">
        <f>HYPERLINK("http://www.twitter.com/J_M_Matthew", "J_M_Matthew")</f>
        <v>J_M_Matthew</v>
      </c>
      <c r="B26697" s="65" t="s">
        <v>4247</v>
      </c>
    </row>
    <row r="26698" spans="1:2" x14ac:dyDescent="0.25">
      <c r="A26698" s="64" t="str">
        <f>HYPERLINK("http://www.twitter.com/JFBeckwith", "JFBeckwith")</f>
        <v>JFBeckwith</v>
      </c>
      <c r="B26698" s="65"/>
    </row>
    <row r="26699" spans="1:2" x14ac:dyDescent="0.25">
      <c r="A26699" s="64" t="str">
        <f>HYPERLINK("http://www.twitter.com/KarynMcGhee", "KarynMcGhee")</f>
        <v>KarynMcGhee</v>
      </c>
      <c r="B26699" s="65" t="s">
        <v>2007</v>
      </c>
    </row>
    <row r="26700" spans="1:2" x14ac:dyDescent="0.25">
      <c r="A26700" s="64" t="str">
        <f>HYPERLINK("http://www.twitter.com/RosesandStripes", "RosesandStripes")</f>
        <v>RosesandStripes</v>
      </c>
      <c r="B26700" s="65" t="s">
        <v>11418</v>
      </c>
    </row>
    <row r="26701" spans="1:2" x14ac:dyDescent="0.25">
      <c r="A26701" s="64" t="str">
        <f>HYPERLINK("http://www.twitter.com/johnghughes3", "johnghughes3")</f>
        <v>johnghughes3</v>
      </c>
      <c r="B26701" s="65" t="s">
        <v>11419</v>
      </c>
    </row>
    <row r="26702" spans="1:2" x14ac:dyDescent="0.25">
      <c r="A26702" s="64" t="str">
        <f>HYPERLINK("http://www.twitter.com/NicMhathain", "NicMhathain")</f>
        <v>NicMhathain</v>
      </c>
      <c r="B26702" s="65" t="s">
        <v>6081</v>
      </c>
    </row>
    <row r="26703" spans="1:2" x14ac:dyDescent="0.25">
      <c r="A26703" s="64" t="str">
        <f>HYPERLINK("http://www.twitter.com/debbie21", "debbie21")</f>
        <v>debbie21</v>
      </c>
      <c r="B26703" s="65"/>
    </row>
    <row r="26704" spans="1:2" x14ac:dyDescent="0.25">
      <c r="A26704" s="64" t="str">
        <f>HYPERLINK("http://www.twitter.com/karentoittoit", "karentoittoit")</f>
        <v>karentoittoit</v>
      </c>
      <c r="B26704" s="65" t="s">
        <v>4570</v>
      </c>
    </row>
    <row r="26705" spans="1:2" x14ac:dyDescent="0.25">
      <c r="A26705" s="64" t="str">
        <f>HYPERLINK("http://www.twitter.com/lizmiles14", "lizmiles14")</f>
        <v>lizmiles14</v>
      </c>
      <c r="B26705" s="65"/>
    </row>
    <row r="26706" spans="1:2" x14ac:dyDescent="0.25">
      <c r="A26706" s="64" t="str">
        <f>HYPERLINK("http://www.twitter.com/scottishindexes", "scottishindexes")</f>
        <v>scottishindexes</v>
      </c>
      <c r="B26706" s="65" t="s">
        <v>11420</v>
      </c>
    </row>
    <row r="26707" spans="1:2" x14ac:dyDescent="0.25">
      <c r="A26707" s="64" t="str">
        <f>HYPERLINK("http://www.twitter.com/BarbicanKids", "BarbicanKids")</f>
        <v>BarbicanKids</v>
      </c>
      <c r="B26707" s="65" t="s">
        <v>36</v>
      </c>
    </row>
    <row r="26708" spans="1:2" x14ac:dyDescent="0.25">
      <c r="A26708" s="64" t="str">
        <f>HYPERLINK("http://www.twitter.com/hcukgrplibrary", "hcukgrplibrary")</f>
        <v>hcukgrplibrary</v>
      </c>
      <c r="B26708" s="65" t="s">
        <v>5570</v>
      </c>
    </row>
    <row r="26709" spans="1:2" x14ac:dyDescent="0.25">
      <c r="A26709" s="64" t="str">
        <f>HYPERLINK("http://www.twitter.com/GreenHealthScot", "GreenHealthScot")</f>
        <v>GreenHealthScot</v>
      </c>
      <c r="B26709" s="65" t="s">
        <v>11421</v>
      </c>
    </row>
    <row r="26710" spans="1:2" x14ac:dyDescent="0.25">
      <c r="A26710" s="64" t="str">
        <f>HYPERLINK("http://www.twitter.com/ShipleySmallB", "ShipleySmallB")</f>
        <v>ShipleySmallB</v>
      </c>
      <c r="B26710" s="65"/>
    </row>
    <row r="26711" spans="1:2" x14ac:dyDescent="0.25">
      <c r="A26711" s="64" t="str">
        <f>HYPERLINK("http://www.twitter.com/BMCLibrary", "BMCLibrary")</f>
        <v>BMCLibrary</v>
      </c>
      <c r="B26711" s="65" t="s">
        <v>11322</v>
      </c>
    </row>
    <row r="26712" spans="1:2" x14ac:dyDescent="0.25">
      <c r="A26712" s="64" t="str">
        <f>HYPERLINK("http://www.twitter.com/kaateduck", "kaateduck")</f>
        <v>kaateduck</v>
      </c>
      <c r="B26712" s="65" t="s">
        <v>4447</v>
      </c>
    </row>
    <row r="26713" spans="1:2" x14ac:dyDescent="0.25">
      <c r="A26713" s="64" t="str">
        <f>HYPERLINK("http://www.twitter.com/Bunnery1", "Bunnery1")</f>
        <v>Bunnery1</v>
      </c>
      <c r="B26713" s="65"/>
    </row>
    <row r="26714" spans="1:2" x14ac:dyDescent="0.25">
      <c r="A26714" s="64" t="str">
        <f>HYPERLINK("http://www.twitter.com/LibbyR26", "LibbyR26")</f>
        <v>LibbyR26</v>
      </c>
      <c r="B26714" s="65"/>
    </row>
    <row r="26715" spans="1:2" x14ac:dyDescent="0.25">
      <c r="A26715" s="64" t="str">
        <f>HYPERLINK("http://www.twitter.com/Harley_Edwards", "Harley_Edwards")</f>
        <v>Harley_Edwards</v>
      </c>
      <c r="B26715" s="65" t="s">
        <v>70</v>
      </c>
    </row>
    <row r="26716" spans="1:2" x14ac:dyDescent="0.25">
      <c r="A26716" s="64" t="str">
        <f>HYPERLINK("http://www.twitter.com/UniStrathLibIT", "UniStrathLibIT")</f>
        <v>UniStrathLibIT</v>
      </c>
      <c r="B26716" s="65" t="s">
        <v>318</v>
      </c>
    </row>
    <row r="26717" spans="1:2" x14ac:dyDescent="0.25">
      <c r="A26717" s="64" t="str">
        <f>HYPERLINK("http://www.twitter.com/SergiodaSilesia", "SergiodaSilesia")</f>
        <v>SergiodaSilesia</v>
      </c>
      <c r="B26717" s="65" t="s">
        <v>11422</v>
      </c>
    </row>
    <row r="26718" spans="1:2" x14ac:dyDescent="0.25">
      <c r="A26718" s="64" t="str">
        <f>HYPERLINK("http://www.twitter.com/ViciousValkyrie", "ViciousValkyrie")</f>
        <v>ViciousValkyrie</v>
      </c>
      <c r="B26718" s="65" t="s">
        <v>517</v>
      </c>
    </row>
    <row r="26719" spans="1:2" x14ac:dyDescent="0.25">
      <c r="A26719" s="64" t="str">
        <f>HYPERLINK("http://www.twitter.com/cmcconnell14", "cmcconnell14")</f>
        <v>cmcconnell14</v>
      </c>
      <c r="B26719" s="65" t="s">
        <v>138</v>
      </c>
    </row>
    <row r="26720" spans="1:2" x14ac:dyDescent="0.25">
      <c r="A26720" s="64" t="str">
        <f>HYPERLINK("http://www.twitter.com/jkstorytelling", "jkstorytelling")</f>
        <v>jkstorytelling</v>
      </c>
      <c r="B26720" s="65" t="s">
        <v>11423</v>
      </c>
    </row>
    <row r="26721" spans="1:2" x14ac:dyDescent="0.25">
      <c r="A26721" s="64" t="str">
        <f>HYPERLINK("http://www.twitter.com/Copacetic2020", "Copacetic2020")</f>
        <v>Copacetic2020</v>
      </c>
      <c r="B26721" s="65"/>
    </row>
    <row r="26722" spans="1:2" x14ac:dyDescent="0.25">
      <c r="A26722" s="64" t="str">
        <f>HYPERLINK("http://www.twitter.com/dowen70", "dowen70")</f>
        <v>dowen70</v>
      </c>
      <c r="B26722" s="65"/>
    </row>
    <row r="26723" spans="1:2" x14ac:dyDescent="0.25">
      <c r="A26723" s="64" t="str">
        <f>HYPERLINK("http://www.twitter.com/mj_dickson", "mj_dickson")</f>
        <v>mj_dickson</v>
      </c>
      <c r="B26723" s="65"/>
    </row>
    <row r="26724" spans="1:2" x14ac:dyDescent="0.25">
      <c r="A26724" s="64" t="str">
        <f>HYPERLINK("http://www.twitter.com/hanistas5", "hanistas5")</f>
        <v>hanistas5</v>
      </c>
      <c r="B26724" s="65" t="s">
        <v>4095</v>
      </c>
    </row>
    <row r="26725" spans="1:2" x14ac:dyDescent="0.25">
      <c r="A26725" s="64" t="str">
        <f>HYPERLINK("http://www.twitter.com/vmuir26", "vmuir26")</f>
        <v>vmuir26</v>
      </c>
      <c r="B26725" s="65"/>
    </row>
    <row r="26726" spans="1:2" x14ac:dyDescent="0.25">
      <c r="A26726" s="64" t="str">
        <f>HYPERLINK("http://www.twitter.com/CeciMazzarella", "CeciMazzarella")</f>
        <v>CeciMazzarella</v>
      </c>
      <c r="B26726" s="65" t="s">
        <v>36</v>
      </c>
    </row>
    <row r="26727" spans="1:2" x14ac:dyDescent="0.25">
      <c r="A26727" s="64" t="str">
        <f>HYPERLINK("http://www.twitter.com/cat_catmak", "cat_catmak")</f>
        <v>cat_catmak</v>
      </c>
      <c r="B26727" s="65" t="s">
        <v>4040</v>
      </c>
    </row>
    <row r="26728" spans="1:2" x14ac:dyDescent="0.25">
      <c r="A26728" s="64" t="str">
        <f>HYPERLINK("http://www.twitter.com/KingEdLib", "KingEdLib")</f>
        <v>KingEdLib</v>
      </c>
      <c r="B26728" s="65" t="s">
        <v>11424</v>
      </c>
    </row>
    <row r="26729" spans="1:2" x14ac:dyDescent="0.25">
      <c r="A26729" s="64" t="str">
        <f>HYPERLINK("http://www.twitter.com/BookMatching", "BookMatching")</f>
        <v>BookMatching</v>
      </c>
      <c r="B26729" s="65"/>
    </row>
    <row r="26730" spans="1:2" x14ac:dyDescent="0.25">
      <c r="A26730" s="64" t="str">
        <f>HYPERLINK("http://www.twitter.com/Renee_Gillan", "Renee_Gillan")</f>
        <v>Renee_Gillan</v>
      </c>
      <c r="B26730" s="65" t="s">
        <v>5009</v>
      </c>
    </row>
    <row r="26731" spans="1:2" x14ac:dyDescent="0.25">
      <c r="A26731" s="64" t="str">
        <f>HYPERLINK("http://www.twitter.com/MichelleBaikie1", "MichelleBaikie1")</f>
        <v>MichelleBaikie1</v>
      </c>
      <c r="B26731" s="65"/>
    </row>
    <row r="26732" spans="1:2" x14ac:dyDescent="0.25">
      <c r="A26732" s="64" t="str">
        <f>HYPERLINK("http://www.twitter.com/Jackmetca", "Jackmetca")</f>
        <v>Jackmetca</v>
      </c>
      <c r="B26732" s="65" t="s">
        <v>11425</v>
      </c>
    </row>
    <row r="26733" spans="1:2" x14ac:dyDescent="0.25">
      <c r="A26733" s="64" t="str">
        <f>HYPERLINK("http://www.twitter.com/sludgetroll", "sludgetroll")</f>
        <v>sludgetroll</v>
      </c>
      <c r="B26733" s="65" t="s">
        <v>11426</v>
      </c>
    </row>
    <row r="26734" spans="1:2" x14ac:dyDescent="0.25">
      <c r="A26734" s="64" t="str">
        <f>HYPERLINK("http://www.twitter.com/alex_wright9", "alex_wright9")</f>
        <v>alex_wright9</v>
      </c>
      <c r="B26734" s="65"/>
    </row>
    <row r="26735" spans="1:2" x14ac:dyDescent="0.25">
      <c r="A26735" s="64" t="str">
        <f>HYPERLINK("http://www.twitter.com/QfilesOfficial", "QfilesOfficial")</f>
        <v>QfilesOfficial</v>
      </c>
      <c r="B26735" s="65" t="s">
        <v>296</v>
      </c>
    </row>
    <row r="26736" spans="1:2" x14ac:dyDescent="0.25">
      <c r="A26736" s="64" t="str">
        <f>HYPERLINK("http://www.twitter.com/OswestryLibrary", "OswestryLibrary")</f>
        <v>OswestryLibrary</v>
      </c>
      <c r="B26736" s="65" t="s">
        <v>697</v>
      </c>
    </row>
    <row r="26737" spans="1:2" x14ac:dyDescent="0.25">
      <c r="A26737" s="64" t="str">
        <f>HYPERLINK("http://www.twitter.com/stillandmovin", "stillandmovin")</f>
        <v>stillandmovin</v>
      </c>
      <c r="B26737" s="65"/>
    </row>
    <row r="26738" spans="1:2" x14ac:dyDescent="0.25">
      <c r="A26738" s="64" t="str">
        <f>HYPERLINK("http://www.twitter.com/melissaterras", "melissaterras")</f>
        <v>melissaterras</v>
      </c>
      <c r="B26738" s="65" t="s">
        <v>36</v>
      </c>
    </row>
    <row r="26739" spans="1:2" x14ac:dyDescent="0.25">
      <c r="A26739" s="64" t="str">
        <f>HYPERLINK("http://www.twitter.com/FHeimburger", "FHeimburger")</f>
        <v>FHeimburger</v>
      </c>
      <c r="B26739" s="65" t="s">
        <v>7708</v>
      </c>
    </row>
    <row r="26740" spans="1:2" x14ac:dyDescent="0.25">
      <c r="A26740" s="64" t="str">
        <f>HYPERLINK("http://www.twitter.com/scapa1919", "scapa1919")</f>
        <v>scapa1919</v>
      </c>
      <c r="B26740" s="65"/>
    </row>
    <row r="26741" spans="1:2" x14ac:dyDescent="0.25">
      <c r="A26741" s="64" t="str">
        <f>HYPERLINK("http://www.twitter.com/biblioteq_tress", "biblioteq_tress")</f>
        <v>biblioteq_tress</v>
      </c>
      <c r="B26741" s="65" t="s">
        <v>11427</v>
      </c>
    </row>
    <row r="26742" spans="1:2" x14ac:dyDescent="0.25">
      <c r="A26742" s="64" t="str">
        <f>HYPERLINK("http://www.twitter.com/Laney4485", "Laney4485")</f>
        <v>Laney4485</v>
      </c>
      <c r="B26742" s="65"/>
    </row>
    <row r="26743" spans="1:2" x14ac:dyDescent="0.25">
      <c r="A26743" s="64" t="str">
        <f>HYPERLINK("http://www.twitter.com/ClareUytman", "ClareUytman")</f>
        <v>ClareUytman</v>
      </c>
      <c r="B26743" s="65" t="s">
        <v>24</v>
      </c>
    </row>
    <row r="26744" spans="1:2" x14ac:dyDescent="0.25">
      <c r="A26744" s="64" t="str">
        <f>HYPERLINK("http://www.twitter.com/fredsaunderson", "fredsaunderson")</f>
        <v>fredsaunderson</v>
      </c>
      <c r="B26744" s="65" t="s">
        <v>24</v>
      </c>
    </row>
    <row r="26745" spans="1:2" x14ac:dyDescent="0.25">
      <c r="A26745" s="64" t="str">
        <f>HYPERLINK("http://www.twitter.com/ElisabJessen", "ElisabJessen")</f>
        <v>ElisabJessen</v>
      </c>
      <c r="B26745" s="65"/>
    </row>
    <row r="26746" spans="1:2" x14ac:dyDescent="0.25">
      <c r="A26746" s="64" t="str">
        <f>HYPERLINK("http://www.twitter.com/claudiagray", "claudiagray")</f>
        <v>claudiagray</v>
      </c>
      <c r="B26746" s="65" t="s">
        <v>7853</v>
      </c>
    </row>
    <row r="26747" spans="1:2" x14ac:dyDescent="0.25">
      <c r="A26747" s="64" t="str">
        <f>HYPERLINK("http://www.twitter.com/bentrent2", "bentrent2")</f>
        <v>bentrent2</v>
      </c>
      <c r="B26747" s="65"/>
    </row>
    <row r="26748" spans="1:2" x14ac:dyDescent="0.25">
      <c r="A26748" s="64" t="str">
        <f>HYPERLINK("http://www.twitter.com/heather_grace13", "heather_grace13")</f>
        <v>heather_grace13</v>
      </c>
      <c r="B26748" s="65" t="s">
        <v>11428</v>
      </c>
    </row>
    <row r="26749" spans="1:2" x14ac:dyDescent="0.25">
      <c r="A26749" s="64" t="str">
        <f>HYPERLINK("http://www.twitter.com/SitaBrahmachari", "SitaBrahmachari")</f>
        <v>SitaBrahmachari</v>
      </c>
      <c r="B26749" s="65" t="s">
        <v>36</v>
      </c>
    </row>
    <row r="26750" spans="1:2" x14ac:dyDescent="0.25">
      <c r="A26750" s="64" t="str">
        <f>HYPERLINK("http://www.twitter.com/wishart_wizard", "wishart_wizard")</f>
        <v>wishart_wizard</v>
      </c>
      <c r="B26750" s="65" t="s">
        <v>6145</v>
      </c>
    </row>
    <row r="26751" spans="1:2" x14ac:dyDescent="0.25">
      <c r="A26751" s="64" t="str">
        <f>HYPERLINK("http://www.twitter.com/thequeenofsheba", "thequeenofsheba")</f>
        <v>thequeenofsheba</v>
      </c>
      <c r="B26751" s="65" t="s">
        <v>11429</v>
      </c>
    </row>
    <row r="26752" spans="1:2" x14ac:dyDescent="0.25">
      <c r="A26752" s="64" t="str">
        <f>HYPERLINK("http://www.twitter.com/ApplebyAndrew", "ApplebyAndrew")</f>
        <v>ApplebyAndrew</v>
      </c>
      <c r="B26752" s="65"/>
    </row>
    <row r="26753" spans="1:2" x14ac:dyDescent="0.25">
      <c r="A26753" s="64" t="str">
        <f>HYPERLINK("http://www.twitter.com/springyleaks", "springyleaks")</f>
        <v>springyleaks</v>
      </c>
      <c r="B26753" s="65" t="s">
        <v>11430</v>
      </c>
    </row>
    <row r="26754" spans="1:2" x14ac:dyDescent="0.25">
      <c r="A26754" s="64" t="str">
        <f>HYPERLINK("http://www.twitter.com/EricaClarkson1", "EricaClarkson1")</f>
        <v>EricaClarkson1</v>
      </c>
      <c r="B26754" s="65" t="s">
        <v>4227</v>
      </c>
    </row>
    <row r="26755" spans="1:2" x14ac:dyDescent="0.25">
      <c r="A26755" s="64" t="str">
        <f>HYPERLINK("http://www.twitter.com/BlandBrownie", "BlandBrownie")</f>
        <v>BlandBrownie</v>
      </c>
      <c r="B26755" s="65" t="s">
        <v>11431</v>
      </c>
    </row>
    <row r="26756" spans="1:2" x14ac:dyDescent="0.25">
      <c r="A26756" s="64" t="str">
        <f>HYPERLINK("http://www.twitter.com/dibarrie", "dibarrie")</f>
        <v>dibarrie</v>
      </c>
      <c r="B26756" s="65" t="s">
        <v>20</v>
      </c>
    </row>
    <row r="26757" spans="1:2" x14ac:dyDescent="0.25">
      <c r="A26757" s="64" t="str">
        <f>HYPERLINK("http://www.twitter.com/JohnOrnaO", "JohnOrnaO")</f>
        <v>JohnOrnaO</v>
      </c>
      <c r="B26757" s="65"/>
    </row>
    <row r="26758" spans="1:2" x14ac:dyDescent="0.25">
      <c r="A26758" s="64" t="str">
        <f>HYPERLINK("http://www.twitter.com/HardyPierce", "HardyPierce")</f>
        <v>HardyPierce</v>
      </c>
      <c r="B26758" s="65" t="s">
        <v>11432</v>
      </c>
    </row>
    <row r="26759" spans="1:2" x14ac:dyDescent="0.25">
      <c r="A26759" s="64" t="str">
        <f>HYPERLINK("http://www.twitter.com/frh187", "frh187")</f>
        <v>frh187</v>
      </c>
      <c r="B26759" s="65"/>
    </row>
    <row r="26760" spans="1:2" x14ac:dyDescent="0.25">
      <c r="A26760" s="64" t="str">
        <f>HYPERLINK("http://www.twitter.com/bbrighid1", "bbrighid1")</f>
        <v>bbrighid1</v>
      </c>
      <c r="B26760" s="65" t="s">
        <v>24</v>
      </c>
    </row>
    <row r="26761" spans="1:2" x14ac:dyDescent="0.25">
      <c r="A26761" s="64" t="str">
        <f>HYPERLINK("http://www.twitter.com/michellegriff", "michellegriff")</f>
        <v>michellegriff</v>
      </c>
      <c r="B26761" s="65" t="s">
        <v>4788</v>
      </c>
    </row>
    <row r="26762" spans="1:2" x14ac:dyDescent="0.25">
      <c r="A26762" s="64" t="str">
        <f>HYPERLINK("http://www.twitter.com/kaz267", "kaz267")</f>
        <v>kaz267</v>
      </c>
      <c r="B26762" s="65" t="s">
        <v>20</v>
      </c>
    </row>
    <row r="26763" spans="1:2" x14ac:dyDescent="0.25">
      <c r="A26763" s="64" t="str">
        <f>HYPERLINK("http://www.twitter.com/brucersweeney", "brucersweeney")</f>
        <v>brucersweeney</v>
      </c>
      <c r="B26763" s="65" t="s">
        <v>4275</v>
      </c>
    </row>
    <row r="26764" spans="1:2" x14ac:dyDescent="0.25">
      <c r="A26764" s="64" t="str">
        <f>HYPERLINK("http://www.twitter.com/bds5101", "bds5101")</f>
        <v>bds5101</v>
      </c>
      <c r="B26764" s="65"/>
    </row>
    <row r="26765" spans="1:2" x14ac:dyDescent="0.25">
      <c r="A26765" s="64" t="str">
        <f>HYPERLINK("http://www.twitter.com/BiblioLibDorch", "BiblioLibDorch")</f>
        <v>BiblioLibDorch</v>
      </c>
      <c r="B26765" s="65" t="s">
        <v>11433</v>
      </c>
    </row>
    <row r="26766" spans="1:2" x14ac:dyDescent="0.25">
      <c r="A26766" s="64" t="str">
        <f>HYPERLINK("http://www.twitter.com/anettekure", "anettekure")</f>
        <v>anettekure</v>
      </c>
      <c r="B26766" s="65"/>
    </row>
    <row r="26767" spans="1:2" x14ac:dyDescent="0.25">
      <c r="A26767" s="64" t="str">
        <f>HYPERLINK("http://www.twitter.com/VirtualFirms", "VirtualFirms")</f>
        <v>VirtualFirms</v>
      </c>
      <c r="B26767" s="65" t="s">
        <v>517</v>
      </c>
    </row>
    <row r="26768" spans="1:2" x14ac:dyDescent="0.25">
      <c r="A26768" s="64" t="str">
        <f>HYPERLINK("http://www.twitter.com/WeybridgeLib", "WeybridgeLib")</f>
        <v>WeybridgeLib</v>
      </c>
      <c r="B26768" s="65" t="s">
        <v>1019</v>
      </c>
    </row>
    <row r="26769" spans="1:2" x14ac:dyDescent="0.25">
      <c r="A26769" s="64" t="str">
        <f>HYPERLINK("http://www.twitter.com/Hill_libraries", "Hill_libraries")</f>
        <v>Hill_libraries</v>
      </c>
      <c r="B26769" s="65" t="s">
        <v>3638</v>
      </c>
    </row>
    <row r="26770" spans="1:2" x14ac:dyDescent="0.25">
      <c r="A26770" s="64" t="str">
        <f>HYPERLINK("http://www.twitter.com/1Chrishaddock", "1Chrishaddock")</f>
        <v>1Chrishaddock</v>
      </c>
      <c r="B26770" s="65"/>
    </row>
    <row r="26771" spans="1:2" x14ac:dyDescent="0.25">
      <c r="A26771" s="64" t="str">
        <f>HYPERLINK("http://www.twitter.com/emilycr0w", "emilycr0w")</f>
        <v>emilycr0w</v>
      </c>
      <c r="B26771" s="65" t="s">
        <v>11434</v>
      </c>
    </row>
    <row r="26772" spans="1:2" x14ac:dyDescent="0.25">
      <c r="A26772" s="64" t="str">
        <f>HYPERLINK("http://www.twitter.com/wee_bookworm", "wee_bookworm")</f>
        <v>wee_bookworm</v>
      </c>
      <c r="B26772" s="65" t="s">
        <v>110</v>
      </c>
    </row>
    <row r="26773" spans="1:2" x14ac:dyDescent="0.25">
      <c r="A26773" s="64" t="str">
        <f>HYPERLINK("http://www.twitter.com/FionaF", "FionaF")</f>
        <v>FionaF</v>
      </c>
      <c r="B26773" s="65" t="s">
        <v>5027</v>
      </c>
    </row>
    <row r="26774" spans="1:2" x14ac:dyDescent="0.25">
      <c r="A26774" s="64" t="str">
        <f>HYPERLINK("http://www.twitter.com/SamEades", "SamEades")</f>
        <v>SamEades</v>
      </c>
      <c r="B26774" s="65" t="s">
        <v>36</v>
      </c>
    </row>
    <row r="26775" spans="1:2" x14ac:dyDescent="0.25">
      <c r="A26775" s="64" t="str">
        <f>HYPERLINK("http://www.twitter.com/wifiadvertising", "wifiadvertising")</f>
        <v>wifiadvertising</v>
      </c>
      <c r="B26775" s="65" t="s">
        <v>4208</v>
      </c>
    </row>
    <row r="26776" spans="1:2" x14ac:dyDescent="0.25">
      <c r="A26776" s="64" t="str">
        <f>HYPERLINK("http://www.twitter.com/Subhankar20", "Subhankar20")</f>
        <v>Subhankar20</v>
      </c>
      <c r="B26776" s="65"/>
    </row>
    <row r="26777" spans="1:2" x14ac:dyDescent="0.25">
      <c r="A26777" s="64" t="str">
        <f>HYPERLINK("http://www.twitter.com/sarlene63", "sarlene63")</f>
        <v>sarlene63</v>
      </c>
      <c r="B26777" s="65"/>
    </row>
    <row r="26778" spans="1:2" x14ac:dyDescent="0.25">
      <c r="A26778" s="64" t="str">
        <f>HYPERLINK("http://www.twitter.com/R2BookClub", "R2BookClub")</f>
        <v>R2BookClub</v>
      </c>
      <c r="B26778" s="65" t="s">
        <v>11435</v>
      </c>
    </row>
    <row r="26779" spans="1:2" x14ac:dyDescent="0.25">
      <c r="A26779" s="64" t="str">
        <f>HYPERLINK("http://www.twitter.com/ciarandubh", "ciarandubh")</f>
        <v>ciarandubh</v>
      </c>
      <c r="B26779" s="65"/>
    </row>
    <row r="26780" spans="1:2" x14ac:dyDescent="0.25">
      <c r="A26780" s="64" t="str">
        <f>HYPERLINK("http://www.twitter.com/ChilversAnthony", "ChilversAnthony")</f>
        <v>ChilversAnthony</v>
      </c>
      <c r="B26780" s="65"/>
    </row>
    <row r="26781" spans="1:2" x14ac:dyDescent="0.25">
      <c r="A26781" s="64" t="str">
        <f>HYPERLINK("http://www.twitter.com/petenothing", "petenothing")</f>
        <v>petenothing</v>
      </c>
      <c r="B26781" s="65" t="s">
        <v>459</v>
      </c>
    </row>
    <row r="26782" spans="1:2" x14ac:dyDescent="0.25">
      <c r="A26782" s="64" t="str">
        <f>HYPERLINK("http://www.twitter.com/DobsDeb", "DobsDeb")</f>
        <v>DobsDeb</v>
      </c>
      <c r="B26782" s="65"/>
    </row>
    <row r="26783" spans="1:2" x14ac:dyDescent="0.25">
      <c r="A26783" s="64" t="str">
        <f>HYPERLINK("http://www.twitter.com/Livingstoni", "Livingstoni")</f>
        <v>Livingstoni</v>
      </c>
      <c r="B26783" s="65" t="s">
        <v>2227</v>
      </c>
    </row>
    <row r="26784" spans="1:2" x14ac:dyDescent="0.25">
      <c r="A26784" s="64" t="str">
        <f>HYPERLINK("http://www.twitter.com/Fishy2007", "Fishy2007")</f>
        <v>Fishy2007</v>
      </c>
      <c r="B26784" s="65"/>
    </row>
    <row r="26785" spans="1:2" x14ac:dyDescent="0.25">
      <c r="A26785" s="64" t="str">
        <f>HYPERLINK("http://www.twitter.com/OrkneyRed", "OrkneyRed")</f>
        <v>OrkneyRed</v>
      </c>
      <c r="B26785" s="65"/>
    </row>
    <row r="26786" spans="1:2" x14ac:dyDescent="0.25">
      <c r="A26786" s="64" t="str">
        <f>HYPERLINK("http://www.twitter.com/Baseline53", "Baseline53")</f>
        <v>Baseline53</v>
      </c>
      <c r="B26786" s="65" t="s">
        <v>808</v>
      </c>
    </row>
    <row r="26787" spans="1:2" x14ac:dyDescent="0.25">
      <c r="A26787" s="64" t="str">
        <f>HYPERLINK("http://www.twitter.com/afkbristol", "afkbristol")</f>
        <v>afkbristol</v>
      </c>
      <c r="B26787" s="65" t="s">
        <v>514</v>
      </c>
    </row>
    <row r="26788" spans="1:2" x14ac:dyDescent="0.25">
      <c r="A26788" s="64" t="str">
        <f>HYPERLINK("http://www.twitter.com/ozgirlabroad", "ozgirlabroad")</f>
        <v>ozgirlabroad</v>
      </c>
      <c r="B26788" s="65" t="s">
        <v>36</v>
      </c>
    </row>
    <row r="26789" spans="1:2" x14ac:dyDescent="0.25">
      <c r="A26789" s="64" t="str">
        <f>HYPERLINK("http://www.twitter.com/CairnsFHS", "CairnsFHS")</f>
        <v>CairnsFHS</v>
      </c>
      <c r="B26789" s="65" t="s">
        <v>11436</v>
      </c>
    </row>
    <row r="26790" spans="1:2" x14ac:dyDescent="0.25">
      <c r="A26790" s="64" t="str">
        <f>HYPERLINK("http://www.twitter.com/Library_Jean", "Library_Jean")</f>
        <v>Library_Jean</v>
      </c>
      <c r="B26790" s="65" t="s">
        <v>4436</v>
      </c>
    </row>
    <row r="26791" spans="1:2" x14ac:dyDescent="0.25">
      <c r="A26791" s="64" t="str">
        <f>HYPERLINK("http://www.twitter.com/LindenBicket", "LindenBicket")</f>
        <v>LindenBicket</v>
      </c>
      <c r="B26791" s="65"/>
    </row>
    <row r="26792" spans="1:2" x14ac:dyDescent="0.25">
      <c r="A26792" s="64" t="str">
        <f>HYPERLINK("http://www.twitter.com/infogoddes", "infogoddes")</f>
        <v>infogoddes</v>
      </c>
      <c r="B26792" s="65" t="s">
        <v>11437</v>
      </c>
    </row>
    <row r="26793" spans="1:2" x14ac:dyDescent="0.25">
      <c r="A26793" s="64" t="str">
        <f>HYPERLINK("http://www.twitter.com/Kangarooth", "Kangarooth")</f>
        <v>Kangarooth</v>
      </c>
      <c r="B26793" s="65" t="s">
        <v>487</v>
      </c>
    </row>
    <row r="26794" spans="1:2" x14ac:dyDescent="0.25">
      <c r="A26794" s="64" t="str">
        <f>HYPERLINK("http://www.twitter.com/WendybWendy", "WendybWendy")</f>
        <v>WendybWendy</v>
      </c>
      <c r="B26794" s="65"/>
    </row>
    <row r="26795" spans="1:2" x14ac:dyDescent="0.25">
      <c r="A26795" s="64" t="str">
        <f>HYPERLINK("http://www.twitter.com/WestrayAlison", "WestrayAlison")</f>
        <v>WestrayAlison</v>
      </c>
      <c r="B26795" s="65" t="s">
        <v>11438</v>
      </c>
    </row>
    <row r="26796" spans="1:2" x14ac:dyDescent="0.25">
      <c r="A26796" s="64" t="str">
        <f>HYPERLINK("http://www.twitter.com/jamiefewery", "jamiefewery")</f>
        <v>jamiefewery</v>
      </c>
      <c r="B26796" s="65" t="s">
        <v>5586</v>
      </c>
    </row>
    <row r="26797" spans="1:2" x14ac:dyDescent="0.25">
      <c r="A26797" s="64" t="str">
        <f>HYPERLINK("http://www.twitter.com/halfullglass", "halfullglass")</f>
        <v>halfullglass</v>
      </c>
      <c r="B26797" s="65"/>
    </row>
    <row r="26798" spans="1:2" x14ac:dyDescent="0.25">
      <c r="A26798" s="64" t="str">
        <f>HYPERLINK("http://www.twitter.com/ballantyne_lisa", "ballantyne_lisa")</f>
        <v>ballantyne_lisa</v>
      </c>
      <c r="B26798" s="65"/>
    </row>
    <row r="26799" spans="1:2" x14ac:dyDescent="0.25">
      <c r="A26799" s="64" t="str">
        <f>HYPERLINK("http://www.twitter.com/BenjaminMummery", "BenjaminMummery")</f>
        <v>BenjaminMummery</v>
      </c>
      <c r="B26799" s="65"/>
    </row>
    <row r="26800" spans="1:2" x14ac:dyDescent="0.25">
      <c r="A26800" s="64" t="str">
        <f>HYPERLINK("http://www.twitter.com/KatherineLymer", "KatherineLymer")</f>
        <v>KatherineLymer</v>
      </c>
      <c r="B26800" s="65" t="s">
        <v>4324</v>
      </c>
    </row>
    <row r="26801" spans="1:2" x14ac:dyDescent="0.25">
      <c r="A26801" s="64" t="str">
        <f>HYPERLINK("http://www.twitter.com/GGrieve78", "GGrieve78")</f>
        <v>GGrieve78</v>
      </c>
      <c r="B26801" s="65" t="s">
        <v>11439</v>
      </c>
    </row>
    <row r="26802" spans="1:2" x14ac:dyDescent="0.25">
      <c r="A26802" s="64" t="str">
        <f>HYPERLINK("http://www.twitter.com/MAP_magazine", "MAP_magazine")</f>
        <v>MAP_magazine</v>
      </c>
      <c r="B26802" s="65" t="s">
        <v>296</v>
      </c>
    </row>
    <row r="26803" spans="1:2" x14ac:dyDescent="0.25">
      <c r="A26803" s="64" t="str">
        <f>HYPERLINK("http://www.twitter.com/librarybody", "librarybody")</f>
        <v>librarybody</v>
      </c>
      <c r="B26803" s="65" t="s">
        <v>36</v>
      </c>
    </row>
    <row r="26804" spans="1:2" x14ac:dyDescent="0.25">
      <c r="A26804" s="64" t="str">
        <f>HYPERLINK("http://www.twitter.com/PFardelli", "PFardelli")</f>
        <v>PFardelli</v>
      </c>
      <c r="B26804" s="65"/>
    </row>
    <row r="26805" spans="1:2" x14ac:dyDescent="0.25">
      <c r="A26805" s="64" t="str">
        <f>HYPERLINK("http://www.twitter.com/RhiAmy_Evans", "RhiAmy_Evans")</f>
        <v>RhiAmy_Evans</v>
      </c>
      <c r="B26805" s="65"/>
    </row>
    <row r="26806" spans="1:2" x14ac:dyDescent="0.25">
      <c r="A26806" s="64" t="str">
        <f>HYPERLINK("http://www.twitter.com/NickSwanbrooks", "NickSwanbrooks")</f>
        <v>NickSwanbrooks</v>
      </c>
      <c r="B26806" s="65" t="s">
        <v>318</v>
      </c>
    </row>
    <row r="26807" spans="1:2" x14ac:dyDescent="0.25">
      <c r="A26807" s="64" t="str">
        <f>HYPERLINK("http://www.twitter.com/LeonRemphry", "LeonRemphry")</f>
        <v>LeonRemphry</v>
      </c>
      <c r="B26807" s="65" t="s">
        <v>11440</v>
      </c>
    </row>
    <row r="26808" spans="1:2" x14ac:dyDescent="0.25">
      <c r="A26808" s="64" t="str">
        <f>HYPERLINK("http://www.twitter.com/scaryclaire", "scaryclaire")</f>
        <v>scaryclaire</v>
      </c>
      <c r="B26808" s="65"/>
    </row>
    <row r="26809" spans="1:2" x14ac:dyDescent="0.25">
      <c r="A26809" s="64" t="str">
        <f>HYPERLINK("http://www.twitter.com/KAmzk28", "KAmzk28")</f>
        <v>KAmzk28</v>
      </c>
      <c r="B26809" s="65" t="s">
        <v>11441</v>
      </c>
    </row>
    <row r="26810" spans="1:2" x14ac:dyDescent="0.25">
      <c r="A26810" s="64" t="str">
        <f>HYPERLINK("http://www.twitter.com/colinmcarter", "colinmcarter")</f>
        <v>colinmcarter</v>
      </c>
      <c r="B26810" s="65" t="s">
        <v>70</v>
      </c>
    </row>
    <row r="26811" spans="1:2" x14ac:dyDescent="0.25">
      <c r="A26811" s="64" t="str">
        <f>HYPERLINK("http://www.twitter.com/CapnBM", "CapnBM")</f>
        <v>CapnBM</v>
      </c>
      <c r="B26811" s="65" t="s">
        <v>517</v>
      </c>
    </row>
    <row r="26812" spans="1:2" x14ac:dyDescent="0.25">
      <c r="A26812" s="64" t="str">
        <f>HYPERLINK("http://www.twitter.com/GuildhallLib", "GuildhallLib")</f>
        <v>GuildhallLib</v>
      </c>
      <c r="B26812" s="65" t="s">
        <v>163</v>
      </c>
    </row>
    <row r="26813" spans="1:2" x14ac:dyDescent="0.25">
      <c r="A26813" s="64" t="str">
        <f>HYPERLINK("http://www.twitter.com/reasonotheneed", "reasonotheneed")</f>
        <v>reasonotheneed</v>
      </c>
      <c r="B26813" s="65" t="s">
        <v>3020</v>
      </c>
    </row>
    <row r="26814" spans="1:2" x14ac:dyDescent="0.25">
      <c r="A26814" s="64" t="str">
        <f>HYPERLINK("http://www.twitter.com/chrisjmackie", "chrisjmackie")</f>
        <v>chrisjmackie</v>
      </c>
      <c r="B26814" s="65"/>
    </row>
    <row r="26815" spans="1:2" x14ac:dyDescent="0.25">
      <c r="A26815" s="64" t="str">
        <f>HYPERLINK("http://www.twitter.com/stripedlinen", "stripedlinen")</f>
        <v>stripedlinen</v>
      </c>
      <c r="B26815" s="65"/>
    </row>
    <row r="26816" spans="1:2" x14ac:dyDescent="0.25">
      <c r="A26816" s="64" t="str">
        <f>HYPERLINK("http://www.twitter.com/celticjulia", "celticjulia")</f>
        <v>celticjulia</v>
      </c>
      <c r="B26816" s="65" t="s">
        <v>4940</v>
      </c>
    </row>
    <row r="26817" spans="1:2" x14ac:dyDescent="0.25">
      <c r="A26817" s="64" t="str">
        <f>HYPERLINK("http://www.twitter.com/SuexWard", "SuexWard")</f>
        <v>SuexWard</v>
      </c>
      <c r="B26817" s="65" t="s">
        <v>11442</v>
      </c>
    </row>
    <row r="26818" spans="1:2" x14ac:dyDescent="0.25">
      <c r="A26818" s="64" t="str">
        <f>HYPERLINK("http://www.twitter.com/HebrideanBooks", "HebrideanBooks")</f>
        <v>HebrideanBooks</v>
      </c>
      <c r="B26818" s="65"/>
    </row>
    <row r="26819" spans="1:2" x14ac:dyDescent="0.25">
      <c r="A26819" s="64" t="str">
        <f>HYPERLINK("http://www.twitter.com/Mostopup", "Mostopup")</f>
        <v>Mostopup</v>
      </c>
      <c r="B26819" s="65" t="s">
        <v>318</v>
      </c>
    </row>
    <row r="26820" spans="1:2" x14ac:dyDescent="0.25">
      <c r="A26820" s="64" t="str">
        <f>HYPERLINK("http://www.twitter.com/SandraMilne3", "SandraMilne3")</f>
        <v>SandraMilne3</v>
      </c>
      <c r="B26820" s="65" t="s">
        <v>11443</v>
      </c>
    </row>
    <row r="26821" spans="1:2" x14ac:dyDescent="0.25">
      <c r="A26821" s="64" t="str">
        <f>HYPERLINK("http://www.twitter.com/stridingedge", "stridingedge")</f>
        <v>stridingedge</v>
      </c>
      <c r="B26821" s="65" t="s">
        <v>11444</v>
      </c>
    </row>
    <row r="26822" spans="1:2" x14ac:dyDescent="0.25">
      <c r="A26822" s="64" t="str">
        <f>HYPERLINK("http://www.twitter.com/OrcadesHostel", "OrcadesHostel")</f>
        <v>OrcadesHostel</v>
      </c>
      <c r="B26822" s="65" t="s">
        <v>3762</v>
      </c>
    </row>
    <row r="26823" spans="1:2" x14ac:dyDescent="0.25">
      <c r="A26823" s="64" t="str">
        <f>HYPERLINK("http://www.twitter.com/joannagrieve", "joannagrieve")</f>
        <v>joannagrieve</v>
      </c>
      <c r="B26823" s="65"/>
    </row>
    <row r="26824" spans="1:2" x14ac:dyDescent="0.25">
      <c r="A26824" s="64" t="str">
        <f>HYPERLINK("http://www.twitter.com/thorahamilton", "thorahamilton")</f>
        <v>thorahamilton</v>
      </c>
      <c r="B26824" s="65" t="s">
        <v>11445</v>
      </c>
    </row>
    <row r="26825" spans="1:2" x14ac:dyDescent="0.25">
      <c r="A26825" s="64" t="str">
        <f>HYPERLINK("http://www.twitter.com/noahgcr", "noahgcr")</f>
        <v>noahgcr</v>
      </c>
      <c r="B26825" s="65" t="s">
        <v>3785</v>
      </c>
    </row>
    <row r="26826" spans="1:2" x14ac:dyDescent="0.25">
      <c r="A26826" s="64" t="str">
        <f>HYPERLINK("http://www.twitter.com/Donna_Mackay", "Donna_Mackay")</f>
        <v>Donna_Mackay</v>
      </c>
      <c r="B26826" s="65" t="s">
        <v>36</v>
      </c>
    </row>
    <row r="26827" spans="1:2" x14ac:dyDescent="0.25">
      <c r="A26827" s="64" t="str">
        <f>HYPERLINK("http://www.twitter.com/Ruth_Caddick", "Ruth_Caddick")</f>
        <v>Ruth_Caddick</v>
      </c>
      <c r="B26827" s="65" t="s">
        <v>1490</v>
      </c>
    </row>
    <row r="26828" spans="1:2" x14ac:dyDescent="0.25">
      <c r="A26828" s="64" t="str">
        <f>HYPERLINK("http://www.twitter.com/ForgottenLove19", "ForgottenLove19")</f>
        <v>ForgottenLove19</v>
      </c>
      <c r="B26828" s="65" t="s">
        <v>11446</v>
      </c>
    </row>
    <row r="26829" spans="1:2" x14ac:dyDescent="0.25">
      <c r="A26829" s="64" t="str">
        <f>HYPERLINK("http://www.twitter.com/CanfordCLibrary", "CanfordCLibrary")</f>
        <v>CanfordCLibrary</v>
      </c>
      <c r="B26829" s="65" t="s">
        <v>11447</v>
      </c>
    </row>
    <row r="26830" spans="1:2" x14ac:dyDescent="0.25">
      <c r="A26830" s="64" t="str">
        <f>HYPERLINK("http://www.twitter.com/froyoho", "froyoho")</f>
        <v>froyoho</v>
      </c>
      <c r="B26830" s="65"/>
    </row>
    <row r="26831" spans="1:2" x14ac:dyDescent="0.25">
      <c r="A26831" s="64" t="str">
        <f>HYPERLINK("http://www.twitter.com/salibraries", "salibraries")</f>
        <v>salibraries</v>
      </c>
      <c r="B26831" s="65" t="s">
        <v>1359</v>
      </c>
    </row>
    <row r="26832" spans="1:2" x14ac:dyDescent="0.25">
      <c r="A26832" s="64" t="str">
        <f>HYPERLINK("http://www.twitter.com/kgharland", "kgharland")</f>
        <v>kgharland</v>
      </c>
      <c r="B26832" s="65"/>
    </row>
    <row r="26833" spans="1:2" x14ac:dyDescent="0.25">
      <c r="A26833" s="64" t="str">
        <f>HYPERLINK("http://www.twitter.com/IanBosquoy", "IanBosquoy")</f>
        <v>IanBosquoy</v>
      </c>
      <c r="B26833" s="65"/>
    </row>
    <row r="26834" spans="1:2" x14ac:dyDescent="0.25">
      <c r="A26834" s="64" t="str">
        <f>HYPERLINK("http://www.twitter.com/Antiqbook_UK", "Antiqbook_UK")</f>
        <v>Antiqbook_UK</v>
      </c>
      <c r="B26834" s="65"/>
    </row>
    <row r="26835" spans="1:2" x14ac:dyDescent="0.25">
      <c r="A26835" s="64" t="str">
        <f>HYPERLINK("http://www.twitter.com/mardakes_nikos", "mardakes_nikos")</f>
        <v>mardakes_nikos</v>
      </c>
      <c r="B26835" s="65" t="s">
        <v>11448</v>
      </c>
    </row>
    <row r="26836" spans="1:2" x14ac:dyDescent="0.25">
      <c r="A26836" s="64" t="str">
        <f>HYPERLINK("http://www.twitter.com/lornarichardson", "lornarichardson")</f>
        <v>lornarichardson</v>
      </c>
      <c r="B26836" s="65" t="s">
        <v>11449</v>
      </c>
    </row>
    <row r="26837" spans="1:2" x14ac:dyDescent="0.25">
      <c r="A26837" s="64" t="str">
        <f>HYPERLINK("http://www.twitter.com/aljwhite", "aljwhite")</f>
        <v>aljwhite</v>
      </c>
      <c r="B26837" s="65"/>
    </row>
    <row r="26838" spans="1:2" x14ac:dyDescent="0.25">
      <c r="A26838" s="64" t="str">
        <f>HYPERLINK("http://www.twitter.com/JakeyBate", "JakeyBate")</f>
        <v>JakeyBate</v>
      </c>
      <c r="B26838" s="65" t="s">
        <v>36</v>
      </c>
    </row>
    <row r="26839" spans="1:2" x14ac:dyDescent="0.25">
      <c r="A26839" s="64" t="str">
        <f>HYPERLINK("http://www.twitter.com/terrelltravels", "terrelltravels")</f>
        <v>terrelltravels</v>
      </c>
      <c r="B26839" s="65"/>
    </row>
    <row r="26840" spans="1:2" x14ac:dyDescent="0.25">
      <c r="A26840" s="64" t="str">
        <f>HYPERLINK("http://www.twitter.com/3Dundee", "3Dundee")</f>
        <v>3Dundee</v>
      </c>
      <c r="B26840" s="65" t="s">
        <v>232</v>
      </c>
    </row>
    <row r="26841" spans="1:2" x14ac:dyDescent="0.25">
      <c r="A26841" s="64" t="str">
        <f>HYPERLINK("http://www.twitter.com/adultteeth", "adultteeth")</f>
        <v>adultteeth</v>
      </c>
      <c r="B26841" s="65"/>
    </row>
    <row r="26842" spans="1:2" x14ac:dyDescent="0.25">
      <c r="A26842" s="64" t="str">
        <f>HYPERLINK("http://www.twitter.com/MovImArchNews", "MovImArchNews")</f>
        <v>MovImArchNews</v>
      </c>
      <c r="B26842" s="65" t="s">
        <v>5156</v>
      </c>
    </row>
    <row r="26843" spans="1:2" x14ac:dyDescent="0.25">
      <c r="A26843" s="64" t="str">
        <f>HYPERLINK("http://www.twitter.com/caroline_manzie", "caroline_manzie")</f>
        <v>caroline_manzie</v>
      </c>
      <c r="B26843" s="65"/>
    </row>
    <row r="26844" spans="1:2" x14ac:dyDescent="0.25">
      <c r="A26844" s="64" t="str">
        <f>HYPERLINK("http://www.twitter.com/normajeanfears", "normajeanfears")</f>
        <v>normajeanfears</v>
      </c>
      <c r="B26844" s="65" t="s">
        <v>8895</v>
      </c>
    </row>
    <row r="26845" spans="1:2" x14ac:dyDescent="0.25">
      <c r="A26845" s="64" t="str">
        <f>HYPERLINK("http://www.twitter.com/v6kswWood", "v6kswWood")</f>
        <v>v6kswWood</v>
      </c>
      <c r="B26845" s="65"/>
    </row>
    <row r="26846" spans="1:2" x14ac:dyDescent="0.25">
      <c r="A26846" s="64" t="str">
        <f>HYPERLINK("http://www.twitter.com/watchersheir", "watchersheir")</f>
        <v>watchersheir</v>
      </c>
      <c r="B26846" s="65" t="s">
        <v>517</v>
      </c>
    </row>
    <row r="26847" spans="1:2" x14ac:dyDescent="0.25">
      <c r="A26847" s="64" t="str">
        <f>HYPERLINK("http://www.twitter.com/NaomiLovesTea", "NaomiLovesTea")</f>
        <v>NaomiLovesTea</v>
      </c>
      <c r="B26847" s="65"/>
    </row>
    <row r="26848" spans="1:2" x14ac:dyDescent="0.25">
      <c r="A26848" s="64" t="str">
        <f>HYPERLINK("http://www.twitter.com/severedelays", "severedelays")</f>
        <v>severedelays</v>
      </c>
      <c r="B26848" s="65" t="s">
        <v>11450</v>
      </c>
    </row>
    <row r="26849" spans="1:2" x14ac:dyDescent="0.25">
      <c r="A26849" s="64" t="str">
        <f>HYPERLINK("http://www.twitter.com/alijhawkins", "alijhawkins")</f>
        <v>alijhawkins</v>
      </c>
      <c r="B26849" s="65" t="s">
        <v>11451</v>
      </c>
    </row>
    <row r="26850" spans="1:2" x14ac:dyDescent="0.25">
      <c r="A26850" s="64" t="str">
        <f>HYPERLINK("http://www.twitter.com/Helenus_", "Helenus_")</f>
        <v>Helenus_</v>
      </c>
      <c r="B26850" s="65" t="s">
        <v>11452</v>
      </c>
    </row>
    <row r="26851" spans="1:2" x14ac:dyDescent="0.25">
      <c r="A26851" s="64" t="str">
        <f>HYPERLINK("http://www.twitter.com/MCCLib", "MCCLib")</f>
        <v>MCCLib</v>
      </c>
      <c r="B26851" s="65" t="s">
        <v>11453</v>
      </c>
    </row>
    <row r="26852" spans="1:2" x14ac:dyDescent="0.25">
      <c r="A26852" s="64" t="str">
        <f>HYPERLINK("http://www.twitter.com/PaulAllanpaul67", "PaulAllanpaul67")</f>
        <v>PaulAllanpaul67</v>
      </c>
      <c r="B26852" s="65" t="s">
        <v>4575</v>
      </c>
    </row>
    <row r="26853" spans="1:2" x14ac:dyDescent="0.25">
      <c r="A26853" s="64" t="str">
        <f>HYPERLINK("http://www.twitter.com/stromby51", "stromby51")</f>
        <v>stromby51</v>
      </c>
      <c r="B26853" s="65"/>
    </row>
    <row r="26854" spans="1:2" x14ac:dyDescent="0.25">
      <c r="A26854" s="64" t="str">
        <f>HYPERLINK("http://www.twitter.com/kushonhigh", "kushonhigh")</f>
        <v>kushonhigh</v>
      </c>
      <c r="B26854" s="65"/>
    </row>
    <row r="26855" spans="1:2" x14ac:dyDescent="0.25">
      <c r="A26855" s="64" t="str">
        <f>HYPERLINK("http://www.twitter.com/davidsausage", "davidsausage")</f>
        <v>davidsausage</v>
      </c>
      <c r="B26855" s="65" t="s">
        <v>11454</v>
      </c>
    </row>
    <row r="26856" spans="1:2" x14ac:dyDescent="0.25">
      <c r="A26856" s="64" t="str">
        <f>HYPERLINK("http://www.twitter.com/AprilDMoore", "AprilDMoore")</f>
        <v>AprilDMoore</v>
      </c>
      <c r="B26856" s="65" t="s">
        <v>11455</v>
      </c>
    </row>
    <row r="26857" spans="1:2" x14ac:dyDescent="0.25">
      <c r="A26857" s="64" t="str">
        <f>HYPERLINK("http://www.twitter.com/Darcianna", "Darcianna")</f>
        <v>Darcianna</v>
      </c>
      <c r="B26857" s="65" t="s">
        <v>138</v>
      </c>
    </row>
    <row r="26858" spans="1:2" x14ac:dyDescent="0.25">
      <c r="A26858" s="64" t="str">
        <f>HYPERLINK("http://www.twitter.com/kerylnisbett", "kerylnisbett")</f>
        <v>kerylnisbett</v>
      </c>
      <c r="B26858" s="65" t="s">
        <v>11456</v>
      </c>
    </row>
    <row r="26859" spans="1:2" x14ac:dyDescent="0.25">
      <c r="A26859" s="64" t="str">
        <f>HYPERLINK("http://www.twitter.com/AuthorMorrisey", "AuthorMorrisey")</f>
        <v>AuthorMorrisey</v>
      </c>
      <c r="B26859" s="65"/>
    </row>
    <row r="26860" spans="1:2" x14ac:dyDescent="0.25">
      <c r="A26860" s="64" t="str">
        <f>HYPERLINK("http://www.twitter.com/BeeCaveLibrary", "BeeCaveLibrary")</f>
        <v>BeeCaveLibrary</v>
      </c>
      <c r="B26860" s="65" t="s">
        <v>11457</v>
      </c>
    </row>
    <row r="26861" spans="1:2" x14ac:dyDescent="0.25">
      <c r="A26861" s="64" t="str">
        <f>HYPERLINK("http://www.twitter.com/ChristineSheeri", "ChristineSheeri")</f>
        <v>ChristineSheeri</v>
      </c>
      <c r="B26861" s="65"/>
    </row>
    <row r="26862" spans="1:2" x14ac:dyDescent="0.25">
      <c r="A26862" s="64" t="str">
        <f>HYPERLINK("http://www.twitter.com/CasonZephyr", "CasonZephyr")</f>
        <v>CasonZephyr</v>
      </c>
      <c r="B26862" s="65"/>
    </row>
    <row r="26863" spans="1:2" x14ac:dyDescent="0.25">
      <c r="A26863" s="64" t="str">
        <f>HYPERLINK("http://www.twitter.com/Gypsieloo", "Gypsieloo")</f>
        <v>Gypsieloo</v>
      </c>
      <c r="B26863" s="65" t="s">
        <v>3948</v>
      </c>
    </row>
    <row r="26864" spans="1:2" x14ac:dyDescent="0.25">
      <c r="A26864" s="64" t="str">
        <f>HYPERLINK("http://www.twitter.com/EmelineMMimie", "EmelineMMimie")</f>
        <v>EmelineMMimie</v>
      </c>
      <c r="B26864" s="65" t="s">
        <v>11458</v>
      </c>
    </row>
    <row r="26865" spans="1:2" x14ac:dyDescent="0.25">
      <c r="A26865" s="64" t="str">
        <f>HYPERLINK("http://www.twitter.com/SilverBlossom8", "SilverBlossom8")</f>
        <v>SilverBlossom8</v>
      </c>
      <c r="B26865" s="65" t="s">
        <v>36</v>
      </c>
    </row>
    <row r="26866" spans="1:2" x14ac:dyDescent="0.25">
      <c r="A26866" s="64" t="str">
        <f>HYPERLINK("http://www.twitter.com/UEL_Library", "UEL_Library")</f>
        <v>UEL_Library</v>
      </c>
      <c r="B26866" s="65" t="s">
        <v>1118</v>
      </c>
    </row>
    <row r="26867" spans="1:2" x14ac:dyDescent="0.25">
      <c r="A26867" s="64" t="str">
        <f>HYPERLINK("http://www.twitter.com/Diane_Watt", "Diane_Watt")</f>
        <v>Diane_Watt</v>
      </c>
      <c r="B26867" s="65" t="s">
        <v>805</v>
      </c>
    </row>
    <row r="26868" spans="1:2" x14ac:dyDescent="0.25">
      <c r="A26868" s="64" t="str">
        <f>HYPERLINK("http://www.twitter.com/KateRosenthal1", "KateRosenthal1")</f>
        <v>KateRosenthal1</v>
      </c>
      <c r="B26868" s="65" t="s">
        <v>102</v>
      </c>
    </row>
    <row r="26869" spans="1:2" x14ac:dyDescent="0.25">
      <c r="A26869" s="64" t="str">
        <f>HYPERLINK("http://www.twitter.com/JonathanMcGee", "JonathanMcGee")</f>
        <v>JonathanMcGee</v>
      </c>
      <c r="B26869" s="65" t="s">
        <v>788</v>
      </c>
    </row>
    <row r="26870" spans="1:2" x14ac:dyDescent="0.25">
      <c r="A26870" s="64" t="str">
        <f>HYPERLINK("http://www.twitter.com/VoxHib", "VoxHib")</f>
        <v>VoxHib</v>
      </c>
      <c r="B26870" s="65"/>
    </row>
    <row r="26871" spans="1:2" x14ac:dyDescent="0.25">
      <c r="A26871" s="64" t="str">
        <f>HYPERLINK("http://www.twitter.com/avoinGLAM", "avoinGLAM")</f>
        <v>avoinGLAM</v>
      </c>
      <c r="B26871" s="65" t="s">
        <v>6211</v>
      </c>
    </row>
    <row r="26872" spans="1:2" x14ac:dyDescent="0.25">
      <c r="A26872" s="64" t="str">
        <f>HYPERLINK("http://www.twitter.com/WhiteCherry", "WhiteCherry")</f>
        <v>WhiteCherry</v>
      </c>
      <c r="B26872" s="65" t="s">
        <v>36</v>
      </c>
    </row>
    <row r="26873" spans="1:2" x14ac:dyDescent="0.25">
      <c r="A26873" s="64" t="str">
        <f>HYPERLINK("http://www.twitter.com/lmatthews85", "lmatthews85")</f>
        <v>lmatthews85</v>
      </c>
      <c r="B26873" s="65"/>
    </row>
    <row r="26874" spans="1:2" x14ac:dyDescent="0.25">
      <c r="A26874" s="64" t="str">
        <f>HYPERLINK("http://www.twitter.com/stacieberger", "stacieberger")</f>
        <v>stacieberger</v>
      </c>
      <c r="B26874" s="65" t="s">
        <v>5144</v>
      </c>
    </row>
    <row r="26875" spans="1:2" x14ac:dyDescent="0.25">
      <c r="A26875" s="64" t="str">
        <f>HYPERLINK("http://www.twitter.com/ianformation", "ianformation")</f>
        <v>ianformation</v>
      </c>
      <c r="B26875" s="65" t="s">
        <v>4394</v>
      </c>
    </row>
    <row r="26876" spans="1:2" x14ac:dyDescent="0.25">
      <c r="A26876" s="64" t="str">
        <f>HYPERLINK("http://www.twitter.com/et_roughsedge", "et_roughsedge")</f>
        <v>et_roughsedge</v>
      </c>
      <c r="B26876" s="65"/>
    </row>
    <row r="26877" spans="1:2" x14ac:dyDescent="0.25">
      <c r="A26877" s="64" t="str">
        <f>HYPERLINK("http://www.twitter.com/kjahau", "kjahau")</f>
        <v>kjahau</v>
      </c>
      <c r="B26877" s="65" t="s">
        <v>11459</v>
      </c>
    </row>
    <row r="26878" spans="1:2" x14ac:dyDescent="0.25">
      <c r="A26878" s="64" t="str">
        <f>HYPERLINK("http://www.twitter.com/nilsjesper", "nilsjesper")</f>
        <v>nilsjesper</v>
      </c>
      <c r="B26878" s="65" t="s">
        <v>11460</v>
      </c>
    </row>
    <row r="26879" spans="1:2" x14ac:dyDescent="0.25">
      <c r="A26879" s="64" t="str">
        <f>HYPERLINK("http://www.twitter.com/benchnotes", "benchnotes")</f>
        <v>benchnotes</v>
      </c>
      <c r="B26879" s="65"/>
    </row>
    <row r="26880" spans="1:2" x14ac:dyDescent="0.25">
      <c r="A26880" s="64" t="str">
        <f>HYPERLINK("http://www.twitter.com/whiteheadednic", "whiteheadednic")</f>
        <v>whiteheadednic</v>
      </c>
      <c r="B26880" s="65" t="s">
        <v>11461</v>
      </c>
    </row>
    <row r="26881" spans="1:2" x14ac:dyDescent="0.25">
      <c r="A26881" s="64" t="str">
        <f>HYPERLINK("http://www.twitter.com/SarahHathaway", "SarahHathaway")</f>
        <v>SarahHathaway</v>
      </c>
      <c r="B26881" s="65"/>
    </row>
    <row r="26882" spans="1:2" x14ac:dyDescent="0.25">
      <c r="A26882" s="64" t="str">
        <f>HYPERLINK("http://www.twitter.com/kazzimazzi", "kazzimazzi")</f>
        <v>kazzimazzi</v>
      </c>
      <c r="B26882" s="65" t="s">
        <v>11462</v>
      </c>
    </row>
    <row r="26883" spans="1:2" x14ac:dyDescent="0.25">
      <c r="A26883" s="64" t="str">
        <f>HYPERLINK("http://www.twitter.com/uofalibraries", "uofalibraries")</f>
        <v>uofalibraries</v>
      </c>
      <c r="B26883" s="65" t="s">
        <v>4616</v>
      </c>
    </row>
    <row r="26884" spans="1:2" x14ac:dyDescent="0.25">
      <c r="A26884" s="64" t="str">
        <f>HYPERLINK("http://www.twitter.com/BruceCountyLib", "BruceCountyLib")</f>
        <v>BruceCountyLib</v>
      </c>
      <c r="B26884" s="65" t="s">
        <v>11463</v>
      </c>
    </row>
    <row r="26885" spans="1:2" x14ac:dyDescent="0.25">
      <c r="A26885" s="64" t="str">
        <f>HYPERLINK("http://www.twitter.com/LibraryVC", "LibraryVC")</f>
        <v>LibraryVC</v>
      </c>
      <c r="B26885" s="65" t="s">
        <v>11464</v>
      </c>
    </row>
    <row r="26886" spans="1:2" x14ac:dyDescent="0.25">
      <c r="A26886" s="64" t="str">
        <f>HYPERLINK("http://www.twitter.com/kikojop", "kikojop")</f>
        <v>kikojop</v>
      </c>
      <c r="B26886" s="65"/>
    </row>
    <row r="26887" spans="1:2" x14ac:dyDescent="0.25">
      <c r="A26887" s="64" t="str">
        <f>HYPERLINK("http://www.twitter.com/CookPublicLib", "CookPublicLib")</f>
        <v>CookPublicLib</v>
      </c>
      <c r="B26887" s="65" t="s">
        <v>11465</v>
      </c>
    </row>
    <row r="26888" spans="1:2" x14ac:dyDescent="0.25">
      <c r="A26888" s="64" t="str">
        <f>HYPERLINK("http://www.twitter.com/lola_joan", "lola_joan")</f>
        <v>lola_joan</v>
      </c>
      <c r="B26888" s="65"/>
    </row>
    <row r="26889" spans="1:2" x14ac:dyDescent="0.25">
      <c r="A26889" s="64" t="str">
        <f>HYPERLINK("http://www.twitter.com/acornsandnuts", "acornsandnuts")</f>
        <v>acornsandnuts</v>
      </c>
      <c r="B26889" s="65" t="s">
        <v>3872</v>
      </c>
    </row>
    <row r="26890" spans="1:2" x14ac:dyDescent="0.25">
      <c r="A26890" s="64" t="str">
        <f>HYPERLINK("http://www.twitter.com/mickeygomez", "mickeygomez")</f>
        <v>mickeygomez</v>
      </c>
      <c r="B26890" s="65" t="s">
        <v>4310</v>
      </c>
    </row>
    <row r="26891" spans="1:2" x14ac:dyDescent="0.25">
      <c r="A26891" s="64" t="str">
        <f>HYPERLINK("http://www.twitter.com/goodmaggie", "goodmaggie")</f>
        <v>goodmaggie</v>
      </c>
      <c r="B26891" s="65" t="s">
        <v>4632</v>
      </c>
    </row>
    <row r="26892" spans="1:2" x14ac:dyDescent="0.25">
      <c r="A26892" s="64" t="str">
        <f>HYPERLINK("http://www.twitter.com/SeeCateRead", "SeeCateRead")</f>
        <v>SeeCateRead</v>
      </c>
      <c r="B26892" s="65" t="s">
        <v>4529</v>
      </c>
    </row>
    <row r="26893" spans="1:2" x14ac:dyDescent="0.25">
      <c r="A26893" s="64" t="str">
        <f>HYPERLINK("http://www.twitter.com/vickibowe", "vickibowe")</f>
        <v>vickibowe</v>
      </c>
      <c r="B26893" s="65" t="s">
        <v>2306</v>
      </c>
    </row>
    <row r="26894" spans="1:2" x14ac:dyDescent="0.25">
      <c r="A26894" s="64" t="str">
        <f>HYPERLINK("http://www.twitter.com/SteffiSm", "SteffiSm")</f>
        <v>SteffiSm</v>
      </c>
      <c r="B26894" s="65" t="s">
        <v>11466</v>
      </c>
    </row>
    <row r="26895" spans="1:2" x14ac:dyDescent="0.25">
      <c r="A26895" s="64" t="str">
        <f>HYPERLINK("http://www.twitter.com/hart_stevens", "hart_stevens")</f>
        <v>hart_stevens</v>
      </c>
      <c r="B26895" s="65" t="s">
        <v>11467</v>
      </c>
    </row>
    <row r="26896" spans="1:2" x14ac:dyDescent="0.25">
      <c r="A26896" s="64" t="str">
        <f>HYPERLINK("http://www.twitter.com/hughkeogh", "hughkeogh")</f>
        <v>hughkeogh</v>
      </c>
      <c r="B26896" s="65"/>
    </row>
    <row r="26897" spans="1:2" x14ac:dyDescent="0.25">
      <c r="A26897" s="64" t="str">
        <f>HYPERLINK("http://www.twitter.com/smyles", "smyles")</f>
        <v>smyles</v>
      </c>
      <c r="B26897" s="65" t="s">
        <v>11468</v>
      </c>
    </row>
    <row r="26898" spans="1:2" x14ac:dyDescent="0.25">
      <c r="A26898" s="64" t="str">
        <f>HYPERLINK("http://www.twitter.com/TheSpacebar_Kid", "TheSpacebar_Kid")</f>
        <v>TheSpacebar_Kid</v>
      </c>
      <c r="B26898" s="65" t="s">
        <v>102</v>
      </c>
    </row>
    <row r="26899" spans="1:2" x14ac:dyDescent="0.25">
      <c r="A26899" s="64" t="str">
        <f>HYPERLINK("http://www.twitter.com/goinblind", "goinblind")</f>
        <v>goinblind</v>
      </c>
      <c r="B26899" s="65"/>
    </row>
    <row r="26900" spans="1:2" x14ac:dyDescent="0.25">
      <c r="A26900" s="64" t="str">
        <f>HYPERLINK("http://www.twitter.com/bvdono", "bvdono")</f>
        <v>bvdono</v>
      </c>
      <c r="B26900" s="65" t="s">
        <v>4632</v>
      </c>
    </row>
    <row r="26901" spans="1:2" x14ac:dyDescent="0.25">
      <c r="A26901" s="64" t="str">
        <f>HYPERLINK("http://www.twitter.com/emmaclogs", "emmaclogs")</f>
        <v>emmaclogs</v>
      </c>
      <c r="B26901" s="65" t="s">
        <v>11469</v>
      </c>
    </row>
    <row r="26902" spans="1:2" x14ac:dyDescent="0.25">
      <c r="A26902" s="64" t="str">
        <f>HYPERLINK("http://www.twitter.com/slaggybuttonit", "slaggybuttonit")</f>
        <v>slaggybuttonit</v>
      </c>
      <c r="B26902" s="65" t="s">
        <v>3974</v>
      </c>
    </row>
    <row r="26903" spans="1:2" x14ac:dyDescent="0.25">
      <c r="A26903" s="64" t="str">
        <f>HYPERLINK("http://www.twitter.com/katehaldane", "katehaldane")</f>
        <v>katehaldane</v>
      </c>
      <c r="B26903" s="65" t="s">
        <v>11470</v>
      </c>
    </row>
    <row r="26904" spans="1:2" x14ac:dyDescent="0.25">
      <c r="A26904" s="64" t="str">
        <f>HYPERLINK("http://www.twitter.com/avrilnicoll", "avrilnicoll")</f>
        <v>avrilnicoll</v>
      </c>
      <c r="B26904" s="65"/>
    </row>
    <row r="26905" spans="1:2" x14ac:dyDescent="0.25">
      <c r="A26905" s="64" t="str">
        <f>HYPERLINK("http://www.twitter.com/DominicDulley", "DominicDulley")</f>
        <v>DominicDulley</v>
      </c>
      <c r="B26905" s="65" t="s">
        <v>5260</v>
      </c>
    </row>
    <row r="26906" spans="1:2" x14ac:dyDescent="0.25">
      <c r="A26906" s="64" t="str">
        <f>HYPERLINK("http://www.twitter.com/FearlessFred", "FearlessFred")</f>
        <v>FearlessFred</v>
      </c>
      <c r="B26906" s="65" t="s">
        <v>11471</v>
      </c>
    </row>
    <row r="26907" spans="1:2" x14ac:dyDescent="0.25">
      <c r="A26907" s="64" t="str">
        <f>HYPERLINK("http://www.twitter.com/MsHepburnley", "MsHepburnley")</f>
        <v>MsHepburnley</v>
      </c>
      <c r="B26907" s="65" t="s">
        <v>11472</v>
      </c>
    </row>
    <row r="26908" spans="1:2" x14ac:dyDescent="0.25">
      <c r="A26908" s="64" t="str">
        <f>HYPERLINK("http://www.twitter.com/Mr_ijn", "Mr_ijn")</f>
        <v>Mr_ijn</v>
      </c>
      <c r="B26908" s="65"/>
    </row>
    <row r="26909" spans="1:2" x14ac:dyDescent="0.25">
      <c r="A26909" s="64" t="str">
        <f>HYPERLINK("http://www.twitter.com/Demon_Dantanian", "Demon_Dantanian")</f>
        <v>Demon_Dantanian</v>
      </c>
      <c r="B26909" s="65"/>
    </row>
    <row r="26910" spans="1:2" x14ac:dyDescent="0.25">
      <c r="A26910" s="64" t="str">
        <f>HYPERLINK("http://www.twitter.com/Talking_Books", "Talking_Books")</f>
        <v>Talking_Books</v>
      </c>
      <c r="B26910" s="65" t="s">
        <v>11473</v>
      </c>
    </row>
    <row r="26911" spans="1:2" x14ac:dyDescent="0.25">
      <c r="A26911" s="64" t="str">
        <f>HYPERLINK("http://www.twitter.com/u38cg", "u38cg")</f>
        <v>u38cg</v>
      </c>
      <c r="B26911" s="65" t="s">
        <v>110</v>
      </c>
    </row>
    <row r="26912" spans="1:2" x14ac:dyDescent="0.25">
      <c r="A26912" s="64" t="str">
        <f>HYPERLINK("http://www.twitter.com/chris_hall", "chris_hall")</f>
        <v>chris_hall</v>
      </c>
      <c r="B26912" s="65" t="s">
        <v>3890</v>
      </c>
    </row>
    <row r="26913" spans="1:2" x14ac:dyDescent="0.25">
      <c r="A26913" s="64" t="str">
        <f>HYPERLINK("http://www.twitter.com/Saffi_P", "Saffi_P")</f>
        <v>Saffi_P</v>
      </c>
      <c r="B26913" s="65"/>
    </row>
    <row r="26914" spans="1:2" x14ac:dyDescent="0.25">
      <c r="A26914" s="64" t="str">
        <f>HYPERLINK("http://www.twitter.com/binaryape", "binaryape")</f>
        <v>binaryape</v>
      </c>
      <c r="B26914" s="65" t="s">
        <v>4040</v>
      </c>
    </row>
    <row r="26915" spans="1:2" x14ac:dyDescent="0.25">
      <c r="A26915" s="64" t="str">
        <f>HYPERLINK("http://www.twitter.com/argyllscricket", "argyllscricket")</f>
        <v>argyllscricket</v>
      </c>
      <c r="B26915" s="65" t="s">
        <v>857</v>
      </c>
    </row>
    <row r="26916" spans="1:2" x14ac:dyDescent="0.25">
      <c r="A26916" s="64" t="str">
        <f>HYPERLINK("http://www.twitter.com/ettienekaye", "ettienekaye")</f>
        <v>ettienekaye</v>
      </c>
      <c r="B26916" s="65"/>
    </row>
    <row r="26917" spans="1:2" x14ac:dyDescent="0.25">
      <c r="A26917" s="64" t="str">
        <f>HYPERLINK("http://www.twitter.com/muppling", "muppling")</f>
        <v>muppling</v>
      </c>
      <c r="B26917" s="65"/>
    </row>
    <row r="26918" spans="1:2" x14ac:dyDescent="0.25">
      <c r="A26918" s="64" t="str">
        <f>HYPERLINK("http://www.twitter.com/rhiannonaevans", "rhiannonaevans")</f>
        <v>rhiannonaevans</v>
      </c>
      <c r="B26918" s="65" t="s">
        <v>2725</v>
      </c>
    </row>
    <row r="26919" spans="1:2" x14ac:dyDescent="0.25">
      <c r="A26919" s="64" t="str">
        <f>HYPERLINK("http://www.twitter.com/ArielDumas", "ArielDumas")</f>
        <v>ArielDumas</v>
      </c>
      <c r="B26919" s="65" t="s">
        <v>7659</v>
      </c>
    </row>
    <row r="26920" spans="1:2" x14ac:dyDescent="0.25">
      <c r="A26920" s="64" t="str">
        <f>HYPERLINK("http://www.twitter.com/LewisChrissy", "LewisChrissy")</f>
        <v>LewisChrissy</v>
      </c>
      <c r="B26920" s="65" t="s">
        <v>141</v>
      </c>
    </row>
    <row r="26921" spans="1:2" x14ac:dyDescent="0.25">
      <c r="A26921" s="64" t="str">
        <f>HYPERLINK("http://www.twitter.com/sazzajay", "sazzajay")</f>
        <v>sazzajay</v>
      </c>
      <c r="B26921" s="65" t="s">
        <v>11474</v>
      </c>
    </row>
    <row r="26922" spans="1:2" x14ac:dyDescent="0.25">
      <c r="A26922" s="64" t="str">
        <f>HYPERLINK("http://www.twitter.com/orrnyereg", "orrnyereg")</f>
        <v>orrnyereg</v>
      </c>
      <c r="B26922" s="65" t="s">
        <v>4702</v>
      </c>
    </row>
    <row r="26923" spans="1:2" x14ac:dyDescent="0.25">
      <c r="A26923" s="64" t="str">
        <f>HYPERLINK("http://www.twitter.com/TEngelid", "TEngelid")</f>
        <v>TEngelid</v>
      </c>
      <c r="B26923" s="65"/>
    </row>
    <row r="26924" spans="1:2" x14ac:dyDescent="0.25">
      <c r="A26924" s="64" t="str">
        <f>HYPERLINK("http://www.twitter.com/BetsyAngst", "BetsyAngst")</f>
        <v>BetsyAngst</v>
      </c>
      <c r="B26924" s="65" t="s">
        <v>4329</v>
      </c>
    </row>
    <row r="26925" spans="1:2" x14ac:dyDescent="0.25">
      <c r="A26925" s="64" t="str">
        <f>HYPERLINK("http://www.twitter.com/mimbuttons", "mimbuttons")</f>
        <v>mimbuttons</v>
      </c>
      <c r="B26925" s="65"/>
    </row>
    <row r="26926" spans="1:2" x14ac:dyDescent="0.25">
      <c r="A26926" s="64" t="str">
        <f>HYPERLINK("http://www.twitter.com/anthea313", "anthea313")</f>
        <v>anthea313</v>
      </c>
      <c r="B26926" s="65" t="s">
        <v>11475</v>
      </c>
    </row>
    <row r="26927" spans="1:2" x14ac:dyDescent="0.25">
      <c r="A26927" s="64" t="str">
        <f>HYPERLINK("http://www.twitter.com/TanyaHarsch", "TanyaHarsch")</f>
        <v>TanyaHarsch</v>
      </c>
      <c r="B26927" s="65" t="s">
        <v>7754</v>
      </c>
    </row>
    <row r="26928" spans="1:2" x14ac:dyDescent="0.25">
      <c r="A26928" s="64" t="str">
        <f>HYPERLINK("http://www.twitter.com/adlgator86", "adlgator86")</f>
        <v>adlgator86</v>
      </c>
      <c r="B26928" s="65" t="s">
        <v>7574</v>
      </c>
    </row>
    <row r="26929" spans="1:2" x14ac:dyDescent="0.25">
      <c r="A26929" s="64" t="str">
        <f>HYPERLINK("http://www.twitter.com/emmackat", "emmackat")</f>
        <v>emmackat</v>
      </c>
      <c r="B26929" s="65" t="s">
        <v>11476</v>
      </c>
    </row>
    <row r="26930" spans="1:2" x14ac:dyDescent="0.25">
      <c r="A26930" s="64" t="str">
        <f>HYPERLINK("http://www.twitter.com/mxglsn", "mxglsn")</f>
        <v>mxglsn</v>
      </c>
      <c r="B26930" s="65"/>
    </row>
    <row r="26931" spans="1:2" x14ac:dyDescent="0.25">
      <c r="A26931" s="64" t="str">
        <f>HYPERLINK("http://www.twitter.com/GeoffPolHist", "GeoffPolHist")</f>
        <v>GeoffPolHist</v>
      </c>
      <c r="B26931" s="65" t="s">
        <v>11477</v>
      </c>
    </row>
    <row r="26932" spans="1:2" x14ac:dyDescent="0.25">
      <c r="A26932" s="64" t="str">
        <f>HYPERLINK("http://www.twitter.com/Radishwak", "Radishwak")</f>
        <v>Radishwak</v>
      </c>
      <c r="B26932" s="65" t="s">
        <v>4309</v>
      </c>
    </row>
    <row r="26933" spans="1:2" x14ac:dyDescent="0.25">
      <c r="A26933" s="64" t="str">
        <f>HYPERLINK("http://www.twitter.com/BakkaBurke", "BakkaBurke")</f>
        <v>BakkaBurke</v>
      </c>
      <c r="B26933" s="65"/>
    </row>
    <row r="26934" spans="1:2" x14ac:dyDescent="0.25">
      <c r="A26934" s="64" t="str">
        <f>HYPERLINK("http://www.twitter.com/lordhissyfit", "lordhissyfit")</f>
        <v>lordhissyfit</v>
      </c>
      <c r="B26934" s="65" t="s">
        <v>4001</v>
      </c>
    </row>
    <row r="26935" spans="1:2" x14ac:dyDescent="0.25">
      <c r="A26935" s="64" t="str">
        <f>HYPERLINK("http://www.twitter.com/kirstinh", "kirstinh")</f>
        <v>kirstinh</v>
      </c>
      <c r="B26935" s="65"/>
    </row>
    <row r="26936" spans="1:2" x14ac:dyDescent="0.25">
      <c r="A26936" s="64" t="str">
        <f>HYPERLINK("http://www.twitter.com/jndevereux", "jndevereux")</f>
        <v>jndevereux</v>
      </c>
      <c r="B26936" s="65" t="s">
        <v>8475</v>
      </c>
    </row>
    <row r="26937" spans="1:2" x14ac:dyDescent="0.25">
      <c r="A26937" s="64" t="str">
        <f>HYPERLINK("http://www.twitter.com/MicheleMacKenzi", "MicheleMacKenzi")</f>
        <v>MicheleMacKenzi</v>
      </c>
      <c r="B26937" s="65" t="s">
        <v>5718</v>
      </c>
    </row>
    <row r="26938" spans="1:2" x14ac:dyDescent="0.25">
      <c r="A26938" s="64" t="str">
        <f>HYPERLINK("http://www.twitter.com/MonicaCMiller", "MonicaCMiller")</f>
        <v>MonicaCMiller</v>
      </c>
      <c r="B26938" s="65" t="s">
        <v>11478</v>
      </c>
    </row>
    <row r="26939" spans="1:2" x14ac:dyDescent="0.25">
      <c r="A26939" s="64" t="str">
        <f>HYPERLINK("http://www.twitter.com/npjones1", "npjones1")</f>
        <v>npjones1</v>
      </c>
      <c r="B26939" s="65" t="s">
        <v>11479</v>
      </c>
    </row>
    <row r="26940" spans="1:2" x14ac:dyDescent="0.25">
      <c r="A26940" s="64" t="str">
        <f>HYPERLINK("http://www.twitter.com/aelmore", "aelmore")</f>
        <v>aelmore</v>
      </c>
      <c r="B26940" s="65" t="s">
        <v>4948</v>
      </c>
    </row>
    <row r="26941" spans="1:2" x14ac:dyDescent="0.25">
      <c r="A26941" s="64" t="str">
        <f>HYPERLINK("http://www.twitter.com/nincompooperies", "nincompooperies")</f>
        <v>nincompooperies</v>
      </c>
      <c r="B26941" s="65" t="s">
        <v>6249</v>
      </c>
    </row>
    <row r="26942" spans="1:2" x14ac:dyDescent="0.25">
      <c r="A26942" s="64" t="str">
        <f>HYPERLINK("http://www.twitter.com/karen_johnsto", "karen_johnsto")</f>
        <v>karen_johnsto</v>
      </c>
      <c r="B26942" s="65"/>
    </row>
    <row r="26943" spans="1:2" x14ac:dyDescent="0.25">
      <c r="A26943" s="64" t="str">
        <f>HYPERLINK("http://www.twitter.com/Hjetlandi", "Hjetlandi")</f>
        <v>Hjetlandi</v>
      </c>
      <c r="B26943" s="65" t="s">
        <v>11480</v>
      </c>
    </row>
    <row r="26944" spans="1:2" x14ac:dyDescent="0.25">
      <c r="A26944" s="64" t="str">
        <f>HYPERLINK("http://www.twitter.com/perilenmer", "perilenmer")</f>
        <v>perilenmer</v>
      </c>
      <c r="B26944" s="65" t="s">
        <v>11481</v>
      </c>
    </row>
    <row r="26945" spans="1:2" x14ac:dyDescent="0.25">
      <c r="A26945" s="64" t="str">
        <f>HYPERLINK("http://www.twitter.com/gordonwarnock", "gordonwarnock")</f>
        <v>gordonwarnock</v>
      </c>
      <c r="B26945" s="65" t="s">
        <v>11482</v>
      </c>
    </row>
    <row r="26946" spans="1:2" x14ac:dyDescent="0.25">
      <c r="A26946" s="64" t="str">
        <f>HYPERLINK("http://www.twitter.com/coffeeandcola", "coffeeandcola")</f>
        <v>coffeeandcola</v>
      </c>
      <c r="B26946" s="65" t="s">
        <v>11483</v>
      </c>
    </row>
    <row r="26947" spans="1:2" x14ac:dyDescent="0.25">
      <c r="A26947" s="64" t="str">
        <f>HYPERLINK("http://www.twitter.com/Bantha29", "Bantha29")</f>
        <v>Bantha29</v>
      </c>
      <c r="B26947" s="65" t="s">
        <v>24</v>
      </c>
    </row>
    <row r="26948" spans="1:2" x14ac:dyDescent="0.25">
      <c r="A26948" s="64" t="str">
        <f>HYPERLINK("http://www.twitter.com/iansambo", "iansambo")</f>
        <v>iansambo</v>
      </c>
      <c r="B26948" s="65"/>
    </row>
    <row r="26949" spans="1:2" x14ac:dyDescent="0.25">
      <c r="A26949" s="64" t="str">
        <f>HYPERLINK("http://www.twitter.com/Deebee_9", "Deebee_9")</f>
        <v>Deebee_9</v>
      </c>
      <c r="B26949" s="65" t="s">
        <v>372</v>
      </c>
    </row>
    <row r="26950" spans="1:2" x14ac:dyDescent="0.25">
      <c r="A26950" s="64" t="str">
        <f>HYPERLINK("http://www.twitter.com/deepamstry", "deepamstry")</f>
        <v>deepamstry</v>
      </c>
      <c r="B26950" s="65" t="s">
        <v>508</v>
      </c>
    </row>
    <row r="26951" spans="1:2" x14ac:dyDescent="0.25">
      <c r="A26951" s="64" t="str">
        <f>HYPERLINK("http://www.twitter.com/theladydoctor1", "theladydoctor1")</f>
        <v>theladydoctor1</v>
      </c>
      <c r="B26951" s="65" t="s">
        <v>1221</v>
      </c>
    </row>
    <row r="26952" spans="1:2" x14ac:dyDescent="0.25">
      <c r="A26952" s="64" t="str">
        <f>HYPERLINK("http://www.twitter.com/halseanderson", "halseanderson")</f>
        <v>halseanderson</v>
      </c>
      <c r="B26952" s="65" t="s">
        <v>11484</v>
      </c>
    </row>
    <row r="26953" spans="1:2" x14ac:dyDescent="0.25">
      <c r="A26953" s="64" t="str">
        <f>HYPERLINK("http://www.twitter.com/Zizallen", "Zizallen")</f>
        <v>Zizallen</v>
      </c>
      <c r="B26953" s="65" t="s">
        <v>11485</v>
      </c>
    </row>
    <row r="26954" spans="1:2" x14ac:dyDescent="0.25">
      <c r="A26954" s="64" t="str">
        <f>HYPERLINK("http://www.twitter.com/MASgenealogy", "MASgenealogy")</f>
        <v>MASgenealogy</v>
      </c>
      <c r="B26954" s="65" t="s">
        <v>7284</v>
      </c>
    </row>
    <row r="26955" spans="1:2" x14ac:dyDescent="0.25">
      <c r="A26955" s="64" t="str">
        <f>HYPERLINK("http://www.twitter.com/frndcldben", "frndcldben")</f>
        <v>frndcldben</v>
      </c>
      <c r="B26955" s="65" t="s">
        <v>110</v>
      </c>
    </row>
    <row r="26956" spans="1:2" x14ac:dyDescent="0.25">
      <c r="A26956" s="64" t="str">
        <f>HYPERLINK("http://www.twitter.com/RowanMWilson", "RowanMWilson")</f>
        <v>RowanMWilson</v>
      </c>
      <c r="B26956" s="65" t="s">
        <v>36</v>
      </c>
    </row>
    <row r="26957" spans="1:2" x14ac:dyDescent="0.25">
      <c r="A26957" s="64" t="str">
        <f>HYPERLINK("http://www.twitter.com/TheCountedSheep", "TheCountedSheep")</f>
        <v>TheCountedSheep</v>
      </c>
      <c r="B26957" s="65" t="s">
        <v>11486</v>
      </c>
    </row>
    <row r="26958" spans="1:2" x14ac:dyDescent="0.25">
      <c r="A26958" s="64" t="str">
        <f>HYPERLINK("http://www.twitter.com/CharmaineRC", "CharmaineRC")</f>
        <v>CharmaineRC</v>
      </c>
      <c r="B26958" s="65" t="s">
        <v>11487</v>
      </c>
    </row>
    <row r="26959" spans="1:2" x14ac:dyDescent="0.25">
      <c r="A26959" s="64" t="str">
        <f>HYPERLINK("http://www.twitter.com/fox_SJW", "fox_SJW")</f>
        <v>fox_SJW</v>
      </c>
      <c r="B26959" s="65"/>
    </row>
    <row r="26960" spans="1:2" x14ac:dyDescent="0.25">
      <c r="A26960" s="64" t="str">
        <f>HYPERLINK("http://www.twitter.com/peedielaura", "peedielaura")</f>
        <v>peedielaura</v>
      </c>
      <c r="B26960" s="65"/>
    </row>
    <row r="26961" spans="1:2" x14ac:dyDescent="0.25">
      <c r="A26961" s="64" t="str">
        <f>HYPERLINK("http://www.twitter.com/christopherneal", "christopherneal")</f>
        <v>christopherneal</v>
      </c>
      <c r="B26961" s="65" t="s">
        <v>5587</v>
      </c>
    </row>
    <row r="26962" spans="1:2" x14ac:dyDescent="0.25">
      <c r="A26962" s="64" t="str">
        <f>HYPERLINK("http://www.twitter.com/ChrisBakerTown", "ChrisBakerTown")</f>
        <v>ChrisBakerTown</v>
      </c>
      <c r="B26962" s="65" t="s">
        <v>118</v>
      </c>
    </row>
    <row r="26963" spans="1:2" x14ac:dyDescent="0.25">
      <c r="A26963" s="64" t="str">
        <f>HYPERLINK("http://www.twitter.com/BapDeLahBap", "BapDeLahBap")</f>
        <v>BapDeLahBap</v>
      </c>
      <c r="B26963" s="65" t="s">
        <v>11488</v>
      </c>
    </row>
    <row r="26964" spans="1:2" x14ac:dyDescent="0.25">
      <c r="A26964" s="64" t="str">
        <f>HYPERLINK("http://www.twitter.com/annabelblay", "annabelblay")</f>
        <v>annabelblay</v>
      </c>
      <c r="B26964" s="65" t="s">
        <v>3817</v>
      </c>
    </row>
    <row r="26965" spans="1:2" x14ac:dyDescent="0.25">
      <c r="A26965" s="64" t="str">
        <f>HYPERLINK("http://www.twitter.com/pfiffi4", "pfiffi4")</f>
        <v>pfiffi4</v>
      </c>
      <c r="B26965" s="65"/>
    </row>
    <row r="26966" spans="1:2" x14ac:dyDescent="0.25">
      <c r="A26966" s="64" t="str">
        <f>HYPERLINK("http://www.twitter.com/MagneticFlea", "MagneticFlea")</f>
        <v>MagneticFlea</v>
      </c>
      <c r="B26966" s="65" t="s">
        <v>11489</v>
      </c>
    </row>
    <row r="26967" spans="1:2" x14ac:dyDescent="0.25">
      <c r="A26967" s="64" t="str">
        <f>HYPERLINK("http://www.twitter.com/missayme", "missayme")</f>
        <v>missayme</v>
      </c>
      <c r="B26967" s="65" t="s">
        <v>4222</v>
      </c>
    </row>
    <row r="26968" spans="1:2" x14ac:dyDescent="0.25">
      <c r="A26968" s="64" t="str">
        <f>HYPERLINK("http://www.twitter.com/Polyquats", "Polyquats")</f>
        <v>Polyquats</v>
      </c>
      <c r="B26968" s="65" t="s">
        <v>4273</v>
      </c>
    </row>
    <row r="26969" spans="1:2" x14ac:dyDescent="0.25">
      <c r="A26969" s="64" t="str">
        <f>HYPERLINK("http://www.twitter.com/Festivalfolkie", "Festivalfolkie")</f>
        <v>Festivalfolkie</v>
      </c>
      <c r="B26969" s="65" t="s">
        <v>36</v>
      </c>
    </row>
    <row r="26970" spans="1:2" x14ac:dyDescent="0.25">
      <c r="A26970" s="64" t="str">
        <f>HYPERLINK("http://www.twitter.com/itsgordon_baird", "itsgordon_baird")</f>
        <v>itsgordon_baird</v>
      </c>
      <c r="B26970" s="65" t="s">
        <v>421</v>
      </c>
    </row>
    <row r="26971" spans="1:2" x14ac:dyDescent="0.25">
      <c r="A26971" s="64" t="str">
        <f>HYPERLINK("http://www.twitter.com/H0spitalJ0b", "H0spitalJ0b")</f>
        <v>H0spitalJ0b</v>
      </c>
      <c r="B26971" s="65" t="s">
        <v>11490</v>
      </c>
    </row>
    <row r="26972" spans="1:2" x14ac:dyDescent="0.25">
      <c r="A26972" s="64" t="str">
        <f>HYPERLINK("http://www.twitter.com/Salbrey", "Salbrey")</f>
        <v>Salbrey</v>
      </c>
      <c r="B26972" s="65" t="s">
        <v>11491</v>
      </c>
    </row>
    <row r="26973" spans="1:2" x14ac:dyDescent="0.25">
      <c r="A26973" s="64" t="str">
        <f>HYPERLINK("http://www.twitter.com/TamJCol29", "TamJCol29")</f>
        <v>TamJCol29</v>
      </c>
      <c r="B26973" s="65"/>
    </row>
    <row r="26974" spans="1:2" x14ac:dyDescent="0.25">
      <c r="A26974" s="64" t="str">
        <f>HYPERLINK("http://www.twitter.com/bevanshortridge", "bevanshortridge")</f>
        <v>bevanshortridge</v>
      </c>
      <c r="B26974" s="65" t="s">
        <v>4436</v>
      </c>
    </row>
    <row r="26975" spans="1:2" x14ac:dyDescent="0.25">
      <c r="A26975" s="64" t="str">
        <f>HYPERLINK("http://www.twitter.com/lytteltonian", "lytteltonian")</f>
        <v>lytteltonian</v>
      </c>
      <c r="B26975" s="65" t="s">
        <v>4436</v>
      </c>
    </row>
    <row r="26976" spans="1:2" x14ac:dyDescent="0.25">
      <c r="A26976" s="64" t="str">
        <f>HYPERLINK("http://www.twitter.com/ChuckieCh", "ChuckieCh")</f>
        <v>ChuckieCh</v>
      </c>
      <c r="B26976" s="65" t="s">
        <v>11492</v>
      </c>
    </row>
    <row r="26977" spans="1:2" x14ac:dyDescent="0.25">
      <c r="A26977" s="64" t="str">
        <f>HYPERLINK("http://www.twitter.com/j_k_knox", "j_k_knox")</f>
        <v>j_k_knox</v>
      </c>
      <c r="B26977" s="65"/>
    </row>
    <row r="26978" spans="1:2" x14ac:dyDescent="0.25">
      <c r="A26978" s="64" t="str">
        <f>HYPERLINK("http://www.twitter.com/Flashbarmike", "Flashbarmike")</f>
        <v>Flashbarmike</v>
      </c>
      <c r="B26978" s="65" t="s">
        <v>11493</v>
      </c>
    </row>
    <row r="26979" spans="1:2" x14ac:dyDescent="0.25">
      <c r="A26979" s="64" t="str">
        <f>HYPERLINK("http://www.twitter.com/lyndasummers", "lyndasummers")</f>
        <v>lyndasummers</v>
      </c>
      <c r="B26979" s="65" t="s">
        <v>11494</v>
      </c>
    </row>
    <row r="26980" spans="1:2" x14ac:dyDescent="0.25">
      <c r="A26980" s="64" t="str">
        <f>HYPERLINK("http://www.twitter.com/brian1874", "brian1874")</f>
        <v>brian1874</v>
      </c>
      <c r="B26980" s="65"/>
    </row>
    <row r="26981" spans="1:2" x14ac:dyDescent="0.25">
      <c r="A26981" s="64" t="str">
        <f>HYPERLINK("http://www.twitter.com/stuartbrown77", "stuartbrown77")</f>
        <v>stuartbrown77</v>
      </c>
      <c r="B26981" s="65" t="s">
        <v>11495</v>
      </c>
    </row>
    <row r="26982" spans="1:2" x14ac:dyDescent="0.25">
      <c r="A26982" s="64" t="str">
        <f>HYPERLINK("http://www.twitter.com/KleineSchweine", "KleineSchweine")</f>
        <v>KleineSchweine</v>
      </c>
      <c r="B26982" s="65" t="s">
        <v>11496</v>
      </c>
    </row>
    <row r="26983" spans="1:2" x14ac:dyDescent="0.25">
      <c r="A26983" s="64" t="str">
        <f>HYPERLINK("http://www.twitter.com/RobertPitman", "RobertPitman")</f>
        <v>RobertPitman</v>
      </c>
      <c r="B26983" s="65" t="s">
        <v>1221</v>
      </c>
    </row>
    <row r="26984" spans="1:2" x14ac:dyDescent="0.25">
      <c r="A26984" s="64" t="str">
        <f>HYPERLINK("http://www.twitter.com/ben_hogben", "ben_hogben")</f>
        <v>ben_hogben</v>
      </c>
      <c r="B26984" s="65"/>
    </row>
    <row r="26985" spans="1:2" x14ac:dyDescent="0.25">
      <c r="A26985" s="64" t="str">
        <f>HYPERLINK("http://www.twitter.com/duncandrever", "duncandrever")</f>
        <v>duncandrever</v>
      </c>
      <c r="B26985" s="65" t="s">
        <v>24</v>
      </c>
    </row>
    <row r="26986" spans="1:2" x14ac:dyDescent="0.25">
      <c r="A26986" s="64" t="str">
        <f>HYPERLINK("http://www.twitter.com/jimrobbins", "jimrobbins")</f>
        <v>jimrobbins</v>
      </c>
      <c r="B26986" s="65" t="s">
        <v>11497</v>
      </c>
    </row>
    <row r="26987" spans="1:2" x14ac:dyDescent="0.25">
      <c r="A26987" s="64" t="str">
        <f>HYPERLINK("http://www.twitter.com/peedielizzie", "peedielizzie")</f>
        <v>peedielizzie</v>
      </c>
      <c r="B26987" s="65" t="s">
        <v>11498</v>
      </c>
    </row>
    <row r="26988" spans="1:2" x14ac:dyDescent="0.25">
      <c r="A26988" s="64" t="str">
        <f>HYPERLINK("http://www.twitter.com/gill_fras", "gill_fras")</f>
        <v>gill_fras</v>
      </c>
      <c r="B26988" s="65"/>
    </row>
    <row r="26989" spans="1:2" x14ac:dyDescent="0.25">
      <c r="A26989" s="64" t="str">
        <f>HYPERLINK("http://www.twitter.com/MintSpies", "MintSpies")</f>
        <v>MintSpies</v>
      </c>
      <c r="B26989" s="65" t="s">
        <v>11499</v>
      </c>
    </row>
    <row r="26990" spans="1:2" x14ac:dyDescent="0.25">
      <c r="A26990" s="64" t="str">
        <f>HYPERLINK("http://www.twitter.com/PatMcFall", "PatMcFall")</f>
        <v>PatMcFall</v>
      </c>
      <c r="B26990" s="65" t="s">
        <v>24</v>
      </c>
    </row>
    <row r="26991" spans="1:2" x14ac:dyDescent="0.25">
      <c r="A26991" s="64" t="str">
        <f>HYPERLINK("http://www.twitter.com/CLWOlivier42", "CLWOlivier42")</f>
        <v>CLWOlivier42</v>
      </c>
      <c r="B26991" s="65"/>
    </row>
    <row r="26992" spans="1:2" x14ac:dyDescent="0.25">
      <c r="A26992" s="64" t="str">
        <f>HYPERLINK("http://www.twitter.com/anthonyrichar19", "anthonyrichar19")</f>
        <v>anthonyrichar19</v>
      </c>
      <c r="B26992" s="65"/>
    </row>
    <row r="26993" spans="1:2" x14ac:dyDescent="0.25">
      <c r="A26993" s="64" t="str">
        <f>HYPERLINK("http://www.twitter.com/NjckyP", "NjckyP")</f>
        <v>NjckyP</v>
      </c>
      <c r="B26993" s="65"/>
    </row>
    <row r="26994" spans="1:2" x14ac:dyDescent="0.25">
      <c r="A26994" s="64" t="str">
        <f>HYPERLINK("http://www.twitter.com/jgbillingsley", "jgbillingsley")</f>
        <v>jgbillingsley</v>
      </c>
      <c r="B26994" s="65"/>
    </row>
    <row r="26995" spans="1:2" x14ac:dyDescent="0.25">
      <c r="A26995" s="64" t="str">
        <f>HYPERLINK("http://www.twitter.com/Elsa_Davidson", "Elsa_Davidson")</f>
        <v>Elsa_Davidson</v>
      </c>
      <c r="B26995" s="65" t="s">
        <v>24</v>
      </c>
    </row>
    <row r="26996" spans="1:2" x14ac:dyDescent="0.25">
      <c r="A26996" s="64" t="str">
        <f>HYPERLINK("http://www.twitter.com/goldnanners11", "goldnanners11")</f>
        <v>goldnanners11</v>
      </c>
      <c r="B26996" s="65" t="s">
        <v>2007</v>
      </c>
    </row>
    <row r="26997" spans="1:2" x14ac:dyDescent="0.25">
      <c r="A26997" s="64" t="str">
        <f>HYPERLINK("http://www.twitter.com/TaibachLib", "TaibachLib")</f>
        <v>TaibachLib</v>
      </c>
      <c r="B26997" s="65" t="s">
        <v>11500</v>
      </c>
    </row>
    <row r="26998" spans="1:2" x14ac:dyDescent="0.25">
      <c r="A26998" s="64" t="str">
        <f>HYPERLINK("http://www.twitter.com/mandgt", "mandgt")</f>
        <v>mandgt</v>
      </c>
      <c r="B26998" s="65" t="s">
        <v>10961</v>
      </c>
    </row>
    <row r="26999" spans="1:2" x14ac:dyDescent="0.25">
      <c r="A26999" s="64" t="str">
        <f>HYPERLINK("http://www.twitter.com/ShelleyBurke23", "ShelleyBurke23")</f>
        <v>ShelleyBurke23</v>
      </c>
      <c r="B26999" s="65" t="s">
        <v>11501</v>
      </c>
    </row>
    <row r="27000" spans="1:2" x14ac:dyDescent="0.25">
      <c r="A27000" s="64" t="str">
        <f>HYPERLINK("http://www.twitter.com/TanyaLibrarian", "TanyaLibrarian")</f>
        <v>TanyaLibrarian</v>
      </c>
      <c r="B27000" s="65" t="s">
        <v>5275</v>
      </c>
    </row>
    <row r="27001" spans="1:2" x14ac:dyDescent="0.25">
      <c r="A27001" s="64" t="str">
        <f>HYPERLINK("http://www.twitter.com/CraignureB", "CraignureB")</f>
        <v>CraignureB</v>
      </c>
      <c r="B27001" s="65"/>
    </row>
    <row r="27002" spans="1:2" x14ac:dyDescent="0.25">
      <c r="A27002" s="64" t="str">
        <f>HYPERLINK("http://www.twitter.com/inverdiv", "inverdiv")</f>
        <v>inverdiv</v>
      </c>
      <c r="B27002" s="65"/>
    </row>
    <row r="27003" spans="1:2" x14ac:dyDescent="0.25">
      <c r="A27003" s="64" t="str">
        <f>HYPERLINK("http://www.twitter.com/ruth_fry", "ruth_fry")</f>
        <v>ruth_fry</v>
      </c>
      <c r="B27003" s="65" t="s">
        <v>517</v>
      </c>
    </row>
    <row r="27004" spans="1:2" x14ac:dyDescent="0.25">
      <c r="A27004" s="64" t="str">
        <f>HYPERLINK("http://www.twitter.com/ishbelmont", "ishbelmont")</f>
        <v>ishbelmont</v>
      </c>
      <c r="B27004" s="65" t="s">
        <v>11502</v>
      </c>
    </row>
    <row r="27005" spans="1:2" x14ac:dyDescent="0.25">
      <c r="A27005" s="64" t="str">
        <f>HYPERLINK("http://www.twitter.com/schmotime", "schmotime")</f>
        <v>schmotime</v>
      </c>
      <c r="B27005" s="65" t="s">
        <v>36</v>
      </c>
    </row>
    <row r="27006" spans="1:2" x14ac:dyDescent="0.25">
      <c r="A27006" s="64" t="str">
        <f>HYPERLINK("http://www.twitter.com/helen_charman", "helen_charman")</f>
        <v>helen_charman</v>
      </c>
      <c r="B27006" s="65" t="s">
        <v>11503</v>
      </c>
    </row>
    <row r="27007" spans="1:2" x14ac:dyDescent="0.25">
      <c r="A27007" s="64" t="str">
        <f>HYPERLINK("http://www.twitter.com/katew_uni", "katew_uni")</f>
        <v>katew_uni</v>
      </c>
      <c r="B27007" s="65"/>
    </row>
    <row r="27008" spans="1:2" x14ac:dyDescent="0.25">
      <c r="A27008" s="64" t="str">
        <f>HYPERLINK("http://www.twitter.com/KtCroy9", "KtCroy9")</f>
        <v>KtCroy9</v>
      </c>
      <c r="B27008" s="65"/>
    </row>
    <row r="27009" spans="1:2" x14ac:dyDescent="0.25">
      <c r="A27009" s="64" t="str">
        <f>HYPERLINK("http://www.twitter.com/Orkney_Icecream", "Orkney_Icecream")</f>
        <v>Orkney_Icecream</v>
      </c>
      <c r="B27009" s="65" t="s">
        <v>11504</v>
      </c>
    </row>
    <row r="27010" spans="1:2" x14ac:dyDescent="0.25">
      <c r="A27010" s="64" t="str">
        <f>HYPERLINK("http://www.twitter.com/NewcastleNoir", "NewcastleNoir")</f>
        <v>NewcastleNoir</v>
      </c>
      <c r="B27010" s="65"/>
    </row>
    <row r="27011" spans="1:2" x14ac:dyDescent="0.25">
      <c r="A27011" s="64" t="str">
        <f>HYPERLINK("http://www.twitter.com/pocketsteve", "pocketsteve")</f>
        <v>pocketsteve</v>
      </c>
      <c r="B27011" s="65" t="s">
        <v>11505</v>
      </c>
    </row>
    <row r="27012" spans="1:2" x14ac:dyDescent="0.25">
      <c r="A27012" s="64" t="str">
        <f>HYPERLINK("http://www.twitter.com/savellibraries", "savellibraries")</f>
        <v>savellibraries</v>
      </c>
      <c r="B27012" s="65" t="s">
        <v>102</v>
      </c>
    </row>
    <row r="27013" spans="1:2" x14ac:dyDescent="0.25">
      <c r="A27013" s="64" t="str">
        <f>HYPERLINK("http://www.twitter.com/johnlowriedrums", "johnlowriedrums")</f>
        <v>johnlowriedrums</v>
      </c>
      <c r="B27013" s="65" t="s">
        <v>5212</v>
      </c>
    </row>
    <row r="27014" spans="1:2" x14ac:dyDescent="0.25">
      <c r="A27014" s="64" t="str">
        <f>HYPERLINK("http://www.twitter.com/Kirst_MacAlps", "Kirst_MacAlps")</f>
        <v>Kirst_MacAlps</v>
      </c>
      <c r="B27014" s="65" t="s">
        <v>318</v>
      </c>
    </row>
    <row r="27015" spans="1:2" x14ac:dyDescent="0.25">
      <c r="A27015" s="64" t="str">
        <f>HYPERLINK("http://www.twitter.com/mhine107", "mhine107")</f>
        <v>mhine107</v>
      </c>
      <c r="B27015" s="65"/>
    </row>
    <row r="27016" spans="1:2" x14ac:dyDescent="0.25">
      <c r="A27016" s="64" t="str">
        <f>HYPERLINK("http://www.twitter.com/ishygway", "ishygway")</f>
        <v>ishygway</v>
      </c>
      <c r="B27016" s="65" t="s">
        <v>24</v>
      </c>
    </row>
    <row r="27017" spans="1:2" x14ac:dyDescent="0.25">
      <c r="A27017" s="64" t="str">
        <f>HYPERLINK("http://www.twitter.com/mrssuzisoo", "mrssuzisoo")</f>
        <v>mrssuzisoo</v>
      </c>
      <c r="B27017" s="65"/>
    </row>
    <row r="27018" spans="1:2" x14ac:dyDescent="0.25">
      <c r="A27018" s="64" t="str">
        <f>HYPERLINK("http://www.twitter.com/Cumblibraries", "Cumblibraries")</f>
        <v>Cumblibraries</v>
      </c>
      <c r="B27018" s="65" t="s">
        <v>1417</v>
      </c>
    </row>
    <row r="27019" spans="1:2" x14ac:dyDescent="0.25">
      <c r="A27019" s="64" t="str">
        <f>HYPERLINK("http://www.twitter.com/ProfRodham", "ProfRodham")</f>
        <v>ProfRodham</v>
      </c>
      <c r="B27019" s="65" t="s">
        <v>1325</v>
      </c>
    </row>
    <row r="27020" spans="1:2" x14ac:dyDescent="0.25">
      <c r="A27020" s="64" t="str">
        <f>HYPERLINK("http://www.twitter.com/malisaurabh1", "malisaurabh1")</f>
        <v>malisaurabh1</v>
      </c>
      <c r="B27020" s="65"/>
    </row>
    <row r="27021" spans="1:2" x14ac:dyDescent="0.25">
      <c r="A27021" s="64" t="str">
        <f>HYPERLINK("http://www.twitter.com/scwelburnme", "scwelburnme")</f>
        <v>scwelburnme</v>
      </c>
      <c r="B27021" s="65"/>
    </row>
    <row r="27022" spans="1:2" x14ac:dyDescent="0.25">
      <c r="A27022" s="64" t="str">
        <f>HYPERLINK("http://www.twitter.com/SCOOTA250", "SCOOTA250")</f>
        <v>SCOOTA250</v>
      </c>
      <c r="B27022" s="65"/>
    </row>
    <row r="27023" spans="1:2" x14ac:dyDescent="0.25">
      <c r="A27023" s="64" t="str">
        <f>HYPERLINK("http://www.twitter.com/AndrewTobert", "AndrewTobert")</f>
        <v>AndrewTobert</v>
      </c>
      <c r="B27023" s="65" t="s">
        <v>3816</v>
      </c>
    </row>
    <row r="27024" spans="1:2" x14ac:dyDescent="0.25">
      <c r="A27024" s="64" t="str">
        <f>HYPERLINK("http://www.twitter.com/heightofnonsens", "heightofnonsens")</f>
        <v>heightofnonsens</v>
      </c>
      <c r="B27024" s="65"/>
    </row>
    <row r="27025" spans="1:2" x14ac:dyDescent="0.25">
      <c r="A27025" s="64" t="str">
        <f>HYPERLINK("http://www.twitter.com/kerryanddes", "kerryanddes")</f>
        <v>kerryanddes</v>
      </c>
      <c r="B27025" s="65"/>
    </row>
    <row r="27026" spans="1:2" x14ac:dyDescent="0.25">
      <c r="A27026" s="64" t="str">
        <f>HYPERLINK("http://www.twitter.com/acombexplore", "acombexplore")</f>
        <v>acombexplore</v>
      </c>
      <c r="B27026" s="65"/>
    </row>
    <row r="27027" spans="1:2" x14ac:dyDescent="0.25">
      <c r="A27027" s="64" t="str">
        <f>HYPERLINK("http://www.twitter.com/moiraclunie", "moiraclunie")</f>
        <v>moiraclunie</v>
      </c>
      <c r="B27027" s="65" t="s">
        <v>3816</v>
      </c>
    </row>
    <row r="27028" spans="1:2" x14ac:dyDescent="0.25">
      <c r="A27028" s="64" t="str">
        <f>HYPERLINK("http://www.twitter.com/thebookexplorer", "thebookexplorer")</f>
        <v>thebookexplorer</v>
      </c>
      <c r="B27028" s="65"/>
    </row>
    <row r="27029" spans="1:2" x14ac:dyDescent="0.25">
      <c r="A27029" s="64" t="str">
        <f>HYPERLINK("http://www.twitter.com/martynsclark", "martynsclark")</f>
        <v>martynsclark</v>
      </c>
      <c r="B27029" s="65"/>
    </row>
    <row r="27030" spans="1:2" x14ac:dyDescent="0.25">
      <c r="A27030" s="64" t="str">
        <f>HYPERLINK("http://www.twitter.com/haggisbooks", "haggisbooks")</f>
        <v>haggisbooks</v>
      </c>
      <c r="B27030" s="65"/>
    </row>
    <row r="27031" spans="1:2" x14ac:dyDescent="0.25">
      <c r="A27031" s="64" t="str">
        <f>HYPERLINK("http://www.twitter.com/vickopage", "vickopage")</f>
        <v>vickopage</v>
      </c>
      <c r="B27031" s="65" t="s">
        <v>361</v>
      </c>
    </row>
    <row r="27032" spans="1:2" x14ac:dyDescent="0.25">
      <c r="A27032" s="64" t="str">
        <f>HYPERLINK("http://www.twitter.com/BelmontFh", "BelmontFh")</f>
        <v>BelmontFh</v>
      </c>
      <c r="B27032" s="65" t="s">
        <v>11506</v>
      </c>
    </row>
    <row r="27033" spans="1:2" x14ac:dyDescent="0.25">
      <c r="A27033" s="64" t="str">
        <f>HYPERLINK("http://www.twitter.com/MelSinclairCook", "MelSinclairCook")</f>
        <v>MelSinclairCook</v>
      </c>
      <c r="B27033" s="65" t="s">
        <v>11507</v>
      </c>
    </row>
    <row r="27034" spans="1:2" x14ac:dyDescent="0.25">
      <c r="A27034" s="64" t="str">
        <f>HYPERLINK("http://www.twitter.com/PadmaInala", "PadmaInala")</f>
        <v>PadmaInala</v>
      </c>
      <c r="B27034" s="65" t="s">
        <v>4040</v>
      </c>
    </row>
    <row r="27035" spans="1:2" x14ac:dyDescent="0.25">
      <c r="A27035" s="64" t="str">
        <f>HYPERLINK("http://www.twitter.com/CowingHelen", "CowingHelen")</f>
        <v>CowingHelen</v>
      </c>
      <c r="B27035" s="65"/>
    </row>
    <row r="27036" spans="1:2" x14ac:dyDescent="0.25">
      <c r="A27036" s="64" t="str">
        <f>HYPERLINK("http://www.twitter.com/TheOtherZoe", "TheOtherZoe")</f>
        <v>TheOtherZoe</v>
      </c>
      <c r="B27036" s="65" t="s">
        <v>11508</v>
      </c>
    </row>
    <row r="27037" spans="1:2" x14ac:dyDescent="0.25">
      <c r="A27037" s="64" t="str">
        <f>HYPERLINK("http://www.twitter.com/TGRO099", "TGRO099")</f>
        <v>TGRO099</v>
      </c>
      <c r="B27037" s="65"/>
    </row>
    <row r="27038" spans="1:2" x14ac:dyDescent="0.25">
      <c r="A27038" s="64" t="str">
        <f>HYPERLINK("http://www.twitter.com/CCBCunison", "CCBCunison")</f>
        <v>CCBCunison</v>
      </c>
      <c r="B27038" s="65" t="s">
        <v>11509</v>
      </c>
    </row>
    <row r="27039" spans="1:2" x14ac:dyDescent="0.25">
      <c r="A27039" s="64" t="str">
        <f>HYPERLINK("http://www.twitter.com/OrkneyMarinas", "OrkneyMarinas")</f>
        <v>OrkneyMarinas</v>
      </c>
      <c r="B27039" s="65" t="s">
        <v>6963</v>
      </c>
    </row>
    <row r="27040" spans="1:2" x14ac:dyDescent="0.25">
      <c r="A27040" s="64" t="str">
        <f>HYPERLINK("http://www.twitter.com/KateSpritz", "KateSpritz")</f>
        <v>KateSpritz</v>
      </c>
      <c r="B27040" s="65" t="s">
        <v>3785</v>
      </c>
    </row>
    <row r="27041" spans="1:2" x14ac:dyDescent="0.25">
      <c r="A27041" s="64" t="str">
        <f>HYPERLINK("http://www.twitter.com/PallantPallant", "PallantPallant")</f>
        <v>PallantPallant</v>
      </c>
      <c r="B27041" s="65"/>
    </row>
    <row r="27042" spans="1:2" x14ac:dyDescent="0.25">
      <c r="A27042" s="64" t="str">
        <f>HYPERLINK("http://www.twitter.com/drowsyfire", "drowsyfire")</f>
        <v>drowsyfire</v>
      </c>
      <c r="B27042" s="65" t="s">
        <v>11510</v>
      </c>
    </row>
    <row r="27043" spans="1:2" x14ac:dyDescent="0.25">
      <c r="A27043" s="64" t="str">
        <f>HYPERLINK("http://www.twitter.com/mrdomburke", "mrdomburke")</f>
        <v>mrdomburke</v>
      </c>
      <c r="B27043" s="65" t="s">
        <v>4237</v>
      </c>
    </row>
    <row r="27044" spans="1:2" x14ac:dyDescent="0.25">
      <c r="A27044" s="64" t="str">
        <f>HYPERLINK("http://www.twitter.com/S_Danby1", "S_Danby1")</f>
        <v>S_Danby1</v>
      </c>
      <c r="B27044" s="65"/>
    </row>
    <row r="27045" spans="1:2" x14ac:dyDescent="0.25">
      <c r="A27045" s="64" t="str">
        <f>HYPERLINK("http://www.twitter.com/Sam_Hickey", "Sam_Hickey")</f>
        <v>Sam_Hickey</v>
      </c>
      <c r="B27045" s="65" t="s">
        <v>4237</v>
      </c>
    </row>
    <row r="27046" spans="1:2" x14ac:dyDescent="0.25">
      <c r="A27046" s="64" t="str">
        <f>HYPERLINK("http://www.twitter.com/robynp", "robynp")</f>
        <v>robynp</v>
      </c>
      <c r="B27046" s="65" t="s">
        <v>5587</v>
      </c>
    </row>
    <row r="27047" spans="1:2" x14ac:dyDescent="0.25">
      <c r="A27047" s="64" t="str">
        <f>HYPERLINK("http://www.twitter.com/formalbeer", "formalbeer")</f>
        <v>formalbeer</v>
      </c>
      <c r="B27047" s="65"/>
    </row>
    <row r="27048" spans="1:2" x14ac:dyDescent="0.25">
      <c r="A27048" s="64" t="str">
        <f>HYPERLINK("http://www.twitter.com/mrgrumio", "mrgrumio")</f>
        <v>mrgrumio</v>
      </c>
      <c r="B27048" s="65" t="s">
        <v>4147</v>
      </c>
    </row>
    <row r="27049" spans="1:2" x14ac:dyDescent="0.25">
      <c r="A27049" s="64" t="str">
        <f>HYPERLINK("http://www.twitter.com/JULIE_M_LAW", "JULIE_M_LAW")</f>
        <v>JULIE_M_LAW</v>
      </c>
      <c r="B27049" s="65" t="s">
        <v>138</v>
      </c>
    </row>
    <row r="27050" spans="1:2" x14ac:dyDescent="0.25">
      <c r="A27050" s="64" t="str">
        <f>HYPERLINK("http://www.twitter.com/missdi_k", "missdi_k")</f>
        <v>missdi_k</v>
      </c>
      <c r="B27050" s="65" t="s">
        <v>2580</v>
      </c>
    </row>
    <row r="27051" spans="1:2" x14ac:dyDescent="0.25">
      <c r="A27051" s="64" t="str">
        <f>HYPERLINK("http://www.twitter.com/roonsy", "roonsy")</f>
        <v>roonsy</v>
      </c>
      <c r="B27051" s="65" t="s">
        <v>1295</v>
      </c>
    </row>
    <row r="27052" spans="1:2" x14ac:dyDescent="0.25">
      <c r="A27052" s="64" t="str">
        <f>HYPERLINK("http://www.twitter.com/fedup70", "fedup70")</f>
        <v>fedup70</v>
      </c>
      <c r="B27052" s="65"/>
    </row>
    <row r="27053" spans="1:2" x14ac:dyDescent="0.25">
      <c r="A27053" s="64" t="str">
        <f>HYPERLINK("http://www.twitter.com/dustyanswers", "dustyanswers")</f>
        <v>dustyanswers</v>
      </c>
      <c r="B27053" s="65"/>
    </row>
    <row r="27054" spans="1:2" x14ac:dyDescent="0.25">
      <c r="A27054" s="64" t="str">
        <f>HYPERLINK("http://www.twitter.com/janealliez", "janealliez")</f>
        <v>janealliez</v>
      </c>
      <c r="B27054" s="65" t="s">
        <v>9533</v>
      </c>
    </row>
    <row r="27055" spans="1:2" x14ac:dyDescent="0.25">
      <c r="A27055" s="64" t="str">
        <f>HYPERLINK("http://www.twitter.com/lopsock", "lopsock")</f>
        <v>lopsock</v>
      </c>
      <c r="B27055" s="65"/>
    </row>
    <row r="27056" spans="1:2" x14ac:dyDescent="0.25">
      <c r="A27056" s="64" t="str">
        <f>HYPERLINK("http://www.twitter.com/socherryknits", "socherryknits")</f>
        <v>socherryknits</v>
      </c>
      <c r="B27056" s="65" t="s">
        <v>318</v>
      </c>
    </row>
    <row r="27057" spans="1:2" x14ac:dyDescent="0.25">
      <c r="A27057" s="64" t="str">
        <f>HYPERLINK("http://www.twitter.com/ChrisJonesGeek", "ChrisJonesGeek")</f>
        <v>ChrisJonesGeek</v>
      </c>
      <c r="B27057" s="65" t="s">
        <v>36</v>
      </c>
    </row>
    <row r="27058" spans="1:2" x14ac:dyDescent="0.25">
      <c r="A27058" s="64" t="str">
        <f>HYPERLINK("http://www.twitter.com/DanFish", "DanFish")</f>
        <v>DanFish</v>
      </c>
      <c r="B27058" s="65" t="s">
        <v>74</v>
      </c>
    </row>
    <row r="27059" spans="1:2" x14ac:dyDescent="0.25">
      <c r="A27059" s="64" t="str">
        <f>HYPERLINK("http://www.twitter.com/Applecrosslife", "Applecrosslife")</f>
        <v>Applecrosslife</v>
      </c>
      <c r="B27059" s="65" t="s">
        <v>11511</v>
      </c>
    </row>
    <row r="27060" spans="1:2" x14ac:dyDescent="0.25">
      <c r="A27060" s="64" t="str">
        <f>HYPERLINK("http://www.twitter.com/janwilson355", "janwilson355")</f>
        <v>janwilson355</v>
      </c>
      <c r="B27060" s="65" t="s">
        <v>11512</v>
      </c>
    </row>
    <row r="27061" spans="1:2" x14ac:dyDescent="0.25">
      <c r="A27061" s="64" t="str">
        <f>HYPERLINK("http://www.twitter.com/glesgacroft", "glesgacroft")</f>
        <v>glesgacroft</v>
      </c>
      <c r="B27061" s="65"/>
    </row>
    <row r="27062" spans="1:2" x14ac:dyDescent="0.25">
      <c r="A27062" s="64" t="str">
        <f>HYPERLINK("http://www.twitter.com/dsmith_edi", "dsmith_edi")</f>
        <v>dsmith_edi</v>
      </c>
      <c r="B27062" s="65" t="s">
        <v>24</v>
      </c>
    </row>
    <row r="27063" spans="1:2" x14ac:dyDescent="0.25">
      <c r="A27063" s="64" t="str">
        <f>HYPERLINK("http://www.twitter.com/RobDunsmore", "RobDunsmore")</f>
        <v>RobDunsmore</v>
      </c>
      <c r="B27063" s="65"/>
    </row>
    <row r="27064" spans="1:2" x14ac:dyDescent="0.25">
      <c r="A27064" s="64" t="str">
        <f>HYPERLINK("http://www.twitter.com/fraserdmckay", "fraserdmckay")</f>
        <v>fraserdmckay</v>
      </c>
      <c r="B27064" s="65" t="s">
        <v>517</v>
      </c>
    </row>
    <row r="27065" spans="1:2" x14ac:dyDescent="0.25">
      <c r="A27065" s="64" t="str">
        <f>HYPERLINK("http://www.twitter.com/thebearcametoo", "thebearcametoo")</f>
        <v>thebearcametoo</v>
      </c>
      <c r="B27065" s="65"/>
    </row>
    <row r="27066" spans="1:2" x14ac:dyDescent="0.25">
      <c r="A27066" s="64" t="str">
        <f>HYPERLINK("http://www.twitter.com/dischuffed", "dischuffed")</f>
        <v>dischuffed</v>
      </c>
      <c r="B27066" s="65" t="s">
        <v>36</v>
      </c>
    </row>
    <row r="27067" spans="1:2" x14ac:dyDescent="0.25">
      <c r="A27067" s="64" t="str">
        <f>HYPERLINK("http://www.twitter.com/sillymidoff1", "sillymidoff1")</f>
        <v>sillymidoff1</v>
      </c>
      <c r="B27067" s="65"/>
    </row>
    <row r="27068" spans="1:2" x14ac:dyDescent="0.25">
      <c r="A27068" s="64" t="str">
        <f>HYPERLINK("http://www.twitter.com/billherbert", "billherbert")</f>
        <v>billherbert</v>
      </c>
      <c r="B27068" s="65" t="s">
        <v>361</v>
      </c>
    </row>
    <row r="27069" spans="1:2" x14ac:dyDescent="0.25">
      <c r="A27069" s="64" t="str">
        <f>HYPERLINK("http://www.twitter.com/senorcthulhu", "senorcthulhu")</f>
        <v>senorcthulhu</v>
      </c>
      <c r="B27069" s="65" t="s">
        <v>788</v>
      </c>
    </row>
    <row r="27070" spans="1:2" x14ac:dyDescent="0.25">
      <c r="A27070" s="64" t="str">
        <f>HYPERLINK("http://www.twitter.com/LynsaeT", "LynsaeT")</f>
        <v>LynsaeT</v>
      </c>
      <c r="B27070" s="65"/>
    </row>
    <row r="27071" spans="1:2" x14ac:dyDescent="0.25">
      <c r="A27071" s="64" t="str">
        <f>HYPERLINK("http://www.twitter.com/oxfamcothambook", "oxfamcothambook")</f>
        <v>oxfamcothambook</v>
      </c>
      <c r="B27071" s="65" t="s">
        <v>11513</v>
      </c>
    </row>
    <row r="27072" spans="1:2" x14ac:dyDescent="0.25">
      <c r="A27072" s="64" t="str">
        <f>HYPERLINK("http://www.twitter.com/Hannah_DeGroff", "Hannah_DeGroff")</f>
        <v>Hannah_DeGroff</v>
      </c>
      <c r="B27072" s="65"/>
    </row>
    <row r="27073" spans="1:2" x14ac:dyDescent="0.25">
      <c r="A27073" s="64" t="str">
        <f>HYPERLINK("http://www.twitter.com/sandwelllibs", "sandwelllibs")</f>
        <v>sandwelllibs</v>
      </c>
      <c r="B27073" s="65" t="s">
        <v>985</v>
      </c>
    </row>
    <row r="27074" spans="1:2" x14ac:dyDescent="0.25">
      <c r="A27074" s="64" t="str">
        <f>HYPERLINK("http://www.twitter.com/ree0284", "ree0284")</f>
        <v>ree0284</v>
      </c>
      <c r="B27074" s="65"/>
    </row>
    <row r="27075" spans="1:2" x14ac:dyDescent="0.25">
      <c r="A27075" s="64" t="str">
        <f>HYPERLINK("http://www.twitter.com/Maisiedot", "Maisiedot")</f>
        <v>Maisiedot</v>
      </c>
      <c r="B27075" s="65"/>
    </row>
    <row r="27076" spans="1:2" x14ac:dyDescent="0.25">
      <c r="A27076" s="64" t="str">
        <f>HYPERLINK("http://www.twitter.com/ssamsonbunce", "ssamsonbunce")</f>
        <v>ssamsonbunce</v>
      </c>
      <c r="B27076" s="65" t="s">
        <v>2580</v>
      </c>
    </row>
    <row r="27077" spans="1:2" x14ac:dyDescent="0.25">
      <c r="A27077" s="64" t="str">
        <f>HYPERLINK("http://www.twitter.com/AndersonHighLib", "AndersonHighLib")</f>
        <v>AndersonHighLib</v>
      </c>
      <c r="B27077" s="65" t="s">
        <v>2662</v>
      </c>
    </row>
    <row r="27078" spans="1:2" x14ac:dyDescent="0.25">
      <c r="A27078" s="64" t="str">
        <f>HYPERLINK("http://www.twitter.com/Puhleesed", "Puhleesed")</f>
        <v>Puhleesed</v>
      </c>
      <c r="B27078" s="65" t="s">
        <v>11514</v>
      </c>
    </row>
    <row r="27079" spans="1:2" x14ac:dyDescent="0.25">
      <c r="A27079" s="64" t="str">
        <f>HYPERLINK("http://www.twitter.com/bentleycoon", "bentleycoon")</f>
        <v>bentleycoon</v>
      </c>
      <c r="B27079" s="65" t="s">
        <v>11515</v>
      </c>
    </row>
    <row r="27080" spans="1:2" x14ac:dyDescent="0.25">
      <c r="A27080" s="64" t="str">
        <f>HYPERLINK("http://www.twitter.com/john_welburn", "john_welburn")</f>
        <v>john_welburn</v>
      </c>
      <c r="B27080" s="65" t="s">
        <v>11516</v>
      </c>
    </row>
    <row r="27081" spans="1:2" x14ac:dyDescent="0.25">
      <c r="A27081" s="64" t="str">
        <f>HYPERLINK("http://www.twitter.com/KathyPossum", "KathyPossum")</f>
        <v>KathyPossum</v>
      </c>
      <c r="B27081" s="65" t="s">
        <v>4271</v>
      </c>
    </row>
    <row r="27082" spans="1:2" x14ac:dyDescent="0.25">
      <c r="A27082" s="64" t="str">
        <f>HYPERLINK("http://www.twitter.com/ruskin_lane", "ruskin_lane")</f>
        <v>ruskin_lane</v>
      </c>
      <c r="B27082" s="65" t="s">
        <v>517</v>
      </c>
    </row>
    <row r="27083" spans="1:2" x14ac:dyDescent="0.25">
      <c r="A27083" s="64" t="str">
        <f>HYPERLINK("http://www.twitter.com/JCSResources", "JCSResources")</f>
        <v>JCSResources</v>
      </c>
      <c r="B27083" s="65" t="s">
        <v>505</v>
      </c>
    </row>
    <row r="27084" spans="1:2" x14ac:dyDescent="0.25">
      <c r="A27084" s="64" t="str">
        <f>HYPERLINK("http://www.twitter.com/ABeasley_author", "ABeasley_author")</f>
        <v>ABeasley_author</v>
      </c>
      <c r="B27084" s="65" t="s">
        <v>5694</v>
      </c>
    </row>
    <row r="27085" spans="1:2" x14ac:dyDescent="0.25">
      <c r="A27085" s="64" t="str">
        <f>HYPERLINK("http://www.twitter.com/delvac10", "delvac10")</f>
        <v>delvac10</v>
      </c>
      <c r="B27085" s="65" t="s">
        <v>2471</v>
      </c>
    </row>
    <row r="27086" spans="1:2" x14ac:dyDescent="0.25">
      <c r="A27086" s="64" t="str">
        <f>HYPERLINK("http://www.twitter.com/DavidDelday", "DavidDelday")</f>
        <v>DavidDelday</v>
      </c>
      <c r="B27086" s="65" t="s">
        <v>20</v>
      </c>
    </row>
    <row r="27087" spans="1:2" x14ac:dyDescent="0.25">
      <c r="A27087" s="64" t="str">
        <f>HYPERLINK("http://www.twitter.com/JerseyLibrary", "JerseyLibrary")</f>
        <v>JerseyLibrary</v>
      </c>
      <c r="B27087" s="65" t="s">
        <v>1195</v>
      </c>
    </row>
    <row r="27088" spans="1:2" x14ac:dyDescent="0.25">
      <c r="A27088" s="64" t="str">
        <f>HYPERLINK("http://www.twitter.com/melly_boots", "melly_boots")</f>
        <v>melly_boots</v>
      </c>
      <c r="B27088" s="65" t="s">
        <v>11517</v>
      </c>
    </row>
    <row r="27089" spans="1:2" x14ac:dyDescent="0.25">
      <c r="A27089" s="64" t="str">
        <f>HYPERLINK("http://www.twitter.com/thepopuplibrary", "thepopuplibrary")</f>
        <v>thepopuplibrary</v>
      </c>
      <c r="B27089" s="65" t="s">
        <v>642</v>
      </c>
    </row>
    <row r="27090" spans="1:2" x14ac:dyDescent="0.25">
      <c r="A27090" s="64" t="str">
        <f>HYPERLINK("http://www.twitter.com/debbiee69", "debbiee69")</f>
        <v>debbiee69</v>
      </c>
      <c r="B27090" s="65" t="s">
        <v>7363</v>
      </c>
    </row>
    <row r="27091" spans="1:2" x14ac:dyDescent="0.25">
      <c r="A27091" s="64" t="str">
        <f>HYPERLINK("http://www.twitter.com/kenny_lambell", "kenny_lambell")</f>
        <v>kenny_lambell</v>
      </c>
      <c r="B27091" s="65" t="s">
        <v>361</v>
      </c>
    </row>
    <row r="27092" spans="1:2" x14ac:dyDescent="0.25">
      <c r="A27092" s="64" t="str">
        <f>HYPERLINK("http://www.twitter.com/AbbiSigns", "AbbiSigns")</f>
        <v>AbbiSigns</v>
      </c>
      <c r="B27092" s="65" t="s">
        <v>477</v>
      </c>
    </row>
    <row r="27093" spans="1:2" x14ac:dyDescent="0.25">
      <c r="A27093" s="64" t="str">
        <f>HYPERLINK("http://www.twitter.com/almacalan", "almacalan")</f>
        <v>almacalan</v>
      </c>
      <c r="B27093" s="65"/>
    </row>
    <row r="27094" spans="1:2" x14ac:dyDescent="0.25">
      <c r="A27094" s="64" t="str">
        <f>HYPERLINK("http://www.twitter.com/OLibDems", "OLibDems")</f>
        <v>OLibDems</v>
      </c>
      <c r="B27094" s="65"/>
    </row>
    <row r="27095" spans="1:2" x14ac:dyDescent="0.25">
      <c r="A27095" s="64" t="str">
        <f>HYPERLINK("http://www.twitter.com/meljmcd", "meljmcd")</f>
        <v>meljmcd</v>
      </c>
      <c r="B27095" s="65" t="s">
        <v>11518</v>
      </c>
    </row>
    <row r="27096" spans="1:2" x14ac:dyDescent="0.25">
      <c r="A27096" s="64" t="str">
        <f>HYPERLINK("http://www.twitter.com/kellypreedy", "kellypreedy")</f>
        <v>kellypreedy</v>
      </c>
      <c r="B27096" s="65" t="s">
        <v>5745</v>
      </c>
    </row>
    <row r="27097" spans="1:2" x14ac:dyDescent="0.25">
      <c r="A27097" s="64" t="str">
        <f>HYPERLINK("http://www.twitter.com/geospatialbook", "geospatialbook")</f>
        <v>geospatialbook</v>
      </c>
      <c r="B27097" s="65" t="s">
        <v>11519</v>
      </c>
    </row>
    <row r="27098" spans="1:2" x14ac:dyDescent="0.25">
      <c r="A27098" s="64" t="str">
        <f>HYPERLINK("http://www.twitter.com/stitchbirdie", "stitchbirdie")</f>
        <v>stitchbirdie</v>
      </c>
      <c r="B27098" s="65"/>
    </row>
    <row r="27099" spans="1:2" x14ac:dyDescent="0.25">
      <c r="A27099" s="64" t="str">
        <f>HYPERLINK("http://www.twitter.com/kerryh_hunt", "kerryh_hunt")</f>
        <v>kerryh_hunt</v>
      </c>
      <c r="B27099" s="65"/>
    </row>
    <row r="27100" spans="1:2" x14ac:dyDescent="0.25">
      <c r="A27100" s="64" t="str">
        <f>HYPERLINK("http://www.twitter.com/Roisinmdoyle", "Roisinmdoyle")</f>
        <v>Roisinmdoyle</v>
      </c>
      <c r="B27100" s="65" t="s">
        <v>36</v>
      </c>
    </row>
    <row r="27101" spans="1:2" x14ac:dyDescent="0.25">
      <c r="A27101" s="64" t="str">
        <f>HYPERLINK("http://www.twitter.com/EmmiillyM", "EmmiillyM")</f>
        <v>EmmiillyM</v>
      </c>
      <c r="B27101" s="65" t="s">
        <v>11520</v>
      </c>
    </row>
    <row r="27102" spans="1:2" x14ac:dyDescent="0.25">
      <c r="A27102" s="64" t="str">
        <f>HYPERLINK("http://www.twitter.com/HeatherBake", "HeatherBake")</f>
        <v>HeatherBake</v>
      </c>
      <c r="B27102" s="65"/>
    </row>
    <row r="27103" spans="1:2" x14ac:dyDescent="0.25">
      <c r="A27103" s="64" t="str">
        <f>HYPERLINK("http://www.twitter.com/MorvenCrumlish", "MorvenCrumlish")</f>
        <v>MorvenCrumlish</v>
      </c>
      <c r="B27103" s="65" t="s">
        <v>67</v>
      </c>
    </row>
    <row r="27104" spans="1:2" x14ac:dyDescent="0.25">
      <c r="A27104" s="64" t="str">
        <f>HYPERLINK("http://www.twitter.com/wiccan40", "wiccan40")</f>
        <v>wiccan40</v>
      </c>
      <c r="B27104" s="65" t="s">
        <v>296</v>
      </c>
    </row>
    <row r="27105" spans="1:2" x14ac:dyDescent="0.25">
      <c r="A27105" s="64" t="str">
        <f>HYPERLINK("http://www.twitter.com/FallenMcCullin", "FallenMcCullin")</f>
        <v>FallenMcCullin</v>
      </c>
      <c r="B27105" s="65" t="s">
        <v>115</v>
      </c>
    </row>
    <row r="27106" spans="1:2" x14ac:dyDescent="0.25">
      <c r="A27106" s="64" t="str">
        <f>HYPERLINK("http://www.twitter.com/NestonHSlibrary", "NestonHSlibrary")</f>
        <v>NestonHSlibrary</v>
      </c>
      <c r="B27106" s="65"/>
    </row>
    <row r="27107" spans="1:2" x14ac:dyDescent="0.25">
      <c r="A27107" s="64" t="str">
        <f>HYPERLINK("http://www.twitter.com/OonaBrown", "OonaBrown")</f>
        <v>OonaBrown</v>
      </c>
      <c r="B27107" s="65"/>
    </row>
    <row r="27108" spans="1:2" x14ac:dyDescent="0.25">
      <c r="A27108" s="64" t="str">
        <f>HYPERLINK("http://www.twitter.com/judi_curtin", "judi_curtin")</f>
        <v>judi_curtin</v>
      </c>
      <c r="B27108" s="65"/>
    </row>
    <row r="27109" spans="1:2" x14ac:dyDescent="0.25">
      <c r="A27109" s="64" t="str">
        <f>HYPERLINK("http://www.twitter.com/deb4names", "deb4names")</f>
        <v>deb4names</v>
      </c>
      <c r="B27109" s="65" t="s">
        <v>11521</v>
      </c>
    </row>
    <row r="27110" spans="1:2" x14ac:dyDescent="0.25">
      <c r="A27110" s="64" t="str">
        <f>HYPERLINK("http://www.twitter.com/bross59", "bross59")</f>
        <v>bross59</v>
      </c>
      <c r="B27110" s="65" t="s">
        <v>11522</v>
      </c>
    </row>
    <row r="27111" spans="1:2" x14ac:dyDescent="0.25">
      <c r="A27111" s="64" t="str">
        <f>HYPERLINK("http://www.twitter.com/oberonsghost", "oberonsghost")</f>
        <v>oberonsghost</v>
      </c>
      <c r="B27111" s="65" t="s">
        <v>11523</v>
      </c>
    </row>
    <row r="27112" spans="1:2" x14ac:dyDescent="0.25">
      <c r="A27112" s="64" t="str">
        <f>HYPERLINK("http://www.twitter.com/jameshutson", "jameshutson")</f>
        <v>jameshutson</v>
      </c>
      <c r="B27112" s="65" t="s">
        <v>11524</v>
      </c>
    </row>
    <row r="27113" spans="1:2" x14ac:dyDescent="0.25">
      <c r="A27113" s="64" t="str">
        <f>HYPERLINK("http://www.twitter.com/_fred_says_", "_fred_says_")</f>
        <v>_fred_says_</v>
      </c>
      <c r="B27113" s="65"/>
    </row>
    <row r="27114" spans="1:2" x14ac:dyDescent="0.25">
      <c r="A27114" s="64" t="str">
        <f>HYPERLINK("http://www.twitter.com/AnnieBookReview", "AnnieBookReview")</f>
        <v>AnnieBookReview</v>
      </c>
      <c r="B27114" s="65" t="s">
        <v>36</v>
      </c>
    </row>
    <row r="27115" spans="1:2" x14ac:dyDescent="0.25">
      <c r="A27115" s="64" t="str">
        <f>HYPERLINK("http://www.twitter.com/Hey_Bethany", "Hey_Bethany")</f>
        <v>Hey_Bethany</v>
      </c>
      <c r="B27115" s="65" t="s">
        <v>1980</v>
      </c>
    </row>
    <row r="27116" spans="1:2" x14ac:dyDescent="0.25">
      <c r="A27116" s="64" t="str">
        <f>HYPERLINK("http://www.twitter.com/Bibliophile001", "Bibliophile001")</f>
        <v>Bibliophile001</v>
      </c>
      <c r="B27116" s="65"/>
    </row>
    <row r="27117" spans="1:2" x14ac:dyDescent="0.25">
      <c r="A27117" s="64" t="str">
        <f>HYPERLINK("http://www.twitter.com/AnnaBramble", "AnnaBramble")</f>
        <v>AnnaBramble</v>
      </c>
      <c r="B27117" s="65"/>
    </row>
    <row r="27118" spans="1:2" x14ac:dyDescent="0.25">
      <c r="A27118" s="64" t="str">
        <f>HYPERLINK("http://www.twitter.com/HollyBembridge", "HollyBembridge")</f>
        <v>HollyBembridge</v>
      </c>
      <c r="B27118" s="65"/>
    </row>
    <row r="27119" spans="1:2" x14ac:dyDescent="0.25">
      <c r="A27119" s="64" t="str">
        <f>HYPERLINK("http://www.twitter.com/mogsb123", "mogsb123")</f>
        <v>mogsb123</v>
      </c>
      <c r="B27119" s="65"/>
    </row>
    <row r="27120" spans="1:2" x14ac:dyDescent="0.25">
      <c r="A27120" s="64" t="str">
        <f>HYPERLINK("http://www.twitter.com/RicardoHawkes", "RicardoHawkes")</f>
        <v>RicardoHawkes</v>
      </c>
      <c r="B27120" s="65" t="s">
        <v>11525</v>
      </c>
    </row>
    <row r="27121" spans="1:2" x14ac:dyDescent="0.25">
      <c r="A27121" s="64" t="str">
        <f>HYPERLINK("http://www.twitter.com/cptjamesmartin", "cptjamesmartin")</f>
        <v>cptjamesmartin</v>
      </c>
      <c r="B27121" s="65" t="s">
        <v>5436</v>
      </c>
    </row>
    <row r="27122" spans="1:2" x14ac:dyDescent="0.25">
      <c r="A27122" s="64" t="str">
        <f>HYPERLINK("http://www.twitter.com/NeilDrysdale", "NeilDrysdale")</f>
        <v>NeilDrysdale</v>
      </c>
      <c r="B27122" s="65" t="s">
        <v>517</v>
      </c>
    </row>
    <row r="27123" spans="1:2" x14ac:dyDescent="0.25">
      <c r="A27123" s="64" t="str">
        <f>HYPERLINK("http://www.twitter.com/DearestScotland", "DearestScotland")</f>
        <v>DearestScotland</v>
      </c>
      <c r="B27123" s="65" t="s">
        <v>138</v>
      </c>
    </row>
    <row r="27124" spans="1:2" x14ac:dyDescent="0.25">
      <c r="A27124" s="64" t="str">
        <f>HYPERLINK("http://www.twitter.com/EdUniMainLib", "EdUniMainLib")</f>
        <v>EdUniMainLib</v>
      </c>
      <c r="B27124" s="65" t="s">
        <v>601</v>
      </c>
    </row>
    <row r="27125" spans="1:2" x14ac:dyDescent="0.25">
      <c r="A27125" s="64" t="str">
        <f>HYPERLINK("http://www.twitter.com/darwinthebgl", "darwinthebgl")</f>
        <v>darwinthebgl</v>
      </c>
      <c r="B27125" s="65"/>
    </row>
    <row r="27126" spans="1:2" x14ac:dyDescent="0.25">
      <c r="A27126" s="64" t="str">
        <f>HYPERLINK("http://www.twitter.com/magnusthor", "magnusthor")</f>
        <v>magnusthor</v>
      </c>
      <c r="B27126" s="65" t="s">
        <v>11526</v>
      </c>
    </row>
    <row r="27127" spans="1:2" x14ac:dyDescent="0.25">
      <c r="A27127" s="64" t="str">
        <f>HYPERLINK("http://www.twitter.com/BauhanPub", "BauhanPub")</f>
        <v>BauhanPub</v>
      </c>
      <c r="B27127" s="65" t="s">
        <v>11527</v>
      </c>
    </row>
    <row r="27128" spans="1:2" x14ac:dyDescent="0.25">
      <c r="A27128" s="64" t="str">
        <f>HYPERLINK("http://www.twitter.com/UHIArchaeology", "UHIArchaeology")</f>
        <v>UHIArchaeology</v>
      </c>
      <c r="B27128" s="65" t="s">
        <v>2007</v>
      </c>
    </row>
    <row r="27129" spans="1:2" x14ac:dyDescent="0.25">
      <c r="A27129" s="64" t="str">
        <f>HYPERLINK("http://www.twitter.com/MeganSuleskerry", "MeganSuleskerry")</f>
        <v>MeganSuleskerry</v>
      </c>
      <c r="B27129" s="65" t="s">
        <v>20</v>
      </c>
    </row>
    <row r="27130" spans="1:2" x14ac:dyDescent="0.25">
      <c r="A27130" s="64" t="str">
        <f>HYPERLINK("http://www.twitter.com/ruth_ford", "ruth_ford")</f>
        <v>ruth_ford</v>
      </c>
      <c r="B27130" s="65"/>
    </row>
    <row r="27131" spans="1:2" x14ac:dyDescent="0.25">
      <c r="A27131" s="64" t="str">
        <f>HYPERLINK("http://www.twitter.com/Josephburne", "Josephburne")</f>
        <v>Josephburne</v>
      </c>
      <c r="B27131" s="65" t="s">
        <v>11528</v>
      </c>
    </row>
    <row r="27132" spans="1:2" x14ac:dyDescent="0.25">
      <c r="A27132" s="64" t="str">
        <f>HYPERLINK("http://www.twitter.com/pgodwin8", "pgodwin8")</f>
        <v>pgodwin8</v>
      </c>
      <c r="B27132" s="65"/>
    </row>
    <row r="27133" spans="1:2" x14ac:dyDescent="0.25">
      <c r="A27133" s="64" t="str">
        <f>HYPERLINK("http://www.twitter.com/milvusmusings", "milvusmusings")</f>
        <v>milvusmusings</v>
      </c>
      <c r="B27133" s="65" t="s">
        <v>11529</v>
      </c>
    </row>
    <row r="27134" spans="1:2" x14ac:dyDescent="0.25">
      <c r="A27134" s="64" t="str">
        <f>HYPERLINK("http://www.twitter.com/LadyIngleby", "LadyIngleby")</f>
        <v>LadyIngleby</v>
      </c>
      <c r="B27134" s="65"/>
    </row>
    <row r="27135" spans="1:2" x14ac:dyDescent="0.25">
      <c r="A27135" s="64" t="str">
        <f>HYPERLINK("http://www.twitter.com/Fifitrixi2", "Fifitrixi2")</f>
        <v>Fifitrixi2</v>
      </c>
      <c r="B27135" s="65"/>
    </row>
    <row r="27136" spans="1:2" x14ac:dyDescent="0.25">
      <c r="A27136" s="64" t="str">
        <f>HYPERLINK("http://www.twitter.com/lorrainelibrary", "lorrainelibrary")</f>
        <v>lorrainelibrary</v>
      </c>
      <c r="B27136" s="65"/>
    </row>
    <row r="27137" spans="1:2" x14ac:dyDescent="0.25">
      <c r="A27137" s="64" t="str">
        <f>HYPERLINK("http://www.twitter.com/Fredules", "Fredules")</f>
        <v>Fredules</v>
      </c>
      <c r="B27137" s="65"/>
    </row>
    <row r="27138" spans="1:2" x14ac:dyDescent="0.25">
      <c r="A27138" s="64" t="str">
        <f>HYPERLINK("http://www.twitter.com/dmwilson73ebay", "dmwilson73ebay")</f>
        <v>dmwilson73ebay</v>
      </c>
      <c r="B27138" s="65"/>
    </row>
    <row r="27139" spans="1:2" x14ac:dyDescent="0.25">
      <c r="A27139" s="64" t="str">
        <f>HYPERLINK("http://www.twitter.com/OrkneyVillas", "OrkneyVillas")</f>
        <v>OrkneyVillas</v>
      </c>
      <c r="B27139" s="65" t="s">
        <v>4227</v>
      </c>
    </row>
    <row r="27140" spans="1:2" x14ac:dyDescent="0.25">
      <c r="A27140" s="64" t="str">
        <f>HYPERLINK("http://www.twitter.com/LolinByrne", "LolinByrne")</f>
        <v>LolinByrne</v>
      </c>
      <c r="B27140" s="65" t="s">
        <v>11530</v>
      </c>
    </row>
    <row r="27141" spans="1:2" x14ac:dyDescent="0.25">
      <c r="A27141" s="64" t="str">
        <f>HYPERLINK("http://www.twitter.com/dipsyboo1", "dipsyboo1")</f>
        <v>dipsyboo1</v>
      </c>
      <c r="B27141" s="65" t="s">
        <v>11531</v>
      </c>
    </row>
    <row r="27142" spans="1:2" x14ac:dyDescent="0.25">
      <c r="A27142" s="64" t="str">
        <f>HYPERLINK("http://www.twitter.com/joambar", "joambar")</f>
        <v>joambar</v>
      </c>
      <c r="B27142" s="65"/>
    </row>
    <row r="27143" spans="1:2" x14ac:dyDescent="0.25">
      <c r="A27143" s="64" t="str">
        <f>HYPERLINK("http://www.twitter.com/_magoo17", "_magoo17")</f>
        <v>_magoo17</v>
      </c>
      <c r="B27143" s="65" t="s">
        <v>3988</v>
      </c>
    </row>
    <row r="27144" spans="1:2" x14ac:dyDescent="0.25">
      <c r="A27144" s="64" t="str">
        <f>HYPERLINK("http://www.twitter.com/Frogslegsjump", "Frogslegsjump")</f>
        <v>Frogslegsjump</v>
      </c>
      <c r="B27144" s="65" t="s">
        <v>11532</v>
      </c>
    </row>
    <row r="27145" spans="1:2" x14ac:dyDescent="0.25">
      <c r="A27145" s="64" t="str">
        <f>HYPERLINK("http://www.twitter.com/karenwhite03", "karenwhite03")</f>
        <v>karenwhite03</v>
      </c>
      <c r="B27145" s="65" t="s">
        <v>1295</v>
      </c>
    </row>
    <row r="27146" spans="1:2" x14ac:dyDescent="0.25">
      <c r="A27146" s="64" t="str">
        <f>HYPERLINK("http://www.twitter.com/louise_marwick", "louise_marwick")</f>
        <v>louise_marwick</v>
      </c>
      <c r="B27146" s="65" t="s">
        <v>421</v>
      </c>
    </row>
    <row r="27147" spans="1:2" x14ac:dyDescent="0.25">
      <c r="A27147" s="64" t="str">
        <f>HYPERLINK("http://www.twitter.com/Cwaben", "Cwaben")</f>
        <v>Cwaben</v>
      </c>
      <c r="B27147" s="65" t="s">
        <v>11533</v>
      </c>
    </row>
    <row r="27148" spans="1:2" x14ac:dyDescent="0.25">
      <c r="A27148" s="64" t="str">
        <f>HYPERLINK("http://www.twitter.com/bonniewandering", "bonniewandering")</f>
        <v>bonniewandering</v>
      </c>
      <c r="B27148" s="65" t="s">
        <v>11534</v>
      </c>
    </row>
    <row r="27149" spans="1:2" x14ac:dyDescent="0.25">
      <c r="A27149" s="64" t="str">
        <f>HYPERLINK("http://www.twitter.com/Podling", "Podling")</f>
        <v>Podling</v>
      </c>
      <c r="B27149" s="65" t="s">
        <v>4234</v>
      </c>
    </row>
    <row r="27150" spans="1:2" x14ac:dyDescent="0.25">
      <c r="A27150" s="64" t="str">
        <f>HYPERLINK("http://www.twitter.com/AliDunlop3", "AliDunlop3")</f>
        <v>AliDunlop3</v>
      </c>
      <c r="B27150" s="65"/>
    </row>
    <row r="27151" spans="1:2" x14ac:dyDescent="0.25">
      <c r="A27151" s="64" t="str">
        <f>HYPERLINK("http://www.twitter.com/KimBeasley16", "KimBeasley16")</f>
        <v>KimBeasley16</v>
      </c>
      <c r="B27151" s="65"/>
    </row>
    <row r="27152" spans="1:2" x14ac:dyDescent="0.25">
      <c r="A27152" s="64" t="str">
        <f>HYPERLINK("http://www.twitter.com/imasnookster", "imasnookster")</f>
        <v>imasnookster</v>
      </c>
      <c r="B27152" s="65" t="s">
        <v>138</v>
      </c>
    </row>
    <row r="27153" spans="1:2" x14ac:dyDescent="0.25">
      <c r="A27153" s="64" t="str">
        <f>HYPERLINK("http://www.twitter.com/drjudiprice", "drjudiprice")</f>
        <v>drjudiprice</v>
      </c>
      <c r="B27153" s="65"/>
    </row>
    <row r="27154" spans="1:2" x14ac:dyDescent="0.25">
      <c r="A27154" s="64" t="str">
        <f>HYPERLINK("http://www.twitter.com/Chefsarahlouise", "Chefsarahlouise")</f>
        <v>Chefsarahlouise</v>
      </c>
      <c r="B27154" s="65" t="s">
        <v>3762</v>
      </c>
    </row>
    <row r="27155" spans="1:2" x14ac:dyDescent="0.25">
      <c r="A27155" s="64" t="str">
        <f>HYPERLINK("http://www.twitter.com/AishaAlSadie", "AishaAlSadie")</f>
        <v>AishaAlSadie</v>
      </c>
      <c r="B27155" s="65" t="s">
        <v>487</v>
      </c>
    </row>
    <row r="27156" spans="1:2" x14ac:dyDescent="0.25">
      <c r="A27156" s="64" t="str">
        <f>HYPERLINK("http://www.twitter.com/MHaggar3", "MHaggar3")</f>
        <v>MHaggar3</v>
      </c>
      <c r="B27156" s="65"/>
    </row>
    <row r="27157" spans="1:2" x14ac:dyDescent="0.25">
      <c r="A27157" s="64" t="str">
        <f>HYPERLINK("http://www.twitter.com/louise1250", "louise1250")</f>
        <v>louise1250</v>
      </c>
      <c r="B27157" s="65"/>
    </row>
    <row r="27158" spans="1:2" x14ac:dyDescent="0.25">
      <c r="A27158" s="64" t="str">
        <f>HYPERLINK("http://www.twitter.com/miabubble", "miabubble")</f>
        <v>miabubble</v>
      </c>
      <c r="B27158" s="65" t="s">
        <v>24</v>
      </c>
    </row>
    <row r="27159" spans="1:2" x14ac:dyDescent="0.25">
      <c r="A27159" s="64" t="str">
        <f>HYPERLINK("http://www.twitter.com/unsliced", "unsliced")</f>
        <v>unsliced</v>
      </c>
      <c r="B27159" s="65" t="s">
        <v>6750</v>
      </c>
    </row>
    <row r="27160" spans="1:2" x14ac:dyDescent="0.25">
      <c r="A27160" s="64" t="str">
        <f>HYPERLINK("http://www.twitter.com/roseyro", "roseyro")</f>
        <v>roseyro</v>
      </c>
      <c r="B27160" s="65"/>
    </row>
    <row r="27161" spans="1:2" x14ac:dyDescent="0.25">
      <c r="A27161" s="64" t="str">
        <f>HYPERLINK("http://www.twitter.com/OriginalRobyn", "OriginalRobyn")</f>
        <v>OriginalRobyn</v>
      </c>
      <c r="B27161" s="65" t="s">
        <v>2067</v>
      </c>
    </row>
    <row r="27162" spans="1:2" x14ac:dyDescent="0.25">
      <c r="A27162" s="64" t="str">
        <f>HYPERLINK("http://www.twitter.com/MrsCathybabes", "MrsCathybabes")</f>
        <v>MrsCathybabes</v>
      </c>
      <c r="B27162" s="65"/>
    </row>
    <row r="27163" spans="1:2" x14ac:dyDescent="0.25">
      <c r="A27163" s="64" t="str">
        <f>HYPERLINK("http://www.twitter.com/AfrikaReads", "AfrikaReads")</f>
        <v>AfrikaReads</v>
      </c>
      <c r="B27163" s="65"/>
    </row>
    <row r="27164" spans="1:2" x14ac:dyDescent="0.25">
      <c r="A27164" s="64" t="str">
        <f>HYPERLINK("http://www.twitter.com/SueCresswell2", "SueCresswell2")</f>
        <v>SueCresswell2</v>
      </c>
      <c r="B27164" s="65"/>
    </row>
    <row r="27165" spans="1:2" x14ac:dyDescent="0.25">
      <c r="A27165" s="64" t="str">
        <f>HYPERLINK("http://www.twitter.com/stevebglasgow", "stevebglasgow")</f>
        <v>stevebglasgow</v>
      </c>
      <c r="B27165" s="65" t="s">
        <v>138</v>
      </c>
    </row>
    <row r="27166" spans="1:2" x14ac:dyDescent="0.25">
      <c r="A27166" s="64" t="str">
        <f>HYPERLINK("http://www.twitter.com/eponymoosey", "eponymoosey")</f>
        <v>eponymoosey</v>
      </c>
      <c r="B27166" s="65"/>
    </row>
    <row r="27167" spans="1:2" x14ac:dyDescent="0.25">
      <c r="A27167" s="64" t="str">
        <f>HYPERLINK("http://www.twitter.com/starfishchk", "starfishchk")</f>
        <v>starfishchk</v>
      </c>
      <c r="B27167" s="65" t="s">
        <v>4678</v>
      </c>
    </row>
    <row r="27168" spans="1:2" x14ac:dyDescent="0.25">
      <c r="A27168" s="64" t="str">
        <f>HYPERLINK("http://www.twitter.com/carcollins", "carcollins")</f>
        <v>carcollins</v>
      </c>
      <c r="B27168" s="65" t="s">
        <v>3842</v>
      </c>
    </row>
    <row r="27169" spans="1:2" x14ac:dyDescent="0.25">
      <c r="A27169" s="64" t="str">
        <f>HYPERLINK("http://www.twitter.com/doogyjim", "doogyjim")</f>
        <v>doogyjim</v>
      </c>
      <c r="B27169" s="65" t="s">
        <v>318</v>
      </c>
    </row>
    <row r="27170" spans="1:2" x14ac:dyDescent="0.25">
      <c r="A27170" s="64" t="str">
        <f>HYPERLINK("http://www.twitter.com/suzimethinks", "suzimethinks")</f>
        <v>suzimethinks</v>
      </c>
      <c r="B27170" s="65"/>
    </row>
    <row r="27171" spans="1:2" x14ac:dyDescent="0.25">
      <c r="A27171" s="64" t="str">
        <f>HYPERLINK("http://www.twitter.com/CarelPress", "CarelPress")</f>
        <v>CarelPress</v>
      </c>
      <c r="B27171" s="65"/>
    </row>
    <row r="27172" spans="1:2" x14ac:dyDescent="0.25">
      <c r="A27172" s="64" t="str">
        <f>HYPERLINK("http://www.twitter.com/Jo_annLloyd", "Jo_annLloyd")</f>
        <v>Jo_annLloyd</v>
      </c>
      <c r="B27172" s="65" t="s">
        <v>11535</v>
      </c>
    </row>
    <row r="27173" spans="1:2" x14ac:dyDescent="0.25">
      <c r="A27173" s="64" t="str">
        <f>HYPERLINK("http://www.twitter.com/RosannPallares", "RosannPallares")</f>
        <v>RosannPallares</v>
      </c>
      <c r="B27173" s="65" t="s">
        <v>11536</v>
      </c>
    </row>
    <row r="27174" spans="1:2" x14ac:dyDescent="0.25">
      <c r="A27174" s="64" t="str">
        <f>HYPERLINK("http://www.twitter.com/dannyky56", "dannyky56")</f>
        <v>dannyky56</v>
      </c>
      <c r="B27174" s="65" t="s">
        <v>6355</v>
      </c>
    </row>
    <row r="27175" spans="1:2" x14ac:dyDescent="0.25">
      <c r="A27175" s="64" t="str">
        <f>HYPERLINK("http://www.twitter.com/colinmichael53", "colinmichael53")</f>
        <v>colinmichael53</v>
      </c>
      <c r="B27175" s="65"/>
    </row>
    <row r="27176" spans="1:2" x14ac:dyDescent="0.25">
      <c r="A27176" s="64" t="str">
        <f>HYPERLINK("http://www.twitter.com/PictishCreature", "PictishCreature")</f>
        <v>PictishCreature</v>
      </c>
      <c r="B27176" s="65" t="s">
        <v>20</v>
      </c>
    </row>
    <row r="27177" spans="1:2" x14ac:dyDescent="0.25">
      <c r="A27177" s="64" t="str">
        <f>HYPERLINK("http://www.twitter.com/vherow", "vherow")</f>
        <v>vherow</v>
      </c>
      <c r="B27177" s="65" t="s">
        <v>9121</v>
      </c>
    </row>
    <row r="27178" spans="1:2" x14ac:dyDescent="0.25">
      <c r="A27178" s="64" t="str">
        <f>HYPERLINK("http://www.twitter.com/JoelHSwann", "JoelHSwann")</f>
        <v>JoelHSwann</v>
      </c>
      <c r="B27178" s="65" t="s">
        <v>33</v>
      </c>
    </row>
    <row r="27179" spans="1:2" x14ac:dyDescent="0.25">
      <c r="A27179" s="64" t="str">
        <f>HYPERLINK("http://www.twitter.com/AugustaJane94", "AugustaJane94")</f>
        <v>AugustaJane94</v>
      </c>
      <c r="B27179" s="65"/>
    </row>
    <row r="27180" spans="1:2" x14ac:dyDescent="0.25">
      <c r="A27180" s="64" t="str">
        <f>HYPERLINK("http://www.twitter.com/BishopofCroydon", "BishopofCroydon")</f>
        <v>BishopofCroydon</v>
      </c>
      <c r="B27180" s="65" t="s">
        <v>11438</v>
      </c>
    </row>
    <row r="27181" spans="1:2" x14ac:dyDescent="0.25">
      <c r="A27181" s="64" t="str">
        <f>HYPERLINK("http://www.twitter.com/baggs67", "baggs67")</f>
        <v>baggs67</v>
      </c>
      <c r="B27181" s="65" t="s">
        <v>5566</v>
      </c>
    </row>
    <row r="27182" spans="1:2" x14ac:dyDescent="0.25">
      <c r="A27182" s="64" t="str">
        <f>HYPERLINK("http://www.twitter.com/andsewtoknit", "andsewtoknit")</f>
        <v>andsewtoknit</v>
      </c>
      <c r="B27182" s="65"/>
    </row>
    <row r="27183" spans="1:2" x14ac:dyDescent="0.25">
      <c r="A27183" s="64" t="str">
        <f>HYPERLINK("http://www.twitter.com/BobbyRobin", "BobbyRobin")</f>
        <v>BobbyRobin</v>
      </c>
      <c r="B27183" s="65" t="s">
        <v>4233</v>
      </c>
    </row>
    <row r="27184" spans="1:2" x14ac:dyDescent="0.25">
      <c r="A27184" s="64" t="str">
        <f>HYPERLINK("http://www.twitter.com/idioteques7", "idioteques7")</f>
        <v>idioteques7</v>
      </c>
      <c r="B27184" s="65" t="s">
        <v>11537</v>
      </c>
    </row>
    <row r="27185" spans="1:2" x14ac:dyDescent="0.25">
      <c r="A27185" s="64" t="str">
        <f>HYPERLINK("http://www.twitter.com/yewness", "yewness")</f>
        <v>yewness</v>
      </c>
      <c r="B27185" s="65"/>
    </row>
    <row r="27186" spans="1:2" x14ac:dyDescent="0.25">
      <c r="A27186" s="64" t="str">
        <f>HYPERLINK("http://www.twitter.com/VmCaroline", "VmCaroline")</f>
        <v>VmCaroline</v>
      </c>
      <c r="B27186" s="65"/>
    </row>
    <row r="27187" spans="1:2" x14ac:dyDescent="0.25">
      <c r="A27187" s="64" t="str">
        <f>HYPERLINK("http://www.twitter.com/samhchair", "samhchair")</f>
        <v>samhchair</v>
      </c>
      <c r="B27187" s="65" t="s">
        <v>11538</v>
      </c>
    </row>
    <row r="27188" spans="1:2" x14ac:dyDescent="0.25">
      <c r="A27188" s="64" t="str">
        <f>HYPERLINK("http://www.twitter.com/SarahHoile", "SarahHoile")</f>
        <v>SarahHoile</v>
      </c>
      <c r="B27188" s="65" t="s">
        <v>11539</v>
      </c>
    </row>
    <row r="27189" spans="1:2" x14ac:dyDescent="0.25">
      <c r="A27189" s="64" t="str">
        <f>HYPERLINK("http://www.twitter.com/Jw3x3", "Jw3x3")</f>
        <v>Jw3x3</v>
      </c>
      <c r="B27189" s="65" t="s">
        <v>1295</v>
      </c>
    </row>
    <row r="27190" spans="1:2" x14ac:dyDescent="0.25">
      <c r="A27190" s="64" t="str">
        <f>HYPERLINK("http://www.twitter.com/lkirky1", "lkirky1")</f>
        <v>lkirky1</v>
      </c>
      <c r="B27190" s="65"/>
    </row>
    <row r="27191" spans="1:2" x14ac:dyDescent="0.25">
      <c r="A27191" s="64" t="str">
        <f>HYPERLINK("http://www.twitter.com/Stella_Allen", "Stella_Allen")</f>
        <v>Stella_Allen</v>
      </c>
      <c r="B27191" s="65"/>
    </row>
    <row r="27192" spans="1:2" x14ac:dyDescent="0.25">
      <c r="A27192" s="64" t="str">
        <f>HYPERLINK("http://www.twitter.com/WitchypooNo2", "WitchypooNo2")</f>
        <v>WitchypooNo2</v>
      </c>
      <c r="B27192" s="65"/>
    </row>
    <row r="27193" spans="1:2" x14ac:dyDescent="0.25">
      <c r="A27193" s="64" t="str">
        <f>HYPERLINK("http://www.twitter.com/Phwoffy", "Phwoffy")</f>
        <v>Phwoffy</v>
      </c>
      <c r="B27193" s="65" t="s">
        <v>11540</v>
      </c>
    </row>
    <row r="27194" spans="1:2" x14ac:dyDescent="0.25">
      <c r="A27194" s="64" t="str">
        <f>HYPERLINK("http://www.twitter.com/gharehtorki", "gharehtorki")</f>
        <v>gharehtorki</v>
      </c>
      <c r="B27194" s="65" t="s">
        <v>7461</v>
      </c>
    </row>
    <row r="27195" spans="1:2" x14ac:dyDescent="0.25">
      <c r="A27195" s="64" t="str">
        <f>HYPERLINK("http://www.twitter.com/CaraghScott", "CaraghScott")</f>
        <v>CaraghScott</v>
      </c>
      <c r="B27195" s="65"/>
    </row>
    <row r="27196" spans="1:2" x14ac:dyDescent="0.25">
      <c r="A27196" s="64" t="str">
        <f>HYPERLINK("http://www.twitter.com/Serenaf66", "Serenaf66")</f>
        <v>Serenaf66</v>
      </c>
      <c r="B27196" s="65" t="s">
        <v>11541</v>
      </c>
    </row>
    <row r="27197" spans="1:2" x14ac:dyDescent="0.25">
      <c r="A27197" s="64" t="str">
        <f>HYPERLINK("http://www.twitter.com/odearest", "odearest")</f>
        <v>odearest</v>
      </c>
      <c r="B27197" s="65" t="s">
        <v>36</v>
      </c>
    </row>
    <row r="27198" spans="1:2" x14ac:dyDescent="0.25">
      <c r="A27198" s="64" t="str">
        <f>HYPERLINK("http://www.twitter.com/jojomoyes", "jojomoyes")</f>
        <v>jojomoyes</v>
      </c>
      <c r="B27198" s="65" t="s">
        <v>11542</v>
      </c>
    </row>
    <row r="27199" spans="1:2" x14ac:dyDescent="0.25">
      <c r="A27199" s="64" t="str">
        <f>HYPERLINK("http://www.twitter.com/LentilKnitter", "LentilKnitter")</f>
        <v>LentilKnitter</v>
      </c>
      <c r="B27199" s="65" t="s">
        <v>296</v>
      </c>
    </row>
    <row r="27200" spans="1:2" x14ac:dyDescent="0.25">
      <c r="A27200" s="64" t="str">
        <f>HYPERLINK("http://www.twitter.com/AirAnAdhar", "AirAnAdhar")</f>
        <v>AirAnAdhar</v>
      </c>
      <c r="B27200" s="65"/>
    </row>
    <row r="27201" spans="1:2" x14ac:dyDescent="0.25">
      <c r="A27201" s="64" t="str">
        <f>HYPERLINK("http://www.twitter.com/rosscosmart", "rosscosmart")</f>
        <v>rosscosmart</v>
      </c>
      <c r="B27201" s="65" t="s">
        <v>11543</v>
      </c>
    </row>
    <row r="27202" spans="1:2" x14ac:dyDescent="0.25">
      <c r="A27202" s="64" t="str">
        <f>HYPERLINK("http://www.twitter.com/propinqua", "propinqua")</f>
        <v>propinqua</v>
      </c>
      <c r="B27202" s="65" t="s">
        <v>11544</v>
      </c>
    </row>
    <row r="27203" spans="1:2" x14ac:dyDescent="0.25">
      <c r="A27203" s="64" t="str">
        <f>HYPERLINK("http://www.twitter.com/AgentK23", "AgentK23")</f>
        <v>AgentK23</v>
      </c>
      <c r="B27203" s="65"/>
    </row>
    <row r="27204" spans="1:2" x14ac:dyDescent="0.25">
      <c r="A27204" s="64" t="str">
        <f>HYPERLINK("http://www.twitter.com/dgbdgb", "dgbdgb")</f>
        <v>dgbdgb</v>
      </c>
      <c r="B27204" s="65" t="s">
        <v>36</v>
      </c>
    </row>
    <row r="27205" spans="1:2" x14ac:dyDescent="0.25">
      <c r="A27205" s="64" t="str">
        <f>HYPERLINK("http://www.twitter.com/churchatcastle", "churchatcastle")</f>
        <v>churchatcastle</v>
      </c>
      <c r="B27205" s="65" t="s">
        <v>61</v>
      </c>
    </row>
    <row r="27206" spans="1:2" x14ac:dyDescent="0.25">
      <c r="A27206" s="64" t="str">
        <f>HYPERLINK("http://www.twitter.com/StalhamLibrary", "StalhamLibrary")</f>
        <v>StalhamLibrary</v>
      </c>
      <c r="B27206" s="65" t="s">
        <v>1908</v>
      </c>
    </row>
    <row r="27207" spans="1:2" x14ac:dyDescent="0.25">
      <c r="A27207" s="64" t="str">
        <f>HYPERLINK("http://www.twitter.com/jukeylinda", "jukeylinda")</f>
        <v>jukeylinda</v>
      </c>
      <c r="B27207" s="65" t="s">
        <v>1295</v>
      </c>
    </row>
    <row r="27208" spans="1:2" x14ac:dyDescent="0.25">
      <c r="A27208" s="64" t="str">
        <f>HYPERLINK("http://www.twitter.com/CILIPNE", "CILIPNE")</f>
        <v>CILIPNE</v>
      </c>
      <c r="B27208" s="65" t="s">
        <v>10024</v>
      </c>
    </row>
    <row r="27209" spans="1:2" x14ac:dyDescent="0.25">
      <c r="A27209" s="64" t="str">
        <f>HYPERLINK("http://www.twitter.com/mrsmumshirl", "mrsmumshirl")</f>
        <v>mrsmumshirl</v>
      </c>
      <c r="B27209" s="65"/>
    </row>
    <row r="27210" spans="1:2" x14ac:dyDescent="0.25">
      <c r="A27210" s="64" t="str">
        <f>HYPERLINK("http://www.twitter.com/Suzanne_Hay", "Suzanne_Hay")</f>
        <v>Suzanne_Hay</v>
      </c>
      <c r="B27210" s="65" t="s">
        <v>1218</v>
      </c>
    </row>
    <row r="27211" spans="1:2" x14ac:dyDescent="0.25">
      <c r="A27211" s="64" t="str">
        <f>HYPERLINK("http://www.twitter.com/KDaviesdesigns", "KDaviesdesigns")</f>
        <v>KDaviesdesigns</v>
      </c>
      <c r="B27211" s="65" t="s">
        <v>517</v>
      </c>
    </row>
    <row r="27212" spans="1:2" x14ac:dyDescent="0.25">
      <c r="A27212" s="64" t="str">
        <f>HYPERLINK("http://www.twitter.com/petermaccurrie", "petermaccurrie")</f>
        <v>petermaccurrie</v>
      </c>
      <c r="B27212" s="65"/>
    </row>
    <row r="27213" spans="1:2" x14ac:dyDescent="0.25">
      <c r="A27213" s="64" t="str">
        <f>HYPERLINK("http://www.twitter.com/LeahFranchetti", "LeahFranchetti")</f>
        <v>LeahFranchetti</v>
      </c>
      <c r="B27213" s="65" t="s">
        <v>11545</v>
      </c>
    </row>
    <row r="27214" spans="1:2" x14ac:dyDescent="0.25">
      <c r="A27214" s="64" t="str">
        <f>HYPERLINK("http://www.twitter.com/northernlass73", "northernlass73")</f>
        <v>northernlass73</v>
      </c>
      <c r="B27214" s="65" t="s">
        <v>11546</v>
      </c>
    </row>
    <row r="27215" spans="1:2" x14ac:dyDescent="0.25">
      <c r="A27215" s="64" t="str">
        <f>HYPERLINK("http://www.twitter.com/nichill", "nichill")</f>
        <v>nichill</v>
      </c>
      <c r="B27215" s="65" t="s">
        <v>36</v>
      </c>
    </row>
    <row r="27216" spans="1:2" x14ac:dyDescent="0.25">
      <c r="A27216" s="64" t="str">
        <f>HYPERLINK("http://www.twitter.com/HendalRobertson", "HendalRobertson")</f>
        <v>HendalRobertson</v>
      </c>
      <c r="B27216" s="65" t="s">
        <v>11547</v>
      </c>
    </row>
    <row r="27217" spans="1:2" x14ac:dyDescent="0.25">
      <c r="A27217" s="64" t="str">
        <f>HYPERLINK("http://www.twitter.com/An_Old_Hand", "An_Old_Hand")</f>
        <v>An_Old_Hand</v>
      </c>
      <c r="B27217" s="65" t="s">
        <v>5275</v>
      </c>
    </row>
    <row r="27218" spans="1:2" x14ac:dyDescent="0.25">
      <c r="A27218" s="64" t="str">
        <f>HYPERLINK("http://www.twitter.com/DaiseeC", "DaiseeC")</f>
        <v>DaiseeC</v>
      </c>
      <c r="B27218" s="65"/>
    </row>
    <row r="27219" spans="1:2" x14ac:dyDescent="0.25">
      <c r="A27219" s="64" t="str">
        <f>HYPERLINK("http://www.twitter.com/hullfair", "hullfair")</f>
        <v>hullfair</v>
      </c>
      <c r="B27219" s="65" t="s">
        <v>11548</v>
      </c>
    </row>
    <row r="27220" spans="1:2" x14ac:dyDescent="0.25">
      <c r="A27220" s="64" t="str">
        <f>HYPERLINK("http://www.twitter.com/JohnMHaskey", "JohnMHaskey")</f>
        <v>JohnMHaskey</v>
      </c>
      <c r="B27220" s="65" t="s">
        <v>11549</v>
      </c>
    </row>
    <row r="27221" spans="1:2" x14ac:dyDescent="0.25">
      <c r="A27221" s="64" t="str">
        <f>HYPERLINK("http://www.twitter.com/magslhalliday", "magslhalliday")</f>
        <v>magslhalliday</v>
      </c>
      <c r="B27221" s="65" t="s">
        <v>11550</v>
      </c>
    </row>
    <row r="27222" spans="1:2" x14ac:dyDescent="0.25">
      <c r="A27222" s="64" t="str">
        <f>HYPERLINK("http://www.twitter.com/shona_wallace", "shona_wallace")</f>
        <v>shona_wallace</v>
      </c>
      <c r="B27222" s="65" t="s">
        <v>3875</v>
      </c>
    </row>
    <row r="27223" spans="1:2" x14ac:dyDescent="0.25">
      <c r="A27223" s="64" t="str">
        <f>HYPERLINK("http://www.twitter.com/Darkblue1965", "Darkblue1965")</f>
        <v>Darkblue1965</v>
      </c>
      <c r="B27223" s="65" t="s">
        <v>1482</v>
      </c>
    </row>
    <row r="27224" spans="1:2" x14ac:dyDescent="0.25">
      <c r="A27224" s="64" t="str">
        <f>HYPERLINK("http://www.twitter.com/MarsportSb", "MarsportSb")</f>
        <v>MarsportSb</v>
      </c>
      <c r="B27224" s="65"/>
    </row>
    <row r="27225" spans="1:2" x14ac:dyDescent="0.25">
      <c r="A27225" s="64" t="str">
        <f>HYPERLINK("http://www.twitter.com/EJBrand", "EJBrand")</f>
        <v>EJBrand</v>
      </c>
      <c r="B27225" s="65"/>
    </row>
    <row r="27226" spans="1:2" x14ac:dyDescent="0.25">
      <c r="A27226" s="64" t="str">
        <f>HYPERLINK("http://www.twitter.com/BartonMillsChch", "BartonMillsChch")</f>
        <v>BartonMillsChch</v>
      </c>
      <c r="B27226" s="65" t="s">
        <v>11551</v>
      </c>
    </row>
    <row r="27227" spans="1:2" x14ac:dyDescent="0.25">
      <c r="A27227" s="64" t="str">
        <f>HYPERLINK("http://www.twitter.com/lisatomkeddie", "lisatomkeddie")</f>
        <v>lisatomkeddie</v>
      </c>
      <c r="B27227" s="65" t="s">
        <v>138</v>
      </c>
    </row>
    <row r="27228" spans="1:2" x14ac:dyDescent="0.25">
      <c r="A27228" s="64" t="str">
        <f>HYPERLINK("http://www.twitter.com/James__Dixon", "James__Dixon")</f>
        <v>James__Dixon</v>
      </c>
      <c r="B27228" s="65" t="s">
        <v>477</v>
      </c>
    </row>
    <row r="27229" spans="1:2" x14ac:dyDescent="0.25">
      <c r="A27229" s="64" t="str">
        <f>HYPERLINK("http://www.twitter.com/marieksOz", "marieksOz")</f>
        <v>marieksOz</v>
      </c>
      <c r="B27229" s="65"/>
    </row>
    <row r="27230" spans="1:2" x14ac:dyDescent="0.25">
      <c r="A27230" s="64" t="str">
        <f>HYPERLINK("http://www.twitter.com/ItsAnnHoward", "ItsAnnHoward")</f>
        <v>ItsAnnHoward</v>
      </c>
      <c r="B27230" s="65"/>
    </row>
    <row r="27231" spans="1:2" x14ac:dyDescent="0.25">
      <c r="A27231" s="64" t="str">
        <f>HYPERLINK("http://www.twitter.com/valdegodos", "valdegodos")</f>
        <v>valdegodos</v>
      </c>
      <c r="B27231" s="65" t="s">
        <v>11552</v>
      </c>
    </row>
    <row r="27232" spans="1:2" x14ac:dyDescent="0.25">
      <c r="A27232" s="64" t="str">
        <f>HYPERLINK("http://www.twitter.com/Emaaneee", "Emaaneee")</f>
        <v>Emaaneee</v>
      </c>
      <c r="B27232" s="65"/>
    </row>
    <row r="27233" spans="1:2" x14ac:dyDescent="0.25">
      <c r="A27233" s="64" t="str">
        <f>HYPERLINK("http://www.twitter.com/TooimpulsiveMyz", "TooimpulsiveMyz")</f>
        <v>TooimpulsiveMyz</v>
      </c>
      <c r="B27233" s="65"/>
    </row>
    <row r="27234" spans="1:2" x14ac:dyDescent="0.25">
      <c r="A27234" s="64" t="str">
        <f>HYPERLINK("http://www.twitter.com/TMacBird", "TMacBird")</f>
        <v>TMacBird</v>
      </c>
      <c r="B27234" s="65"/>
    </row>
    <row r="27235" spans="1:2" x14ac:dyDescent="0.25">
      <c r="A27235" s="64" t="str">
        <f>HYPERLINK("http://www.twitter.com/MergentInc", "MergentInc")</f>
        <v>MergentInc</v>
      </c>
      <c r="B27235" s="65" t="s">
        <v>4177</v>
      </c>
    </row>
    <row r="27236" spans="1:2" x14ac:dyDescent="0.25">
      <c r="A27236" s="64" t="str">
        <f>HYPERLINK("http://www.twitter.com/Daizy_Chains", "Daizy_Chains")</f>
        <v>Daizy_Chains</v>
      </c>
      <c r="B27236" s="65"/>
    </row>
    <row r="27237" spans="1:2" x14ac:dyDescent="0.25">
      <c r="A27237" s="64" t="str">
        <f>HYPERLINK("http://www.twitter.com/MrsAnon101", "MrsAnon101")</f>
        <v>MrsAnon101</v>
      </c>
      <c r="B27237" s="65" t="s">
        <v>33</v>
      </c>
    </row>
    <row r="27238" spans="1:2" x14ac:dyDescent="0.25">
      <c r="A27238" s="64" t="str">
        <f>HYPERLINK("http://www.twitter.com/referend_erm", "referend_erm")</f>
        <v>referend_erm</v>
      </c>
      <c r="B27238" s="65" t="s">
        <v>517</v>
      </c>
    </row>
    <row r="27239" spans="1:2" x14ac:dyDescent="0.25">
      <c r="A27239" s="64" t="str">
        <f>HYPERLINK("http://www.twitter.com/RiscaLibrary", "RiscaLibrary")</f>
        <v>RiscaLibrary</v>
      </c>
      <c r="B27239" s="65" t="s">
        <v>854</v>
      </c>
    </row>
    <row r="27240" spans="1:2" x14ac:dyDescent="0.25">
      <c r="A27240" s="64" t="str">
        <f>HYPERLINK("http://www.twitter.com/nljames62", "nljames62")</f>
        <v>nljames62</v>
      </c>
      <c r="B27240" s="65" t="s">
        <v>808</v>
      </c>
    </row>
    <row r="27241" spans="1:2" x14ac:dyDescent="0.25">
      <c r="A27241" s="64" t="str">
        <f>HYPERLINK("http://www.twitter.com/foldthepage", "foldthepage")</f>
        <v>foldthepage</v>
      </c>
      <c r="B27241" s="65" t="s">
        <v>11553</v>
      </c>
    </row>
    <row r="27242" spans="1:2" x14ac:dyDescent="0.25">
      <c r="A27242" s="64" t="str">
        <f>HYPERLINK("http://www.twitter.com/USelaine", "USelaine")</f>
        <v>USelaine</v>
      </c>
      <c r="B27242" s="65" t="s">
        <v>11554</v>
      </c>
    </row>
    <row r="27243" spans="1:2" x14ac:dyDescent="0.25">
      <c r="A27243" s="64" t="str">
        <f>HYPERLINK("http://www.twitter.com/AileenSmedley", "AileenSmedley")</f>
        <v>AileenSmedley</v>
      </c>
      <c r="B27243" s="65"/>
    </row>
    <row r="27244" spans="1:2" x14ac:dyDescent="0.25">
      <c r="A27244" s="64" t="str">
        <f>HYPERLINK("http://www.twitter.com/oxfambooksHUD", "oxfambooksHUD")</f>
        <v>oxfambooksHUD</v>
      </c>
      <c r="B27244" s="65" t="s">
        <v>11555</v>
      </c>
    </row>
    <row r="27245" spans="1:2" x14ac:dyDescent="0.25">
      <c r="A27245" s="64" t="str">
        <f>HYPERLINK("http://www.twitter.com/DinostarHull", "DinostarHull")</f>
        <v>DinostarHull</v>
      </c>
      <c r="B27245" s="65" t="s">
        <v>11556</v>
      </c>
    </row>
    <row r="27246" spans="1:2" x14ac:dyDescent="0.25">
      <c r="A27246" s="64" t="str">
        <f>HYPERLINK("http://www.twitter.com/helensalvini", "helensalvini")</f>
        <v>helensalvini</v>
      </c>
      <c r="B27246" s="65"/>
    </row>
    <row r="27247" spans="1:2" x14ac:dyDescent="0.25">
      <c r="A27247" s="64" t="str">
        <f>HYPERLINK("http://www.twitter.com/CrenellatedArts", "CrenellatedArts")</f>
        <v>CrenellatedArts</v>
      </c>
      <c r="B27247" s="65"/>
    </row>
    <row r="27248" spans="1:2" x14ac:dyDescent="0.25">
      <c r="A27248" s="64" t="str">
        <f>HYPERLINK("http://www.twitter.com/words_waves", "words_waves")</f>
        <v>words_waves</v>
      </c>
      <c r="B27248" s="65" t="s">
        <v>20</v>
      </c>
    </row>
    <row r="27249" spans="1:2" x14ac:dyDescent="0.25">
      <c r="A27249" s="64" t="str">
        <f>HYPERLINK("http://www.twitter.com/dosticen", "dosticen")</f>
        <v>dosticen</v>
      </c>
      <c r="B27249" s="65" t="s">
        <v>11557</v>
      </c>
    </row>
    <row r="27250" spans="1:2" x14ac:dyDescent="0.25">
      <c r="A27250" s="64" t="str">
        <f>HYPERLINK("http://www.twitter.com/SYPScotland", "SYPScotland")</f>
        <v>SYPScotland</v>
      </c>
      <c r="B27250" s="65" t="s">
        <v>2007</v>
      </c>
    </row>
    <row r="27251" spans="1:2" x14ac:dyDescent="0.25">
      <c r="A27251" s="64" t="str">
        <f>HYPERLINK("http://www.twitter.com/meandmypeugeot", "meandmypeugeot")</f>
        <v>meandmypeugeot</v>
      </c>
      <c r="B27251" s="65"/>
    </row>
    <row r="27252" spans="1:2" x14ac:dyDescent="0.25">
      <c r="A27252" s="64" t="str">
        <f>HYPERLINK("http://www.twitter.com/citrinella", "citrinella")</f>
        <v>citrinella</v>
      </c>
      <c r="B27252" s="65"/>
    </row>
    <row r="27253" spans="1:2" x14ac:dyDescent="0.25">
      <c r="A27253" s="64" t="str">
        <f>HYPERLINK("http://www.twitter.com/FifeCollegeLib", "FifeCollegeLib")</f>
        <v>FifeCollegeLib</v>
      </c>
      <c r="B27253" s="65" t="s">
        <v>421</v>
      </c>
    </row>
    <row r="27254" spans="1:2" x14ac:dyDescent="0.25">
      <c r="A27254" s="64" t="str">
        <f>HYPERLINK("http://www.twitter.com/Bibsardoal", "Bibsardoal")</f>
        <v>Bibsardoal</v>
      </c>
      <c r="B27254" s="65"/>
    </row>
    <row r="27255" spans="1:2" x14ac:dyDescent="0.25">
      <c r="A27255" s="64" t="str">
        <f>HYPERLINK("http://www.twitter.com/sasbongo", "sasbongo")</f>
        <v>sasbongo</v>
      </c>
      <c r="B27255" s="65" t="s">
        <v>11558</v>
      </c>
    </row>
    <row r="27256" spans="1:2" x14ac:dyDescent="0.25">
      <c r="A27256" s="64" t="str">
        <f>HYPERLINK("http://www.twitter.com/editorcatherine", "editorcatherine")</f>
        <v>editorcatherine</v>
      </c>
      <c r="B27256" s="65" t="s">
        <v>11559</v>
      </c>
    </row>
    <row r="27257" spans="1:2" x14ac:dyDescent="0.25">
      <c r="A27257" s="64" t="str">
        <f>HYPERLINK("http://www.twitter.com/AKTooke", "AKTooke")</f>
        <v>AKTooke</v>
      </c>
      <c r="B27257" s="65"/>
    </row>
    <row r="27258" spans="1:2" x14ac:dyDescent="0.25">
      <c r="A27258" s="64" t="str">
        <f>HYPERLINK("http://www.twitter.com/R3TheVerb", "R3TheVerb")</f>
        <v>R3TheVerb</v>
      </c>
      <c r="B27258" s="65" t="s">
        <v>11560</v>
      </c>
    </row>
    <row r="27259" spans="1:2" x14ac:dyDescent="0.25">
      <c r="A27259" s="64" t="str">
        <f>HYPERLINK("http://www.twitter.com/jmadeleinehale", "jmadeleinehale")</f>
        <v>jmadeleinehale</v>
      </c>
      <c r="B27259" s="65" t="s">
        <v>11561</v>
      </c>
    </row>
    <row r="27260" spans="1:2" x14ac:dyDescent="0.25">
      <c r="A27260" s="64" t="str">
        <f>HYPERLINK("http://www.twitter.com/MaggieHorgan", "MaggieHorgan")</f>
        <v>MaggieHorgan</v>
      </c>
      <c r="B27260" s="65" t="s">
        <v>9216</v>
      </c>
    </row>
    <row r="27261" spans="1:2" x14ac:dyDescent="0.25">
      <c r="A27261" s="64" t="str">
        <f>HYPERLINK("http://www.twitter.com/revrill", "revrill")</f>
        <v>revrill</v>
      </c>
      <c r="B27261" s="65"/>
    </row>
    <row r="27262" spans="1:2" x14ac:dyDescent="0.25">
      <c r="A27262" s="64" t="str">
        <f>HYPERLINK("http://www.twitter.com/kcisc", "kcisc")</f>
        <v>kcisc</v>
      </c>
      <c r="B27262" s="65"/>
    </row>
    <row r="27263" spans="1:2" x14ac:dyDescent="0.25">
      <c r="A27263" s="64" t="str">
        <f>HYPERLINK("http://www.twitter.com/Marltim", "Marltim")</f>
        <v>Marltim</v>
      </c>
      <c r="B27263" s="65"/>
    </row>
    <row r="27264" spans="1:2" x14ac:dyDescent="0.25">
      <c r="A27264" s="64" t="str">
        <f>HYPERLINK("http://www.twitter.com/cathy_hth", "cathy_hth")</f>
        <v>cathy_hth</v>
      </c>
      <c r="B27264" s="65"/>
    </row>
    <row r="27265" spans="1:2" x14ac:dyDescent="0.25">
      <c r="A27265" s="64" t="str">
        <f>HYPERLINK("http://www.twitter.com/noomillard", "noomillard")</f>
        <v>noomillard</v>
      </c>
      <c r="B27265" s="65"/>
    </row>
    <row r="27266" spans="1:2" x14ac:dyDescent="0.25">
      <c r="A27266" s="64" t="str">
        <f>HYPERLINK("http://www.twitter.com/plum_chutney", "plum_chutney")</f>
        <v>plum_chutney</v>
      </c>
      <c r="B27266" s="65"/>
    </row>
    <row r="27267" spans="1:2" x14ac:dyDescent="0.25">
      <c r="A27267" s="64" t="str">
        <f>HYPERLINK("http://www.twitter.com/Mccannical93", "Mccannical93")</f>
        <v>Mccannical93</v>
      </c>
      <c r="B27267" s="65"/>
    </row>
    <row r="27268" spans="1:2" x14ac:dyDescent="0.25">
      <c r="A27268" s="64" t="str">
        <f>HYPERLINK("http://www.twitter.com/hummingbirdbeak", "hummingbirdbeak")</f>
        <v>hummingbirdbeak</v>
      </c>
      <c r="B27268" s="65" t="s">
        <v>11562</v>
      </c>
    </row>
    <row r="27269" spans="1:2" x14ac:dyDescent="0.25">
      <c r="A27269" s="64" t="str">
        <f>HYPERLINK("http://www.twitter.com/badgerlyminge", "badgerlyminge")</f>
        <v>badgerlyminge</v>
      </c>
      <c r="B27269" s="65"/>
    </row>
    <row r="27270" spans="1:2" x14ac:dyDescent="0.25">
      <c r="A27270" s="64" t="str">
        <f>HYPERLINK("http://www.twitter.com/Myboysmum", "Myboysmum")</f>
        <v>Myboysmum</v>
      </c>
      <c r="B27270" s="65" t="s">
        <v>11563</v>
      </c>
    </row>
    <row r="27271" spans="1:2" x14ac:dyDescent="0.25">
      <c r="A27271" s="64" t="str">
        <f>HYPERLINK("http://www.twitter.com/EnchantedTrifle", "EnchantedTrifle")</f>
        <v>EnchantedTrifle</v>
      </c>
      <c r="B27271" s="65" t="s">
        <v>1482</v>
      </c>
    </row>
    <row r="27272" spans="1:2" x14ac:dyDescent="0.25">
      <c r="A27272" s="64" t="str">
        <f>HYPERLINK("http://www.twitter.com/laurmurf", "laurmurf")</f>
        <v>laurmurf</v>
      </c>
      <c r="B27272" s="65" t="s">
        <v>11564</v>
      </c>
    </row>
    <row r="27273" spans="1:2" x14ac:dyDescent="0.25">
      <c r="A27273" s="64" t="str">
        <f>HYPERLINK("http://www.twitter.com/guanochick", "guanochick")</f>
        <v>guanochick</v>
      </c>
      <c r="B27273" s="65" t="s">
        <v>11565</v>
      </c>
    </row>
    <row r="27274" spans="1:2" x14ac:dyDescent="0.25">
      <c r="A27274" s="64" t="str">
        <f>HYPERLINK("http://www.twitter.com/mummydozza", "mummydozza")</f>
        <v>mummydozza</v>
      </c>
      <c r="B27274" s="65"/>
    </row>
    <row r="27275" spans="1:2" x14ac:dyDescent="0.25">
      <c r="A27275" s="64" t="str">
        <f>HYPERLINK("http://www.twitter.com/uberlily", "uberlily")</f>
        <v>uberlily</v>
      </c>
      <c r="B27275" s="65" t="s">
        <v>6861</v>
      </c>
    </row>
    <row r="27276" spans="1:2" x14ac:dyDescent="0.25">
      <c r="A27276" s="64" t="str">
        <f>HYPERLINK("http://www.twitter.com/_GoodBookGuide", "_GoodBookGuide")</f>
        <v>_GoodBookGuide</v>
      </c>
      <c r="B27276" s="65" t="s">
        <v>70</v>
      </c>
    </row>
    <row r="27277" spans="1:2" x14ac:dyDescent="0.25">
      <c r="A27277" s="64" t="str">
        <f>HYPERLINK("http://www.twitter.com/rjn79123", "rjn79123")</f>
        <v>rjn79123</v>
      </c>
      <c r="B27277" s="65" t="s">
        <v>24</v>
      </c>
    </row>
    <row r="27278" spans="1:2" x14ac:dyDescent="0.25">
      <c r="A27278" s="64" t="str">
        <f>HYPERLINK("http://www.twitter.com/LibraryLesley", "LibraryLesley")</f>
        <v>LibraryLesley</v>
      </c>
      <c r="B27278" s="65" t="s">
        <v>4887</v>
      </c>
    </row>
    <row r="27279" spans="1:2" x14ac:dyDescent="0.25">
      <c r="A27279" s="64" t="str">
        <f>HYPERLINK("http://www.twitter.com/JohnEastLothian", "JohnEastLothian")</f>
        <v>JohnEastLothian</v>
      </c>
      <c r="B27279" s="65" t="s">
        <v>517</v>
      </c>
    </row>
    <row r="27280" spans="1:2" x14ac:dyDescent="0.25">
      <c r="A27280" s="64" t="str">
        <f>HYPERLINK("http://www.twitter.com/susiewilde", "susiewilde")</f>
        <v>susiewilde</v>
      </c>
      <c r="B27280" s="65" t="s">
        <v>11566</v>
      </c>
    </row>
    <row r="27281" spans="1:2" x14ac:dyDescent="0.25">
      <c r="A27281" s="64" t="str">
        <f>HYPERLINK("http://www.twitter.com/FebruaryStars70", "FebruaryStars70")</f>
        <v>FebruaryStars70</v>
      </c>
      <c r="B27281" s="65" t="s">
        <v>11567</v>
      </c>
    </row>
    <row r="27282" spans="1:2" x14ac:dyDescent="0.25">
      <c r="A27282" s="64" t="str">
        <f>HYPERLINK("http://www.twitter.com/sunsetmog", "sunsetmog")</f>
        <v>sunsetmog</v>
      </c>
      <c r="B27282" s="65" t="s">
        <v>11568</v>
      </c>
    </row>
    <row r="27283" spans="1:2" x14ac:dyDescent="0.25">
      <c r="A27283" s="64" t="str">
        <f>HYPERLINK("http://www.twitter.com/Bekki66", "Bekki66")</f>
        <v>Bekki66</v>
      </c>
      <c r="B27283" s="65" t="s">
        <v>11569</v>
      </c>
    </row>
    <row r="27284" spans="1:2" x14ac:dyDescent="0.25">
      <c r="A27284" s="64" t="str">
        <f>HYPERLINK("http://www.twitter.com/StephenRMoulton", "StephenRMoulton")</f>
        <v>StephenRMoulton</v>
      </c>
      <c r="B27284" s="65" t="s">
        <v>11570</v>
      </c>
    </row>
    <row r="27285" spans="1:2" x14ac:dyDescent="0.25">
      <c r="A27285" s="64" t="str">
        <f>HYPERLINK("http://www.twitter.com/lesleyjudge", "lesleyjudge")</f>
        <v>lesleyjudge</v>
      </c>
      <c r="B27285" s="65" t="s">
        <v>517</v>
      </c>
    </row>
    <row r="27286" spans="1:2" x14ac:dyDescent="0.25">
      <c r="A27286" s="64" t="str">
        <f>HYPERLINK("http://www.twitter.com/victorianclare", "victorianclare")</f>
        <v>victorianclare</v>
      </c>
      <c r="B27286" s="65" t="s">
        <v>2595</v>
      </c>
    </row>
    <row r="27287" spans="1:2" x14ac:dyDescent="0.25">
      <c r="A27287" s="64" t="str">
        <f>HYPERLINK("http://www.twitter.com/amplejuice", "amplejuice")</f>
        <v>amplejuice</v>
      </c>
      <c r="B27287" s="65"/>
    </row>
    <row r="27288" spans="1:2" x14ac:dyDescent="0.25">
      <c r="A27288" s="64" t="str">
        <f>HYPERLINK("http://www.twitter.com/Louli04", "Louli04")</f>
        <v>Louli04</v>
      </c>
      <c r="B27288" s="65" t="s">
        <v>36</v>
      </c>
    </row>
    <row r="27289" spans="1:2" x14ac:dyDescent="0.25">
      <c r="A27289" s="64" t="str">
        <f>HYPERLINK("http://www.twitter.com/LesleyBateman", "LesleyBateman")</f>
        <v>LesleyBateman</v>
      </c>
      <c r="B27289" s="65"/>
    </row>
    <row r="27290" spans="1:2" x14ac:dyDescent="0.25">
      <c r="A27290" s="64" t="str">
        <f>HYPERLINK("http://www.twitter.com/LRBbookshop", "LRBbookshop")</f>
        <v>LRBbookshop</v>
      </c>
      <c r="B27290" s="65" t="s">
        <v>11571</v>
      </c>
    </row>
    <row r="27291" spans="1:2" x14ac:dyDescent="0.25">
      <c r="A27291" s="64" t="str">
        <f>HYPERLINK("http://www.twitter.com/ickleas", "ickleas")</f>
        <v>ickleas</v>
      </c>
      <c r="B27291" s="65" t="s">
        <v>517</v>
      </c>
    </row>
    <row r="27292" spans="1:2" x14ac:dyDescent="0.25">
      <c r="A27292" s="64" t="str">
        <f>HYPERLINK("http://www.twitter.com/BrazierMary", "BrazierMary")</f>
        <v>BrazierMary</v>
      </c>
      <c r="B27292" s="65" t="s">
        <v>11572</v>
      </c>
    </row>
    <row r="27293" spans="1:2" x14ac:dyDescent="0.25">
      <c r="A27293" s="64" t="str">
        <f>HYPERLINK("http://www.twitter.com/JPNLeeds", "JPNLeeds")</f>
        <v>JPNLeeds</v>
      </c>
      <c r="B27293" s="65"/>
    </row>
    <row r="27294" spans="1:2" x14ac:dyDescent="0.25">
      <c r="A27294" s="64" t="str">
        <f>HYPERLINK("http://www.twitter.com/aliceelanor1310", "aliceelanor1310")</f>
        <v>aliceelanor1310</v>
      </c>
      <c r="B27294" s="65"/>
    </row>
    <row r="27295" spans="1:2" x14ac:dyDescent="0.25">
      <c r="A27295" s="64" t="str">
        <f>HYPERLINK("http://www.twitter.com/PamKing30027247", "PamKing30027247")</f>
        <v>PamKing30027247</v>
      </c>
      <c r="B27295" s="65" t="s">
        <v>3787</v>
      </c>
    </row>
    <row r="27296" spans="1:2" x14ac:dyDescent="0.25">
      <c r="A27296" s="64" t="str">
        <f>HYPERLINK("http://www.twitter.com/adonafee", "adonafee")</f>
        <v>adonafee</v>
      </c>
      <c r="B27296" s="65"/>
    </row>
    <row r="27297" spans="1:2" x14ac:dyDescent="0.25">
      <c r="A27297" s="64" t="str">
        <f>HYPERLINK("http://www.twitter.com/pedge300", "pedge300")</f>
        <v>pedge300</v>
      </c>
      <c r="B27297" s="65" t="s">
        <v>11573</v>
      </c>
    </row>
    <row r="27298" spans="1:2" x14ac:dyDescent="0.25">
      <c r="A27298" s="64" t="str">
        <f>HYPERLINK("http://www.twitter.com/JohnChapman1450", "JohnChapman1450")</f>
        <v>JohnChapman1450</v>
      </c>
      <c r="B27298" s="65" t="s">
        <v>11574</v>
      </c>
    </row>
    <row r="27299" spans="1:2" x14ac:dyDescent="0.25">
      <c r="A27299" s="64" t="str">
        <f>HYPERLINK("http://www.twitter.com/sadiewb", "sadiewb")</f>
        <v>sadiewb</v>
      </c>
      <c r="B27299" s="65" t="s">
        <v>296</v>
      </c>
    </row>
    <row r="27300" spans="1:2" x14ac:dyDescent="0.25">
      <c r="A27300" s="64" t="str">
        <f>HYPERLINK("http://www.twitter.com/NigelDickin", "NigelDickin")</f>
        <v>NigelDickin</v>
      </c>
      <c r="B27300" s="65"/>
    </row>
    <row r="27301" spans="1:2" x14ac:dyDescent="0.25">
      <c r="A27301" s="64" t="str">
        <f>HYPERLINK("http://www.twitter.com/Ethel5050", "Ethel5050")</f>
        <v>Ethel5050</v>
      </c>
      <c r="B27301" s="65"/>
    </row>
    <row r="27302" spans="1:2" x14ac:dyDescent="0.25">
      <c r="A27302" s="64" t="str">
        <f>HYPERLINK("http://www.twitter.com/Sovpat", "Sovpat")</f>
        <v>Sovpat</v>
      </c>
      <c r="B27302" s="65"/>
    </row>
    <row r="27303" spans="1:2" x14ac:dyDescent="0.25">
      <c r="A27303" s="64" t="str">
        <f>HYPERLINK("http://www.twitter.com/chrisminns", "chrisminns")</f>
        <v>chrisminns</v>
      </c>
      <c r="B27303" s="65" t="s">
        <v>11575</v>
      </c>
    </row>
    <row r="27304" spans="1:2" x14ac:dyDescent="0.25">
      <c r="A27304" s="64" t="str">
        <f>HYPERLINK("http://www.twitter.com/foweygirl", "foweygirl")</f>
        <v>foweygirl</v>
      </c>
      <c r="B27304" s="65" t="s">
        <v>11576</v>
      </c>
    </row>
    <row r="27305" spans="1:2" x14ac:dyDescent="0.25">
      <c r="A27305" s="64" t="str">
        <f>HYPERLINK("http://www.twitter.com/rfkaye6", "rfkaye6")</f>
        <v>rfkaye6</v>
      </c>
      <c r="B27305" s="65" t="s">
        <v>186</v>
      </c>
    </row>
    <row r="27306" spans="1:2" x14ac:dyDescent="0.25">
      <c r="A27306" s="64" t="str">
        <f>HYPERLINK("http://www.twitter.com/LottiePlot9", "LottiePlot9")</f>
        <v>LottiePlot9</v>
      </c>
      <c r="B27306" s="65"/>
    </row>
    <row r="27307" spans="1:2" x14ac:dyDescent="0.25">
      <c r="A27307" s="64" t="str">
        <f>HYPERLINK("http://www.twitter.com/bedfordrowing", "bedfordrowing")</f>
        <v>bedfordrowing</v>
      </c>
      <c r="B27307" s="65" t="s">
        <v>10550</v>
      </c>
    </row>
    <row r="27308" spans="1:2" x14ac:dyDescent="0.25">
      <c r="A27308" s="64" t="str">
        <f>HYPERLINK("http://www.twitter.com/scullinggirl", "scullinggirl")</f>
        <v>scullinggirl</v>
      </c>
      <c r="B27308" s="65"/>
    </row>
    <row r="27309" spans="1:2" x14ac:dyDescent="0.25">
      <c r="A27309" s="64" t="str">
        <f>HYPERLINK("http://www.twitter.com/MrsHolo", "MrsHolo")</f>
        <v>MrsHolo</v>
      </c>
      <c r="B27309" s="65"/>
    </row>
    <row r="27310" spans="1:2" x14ac:dyDescent="0.25">
      <c r="A27310" s="64" t="str">
        <f>HYPERLINK("http://www.twitter.com/ChristmasDavid", "ChristmasDavid")</f>
        <v>ChristmasDavid</v>
      </c>
      <c r="B27310" s="65"/>
    </row>
    <row r="27311" spans="1:2" x14ac:dyDescent="0.25">
      <c r="A27311" s="64" t="str">
        <f>HYPERLINK("http://www.twitter.com/benpick44", "benpick44")</f>
        <v>benpick44</v>
      </c>
      <c r="B27311" s="65" t="s">
        <v>11577</v>
      </c>
    </row>
    <row r="27312" spans="1:2" x14ac:dyDescent="0.25">
      <c r="A27312" s="64" t="str">
        <f>HYPERLINK("http://www.twitter.com/ElinaHyphen", "ElinaHyphen")</f>
        <v>ElinaHyphen</v>
      </c>
      <c r="B27312" s="65" t="s">
        <v>3328</v>
      </c>
    </row>
    <row r="27313" spans="1:2" x14ac:dyDescent="0.25">
      <c r="A27313" s="64" t="str">
        <f>HYPERLINK("http://www.twitter.com/Bromleighs", "Bromleighs")</f>
        <v>Bromleighs</v>
      </c>
      <c r="B27313" s="65" t="s">
        <v>11578</v>
      </c>
    </row>
    <row r="27314" spans="1:2" x14ac:dyDescent="0.25">
      <c r="A27314" s="64" t="str">
        <f>HYPERLINK("http://www.twitter.com/bluetickpending", "bluetickpending")</f>
        <v>bluetickpending</v>
      </c>
      <c r="B27314" s="65" t="s">
        <v>1739</v>
      </c>
    </row>
    <row r="27315" spans="1:2" x14ac:dyDescent="0.25">
      <c r="A27315" s="64" t="str">
        <f>HYPERLINK("http://www.twitter.com/georgh", "georgh")</f>
        <v>georgh</v>
      </c>
      <c r="B27315" s="65" t="s">
        <v>4237</v>
      </c>
    </row>
    <row r="27316" spans="1:2" x14ac:dyDescent="0.25">
      <c r="A27316" s="64" t="str">
        <f>HYPERLINK("http://www.twitter.com/orcadians", "orcadians")</f>
        <v>orcadians</v>
      </c>
      <c r="B27316" s="65" t="s">
        <v>11579</v>
      </c>
    </row>
    <row r="27317" spans="1:2" x14ac:dyDescent="0.25">
      <c r="A27317" s="64" t="str">
        <f>HYPERLINK("http://www.twitter.com/frank_shep", "frank_shep")</f>
        <v>frank_shep</v>
      </c>
      <c r="B27317" s="65" t="s">
        <v>36</v>
      </c>
    </row>
    <row r="27318" spans="1:2" x14ac:dyDescent="0.25">
      <c r="A27318" s="64" t="str">
        <f>HYPERLINK("http://www.twitter.com/billybigbiskits", "billybigbiskits")</f>
        <v>billybigbiskits</v>
      </c>
      <c r="B27318" s="65"/>
    </row>
    <row r="27319" spans="1:2" x14ac:dyDescent="0.25">
      <c r="A27319" s="64" t="str">
        <f>HYPERLINK("http://www.twitter.com/cheehi", "cheehi")</f>
        <v>cheehi</v>
      </c>
      <c r="B27319" s="65"/>
    </row>
    <row r="27320" spans="1:2" x14ac:dyDescent="0.25">
      <c r="A27320" s="64" t="str">
        <f>HYPERLINK("http://www.twitter.com/onceuponashire", "onceuponashire")</f>
        <v>onceuponashire</v>
      </c>
      <c r="B27320" s="65"/>
    </row>
    <row r="27321" spans="1:2" x14ac:dyDescent="0.25">
      <c r="A27321" s="64" t="str">
        <f>HYPERLINK("http://www.twitter.com/John_Hanna", "John_Hanna")</f>
        <v>John_Hanna</v>
      </c>
      <c r="B27321" s="65" t="s">
        <v>11580</v>
      </c>
    </row>
    <row r="27322" spans="1:2" x14ac:dyDescent="0.25">
      <c r="A27322" s="64" t="str">
        <f>HYPERLINK("http://www.twitter.com/beclake", "beclake")</f>
        <v>beclake</v>
      </c>
      <c r="B27322" s="65" t="s">
        <v>3817</v>
      </c>
    </row>
    <row r="27323" spans="1:2" x14ac:dyDescent="0.25">
      <c r="A27323" s="64" t="str">
        <f>HYPERLINK("http://www.twitter.com/lfcrossley", "lfcrossley")</f>
        <v>lfcrossley</v>
      </c>
      <c r="B27323" s="65" t="s">
        <v>11581</v>
      </c>
    </row>
    <row r="27324" spans="1:2" x14ac:dyDescent="0.25">
      <c r="A27324" s="64" t="str">
        <f>HYPERLINK("http://www.twitter.com/999Jaye", "999Jaye")</f>
        <v>999Jaye</v>
      </c>
      <c r="B27324" s="65"/>
    </row>
    <row r="27325" spans="1:2" x14ac:dyDescent="0.25">
      <c r="A27325" s="64" t="str">
        <f>HYPERLINK("http://www.twitter.com/drbeard79", "drbeard79")</f>
        <v>drbeard79</v>
      </c>
      <c r="B27325" s="65" t="s">
        <v>11582</v>
      </c>
    </row>
    <row r="27326" spans="1:2" x14ac:dyDescent="0.25">
      <c r="A27326" s="64" t="str">
        <f>HYPERLINK("http://www.twitter.com/paul___allen", "paul___allen")</f>
        <v>paul___allen</v>
      </c>
      <c r="B27326" s="65" t="s">
        <v>2595</v>
      </c>
    </row>
    <row r="27327" spans="1:2" x14ac:dyDescent="0.25">
      <c r="A27327" s="64" t="str">
        <f>HYPERLINK("http://www.twitter.com/jamiejamesjimmy", "jamiejamesjimmy")</f>
        <v>jamiejamesjimmy</v>
      </c>
      <c r="B27327" s="65" t="s">
        <v>8142</v>
      </c>
    </row>
    <row r="27328" spans="1:2" x14ac:dyDescent="0.25">
      <c r="A27328" s="64" t="str">
        <f>HYPERLINK("http://www.twitter.com/AnneWestern", "AnneWestern")</f>
        <v>AnneWestern</v>
      </c>
      <c r="B27328" s="65" t="s">
        <v>1885</v>
      </c>
    </row>
    <row r="27329" spans="1:2" x14ac:dyDescent="0.25">
      <c r="A27329" s="64" t="str">
        <f>HYPERLINK("http://www.twitter.com/mrtris", "mrtris")</f>
        <v>mrtris</v>
      </c>
      <c r="B27329" s="65" t="s">
        <v>7362</v>
      </c>
    </row>
    <row r="27330" spans="1:2" x14ac:dyDescent="0.25">
      <c r="A27330" s="64" t="str">
        <f>HYPERLINK("http://www.twitter.com/mickeywaffle", "mickeywaffle")</f>
        <v>mickeywaffle</v>
      </c>
      <c r="B27330" s="65"/>
    </row>
    <row r="27331" spans="1:2" x14ac:dyDescent="0.25">
      <c r="A27331" s="64" t="str">
        <f>HYPERLINK("http://www.twitter.com/DLHF", "DLHF")</f>
        <v>DLHF</v>
      </c>
      <c r="B27331" s="65"/>
    </row>
    <row r="27332" spans="1:2" x14ac:dyDescent="0.25">
      <c r="A27332" s="64" t="str">
        <f>HYPERLINK("http://www.twitter.com/batejudy", "batejudy")</f>
        <v>batejudy</v>
      </c>
      <c r="B27332" s="65"/>
    </row>
    <row r="27333" spans="1:2" x14ac:dyDescent="0.25">
      <c r="A27333" s="64" t="str">
        <f>HYPERLINK("http://www.twitter.com/Coyney101", "Coyney101")</f>
        <v>Coyney101</v>
      </c>
      <c r="B27333" s="65" t="s">
        <v>4040</v>
      </c>
    </row>
    <row r="27334" spans="1:2" x14ac:dyDescent="0.25">
      <c r="A27334" s="64" t="str">
        <f>HYPERLINK("http://www.twitter.com/PootBlog", "PootBlog")</f>
        <v>PootBlog</v>
      </c>
      <c r="B27334" s="65" t="s">
        <v>70</v>
      </c>
    </row>
    <row r="27335" spans="1:2" x14ac:dyDescent="0.25">
      <c r="A27335" s="64" t="str">
        <f>HYPERLINK("http://www.twitter.com/bollyrocks", "bollyrocks")</f>
        <v>bollyrocks</v>
      </c>
      <c r="B27335" s="65"/>
    </row>
    <row r="27336" spans="1:2" x14ac:dyDescent="0.25">
      <c r="A27336" s="64" t="str">
        <f>HYPERLINK("http://www.twitter.com/she_ide", "she_ide")</f>
        <v>she_ide</v>
      </c>
      <c r="B27336" s="65" t="s">
        <v>11583</v>
      </c>
    </row>
    <row r="27337" spans="1:2" x14ac:dyDescent="0.25">
      <c r="A27337" s="64" t="str">
        <f>HYPERLINK("http://www.twitter.com/james_smcjames", "james_smcjames")</f>
        <v>james_smcjames</v>
      </c>
      <c r="B27337" s="65"/>
    </row>
    <row r="27338" spans="1:2" x14ac:dyDescent="0.25">
      <c r="A27338" s="64" t="str">
        <f>HYPERLINK("http://www.twitter.com/nigel_jennings", "nigel_jennings")</f>
        <v>nigel_jennings</v>
      </c>
      <c r="B27338" s="65" t="s">
        <v>11584</v>
      </c>
    </row>
    <row r="27339" spans="1:2" x14ac:dyDescent="0.25">
      <c r="A27339" s="64" t="str">
        <f>HYPERLINK("http://www.twitter.com/jenlucy", "jenlucy")</f>
        <v>jenlucy</v>
      </c>
      <c r="B27339" s="65" t="s">
        <v>4062</v>
      </c>
    </row>
    <row r="27340" spans="1:2" x14ac:dyDescent="0.25">
      <c r="A27340" s="64" t="str">
        <f>HYPERLINK("http://www.twitter.com/pj_hillman", "pj_hillman")</f>
        <v>pj_hillman</v>
      </c>
      <c r="B27340" s="65" t="s">
        <v>11585</v>
      </c>
    </row>
    <row r="27341" spans="1:2" x14ac:dyDescent="0.25">
      <c r="A27341" s="64" t="str">
        <f>HYPERLINK("http://www.twitter.com/blakeeligh", "blakeeligh")</f>
        <v>blakeeligh</v>
      </c>
      <c r="B27341" s="65" t="s">
        <v>11586</v>
      </c>
    </row>
    <row r="27342" spans="1:2" x14ac:dyDescent="0.25">
      <c r="A27342" s="64" t="str">
        <f>HYPERLINK("http://www.twitter.com/labbieandlizzie", "labbieandlizzie")</f>
        <v>labbieandlizzie</v>
      </c>
      <c r="B27342" s="65" t="s">
        <v>11587</v>
      </c>
    </row>
    <row r="27343" spans="1:2" x14ac:dyDescent="0.25">
      <c r="A27343" s="64" t="str">
        <f>HYPERLINK("http://www.twitter.com/h2ofizz", "h2ofizz")</f>
        <v>h2ofizz</v>
      </c>
      <c r="B27343" s="65"/>
    </row>
    <row r="27344" spans="1:2" x14ac:dyDescent="0.25">
      <c r="A27344" s="64" t="str">
        <f>HYPERLINK("http://www.twitter.com/mralanmorrison", "mralanmorrison")</f>
        <v>mralanmorrison</v>
      </c>
      <c r="B27344" s="65"/>
    </row>
    <row r="27345" spans="1:2" x14ac:dyDescent="0.25">
      <c r="A27345" s="64" t="str">
        <f>HYPERLINK("http://www.twitter.com/AlastairCarr", "AlastairCarr")</f>
        <v>AlastairCarr</v>
      </c>
      <c r="B27345" s="65" t="s">
        <v>24</v>
      </c>
    </row>
    <row r="27346" spans="1:2" x14ac:dyDescent="0.25">
      <c r="A27346" s="64" t="str">
        <f>HYPERLINK("http://www.twitter.com/Sculptmud", "Sculptmud")</f>
        <v>Sculptmud</v>
      </c>
      <c r="B27346" s="65" t="s">
        <v>11588</v>
      </c>
    </row>
    <row r="27347" spans="1:2" x14ac:dyDescent="0.25">
      <c r="A27347" s="64" t="str">
        <f>HYPERLINK("http://www.twitter.com/katbrown", "katbrown")</f>
        <v>katbrown</v>
      </c>
      <c r="B27347" s="65" t="s">
        <v>11589</v>
      </c>
    </row>
    <row r="27348" spans="1:2" x14ac:dyDescent="0.25">
      <c r="A27348" s="64" t="str">
        <f>HYPERLINK("http://www.twitter.com/bookshopdulwich", "bookshopdulwich")</f>
        <v>bookshopdulwich</v>
      </c>
      <c r="B27348" s="65" t="s">
        <v>11590</v>
      </c>
    </row>
    <row r="27349" spans="1:2" x14ac:dyDescent="0.25">
      <c r="A27349" s="64" t="str">
        <f>HYPERLINK("http://www.twitter.com/DevilStateDan", "DevilStateDan")</f>
        <v>DevilStateDan</v>
      </c>
      <c r="B27349" s="65" t="s">
        <v>11591</v>
      </c>
    </row>
    <row r="27350" spans="1:2" x14ac:dyDescent="0.25">
      <c r="A27350" s="64" t="str">
        <f>HYPERLINK("http://www.twitter.com/geraintsays", "geraintsays")</f>
        <v>geraintsays</v>
      </c>
      <c r="B27350" s="65" t="s">
        <v>11592</v>
      </c>
    </row>
    <row r="27351" spans="1:2" x14ac:dyDescent="0.25">
      <c r="A27351" s="64" t="str">
        <f>HYPERLINK("http://www.twitter.com/james_kennaugh", "james_kennaugh")</f>
        <v>james_kennaugh</v>
      </c>
      <c r="B27351" s="65" t="s">
        <v>5366</v>
      </c>
    </row>
    <row r="27352" spans="1:2" x14ac:dyDescent="0.25">
      <c r="A27352" s="64" t="str">
        <f>HYPERLINK("http://www.twitter.com/kahoakes", "kahoakes")</f>
        <v>kahoakes</v>
      </c>
      <c r="B27352" s="65" t="s">
        <v>11593</v>
      </c>
    </row>
    <row r="27353" spans="1:2" x14ac:dyDescent="0.25">
      <c r="A27353" s="64" t="str">
        <f>HYPERLINK("http://www.twitter.com/thisislander", "thisislander")</f>
        <v>thisislander</v>
      </c>
      <c r="B27353" s="65" t="s">
        <v>11594</v>
      </c>
    </row>
    <row r="27354" spans="1:2" x14ac:dyDescent="0.25">
      <c r="A27354" s="64" t="str">
        <f>HYPERLINK("http://www.twitter.com/N5Neil", "N5Neil")</f>
        <v>N5Neil</v>
      </c>
      <c r="B27354" s="65" t="s">
        <v>11595</v>
      </c>
    </row>
    <row r="27355" spans="1:2" x14ac:dyDescent="0.25">
      <c r="A27355" s="64" t="str">
        <f>HYPERLINK("http://www.twitter.com/hlp", "hlp")</f>
        <v>hlp</v>
      </c>
      <c r="B27355" s="65" t="s">
        <v>477</v>
      </c>
    </row>
    <row r="27356" spans="1:2" x14ac:dyDescent="0.25">
      <c r="A27356" s="64" t="str">
        <f>HYPERLINK("http://www.twitter.com/emzybubbles", "emzybubbles")</f>
        <v>emzybubbles</v>
      </c>
      <c r="B27356" s="65" t="s">
        <v>24</v>
      </c>
    </row>
    <row r="27357" spans="1:2" x14ac:dyDescent="0.25">
      <c r="A27357" s="64" t="str">
        <f>HYPERLINK("http://www.twitter.com/machinesoul2", "machinesoul2")</f>
        <v>machinesoul2</v>
      </c>
      <c r="B27357" s="65" t="s">
        <v>11596</v>
      </c>
    </row>
    <row r="27358" spans="1:2" x14ac:dyDescent="0.25">
      <c r="A27358" s="64" t="str">
        <f>HYPERLINK("http://www.twitter.com/gluggins", "gluggins")</f>
        <v>gluggins</v>
      </c>
      <c r="B27358" s="65" t="s">
        <v>11597</v>
      </c>
    </row>
    <row r="27359" spans="1:2" x14ac:dyDescent="0.25">
      <c r="A27359" s="64" t="str">
        <f>HYPERLINK("http://www.twitter.com/twattermafia", "twattermafia")</f>
        <v>twattermafia</v>
      </c>
      <c r="B27359" s="65"/>
    </row>
    <row r="27360" spans="1:2" x14ac:dyDescent="0.25">
      <c r="A27360" s="64" t="str">
        <f>HYPERLINK("http://www.twitter.com/silvercitylibs", "silvercitylibs")</f>
        <v>silvercitylibs</v>
      </c>
      <c r="B27360" s="65" t="s">
        <v>569</v>
      </c>
    </row>
    <row r="27361" spans="1:2" x14ac:dyDescent="0.25">
      <c r="A27361" s="64" t="str">
        <f>HYPERLINK("http://www.twitter.com/walkleylibrary", "walkleylibrary")</f>
        <v>walkleylibrary</v>
      </c>
      <c r="B27361" s="65" t="s">
        <v>1493</v>
      </c>
    </row>
    <row r="27362" spans="1:2" x14ac:dyDescent="0.25">
      <c r="A27362" s="64" t="str">
        <f>HYPERLINK("http://www.twitter.com/NHSAAALibrary", "NHSAAALibrary")</f>
        <v>NHSAAALibrary</v>
      </c>
      <c r="B27362" s="65" t="s">
        <v>2232</v>
      </c>
    </row>
    <row r="27363" spans="1:2" x14ac:dyDescent="0.25">
      <c r="A27363" s="64" t="str">
        <f>HYPERLINK("http://www.twitter.com/shetlandnight", "shetlandnight")</f>
        <v>shetlandnight</v>
      </c>
      <c r="B27363" s="65" t="s">
        <v>4716</v>
      </c>
    </row>
    <row r="27364" spans="1:2" x14ac:dyDescent="0.25">
      <c r="A27364" s="64" t="str">
        <f>HYPERLINK("http://www.twitter.com/juliemckirdy", "juliemckirdy")</f>
        <v>juliemckirdy</v>
      </c>
      <c r="B27364" s="65"/>
    </row>
    <row r="27365" spans="1:2" x14ac:dyDescent="0.25">
      <c r="A27365" s="64" t="str">
        <f>HYPERLINK("http://www.twitter.com/Susan_Felger", "Susan_Felger")</f>
        <v>Susan_Felger</v>
      </c>
      <c r="B27365" s="65" t="s">
        <v>11598</v>
      </c>
    </row>
    <row r="27366" spans="1:2" x14ac:dyDescent="0.25">
      <c r="A27366" s="64" t="str">
        <f>HYPERLINK("http://www.twitter.com/kitchenerorkney", "kitchenerorkney")</f>
        <v>kitchenerorkney</v>
      </c>
      <c r="B27366" s="65" t="s">
        <v>20</v>
      </c>
    </row>
    <row r="27367" spans="1:2" x14ac:dyDescent="0.25">
      <c r="A27367" s="64" t="str">
        <f>HYPERLINK("http://www.twitter.com/SchLibrarianUK", "SchLibrarianUK")</f>
        <v>SchLibrarianUK</v>
      </c>
      <c r="B27367" s="65"/>
    </row>
    <row r="27368" spans="1:2" x14ac:dyDescent="0.25">
      <c r="A27368" s="64" t="str">
        <f>HYPERLINK("http://www.twitter.com/Discard21", "Discard21")</f>
        <v>Discard21</v>
      </c>
      <c r="B27368" s="65" t="s">
        <v>11599</v>
      </c>
    </row>
    <row r="27369" spans="1:2" x14ac:dyDescent="0.25">
      <c r="A27369" s="64" t="str">
        <f>HYPERLINK("http://www.twitter.com/TVAlisonGraham", "TVAlisonGraham")</f>
        <v>TVAlisonGraham</v>
      </c>
      <c r="B27369" s="65" t="s">
        <v>36</v>
      </c>
    </row>
    <row r="27370" spans="1:2" x14ac:dyDescent="0.25">
      <c r="A27370" s="64" t="str">
        <f>HYPERLINK("http://www.twitter.com/NicolasGrenier", "NicolasGrenier")</f>
        <v>NicolasGrenier</v>
      </c>
      <c r="B27370" s="65"/>
    </row>
    <row r="27371" spans="1:2" x14ac:dyDescent="0.25">
      <c r="A27371" s="64" t="str">
        <f>HYPERLINK("http://www.twitter.com/_islandsmart_", "_islandsmart_")</f>
        <v>_islandsmart_</v>
      </c>
      <c r="B27371" s="65" t="s">
        <v>5824</v>
      </c>
    </row>
    <row r="27372" spans="1:2" x14ac:dyDescent="0.25">
      <c r="A27372" s="64" t="str">
        <f>HYPERLINK("http://www.twitter.com/HartleyBev", "HartleyBev")</f>
        <v>HartleyBev</v>
      </c>
      <c r="B27372" s="65"/>
    </row>
    <row r="27373" spans="1:2" x14ac:dyDescent="0.25">
      <c r="A27373" s="64" t="str">
        <f>HYPERLINK("http://www.twitter.com/DryburghL", "DryburghL")</f>
        <v>DryburghL</v>
      </c>
      <c r="B27373" s="65"/>
    </row>
    <row r="27374" spans="1:2" x14ac:dyDescent="0.25">
      <c r="A27374" s="64" t="str">
        <f>HYPERLINK("http://www.twitter.com/MBGovArchives", "MBGovArchives")</f>
        <v>MBGovArchives</v>
      </c>
      <c r="B27374" s="65"/>
    </row>
    <row r="27375" spans="1:2" x14ac:dyDescent="0.25">
      <c r="A27375" s="64" t="str">
        <f>HYPERLINK("http://www.twitter.com/AncestryRoutes", "AncestryRoutes")</f>
        <v>AncestryRoutes</v>
      </c>
      <c r="B27375" s="65" t="s">
        <v>6288</v>
      </c>
    </row>
    <row r="27376" spans="1:2" x14ac:dyDescent="0.25">
      <c r="A27376" s="64" t="str">
        <f>HYPERLINK("http://www.twitter.com/AnnaCWinters", "AnnaCWinters")</f>
        <v>AnnaCWinters</v>
      </c>
      <c r="B27376" s="65" t="s">
        <v>24</v>
      </c>
    </row>
    <row r="27377" spans="1:2" x14ac:dyDescent="0.25">
      <c r="A27377" s="64" t="str">
        <f>HYPERLINK("http://www.twitter.com/anneleslie05", "anneleslie05")</f>
        <v>anneleslie05</v>
      </c>
      <c r="B27377" s="65"/>
    </row>
    <row r="27378" spans="1:2" x14ac:dyDescent="0.25">
      <c r="A27378" s="64" t="str">
        <f>HYPERLINK("http://www.twitter.com/juliewerks", "juliewerks")</f>
        <v>juliewerks</v>
      </c>
      <c r="B27378" s="65"/>
    </row>
    <row r="27379" spans="1:2" x14ac:dyDescent="0.25">
      <c r="A27379" s="64" t="str">
        <f>HYPERLINK("http://www.twitter.com/orknithology", "orknithology")</f>
        <v>orknithology</v>
      </c>
      <c r="B27379" s="65" t="s">
        <v>11600</v>
      </c>
    </row>
    <row r="27380" spans="1:2" x14ac:dyDescent="0.25">
      <c r="A27380" s="64" t="str">
        <f>HYPERLINK("http://www.twitter.com/NicolaRestoreDM", "NicolaRestoreDM")</f>
        <v>NicolaRestoreDM</v>
      </c>
      <c r="B27380" s="65" t="s">
        <v>11601</v>
      </c>
    </row>
    <row r="27381" spans="1:2" x14ac:dyDescent="0.25">
      <c r="A27381" s="64" t="str">
        <f>HYPERLINK("http://www.twitter.com/charitycareersc", "charitycareersc")</f>
        <v>charitycareersc</v>
      </c>
      <c r="B27381" s="65" t="s">
        <v>3875</v>
      </c>
    </row>
    <row r="27382" spans="1:2" x14ac:dyDescent="0.25">
      <c r="A27382" s="64" t="str">
        <f>HYPERLINK("http://www.twitter.com/AutoDocsUK", "AutoDocsUK")</f>
        <v>AutoDocsUK</v>
      </c>
      <c r="B27382" s="65" t="s">
        <v>11602</v>
      </c>
    </row>
    <row r="27383" spans="1:2" x14ac:dyDescent="0.25">
      <c r="A27383" s="64" t="str">
        <f>HYPERLINK("http://www.twitter.com/McIsaacSally", "McIsaacSally")</f>
        <v>McIsaacSally</v>
      </c>
      <c r="B27383" s="65"/>
    </row>
    <row r="27384" spans="1:2" x14ac:dyDescent="0.25">
      <c r="A27384" s="64" t="str">
        <f>HYPERLINK("http://www.twitter.com/EU_SSSA", "EU_SSSA")</f>
        <v>EU_SSSA</v>
      </c>
      <c r="B27384" s="65"/>
    </row>
    <row r="27385" spans="1:2" x14ac:dyDescent="0.25">
      <c r="A27385" s="64" t="str">
        <f>HYPERLINK("http://www.twitter.com/askluzme", "askluzme")</f>
        <v>askluzme</v>
      </c>
      <c r="B27385" s="65"/>
    </row>
    <row r="27386" spans="1:2" x14ac:dyDescent="0.25">
      <c r="A27386" s="64" t="str">
        <f>HYPERLINK("http://www.twitter.com/normalyall", "normalyall")</f>
        <v>normalyall</v>
      </c>
      <c r="B27386" s="65" t="s">
        <v>4352</v>
      </c>
    </row>
    <row r="27387" spans="1:2" x14ac:dyDescent="0.25">
      <c r="A27387" s="64" t="str">
        <f>HYPERLINK("http://www.twitter.com/katrinafee", "katrinafee")</f>
        <v>katrinafee</v>
      </c>
      <c r="B27387" s="65"/>
    </row>
    <row r="27388" spans="1:2" x14ac:dyDescent="0.25">
      <c r="A27388" s="64" t="str">
        <f>HYPERLINK("http://www.twitter.com/AlexBrightsmith", "AlexBrightsmith")</f>
        <v>AlexBrightsmith</v>
      </c>
      <c r="B27388" s="65" t="s">
        <v>2030</v>
      </c>
    </row>
    <row r="27389" spans="1:2" x14ac:dyDescent="0.25">
      <c r="A27389" s="64" t="str">
        <f>HYPERLINK("http://www.twitter.com/lizscottwilson", "lizscottwilson")</f>
        <v>lizscottwilson</v>
      </c>
      <c r="B27389" s="65" t="s">
        <v>520</v>
      </c>
    </row>
    <row r="27390" spans="1:2" x14ac:dyDescent="0.25">
      <c r="A27390" s="64" t="str">
        <f>HYPERLINK("http://www.twitter.com/BL_BenS", "BL_BenS")</f>
        <v>BL_BenS</v>
      </c>
      <c r="B27390" s="65" t="s">
        <v>11603</v>
      </c>
    </row>
    <row r="27391" spans="1:2" x14ac:dyDescent="0.25">
      <c r="A27391" s="64" t="str">
        <f>HYPERLINK("http://www.twitter.com/InaudibleMumble", "InaudibleMumble")</f>
        <v>InaudibleMumble</v>
      </c>
      <c r="B27391" s="65"/>
    </row>
    <row r="27392" spans="1:2" x14ac:dyDescent="0.25">
      <c r="A27392" s="64" t="str">
        <f>HYPERLINK("http://www.twitter.com/GeorginaWhite91", "GeorginaWhite91")</f>
        <v>GeorginaWhite91</v>
      </c>
      <c r="B27392" s="65"/>
    </row>
    <row r="27393" spans="1:2" x14ac:dyDescent="0.25">
      <c r="A27393" s="64" t="str">
        <f>HYPERLINK("http://www.twitter.com/debedee", "debedee")</f>
        <v>debedee</v>
      </c>
      <c r="B27393" s="65" t="s">
        <v>11604</v>
      </c>
    </row>
    <row r="27394" spans="1:2" x14ac:dyDescent="0.25">
      <c r="A27394" s="64" t="str">
        <f>HYPERLINK("http://www.twitter.com/marilyngilc", "marilyngilc")</f>
        <v>marilyngilc</v>
      </c>
      <c r="B27394" s="65" t="s">
        <v>11605</v>
      </c>
    </row>
    <row r="27395" spans="1:2" x14ac:dyDescent="0.25">
      <c r="A27395" s="64" t="str">
        <f>HYPERLINK("http://www.twitter.com/CitizensOnline1", "CitizensOnline1")</f>
        <v>CitizensOnline1</v>
      </c>
      <c r="B27395" s="65"/>
    </row>
    <row r="27396" spans="1:2" x14ac:dyDescent="0.25">
      <c r="A27396" s="64" t="str">
        <f>HYPERLINK("http://www.twitter.com/orkneyfood", "orkneyfood")</f>
        <v>orkneyfood</v>
      </c>
      <c r="B27396" s="65" t="s">
        <v>5824</v>
      </c>
    </row>
    <row r="27397" spans="1:2" x14ac:dyDescent="0.25">
      <c r="A27397" s="64" t="str">
        <f>HYPERLINK("http://www.twitter.com/GemmaSouthern", "GemmaSouthern")</f>
        <v>GemmaSouthern</v>
      </c>
      <c r="B27397" s="65"/>
    </row>
    <row r="27398" spans="1:2" x14ac:dyDescent="0.25">
      <c r="A27398" s="64" t="str">
        <f>HYPERLINK("http://www.twitter.com/laura_jms", "laura_jms")</f>
        <v>laura_jms</v>
      </c>
      <c r="B27398" s="65"/>
    </row>
    <row r="27399" spans="1:2" x14ac:dyDescent="0.25">
      <c r="A27399" s="64" t="str">
        <f>HYPERLINK("http://www.twitter.com/zdavidson2", "zdavidson2")</f>
        <v>zdavidson2</v>
      </c>
      <c r="B27399" s="65" t="s">
        <v>20</v>
      </c>
    </row>
    <row r="27400" spans="1:2" x14ac:dyDescent="0.25">
      <c r="A27400" s="64" t="str">
        <f>HYPERLINK("http://www.twitter.com/walkerabroad", "walkerabroad")</f>
        <v>walkerabroad</v>
      </c>
      <c r="B27400" s="65" t="s">
        <v>4062</v>
      </c>
    </row>
    <row r="27401" spans="1:2" x14ac:dyDescent="0.25">
      <c r="A27401" s="64" t="str">
        <f>HYPERLINK("http://www.twitter.com/digiblurk", "digiblurk")</f>
        <v>digiblurk</v>
      </c>
      <c r="B27401" s="65" t="s">
        <v>361</v>
      </c>
    </row>
    <row r="27402" spans="1:2" x14ac:dyDescent="0.25">
      <c r="A27402" s="64" t="str">
        <f>HYPERLINK("http://www.twitter.com/OpinionsSic", "OpinionsSic")</f>
        <v>OpinionsSic</v>
      </c>
      <c r="B27402" s="65"/>
    </row>
    <row r="27403" spans="1:2" x14ac:dyDescent="0.25">
      <c r="A27403" s="64" t="str">
        <f>HYPERLINK("http://www.twitter.com/DJstewartwho", "DJstewartwho")</f>
        <v>DJstewartwho</v>
      </c>
      <c r="B27403" s="65" t="s">
        <v>36</v>
      </c>
    </row>
    <row r="27404" spans="1:2" x14ac:dyDescent="0.25">
      <c r="A27404" s="64" t="str">
        <f>HYPERLINK("http://www.twitter.com/orkneybunny", "orkneybunny")</f>
        <v>orkneybunny</v>
      </c>
      <c r="B27404" s="65"/>
    </row>
    <row r="27405" spans="1:2" x14ac:dyDescent="0.25">
      <c r="A27405" s="64" t="str">
        <f>HYPERLINK("http://www.twitter.com/BrilliantScot", "BrilliantScot")</f>
        <v>BrilliantScot</v>
      </c>
      <c r="B27405" s="65" t="s">
        <v>138</v>
      </c>
    </row>
    <row r="27406" spans="1:2" x14ac:dyDescent="0.25">
      <c r="A27406" s="64" t="str">
        <f>HYPERLINK("http://www.twitter.com/Peter__Murray", "Peter__Murray")</f>
        <v>Peter__Murray</v>
      </c>
      <c r="B27406" s="65" t="s">
        <v>33</v>
      </c>
    </row>
    <row r="27407" spans="1:2" x14ac:dyDescent="0.25">
      <c r="A27407" s="64" t="str">
        <f>HYPERLINK("http://www.twitter.com/SABCMediaLib", "SABCMediaLib")</f>
        <v>SABCMediaLib</v>
      </c>
      <c r="B27407" s="65" t="s">
        <v>11606</v>
      </c>
    </row>
    <row r="27408" spans="1:2" x14ac:dyDescent="0.25">
      <c r="A27408" s="64" t="str">
        <f>HYPERLINK("http://www.twitter.com/OnkelGobber", "OnkelGobber")</f>
        <v>OnkelGobber</v>
      </c>
      <c r="B27408" s="65" t="s">
        <v>24</v>
      </c>
    </row>
    <row r="27409" spans="1:2" x14ac:dyDescent="0.25">
      <c r="A27409" s="64" t="str">
        <f>HYPERLINK("http://www.twitter.com/MadeInScotKIDS", "MadeInScotKIDS")</f>
        <v>MadeInScotKIDS</v>
      </c>
      <c r="B27409" s="65" t="s">
        <v>11607</v>
      </c>
    </row>
    <row r="27410" spans="1:2" x14ac:dyDescent="0.25">
      <c r="A27410" s="64" t="str">
        <f>HYPERLINK("http://www.twitter.com/eurekamuseum", "eurekamuseum")</f>
        <v>eurekamuseum</v>
      </c>
      <c r="B27410" s="65" t="s">
        <v>11608</v>
      </c>
    </row>
    <row r="27411" spans="1:2" x14ac:dyDescent="0.25">
      <c r="A27411" s="64" t="str">
        <f>HYPERLINK("http://www.twitter.com/DigCW2014", "DigCW2014")</f>
        <v>DigCW2014</v>
      </c>
      <c r="B27411" s="65" t="s">
        <v>11609</v>
      </c>
    </row>
    <row r="27412" spans="1:2" x14ac:dyDescent="0.25">
      <c r="A27412" s="64" t="str">
        <f>HYPERLINK("http://www.twitter.com/MMacKenzieSNP", "MMacKenzieSNP")</f>
        <v>MMacKenzieSNP</v>
      </c>
      <c r="B27412" s="65"/>
    </row>
    <row r="27413" spans="1:2" x14ac:dyDescent="0.25">
      <c r="A27413" s="64" t="str">
        <f>HYPERLINK("http://www.twitter.com/MakkaLakka", "MakkaLakka")</f>
        <v>MakkaLakka</v>
      </c>
      <c r="B27413" s="65"/>
    </row>
    <row r="27414" spans="1:2" x14ac:dyDescent="0.25">
      <c r="A27414" s="64" t="str">
        <f>HYPERLINK("http://www.twitter.com/music2mince2", "music2mince2")</f>
        <v>music2mince2</v>
      </c>
      <c r="B27414" s="65" t="s">
        <v>11610</v>
      </c>
    </row>
    <row r="27415" spans="1:2" x14ac:dyDescent="0.25">
      <c r="A27415" s="64" t="str">
        <f>HYPERLINK("http://www.twitter.com/miss_harcus", "miss_harcus")</f>
        <v>miss_harcus</v>
      </c>
      <c r="B27415" s="65" t="s">
        <v>4519</v>
      </c>
    </row>
    <row r="27416" spans="1:2" x14ac:dyDescent="0.25">
      <c r="A27416" s="64" t="str">
        <f>HYPERLINK("http://www.twitter.com/TOSHIBA44", "TOSHIBA44")</f>
        <v>TOSHIBA44</v>
      </c>
      <c r="B27416" s="65" t="s">
        <v>477</v>
      </c>
    </row>
    <row r="27417" spans="1:2" x14ac:dyDescent="0.25">
      <c r="A27417" s="64" t="str">
        <f>HYPERLINK("http://www.twitter.com/rainbow150155", "rainbow150155")</f>
        <v>rainbow150155</v>
      </c>
      <c r="B27417" s="65" t="s">
        <v>11611</v>
      </c>
    </row>
    <row r="27418" spans="1:2" x14ac:dyDescent="0.25">
      <c r="A27418" s="64" t="str">
        <f>HYPERLINK("http://www.twitter.com/StrictlyDaisy", "StrictlyDaisy")</f>
        <v>StrictlyDaisy</v>
      </c>
      <c r="B27418" s="65"/>
    </row>
    <row r="27419" spans="1:2" x14ac:dyDescent="0.25">
      <c r="A27419" s="64" t="str">
        <f>HYPERLINK("http://www.twitter.com/HaverhilLibrary", "HaverhilLibrary")</f>
        <v>HaverhilLibrary</v>
      </c>
      <c r="B27419" s="65" t="s">
        <v>1706</v>
      </c>
    </row>
    <row r="27420" spans="1:2" x14ac:dyDescent="0.25">
      <c r="A27420" s="64" t="str">
        <f>HYPERLINK("http://www.twitter.com/bookbonobo", "bookbonobo")</f>
        <v>bookbonobo</v>
      </c>
      <c r="B27420" s="65"/>
    </row>
    <row r="27421" spans="1:2" x14ac:dyDescent="0.25">
      <c r="A27421" s="64" t="str">
        <f>HYPERLINK("http://www.twitter.com/LoveTherapi", "LoveTherapi")</f>
        <v>LoveTherapi</v>
      </c>
      <c r="B27421" s="65" t="s">
        <v>11612</v>
      </c>
    </row>
    <row r="27422" spans="1:2" x14ac:dyDescent="0.25">
      <c r="A27422" s="64" t="str">
        <f>HYPERLINK("http://www.twitter.com/LMcRory", "LMcRory")</f>
        <v>LMcRory</v>
      </c>
      <c r="B27422" s="65"/>
    </row>
    <row r="27423" spans="1:2" x14ac:dyDescent="0.25">
      <c r="A27423" s="64" t="str">
        <f>HYPERLINK("http://www.twitter.com/lisalovesbooksx", "lisalovesbooksx")</f>
        <v>lisalovesbooksx</v>
      </c>
      <c r="B27423" s="65" t="s">
        <v>122</v>
      </c>
    </row>
    <row r="27424" spans="1:2" x14ac:dyDescent="0.25">
      <c r="A27424" s="64" t="str">
        <f>HYPERLINK("http://www.twitter.com/CILIPSTayside", "CILIPSTayside")</f>
        <v>CILIPSTayside</v>
      </c>
      <c r="B27424" s="65" t="s">
        <v>11613</v>
      </c>
    </row>
    <row r="27425" spans="1:2" x14ac:dyDescent="0.25">
      <c r="A27425" s="64" t="str">
        <f>HYPERLINK("http://www.twitter.com/MhMcCall", "MhMcCall")</f>
        <v>MhMcCall</v>
      </c>
      <c r="B27425" s="65" t="s">
        <v>569</v>
      </c>
    </row>
    <row r="27426" spans="1:2" x14ac:dyDescent="0.25">
      <c r="A27426" s="64" t="str">
        <f>HYPERLINK("http://www.twitter.com/bouvetisle", "bouvetisle")</f>
        <v>bouvetisle</v>
      </c>
      <c r="B27426" s="65" t="s">
        <v>318</v>
      </c>
    </row>
    <row r="27427" spans="1:2" x14ac:dyDescent="0.25">
      <c r="A27427" s="64" t="str">
        <f>HYPERLINK("http://www.twitter.com/gemmavoicecoach", "gemmavoicecoach")</f>
        <v>gemmavoicecoach</v>
      </c>
      <c r="B27427" s="65"/>
    </row>
    <row r="27428" spans="1:2" x14ac:dyDescent="0.25">
      <c r="A27428" s="64" t="str">
        <f>HYPERLINK("http://www.twitter.com/LVLUPxp", "LVLUPxp")</f>
        <v>LVLUPxp</v>
      </c>
      <c r="B27428" s="65"/>
    </row>
    <row r="27429" spans="1:2" x14ac:dyDescent="0.25">
      <c r="A27429" s="64" t="str">
        <f>HYPERLINK("http://www.twitter.com/alexhodby", "alexhodby")</f>
        <v>alexhodby</v>
      </c>
      <c r="B27429" s="65" t="s">
        <v>5339</v>
      </c>
    </row>
    <row r="27430" spans="1:2" x14ac:dyDescent="0.25">
      <c r="A27430" s="64" t="str">
        <f>HYPERLINK("http://www.twitter.com/ItalianHeart82", "ItalianHeart82")</f>
        <v>ItalianHeart82</v>
      </c>
      <c r="B27430" s="65" t="s">
        <v>4394</v>
      </c>
    </row>
    <row r="27431" spans="1:2" x14ac:dyDescent="0.25">
      <c r="A27431" s="64" t="str">
        <f>HYPERLINK("http://www.twitter.com/TheTimesBooks", "TheTimesBooks")</f>
        <v>TheTimesBooks</v>
      </c>
      <c r="B27431" s="65" t="s">
        <v>36</v>
      </c>
    </row>
    <row r="27432" spans="1:2" x14ac:dyDescent="0.25">
      <c r="A27432" s="64" t="str">
        <f>HYPERLINK("http://www.twitter.com/kathoakley", "kathoakley")</f>
        <v>kathoakley</v>
      </c>
      <c r="B27432" s="65" t="s">
        <v>11614</v>
      </c>
    </row>
    <row r="27433" spans="1:2" x14ac:dyDescent="0.25">
      <c r="A27433" s="64" t="str">
        <f>HYPERLINK("http://www.twitter.com/dourgirl", "dourgirl")</f>
        <v>dourgirl</v>
      </c>
      <c r="B27433" s="65" t="s">
        <v>11615</v>
      </c>
    </row>
    <row r="27434" spans="1:2" x14ac:dyDescent="0.25">
      <c r="A27434" s="64" t="str">
        <f>HYPERLINK("http://www.twitter.com/rainforatime", "rainforatime")</f>
        <v>rainforatime</v>
      </c>
      <c r="B27434" s="65" t="s">
        <v>5398</v>
      </c>
    </row>
    <row r="27435" spans="1:2" x14ac:dyDescent="0.25">
      <c r="A27435" s="64" t="str">
        <f>HYPERLINK("http://www.twitter.com/thesundaypeople", "thesundaypeople")</f>
        <v>thesundaypeople</v>
      </c>
      <c r="B27435" s="65" t="s">
        <v>36</v>
      </c>
    </row>
    <row r="27436" spans="1:2" x14ac:dyDescent="0.25">
      <c r="A27436" s="64" t="str">
        <f>HYPERLINK("http://www.twitter.com/crasssongs", "crasssongs")</f>
        <v>crasssongs</v>
      </c>
      <c r="B27436" s="65" t="s">
        <v>4716</v>
      </c>
    </row>
    <row r="27437" spans="1:2" x14ac:dyDescent="0.25">
      <c r="A27437" s="64" t="str">
        <f>HYPERLINK("http://www.twitter.com/janeatpow", "janeatpow")</f>
        <v>janeatpow</v>
      </c>
      <c r="B27437" s="65"/>
    </row>
    <row r="27438" spans="1:2" x14ac:dyDescent="0.25">
      <c r="A27438" s="64" t="str">
        <f>HYPERLINK("http://www.twitter.com/thegreatbear", "thegreatbear")</f>
        <v>thegreatbear</v>
      </c>
      <c r="B27438" s="65" t="s">
        <v>315</v>
      </c>
    </row>
    <row r="27439" spans="1:2" x14ac:dyDescent="0.25">
      <c r="A27439" s="64" t="str">
        <f>HYPERLINK("http://www.twitter.com/ClaireWalker5", "ClaireWalker5")</f>
        <v>ClaireWalker5</v>
      </c>
      <c r="B27439" s="65"/>
    </row>
    <row r="27440" spans="1:2" x14ac:dyDescent="0.25">
      <c r="A27440" s="64" t="str">
        <f>HYPERLINK("http://www.twitter.com/RUKmarine", "RUKmarine")</f>
        <v>RUKmarine</v>
      </c>
      <c r="B27440" s="65"/>
    </row>
    <row r="27441" spans="1:2" x14ac:dyDescent="0.25">
      <c r="A27441" s="64" t="str">
        <f>HYPERLINK("http://www.twitter.com/cabrogan2012", "cabrogan2012")</f>
        <v>cabrogan2012</v>
      </c>
      <c r="B27441" s="65" t="s">
        <v>714</v>
      </c>
    </row>
    <row r="27442" spans="1:2" x14ac:dyDescent="0.25">
      <c r="A27442" s="64" t="str">
        <f>HYPERLINK("http://www.twitter.com/DrAllenFoster", "DrAllenFoster")</f>
        <v>DrAllenFoster</v>
      </c>
      <c r="B27442" s="65" t="s">
        <v>11616</v>
      </c>
    </row>
    <row r="27443" spans="1:2" x14ac:dyDescent="0.25">
      <c r="A27443" s="64" t="str">
        <f>HYPERLINK("http://www.twitter.com/OrkneySeabirds", "OrkneySeabirds")</f>
        <v>OrkneySeabirds</v>
      </c>
      <c r="B27443" s="65" t="s">
        <v>20</v>
      </c>
    </row>
    <row r="27444" spans="1:2" x14ac:dyDescent="0.25">
      <c r="A27444" s="64" t="str">
        <f>HYPERLINK("http://www.twitter.com/MobergAke", "MobergAke")</f>
        <v>MobergAke</v>
      </c>
      <c r="B27444" s="65"/>
    </row>
    <row r="27445" spans="1:2" x14ac:dyDescent="0.25">
      <c r="A27445" s="64" t="str">
        <f>HYPERLINK("http://www.twitter.com/SarahJMann", "SarahJMann")</f>
        <v>SarahJMann</v>
      </c>
      <c r="B27445" s="65" t="s">
        <v>12</v>
      </c>
    </row>
    <row r="27446" spans="1:2" x14ac:dyDescent="0.25">
      <c r="A27446" s="64" t="str">
        <f>HYPERLINK("http://www.twitter.com/fiona_wyse", "fiona_wyse")</f>
        <v>fiona_wyse</v>
      </c>
      <c r="B27446" s="65" t="s">
        <v>11617</v>
      </c>
    </row>
    <row r="27447" spans="1:2" x14ac:dyDescent="0.25">
      <c r="A27447" s="64" t="str">
        <f>HYPERLINK("http://www.twitter.com/DawnBastable", "DawnBastable")</f>
        <v>DawnBastable</v>
      </c>
      <c r="B27447" s="65"/>
    </row>
    <row r="27448" spans="1:2" x14ac:dyDescent="0.25">
      <c r="A27448" s="64" t="str">
        <f>HYPERLINK("http://www.twitter.com/M_kerr1", "M_kerr1")</f>
        <v>M_kerr1</v>
      </c>
      <c r="B27448" s="65" t="s">
        <v>4050</v>
      </c>
    </row>
    <row r="27449" spans="1:2" x14ac:dyDescent="0.25">
      <c r="A27449" s="64" t="str">
        <f>HYPERLINK("http://www.twitter.com/WorldLibraryDes", "WorldLibraryDes")</f>
        <v>WorldLibraryDes</v>
      </c>
      <c r="B27449" s="65"/>
    </row>
    <row r="27450" spans="1:2" x14ac:dyDescent="0.25">
      <c r="A27450" s="64" t="str">
        <f>HYPERLINK("http://www.twitter.com/Krustyb1", "Krustyb1")</f>
        <v>Krustyb1</v>
      </c>
      <c r="B27450" s="65" t="s">
        <v>11618</v>
      </c>
    </row>
    <row r="27451" spans="1:2" x14ac:dyDescent="0.25">
      <c r="A27451" s="64" t="str">
        <f>HYPERLINK("http://www.twitter.com/UHI_Literature", "UHI_Literature")</f>
        <v>UHI_Literature</v>
      </c>
      <c r="B27451" s="65" t="s">
        <v>11619</v>
      </c>
    </row>
    <row r="27452" spans="1:2" x14ac:dyDescent="0.25">
      <c r="A27452" s="64" t="str">
        <f>HYPERLINK("http://www.twitter.com/debievans7", "debievans7")</f>
        <v>debievans7</v>
      </c>
      <c r="B27452" s="65" t="s">
        <v>11620</v>
      </c>
    </row>
    <row r="27453" spans="1:2" x14ac:dyDescent="0.25">
      <c r="A27453" s="64" t="str">
        <f>HYPERLINK("http://www.twitter.com/a_karin_p", "a_karin_p")</f>
        <v>a_karin_p</v>
      </c>
      <c r="B27453" s="65"/>
    </row>
    <row r="27454" spans="1:2" x14ac:dyDescent="0.25">
      <c r="A27454" s="64" t="str">
        <f>HYPERLINK("http://www.twitter.com/librijess", "librijess")</f>
        <v>librijess</v>
      </c>
      <c r="B27454" s="65" t="s">
        <v>11621</v>
      </c>
    </row>
    <row r="27455" spans="1:2" x14ac:dyDescent="0.25">
      <c r="A27455" s="64" t="str">
        <f>HYPERLINK("http://www.twitter.com/Cara62442", "Cara62442")</f>
        <v>Cara62442</v>
      </c>
      <c r="B27455" s="65" t="s">
        <v>24</v>
      </c>
    </row>
    <row r="27456" spans="1:2" x14ac:dyDescent="0.25">
      <c r="A27456" s="64" t="str">
        <f>HYPERLINK("http://www.twitter.com/sheilasnetwork", "sheilasnetwork")</f>
        <v>sheilasnetwork</v>
      </c>
      <c r="B27456" s="65" t="s">
        <v>70</v>
      </c>
    </row>
    <row r="27457" spans="1:2" x14ac:dyDescent="0.25">
      <c r="A27457" s="64" t="str">
        <f>HYPERLINK("http://www.twitter.com/AlwenaHM", "AlwenaHM")</f>
        <v>AlwenaHM</v>
      </c>
      <c r="B27457" s="65" t="s">
        <v>7062</v>
      </c>
    </row>
    <row r="27458" spans="1:2" x14ac:dyDescent="0.25">
      <c r="A27458" s="64" t="str">
        <f>HYPERLINK("http://www.twitter.com/jeffner186", "jeffner186")</f>
        <v>jeffner186</v>
      </c>
      <c r="B27458" s="65" t="s">
        <v>11622</v>
      </c>
    </row>
    <row r="27459" spans="1:2" x14ac:dyDescent="0.25">
      <c r="A27459" s="64" t="str">
        <f>HYPERLINK("http://www.twitter.com/CazMamwell", "CazMamwell")</f>
        <v>CazMamwell</v>
      </c>
      <c r="B27459" s="65"/>
    </row>
    <row r="27460" spans="1:2" x14ac:dyDescent="0.25">
      <c r="A27460" s="64" t="str">
        <f>HYPERLINK("http://www.twitter.com/moniackmhor", "moniackmhor")</f>
        <v>moniackmhor</v>
      </c>
      <c r="B27460" s="65" t="s">
        <v>11623</v>
      </c>
    </row>
    <row r="27461" spans="1:2" x14ac:dyDescent="0.25">
      <c r="A27461" s="64" t="str">
        <f>HYPERLINK("http://www.twitter.com/WelshAcadPress", "WelshAcadPress")</f>
        <v>WelshAcadPress</v>
      </c>
      <c r="B27461" s="65" t="s">
        <v>11624</v>
      </c>
    </row>
    <row r="27462" spans="1:2" x14ac:dyDescent="0.25">
      <c r="A27462" s="64" t="str">
        <f>HYPERLINK("http://www.twitter.com/LisaMHirst", "LisaMHirst")</f>
        <v>LisaMHirst</v>
      </c>
      <c r="B27462" s="65" t="s">
        <v>871</v>
      </c>
    </row>
    <row r="27463" spans="1:2" x14ac:dyDescent="0.25">
      <c r="A27463" s="64" t="str">
        <f>HYPERLINK("http://www.twitter.com/clare_2709", "clare_2709")</f>
        <v>clare_2709</v>
      </c>
      <c r="B27463" s="65"/>
    </row>
    <row r="27464" spans="1:2" x14ac:dyDescent="0.25">
      <c r="A27464" s="64" t="str">
        <f>HYPERLINK("http://www.twitter.com/TyMeister", "TyMeister")</f>
        <v>TyMeister</v>
      </c>
      <c r="B27464" s="65" t="s">
        <v>11625</v>
      </c>
    </row>
    <row r="27465" spans="1:2" x14ac:dyDescent="0.25">
      <c r="A27465" s="64" t="str">
        <f>HYPERLINK("http://www.twitter.com/DesmondTully", "DesmondTully")</f>
        <v>DesmondTully</v>
      </c>
      <c r="B27465" s="65" t="s">
        <v>11626</v>
      </c>
    </row>
    <row r="27466" spans="1:2" x14ac:dyDescent="0.25">
      <c r="A27466" s="64" t="str">
        <f>HYPERLINK("http://www.twitter.com/BonnieNursie", "BonnieNursie")</f>
        <v>BonnieNursie</v>
      </c>
      <c r="B27466" s="65" t="s">
        <v>4324</v>
      </c>
    </row>
    <row r="27467" spans="1:2" x14ac:dyDescent="0.25">
      <c r="A27467" s="64" t="str">
        <f>HYPERLINK("http://www.twitter.com/OMR_Orkney", "OMR_Orkney")</f>
        <v>OMR_Orkney</v>
      </c>
      <c r="B27467" s="65"/>
    </row>
    <row r="27468" spans="1:2" x14ac:dyDescent="0.25">
      <c r="A27468" s="64" t="str">
        <f>HYPERLINK("http://www.twitter.com/RLepage17", "RLepage17")</f>
        <v>RLepage17</v>
      </c>
      <c r="B27468" s="65"/>
    </row>
    <row r="27469" spans="1:2" x14ac:dyDescent="0.25">
      <c r="A27469" s="64" t="str">
        <f>HYPERLINK("http://www.twitter.com/LilacLibrarian", "LilacLibrarian")</f>
        <v>LilacLibrarian</v>
      </c>
      <c r="B27469" s="65" t="s">
        <v>1422</v>
      </c>
    </row>
    <row r="27470" spans="1:2" x14ac:dyDescent="0.25">
      <c r="A27470" s="64" t="str">
        <f>HYPERLINK("http://www.twitter.com/PollyCHamilton", "PollyCHamilton")</f>
        <v>PollyCHamilton</v>
      </c>
      <c r="B27470" s="65" t="s">
        <v>1698</v>
      </c>
    </row>
    <row r="27471" spans="1:2" x14ac:dyDescent="0.25">
      <c r="A27471" s="64" t="str">
        <f>HYPERLINK("http://www.twitter.com/JelsiDallas", "JelsiDallas")</f>
        <v>JelsiDallas</v>
      </c>
      <c r="B27471" s="65" t="s">
        <v>3988</v>
      </c>
    </row>
    <row r="27472" spans="1:2" x14ac:dyDescent="0.25">
      <c r="A27472" s="64" t="str">
        <f>HYPERLINK("http://www.twitter.com/UHILitSociety", "UHILitSociety")</f>
        <v>UHILitSociety</v>
      </c>
      <c r="B27472" s="65" t="s">
        <v>4672</v>
      </c>
    </row>
    <row r="27473" spans="1:2" x14ac:dyDescent="0.25">
      <c r="A27473" s="64" t="str">
        <f>HYPERLINK("http://www.twitter.com/iangblair", "iangblair")</f>
        <v>iangblair</v>
      </c>
      <c r="B27473" s="65"/>
    </row>
    <row r="27474" spans="1:2" x14ac:dyDescent="0.25">
      <c r="A27474" s="64" t="str">
        <f>HYPERLINK("http://www.twitter.com/CMossWriter", "CMossWriter")</f>
        <v>CMossWriter</v>
      </c>
      <c r="B27474" s="65"/>
    </row>
    <row r="27475" spans="1:2" x14ac:dyDescent="0.25">
      <c r="A27475" s="64" t="str">
        <f>HYPERLINK("http://www.twitter.com/HamertonSally", "HamertonSally")</f>
        <v>HamertonSally</v>
      </c>
      <c r="B27475" s="65"/>
    </row>
    <row r="27476" spans="1:2" x14ac:dyDescent="0.25">
      <c r="A27476" s="64" t="str">
        <f>HYPERLINK("http://www.twitter.com/MissHWHL", "MissHWHL")</f>
        <v>MissHWHL</v>
      </c>
      <c r="B27476" s="65" t="s">
        <v>487</v>
      </c>
    </row>
    <row r="27477" spans="1:2" x14ac:dyDescent="0.25">
      <c r="A27477" s="64" t="str">
        <f>HYPERLINK("http://www.twitter.com/Warrington_RA", "Warrington_RA")</f>
        <v>Warrington_RA</v>
      </c>
      <c r="B27477" s="65" t="s">
        <v>11627</v>
      </c>
    </row>
    <row r="27478" spans="1:2" x14ac:dyDescent="0.25">
      <c r="A27478" s="64" t="str">
        <f>HYPERLINK("http://www.twitter.com/JonathanPyke", "JonathanPyke")</f>
        <v>JonathanPyke</v>
      </c>
      <c r="B27478" s="65" t="s">
        <v>12</v>
      </c>
    </row>
    <row r="27479" spans="1:2" x14ac:dyDescent="0.25">
      <c r="A27479" s="64" t="str">
        <f>HYPERLINK("http://www.twitter.com/aileenlibrarian", "aileenlibrarian")</f>
        <v>aileenlibrarian</v>
      </c>
      <c r="B27479" s="65"/>
    </row>
    <row r="27480" spans="1:2" x14ac:dyDescent="0.25">
      <c r="A27480" s="64" t="str">
        <f>HYPERLINK("http://www.twitter.com/readermrs", "readermrs")</f>
        <v>readermrs</v>
      </c>
      <c r="B27480" s="65"/>
    </row>
    <row r="27481" spans="1:2" x14ac:dyDescent="0.25">
      <c r="A27481" s="64" t="str">
        <f>HYPERLINK("http://www.twitter.com/Leglesszebra", "Leglesszebra")</f>
        <v>Leglesszebra</v>
      </c>
      <c r="B27481" s="65" t="s">
        <v>11628</v>
      </c>
    </row>
    <row r="27482" spans="1:2" x14ac:dyDescent="0.25">
      <c r="A27482" s="64" t="str">
        <f>HYPERLINK("http://www.twitter.com/PhillyD6", "PhillyD6")</f>
        <v>PhillyD6</v>
      </c>
      <c r="B27482" s="65" t="s">
        <v>4519</v>
      </c>
    </row>
    <row r="27483" spans="1:2" x14ac:dyDescent="0.25">
      <c r="A27483" s="64" t="str">
        <f>HYPERLINK("http://www.twitter.com/KidsBooksToday", "KidsBooksToday")</f>
        <v>KidsBooksToday</v>
      </c>
      <c r="B27483" s="65"/>
    </row>
    <row r="27484" spans="1:2" x14ac:dyDescent="0.25">
      <c r="A27484" s="64" t="str">
        <f>HYPERLINK("http://www.twitter.com/HClementi17", "HClementi17")</f>
        <v>HClementi17</v>
      </c>
      <c r="B27484" s="65"/>
    </row>
    <row r="27485" spans="1:2" x14ac:dyDescent="0.25">
      <c r="A27485" s="64" t="str">
        <f>HYPERLINK("http://www.twitter.com/MissionOrkney", "MissionOrkney")</f>
        <v>MissionOrkney</v>
      </c>
      <c r="B27485" s="65" t="s">
        <v>4519</v>
      </c>
    </row>
    <row r="27486" spans="1:2" x14ac:dyDescent="0.25">
      <c r="A27486" s="64" t="str">
        <f>HYPERLINK("http://www.twitter.com/dcadey", "dcadey")</f>
        <v>dcadey</v>
      </c>
      <c r="B27486" s="65" t="s">
        <v>11629</v>
      </c>
    </row>
    <row r="27487" spans="1:2" x14ac:dyDescent="0.25">
      <c r="A27487" s="64" t="str">
        <f>HYPERLINK("http://www.twitter.com/RonFerguson1881", "RonFerguson1881")</f>
        <v>RonFerguson1881</v>
      </c>
      <c r="B27487" s="65" t="s">
        <v>11630</v>
      </c>
    </row>
    <row r="27488" spans="1:2" x14ac:dyDescent="0.25">
      <c r="A27488" s="64" t="str">
        <f>HYPERLINK("http://www.twitter.com/SJMitch377", "SJMitch377")</f>
        <v>SJMitch377</v>
      </c>
      <c r="B27488" s="65"/>
    </row>
    <row r="27489" spans="1:2" x14ac:dyDescent="0.25">
      <c r="A27489" s="64" t="str">
        <f>HYPERLINK("http://www.twitter.com/jennylinford", "jennylinford")</f>
        <v>jennylinford</v>
      </c>
      <c r="B27489" s="65" t="s">
        <v>36</v>
      </c>
    </row>
    <row r="27490" spans="1:2" x14ac:dyDescent="0.25">
      <c r="A27490" s="64" t="str">
        <f>HYPERLINK("http://www.twitter.com/ypeopleorkney", "ypeopleorkney")</f>
        <v>ypeopleorkney</v>
      </c>
      <c r="B27490" s="65" t="s">
        <v>5412</v>
      </c>
    </row>
    <row r="27491" spans="1:2" x14ac:dyDescent="0.25">
      <c r="A27491" s="64" t="str">
        <f>HYPERLINK("http://www.twitter.com/susievw", "susievw")</f>
        <v>susievw</v>
      </c>
      <c r="B27491" s="65"/>
    </row>
    <row r="27492" spans="1:2" x14ac:dyDescent="0.25">
      <c r="A27492" s="64" t="str">
        <f>HYPERLINK("http://www.twitter.com/belliemdesigns", "belliemdesigns")</f>
        <v>belliemdesigns</v>
      </c>
      <c r="B27492" s="65" t="s">
        <v>11631</v>
      </c>
    </row>
    <row r="27493" spans="1:2" x14ac:dyDescent="0.25">
      <c r="A27493" s="64" t="str">
        <f>HYPERLINK("http://www.twitter.com/menstruant", "menstruant")</f>
        <v>menstruant</v>
      </c>
      <c r="B27493" s="65" t="s">
        <v>477</v>
      </c>
    </row>
    <row r="27494" spans="1:2" x14ac:dyDescent="0.25">
      <c r="A27494" s="64" t="str">
        <f>HYPERLINK("http://www.twitter.com/KristinaHaigh", "KristinaHaigh")</f>
        <v>KristinaHaigh</v>
      </c>
      <c r="B27494" s="65" t="s">
        <v>296</v>
      </c>
    </row>
    <row r="27495" spans="1:2" x14ac:dyDescent="0.25">
      <c r="A27495" s="64" t="str">
        <f>HYPERLINK("http://www.twitter.com/3red23", "3red23")</f>
        <v>3red23</v>
      </c>
      <c r="B27495" s="65"/>
    </row>
    <row r="27496" spans="1:2" x14ac:dyDescent="0.25">
      <c r="A27496" s="64" t="str">
        <f>HYPERLINK("http://www.twitter.com/suzybeth", "suzybeth")</f>
        <v>suzybeth</v>
      </c>
      <c r="B27496" s="65" t="s">
        <v>11632</v>
      </c>
    </row>
    <row r="27497" spans="1:2" x14ac:dyDescent="0.25">
      <c r="A27497" s="64" t="str">
        <f>HYPERLINK("http://www.twitter.com/perrin124", "perrin124")</f>
        <v>perrin124</v>
      </c>
      <c r="B27497" s="65" t="s">
        <v>11633</v>
      </c>
    </row>
    <row r="27498" spans="1:2" x14ac:dyDescent="0.25">
      <c r="A27498" s="64" t="str">
        <f>HYPERLINK("http://www.twitter.com/switch_wolves", "switch_wolves")</f>
        <v>switch_wolves</v>
      </c>
      <c r="B27498" s="65" t="s">
        <v>11634</v>
      </c>
    </row>
    <row r="27499" spans="1:2" x14ac:dyDescent="0.25">
      <c r="A27499" s="64" t="str">
        <f>HYPERLINK("http://www.twitter.com/langteach16", "langteach16")</f>
        <v>langteach16</v>
      </c>
      <c r="B27499" s="65"/>
    </row>
    <row r="27500" spans="1:2" x14ac:dyDescent="0.25">
      <c r="A27500" s="64" t="str">
        <f>HYPERLINK("http://www.twitter.com/dianatremayne", "dianatremayne")</f>
        <v>dianatremayne</v>
      </c>
      <c r="B27500" s="65" t="s">
        <v>11635</v>
      </c>
    </row>
    <row r="27501" spans="1:2" x14ac:dyDescent="0.25">
      <c r="A27501" s="64" t="str">
        <f>HYPERLINK("http://www.twitter.com/nangakat2", "nangakat2")</f>
        <v>nangakat2</v>
      </c>
      <c r="B27501" s="65"/>
    </row>
    <row r="27502" spans="1:2" x14ac:dyDescent="0.25">
      <c r="A27502" s="64" t="str">
        <f>HYPERLINK("http://www.twitter.com/KirstyWilson99", "KirstyWilson99")</f>
        <v>KirstyWilson99</v>
      </c>
      <c r="B27502" s="65"/>
    </row>
    <row r="27503" spans="1:2" x14ac:dyDescent="0.25">
      <c r="A27503" s="64" t="str">
        <f>HYPERLINK("http://www.twitter.com/tig14", "tig14")</f>
        <v>tig14</v>
      </c>
      <c r="B27503" s="65" t="s">
        <v>11636</v>
      </c>
    </row>
    <row r="27504" spans="1:2" x14ac:dyDescent="0.25">
      <c r="A27504" s="64" t="str">
        <f>HYPERLINK("http://www.twitter.com/funky_penguin", "funky_penguin")</f>
        <v>funky_penguin</v>
      </c>
      <c r="B27504" s="65" t="s">
        <v>11637</v>
      </c>
    </row>
    <row r="27505" spans="1:2" x14ac:dyDescent="0.25">
      <c r="A27505" s="64" t="str">
        <f>HYPERLINK("http://www.twitter.com/SeeFarEnough", "SeeFarEnough")</f>
        <v>SeeFarEnough</v>
      </c>
      <c r="B27505" s="65" t="s">
        <v>318</v>
      </c>
    </row>
    <row r="27506" spans="1:2" x14ac:dyDescent="0.25">
      <c r="A27506" s="64" t="str">
        <f>HYPERLINK("http://www.twitter.com/MsBowjangles", "MsBowjangles")</f>
        <v>MsBowjangles</v>
      </c>
      <c r="B27506" s="65" t="s">
        <v>11638</v>
      </c>
    </row>
    <row r="27507" spans="1:2" x14ac:dyDescent="0.25">
      <c r="A27507" s="64" t="str">
        <f>HYPERLINK("http://www.twitter.com/leithlate", "leithlate")</f>
        <v>leithlate</v>
      </c>
      <c r="B27507" s="65" t="s">
        <v>11639</v>
      </c>
    </row>
    <row r="27508" spans="1:2" x14ac:dyDescent="0.25">
      <c r="A27508" s="64" t="str">
        <f>HYPERLINK("http://www.twitter.com/MadeleineFeeny", "MadeleineFeeny")</f>
        <v>MadeleineFeeny</v>
      </c>
      <c r="B27508" s="65"/>
    </row>
    <row r="27509" spans="1:2" x14ac:dyDescent="0.25">
      <c r="A27509" s="64" t="str">
        <f>HYPERLINK("http://www.twitter.com/tombennett71", "tombennett71")</f>
        <v>tombennett71</v>
      </c>
      <c r="B27509" s="65" t="s">
        <v>36</v>
      </c>
    </row>
    <row r="27510" spans="1:2" x14ac:dyDescent="0.25">
      <c r="A27510" s="64" t="str">
        <f>HYPERLINK("http://www.twitter.com/janjonesauthor", "janjonesauthor")</f>
        <v>janjonesauthor</v>
      </c>
      <c r="B27510" s="65" t="s">
        <v>11640</v>
      </c>
    </row>
    <row r="27511" spans="1:2" x14ac:dyDescent="0.25">
      <c r="A27511" s="64" t="str">
        <f>HYPERLINK("http://www.twitter.com/H_E_Sarah", "H_E_Sarah")</f>
        <v>H_E_Sarah</v>
      </c>
      <c r="B27511" s="65" t="s">
        <v>11641</v>
      </c>
    </row>
    <row r="27512" spans="1:2" x14ac:dyDescent="0.25">
      <c r="A27512" s="64" t="str">
        <f>HYPERLINK("http://www.twitter.com/tonygurney", "tonygurney")</f>
        <v>tonygurney</v>
      </c>
      <c r="B27512" s="65" t="s">
        <v>11642</v>
      </c>
    </row>
    <row r="27513" spans="1:2" x14ac:dyDescent="0.25">
      <c r="A27513" s="64" t="str">
        <f>HYPERLINK("http://www.twitter.com/flemingsean", "flemingsean")</f>
        <v>flemingsean</v>
      </c>
      <c r="B27513" s="65" t="s">
        <v>11643</v>
      </c>
    </row>
    <row r="27514" spans="1:2" x14ac:dyDescent="0.25">
      <c r="A27514" s="64" t="str">
        <f>HYPERLINK("http://www.twitter.com/Emily_Gale1", "Emily_Gale1")</f>
        <v>Emily_Gale1</v>
      </c>
      <c r="B27514" s="65" t="s">
        <v>36</v>
      </c>
    </row>
    <row r="27515" spans="1:2" x14ac:dyDescent="0.25">
      <c r="A27515" s="64" t="str">
        <f>HYPERLINK("http://www.twitter.com/MsAnjaE", "MsAnjaE")</f>
        <v>MsAnjaE</v>
      </c>
      <c r="B27515" s="65" t="s">
        <v>24</v>
      </c>
    </row>
    <row r="27516" spans="1:2" x14ac:dyDescent="0.25">
      <c r="A27516" s="64" t="str">
        <f>HYPERLINK("http://www.twitter.com/thelovelymrfred", "thelovelymrfred")</f>
        <v>thelovelymrfred</v>
      </c>
      <c r="B27516" s="65" t="s">
        <v>36</v>
      </c>
    </row>
    <row r="27517" spans="1:2" x14ac:dyDescent="0.25">
      <c r="A27517" s="64" t="str">
        <f>HYPERLINK("http://www.twitter.com/KeepCalmFannyOn", "KeepCalmFannyOn")</f>
        <v>KeepCalmFannyOn</v>
      </c>
      <c r="B27517" s="65" t="s">
        <v>24</v>
      </c>
    </row>
    <row r="27518" spans="1:2" x14ac:dyDescent="0.25">
      <c r="A27518" s="64" t="str">
        <f>HYPERLINK("http://www.twitter.com/OKLibrarian", "OKLibrarian")</f>
        <v>OKLibrarian</v>
      </c>
      <c r="B27518" s="65" t="s">
        <v>4695</v>
      </c>
    </row>
    <row r="27519" spans="1:2" x14ac:dyDescent="0.25">
      <c r="A27519" s="64" t="str">
        <f>HYPERLINK("http://www.twitter.com/JennyP_Carnegie", "JennyP_Carnegie")</f>
        <v>JennyP_Carnegie</v>
      </c>
      <c r="B27519" s="65"/>
    </row>
    <row r="27520" spans="1:2" x14ac:dyDescent="0.25">
      <c r="A27520" s="64" t="str">
        <f>HYPERLINK("http://www.twitter.com/CILIP_YH", "CILIP_YH")</f>
        <v>CILIP_YH</v>
      </c>
      <c r="B27520" s="65" t="s">
        <v>11644</v>
      </c>
    </row>
    <row r="27521" spans="1:2" x14ac:dyDescent="0.25">
      <c r="A27521" s="64" t="str">
        <f>HYPERLINK("http://www.twitter.com/stevemcilhatton", "stevemcilhatton")</f>
        <v>stevemcilhatton</v>
      </c>
      <c r="B27521" s="65" t="s">
        <v>11645</v>
      </c>
    </row>
    <row r="27522" spans="1:2" x14ac:dyDescent="0.25">
      <c r="A27522" s="64" t="str">
        <f>HYPERLINK("http://www.twitter.com/DeepZepSnakes", "DeepZepSnakes")</f>
        <v>DeepZepSnakes</v>
      </c>
      <c r="B27522" s="65" t="s">
        <v>6939</v>
      </c>
    </row>
    <row r="27523" spans="1:2" x14ac:dyDescent="0.25">
      <c r="A27523" s="64" t="str">
        <f>HYPERLINK("http://www.twitter.com/DovecotStudios", "DovecotStudios")</f>
        <v>DovecotStudios</v>
      </c>
      <c r="B27523" s="65" t="s">
        <v>24</v>
      </c>
    </row>
    <row r="27524" spans="1:2" x14ac:dyDescent="0.25">
      <c r="A27524" s="64" t="str">
        <f>HYPERLINK("http://www.twitter.com/Mrs_Dav", "Mrs_Dav")</f>
        <v>Mrs_Dav</v>
      </c>
      <c r="B27524" s="65" t="s">
        <v>3317</v>
      </c>
    </row>
    <row r="27525" spans="1:2" x14ac:dyDescent="0.25">
      <c r="A27525" s="64" t="str">
        <f>HYPERLINK("http://www.twitter.com/infoscot", "infoscot")</f>
        <v>infoscot</v>
      </c>
      <c r="B27525" s="65" t="s">
        <v>4969</v>
      </c>
    </row>
    <row r="27526" spans="1:2" x14ac:dyDescent="0.25">
      <c r="A27526" s="64" t="str">
        <f>HYPERLINK("http://www.twitter.com/YaleBooks", "YaleBooks")</f>
        <v>YaleBooks</v>
      </c>
      <c r="B27526" s="65" t="s">
        <v>36</v>
      </c>
    </row>
    <row r="27527" spans="1:2" x14ac:dyDescent="0.25">
      <c r="A27527" s="64" t="str">
        <f>HYPERLINK("http://www.twitter.com/CityCollegeLRC", "CityCollegeLRC")</f>
        <v>CityCollegeLRC</v>
      </c>
      <c r="B27527" s="65" t="s">
        <v>11646</v>
      </c>
    </row>
    <row r="27528" spans="1:2" x14ac:dyDescent="0.25">
      <c r="A27528" s="64" t="str">
        <f>HYPERLINK("http://www.twitter.com/Alison_Downey", "Alison_Downey")</f>
        <v>Alison_Downey</v>
      </c>
      <c r="B27528" s="65"/>
    </row>
    <row r="27529" spans="1:2" x14ac:dyDescent="0.25">
      <c r="A27529" s="64" t="str">
        <f>HYPERLINK("http://www.twitter.com/alltorquevenom", "alltorquevenom")</f>
        <v>alltorquevenom</v>
      </c>
      <c r="B27529" s="65"/>
    </row>
    <row r="27530" spans="1:2" x14ac:dyDescent="0.25">
      <c r="A27530" s="64" t="str">
        <f>HYPERLINK("http://www.twitter.com/2ndwitch", "2ndwitch")</f>
        <v>2ndwitch</v>
      </c>
      <c r="B27530" s="65"/>
    </row>
    <row r="27531" spans="1:2" x14ac:dyDescent="0.25">
      <c r="A27531" s="64" t="str">
        <f>HYPERLINK("http://www.twitter.com/thelea1", "thelea1")</f>
        <v>thelea1</v>
      </c>
      <c r="B27531" s="65" t="s">
        <v>4152</v>
      </c>
    </row>
    <row r="27532" spans="1:2" x14ac:dyDescent="0.25">
      <c r="A27532" s="64" t="str">
        <f>HYPERLINK("http://www.twitter.com/JamesMacivor", "JamesMacivor")</f>
        <v>JamesMacivor</v>
      </c>
      <c r="B27532" s="65" t="s">
        <v>4092</v>
      </c>
    </row>
    <row r="27533" spans="1:2" x14ac:dyDescent="0.25">
      <c r="A27533" s="64" t="str">
        <f>HYPERLINK("http://www.twitter.com/drivertraining2", "drivertraining2")</f>
        <v>drivertraining2</v>
      </c>
      <c r="B27533" s="65" t="s">
        <v>11647</v>
      </c>
    </row>
    <row r="27534" spans="1:2" x14ac:dyDescent="0.25">
      <c r="A27534" s="64" t="str">
        <f>HYPERLINK("http://www.twitter.com/simon_younger", "simon_younger")</f>
        <v>simon_younger</v>
      </c>
      <c r="B27534" s="65" t="s">
        <v>36</v>
      </c>
    </row>
    <row r="27535" spans="1:2" x14ac:dyDescent="0.25">
      <c r="A27535" s="64" t="str">
        <f>HYPERLINK("http://www.twitter.com/smithm31", "smithm31")</f>
        <v>smithm31</v>
      </c>
      <c r="B27535" s="65" t="s">
        <v>5423</v>
      </c>
    </row>
    <row r="27536" spans="1:2" x14ac:dyDescent="0.25">
      <c r="A27536" s="64" t="str">
        <f>HYPERLINK("http://www.twitter.com/densiexx", "densiexx")</f>
        <v>densiexx</v>
      </c>
      <c r="B27536" s="65" t="s">
        <v>1417</v>
      </c>
    </row>
    <row r="27537" spans="1:2" x14ac:dyDescent="0.25">
      <c r="A27537" s="64" t="str">
        <f>HYPERLINK("http://www.twitter.com/nora_eats", "nora_eats")</f>
        <v>nora_eats</v>
      </c>
      <c r="B27537" s="65" t="s">
        <v>11648</v>
      </c>
    </row>
    <row r="27538" spans="1:2" x14ac:dyDescent="0.25">
      <c r="A27538" s="64" t="str">
        <f>HYPERLINK("http://www.twitter.com/caraghmolloy", "caraghmolloy")</f>
        <v>caraghmolloy</v>
      </c>
      <c r="B27538" s="65"/>
    </row>
    <row r="27539" spans="1:2" x14ac:dyDescent="0.25">
      <c r="A27539" s="64" t="str">
        <f>HYPERLINK("http://www.twitter.com/elliewry", "elliewry")</f>
        <v>elliewry</v>
      </c>
      <c r="B27539" s="65"/>
    </row>
    <row r="27540" spans="1:2" x14ac:dyDescent="0.25">
      <c r="A27540" s="64" t="str">
        <f>HYPERLINK("http://www.twitter.com/quothgareth", "quothgareth")</f>
        <v>quothgareth</v>
      </c>
      <c r="B27540" s="65" t="s">
        <v>11649</v>
      </c>
    </row>
    <row r="27541" spans="1:2" x14ac:dyDescent="0.25">
      <c r="A27541" s="64" t="str">
        <f>HYPERLINK("http://www.twitter.com/LosSchreiberei", "LosSchreiberei")</f>
        <v>LosSchreiberei</v>
      </c>
      <c r="B27541" s="65" t="s">
        <v>11650</v>
      </c>
    </row>
    <row r="27542" spans="1:2" x14ac:dyDescent="0.25">
      <c r="A27542" s="64" t="str">
        <f>HYPERLINK("http://www.twitter.com/LizzieCowan", "LizzieCowan")</f>
        <v>LizzieCowan</v>
      </c>
      <c r="B27542" s="65"/>
    </row>
    <row r="27543" spans="1:2" x14ac:dyDescent="0.25">
      <c r="A27543" s="64" t="str">
        <f>HYPERLINK("http://www.twitter.com/Scots_Diaspora", "Scots_Diaspora")</f>
        <v>Scots_Diaspora</v>
      </c>
      <c r="B27543" s="65" t="s">
        <v>11651</v>
      </c>
    </row>
    <row r="27544" spans="1:2" x14ac:dyDescent="0.25">
      <c r="A27544" s="64" t="str">
        <f>HYPERLINK("http://www.twitter.com/HattieK", "HattieK")</f>
        <v>HattieK</v>
      </c>
      <c r="B27544" s="65" t="s">
        <v>138</v>
      </c>
    </row>
    <row r="27545" spans="1:2" x14ac:dyDescent="0.25">
      <c r="A27545" s="64" t="str">
        <f>HYPERLINK("http://www.twitter.com/ScotRuralAction", "ScotRuralAction")</f>
        <v>ScotRuralAction</v>
      </c>
      <c r="B27545" s="65"/>
    </row>
    <row r="27546" spans="1:2" x14ac:dyDescent="0.25">
      <c r="A27546" s="64" t="str">
        <f>HYPERLINK("http://www.twitter.com/GordonBarr", "GordonBarr")</f>
        <v>GordonBarr</v>
      </c>
      <c r="B27546" s="65" t="s">
        <v>11652</v>
      </c>
    </row>
    <row r="27547" spans="1:2" x14ac:dyDescent="0.25">
      <c r="A27547" s="64" t="str">
        <f>HYPERLINK("http://www.twitter.com/IamSusieMiller", "IamSusieMiller")</f>
        <v>IamSusieMiller</v>
      </c>
      <c r="B27547" s="65" t="s">
        <v>517</v>
      </c>
    </row>
    <row r="27548" spans="1:2" x14ac:dyDescent="0.25">
      <c r="A27548" s="64" t="str">
        <f>HYPERLINK("http://www.twitter.com/eleanor_zissou", "eleanor_zissou")</f>
        <v>eleanor_zissou</v>
      </c>
      <c r="B27548" s="65" t="s">
        <v>180</v>
      </c>
    </row>
    <row r="27549" spans="1:2" x14ac:dyDescent="0.25">
      <c r="A27549" s="64" t="str">
        <f>HYPERLINK("http://www.twitter.com/suburbanhermit", "suburbanhermit")</f>
        <v>suburbanhermit</v>
      </c>
      <c r="B27549" s="65"/>
    </row>
    <row r="27550" spans="1:2" x14ac:dyDescent="0.25">
      <c r="A27550" s="64" t="str">
        <f>HYPERLINK("http://www.twitter.com/Alsirkett", "Alsirkett")</f>
        <v>Alsirkett</v>
      </c>
      <c r="B27550" s="65" t="s">
        <v>36</v>
      </c>
    </row>
    <row r="27551" spans="1:2" x14ac:dyDescent="0.25">
      <c r="A27551" s="64" t="str">
        <f>HYPERLINK("http://www.twitter.com/JenB116", "JenB116")</f>
        <v>JenB116</v>
      </c>
      <c r="B27551" s="65" t="s">
        <v>3677</v>
      </c>
    </row>
    <row r="27552" spans="1:2" x14ac:dyDescent="0.25">
      <c r="A27552" s="64" t="str">
        <f>HYPERLINK("http://www.twitter.com/martinlarbey", "martinlarbey")</f>
        <v>martinlarbey</v>
      </c>
      <c r="B27552" s="65" t="s">
        <v>4171</v>
      </c>
    </row>
    <row r="27553" spans="1:2" x14ac:dyDescent="0.25">
      <c r="A27553" s="64" t="str">
        <f>HYPERLINK("http://www.twitter.com/micgoffin", "micgoffin")</f>
        <v>micgoffin</v>
      </c>
      <c r="B27553" s="65" t="s">
        <v>8994</v>
      </c>
    </row>
    <row r="27554" spans="1:2" x14ac:dyDescent="0.25">
      <c r="A27554" s="64" t="str">
        <f>HYPERLINK("http://www.twitter.com/AnnikaHobbs", "AnnikaHobbs")</f>
        <v>AnnikaHobbs</v>
      </c>
      <c r="B27554" s="65" t="s">
        <v>273</v>
      </c>
    </row>
    <row r="27555" spans="1:2" x14ac:dyDescent="0.25">
      <c r="A27555" s="64" t="str">
        <f>HYPERLINK("http://www.twitter.com/RhKiGr", "RhKiGr")</f>
        <v>RhKiGr</v>
      </c>
      <c r="B27555" s="65" t="s">
        <v>232</v>
      </c>
    </row>
    <row r="27556" spans="1:2" x14ac:dyDescent="0.25">
      <c r="A27556" s="64" t="str">
        <f>HYPERLINK("http://www.twitter.com/daseymour", "daseymour")</f>
        <v>daseymour</v>
      </c>
      <c r="B27556" s="65" t="s">
        <v>11653</v>
      </c>
    </row>
    <row r="27557" spans="1:2" x14ac:dyDescent="0.25">
      <c r="A27557" s="64" t="str">
        <f>HYPERLINK("http://www.twitter.com/Leahapplepie", "Leahapplepie")</f>
        <v>Leahapplepie</v>
      </c>
      <c r="B27557" s="65" t="s">
        <v>11654</v>
      </c>
    </row>
    <row r="27558" spans="1:2" x14ac:dyDescent="0.25">
      <c r="A27558" s="64" t="str">
        <f>HYPERLINK("http://www.twitter.com/annaenderlein", "annaenderlein")</f>
        <v>annaenderlein</v>
      </c>
      <c r="B27558" s="65" t="s">
        <v>5210</v>
      </c>
    </row>
    <row r="27559" spans="1:2" x14ac:dyDescent="0.25">
      <c r="A27559" s="64" t="str">
        <f>HYPERLINK("http://www.twitter.com/Allie_Dillon", "Allie_Dillon")</f>
        <v>Allie_Dillon</v>
      </c>
      <c r="B27559" s="65"/>
    </row>
    <row r="27560" spans="1:2" x14ac:dyDescent="0.25">
      <c r="A27560" s="64" t="str">
        <f>HYPERLINK("http://www.twitter.com/KairiKivilaid", "KairiKivilaid")</f>
        <v>KairiKivilaid</v>
      </c>
      <c r="B27560" s="65" t="s">
        <v>5231</v>
      </c>
    </row>
    <row r="27561" spans="1:2" x14ac:dyDescent="0.25">
      <c r="A27561" s="64" t="str">
        <f>HYPERLINK("http://www.twitter.com/FigCustard", "FigCustard")</f>
        <v>FigCustard</v>
      </c>
      <c r="B27561" s="65"/>
    </row>
    <row r="27562" spans="1:2" x14ac:dyDescent="0.25">
      <c r="A27562" s="64" t="str">
        <f>HYPERLINK("http://www.twitter.com/LexiLibrary", "LexiLibrary")</f>
        <v>LexiLibrary</v>
      </c>
      <c r="B27562" s="65" t="s">
        <v>36</v>
      </c>
    </row>
    <row r="27563" spans="1:2" x14ac:dyDescent="0.25">
      <c r="A27563" s="64" t="str">
        <f>HYPERLINK("http://www.twitter.com/mvlibraries", "mvlibraries")</f>
        <v>mvlibraries</v>
      </c>
      <c r="B27563" s="65" t="s">
        <v>11655</v>
      </c>
    </row>
    <row r="27564" spans="1:2" x14ac:dyDescent="0.25">
      <c r="A27564" s="64" t="str">
        <f>HYPERLINK("http://www.twitter.com/ClaireDickenson", "ClaireDickenson")</f>
        <v>ClaireDickenson</v>
      </c>
      <c r="B27564" s="65" t="s">
        <v>36</v>
      </c>
    </row>
    <row r="27565" spans="1:2" x14ac:dyDescent="0.25">
      <c r="A27565" s="64" t="str">
        <f>HYPERLINK("http://www.twitter.com/EditorMark", "EditorMark")</f>
        <v>EditorMark</v>
      </c>
      <c r="B27565" s="65" t="s">
        <v>3984</v>
      </c>
    </row>
    <row r="27566" spans="1:2" x14ac:dyDescent="0.25">
      <c r="A27566" s="64" t="str">
        <f>HYPERLINK("http://www.twitter.com/topcatten", "topcatten")</f>
        <v>topcatten</v>
      </c>
      <c r="B27566" s="65" t="s">
        <v>1765</v>
      </c>
    </row>
    <row r="27567" spans="1:2" x14ac:dyDescent="0.25">
      <c r="A27567" s="64" t="str">
        <f>HYPERLINK("http://www.twitter.com/pjmck", "pjmck")</f>
        <v>pjmck</v>
      </c>
      <c r="B27567" s="65" t="s">
        <v>517</v>
      </c>
    </row>
    <row r="27568" spans="1:2" x14ac:dyDescent="0.25">
      <c r="A27568" s="64" t="str">
        <f>HYPERLINK("http://www.twitter.com/rrmmff", "rrmmff")</f>
        <v>rrmmff</v>
      </c>
      <c r="B27568" s="65"/>
    </row>
    <row r="27569" spans="1:2" x14ac:dyDescent="0.25">
      <c r="A27569" s="64" t="str">
        <f>HYPERLINK("http://www.twitter.com/kathienicolson", "kathienicolson")</f>
        <v>kathienicolson</v>
      </c>
      <c r="B27569" s="65" t="s">
        <v>24</v>
      </c>
    </row>
    <row r="27570" spans="1:2" x14ac:dyDescent="0.25">
      <c r="A27570" s="64" t="str">
        <f>HYPERLINK("http://www.twitter.com/jen_the_booble", "jen_the_booble")</f>
        <v>jen_the_booble</v>
      </c>
      <c r="B27570" s="65" t="s">
        <v>1980</v>
      </c>
    </row>
    <row r="27571" spans="1:2" x14ac:dyDescent="0.25">
      <c r="A27571" s="64" t="str">
        <f>HYPERLINK("http://www.twitter.com/ajentscotland", "ajentscotland")</f>
        <v>ajentscotland</v>
      </c>
      <c r="B27571" s="65" t="s">
        <v>24</v>
      </c>
    </row>
    <row r="27572" spans="1:2" x14ac:dyDescent="0.25">
      <c r="A27572" s="64" t="str">
        <f>HYPERLINK("http://www.twitter.com/Chloeflute", "Chloeflute")</f>
        <v>Chloeflute</v>
      </c>
      <c r="B27572" s="65" t="s">
        <v>36</v>
      </c>
    </row>
    <row r="27573" spans="1:2" x14ac:dyDescent="0.25">
      <c r="A27573" s="64" t="str">
        <f>HYPERLINK("http://www.twitter.com/kradam", "kradam")</f>
        <v>kradam</v>
      </c>
      <c r="B27573" s="65" t="s">
        <v>36</v>
      </c>
    </row>
    <row r="27574" spans="1:2" x14ac:dyDescent="0.25">
      <c r="A27574" s="64" t="str">
        <f>HYPERLINK("http://www.twitter.com/Tebasilee", "Tebasilee")</f>
        <v>Tebasilee</v>
      </c>
      <c r="B27574" s="65" t="s">
        <v>36</v>
      </c>
    </row>
    <row r="27575" spans="1:2" x14ac:dyDescent="0.25">
      <c r="A27575" s="64" t="str">
        <f>HYPERLINK("http://www.twitter.com/JoanLawrie76", "JoanLawrie76")</f>
        <v>JoanLawrie76</v>
      </c>
      <c r="B27575" s="65" t="s">
        <v>6107</v>
      </c>
    </row>
    <row r="27576" spans="1:2" x14ac:dyDescent="0.25">
      <c r="A27576" s="64" t="str">
        <f>HYPERLINK("http://www.twitter.com/GlassboyBob", "GlassboyBob")</f>
        <v>GlassboyBob</v>
      </c>
      <c r="B27576" s="65" t="s">
        <v>11656</v>
      </c>
    </row>
    <row r="27577" spans="1:2" x14ac:dyDescent="0.25">
      <c r="A27577" s="64" t="str">
        <f>HYPERLINK("http://www.twitter.com/quiffboy", "quiffboy")</f>
        <v>quiffboy</v>
      </c>
      <c r="B27577" s="65" t="s">
        <v>4040</v>
      </c>
    </row>
    <row r="27578" spans="1:2" x14ac:dyDescent="0.25">
      <c r="A27578" s="64" t="str">
        <f>HYPERLINK("http://www.twitter.com/bethanwilkie", "bethanwilkie")</f>
        <v>bethanwilkie</v>
      </c>
      <c r="B27578" s="65" t="s">
        <v>11657</v>
      </c>
    </row>
    <row r="27579" spans="1:2" x14ac:dyDescent="0.25">
      <c r="A27579" s="64" t="str">
        <f>HYPERLINK("http://www.twitter.com/paulgmerchant", "paulgmerchant")</f>
        <v>paulgmerchant</v>
      </c>
      <c r="B27579" s="65" t="s">
        <v>11658</v>
      </c>
    </row>
    <row r="27580" spans="1:2" x14ac:dyDescent="0.25">
      <c r="A27580" s="64" t="str">
        <f>HYPERLINK("http://www.twitter.com/leespencer04", "leespencer04")</f>
        <v>leespencer04</v>
      </c>
      <c r="B27580" s="65"/>
    </row>
    <row r="27581" spans="1:2" x14ac:dyDescent="0.25">
      <c r="A27581" s="64" t="str">
        <f>HYPERLINK("http://www.twitter.com/emmarachelsmith", "emmarachelsmith")</f>
        <v>emmarachelsmith</v>
      </c>
      <c r="B27581" s="65" t="s">
        <v>477</v>
      </c>
    </row>
    <row r="27582" spans="1:2" x14ac:dyDescent="0.25">
      <c r="A27582" s="64" t="str">
        <f>HYPERLINK("http://www.twitter.com/lauramcw", "lauramcw")</f>
        <v>lauramcw</v>
      </c>
      <c r="B27582" s="65" t="s">
        <v>24</v>
      </c>
    </row>
    <row r="27583" spans="1:2" x14ac:dyDescent="0.25">
      <c r="A27583" s="64" t="str">
        <f>HYPERLINK("http://www.twitter.com/GinetteAnderson", "GinetteAnderson")</f>
        <v>GinetteAnderson</v>
      </c>
      <c r="B27583" s="65"/>
    </row>
    <row r="27584" spans="1:2" x14ac:dyDescent="0.25">
      <c r="A27584" s="64" t="str">
        <f>HYPERLINK("http://www.twitter.com/flumple", "flumple")</f>
        <v>flumple</v>
      </c>
      <c r="B27584" s="65" t="s">
        <v>11566</v>
      </c>
    </row>
    <row r="27585" spans="1:2" x14ac:dyDescent="0.25">
      <c r="A27585" s="64" t="str">
        <f>HYPERLINK("http://www.twitter.com/CLFoodie", "CLFoodie")</f>
        <v>CLFoodie</v>
      </c>
      <c r="B27585" s="65"/>
    </row>
    <row r="27586" spans="1:2" x14ac:dyDescent="0.25">
      <c r="A27586" s="64" t="str">
        <f>HYPERLINK("http://www.twitter.com/anna_kindness", "anna_kindness")</f>
        <v>anna_kindness</v>
      </c>
      <c r="B27586" s="65" t="s">
        <v>11659</v>
      </c>
    </row>
    <row r="27587" spans="1:2" x14ac:dyDescent="0.25">
      <c r="A27587" s="64" t="str">
        <f>HYPERLINK("http://www.twitter.com/Emzikles", "Emzikles")</f>
        <v>Emzikles</v>
      </c>
      <c r="B27587" s="65" t="s">
        <v>33</v>
      </c>
    </row>
    <row r="27588" spans="1:2" x14ac:dyDescent="0.25">
      <c r="A27588" s="64" t="str">
        <f>HYPERLINK("http://www.twitter.com/RebeccaFraser", "RebeccaFraser")</f>
        <v>RebeccaFraser</v>
      </c>
      <c r="B27588" s="65" t="s">
        <v>36</v>
      </c>
    </row>
    <row r="27589" spans="1:2" x14ac:dyDescent="0.25">
      <c r="A27589" s="64" t="str">
        <f>HYPERLINK("http://www.twitter.com/victoria_fc", "victoria_fc")</f>
        <v>victoria_fc</v>
      </c>
      <c r="B27589" s="65" t="s">
        <v>296</v>
      </c>
    </row>
    <row r="27590" spans="1:2" x14ac:dyDescent="0.25">
      <c r="A27590" s="64" t="str">
        <f>HYPERLINK("http://www.twitter.com/lucysharpstuff", "lucysharpstuff")</f>
        <v>lucysharpstuff</v>
      </c>
      <c r="B27590" s="65" t="s">
        <v>24</v>
      </c>
    </row>
    <row r="27591" spans="1:2" x14ac:dyDescent="0.25">
      <c r="A27591" s="64" t="str">
        <f>HYPERLINK("http://www.twitter.com/HarrietEvans", "HarrietEvans")</f>
        <v>HarrietEvans</v>
      </c>
      <c r="B27591" s="65" t="s">
        <v>36</v>
      </c>
    </row>
    <row r="27592" spans="1:2" x14ac:dyDescent="0.25">
      <c r="A27592" s="64" t="str">
        <f>HYPERLINK("http://www.twitter.com/SctottMorris", "SctottMorris")</f>
        <v>SctottMorris</v>
      </c>
      <c r="B27592" s="65" t="s">
        <v>11660</v>
      </c>
    </row>
    <row r="27593" spans="1:2" x14ac:dyDescent="0.25">
      <c r="A27593" s="64" t="str">
        <f>HYPERLINK("http://www.twitter.com/Scottish3D", "Scottish3D")</f>
        <v>Scottish3D</v>
      </c>
      <c r="B27593" s="65" t="s">
        <v>517</v>
      </c>
    </row>
    <row r="27594" spans="1:2" x14ac:dyDescent="0.25">
      <c r="A27594" s="64" t="str">
        <f>HYPERLINK("http://www.twitter.com/BerniMoo", "BerniMoo")</f>
        <v>BerniMoo</v>
      </c>
      <c r="B27594" s="65" t="s">
        <v>11661</v>
      </c>
    </row>
    <row r="27595" spans="1:2" x14ac:dyDescent="0.25">
      <c r="A27595" s="64" t="str">
        <f>HYPERLINK("http://www.twitter.com/periperimeg", "periperimeg")</f>
        <v>periperimeg</v>
      </c>
      <c r="B27595" s="65"/>
    </row>
    <row r="27596" spans="1:2" x14ac:dyDescent="0.25">
      <c r="A27596" s="64" t="str">
        <f>HYPERLINK("http://www.twitter.com/fetmats", "fetmats")</f>
        <v>fetmats</v>
      </c>
      <c r="B27596" s="65" t="s">
        <v>36</v>
      </c>
    </row>
    <row r="27597" spans="1:2" x14ac:dyDescent="0.25">
      <c r="A27597" s="64" t="str">
        <f>HYPERLINK("http://www.twitter.com/bl_eap", "bl_eap")</f>
        <v>bl_eap</v>
      </c>
      <c r="B27597" s="65" t="s">
        <v>36</v>
      </c>
    </row>
    <row r="27598" spans="1:2" x14ac:dyDescent="0.25">
      <c r="A27598" s="64" t="str">
        <f>HYPERLINK("http://www.twitter.com/JenAintLegit", "JenAintLegit")</f>
        <v>JenAintLegit</v>
      </c>
      <c r="B27598" s="65" t="s">
        <v>11662</v>
      </c>
    </row>
    <row r="27599" spans="1:2" x14ac:dyDescent="0.25">
      <c r="A27599" s="64" t="str">
        <f>HYPERLINK("http://www.twitter.com/flanntronix", "flanntronix")</f>
        <v>flanntronix</v>
      </c>
      <c r="B27599" s="65" t="s">
        <v>4068</v>
      </c>
    </row>
    <row r="27600" spans="1:2" x14ac:dyDescent="0.25">
      <c r="A27600" s="64" t="str">
        <f>HYPERLINK("http://www.twitter.com/lynntown", "lynntown")</f>
        <v>lynntown</v>
      </c>
      <c r="B27600" s="65" t="s">
        <v>11663</v>
      </c>
    </row>
    <row r="27601" spans="1:2" x14ac:dyDescent="0.25">
      <c r="A27601" s="64" t="str">
        <f>HYPERLINK("http://www.twitter.com/Nonne", "Nonne")</f>
        <v>Nonne</v>
      </c>
      <c r="B27601" s="65" t="s">
        <v>11664</v>
      </c>
    </row>
    <row r="27602" spans="1:2" x14ac:dyDescent="0.25">
      <c r="A27602" s="64" t="str">
        <f>HYPERLINK("http://www.twitter.com/KirstiMcKernan", "KirstiMcKernan")</f>
        <v>KirstiMcKernan</v>
      </c>
      <c r="B27602" s="65" t="s">
        <v>652</v>
      </c>
    </row>
    <row r="27603" spans="1:2" x14ac:dyDescent="0.25">
      <c r="A27603" s="64" t="str">
        <f>HYPERLINK("http://www.twitter.com/JulieFroolie", "JulieFroolie")</f>
        <v>JulieFroolie</v>
      </c>
      <c r="B27603" s="65"/>
    </row>
    <row r="27604" spans="1:2" x14ac:dyDescent="0.25">
      <c r="A27604" s="64" t="str">
        <f>HYPERLINK("http://www.twitter.com/danophile", "danophile")</f>
        <v>danophile</v>
      </c>
      <c r="B27604" s="65" t="s">
        <v>11665</v>
      </c>
    </row>
    <row r="27605" spans="1:2" x14ac:dyDescent="0.25">
      <c r="A27605" s="64" t="str">
        <f>HYPERLINK("http://www.twitter.com/liebemarx", "liebemarx")</f>
        <v>liebemarx</v>
      </c>
      <c r="B27605" s="65" t="s">
        <v>318</v>
      </c>
    </row>
    <row r="27606" spans="1:2" x14ac:dyDescent="0.25">
      <c r="A27606" s="64" t="str">
        <f>HYPERLINK("http://www.twitter.com/London_Eats", "London_Eats")</f>
        <v>London_Eats</v>
      </c>
      <c r="B27606" s="65" t="s">
        <v>110</v>
      </c>
    </row>
    <row r="27607" spans="1:2" x14ac:dyDescent="0.25">
      <c r="A27607" s="64" t="str">
        <f>HYPERLINK("http://www.twitter.com/ruaraidhdobson", "ruaraidhdobson")</f>
        <v>ruaraidhdobson</v>
      </c>
      <c r="B27607" s="65" t="s">
        <v>487</v>
      </c>
    </row>
    <row r="27608" spans="1:2" x14ac:dyDescent="0.25">
      <c r="A27608" s="64" t="str">
        <f>HYPERLINK("http://www.twitter.com/LucyLucy145", "LucyLucy145")</f>
        <v>LucyLucy145</v>
      </c>
      <c r="B27608" s="65"/>
    </row>
    <row r="27609" spans="1:2" x14ac:dyDescent="0.25">
      <c r="A27609" s="64" t="str">
        <f>HYPERLINK("http://www.twitter.com/piggyfeather", "piggyfeather")</f>
        <v>piggyfeather</v>
      </c>
      <c r="B27609" s="65" t="s">
        <v>11666</v>
      </c>
    </row>
    <row r="27610" spans="1:2" x14ac:dyDescent="0.25">
      <c r="A27610" s="64" t="str">
        <f>HYPERLINK("http://www.twitter.com/vivianoush", "vivianoush")</f>
        <v>vivianoush</v>
      </c>
      <c r="B27610" s="65"/>
    </row>
    <row r="27611" spans="1:2" x14ac:dyDescent="0.25">
      <c r="A27611" s="64" t="str">
        <f>HYPERLINK("http://www.twitter.com/JGHeward", "JGHeward")</f>
        <v>JGHeward</v>
      </c>
      <c r="B27611" s="65" t="s">
        <v>3609</v>
      </c>
    </row>
    <row r="27612" spans="1:2" x14ac:dyDescent="0.25">
      <c r="A27612" s="64" t="str">
        <f>HYPERLINK("http://www.twitter.com/sandraqsmiley", "sandraqsmiley")</f>
        <v>sandraqsmiley</v>
      </c>
      <c r="B27612" s="65"/>
    </row>
    <row r="27613" spans="1:2" x14ac:dyDescent="0.25">
      <c r="A27613" s="64" t="str">
        <f>HYPERLINK("http://www.twitter.com/Zeb_Bakes", "Zeb_Bakes")</f>
        <v>Zeb_Bakes</v>
      </c>
      <c r="B27613" s="65" t="s">
        <v>296</v>
      </c>
    </row>
    <row r="27614" spans="1:2" x14ac:dyDescent="0.25">
      <c r="A27614" s="64" t="str">
        <f>HYPERLINK("http://www.twitter.com/Qouda", "Qouda")</f>
        <v>Qouda</v>
      </c>
      <c r="B27614" s="65"/>
    </row>
    <row r="27615" spans="1:2" x14ac:dyDescent="0.25">
      <c r="A27615" s="64" t="str">
        <f>HYPERLINK("http://www.twitter.com/clairestrickett", "clairestrickett")</f>
        <v>clairestrickett</v>
      </c>
      <c r="B27615" s="65" t="s">
        <v>11667</v>
      </c>
    </row>
    <row r="27616" spans="1:2" x14ac:dyDescent="0.25">
      <c r="A27616" s="64" t="str">
        <f>HYPERLINK("http://www.twitter.com/Kewlocal", "Kewlocal")</f>
        <v>Kewlocal</v>
      </c>
      <c r="B27616" s="65" t="s">
        <v>11668</v>
      </c>
    </row>
    <row r="27617" spans="1:2" x14ac:dyDescent="0.25">
      <c r="A27617" s="64" t="str">
        <f>HYPERLINK("http://www.twitter.com/PrincessofVP", "PrincessofVP")</f>
        <v>PrincessofVP</v>
      </c>
      <c r="B27617" s="65" t="s">
        <v>11669</v>
      </c>
    </row>
    <row r="27618" spans="1:2" x14ac:dyDescent="0.25">
      <c r="A27618" s="64" t="str">
        <f>HYPERLINK("http://www.twitter.com/magicaltrout", "magicaltrout")</f>
        <v>magicaltrout</v>
      </c>
      <c r="B27618" s="65" t="s">
        <v>11670</v>
      </c>
    </row>
    <row r="27619" spans="1:2" x14ac:dyDescent="0.25">
      <c r="A27619" s="64" t="str">
        <f>HYPERLINK("http://www.twitter.com/garethaturner", "garethaturner")</f>
        <v>garethaturner</v>
      </c>
      <c r="B27619" s="65" t="s">
        <v>11671</v>
      </c>
    </row>
    <row r="27620" spans="1:2" x14ac:dyDescent="0.25">
      <c r="A27620" s="64" t="str">
        <f>HYPERLINK("http://www.twitter.com/HazWr", "HazWr")</f>
        <v>HazWr</v>
      </c>
      <c r="B27620" s="65"/>
    </row>
    <row r="27621" spans="1:2" x14ac:dyDescent="0.25">
      <c r="A27621" s="64" t="str">
        <f>HYPERLINK("http://www.twitter.com/DominicMHinde", "DominicMHinde")</f>
        <v>DominicMHinde</v>
      </c>
      <c r="B27621" s="65"/>
    </row>
    <row r="27622" spans="1:2" x14ac:dyDescent="0.25">
      <c r="A27622" s="64" t="str">
        <f>HYPERLINK("http://www.twitter.com/james_on_thames", "james_on_thames")</f>
        <v>james_on_thames</v>
      </c>
      <c r="B27622" s="65" t="s">
        <v>11672</v>
      </c>
    </row>
    <row r="27623" spans="1:2" x14ac:dyDescent="0.25">
      <c r="A27623" s="64" t="str">
        <f>HYPERLINK("http://www.twitter.com/Scanditwitchen", "Scanditwitchen")</f>
        <v>Scanditwitchen</v>
      </c>
      <c r="B27623" s="65" t="s">
        <v>477</v>
      </c>
    </row>
    <row r="27624" spans="1:2" x14ac:dyDescent="0.25">
      <c r="A27624" s="64" t="str">
        <f>HYPERLINK("http://www.twitter.com/GSAComDes14", "GSAComDes14")</f>
        <v>GSAComDes14</v>
      </c>
      <c r="B27624" s="65" t="s">
        <v>138</v>
      </c>
    </row>
    <row r="27625" spans="1:2" x14ac:dyDescent="0.25">
      <c r="A27625" s="64" t="str">
        <f>HYPERLINK("http://www.twitter.com/southendlibrary", "southendlibrary")</f>
        <v>southendlibrary</v>
      </c>
      <c r="B27625" s="65" t="s">
        <v>330</v>
      </c>
    </row>
    <row r="27626" spans="1:2" x14ac:dyDescent="0.25">
      <c r="A27626" s="64" t="str">
        <f>HYPERLINK("http://www.twitter.com/sparklyredshoes", "sparklyredshoes")</f>
        <v>sparklyredshoes</v>
      </c>
      <c r="B27626" s="65" t="s">
        <v>138</v>
      </c>
    </row>
    <row r="27627" spans="1:2" x14ac:dyDescent="0.25">
      <c r="A27627" s="64" t="str">
        <f>HYPERLINK("http://www.twitter.com/my_disposition", "my_disposition")</f>
        <v>my_disposition</v>
      </c>
      <c r="B27627" s="65"/>
    </row>
    <row r="27628" spans="1:2" x14ac:dyDescent="0.25">
      <c r="A27628" s="64" t="str">
        <f>HYPERLINK("http://www.twitter.com/MumDuJour", "MumDuJour")</f>
        <v>MumDuJour</v>
      </c>
      <c r="B27628" s="65" t="s">
        <v>11673</v>
      </c>
    </row>
    <row r="27629" spans="1:2" x14ac:dyDescent="0.25">
      <c r="A27629" s="64" t="str">
        <f>HYPERLINK("http://www.twitter.com/kazajan", "kazajan")</f>
        <v>kazajan</v>
      </c>
      <c r="B27629" s="65"/>
    </row>
    <row r="27630" spans="1:2" x14ac:dyDescent="0.25">
      <c r="A27630" s="64" t="str">
        <f>HYPERLINK("http://www.twitter.com/LitDinnerDate", "LitDinnerDate")</f>
        <v>LitDinnerDate</v>
      </c>
      <c r="B27630" s="65" t="s">
        <v>296</v>
      </c>
    </row>
    <row r="27631" spans="1:2" x14ac:dyDescent="0.25">
      <c r="A27631" s="64" t="str">
        <f>HYPERLINK("http://www.twitter.com/ripstoptheatre", "ripstoptheatre")</f>
        <v>ripstoptheatre</v>
      </c>
      <c r="B27631" s="65"/>
    </row>
    <row r="27632" spans="1:2" x14ac:dyDescent="0.25">
      <c r="A27632" s="64" t="str">
        <f>HYPERLINK("http://www.twitter.com/davidinmirfield", "davidinmirfield")</f>
        <v>davidinmirfield</v>
      </c>
      <c r="B27632" s="65" t="s">
        <v>7350</v>
      </c>
    </row>
    <row r="27633" spans="1:2" x14ac:dyDescent="0.25">
      <c r="A27633" s="64" t="str">
        <f>HYPERLINK("http://www.twitter.com/nickyoliver", "nickyoliver")</f>
        <v>nickyoliver</v>
      </c>
      <c r="B27633" s="65" t="s">
        <v>36</v>
      </c>
    </row>
    <row r="27634" spans="1:2" x14ac:dyDescent="0.25">
      <c r="A27634" s="64" t="str">
        <f>HYPERLINK("http://www.twitter.com/ExoticTerrane", "ExoticTerrane")</f>
        <v>ExoticTerrane</v>
      </c>
      <c r="B27634" s="65" t="s">
        <v>9801</v>
      </c>
    </row>
    <row r="27635" spans="1:2" x14ac:dyDescent="0.25">
      <c r="A27635" s="64" t="str">
        <f>HYPERLINK("http://www.twitter.com/thermoso", "thermoso")</f>
        <v>thermoso</v>
      </c>
      <c r="B27635" s="65" t="s">
        <v>5161</v>
      </c>
    </row>
    <row r="27636" spans="1:2" x14ac:dyDescent="0.25">
      <c r="A27636" s="64" t="str">
        <f>HYPERLINK("http://www.twitter.com/jonzo1", "jonzo1")</f>
        <v>jonzo1</v>
      </c>
      <c r="B27636" s="65" t="s">
        <v>74</v>
      </c>
    </row>
    <row r="27637" spans="1:2" x14ac:dyDescent="0.25">
      <c r="A27637" s="64" t="str">
        <f>HYPERLINK("http://www.twitter.com/smorgo", "smorgo")</f>
        <v>smorgo</v>
      </c>
      <c r="B27637" s="65" t="s">
        <v>11674</v>
      </c>
    </row>
    <row r="27638" spans="1:2" x14ac:dyDescent="0.25">
      <c r="A27638" s="64" t="str">
        <f>HYPERLINK("http://www.twitter.com/kat_vessel", "kat_vessel")</f>
        <v>kat_vessel</v>
      </c>
      <c r="B27638" s="65" t="s">
        <v>477</v>
      </c>
    </row>
    <row r="27639" spans="1:2" x14ac:dyDescent="0.25">
      <c r="A27639" s="64" t="str">
        <f>HYPERLINK("http://www.twitter.com/DMReporter", "DMReporter")</f>
        <v>DMReporter</v>
      </c>
      <c r="B27639" s="65" t="s">
        <v>11675</v>
      </c>
    </row>
    <row r="27640" spans="1:2" x14ac:dyDescent="0.25">
      <c r="A27640" s="64" t="str">
        <f>HYPERLINK("http://www.twitter.com/chestnutbob", "chestnutbob")</f>
        <v>chestnutbob</v>
      </c>
      <c r="B27640" s="65"/>
    </row>
    <row r="27641" spans="1:2" x14ac:dyDescent="0.25">
      <c r="A27641" s="64" t="str">
        <f>HYPERLINK("http://www.twitter.com/Teh_kLeV", "Teh_kLeV")</f>
        <v>Teh_kLeV</v>
      </c>
      <c r="B27641" s="65" t="s">
        <v>11676</v>
      </c>
    </row>
    <row r="27642" spans="1:2" x14ac:dyDescent="0.25">
      <c r="A27642" s="64" t="str">
        <f>HYPERLINK("http://www.twitter.com/Drhammadkhan", "Drhammadkhan")</f>
        <v>Drhammadkhan</v>
      </c>
      <c r="B27642" s="65" t="s">
        <v>36</v>
      </c>
    </row>
    <row r="27643" spans="1:2" x14ac:dyDescent="0.25">
      <c r="A27643" s="64" t="str">
        <f>HYPERLINK("http://www.twitter.com/Spa_town", "Spa_town")</f>
        <v>Spa_town</v>
      </c>
      <c r="B27643" s="65" t="s">
        <v>11677</v>
      </c>
    </row>
    <row r="27644" spans="1:2" x14ac:dyDescent="0.25">
      <c r="A27644" s="64" t="str">
        <f>HYPERLINK("http://www.twitter.com/wordyt", "wordyt")</f>
        <v>wordyt</v>
      </c>
      <c r="B27644" s="65" t="s">
        <v>4716</v>
      </c>
    </row>
    <row r="27645" spans="1:2" x14ac:dyDescent="0.25">
      <c r="A27645" s="64" t="str">
        <f>HYPERLINK("http://www.twitter.com/OrkneyBear", "OrkneyBear")</f>
        <v>OrkneyBear</v>
      </c>
      <c r="B27645" s="65" t="s">
        <v>20</v>
      </c>
    </row>
    <row r="27646" spans="1:2" x14ac:dyDescent="0.25">
      <c r="A27646" s="64" t="str">
        <f>HYPERLINK("http://www.twitter.com/timhannay", "timhannay")</f>
        <v>timhannay</v>
      </c>
      <c r="B27646" s="65" t="s">
        <v>4969</v>
      </c>
    </row>
    <row r="27647" spans="1:2" x14ac:dyDescent="0.25">
      <c r="A27647" s="64" t="str">
        <f>HYPERLINK("http://www.twitter.com/JamCar1", "JamCar1")</f>
        <v>JamCar1</v>
      </c>
      <c r="B27647" s="65" t="s">
        <v>138</v>
      </c>
    </row>
    <row r="27648" spans="1:2" x14ac:dyDescent="0.25">
      <c r="A27648" s="64" t="str">
        <f>HYPERLINK("http://www.twitter.com/alison_harding1", "alison_harding1")</f>
        <v>alison_harding1</v>
      </c>
      <c r="B27648" s="65"/>
    </row>
    <row r="27649" spans="1:2" x14ac:dyDescent="0.25">
      <c r="A27649" s="64" t="str">
        <f>HYPERLINK("http://www.twitter.com/ElmLodgeEstate", "ElmLodgeEstate")</f>
        <v>ElmLodgeEstate</v>
      </c>
      <c r="B27649" s="65" t="s">
        <v>11678</v>
      </c>
    </row>
    <row r="27650" spans="1:2" x14ac:dyDescent="0.25">
      <c r="A27650" s="64" t="str">
        <f>HYPERLINK("http://www.twitter.com/planningclaire", "planningclaire")</f>
        <v>planningclaire</v>
      </c>
      <c r="B27650" s="65" t="s">
        <v>569</v>
      </c>
    </row>
    <row r="27651" spans="1:2" x14ac:dyDescent="0.25">
      <c r="A27651" s="64" t="str">
        <f>HYPERLINK("http://www.twitter.com/richteabourbon", "richteabourbon")</f>
        <v>richteabourbon</v>
      </c>
      <c r="B27651" s="65"/>
    </row>
    <row r="27652" spans="1:2" x14ac:dyDescent="0.25">
      <c r="A27652" s="64" t="str">
        <f>HYPERLINK("http://www.twitter.com/MickHaigh", "MickHaigh")</f>
        <v>MickHaigh</v>
      </c>
      <c r="B27652" s="65" t="s">
        <v>3660</v>
      </c>
    </row>
    <row r="27653" spans="1:2" x14ac:dyDescent="0.25">
      <c r="A27653" s="64" t="str">
        <f>HYPERLINK("http://www.twitter.com/iewilson", "iewilson")</f>
        <v>iewilson</v>
      </c>
      <c r="B27653" s="65" t="s">
        <v>11679</v>
      </c>
    </row>
    <row r="27654" spans="1:2" x14ac:dyDescent="0.25">
      <c r="A27654" s="64" t="str">
        <f>HYPERLINK("http://www.twitter.com/lost_in_midgar", "lost_in_midgar")</f>
        <v>lost_in_midgar</v>
      </c>
      <c r="B27654" s="65" t="s">
        <v>70</v>
      </c>
    </row>
    <row r="27655" spans="1:2" x14ac:dyDescent="0.25">
      <c r="A27655" s="64" t="str">
        <f>HYPERLINK("http://www.twitter.com/tsardony", "tsardony")</f>
        <v>tsardony</v>
      </c>
      <c r="B27655" s="65" t="s">
        <v>138</v>
      </c>
    </row>
    <row r="27656" spans="1:2" x14ac:dyDescent="0.25">
      <c r="A27656" s="64" t="str">
        <f>HYPERLINK("http://www.twitter.com/locheport", "locheport")</f>
        <v>locheport</v>
      </c>
      <c r="B27656" s="65" t="s">
        <v>3821</v>
      </c>
    </row>
    <row r="27657" spans="1:2" x14ac:dyDescent="0.25">
      <c r="A27657" s="64" t="str">
        <f>HYPERLINK("http://www.twitter.com/rebeccadixon75", "rebeccadixon75")</f>
        <v>rebeccadixon75</v>
      </c>
      <c r="B27657" s="65"/>
    </row>
    <row r="27658" spans="1:2" x14ac:dyDescent="0.25">
      <c r="A27658" s="64" t="str">
        <f>HYPERLINK("http://www.twitter.com/CatherineDigman", "CatherineDigman")</f>
        <v>CatherineDigman</v>
      </c>
      <c r="B27658" s="65" t="s">
        <v>1490</v>
      </c>
    </row>
    <row r="27659" spans="1:2" x14ac:dyDescent="0.25">
      <c r="A27659" s="64" t="str">
        <f>HYPERLINK("http://www.twitter.com/furcoat", "furcoat")</f>
        <v>furcoat</v>
      </c>
      <c r="B27659" s="65" t="s">
        <v>6602</v>
      </c>
    </row>
    <row r="27660" spans="1:2" x14ac:dyDescent="0.25">
      <c r="A27660" s="64" t="str">
        <f>HYPERLINK("http://www.twitter.com/ullamuddle", "ullamuddle")</f>
        <v>ullamuddle</v>
      </c>
      <c r="B27660" s="65" t="s">
        <v>11680</v>
      </c>
    </row>
    <row r="27661" spans="1:2" x14ac:dyDescent="0.25">
      <c r="A27661" s="64" t="str">
        <f>HYPERLINK("http://www.twitter.com/GillianEasson", "GillianEasson")</f>
        <v>GillianEasson</v>
      </c>
      <c r="B27661" s="65" t="s">
        <v>232</v>
      </c>
    </row>
    <row r="27662" spans="1:2" x14ac:dyDescent="0.25">
      <c r="A27662" s="64" t="str">
        <f>HYPERLINK("http://www.twitter.com/BvilleTweets", "BvilleTweets")</f>
        <v>BvilleTweets</v>
      </c>
      <c r="B27662" s="65" t="s">
        <v>11681</v>
      </c>
    </row>
    <row r="27663" spans="1:2" x14ac:dyDescent="0.25">
      <c r="A27663" s="64" t="str">
        <f>HYPERLINK("http://www.twitter.com/Josephinelaaar", "Josephinelaaar")</f>
        <v>Josephinelaaar</v>
      </c>
      <c r="B27663" s="65"/>
    </row>
    <row r="27664" spans="1:2" x14ac:dyDescent="0.25">
      <c r="A27664" s="64" t="str">
        <f>HYPERLINK("http://www.twitter.com/misschrysippus", "misschrysippus")</f>
        <v>misschrysippus</v>
      </c>
      <c r="B27664" s="65" t="s">
        <v>5942</v>
      </c>
    </row>
    <row r="27665" spans="1:2" x14ac:dyDescent="0.25">
      <c r="A27665" s="64" t="str">
        <f>HYPERLINK("http://www.twitter.com/nicpartyoftwo", "nicpartyoftwo")</f>
        <v>nicpartyoftwo</v>
      </c>
      <c r="B27665" s="65" t="s">
        <v>487</v>
      </c>
    </row>
    <row r="27666" spans="1:2" x14ac:dyDescent="0.25">
      <c r="A27666" s="64" t="str">
        <f>HYPERLINK("http://www.twitter.com/stampedinblind", "stampedinblind")</f>
        <v>stampedinblind</v>
      </c>
      <c r="B27666" s="65" t="s">
        <v>11682</v>
      </c>
    </row>
    <row r="27667" spans="1:2" x14ac:dyDescent="0.25">
      <c r="A27667" s="64" t="str">
        <f>HYPERLINK("http://www.twitter.com/AmnestyScotland", "AmnestyScotland")</f>
        <v>AmnestyScotland</v>
      </c>
      <c r="B27667" s="65" t="s">
        <v>24</v>
      </c>
    </row>
    <row r="27668" spans="1:2" x14ac:dyDescent="0.25">
      <c r="A27668" s="64" t="str">
        <f>HYPERLINK("http://www.twitter.com/thomaskistell", "thomaskistell")</f>
        <v>thomaskistell</v>
      </c>
      <c r="B27668" s="65" t="s">
        <v>1493</v>
      </c>
    </row>
    <row r="27669" spans="1:2" x14ac:dyDescent="0.25">
      <c r="A27669" s="64" t="str">
        <f>HYPERLINK("http://www.twitter.com/charis_sandison", "charis_sandison")</f>
        <v>charis_sandison</v>
      </c>
      <c r="B27669" s="65" t="s">
        <v>11683</v>
      </c>
    </row>
    <row r="27670" spans="1:2" x14ac:dyDescent="0.25">
      <c r="A27670" s="64" t="str">
        <f>HYPERLINK("http://www.twitter.com/renwick_esther", "renwick_esther")</f>
        <v>renwick_esther</v>
      </c>
      <c r="B27670" s="65" t="s">
        <v>4797</v>
      </c>
    </row>
    <row r="27671" spans="1:2" x14ac:dyDescent="0.25">
      <c r="A27671" s="64" t="str">
        <f>HYPERLINK("http://www.twitter.com/kathsprout", "kathsprout")</f>
        <v>kathsprout</v>
      </c>
      <c r="B27671" s="65"/>
    </row>
    <row r="27672" spans="1:2" x14ac:dyDescent="0.25">
      <c r="A27672" s="64" t="str">
        <f>HYPERLINK("http://www.twitter.com/ToastedOrange", "ToastedOrange")</f>
        <v>ToastedOrange</v>
      </c>
      <c r="B27672" s="65" t="s">
        <v>1061</v>
      </c>
    </row>
    <row r="27673" spans="1:2" x14ac:dyDescent="0.25">
      <c r="A27673" s="64" t="str">
        <f>HYPERLINK("http://www.twitter.com/HelenMonagle", "HelenMonagle")</f>
        <v>HelenMonagle</v>
      </c>
      <c r="B27673" s="65" t="s">
        <v>11684</v>
      </c>
    </row>
    <row r="27674" spans="1:2" x14ac:dyDescent="0.25">
      <c r="A27674" s="64" t="str">
        <f>HYPERLINK("http://www.twitter.com/simonabject", "simonabject")</f>
        <v>simonabject</v>
      </c>
      <c r="B27674" s="65"/>
    </row>
    <row r="27675" spans="1:2" x14ac:dyDescent="0.25">
      <c r="A27675" s="64" t="str">
        <f>HYPERLINK("http://www.twitter.com/halleomand", "halleomand")</f>
        <v>halleomand</v>
      </c>
      <c r="B27675" s="65"/>
    </row>
    <row r="27676" spans="1:2" x14ac:dyDescent="0.25">
      <c r="A27676" s="64" t="str">
        <f>HYPERLINK("http://www.twitter.com/KMCABC123", "KMCABC123")</f>
        <v>KMCABC123</v>
      </c>
      <c r="B27676" s="65"/>
    </row>
    <row r="27677" spans="1:2" x14ac:dyDescent="0.25">
      <c r="A27677" s="64" t="str">
        <f>HYPERLINK("http://www.twitter.com/traint2my", "traint2my")</f>
        <v>traint2my</v>
      </c>
      <c r="B27677" s="65"/>
    </row>
    <row r="27678" spans="1:2" x14ac:dyDescent="0.25">
      <c r="A27678" s="64" t="str">
        <f>HYPERLINK("http://www.twitter.com/kurtck", "kurtck")</f>
        <v>kurtck</v>
      </c>
      <c r="B27678" s="65" t="s">
        <v>4145</v>
      </c>
    </row>
    <row r="27679" spans="1:2" x14ac:dyDescent="0.25">
      <c r="A27679" s="64" t="str">
        <f>HYPERLINK("http://www.twitter.com/TonyFaccenda", "TonyFaccenda")</f>
        <v>TonyFaccenda</v>
      </c>
      <c r="B27679" s="65" t="s">
        <v>36</v>
      </c>
    </row>
    <row r="27680" spans="1:2" x14ac:dyDescent="0.25">
      <c r="A27680" s="64" t="str">
        <f>HYPERLINK("http://www.twitter.com/alomshaha", "alomshaha")</f>
        <v>alomshaha</v>
      </c>
      <c r="B27680" s="65" t="s">
        <v>36</v>
      </c>
    </row>
    <row r="27681" spans="1:2" x14ac:dyDescent="0.25">
      <c r="A27681" s="64" t="str">
        <f>HYPERLINK("http://www.twitter.com/kels_316", "kels_316")</f>
        <v>kels_316</v>
      </c>
      <c r="B27681" s="65" t="s">
        <v>11685</v>
      </c>
    </row>
    <row r="27682" spans="1:2" x14ac:dyDescent="0.25">
      <c r="A27682" s="64" t="str">
        <f>HYPERLINK("http://www.twitter.com/NickyD", "NickyD")</f>
        <v>NickyD</v>
      </c>
      <c r="B27682" s="65" t="s">
        <v>36</v>
      </c>
    </row>
    <row r="27683" spans="1:2" x14ac:dyDescent="0.25">
      <c r="A27683" s="64" t="str">
        <f>HYPERLINK("http://www.twitter.com/AkselToll", "AkselToll")</f>
        <v>AkselToll</v>
      </c>
      <c r="B27683" s="65" t="s">
        <v>11686</v>
      </c>
    </row>
    <row r="27684" spans="1:2" x14ac:dyDescent="0.25">
      <c r="A27684" s="64" t="str">
        <f>HYPERLINK("http://www.twitter.com/drthekelly", "drthekelly")</f>
        <v>drthekelly</v>
      </c>
      <c r="B27684" s="65" t="s">
        <v>3779</v>
      </c>
    </row>
    <row r="27685" spans="1:2" x14ac:dyDescent="0.25">
      <c r="A27685" s="64" t="str">
        <f>HYPERLINK("http://www.twitter.com/JoannaEE", "JoannaEE")</f>
        <v>JoannaEE</v>
      </c>
      <c r="B27685" s="65" t="s">
        <v>11687</v>
      </c>
    </row>
    <row r="27686" spans="1:2" x14ac:dyDescent="0.25">
      <c r="A27686" s="64" t="str">
        <f>HYPERLINK("http://www.twitter.com/KatyPeanuts", "KatyPeanuts")</f>
        <v>KatyPeanuts</v>
      </c>
      <c r="B27686" s="65" t="s">
        <v>180</v>
      </c>
    </row>
    <row r="27687" spans="1:2" x14ac:dyDescent="0.25">
      <c r="A27687" s="64" t="str">
        <f>HYPERLINK("http://www.twitter.com/asharman", "asharman")</f>
        <v>asharman</v>
      </c>
      <c r="B27687" s="65" t="s">
        <v>11688</v>
      </c>
    </row>
    <row r="27688" spans="1:2" x14ac:dyDescent="0.25">
      <c r="A27688" s="64" t="str">
        <f>HYPERLINK("http://www.twitter.com/w_s_taylor", "w_s_taylor")</f>
        <v>w_s_taylor</v>
      </c>
      <c r="B27688" s="65" t="s">
        <v>11689</v>
      </c>
    </row>
    <row r="27689" spans="1:2" x14ac:dyDescent="0.25">
      <c r="A27689" s="64" t="str">
        <f>HYPERLINK("http://www.twitter.com/tuminds", "tuminds")</f>
        <v>tuminds</v>
      </c>
      <c r="B27689" s="65" t="s">
        <v>4447</v>
      </c>
    </row>
    <row r="27690" spans="1:2" x14ac:dyDescent="0.25">
      <c r="A27690" s="64" t="str">
        <f>HYPERLINK("http://www.twitter.com/FleetLibrary", "FleetLibrary")</f>
        <v>FleetLibrary</v>
      </c>
      <c r="B27690" s="65" t="s">
        <v>1155</v>
      </c>
    </row>
    <row r="27691" spans="1:2" x14ac:dyDescent="0.25">
      <c r="A27691" s="64" t="str">
        <f>HYPERLINK("http://www.twitter.com/itsthewriter", "itsthewriter")</f>
        <v>itsthewriter</v>
      </c>
      <c r="B27691" s="65" t="s">
        <v>10837</v>
      </c>
    </row>
    <row r="27692" spans="1:2" x14ac:dyDescent="0.25">
      <c r="A27692" s="64" t="str">
        <f>HYPERLINK("http://www.twitter.com/epicbayj", "epicbayj")</f>
        <v>epicbayj</v>
      </c>
      <c r="B27692" s="65" t="s">
        <v>180</v>
      </c>
    </row>
    <row r="27693" spans="1:2" x14ac:dyDescent="0.25">
      <c r="A27693" s="64" t="str">
        <f>HYPERLINK("http://www.twitter.com/adwalker21", "adwalker21")</f>
        <v>adwalker21</v>
      </c>
      <c r="B27693" s="65" t="s">
        <v>511</v>
      </c>
    </row>
    <row r="27694" spans="1:2" x14ac:dyDescent="0.25">
      <c r="A27694" s="64" t="str">
        <f>HYPERLINK("http://www.twitter.com/ElizabethHaggie", "ElizabethHaggie")</f>
        <v>ElizabethHaggie</v>
      </c>
      <c r="B27694" s="65"/>
    </row>
    <row r="27695" spans="1:2" x14ac:dyDescent="0.25">
      <c r="A27695" s="64" t="str">
        <f>HYPERLINK("http://www.twitter.com/karencasper159", "karencasper159")</f>
        <v>karencasper159</v>
      </c>
      <c r="B27695" s="65"/>
    </row>
    <row r="27696" spans="1:2" x14ac:dyDescent="0.25">
      <c r="A27696" s="64" t="str">
        <f>HYPERLINK("http://www.twitter.com/WLArchiveRM", "WLArchiveRM")</f>
        <v>WLArchiveRM</v>
      </c>
      <c r="B27696" s="65" t="s">
        <v>11690</v>
      </c>
    </row>
    <row r="27697" spans="1:2" x14ac:dyDescent="0.25">
      <c r="A27697" s="64" t="str">
        <f>HYPERLINK("http://www.twitter.com/PrisonRadioUK", "PrisonRadioUK")</f>
        <v>PrisonRadioUK</v>
      </c>
      <c r="B27697" s="65"/>
    </row>
    <row r="27698" spans="1:2" x14ac:dyDescent="0.25">
      <c r="A27698" s="64" t="str">
        <f>HYPERLINK("http://www.twitter.com/emac77", "emac77")</f>
        <v>emac77</v>
      </c>
      <c r="B27698" s="65" t="s">
        <v>5212</v>
      </c>
    </row>
    <row r="27699" spans="1:2" x14ac:dyDescent="0.25">
      <c r="A27699" s="64" t="str">
        <f>HYPERLINK("http://www.twitter.com/FictionalReads", "FictionalReads")</f>
        <v>FictionalReads</v>
      </c>
      <c r="B27699" s="65"/>
    </row>
    <row r="27700" spans="1:2" x14ac:dyDescent="0.25">
      <c r="A27700" s="64" t="str">
        <f>HYPERLINK("http://www.twitter.com/ElpinikiSmith", "ElpinikiSmith")</f>
        <v>ElpinikiSmith</v>
      </c>
      <c r="B27700" s="65"/>
    </row>
    <row r="27701" spans="1:2" x14ac:dyDescent="0.25">
      <c r="A27701" s="64" t="str">
        <f>HYPERLINK("http://www.twitter.com/credoreference", "credoreference")</f>
        <v>credoreference</v>
      </c>
      <c r="B27701" s="65" t="s">
        <v>11691</v>
      </c>
    </row>
    <row r="27702" spans="1:2" x14ac:dyDescent="0.25">
      <c r="A27702" s="64" t="str">
        <f>HYPERLINK("http://www.twitter.com/playtalkread", "playtalkread")</f>
        <v>playtalkread</v>
      </c>
      <c r="B27702" s="65" t="s">
        <v>517</v>
      </c>
    </row>
    <row r="27703" spans="1:2" x14ac:dyDescent="0.25">
      <c r="A27703" s="64" t="str">
        <f>HYPERLINK("http://www.twitter.com/ArchLibJacky", "ArchLibJacky")</f>
        <v>ArchLibJacky</v>
      </c>
      <c r="B27703" s="65" t="s">
        <v>3948</v>
      </c>
    </row>
    <row r="27704" spans="1:2" x14ac:dyDescent="0.25">
      <c r="A27704" s="64" t="str">
        <f>HYPERLINK("http://www.twitter.com/hhazywazy", "hhazywazy")</f>
        <v>hhazywazy</v>
      </c>
      <c r="B27704" s="65" t="s">
        <v>11692</v>
      </c>
    </row>
    <row r="27705" spans="1:2" x14ac:dyDescent="0.25">
      <c r="A27705" s="64" t="str">
        <f>HYPERLINK("http://www.twitter.com/Marwood1987", "Marwood1987")</f>
        <v>Marwood1987</v>
      </c>
      <c r="B27705" s="65" t="s">
        <v>11693</v>
      </c>
    </row>
    <row r="27706" spans="1:2" x14ac:dyDescent="0.25">
      <c r="A27706" s="64" t="str">
        <f>HYPERLINK("http://www.twitter.com/Deludedbee", "Deludedbee")</f>
        <v>Deludedbee</v>
      </c>
      <c r="B27706" s="65"/>
    </row>
    <row r="27707" spans="1:2" x14ac:dyDescent="0.25">
      <c r="A27707" s="64" t="str">
        <f>HYPERLINK("http://www.twitter.com/20thCFlicks", "20thCFlicks")</f>
        <v>20thCFlicks</v>
      </c>
      <c r="B27707" s="65" t="s">
        <v>11694</v>
      </c>
    </row>
    <row r="27708" spans="1:2" x14ac:dyDescent="0.25">
      <c r="A27708" s="64" t="str">
        <f>HYPERLINK("http://www.twitter.com/c__gallagher", "c__gallagher")</f>
        <v>c__gallagher</v>
      </c>
      <c r="B27708" s="65" t="s">
        <v>138</v>
      </c>
    </row>
    <row r="27709" spans="1:2" x14ac:dyDescent="0.25">
      <c r="A27709" s="64" t="str">
        <f>HYPERLINK("http://www.twitter.com/JamesThorne2", "JamesThorne2")</f>
        <v>JamesThorne2</v>
      </c>
      <c r="B27709" s="65" t="s">
        <v>11695</v>
      </c>
    </row>
    <row r="27710" spans="1:2" x14ac:dyDescent="0.25">
      <c r="A27710" s="64" t="str">
        <f>HYPERLINK("http://www.twitter.com/ruthedaly", "ruthedaly")</f>
        <v>ruthedaly</v>
      </c>
      <c r="B27710" s="65"/>
    </row>
    <row r="27711" spans="1:2" x14ac:dyDescent="0.25">
      <c r="A27711" s="64" t="str">
        <f>HYPERLINK("http://www.twitter.com/lornabclarke", "lornabclarke")</f>
        <v>lornabclarke</v>
      </c>
      <c r="B27711" s="65"/>
    </row>
    <row r="27712" spans="1:2" x14ac:dyDescent="0.25">
      <c r="A27712" s="64" t="str">
        <f>HYPERLINK("http://www.twitter.com/drdillpaul", "drdillpaul")</f>
        <v>drdillpaul</v>
      </c>
      <c r="B27712" s="65" t="s">
        <v>1980</v>
      </c>
    </row>
    <row r="27713" spans="1:2" x14ac:dyDescent="0.25">
      <c r="A27713" s="64" t="str">
        <f>HYPERLINK("http://www.twitter.com/kittyfondue", "kittyfondue")</f>
        <v>kittyfondue</v>
      </c>
      <c r="B27713" s="65" t="s">
        <v>36</v>
      </c>
    </row>
    <row r="27714" spans="1:2" x14ac:dyDescent="0.25">
      <c r="A27714" s="64" t="str">
        <f>HYPERLINK("http://www.twitter.com/lebaroudeur", "lebaroudeur")</f>
        <v>lebaroudeur</v>
      </c>
      <c r="B27714" s="65" t="s">
        <v>296</v>
      </c>
    </row>
    <row r="27715" spans="1:2" x14ac:dyDescent="0.25">
      <c r="A27715" s="64" t="str">
        <f>HYPERLINK("http://www.twitter.com/Greg946", "Greg946")</f>
        <v>Greg946</v>
      </c>
      <c r="B27715" s="65" t="s">
        <v>251</v>
      </c>
    </row>
    <row r="27716" spans="1:2" x14ac:dyDescent="0.25">
      <c r="A27716" s="64" t="str">
        <f>HYPERLINK("http://www.twitter.com/lellyjs", "lellyjs")</f>
        <v>lellyjs</v>
      </c>
      <c r="B27716" s="65"/>
    </row>
    <row r="27717" spans="1:2" x14ac:dyDescent="0.25">
      <c r="A27717" s="64" t="str">
        <f>HYPERLINK("http://www.twitter.com/aidanoneilll", "aidanoneilll")</f>
        <v>aidanoneilll</v>
      </c>
      <c r="B27717" s="65" t="s">
        <v>36</v>
      </c>
    </row>
    <row r="27718" spans="1:2" x14ac:dyDescent="0.25">
      <c r="A27718" s="64" t="str">
        <f>HYPERLINK("http://www.twitter.com/jd1762", "jd1762")</f>
        <v>jd1762</v>
      </c>
      <c r="B27718" s="65"/>
    </row>
    <row r="27719" spans="1:2" x14ac:dyDescent="0.25">
      <c r="A27719" s="64" t="str">
        <f>HYPERLINK("http://www.twitter.com/FileyLibrary", "FileyLibrary")</f>
        <v>FileyLibrary</v>
      </c>
      <c r="B27719" s="65" t="s">
        <v>1030</v>
      </c>
    </row>
    <row r="27720" spans="1:2" x14ac:dyDescent="0.25">
      <c r="A27720" s="64" t="str">
        <f>HYPERLINK("http://www.twitter.com/rabrew", "rabrew")</f>
        <v>rabrew</v>
      </c>
      <c r="B27720" s="65"/>
    </row>
    <row r="27721" spans="1:2" x14ac:dyDescent="0.25">
      <c r="A27721" s="64" t="str">
        <f>HYPERLINK("http://www.twitter.com/wendyldavis", "wendyldavis")</f>
        <v>wendyldavis</v>
      </c>
      <c r="B27721" s="65"/>
    </row>
    <row r="27722" spans="1:2" x14ac:dyDescent="0.25">
      <c r="A27722" s="64" t="str">
        <f>HYPERLINK("http://www.twitter.com/aigwilson", "aigwilson")</f>
        <v>aigwilson</v>
      </c>
      <c r="B27722" s="65" t="s">
        <v>11696</v>
      </c>
    </row>
    <row r="27723" spans="1:2" x14ac:dyDescent="0.25">
      <c r="A27723" s="64" t="str">
        <f>HYPERLINK("http://www.twitter.com/tradrmum", "tradrmum")</f>
        <v>tradrmum</v>
      </c>
      <c r="B27723" s="65"/>
    </row>
    <row r="27724" spans="1:2" x14ac:dyDescent="0.25">
      <c r="A27724" s="64" t="str">
        <f>HYPERLINK("http://www.twitter.com/CRCPress", "CRCPress")</f>
        <v>CRCPress</v>
      </c>
      <c r="B27724" s="65" t="s">
        <v>4978</v>
      </c>
    </row>
    <row r="27725" spans="1:2" x14ac:dyDescent="0.25">
      <c r="A27725" s="64" t="str">
        <f>HYPERLINK("http://www.twitter.com/Magpielly", "Magpielly")</f>
        <v>Magpielly</v>
      </c>
      <c r="B27725" s="65" t="s">
        <v>11697</v>
      </c>
    </row>
    <row r="27726" spans="1:2" x14ac:dyDescent="0.25">
      <c r="A27726" s="64" t="str">
        <f>HYPERLINK("http://www.twitter.com/brookecooks", "brookecooks")</f>
        <v>brookecooks</v>
      </c>
      <c r="B27726" s="65" t="s">
        <v>3779</v>
      </c>
    </row>
    <row r="27727" spans="1:2" x14ac:dyDescent="0.25">
      <c r="A27727" s="64" t="str">
        <f>HYPERLINK("http://www.twitter.com/booboogold", "booboogold")</f>
        <v>booboogold</v>
      </c>
      <c r="B27727" s="65"/>
    </row>
    <row r="27728" spans="1:2" x14ac:dyDescent="0.25">
      <c r="A27728" s="64" t="str">
        <f>HYPERLINK("http://www.twitter.com/Capsruns", "Capsruns")</f>
        <v>Capsruns</v>
      </c>
      <c r="B27728" s="65"/>
    </row>
    <row r="27729" spans="1:2" x14ac:dyDescent="0.25">
      <c r="A27729" s="64" t="str">
        <f>HYPERLINK("http://www.twitter.com/lovethisriver", "lovethisriver")</f>
        <v>lovethisriver</v>
      </c>
      <c r="B27729" s="65"/>
    </row>
    <row r="27730" spans="1:2" x14ac:dyDescent="0.25">
      <c r="A27730" s="64" t="str">
        <f>HYPERLINK("http://www.twitter.com/Tim_Coronel", "Tim_Coronel")</f>
        <v>Tim_Coronel</v>
      </c>
      <c r="B27730" s="65" t="s">
        <v>4147</v>
      </c>
    </row>
    <row r="27731" spans="1:2" x14ac:dyDescent="0.25">
      <c r="A27731" s="64" t="str">
        <f>HYPERLINK("http://www.twitter.com/TheIndyScot", "TheIndyScot")</f>
        <v>TheIndyScot</v>
      </c>
      <c r="B27731" s="65" t="s">
        <v>517</v>
      </c>
    </row>
    <row r="27732" spans="1:2" x14ac:dyDescent="0.25">
      <c r="A27732" s="64" t="str">
        <f>HYPERLINK("http://www.twitter.com/CabbagePatchCat", "CabbagePatchCat")</f>
        <v>CabbagePatchCat</v>
      </c>
      <c r="B27732" s="65" t="s">
        <v>11698</v>
      </c>
    </row>
    <row r="27733" spans="1:2" x14ac:dyDescent="0.25">
      <c r="A27733" s="64" t="str">
        <f>HYPERLINK("http://www.twitter.com/museumsarah", "museumsarah")</f>
        <v>museumsarah</v>
      </c>
      <c r="B27733" s="65" t="s">
        <v>11699</v>
      </c>
    </row>
    <row r="27734" spans="1:2" x14ac:dyDescent="0.25">
      <c r="A27734" s="64" t="str">
        <f>HYPERLINK("http://www.twitter.com/sunflower_114", "sunflower_114")</f>
        <v>sunflower_114</v>
      </c>
      <c r="B27734" s="65"/>
    </row>
    <row r="27735" spans="1:2" x14ac:dyDescent="0.25">
      <c r="A27735" s="64" t="str">
        <f>HYPERLINK("http://www.twitter.com/Orkneychocolate", "Orkneychocolate")</f>
        <v>Orkneychocolate</v>
      </c>
      <c r="B27735" s="65" t="s">
        <v>11700</v>
      </c>
    </row>
    <row r="27736" spans="1:2" x14ac:dyDescent="0.25">
      <c r="A27736" s="64" t="str">
        <f>HYPERLINK("http://www.twitter.com/IwasntInvited", "IwasntInvited")</f>
        <v>IwasntInvited</v>
      </c>
      <c r="B27736" s="65" t="s">
        <v>110</v>
      </c>
    </row>
    <row r="27737" spans="1:2" x14ac:dyDescent="0.25">
      <c r="A27737" s="64" t="str">
        <f>HYPERLINK("http://www.twitter.com/VikingCaithness", "VikingCaithness")</f>
        <v>VikingCaithness</v>
      </c>
      <c r="B27737" s="65" t="s">
        <v>11701</v>
      </c>
    </row>
    <row r="27738" spans="1:2" x14ac:dyDescent="0.25">
      <c r="A27738" s="64" t="str">
        <f>HYPERLINK("http://www.twitter.com/rachseator", "rachseator")</f>
        <v>rachseator</v>
      </c>
      <c r="B27738" s="65" t="s">
        <v>808</v>
      </c>
    </row>
    <row r="27739" spans="1:2" x14ac:dyDescent="0.25">
      <c r="A27739" s="64" t="str">
        <f>HYPERLINK("http://www.twitter.com/HI_ScotCU", "HI_ScotCU")</f>
        <v>HI_ScotCU</v>
      </c>
      <c r="B27739" s="65" t="s">
        <v>4609</v>
      </c>
    </row>
    <row r="27740" spans="1:2" x14ac:dyDescent="0.25">
      <c r="A27740" s="64" t="str">
        <f>HYPERLINK("http://www.twitter.com/ebreah", "ebreah")</f>
        <v>ebreah</v>
      </c>
      <c r="B27740" s="65" t="s">
        <v>11702</v>
      </c>
    </row>
    <row r="27741" spans="1:2" x14ac:dyDescent="0.25">
      <c r="A27741" s="64" t="str">
        <f>HYPERLINK("http://www.twitter.com/TheResumeGenius", "TheResumeGenius")</f>
        <v>TheResumeGenius</v>
      </c>
      <c r="B27741" s="65" t="s">
        <v>11703</v>
      </c>
    </row>
    <row r="27742" spans="1:2" x14ac:dyDescent="0.25">
      <c r="A27742" s="64" t="str">
        <f>HYPERLINK("http://www.twitter.com/MadeinCaledonia", "MadeinCaledonia")</f>
        <v>MadeinCaledonia</v>
      </c>
      <c r="B27742" s="65" t="s">
        <v>4108</v>
      </c>
    </row>
    <row r="27743" spans="1:2" x14ac:dyDescent="0.25">
      <c r="A27743" s="64" t="str">
        <f>HYPERLINK("http://www.twitter.com/themerrydancer", "themerrydancer")</f>
        <v>themerrydancer</v>
      </c>
      <c r="B27743" s="65" t="s">
        <v>4327</v>
      </c>
    </row>
    <row r="27744" spans="1:2" x14ac:dyDescent="0.25">
      <c r="A27744" s="64" t="str">
        <f>HYPERLINK("http://www.twitter.com/OmniscienciaB", "OmniscienciaB")</f>
        <v>OmniscienciaB</v>
      </c>
      <c r="B27744" s="65" t="s">
        <v>11704</v>
      </c>
    </row>
    <row r="27745" spans="1:2" x14ac:dyDescent="0.25">
      <c r="A27745" s="64" t="str">
        <f>HYPERLINK("http://www.twitter.com/kitsgordon", "kitsgordon")</f>
        <v>kitsgordon</v>
      </c>
      <c r="B27745" s="65"/>
    </row>
    <row r="27746" spans="1:2" x14ac:dyDescent="0.25">
      <c r="A27746" s="64" t="str">
        <f>HYPERLINK("http://www.twitter.com/wrigleyandreel", "wrigleyandreel")</f>
        <v>wrigleyandreel</v>
      </c>
      <c r="B27746" s="65" t="s">
        <v>4227</v>
      </c>
    </row>
    <row r="27747" spans="1:2" x14ac:dyDescent="0.25">
      <c r="A27747" s="64" t="str">
        <f>HYPERLINK("http://www.twitter.com/GrimbisterO", "GrimbisterO")</f>
        <v>GrimbisterO</v>
      </c>
      <c r="B27747" s="65"/>
    </row>
    <row r="27748" spans="1:2" x14ac:dyDescent="0.25">
      <c r="A27748" s="64" t="str">
        <f>HYPERLINK("http://www.twitter.com/orcadian1973", "orcadian1973")</f>
        <v>orcadian1973</v>
      </c>
      <c r="B27748" s="65"/>
    </row>
    <row r="27749" spans="1:2" x14ac:dyDescent="0.25">
      <c r="A27749" s="64" t="str">
        <f>HYPERLINK("http://www.twitter.com/pattownshend1", "pattownshend1")</f>
        <v>pattownshend1</v>
      </c>
      <c r="B27749" s="65" t="s">
        <v>11705</v>
      </c>
    </row>
    <row r="27750" spans="1:2" x14ac:dyDescent="0.25">
      <c r="A27750" s="64" t="str">
        <f>HYPERLINK("http://www.twitter.com/ravintukta", "ravintukta")</f>
        <v>ravintukta</v>
      </c>
      <c r="B27750" s="65" t="s">
        <v>3777</v>
      </c>
    </row>
    <row r="27751" spans="1:2" x14ac:dyDescent="0.25">
      <c r="A27751" s="64" t="str">
        <f>HYPERLINK("http://www.twitter.com/agentjenny", "agentjenny")</f>
        <v>agentjenny</v>
      </c>
      <c r="B27751" s="65" t="s">
        <v>24</v>
      </c>
    </row>
    <row r="27752" spans="1:2" x14ac:dyDescent="0.25">
      <c r="A27752" s="64" t="str">
        <f>HYPERLINK("http://www.twitter.com/JulieDuchess", "JulieDuchess")</f>
        <v>JulieDuchess</v>
      </c>
      <c r="B27752" s="65"/>
    </row>
    <row r="27753" spans="1:2" x14ac:dyDescent="0.25">
      <c r="A27753" s="64" t="str">
        <f>HYPERLINK("http://www.twitter.com/ClarkieBum", "ClarkieBum")</f>
        <v>ClarkieBum</v>
      </c>
      <c r="B27753" s="65" t="s">
        <v>11706</v>
      </c>
    </row>
    <row r="27754" spans="1:2" x14ac:dyDescent="0.25">
      <c r="A27754" s="64" t="str">
        <f>HYPERLINK("http://www.twitter.com/elstopbanana", "elstopbanana")</f>
        <v>elstopbanana</v>
      </c>
      <c r="B27754" s="65" t="s">
        <v>3650</v>
      </c>
    </row>
    <row r="27755" spans="1:2" x14ac:dyDescent="0.25">
      <c r="A27755" s="64" t="str">
        <f>HYPERLINK("http://www.twitter.com/phugh18", "phugh18")</f>
        <v>phugh18</v>
      </c>
      <c r="B27755" s="65"/>
    </row>
    <row r="27756" spans="1:2" x14ac:dyDescent="0.25">
      <c r="A27756" s="64" t="str">
        <f>HYPERLINK("http://www.twitter.com/AlisonConnell", "AlisonConnell")</f>
        <v>AlisonConnell</v>
      </c>
      <c r="B27756" s="65" t="s">
        <v>2232</v>
      </c>
    </row>
    <row r="27757" spans="1:2" x14ac:dyDescent="0.25">
      <c r="A27757" s="64" t="str">
        <f>HYPERLINK("http://www.twitter.com/101jasper", "101jasper")</f>
        <v>101jasper</v>
      </c>
      <c r="B27757" s="65" t="s">
        <v>421</v>
      </c>
    </row>
    <row r="27758" spans="1:2" x14ac:dyDescent="0.25">
      <c r="A27758" s="64" t="str">
        <f>HYPERLINK("http://www.twitter.com/HfdsLibraries", "HfdsLibraries")</f>
        <v>HfdsLibraries</v>
      </c>
      <c r="B27758" s="65" t="s">
        <v>3656</v>
      </c>
    </row>
    <row r="27759" spans="1:2" x14ac:dyDescent="0.25">
      <c r="A27759" s="64" t="str">
        <f>HYPERLINK("http://www.twitter.com/CityCentreLeith", "CityCentreLeith")</f>
        <v>CityCentreLeith</v>
      </c>
      <c r="B27759" s="65" t="s">
        <v>11707</v>
      </c>
    </row>
    <row r="27760" spans="1:2" x14ac:dyDescent="0.25">
      <c r="A27760" s="64" t="str">
        <f>HYPERLINK("http://www.twitter.com/screen_machine", "screen_machine")</f>
        <v>screen_machine</v>
      </c>
      <c r="B27760" s="65" t="s">
        <v>517</v>
      </c>
    </row>
    <row r="27761" spans="1:2" x14ac:dyDescent="0.25">
      <c r="A27761" s="64" t="str">
        <f>HYPERLINK("http://www.twitter.com/nycclibraries", "nycclibraries")</f>
        <v>nycclibraries</v>
      </c>
      <c r="B27761" s="65" t="s">
        <v>3660</v>
      </c>
    </row>
    <row r="27762" spans="1:2" x14ac:dyDescent="0.25">
      <c r="A27762" s="64" t="str">
        <f>HYPERLINK("http://www.twitter.com/PMCharleson", "PMCharleson")</f>
        <v>PMCharleson</v>
      </c>
      <c r="B27762" s="65" t="s">
        <v>5807</v>
      </c>
    </row>
    <row r="27763" spans="1:2" x14ac:dyDescent="0.25">
      <c r="A27763" s="64" t="str">
        <f>HYPERLINK("http://www.twitter.com/cathycassidyxx", "cathycassidyxx")</f>
        <v>cathycassidyxx</v>
      </c>
      <c r="B27763" s="65"/>
    </row>
    <row r="27764" spans="1:2" x14ac:dyDescent="0.25">
      <c r="A27764" s="64" t="str">
        <f>HYPERLINK("http://www.twitter.com/BloodyPolitics", "BloodyPolitics")</f>
        <v>BloodyPolitics</v>
      </c>
      <c r="B27764" s="65" t="s">
        <v>70</v>
      </c>
    </row>
    <row r="27765" spans="1:2" x14ac:dyDescent="0.25">
      <c r="A27765" s="64" t="str">
        <f>HYPERLINK("http://www.twitter.com/Andrew_Cow", "Andrew_Cow")</f>
        <v>Andrew_Cow</v>
      </c>
      <c r="B27765" s="65" t="s">
        <v>24</v>
      </c>
    </row>
    <row r="27766" spans="1:2" x14ac:dyDescent="0.25">
      <c r="A27766" s="64" t="str">
        <f>HYPERLINK("http://www.twitter.com/DavieBalfour", "DavieBalfour")</f>
        <v>DavieBalfour</v>
      </c>
      <c r="B27766" s="65" t="s">
        <v>11708</v>
      </c>
    </row>
    <row r="27767" spans="1:2" x14ac:dyDescent="0.25">
      <c r="A27767" s="64" t="str">
        <f>HYPERLINK("http://www.twitter.com/KatieFlackAU", "KatieFlackAU")</f>
        <v>KatieFlackAU</v>
      </c>
      <c r="B27767" s="65" t="s">
        <v>4147</v>
      </c>
    </row>
    <row r="27768" spans="1:2" x14ac:dyDescent="0.25">
      <c r="A27768" s="64" t="str">
        <f>HYPERLINK("http://www.twitter.com/brite_5", "brite_5")</f>
        <v>brite_5</v>
      </c>
      <c r="B27768" s="65" t="s">
        <v>11709</v>
      </c>
    </row>
    <row r="27769" spans="1:2" x14ac:dyDescent="0.25">
      <c r="A27769" s="64" t="str">
        <f>HYPERLINK("http://www.twitter.com/MelloMoonshine", "MelloMoonshine")</f>
        <v>MelloMoonshine</v>
      </c>
      <c r="B27769" s="65" t="s">
        <v>11710</v>
      </c>
    </row>
    <row r="27770" spans="1:2" x14ac:dyDescent="0.25">
      <c r="A27770" s="64" t="str">
        <f>HYPERLINK("http://www.twitter.com/AlunHughes", "AlunHughes")</f>
        <v>AlunHughes</v>
      </c>
      <c r="B27770" s="65" t="s">
        <v>4822</v>
      </c>
    </row>
    <row r="27771" spans="1:2" x14ac:dyDescent="0.25">
      <c r="A27771" s="64" t="str">
        <f>HYPERLINK("http://www.twitter.com/LettersDesk", "LettersDesk")</f>
        <v>LettersDesk</v>
      </c>
      <c r="B27771" s="65" t="s">
        <v>36</v>
      </c>
    </row>
    <row r="27772" spans="1:2" x14ac:dyDescent="0.25">
      <c r="A27772" s="64" t="str">
        <f>HYPERLINK("http://www.twitter.com/alysondalby", "alysondalby")</f>
        <v>alysondalby</v>
      </c>
      <c r="B27772" s="65" t="s">
        <v>11711</v>
      </c>
    </row>
    <row r="27773" spans="1:2" x14ac:dyDescent="0.25">
      <c r="A27773" s="64" t="str">
        <f>HYPERLINK("http://www.twitter.com/treasurefish", "treasurefish")</f>
        <v>treasurefish</v>
      </c>
      <c r="B27773" s="65" t="s">
        <v>8120</v>
      </c>
    </row>
    <row r="27774" spans="1:2" x14ac:dyDescent="0.25">
      <c r="A27774" s="64" t="str">
        <f>HYPERLINK("http://www.twitter.com/GrowlyCub", "GrowlyCub")</f>
        <v>GrowlyCub</v>
      </c>
      <c r="B27774" s="65" t="s">
        <v>477</v>
      </c>
    </row>
    <row r="27775" spans="1:2" x14ac:dyDescent="0.25">
      <c r="A27775" s="64" t="str">
        <f>HYPERLINK("http://www.twitter.com/mrs_thn", "mrs_thn")</f>
        <v>mrs_thn</v>
      </c>
      <c r="B27775" s="65" t="s">
        <v>517</v>
      </c>
    </row>
    <row r="27776" spans="1:2" x14ac:dyDescent="0.25">
      <c r="A27776" s="64" t="str">
        <f>HYPERLINK("http://www.twitter.com/ShetlandMandA", "ShetlandMandA")</f>
        <v>ShetlandMandA</v>
      </c>
      <c r="B27776" s="65"/>
    </row>
    <row r="27777" spans="1:2" x14ac:dyDescent="0.25">
      <c r="A27777" s="64" t="str">
        <f>HYPERLINK("http://www.twitter.com/OrkneyCraftAssn", "OrkneyCraftAssn")</f>
        <v>OrkneyCraftAssn</v>
      </c>
      <c r="B27777" s="65" t="s">
        <v>5824</v>
      </c>
    </row>
    <row r="27778" spans="1:2" x14ac:dyDescent="0.25">
      <c r="A27778" s="64" t="str">
        <f>HYPERLINK("http://www.twitter.com/DawnLPike", "DawnLPike")</f>
        <v>DawnLPike</v>
      </c>
      <c r="B27778" s="65" t="s">
        <v>138</v>
      </c>
    </row>
    <row r="27779" spans="1:2" x14ac:dyDescent="0.25">
      <c r="A27779" s="64" t="str">
        <f>HYPERLINK("http://www.twitter.com/CumbriaArchives", "CumbriaArchives")</f>
        <v>CumbriaArchives</v>
      </c>
      <c r="B27779" s="65" t="s">
        <v>1417</v>
      </c>
    </row>
    <row r="27780" spans="1:2" x14ac:dyDescent="0.25">
      <c r="A27780" s="64" t="str">
        <f>HYPERLINK("http://www.twitter.com/ArgeAlmond", "ArgeAlmond")</f>
        <v>ArgeAlmond</v>
      </c>
      <c r="B27780" s="65" t="s">
        <v>3775</v>
      </c>
    </row>
    <row r="27781" spans="1:2" x14ac:dyDescent="0.25">
      <c r="A27781" s="64" t="str">
        <f>HYPERLINK("http://www.twitter.com/ScottishReview", "ScottishReview")</f>
        <v>ScottishReview</v>
      </c>
      <c r="B27781" s="65" t="s">
        <v>11712</v>
      </c>
    </row>
    <row r="27782" spans="1:2" x14ac:dyDescent="0.25">
      <c r="A27782" s="64" t="str">
        <f>HYPERLINK("http://www.twitter.com/nay_beckett", "nay_beckett")</f>
        <v>nay_beckett</v>
      </c>
      <c r="B27782" s="65" t="s">
        <v>514</v>
      </c>
    </row>
    <row r="27783" spans="1:2" x14ac:dyDescent="0.25">
      <c r="A27783" s="64" t="str">
        <f>HYPERLINK("http://www.twitter.com/OrkneyCollege", "OrkneyCollege")</f>
        <v>OrkneyCollege</v>
      </c>
      <c r="B27783" s="65" t="s">
        <v>20</v>
      </c>
    </row>
    <row r="27784" spans="1:2" x14ac:dyDescent="0.25">
      <c r="A27784" s="64" t="str">
        <f>HYPERLINK("http://www.twitter.com/A2_SN", "A2_SN")</f>
        <v>A2_SN</v>
      </c>
      <c r="B27784" s="65" t="s">
        <v>70</v>
      </c>
    </row>
    <row r="27785" spans="1:2" x14ac:dyDescent="0.25">
      <c r="A27785" s="64" t="str">
        <f>HYPERLINK("http://www.twitter.com/archive_girl", "archive_girl")</f>
        <v>archive_girl</v>
      </c>
      <c r="B27785" s="65" t="s">
        <v>36</v>
      </c>
    </row>
    <row r="27786" spans="1:2" x14ac:dyDescent="0.25">
      <c r="A27786" s="64" t="str">
        <f>HYPERLINK("http://www.twitter.com/gillianfewings", "gillianfewings")</f>
        <v>gillianfewings</v>
      </c>
      <c r="B27786" s="65" t="s">
        <v>5970</v>
      </c>
    </row>
    <row r="27787" spans="1:2" x14ac:dyDescent="0.25">
      <c r="A27787" s="64" t="str">
        <f>HYPERLINK("http://www.twitter.com/JulieGoldsworth", "JulieGoldsworth")</f>
        <v>JulieGoldsworth</v>
      </c>
      <c r="B27787" s="65"/>
    </row>
    <row r="27788" spans="1:2" x14ac:dyDescent="0.25">
      <c r="A27788" s="64" t="str">
        <f>HYPERLINK("http://www.twitter.com/shaplass91", "shaplass91")</f>
        <v>shaplass91</v>
      </c>
      <c r="B27788" s="65" t="s">
        <v>5667</v>
      </c>
    </row>
    <row r="27789" spans="1:2" x14ac:dyDescent="0.25">
      <c r="A27789" s="64" t="str">
        <f>HYPERLINK("http://www.twitter.com/Aseel_Qn", "Aseel_Qn")</f>
        <v>Aseel_Qn</v>
      </c>
      <c r="B27789" s="65"/>
    </row>
    <row r="27790" spans="1:2" x14ac:dyDescent="0.25">
      <c r="A27790" s="64" t="str">
        <f>HYPERLINK("http://www.twitter.com/hjsnhslks", "hjsnhslks")</f>
        <v>hjsnhslks</v>
      </c>
      <c r="B27790" s="65" t="s">
        <v>180</v>
      </c>
    </row>
    <row r="27791" spans="1:2" x14ac:dyDescent="0.25">
      <c r="A27791" s="64" t="str">
        <f>HYPERLINK("http://www.twitter.com/YLGScotland", "YLGScotland")</f>
        <v>YLGScotland</v>
      </c>
      <c r="B27791" s="65"/>
    </row>
    <row r="27792" spans="1:2" x14ac:dyDescent="0.25">
      <c r="A27792" s="64" t="str">
        <f>HYPERLINK("http://www.twitter.com/Lady_Catling", "Lady_Catling")</f>
        <v>Lady_Catling</v>
      </c>
      <c r="B27792" s="65"/>
    </row>
    <row r="27793" spans="1:2" x14ac:dyDescent="0.25">
      <c r="A27793" s="64" t="str">
        <f>HYPERLINK("http://www.twitter.com/MadeinScot", "MadeinScot")</f>
        <v>MadeinScot</v>
      </c>
      <c r="B27793" s="65" t="s">
        <v>11713</v>
      </c>
    </row>
    <row r="27794" spans="1:2" x14ac:dyDescent="0.25">
      <c r="A27794" s="64" t="str">
        <f>HYPERLINK("http://www.twitter.com/greenwichlibs", "greenwichlibs")</f>
        <v>greenwichlibs</v>
      </c>
      <c r="B27794" s="65" t="s">
        <v>840</v>
      </c>
    </row>
    <row r="27795" spans="1:2" x14ac:dyDescent="0.25">
      <c r="A27795" s="64" t="str">
        <f>HYPERLINK("http://www.twitter.com/anguslyon14", "anguslyon14")</f>
        <v>anguslyon14</v>
      </c>
      <c r="B27795" s="65" t="s">
        <v>517</v>
      </c>
    </row>
    <row r="27796" spans="1:2" x14ac:dyDescent="0.25">
      <c r="A27796" s="64" t="str">
        <f>HYPERLINK("http://www.twitter.com/orkneyjill", "orkneyjill")</f>
        <v>orkneyjill</v>
      </c>
      <c r="B27796" s="65" t="s">
        <v>11714</v>
      </c>
    </row>
    <row r="27797" spans="1:2" x14ac:dyDescent="0.25">
      <c r="A27797" s="64" t="str">
        <f>HYPERLINK("http://www.twitter.com/islandsref", "islandsref")</f>
        <v>islandsref</v>
      </c>
      <c r="B27797" s="65"/>
    </row>
    <row r="27798" spans="1:2" x14ac:dyDescent="0.25">
      <c r="A27798" s="64" t="str">
        <f>HYPERLINK("http://www.twitter.com/LorettasJournal", "LorettasJournal")</f>
        <v>LorettasJournal</v>
      </c>
      <c r="B27798" s="65" t="s">
        <v>11715</v>
      </c>
    </row>
    <row r="27799" spans="1:2" x14ac:dyDescent="0.25">
      <c r="A27799" s="64" t="str">
        <f>HYPERLINK("http://www.twitter.com/Merry_Ferry", "Merry_Ferry")</f>
        <v>Merry_Ferry</v>
      </c>
      <c r="B27799" s="65" t="s">
        <v>11716</v>
      </c>
    </row>
    <row r="27800" spans="1:2" x14ac:dyDescent="0.25">
      <c r="A27800" s="64" t="str">
        <f>HYPERLINK("http://www.twitter.com/naverMuseum", "naverMuseum")</f>
        <v>naverMuseum</v>
      </c>
      <c r="B27800" s="65" t="s">
        <v>11717</v>
      </c>
    </row>
    <row r="27801" spans="1:2" x14ac:dyDescent="0.25">
      <c r="A27801" s="64" t="str">
        <f>HYPERLINK("http://www.twitter.com/HazelWilson10", "HazelWilson10")</f>
        <v>HazelWilson10</v>
      </c>
      <c r="B27801" s="65" t="s">
        <v>5852</v>
      </c>
    </row>
    <row r="27802" spans="1:2" x14ac:dyDescent="0.25">
      <c r="A27802" s="64" t="str">
        <f>HYPERLINK("http://www.twitter.com/Ktyb_NDGIP", "Ktyb_NDGIP")</f>
        <v>Ktyb_NDGIP</v>
      </c>
      <c r="B27802" s="65" t="s">
        <v>6298</v>
      </c>
    </row>
    <row r="27803" spans="1:2" x14ac:dyDescent="0.25">
      <c r="A27803" s="64" t="str">
        <f>HYPERLINK("http://www.twitter.com/HelenEntwistle", "HelenEntwistle")</f>
        <v>HelenEntwistle</v>
      </c>
      <c r="B27803" s="65"/>
    </row>
    <row r="27804" spans="1:2" x14ac:dyDescent="0.25">
      <c r="A27804" s="64" t="str">
        <f>HYPERLINK("http://www.twitter.com/richardm_brown", "richardm_brown")</f>
        <v>richardm_brown</v>
      </c>
      <c r="B27804" s="65" t="s">
        <v>1046</v>
      </c>
    </row>
    <row r="27805" spans="1:2" x14ac:dyDescent="0.25">
      <c r="A27805" s="64" t="str">
        <f>HYPERLINK("http://www.twitter.com/CILSLtd", "CILSLtd")</f>
        <v>CILSLtd</v>
      </c>
      <c r="B27805" s="65" t="s">
        <v>11718</v>
      </c>
    </row>
    <row r="27806" spans="1:2" x14ac:dyDescent="0.25">
      <c r="A27806" s="64" t="str">
        <f>HYPERLINK("http://www.twitter.com/mcspew", "mcspew")</f>
        <v>mcspew</v>
      </c>
      <c r="B27806" s="65" t="s">
        <v>2030</v>
      </c>
    </row>
    <row r="27807" spans="1:2" x14ac:dyDescent="0.25">
      <c r="A27807" s="64" t="str">
        <f>HYPERLINK("http://www.twitter.com/XanthaCards", "XanthaCards")</f>
        <v>XanthaCards</v>
      </c>
      <c r="B27807" s="65"/>
    </row>
    <row r="27808" spans="1:2" x14ac:dyDescent="0.25">
      <c r="A27808" s="64" t="str">
        <f>HYPERLINK("http://www.twitter.com/Disco_Bacon", "Disco_Bacon")</f>
        <v>Disco_Bacon</v>
      </c>
      <c r="B27808" s="65"/>
    </row>
    <row r="27809" spans="1:2" x14ac:dyDescent="0.25">
      <c r="A27809" s="64" t="str">
        <f>HYPERLINK("http://www.twitter.com/welshsprite", "welshsprite")</f>
        <v>welshsprite</v>
      </c>
      <c r="B27809" s="65"/>
    </row>
    <row r="27810" spans="1:2" x14ac:dyDescent="0.25">
      <c r="A27810" s="64" t="str">
        <f>HYPERLINK("http://www.twitter.com/sarahjsmiff", "sarahjsmiff")</f>
        <v>sarahjsmiff</v>
      </c>
      <c r="B27810" s="65" t="s">
        <v>11719</v>
      </c>
    </row>
    <row r="27811" spans="1:2" x14ac:dyDescent="0.25">
      <c r="A27811" s="64" t="str">
        <f>HYPERLINK("http://www.twitter.com/SweetToothBird", "SweetToothBird")</f>
        <v>SweetToothBird</v>
      </c>
      <c r="B27811" s="65" t="s">
        <v>3787</v>
      </c>
    </row>
    <row r="27812" spans="1:2" x14ac:dyDescent="0.25">
      <c r="A27812" s="64" t="str">
        <f>HYPERLINK("http://www.twitter.com/libra_GeBa", "libra_GeBa")</f>
        <v>libra_GeBa</v>
      </c>
      <c r="B27812" s="65"/>
    </row>
    <row r="27813" spans="1:2" x14ac:dyDescent="0.25">
      <c r="A27813" s="64" t="str">
        <f>HYPERLINK("http://www.twitter.com/captainzug", "captainzug")</f>
        <v>captainzug</v>
      </c>
      <c r="B27813" s="65" t="s">
        <v>11720</v>
      </c>
    </row>
    <row r="27814" spans="1:2" x14ac:dyDescent="0.25">
      <c r="A27814" s="64" t="str">
        <f>HYPERLINK("http://www.twitter.com/lynchmobshef", "lynchmobshef")</f>
        <v>lynchmobshef</v>
      </c>
      <c r="B27814" s="65" t="s">
        <v>11721</v>
      </c>
    </row>
    <row r="27815" spans="1:2" x14ac:dyDescent="0.25">
      <c r="A27815" s="64" t="str">
        <f>HYPERLINK("http://www.twitter.com/maryclarex1", "maryclarex1")</f>
        <v>maryclarex1</v>
      </c>
      <c r="B27815" s="65"/>
    </row>
    <row r="27816" spans="1:2" x14ac:dyDescent="0.25">
      <c r="A27816" s="64" t="str">
        <f>HYPERLINK("http://www.twitter.com/HJH282", "HJH282")</f>
        <v>HJH282</v>
      </c>
      <c r="B27816" s="65" t="s">
        <v>11722</v>
      </c>
    </row>
    <row r="27817" spans="1:2" x14ac:dyDescent="0.25">
      <c r="A27817" s="64" t="str">
        <f>HYPERLINK("http://www.twitter.com/flaherty_grace", "flaherty_grace")</f>
        <v>flaherty_grace</v>
      </c>
      <c r="B27817" s="65" t="s">
        <v>2007</v>
      </c>
    </row>
    <row r="27818" spans="1:2" x14ac:dyDescent="0.25">
      <c r="A27818" s="64" t="str">
        <f>HYPERLINK("http://www.twitter.com/BedsLibraries", "BedsLibraries")</f>
        <v>BedsLibraries</v>
      </c>
      <c r="B27818" s="65" t="s">
        <v>782</v>
      </c>
    </row>
    <row r="27819" spans="1:2" x14ac:dyDescent="0.25">
      <c r="A27819" s="64" t="str">
        <f>HYPERLINK("http://www.twitter.com/Carol_Cook7", "Carol_Cook7")</f>
        <v>Carol_Cook7</v>
      </c>
      <c r="B27819" s="65"/>
    </row>
    <row r="27820" spans="1:2" x14ac:dyDescent="0.25">
      <c r="A27820" s="64" t="str">
        <f>HYPERLINK("http://www.twitter.com/Libbysutho", "Libbysutho")</f>
        <v>Libbysutho</v>
      </c>
      <c r="B27820" s="65"/>
    </row>
    <row r="27821" spans="1:2" x14ac:dyDescent="0.25">
      <c r="A27821" s="64" t="str">
        <f>HYPERLINK("http://www.twitter.com/cerisvdv", "cerisvdv")</f>
        <v>cerisvdv</v>
      </c>
      <c r="B27821" s="65"/>
    </row>
    <row r="27822" spans="1:2" x14ac:dyDescent="0.25">
      <c r="A27822" s="64" t="str">
        <f>HYPERLINK("http://www.twitter.com/beak0609", "beak0609")</f>
        <v>beak0609</v>
      </c>
      <c r="B27822" s="65" t="s">
        <v>36</v>
      </c>
    </row>
    <row r="27823" spans="1:2" x14ac:dyDescent="0.25">
      <c r="A27823" s="64" t="str">
        <f>HYPERLINK("http://www.twitter.com/TimRustige", "TimRustige")</f>
        <v>TimRustige</v>
      </c>
      <c r="B27823" s="65" t="s">
        <v>296</v>
      </c>
    </row>
    <row r="27824" spans="1:2" x14ac:dyDescent="0.25">
      <c r="A27824" s="64" t="str">
        <f>HYPERLINK("http://www.twitter.com/govangal68", "govangal68")</f>
        <v>govangal68</v>
      </c>
      <c r="B27824" s="65" t="s">
        <v>138</v>
      </c>
    </row>
    <row r="27825" spans="1:2" x14ac:dyDescent="0.25">
      <c r="A27825" s="64" t="str">
        <f>HYPERLINK("http://www.twitter.com/JulieBailey16", "JulieBailey16")</f>
        <v>JulieBailey16</v>
      </c>
      <c r="B27825" s="65"/>
    </row>
    <row r="27826" spans="1:2" x14ac:dyDescent="0.25">
      <c r="A27826" s="64" t="str">
        <f>HYPERLINK("http://www.twitter.com/CloningPandas", "CloningPandas")</f>
        <v>CloningPandas</v>
      </c>
      <c r="B27826" s="65" t="s">
        <v>3040</v>
      </c>
    </row>
    <row r="27827" spans="1:2" x14ac:dyDescent="0.25">
      <c r="A27827" s="64" t="str">
        <f>HYPERLINK("http://www.twitter.com/AspaGenie", "AspaGenie")</f>
        <v>AspaGenie</v>
      </c>
      <c r="B27827" s="65"/>
    </row>
    <row r="27828" spans="1:2" x14ac:dyDescent="0.25">
      <c r="A27828" s="64" t="str">
        <f>HYPERLINK("http://www.twitter.com/roy_gill", "roy_gill")</f>
        <v>roy_gill</v>
      </c>
      <c r="B27828" s="65" t="s">
        <v>24</v>
      </c>
    </row>
    <row r="27829" spans="1:2" x14ac:dyDescent="0.25">
      <c r="A27829" s="64" t="str">
        <f>HYPERLINK("http://www.twitter.com/LGLPalmer", "LGLPalmer")</f>
        <v>LGLPalmer</v>
      </c>
      <c r="B27829" s="65" t="s">
        <v>1295</v>
      </c>
    </row>
    <row r="27830" spans="1:2" x14ac:dyDescent="0.25">
      <c r="A27830" s="64" t="str">
        <f>HYPERLINK("http://www.twitter.com/thebeardlessone", "thebeardlessone")</f>
        <v>thebeardlessone</v>
      </c>
      <c r="B27830" s="65" t="s">
        <v>717</v>
      </c>
    </row>
    <row r="27831" spans="1:2" x14ac:dyDescent="0.25">
      <c r="A27831" s="64" t="str">
        <f>HYPERLINK("http://www.twitter.com/JaneWalker", "JaneWalker")</f>
        <v>JaneWalker</v>
      </c>
      <c r="B27831" s="65" t="s">
        <v>24</v>
      </c>
    </row>
    <row r="27832" spans="1:2" x14ac:dyDescent="0.25">
      <c r="A27832" s="64" t="str">
        <f>HYPERLINK("http://www.twitter.com/maxinebranagh", "maxinebranagh")</f>
        <v>maxinebranagh</v>
      </c>
      <c r="B27832" s="65" t="s">
        <v>24</v>
      </c>
    </row>
    <row r="27833" spans="1:2" x14ac:dyDescent="0.25">
      <c r="A27833" s="64" t="str">
        <f>HYPERLINK("http://www.twitter.com/elliephant124", "elliephant124")</f>
        <v>elliephant124</v>
      </c>
      <c r="B27833" s="65"/>
    </row>
    <row r="27834" spans="1:2" x14ac:dyDescent="0.25">
      <c r="A27834" s="64" t="str">
        <f>HYPERLINK("http://www.twitter.com/cambslib", "cambslib")</f>
        <v>cambslib</v>
      </c>
      <c r="B27834" s="65" t="s">
        <v>372</v>
      </c>
    </row>
    <row r="27835" spans="1:2" x14ac:dyDescent="0.25">
      <c r="A27835" s="64" t="str">
        <f>HYPERLINK("http://www.twitter.com/NiamhNiChreimin", "NiamhNiChreimin")</f>
        <v>NiamhNiChreimin</v>
      </c>
      <c r="B27835" s="65" t="s">
        <v>5007</v>
      </c>
    </row>
    <row r="27836" spans="1:2" x14ac:dyDescent="0.25">
      <c r="A27836" s="64" t="str">
        <f>HYPERLINK("http://www.twitter.com/FionnMcArthur", "FionnMcArthur")</f>
        <v>FionnMcArthur</v>
      </c>
      <c r="B27836" s="65"/>
    </row>
    <row r="27837" spans="1:2" x14ac:dyDescent="0.25">
      <c r="A27837" s="64" t="str">
        <f>HYPERLINK("http://www.twitter.com/d_gray_writer", "d_gray_writer")</f>
        <v>d_gray_writer</v>
      </c>
      <c r="B27837" s="65" t="s">
        <v>4537</v>
      </c>
    </row>
    <row r="27838" spans="1:2" x14ac:dyDescent="0.25">
      <c r="A27838" s="64" t="str">
        <f>HYPERLINK("http://www.twitter.com/SeonaidGlasgow", "SeonaidGlasgow")</f>
        <v>SeonaidGlasgow</v>
      </c>
      <c r="B27838" s="65" t="s">
        <v>10335</v>
      </c>
    </row>
    <row r="27839" spans="1:2" x14ac:dyDescent="0.25">
      <c r="A27839" s="64" t="str">
        <f>HYPERLINK("http://www.twitter.com/Cateranfan", "Cateranfan")</f>
        <v>Cateranfan</v>
      </c>
      <c r="B27839" s="65" t="s">
        <v>4050</v>
      </c>
    </row>
    <row r="27840" spans="1:2" x14ac:dyDescent="0.25">
      <c r="A27840" s="64" t="str">
        <f>HYPERLINK("http://www.twitter.com/AdConsul_org", "AdConsul_org")</f>
        <v>AdConsul_org</v>
      </c>
      <c r="B27840" s="65" t="s">
        <v>11723</v>
      </c>
    </row>
    <row r="27841" spans="1:2" x14ac:dyDescent="0.25">
      <c r="A27841" s="64" t="str">
        <f>HYPERLINK("http://www.twitter.com/Neal_McCulloch", "Neal_McCulloch")</f>
        <v>Neal_McCulloch</v>
      </c>
      <c r="B27841" s="65"/>
    </row>
    <row r="27842" spans="1:2" x14ac:dyDescent="0.25">
      <c r="A27842" s="64" t="str">
        <f>HYPERLINK("http://www.twitter.com/sarahlouise1301", "sarahlouise1301")</f>
        <v>sarahlouise1301</v>
      </c>
      <c r="B27842" s="65" t="s">
        <v>11724</v>
      </c>
    </row>
    <row r="27843" spans="1:2" x14ac:dyDescent="0.25">
      <c r="A27843" s="64" t="str">
        <f>HYPERLINK("http://www.twitter.com/verracott", "verracott")</f>
        <v>verracott</v>
      </c>
      <c r="B27843" s="65" t="s">
        <v>11725</v>
      </c>
    </row>
    <row r="27844" spans="1:2" x14ac:dyDescent="0.25">
      <c r="A27844" s="64" t="str">
        <f>HYPERLINK("http://www.twitter.com/ebe_research", "ebe_research")</f>
        <v>ebe_research</v>
      </c>
      <c r="B27844" s="65"/>
    </row>
    <row r="27845" spans="1:2" x14ac:dyDescent="0.25">
      <c r="A27845" s="64" t="str">
        <f>HYPERLINK("http://www.twitter.com/ScottishBrewing", "ScottishBrewing")</f>
        <v>ScottishBrewing</v>
      </c>
      <c r="B27845" s="65"/>
    </row>
    <row r="27846" spans="1:2" x14ac:dyDescent="0.25">
      <c r="A27846" s="64" t="str">
        <f>HYPERLINK("http://www.twitter.com/britishmuseum", "britishmuseum")</f>
        <v>britishmuseum</v>
      </c>
      <c r="B27846" s="65" t="s">
        <v>36</v>
      </c>
    </row>
    <row r="27847" spans="1:2" x14ac:dyDescent="0.25">
      <c r="A27847" s="64" t="str">
        <f>HYPERLINK("http://www.twitter.com/LIKWSR", "LIKWSR")</f>
        <v>LIKWSR</v>
      </c>
      <c r="B27847" s="65"/>
    </row>
    <row r="27848" spans="1:2" x14ac:dyDescent="0.25">
      <c r="A27848" s="64" t="str">
        <f>HYPERLINK("http://www.twitter.com/LucyCourtenay1", "LucyCourtenay1")</f>
        <v>LucyCourtenay1</v>
      </c>
      <c r="B27848" s="65" t="s">
        <v>6708</v>
      </c>
    </row>
    <row r="27849" spans="1:2" x14ac:dyDescent="0.25">
      <c r="A27849" s="64" t="str">
        <f>HYPERLINK("http://www.twitter.com/Gibbocat", "Gibbocat")</f>
        <v>Gibbocat</v>
      </c>
      <c r="B27849" s="65"/>
    </row>
    <row r="27850" spans="1:2" x14ac:dyDescent="0.25">
      <c r="A27850" s="64" t="str">
        <f>HYPERLINK("http://www.twitter.com/LauraLouAdams", "LauraLouAdams")</f>
        <v>LauraLouAdams</v>
      </c>
      <c r="B27850" s="65" t="s">
        <v>36</v>
      </c>
    </row>
    <row r="27851" spans="1:2" x14ac:dyDescent="0.25">
      <c r="A27851" s="64" t="str">
        <f>HYPERLINK("http://www.twitter.com/PageDominique", "PageDominique")</f>
        <v>PageDominique</v>
      </c>
      <c r="B27851" s="65"/>
    </row>
    <row r="27852" spans="1:2" x14ac:dyDescent="0.25">
      <c r="A27852" s="64" t="str">
        <f>HYPERLINK("http://www.twitter.com/B12Simon", "B12Simon")</f>
        <v>B12Simon</v>
      </c>
      <c r="B27852" s="65" t="s">
        <v>4862</v>
      </c>
    </row>
    <row r="27853" spans="1:2" x14ac:dyDescent="0.25">
      <c r="A27853" s="64" t="str">
        <f>HYPERLINK("http://www.twitter.com/Hector_Chicken", "Hector_Chicken")</f>
        <v>Hector_Chicken</v>
      </c>
      <c r="B27853" s="65" t="s">
        <v>11726</v>
      </c>
    </row>
    <row r="27854" spans="1:2" x14ac:dyDescent="0.25">
      <c r="A27854" s="64" t="str">
        <f>HYPERLINK("http://www.twitter.com/emmack88", "emmack88")</f>
        <v>emmack88</v>
      </c>
      <c r="B27854" s="65" t="s">
        <v>11727</v>
      </c>
    </row>
    <row r="27855" spans="1:2" x14ac:dyDescent="0.25">
      <c r="A27855" s="64" t="str">
        <f>HYPERLINK("http://www.twitter.com/LeatherSimon", "LeatherSimon")</f>
        <v>LeatherSimon</v>
      </c>
      <c r="B27855" s="65"/>
    </row>
    <row r="27856" spans="1:2" x14ac:dyDescent="0.25">
      <c r="A27856" s="64" t="str">
        <f>HYPERLINK("http://www.twitter.com/librarykim310", "librarykim310")</f>
        <v>librarykim310</v>
      </c>
      <c r="B27856" s="65"/>
    </row>
    <row r="27857" spans="1:2" x14ac:dyDescent="0.25">
      <c r="A27857" s="64" t="str">
        <f>HYPERLINK("http://www.twitter.com/AlClash", "AlClash")</f>
        <v>AlClash</v>
      </c>
      <c r="B27857" s="65"/>
    </row>
    <row r="27858" spans="1:2" x14ac:dyDescent="0.25">
      <c r="A27858" s="64" t="str">
        <f>HYPERLINK("http://www.twitter.com/ShetlandJewel", "ShetlandJewel")</f>
        <v>ShetlandJewel</v>
      </c>
      <c r="B27858" s="65" t="s">
        <v>5251</v>
      </c>
    </row>
    <row r="27859" spans="1:2" x14ac:dyDescent="0.25">
      <c r="A27859" s="64" t="str">
        <f>HYPERLINK("http://www.twitter.com/cattieannie2003", "cattieannie2003")</f>
        <v>cattieannie2003</v>
      </c>
      <c r="B27859" s="65" t="s">
        <v>24</v>
      </c>
    </row>
    <row r="27860" spans="1:2" x14ac:dyDescent="0.25">
      <c r="A27860" s="64" t="str">
        <f>HYPERLINK("http://www.twitter.com/TheHannarchist", "TheHannarchist")</f>
        <v>TheHannarchist</v>
      </c>
      <c r="B27860" s="65" t="s">
        <v>487</v>
      </c>
    </row>
    <row r="27861" spans="1:2" x14ac:dyDescent="0.25">
      <c r="A27861" s="64" t="str">
        <f>HYPERLINK("http://www.twitter.com/TamsinBailey", "TamsinBailey")</f>
        <v>TamsinBailey</v>
      </c>
      <c r="B27861" s="65"/>
    </row>
    <row r="27862" spans="1:2" x14ac:dyDescent="0.25">
      <c r="A27862" s="64" t="str">
        <f>HYPERLINK("http://www.twitter.com/heatherbic", "heatherbic")</f>
        <v>heatherbic</v>
      </c>
      <c r="B27862" s="65"/>
    </row>
    <row r="27863" spans="1:2" x14ac:dyDescent="0.25">
      <c r="A27863" s="64" t="str">
        <f>HYPERLINK("http://www.twitter.com/OhFio", "OhFio")</f>
        <v>OhFio</v>
      </c>
      <c r="B27863" s="65" t="s">
        <v>20</v>
      </c>
    </row>
    <row r="27864" spans="1:2" x14ac:dyDescent="0.25">
      <c r="A27864" s="64" t="str">
        <f>HYPERLINK("http://www.twitter.com/ionamcf", "ionamcf")</f>
        <v>ionamcf</v>
      </c>
      <c r="B27864" s="65" t="s">
        <v>1482</v>
      </c>
    </row>
    <row r="27865" spans="1:2" x14ac:dyDescent="0.25">
      <c r="A27865" s="64" t="str">
        <f>HYPERLINK("http://www.twitter.com/BernardKenned", "BernardKenned")</f>
        <v>BernardKenned</v>
      </c>
      <c r="B27865" s="65" t="s">
        <v>11728</v>
      </c>
    </row>
    <row r="27866" spans="1:2" x14ac:dyDescent="0.25">
      <c r="A27866" s="64" t="str">
        <f>HYPERLINK("http://www.twitter.com/belfastcradle", "belfastcradle")</f>
        <v>belfastcradle</v>
      </c>
      <c r="B27866" s="65" t="s">
        <v>296</v>
      </c>
    </row>
    <row r="27867" spans="1:2" x14ac:dyDescent="0.25">
      <c r="A27867" s="64" t="str">
        <f>HYPERLINK("http://www.twitter.com/Manx_Charlie", "Manx_Charlie")</f>
        <v>Manx_Charlie</v>
      </c>
      <c r="B27867" s="65" t="s">
        <v>11729</v>
      </c>
    </row>
    <row r="27868" spans="1:2" x14ac:dyDescent="0.25">
      <c r="A27868" s="64" t="str">
        <f>HYPERLINK("http://www.twitter.com/InvCollLC", "InvCollLC")</f>
        <v>InvCollLC</v>
      </c>
      <c r="B27868" s="65" t="s">
        <v>4050</v>
      </c>
    </row>
    <row r="27869" spans="1:2" x14ac:dyDescent="0.25">
      <c r="A27869" s="64" t="str">
        <f>HYPERLINK("http://www.twitter.com/BrehenyJane", "BrehenyJane")</f>
        <v>BrehenyJane</v>
      </c>
      <c r="B27869" s="65"/>
    </row>
    <row r="27870" spans="1:2" x14ac:dyDescent="0.25">
      <c r="A27870" s="64" t="str">
        <f>HYPERLINK("http://www.twitter.com/OxbridgeNews", "OxbridgeNews")</f>
        <v>OxbridgeNews</v>
      </c>
      <c r="B27870" s="65"/>
    </row>
    <row r="27871" spans="1:2" x14ac:dyDescent="0.25">
      <c r="A27871" s="64" t="str">
        <f>HYPERLINK("http://www.twitter.com/ladytrixabelle", "ladytrixabelle")</f>
        <v>ladytrixabelle</v>
      </c>
      <c r="B27871" s="65" t="s">
        <v>77</v>
      </c>
    </row>
    <row r="27872" spans="1:2" x14ac:dyDescent="0.25">
      <c r="A27872" s="64" t="str">
        <f>HYPERLINK("http://www.twitter.com/andrewpeterdrum", "andrewpeterdrum")</f>
        <v>andrewpeterdrum</v>
      </c>
      <c r="B27872" s="65"/>
    </row>
    <row r="27873" spans="1:2" x14ac:dyDescent="0.25">
      <c r="A27873" s="64" t="str">
        <f>HYPERLINK("http://www.twitter.com/C_E_Archibald", "C_E_Archibald")</f>
        <v>C_E_Archibald</v>
      </c>
      <c r="B27873" s="65" t="s">
        <v>487</v>
      </c>
    </row>
    <row r="27874" spans="1:2" x14ac:dyDescent="0.25">
      <c r="A27874" s="64" t="str">
        <f>HYPERLINK("http://www.twitter.com/demi_christie", "demi_christie")</f>
        <v>demi_christie</v>
      </c>
      <c r="B27874" s="65"/>
    </row>
    <row r="27875" spans="1:2" x14ac:dyDescent="0.25">
      <c r="A27875" s="64" t="str">
        <f>HYPERLINK("http://www.twitter.com/katieroper", "katieroper")</f>
        <v>katieroper</v>
      </c>
      <c r="B27875" s="65"/>
    </row>
    <row r="27876" spans="1:2" x14ac:dyDescent="0.25">
      <c r="A27876" s="64" t="str">
        <f>HYPERLINK("http://www.twitter.com/RenskeStart", "RenskeStart")</f>
        <v>RenskeStart</v>
      </c>
      <c r="B27876" s="65" t="s">
        <v>5014</v>
      </c>
    </row>
    <row r="27877" spans="1:2" x14ac:dyDescent="0.25">
      <c r="A27877" s="64" t="str">
        <f>HYPERLINK("http://www.twitter.com/briannalester13", "briannalester13")</f>
        <v>briannalester13</v>
      </c>
      <c r="B27877" s="65" t="s">
        <v>3998</v>
      </c>
    </row>
    <row r="27878" spans="1:2" x14ac:dyDescent="0.25">
      <c r="A27878" s="64" t="str">
        <f>HYPERLINK("http://www.twitter.com/ChenChangAlice", "ChenChangAlice")</f>
        <v>ChenChangAlice</v>
      </c>
      <c r="B27878" s="65" t="s">
        <v>11730</v>
      </c>
    </row>
    <row r="27879" spans="1:2" x14ac:dyDescent="0.25">
      <c r="A27879" s="64" t="str">
        <f>HYPERLINK("http://www.twitter.com/Becca_LWalker", "Becca_LWalker")</f>
        <v>Becca_LWalker</v>
      </c>
      <c r="B27879" s="65" t="s">
        <v>93</v>
      </c>
    </row>
    <row r="27880" spans="1:2" x14ac:dyDescent="0.25">
      <c r="A27880" s="64" t="str">
        <f>HYPERLINK("http://www.twitter.com/CathyReadsBooks", "CathyReadsBooks")</f>
        <v>CathyReadsBooks</v>
      </c>
      <c r="B27880" s="65" t="s">
        <v>36</v>
      </c>
    </row>
    <row r="27881" spans="1:2" x14ac:dyDescent="0.25">
      <c r="A27881" s="64" t="str">
        <f>HYPERLINK("http://www.twitter.com/WendySm15709225", "WendySm15709225")</f>
        <v>WendySm15709225</v>
      </c>
      <c r="B27881" s="65"/>
    </row>
    <row r="27882" spans="1:2" x14ac:dyDescent="0.25">
      <c r="A27882" s="64" t="str">
        <f>HYPERLINK("http://www.twitter.com/ShonaForbes17", "ShonaForbes17")</f>
        <v>ShonaForbes17</v>
      </c>
      <c r="B27882" s="65" t="s">
        <v>633</v>
      </c>
    </row>
    <row r="27883" spans="1:2" x14ac:dyDescent="0.25">
      <c r="A27883" s="64" t="str">
        <f>HYPERLINK("http://www.twitter.com/CILIPEastMids", "CILIPEastMids")</f>
        <v>CILIPEastMids</v>
      </c>
      <c r="B27883" s="65" t="s">
        <v>7300</v>
      </c>
    </row>
    <row r="27884" spans="1:2" x14ac:dyDescent="0.25">
      <c r="A27884" s="64" t="str">
        <f>HYPERLINK("http://www.twitter.com/HilandLitSalon", "HilandLitSalon")</f>
        <v>HilandLitSalon</v>
      </c>
      <c r="B27884" s="65" t="s">
        <v>4447</v>
      </c>
    </row>
    <row r="27885" spans="1:2" x14ac:dyDescent="0.25">
      <c r="A27885" s="64" t="str">
        <f>HYPERLINK("http://www.twitter.com/camemberty", "camemberty")</f>
        <v>camemberty</v>
      </c>
      <c r="B27885" s="65" t="s">
        <v>3040</v>
      </c>
    </row>
    <row r="27886" spans="1:2" x14ac:dyDescent="0.25">
      <c r="A27886" s="64" t="str">
        <f>HYPERLINK("http://www.twitter.com/ellieavril", "ellieavril")</f>
        <v>ellieavril</v>
      </c>
      <c r="B27886" s="65" t="s">
        <v>20</v>
      </c>
    </row>
    <row r="27887" spans="1:2" x14ac:dyDescent="0.25">
      <c r="A27887" s="64" t="str">
        <f>HYPERLINK("http://www.twitter.com/kathmurray1", "kathmurray1")</f>
        <v>kathmurray1</v>
      </c>
      <c r="B27887" s="65" t="s">
        <v>517</v>
      </c>
    </row>
    <row r="27888" spans="1:2" x14ac:dyDescent="0.25">
      <c r="A27888" s="64" t="str">
        <f>HYPERLINK("http://www.twitter.com/JenniferHiggie", "JenniferHiggie")</f>
        <v>JenniferHiggie</v>
      </c>
      <c r="B27888" s="65" t="s">
        <v>36</v>
      </c>
    </row>
    <row r="27889" spans="1:2" x14ac:dyDescent="0.25">
      <c r="A27889" s="64" t="str">
        <f>HYPERLINK("http://www.twitter.com/ahltul", "ahltul")</f>
        <v>ahltul</v>
      </c>
      <c r="B27889" s="65"/>
    </row>
    <row r="27890" spans="1:2" x14ac:dyDescent="0.25">
      <c r="A27890" s="64" t="str">
        <f>HYPERLINK("http://www.twitter.com/charmai58227504", "charmai58227504")</f>
        <v>charmai58227504</v>
      </c>
      <c r="B27890" s="65" t="s">
        <v>4146</v>
      </c>
    </row>
    <row r="27891" spans="1:2" x14ac:dyDescent="0.25">
      <c r="A27891" s="64" t="str">
        <f>HYPERLINK("http://www.twitter.com/kaffrin77", "kaffrin77")</f>
        <v>kaffrin77</v>
      </c>
      <c r="B27891" s="65" t="s">
        <v>11731</v>
      </c>
    </row>
    <row r="27892" spans="1:2" x14ac:dyDescent="0.25">
      <c r="A27892" s="64" t="str">
        <f>HYPERLINK("http://www.twitter.com/annconnolly1971", "annconnolly1971")</f>
        <v>annconnolly1971</v>
      </c>
      <c r="B27892" s="65" t="s">
        <v>5667</v>
      </c>
    </row>
    <row r="27893" spans="1:2" x14ac:dyDescent="0.25">
      <c r="A27893" s="64" t="str">
        <f>HYPERLINK("http://www.twitter.com/AnnaDotHart", "AnnaDotHart")</f>
        <v>AnnaDotHart</v>
      </c>
      <c r="B27893" s="65" t="s">
        <v>11732</v>
      </c>
    </row>
    <row r="27894" spans="1:2" x14ac:dyDescent="0.25">
      <c r="A27894" s="64" t="str">
        <f>HYPERLINK("http://www.twitter.com/TheRoomHome", "TheRoomHome")</f>
        <v>TheRoomHome</v>
      </c>
      <c r="B27894" s="65"/>
    </row>
    <row r="27895" spans="1:2" x14ac:dyDescent="0.25">
      <c r="A27895" s="64" t="str">
        <f>HYPERLINK("http://www.twitter.com/NordicUHI", "NordicUHI")</f>
        <v>NordicUHI</v>
      </c>
      <c r="B27895" s="65" t="s">
        <v>11733</v>
      </c>
    </row>
    <row r="27896" spans="1:2" x14ac:dyDescent="0.25">
      <c r="A27896" s="64" t="str">
        <f>HYPERLINK("http://www.twitter.com/NomDeClare", "NomDeClare")</f>
        <v>NomDeClare</v>
      </c>
      <c r="B27896" s="65" t="s">
        <v>24</v>
      </c>
    </row>
    <row r="27897" spans="1:2" x14ac:dyDescent="0.25">
      <c r="A27897" s="64" t="str">
        <f>HYPERLINK("http://www.twitter.com/clareren", "clareren")</f>
        <v>clareren</v>
      </c>
      <c r="B27897" s="65" t="s">
        <v>3677</v>
      </c>
    </row>
    <row r="27898" spans="1:2" x14ac:dyDescent="0.25">
      <c r="A27898" s="64" t="str">
        <f>HYPERLINK("http://www.twitter.com/MaxineHowells", "MaxineHowells")</f>
        <v>MaxineHowells</v>
      </c>
      <c r="B27898" s="65" t="s">
        <v>12</v>
      </c>
    </row>
    <row r="27899" spans="1:2" x14ac:dyDescent="0.25">
      <c r="A27899" s="64" t="str">
        <f>HYPERLINK("http://www.twitter.com/harryfiddler", "harryfiddler")</f>
        <v>harryfiddler</v>
      </c>
      <c r="B27899" s="65" t="s">
        <v>4237</v>
      </c>
    </row>
    <row r="27900" spans="1:2" x14ac:dyDescent="0.25">
      <c r="A27900" s="64" t="str">
        <f>HYPERLINK("http://www.twitter.com/NewTradJournal", "NewTradJournal")</f>
        <v>NewTradJournal</v>
      </c>
      <c r="B27900" s="65"/>
    </row>
    <row r="27901" spans="1:2" x14ac:dyDescent="0.25">
      <c r="A27901" s="64" t="str">
        <f>HYPERLINK("http://www.twitter.com/JoanneCousins", "JoanneCousins")</f>
        <v>JoanneCousins</v>
      </c>
      <c r="B27901" s="65" t="s">
        <v>5770</v>
      </c>
    </row>
    <row r="27902" spans="1:2" x14ac:dyDescent="0.25">
      <c r="A27902" s="64" t="str">
        <f>HYPERLINK("http://www.twitter.com/Fionajay12", "Fionajay12")</f>
        <v>Fionajay12</v>
      </c>
      <c r="B27902" s="65" t="s">
        <v>11734</v>
      </c>
    </row>
    <row r="27903" spans="1:2" x14ac:dyDescent="0.25">
      <c r="A27903" s="64" t="str">
        <f>HYPERLINK("http://www.twitter.com/LyndseyDrever", "LyndseyDrever")</f>
        <v>LyndseyDrever</v>
      </c>
      <c r="B27903" s="65" t="s">
        <v>20</v>
      </c>
    </row>
    <row r="27904" spans="1:2" x14ac:dyDescent="0.25">
      <c r="A27904" s="64" t="str">
        <f>HYPERLINK("http://www.twitter.com/sallyheroes", "sallyheroes")</f>
        <v>sallyheroes</v>
      </c>
      <c r="B27904" s="65" t="s">
        <v>3816</v>
      </c>
    </row>
    <row r="27905" spans="1:2" x14ac:dyDescent="0.25">
      <c r="A27905" s="64" t="str">
        <f>HYPERLINK("http://www.twitter.com/edmund_davis", "edmund_davis")</f>
        <v>edmund_davis</v>
      </c>
      <c r="B27905" s="65" t="s">
        <v>36</v>
      </c>
    </row>
    <row r="27906" spans="1:2" x14ac:dyDescent="0.25">
      <c r="A27906" s="64" t="str">
        <f>HYPERLINK("http://www.twitter.com/ntrainor", "ntrainor")</f>
        <v>ntrainor</v>
      </c>
      <c r="B27906" s="65" t="s">
        <v>11735</v>
      </c>
    </row>
    <row r="27907" spans="1:2" x14ac:dyDescent="0.25">
      <c r="A27907" s="64" t="str">
        <f>HYPERLINK("http://www.twitter.com/pamcowburn", "pamcowburn")</f>
        <v>pamcowburn</v>
      </c>
      <c r="B27907" s="65" t="s">
        <v>36</v>
      </c>
    </row>
    <row r="27908" spans="1:2" x14ac:dyDescent="0.25">
      <c r="A27908" s="64" t="str">
        <f>HYPERLINK("http://www.twitter.com/alicetiara", "alicetiara")</f>
        <v>alicetiara</v>
      </c>
      <c r="B27908" s="65" t="s">
        <v>10105</v>
      </c>
    </row>
    <row r="27909" spans="1:2" x14ac:dyDescent="0.25">
      <c r="A27909" s="64" t="str">
        <f>HYPERLINK("http://www.twitter.com/NiallBartlett", "NiallBartlett")</f>
        <v>NiallBartlett</v>
      </c>
      <c r="B27909" s="65" t="s">
        <v>11736</v>
      </c>
    </row>
    <row r="27910" spans="1:2" x14ac:dyDescent="0.25">
      <c r="A27910" s="64" t="str">
        <f>HYPERLINK("http://www.twitter.com/fenngirl", "fenngirl")</f>
        <v>fenngirl</v>
      </c>
      <c r="B27910" s="65"/>
    </row>
    <row r="27911" spans="1:2" x14ac:dyDescent="0.25">
      <c r="A27911" s="64" t="str">
        <f>HYPERLINK("http://www.twitter.com/carolynsmith3", "carolynsmith3")</f>
        <v>carolynsmith3</v>
      </c>
      <c r="B27911" s="65" t="s">
        <v>3678</v>
      </c>
    </row>
    <row r="27912" spans="1:2" x14ac:dyDescent="0.25">
      <c r="A27912" s="64" t="str">
        <f>HYPERLINK("http://www.twitter.com/pageantmalarkey", "pageantmalarkey")</f>
        <v>pageantmalarkey</v>
      </c>
      <c r="B27912" s="65" t="s">
        <v>36</v>
      </c>
    </row>
    <row r="27913" spans="1:2" x14ac:dyDescent="0.25">
      <c r="A27913" s="64" t="str">
        <f>HYPERLINK("http://www.twitter.com/mgmmrphy", "mgmmrphy")</f>
        <v>mgmmrphy</v>
      </c>
      <c r="B27913" s="65" t="s">
        <v>11737</v>
      </c>
    </row>
    <row r="27914" spans="1:2" x14ac:dyDescent="0.25">
      <c r="A27914" s="64" t="str">
        <f>HYPERLINK("http://www.twitter.com/JoWood04", "JoWood04")</f>
        <v>JoWood04</v>
      </c>
      <c r="B27914" s="65" t="s">
        <v>36</v>
      </c>
    </row>
    <row r="27915" spans="1:2" x14ac:dyDescent="0.25">
      <c r="A27915" s="64" t="str">
        <f>HYPERLINK("http://www.twitter.com/nickbarreto", "nickbarreto")</f>
        <v>nickbarreto</v>
      </c>
      <c r="B27915" s="65" t="s">
        <v>11738</v>
      </c>
    </row>
    <row r="27916" spans="1:2" x14ac:dyDescent="0.25">
      <c r="A27916" s="64" t="str">
        <f>HYPERLINK("http://www.twitter.com/andthered", "andthered")</f>
        <v>andthered</v>
      </c>
      <c r="B27916" s="65" t="s">
        <v>36</v>
      </c>
    </row>
    <row r="27917" spans="1:2" x14ac:dyDescent="0.25">
      <c r="A27917" s="64" t="str">
        <f>HYPERLINK("http://www.twitter.com/iucounu", "iucounu")</f>
        <v>iucounu</v>
      </c>
      <c r="B27917" s="65" t="s">
        <v>36</v>
      </c>
    </row>
    <row r="27918" spans="1:2" x14ac:dyDescent="0.25">
      <c r="A27918" s="64" t="str">
        <f>HYPERLINK("http://www.twitter.com/BrienoM", "BrienoM")</f>
        <v>BrienoM</v>
      </c>
      <c r="B27918" s="65" t="s">
        <v>11739</v>
      </c>
    </row>
    <row r="27919" spans="1:2" x14ac:dyDescent="0.25">
      <c r="A27919" s="64" t="str">
        <f>HYPERLINK("http://www.twitter.com/Allyberry81Ally", "Allyberry81Ally")</f>
        <v>Allyberry81Ally</v>
      </c>
      <c r="B27919" s="65"/>
    </row>
    <row r="27920" spans="1:2" x14ac:dyDescent="0.25">
      <c r="A27920" s="64" t="str">
        <f>HYPERLINK("http://www.twitter.com/cazflynn", "cazflynn")</f>
        <v>cazflynn</v>
      </c>
      <c r="B27920" s="65"/>
    </row>
    <row r="27921" spans="1:2" x14ac:dyDescent="0.25">
      <c r="A27921" s="64" t="str">
        <f>HYPERLINK("http://www.twitter.com/lewjaymusic", "lewjaymusic")</f>
        <v>lewjaymusic</v>
      </c>
      <c r="B27921" s="65" t="s">
        <v>93</v>
      </c>
    </row>
    <row r="27922" spans="1:2" x14ac:dyDescent="0.25">
      <c r="A27922" s="64" t="str">
        <f>HYPERLINK("http://www.twitter.com/BenGJames1", "BenGJames1")</f>
        <v>BenGJames1</v>
      </c>
      <c r="B27922" s="65" t="s">
        <v>1221</v>
      </c>
    </row>
    <row r="27923" spans="1:2" x14ac:dyDescent="0.25">
      <c r="A27923" s="64" t="str">
        <f>HYPERLINK("http://www.twitter.com/ninastibbe", "ninastibbe")</f>
        <v>ninastibbe</v>
      </c>
      <c r="B27923" s="65" t="s">
        <v>11740</v>
      </c>
    </row>
    <row r="27924" spans="1:2" x14ac:dyDescent="0.25">
      <c r="A27924" s="64" t="str">
        <f>HYPERLINK("http://www.twitter.com/lusangian", "lusangian")</f>
        <v>lusangian</v>
      </c>
      <c r="B27924" s="65" t="s">
        <v>11741</v>
      </c>
    </row>
    <row r="27925" spans="1:2" x14ac:dyDescent="0.25">
      <c r="A27925" s="64" t="str">
        <f>HYPERLINK("http://www.twitter.com/Car10ine", "Car10ine")</f>
        <v>Car10ine</v>
      </c>
      <c r="B27925" s="65"/>
    </row>
    <row r="27926" spans="1:2" x14ac:dyDescent="0.25">
      <c r="A27926" s="64" t="str">
        <f>HYPERLINK("http://www.twitter.com/BurridgeJohanna", "BurridgeJohanna")</f>
        <v>BurridgeJohanna</v>
      </c>
      <c r="B27926" s="65"/>
    </row>
    <row r="27927" spans="1:2" x14ac:dyDescent="0.25">
      <c r="A27927" s="64" t="str">
        <f>HYPERLINK("http://www.twitter.com/lukejones133", "lukejones133")</f>
        <v>lukejones133</v>
      </c>
      <c r="B27927" s="65"/>
    </row>
    <row r="27928" spans="1:2" x14ac:dyDescent="0.25">
      <c r="A27928" s="64" t="str">
        <f>HYPERLINK("http://www.twitter.com/em9w10", "em9w10")</f>
        <v>em9w10</v>
      </c>
      <c r="B27928" s="65" t="s">
        <v>36</v>
      </c>
    </row>
    <row r="27929" spans="1:2" x14ac:dyDescent="0.25">
      <c r="A27929" s="64" t="str">
        <f>HYPERLINK("http://www.twitter.com/Lolita_AOU", "Lolita_AOU")</f>
        <v>Lolita_AOU</v>
      </c>
      <c r="B27929" s="65"/>
    </row>
    <row r="27930" spans="1:2" x14ac:dyDescent="0.25">
      <c r="A27930" s="64" t="str">
        <f>HYPERLINK("http://www.twitter.com/HamDerMarkMoore", "HamDerMarkMoore")</f>
        <v>HamDerMarkMoore</v>
      </c>
      <c r="B27930" s="65" t="s">
        <v>11742</v>
      </c>
    </row>
    <row r="27931" spans="1:2" x14ac:dyDescent="0.25">
      <c r="A27931" s="64" t="str">
        <f>HYPERLINK("http://www.twitter.com/muzzer_daftbat", "muzzer_daftbat")</f>
        <v>muzzer_daftbat</v>
      </c>
      <c r="B27931" s="65" t="s">
        <v>1417</v>
      </c>
    </row>
    <row r="27932" spans="1:2" x14ac:dyDescent="0.25">
      <c r="A27932" s="64" t="str">
        <f>HYPERLINK("http://www.twitter.com/jwbarwise1", "jwbarwise1")</f>
        <v>jwbarwise1</v>
      </c>
      <c r="B27932" s="65" t="s">
        <v>11743</v>
      </c>
    </row>
    <row r="27933" spans="1:2" x14ac:dyDescent="0.25">
      <c r="A27933" s="64" t="str">
        <f>HYPERLINK("http://www.twitter.com/QMU_Archives", "QMU_Archives")</f>
        <v>QMU_Archives</v>
      </c>
      <c r="B27933" s="65"/>
    </row>
    <row r="27934" spans="1:2" x14ac:dyDescent="0.25">
      <c r="A27934" s="64" t="str">
        <f>HYPERLINK("http://www.twitter.com/HaggardHawks", "HaggardHawks")</f>
        <v>HaggardHawks</v>
      </c>
      <c r="B27934" s="65" t="s">
        <v>11744</v>
      </c>
    </row>
    <row r="27935" spans="1:2" x14ac:dyDescent="0.25">
      <c r="A27935" s="64" t="str">
        <f>HYPERLINK("http://www.twitter.com/GraceEVincent", "GraceEVincent")</f>
        <v>GraceEVincent</v>
      </c>
      <c r="B27935" s="65" t="s">
        <v>36</v>
      </c>
    </row>
    <row r="27936" spans="1:2" x14ac:dyDescent="0.25">
      <c r="A27936" s="64" t="str">
        <f>HYPERLINK("http://www.twitter.com/slhesketh", "slhesketh")</f>
        <v>slhesketh</v>
      </c>
      <c r="B27936" s="65"/>
    </row>
    <row r="27937" spans="1:2" x14ac:dyDescent="0.25">
      <c r="A27937" s="64" t="str">
        <f>HYPERLINK("http://www.twitter.com/nickautomatic", "nickautomatic")</f>
        <v>nickautomatic</v>
      </c>
      <c r="B27937" s="65" t="s">
        <v>110</v>
      </c>
    </row>
    <row r="27938" spans="1:2" x14ac:dyDescent="0.25">
      <c r="A27938" s="64" t="str">
        <f>HYPERLINK("http://www.twitter.com/llamafarmerj", "llamafarmerj")</f>
        <v>llamafarmerj</v>
      </c>
      <c r="B27938" s="65" t="s">
        <v>2595</v>
      </c>
    </row>
    <row r="27939" spans="1:2" x14ac:dyDescent="0.25">
      <c r="A27939" s="64" t="str">
        <f>HYPERLINK("http://www.twitter.com/Wirrallibraries", "Wirrallibraries")</f>
        <v>Wirrallibraries</v>
      </c>
      <c r="B27939" s="65" t="s">
        <v>785</v>
      </c>
    </row>
    <row r="27940" spans="1:2" x14ac:dyDescent="0.25">
      <c r="A27940" s="64" t="str">
        <f>HYPERLINK("http://www.twitter.com/SophiaGrene", "SophiaGrene")</f>
        <v>SophiaGrene</v>
      </c>
      <c r="B27940" s="65" t="s">
        <v>36</v>
      </c>
    </row>
    <row r="27941" spans="1:2" x14ac:dyDescent="0.25">
      <c r="A27941" s="64" t="str">
        <f>HYPERLINK("http://www.twitter.com/mrtnwns", "mrtnwns")</f>
        <v>mrtnwns</v>
      </c>
      <c r="B27941" s="65"/>
    </row>
    <row r="27942" spans="1:2" x14ac:dyDescent="0.25">
      <c r="A27942" s="64" t="str">
        <f>HYPERLINK("http://www.twitter.com/Missus0_0", "Missus0_0")</f>
        <v>Missus0_0</v>
      </c>
      <c r="B27942" s="65" t="s">
        <v>11745</v>
      </c>
    </row>
    <row r="27943" spans="1:2" x14ac:dyDescent="0.25">
      <c r="A27943" s="64" t="str">
        <f>HYPERLINK("http://www.twitter.com/ametonym", "ametonym")</f>
        <v>ametonym</v>
      </c>
      <c r="B27943" s="65"/>
    </row>
    <row r="27944" spans="1:2" x14ac:dyDescent="0.25">
      <c r="A27944" s="64" t="str">
        <f>HYPERLINK("http://www.twitter.com/Cat_Headley", "Cat_Headley")</f>
        <v>Cat_Headley</v>
      </c>
      <c r="B27944" s="65" t="s">
        <v>24</v>
      </c>
    </row>
    <row r="27945" spans="1:2" x14ac:dyDescent="0.25">
      <c r="A27945" s="64" t="str">
        <f>HYPERLINK("http://www.twitter.com/Just_JanisB", "Just_JanisB")</f>
        <v>Just_JanisB</v>
      </c>
      <c r="B27945" s="65" t="s">
        <v>915</v>
      </c>
    </row>
    <row r="27946" spans="1:2" x14ac:dyDescent="0.25">
      <c r="A27946" s="64" t="str">
        <f>HYPERLINK("http://www.twitter.com/jimmy2bills", "jimmy2bills")</f>
        <v>jimmy2bills</v>
      </c>
      <c r="B27946" s="65" t="s">
        <v>11746</v>
      </c>
    </row>
    <row r="27947" spans="1:2" x14ac:dyDescent="0.25">
      <c r="A27947" s="64" t="str">
        <f>HYPERLINK("http://www.twitter.com/AidanMo0die", "AidanMo0die")</f>
        <v>AidanMo0die</v>
      </c>
      <c r="B27947" s="65" t="s">
        <v>5876</v>
      </c>
    </row>
    <row r="27948" spans="1:2" x14ac:dyDescent="0.25">
      <c r="A27948" s="64" t="str">
        <f>HYPERLINK("http://www.twitter.com/erlendprend", "erlendprend")</f>
        <v>erlendprend</v>
      </c>
      <c r="B27948" s="65" t="s">
        <v>8970</v>
      </c>
    </row>
    <row r="27949" spans="1:2" x14ac:dyDescent="0.25">
      <c r="A27949" s="64" t="str">
        <f>HYPERLINK("http://www.twitter.com/OPENMICUK", "OPENMICUK")</f>
        <v>OPENMICUK</v>
      </c>
      <c r="B27949" s="65"/>
    </row>
    <row r="27950" spans="1:2" x14ac:dyDescent="0.25">
      <c r="A27950" s="64" t="str">
        <f>HYPERLINK("http://www.twitter.com/angrychutney", "angrychutney")</f>
        <v>angrychutney</v>
      </c>
      <c r="B27950" s="65" t="s">
        <v>11747</v>
      </c>
    </row>
    <row r="27951" spans="1:2" x14ac:dyDescent="0.25">
      <c r="A27951" s="64" t="str">
        <f>HYPERLINK("http://www.twitter.com/mortified_moose", "mortified_moose")</f>
        <v>mortified_moose</v>
      </c>
      <c r="B27951" s="65" t="s">
        <v>6668</v>
      </c>
    </row>
    <row r="27952" spans="1:2" x14ac:dyDescent="0.25">
      <c r="A27952" s="64" t="str">
        <f>HYPERLINK("http://www.twitter.com/manofmanybooks", "manofmanybooks")</f>
        <v>manofmanybooks</v>
      </c>
      <c r="B27952" s="65" t="s">
        <v>514</v>
      </c>
    </row>
    <row r="27953" spans="1:2" x14ac:dyDescent="0.25">
      <c r="A27953" s="64" t="str">
        <f>HYPERLINK("http://www.twitter.com/ShetlandOrkney", "ShetlandOrkney")</f>
        <v>ShetlandOrkney</v>
      </c>
      <c r="B27953" s="65"/>
    </row>
    <row r="27954" spans="1:2" x14ac:dyDescent="0.25">
      <c r="A27954" s="64" t="str">
        <f>HYPERLINK("http://www.twitter.com/GrahamRorie", "GrahamRorie")</f>
        <v>GrahamRorie</v>
      </c>
      <c r="B27954" s="65" t="s">
        <v>2007</v>
      </c>
    </row>
    <row r="27955" spans="1:2" x14ac:dyDescent="0.25">
      <c r="A27955" s="64" t="str">
        <f>HYPERLINK("http://www.twitter.com/CatrinaAllan", "CatrinaAllan")</f>
        <v>CatrinaAllan</v>
      </c>
      <c r="B27955" s="65"/>
    </row>
    <row r="27956" spans="1:2" x14ac:dyDescent="0.25">
      <c r="A27956" s="64" t="str">
        <f>HYPERLINK("http://www.twitter.com/Harper360UK", "Harper360UK")</f>
        <v>Harper360UK</v>
      </c>
      <c r="B27956" s="65" t="s">
        <v>110</v>
      </c>
    </row>
    <row r="27957" spans="1:2" x14ac:dyDescent="0.25">
      <c r="A27957" s="64" t="str">
        <f>HYPERLINK("http://www.twitter.com/aliparry", "aliparry")</f>
        <v>aliparry</v>
      </c>
      <c r="B27957" s="65" t="s">
        <v>2887</v>
      </c>
    </row>
    <row r="27958" spans="1:2" x14ac:dyDescent="0.25">
      <c r="A27958" s="64" t="str">
        <f>HYPERLINK("http://www.twitter.com/opento", "opento")</f>
        <v>opento</v>
      </c>
      <c r="B27958" s="65" t="s">
        <v>11748</v>
      </c>
    </row>
    <row r="27959" spans="1:2" x14ac:dyDescent="0.25">
      <c r="A27959" s="64" t="str">
        <f>HYPERLINK("http://www.twitter.com/whatkatread", "whatkatread")</f>
        <v>whatkatread</v>
      </c>
      <c r="B27959" s="65"/>
    </row>
    <row r="27960" spans="1:2" x14ac:dyDescent="0.25">
      <c r="A27960" s="64" t="str">
        <f>HYPERLINK("http://www.twitter.com/clancym123", "clancym123")</f>
        <v>clancym123</v>
      </c>
      <c r="B27960" s="65" t="s">
        <v>11749</v>
      </c>
    </row>
    <row r="27961" spans="1:2" x14ac:dyDescent="0.25">
      <c r="A27961" s="64" t="str">
        <f>HYPERLINK("http://www.twitter.com/WellerMonica", "WellerMonica")</f>
        <v>WellerMonica</v>
      </c>
      <c r="B27961" s="65" t="s">
        <v>296</v>
      </c>
    </row>
    <row r="27962" spans="1:2" x14ac:dyDescent="0.25">
      <c r="A27962" s="64" t="str">
        <f>HYPERLINK("http://www.twitter.com/wienerlibrary", "wienerlibrary")</f>
        <v>wienerlibrary</v>
      </c>
      <c r="B27962" s="65" t="s">
        <v>36</v>
      </c>
    </row>
    <row r="27963" spans="1:2" x14ac:dyDescent="0.25">
      <c r="A27963" s="64" t="str">
        <f>HYPERLINK("http://www.twitter.com/DrinaBina84", "DrinaBina84")</f>
        <v>DrinaBina84</v>
      </c>
      <c r="B27963" s="65" t="s">
        <v>5104</v>
      </c>
    </row>
    <row r="27964" spans="1:2" x14ac:dyDescent="0.25">
      <c r="A27964" s="64" t="str">
        <f>HYPERLINK("http://www.twitter.com/SarahLGresty", "SarahLGresty")</f>
        <v>SarahLGresty</v>
      </c>
      <c r="B27964" s="65" t="s">
        <v>11750</v>
      </c>
    </row>
    <row r="27965" spans="1:2" x14ac:dyDescent="0.25">
      <c r="A27965" s="64" t="str">
        <f>HYPERLINK("http://www.twitter.com/WYOChristie", "WYOChristie")</f>
        <v>WYOChristie</v>
      </c>
      <c r="B27965" s="65" t="s">
        <v>36</v>
      </c>
    </row>
    <row r="27966" spans="1:2" x14ac:dyDescent="0.25">
      <c r="A27966" s="64" t="str">
        <f>HYPERLINK("http://www.twitter.com/DieterWalter1", "DieterWalter1")</f>
        <v>DieterWalter1</v>
      </c>
      <c r="B27966" s="65" t="s">
        <v>11751</v>
      </c>
    </row>
    <row r="27967" spans="1:2" x14ac:dyDescent="0.25">
      <c r="A27967" s="64" t="str">
        <f>HYPERLINK("http://www.twitter.com/abridgetv", "abridgetv")</f>
        <v>abridgetv</v>
      </c>
      <c r="B27967" s="65" t="s">
        <v>11752</v>
      </c>
    </row>
    <row r="27968" spans="1:2" x14ac:dyDescent="0.25">
      <c r="A27968" s="64" t="str">
        <f>HYPERLINK("http://www.twitter.com/BristolUniLib", "BristolUniLib")</f>
        <v>BristolUniLib</v>
      </c>
      <c r="B27968" s="65" t="s">
        <v>514</v>
      </c>
    </row>
    <row r="27969" spans="1:2" x14ac:dyDescent="0.25">
      <c r="A27969" s="64" t="str">
        <f>HYPERLINK("http://www.twitter.com/seeorkney", "seeorkney")</f>
        <v>seeorkney</v>
      </c>
      <c r="B27969" s="65" t="s">
        <v>5667</v>
      </c>
    </row>
    <row r="27970" spans="1:2" x14ac:dyDescent="0.25">
      <c r="A27970" s="64" t="str">
        <f>HYPERLINK("http://www.twitter.com/buickc81", "buickc81")</f>
        <v>buickc81</v>
      </c>
      <c r="B27970" s="65" t="s">
        <v>517</v>
      </c>
    </row>
    <row r="27971" spans="1:2" x14ac:dyDescent="0.25">
      <c r="A27971" s="64" t="str">
        <f>HYPERLINK("http://www.twitter.com/Aurora_Orkney", "Aurora_Orkney")</f>
        <v>Aurora_Orkney</v>
      </c>
      <c r="B27971" s="65" t="s">
        <v>11753</v>
      </c>
    </row>
    <row r="27972" spans="1:2" x14ac:dyDescent="0.25">
      <c r="A27972" s="64" t="str">
        <f>HYPERLINK("http://www.twitter.com/beccahakkinen", "beccahakkinen")</f>
        <v>beccahakkinen</v>
      </c>
      <c r="B27972" s="65" t="s">
        <v>11754</v>
      </c>
    </row>
    <row r="27973" spans="1:2" x14ac:dyDescent="0.25">
      <c r="A27973" s="64" t="str">
        <f>HYPERLINK("http://www.twitter.com/donnaharcus", "donnaharcus")</f>
        <v>donnaharcus</v>
      </c>
      <c r="B27973" s="65"/>
    </row>
    <row r="27974" spans="1:2" x14ac:dyDescent="0.25">
      <c r="A27974" s="64" t="str">
        <f>HYPERLINK("http://www.twitter.com/amydenyer", "amydenyer")</f>
        <v>amydenyer</v>
      </c>
      <c r="B27974" s="65"/>
    </row>
    <row r="27975" spans="1:2" x14ac:dyDescent="0.25">
      <c r="A27975" s="64" t="str">
        <f>HYPERLINK("http://www.twitter.com/KevinAl31823866", "KevinAl31823866")</f>
        <v>KevinAl31823866</v>
      </c>
      <c r="B27975" s="65"/>
    </row>
    <row r="27976" spans="1:2" x14ac:dyDescent="0.25">
      <c r="A27976" s="64" t="str">
        <f>HYPERLINK("http://www.twitter.com/Ismarah", "Ismarah")</f>
        <v>Ismarah</v>
      </c>
      <c r="B27976" s="65" t="s">
        <v>11755</v>
      </c>
    </row>
    <row r="27977" spans="1:2" x14ac:dyDescent="0.25">
      <c r="A27977" s="64" t="str">
        <f>HYPERLINK("http://www.twitter.com/CharlotteMende1", "CharlotteMende1")</f>
        <v>CharlotteMende1</v>
      </c>
      <c r="B27977" s="65" t="s">
        <v>4534</v>
      </c>
    </row>
    <row r="27978" spans="1:2" x14ac:dyDescent="0.25">
      <c r="A27978" s="64" t="str">
        <f>HYPERLINK("http://www.twitter.com/LurigDramaCDall", "LurigDramaCDall")</f>
        <v>LurigDramaCDall</v>
      </c>
      <c r="B27978" s="65" t="s">
        <v>11756</v>
      </c>
    </row>
    <row r="27979" spans="1:2" x14ac:dyDescent="0.25">
      <c r="A27979" s="64" t="str">
        <f>HYPERLINK("http://www.twitter.com/aislesofwonder", "aislesofwonder")</f>
        <v>aislesofwonder</v>
      </c>
      <c r="B27979" s="65" t="s">
        <v>508</v>
      </c>
    </row>
    <row r="27980" spans="1:2" x14ac:dyDescent="0.25">
      <c r="A27980" s="64" t="str">
        <f>HYPERLINK("http://www.twitter.com/ChristsLibrary", "ChristsLibrary")</f>
        <v>ChristsLibrary</v>
      </c>
      <c r="B27980" s="65" t="s">
        <v>1302</v>
      </c>
    </row>
    <row r="27981" spans="1:2" x14ac:dyDescent="0.25">
      <c r="A27981" s="64" t="str">
        <f>HYPERLINK("http://www.twitter.com/dianeogray", "dianeogray")</f>
        <v>dianeogray</v>
      </c>
      <c r="B27981" s="65" t="s">
        <v>24</v>
      </c>
    </row>
    <row r="27982" spans="1:2" x14ac:dyDescent="0.25">
      <c r="A27982" s="64" t="str">
        <f>HYPERLINK("http://www.twitter.com/BellaBathurst", "BellaBathurst")</f>
        <v>BellaBathurst</v>
      </c>
      <c r="B27982" s="65" t="s">
        <v>1841</v>
      </c>
    </row>
    <row r="27983" spans="1:2" x14ac:dyDescent="0.25">
      <c r="A27983" s="64" t="str">
        <f>HYPERLINK("http://www.twitter.com/Favelization", "Favelization")</f>
        <v>Favelization</v>
      </c>
      <c r="B27983" s="65" t="s">
        <v>4867</v>
      </c>
    </row>
    <row r="27984" spans="1:2" x14ac:dyDescent="0.25">
      <c r="A27984" s="64" t="str">
        <f>HYPERLINK("http://www.twitter.com/ssorkney", "ssorkney")</f>
        <v>ssorkney</v>
      </c>
      <c r="B27984" s="65"/>
    </row>
    <row r="27985" spans="1:2" x14ac:dyDescent="0.25">
      <c r="A27985" s="64" t="str">
        <f>HYPERLINK("http://www.twitter.com/ScottishWords", "ScottishWords")</f>
        <v>ScottishWords</v>
      </c>
      <c r="B27985" s="65" t="s">
        <v>11757</v>
      </c>
    </row>
    <row r="27986" spans="1:2" x14ac:dyDescent="0.25">
      <c r="A27986" s="64" t="str">
        <f>HYPERLINK("http://www.twitter.com/Arthur_Strong", "Arthur_Strong")</f>
        <v>Arthur_Strong</v>
      </c>
      <c r="B27986" s="65"/>
    </row>
    <row r="27987" spans="1:2" x14ac:dyDescent="0.25">
      <c r="A27987" s="64" t="str">
        <f>HYPERLINK("http://www.twitter.com/anna_p_m", "anna_p_m")</f>
        <v>anna_p_m</v>
      </c>
      <c r="B27987" s="65" t="s">
        <v>138</v>
      </c>
    </row>
    <row r="27988" spans="1:2" x14ac:dyDescent="0.25">
      <c r="A27988" s="64" t="str">
        <f>HYPERLINK("http://www.twitter.com/IntPreUniColleg", "IntPreUniColleg")</f>
        <v>IntPreUniColleg</v>
      </c>
      <c r="B27988" s="65" t="s">
        <v>4146</v>
      </c>
    </row>
    <row r="27989" spans="1:2" x14ac:dyDescent="0.25">
      <c r="A27989" s="64" t="str">
        <f>HYPERLINK("http://www.twitter.com/HSDC_Library", "HSDC_Library")</f>
        <v>HSDC_Library</v>
      </c>
      <c r="B27989" s="65" t="s">
        <v>11758</v>
      </c>
    </row>
    <row r="27990" spans="1:2" x14ac:dyDescent="0.25">
      <c r="A27990" s="64" t="str">
        <f>HYPERLINK("http://www.twitter.com/OokLibrarian", "OokLibrarian")</f>
        <v>OokLibrarian</v>
      </c>
      <c r="B27990" s="65" t="s">
        <v>296</v>
      </c>
    </row>
    <row r="27991" spans="1:2" x14ac:dyDescent="0.25">
      <c r="A27991" s="64" t="str">
        <f>HYPERLINK("http://www.twitter.com/ELyndaRaynor", "ELyndaRaynor")</f>
        <v>ELyndaRaynor</v>
      </c>
      <c r="B27991" s="65"/>
    </row>
    <row r="27992" spans="1:2" x14ac:dyDescent="0.25">
      <c r="A27992" s="64" t="str">
        <f>HYPERLINK("http://www.twitter.com/m_gmburns50", "m_gmburns50")</f>
        <v>m_gmburns50</v>
      </c>
      <c r="B27992" s="65"/>
    </row>
    <row r="27993" spans="1:2" x14ac:dyDescent="0.25">
      <c r="A27993" s="64" t="str">
        <f>HYPERLINK("http://www.twitter.com/Polly_Magooo", "Polly_Magooo")</f>
        <v>Polly_Magooo</v>
      </c>
      <c r="B27993" s="65"/>
    </row>
    <row r="27994" spans="1:2" x14ac:dyDescent="0.25">
      <c r="A27994" s="64" t="str">
        <f>HYPERLINK("http://www.twitter.com/LibraryTrainees", "LibraryTrainees")</f>
        <v>LibraryTrainees</v>
      </c>
      <c r="B27994" s="65" t="s">
        <v>788</v>
      </c>
    </row>
    <row r="27995" spans="1:2" x14ac:dyDescent="0.25">
      <c r="A27995" s="64" t="str">
        <f>HYPERLINK("http://www.twitter.com/nptstories", "nptstories")</f>
        <v>nptstories</v>
      </c>
      <c r="B27995" s="65" t="s">
        <v>5187</v>
      </c>
    </row>
    <row r="27996" spans="1:2" x14ac:dyDescent="0.25">
      <c r="A27996" s="64" t="str">
        <f>HYPERLINK("http://www.twitter.com/freeoffers040", "freeoffers040")</f>
        <v>freeoffers040</v>
      </c>
      <c r="B27996" s="65" t="s">
        <v>11759</v>
      </c>
    </row>
    <row r="27997" spans="1:2" x14ac:dyDescent="0.25">
      <c r="A27997" s="64" t="str">
        <f>HYPERLINK("http://www.twitter.com/cecilycromby", "cecilycromby")</f>
        <v>cecilycromby</v>
      </c>
      <c r="B27997" s="65"/>
    </row>
    <row r="27998" spans="1:2" x14ac:dyDescent="0.25">
      <c r="A27998" s="64" t="str">
        <f>HYPERLINK("http://www.twitter.com/wiflcc", "wiflcc")</f>
        <v>wiflcc</v>
      </c>
      <c r="B27998" s="65"/>
    </row>
    <row r="27999" spans="1:2" x14ac:dyDescent="0.25">
      <c r="A27999" s="64" t="str">
        <f>HYPERLINK("http://www.twitter.com/HoareHelen", "HoareHelen")</f>
        <v>HoareHelen</v>
      </c>
      <c r="B27999" s="65"/>
    </row>
    <row r="28000" spans="1:2" x14ac:dyDescent="0.25">
      <c r="A28000" s="64" t="str">
        <f>HYPERLINK("http://www.twitter.com/nickbeal", "nickbeal")</f>
        <v>nickbeal</v>
      </c>
      <c r="B28000" s="65"/>
    </row>
    <row r="28001" spans="1:2" x14ac:dyDescent="0.25">
      <c r="A28001" s="64" t="str">
        <f>HYPERLINK("http://www.twitter.com/OxonEm", "OxonEm")</f>
        <v>OxonEm</v>
      </c>
      <c r="B28001" s="65" t="s">
        <v>505</v>
      </c>
    </row>
    <row r="28002" spans="1:2" x14ac:dyDescent="0.25">
      <c r="A28002" s="64" t="str">
        <f>HYPERLINK("http://www.twitter.com/leelib2", "leelib2")</f>
        <v>leelib2</v>
      </c>
      <c r="B28002" s="65" t="s">
        <v>11760</v>
      </c>
    </row>
    <row r="28003" spans="1:2" x14ac:dyDescent="0.25">
      <c r="A28003" s="64" t="str">
        <f>HYPERLINK("http://www.twitter.com/starrshine7", "starrshine7")</f>
        <v>starrshine7</v>
      </c>
      <c r="B28003" s="65" t="s">
        <v>11761</v>
      </c>
    </row>
    <row r="28004" spans="1:2" x14ac:dyDescent="0.25">
      <c r="A28004" s="64" t="str">
        <f>HYPERLINK("http://www.twitter.com/time_fritterer", "time_fritterer")</f>
        <v>time_fritterer</v>
      </c>
      <c r="B28004" s="65" t="s">
        <v>11762</v>
      </c>
    </row>
    <row r="28005" spans="1:2" x14ac:dyDescent="0.25">
      <c r="A28005" s="64" t="str">
        <f>HYPERLINK("http://www.twitter.com/peeriedeevil", "peeriedeevil")</f>
        <v>peeriedeevil</v>
      </c>
      <c r="B28005" s="65" t="s">
        <v>2007</v>
      </c>
    </row>
    <row r="28006" spans="1:2" x14ac:dyDescent="0.25">
      <c r="A28006" s="64" t="str">
        <f>HYPERLINK("http://www.twitter.com/schottlandtrip", "schottlandtrip")</f>
        <v>schottlandtrip</v>
      </c>
      <c r="B28006" s="65" t="s">
        <v>11763</v>
      </c>
    </row>
    <row r="28007" spans="1:2" x14ac:dyDescent="0.25">
      <c r="A28007" s="64" t="str">
        <f>HYPERLINK("http://www.twitter.com/TESScotland", "TESScotland")</f>
        <v>TESScotland</v>
      </c>
      <c r="B28007" s="65" t="s">
        <v>517</v>
      </c>
    </row>
    <row r="28008" spans="1:2" x14ac:dyDescent="0.25">
      <c r="A28008" s="64" t="str">
        <f>HYPERLINK("http://www.twitter.com/SaoirseTA", "SaoirseTA")</f>
        <v>SaoirseTA</v>
      </c>
      <c r="B28008" s="65" t="s">
        <v>517</v>
      </c>
    </row>
    <row r="28009" spans="1:2" x14ac:dyDescent="0.25">
      <c r="A28009" s="64" t="str">
        <f>HYPERLINK("http://www.twitter.com/SengaTaylor", "SengaTaylor")</f>
        <v>SengaTaylor</v>
      </c>
      <c r="B28009" s="65" t="s">
        <v>5667</v>
      </c>
    </row>
    <row r="28010" spans="1:2" x14ac:dyDescent="0.25">
      <c r="A28010" s="64" t="str">
        <f>HYPERLINK("http://www.twitter.com/yamilemarianaz", "yamilemarianaz")</f>
        <v>yamilemarianaz</v>
      </c>
      <c r="B28010" s="65" t="s">
        <v>4365</v>
      </c>
    </row>
    <row r="28011" spans="1:2" x14ac:dyDescent="0.25">
      <c r="A28011" s="64" t="str">
        <f>HYPERLINK("http://www.twitter.com/uppertofts", "uppertofts")</f>
        <v>uppertofts</v>
      </c>
      <c r="B28011" s="65" t="s">
        <v>8162</v>
      </c>
    </row>
    <row r="28012" spans="1:2" x14ac:dyDescent="0.25">
      <c r="A28012" s="64" t="str">
        <f>HYPERLINK("http://www.twitter.com/kateawright", "kateawright")</f>
        <v>kateawright</v>
      </c>
      <c r="B28012" s="65"/>
    </row>
    <row r="28013" spans="1:2" x14ac:dyDescent="0.25">
      <c r="A28013" s="64" t="str">
        <f>HYPERLINK("http://www.twitter.com/inkstainsclaire", "inkstainsclaire")</f>
        <v>inkstainsclaire</v>
      </c>
      <c r="B28013" s="65" t="s">
        <v>477</v>
      </c>
    </row>
    <row r="28014" spans="1:2" x14ac:dyDescent="0.25">
      <c r="A28014" s="64" t="str">
        <f>HYPERLINK("http://www.twitter.com/timetoreadNW", "timetoreadNW")</f>
        <v>timetoreadNW</v>
      </c>
      <c r="B28014" s="65" t="s">
        <v>2289</v>
      </c>
    </row>
    <row r="28015" spans="1:2" x14ac:dyDescent="0.25">
      <c r="A28015" s="64" t="str">
        <f>HYPERLINK("http://www.twitter.com/LJR4711", "LJR4711")</f>
        <v>LJR4711</v>
      </c>
      <c r="B28015" s="65"/>
    </row>
    <row r="28016" spans="1:2" x14ac:dyDescent="0.25">
      <c r="A28016" s="64" t="str">
        <f>HYPERLINK("http://www.twitter.com/Miffysfanclub", "Miffysfanclub")</f>
        <v>Miffysfanclub</v>
      </c>
      <c r="B28016" s="65" t="s">
        <v>10288</v>
      </c>
    </row>
    <row r="28017" spans="1:2" x14ac:dyDescent="0.25">
      <c r="A28017" s="64" t="str">
        <f>HYPERLINK("http://www.twitter.com/giving_world", "giving_world")</f>
        <v>giving_world</v>
      </c>
      <c r="B28017" s="65" t="s">
        <v>296</v>
      </c>
    </row>
    <row r="28018" spans="1:2" x14ac:dyDescent="0.25">
      <c r="A28018" s="64" t="str">
        <f>HYPERLINK("http://www.twitter.com/TombOfTheEagles", "TombOfTheEagles")</f>
        <v>TombOfTheEagles</v>
      </c>
      <c r="B28018" s="65" t="s">
        <v>11764</v>
      </c>
    </row>
    <row r="28019" spans="1:2" x14ac:dyDescent="0.25">
      <c r="A28019" s="64" t="str">
        <f>HYPERLINK("http://www.twitter.com/StAndrewsUniLib", "StAndrewsUniLib")</f>
        <v>StAndrewsUniLib</v>
      </c>
      <c r="B28019" s="65" t="s">
        <v>396</v>
      </c>
    </row>
    <row r="28020" spans="1:2" x14ac:dyDescent="0.25">
      <c r="A28020" s="64" t="str">
        <f>HYPERLINK("http://www.twitter.com/Countrylifemag", "Countrylifemag")</f>
        <v>Countrylifemag</v>
      </c>
      <c r="B28020" s="65" t="s">
        <v>296</v>
      </c>
    </row>
    <row r="28021" spans="1:2" x14ac:dyDescent="0.25">
      <c r="A28021" s="64" t="str">
        <f>HYPERLINK("http://www.twitter.com/SeaHolding", "SeaHolding")</f>
        <v>SeaHolding</v>
      </c>
      <c r="B28021" s="65" t="s">
        <v>5006</v>
      </c>
    </row>
    <row r="28022" spans="1:2" x14ac:dyDescent="0.25">
      <c r="A28022" s="64" t="str">
        <f>HYPERLINK("http://www.twitter.com/MRSLANDRICOMBE", "MRSLANDRICOMBE")</f>
        <v>MRSLANDRICOMBE</v>
      </c>
      <c r="B28022" s="65"/>
    </row>
    <row r="28023" spans="1:2" x14ac:dyDescent="0.25">
      <c r="A28023" s="64" t="str">
        <f>HYPERLINK("http://www.twitter.com/SenaMacCaw", "SenaMacCaw")</f>
        <v>SenaMacCaw</v>
      </c>
      <c r="B28023" s="65" t="s">
        <v>11765</v>
      </c>
    </row>
    <row r="28024" spans="1:2" x14ac:dyDescent="0.25">
      <c r="A28024" s="64" t="str">
        <f>HYPERLINK("http://www.twitter.com/parishlass", "parishlass")</f>
        <v>parishlass</v>
      </c>
      <c r="B28024" s="65" t="s">
        <v>8033</v>
      </c>
    </row>
    <row r="28025" spans="1:2" x14ac:dyDescent="0.25">
      <c r="A28025" s="64" t="str">
        <f>HYPERLINK("http://www.twitter.com/jacksterama", "jacksterama")</f>
        <v>jacksterama</v>
      </c>
      <c r="B28025" s="65" t="s">
        <v>11766</v>
      </c>
    </row>
    <row r="28026" spans="1:2" x14ac:dyDescent="0.25">
      <c r="A28026" s="64" t="str">
        <f>HYPERLINK("http://www.twitter.com/Donnchaidh1611", "Donnchaidh1611")</f>
        <v>Donnchaidh1611</v>
      </c>
      <c r="B28026" s="65" t="s">
        <v>11767</v>
      </c>
    </row>
    <row r="28027" spans="1:2" x14ac:dyDescent="0.25">
      <c r="A28027" s="64" t="str">
        <f>HYPERLINK("http://www.twitter.com/the_foveran", "the_foveran")</f>
        <v>the_foveran</v>
      </c>
      <c r="B28027" s="65" t="s">
        <v>5667</v>
      </c>
    </row>
    <row r="28028" spans="1:2" x14ac:dyDescent="0.25">
      <c r="A28028" s="64" t="str">
        <f>HYPERLINK("http://www.twitter.com/AJMcFlea", "AJMcFlea")</f>
        <v>AJMcFlea</v>
      </c>
      <c r="B28028" s="65" t="s">
        <v>11768</v>
      </c>
    </row>
    <row r="28029" spans="1:2" x14ac:dyDescent="0.25">
      <c r="A28029" s="64" t="str">
        <f>HYPERLINK("http://www.twitter.com/IanS293", "IanS293")</f>
        <v>IanS293</v>
      </c>
      <c r="B28029" s="65" t="s">
        <v>10081</v>
      </c>
    </row>
    <row r="28030" spans="1:2" x14ac:dyDescent="0.25">
      <c r="A28030" s="64" t="str">
        <f>HYPERLINK("http://www.twitter.com/theimposter1979", "theimposter1979")</f>
        <v>theimposter1979</v>
      </c>
      <c r="B28030" s="65" t="s">
        <v>459</v>
      </c>
    </row>
    <row r="28031" spans="1:2" x14ac:dyDescent="0.25">
      <c r="A28031" s="64" t="str">
        <f>HYPERLINK("http://www.twitter.com/MaggieSwarbrick", "MaggieSwarbrick")</f>
        <v>MaggieSwarbrick</v>
      </c>
      <c r="B28031" s="65" t="s">
        <v>248</v>
      </c>
    </row>
    <row r="28032" spans="1:2" x14ac:dyDescent="0.25">
      <c r="A28032" s="64" t="str">
        <f>HYPERLINK("http://www.twitter.com/SusanMary52", "SusanMary52")</f>
        <v>SusanMary52</v>
      </c>
      <c r="B28032" s="65"/>
    </row>
    <row r="28033" spans="1:2" x14ac:dyDescent="0.25">
      <c r="A28033" s="64" t="str">
        <f>HYPERLINK("http://www.twitter.com/stornowayblone", "stornowayblone")</f>
        <v>stornowayblone</v>
      </c>
      <c r="B28033" s="65" t="s">
        <v>8068</v>
      </c>
    </row>
    <row r="28034" spans="1:2" x14ac:dyDescent="0.25">
      <c r="A28034" s="64" t="str">
        <f>HYPERLINK("http://www.twitter.com/sjenki8495", "sjenki8495")</f>
        <v>sjenki8495</v>
      </c>
      <c r="B28034" s="65" t="s">
        <v>3650</v>
      </c>
    </row>
    <row r="28035" spans="1:2" x14ac:dyDescent="0.25">
      <c r="A28035" s="64" t="str">
        <f>HYPERLINK("http://www.twitter.com/capcwyr", "capcwyr")</f>
        <v>capcwyr</v>
      </c>
      <c r="B28035" s="65"/>
    </row>
    <row r="28036" spans="1:2" x14ac:dyDescent="0.25">
      <c r="A28036" s="64" t="str">
        <f>HYPERLINK("http://www.twitter.com/KylesKirsty", "KylesKirsty")</f>
        <v>KylesKirsty</v>
      </c>
      <c r="B28036" s="65" t="s">
        <v>517</v>
      </c>
    </row>
    <row r="28037" spans="1:2" x14ac:dyDescent="0.25">
      <c r="A28037" s="64" t="str">
        <f>HYPERLINK("http://www.twitter.com/SittingVicky", "SittingVicky")</f>
        <v>SittingVicky</v>
      </c>
      <c r="B28037" s="65" t="s">
        <v>5299</v>
      </c>
    </row>
    <row r="28038" spans="1:2" x14ac:dyDescent="0.25">
      <c r="A28038" s="64" t="str">
        <f>HYPERLINK("http://www.twitter.com/Astra_sun", "Astra_sun")</f>
        <v>Astra_sun</v>
      </c>
      <c r="B28038" s="65"/>
    </row>
    <row r="28039" spans="1:2" x14ac:dyDescent="0.25">
      <c r="A28039" s="64" t="str">
        <f>HYPERLINK("http://www.twitter.com/Izzieflett", "Izzieflett")</f>
        <v>Izzieflett</v>
      </c>
      <c r="B28039" s="65"/>
    </row>
    <row r="28040" spans="1:2" x14ac:dyDescent="0.25">
      <c r="A28040" s="64" t="str">
        <f>HYPERLINK("http://www.twitter.com/BarnetLibraries", "BarnetLibraries")</f>
        <v>BarnetLibraries</v>
      </c>
      <c r="B28040" s="65"/>
    </row>
    <row r="28041" spans="1:2" x14ac:dyDescent="0.25">
      <c r="A28041" s="64" t="str">
        <f>HYPERLINK("http://www.twitter.com/Oliphira", "Oliphira")</f>
        <v>Oliphira</v>
      </c>
      <c r="B28041" s="65"/>
    </row>
    <row r="28042" spans="1:2" x14ac:dyDescent="0.25">
      <c r="A28042" s="64" t="str">
        <f>HYPERLINK("http://www.twitter.com/CoraStudio", "CoraStudio")</f>
        <v>CoraStudio</v>
      </c>
      <c r="B28042" s="65" t="s">
        <v>318</v>
      </c>
    </row>
    <row r="28043" spans="1:2" x14ac:dyDescent="0.25">
      <c r="A28043" s="64" t="str">
        <f>HYPERLINK("http://www.twitter.com/cookoo79", "cookoo79")</f>
        <v>cookoo79</v>
      </c>
      <c r="B28043" s="65" t="s">
        <v>355</v>
      </c>
    </row>
    <row r="28044" spans="1:2" x14ac:dyDescent="0.25">
      <c r="A28044" s="64" t="str">
        <f>HYPERLINK("http://www.twitter.com/PickOneWeaver", "PickOneWeaver")</f>
        <v>PickOneWeaver</v>
      </c>
      <c r="B28044" s="65" t="s">
        <v>487</v>
      </c>
    </row>
    <row r="28045" spans="1:2" x14ac:dyDescent="0.25">
      <c r="A28045" s="64" t="str">
        <f>HYPERLINK("http://www.twitter.com/CTDceramics", "CTDceramics")</f>
        <v>CTDceramics</v>
      </c>
      <c r="B28045" s="65" t="s">
        <v>487</v>
      </c>
    </row>
    <row r="28046" spans="1:2" x14ac:dyDescent="0.25">
      <c r="A28046" s="64" t="str">
        <f>HYPERLINK("http://www.twitter.com/diplomatic_diva", "diplomatic_diva")</f>
        <v>diplomatic_diva</v>
      </c>
      <c r="B28046" s="65" t="s">
        <v>36</v>
      </c>
    </row>
    <row r="28047" spans="1:2" x14ac:dyDescent="0.25">
      <c r="A28047" s="64" t="str">
        <f>HYPERLINK("http://www.twitter.com/codenamejane", "codenamejane")</f>
        <v>codenamejane</v>
      </c>
      <c r="B28047" s="65" t="s">
        <v>5721</v>
      </c>
    </row>
    <row r="28048" spans="1:2" x14ac:dyDescent="0.25">
      <c r="A28048" s="64" t="str">
        <f>HYPERLINK("http://www.twitter.com/PostBoxForSale", "PostBoxForSale")</f>
        <v>PostBoxForSale</v>
      </c>
      <c r="B28048" s="65" t="s">
        <v>296</v>
      </c>
    </row>
    <row r="28049" spans="1:2" x14ac:dyDescent="0.25">
      <c r="A28049" s="64" t="str">
        <f>HYPERLINK("http://www.twitter.com/ClaireofThorpe", "ClaireofThorpe")</f>
        <v>ClaireofThorpe</v>
      </c>
      <c r="B28049" s="65" t="s">
        <v>2213</v>
      </c>
    </row>
    <row r="28050" spans="1:2" x14ac:dyDescent="0.25">
      <c r="A28050" s="64" t="str">
        <f>HYPERLINK("http://www.twitter.com/FrancesTout", "FrancesTout")</f>
        <v>FrancesTout</v>
      </c>
      <c r="B28050" s="65" t="s">
        <v>11769</v>
      </c>
    </row>
    <row r="28051" spans="1:2" x14ac:dyDescent="0.25">
      <c r="A28051" s="64" t="str">
        <f>HYPERLINK("http://www.twitter.com/UniteScotLegal", "UniteScotLegal")</f>
        <v>UniteScotLegal</v>
      </c>
      <c r="B28051" s="65"/>
    </row>
    <row r="28052" spans="1:2" x14ac:dyDescent="0.25">
      <c r="A28052" s="64" t="str">
        <f>HYPERLINK("http://www.twitter.com/lizeatsdirt", "lizeatsdirt")</f>
        <v>lizeatsdirt</v>
      </c>
      <c r="B28052" s="65" t="s">
        <v>2213</v>
      </c>
    </row>
    <row r="28053" spans="1:2" x14ac:dyDescent="0.25">
      <c r="A28053" s="64" t="str">
        <f>HYPERLINK("http://www.twitter.com/bronlivingstone", "bronlivingstone")</f>
        <v>bronlivingstone</v>
      </c>
      <c r="B28053" s="65" t="s">
        <v>517</v>
      </c>
    </row>
    <row r="28054" spans="1:2" x14ac:dyDescent="0.25">
      <c r="A28054" s="64" t="str">
        <f>HYPERLINK("http://www.twitter.com/KUnlatched", "KUnlatched")</f>
        <v>KUnlatched</v>
      </c>
      <c r="B28054" s="65" t="s">
        <v>5089</v>
      </c>
    </row>
    <row r="28055" spans="1:2" x14ac:dyDescent="0.25">
      <c r="A28055" s="64" t="str">
        <f>HYPERLINK("http://www.twitter.com/sandrahogg", "sandrahogg")</f>
        <v>sandrahogg</v>
      </c>
      <c r="B28055" s="65" t="s">
        <v>4050</v>
      </c>
    </row>
    <row r="28056" spans="1:2" x14ac:dyDescent="0.25">
      <c r="A28056" s="64" t="str">
        <f>HYPERLINK("http://www.twitter.com/HullUni_Library", "HullUni_Library")</f>
        <v>HullUni_Library</v>
      </c>
      <c r="B28056" s="65" t="s">
        <v>175</v>
      </c>
    </row>
    <row r="28057" spans="1:2" x14ac:dyDescent="0.25">
      <c r="A28057" s="64" t="str">
        <f>HYPERLINK("http://www.twitter.com/_Rho_", "_Rho_")</f>
        <v>_Rho_</v>
      </c>
      <c r="B28057" s="65"/>
    </row>
    <row r="28058" spans="1:2" x14ac:dyDescent="0.25">
      <c r="A28058" s="64" t="str">
        <f>HYPERLINK("http://www.twitter.com/Armandii", "Armandii")</f>
        <v>Armandii</v>
      </c>
      <c r="B28058" s="65" t="s">
        <v>36</v>
      </c>
    </row>
    <row r="28059" spans="1:2" x14ac:dyDescent="0.25">
      <c r="A28059" s="64" t="str">
        <f>HYPERLINK("http://www.twitter.com/smw2003uk", "smw2003uk")</f>
        <v>smw2003uk</v>
      </c>
      <c r="B28059" s="65"/>
    </row>
    <row r="28060" spans="1:2" x14ac:dyDescent="0.25">
      <c r="A28060" s="64" t="str">
        <f>HYPERLINK("http://www.twitter.com/heerabutz", "heerabutz")</f>
        <v>heerabutz</v>
      </c>
      <c r="B28060" s="65"/>
    </row>
    <row r="28061" spans="1:2" x14ac:dyDescent="0.25">
      <c r="A28061" s="64" t="str">
        <f>HYPERLINK("http://www.twitter.com/DeernessStores", "DeernessStores")</f>
        <v>DeernessStores</v>
      </c>
      <c r="B28061" s="65"/>
    </row>
    <row r="28062" spans="1:2" x14ac:dyDescent="0.25">
      <c r="A28062" s="64" t="str">
        <f>HYPERLINK("http://www.twitter.com/Annashi", "Annashi")</f>
        <v>Annashi</v>
      </c>
      <c r="B28062" s="65" t="s">
        <v>517</v>
      </c>
    </row>
    <row r="28063" spans="1:2" x14ac:dyDescent="0.25">
      <c r="A28063" s="64" t="str">
        <f>HYPERLINK("http://www.twitter.com/catross80", "catross80")</f>
        <v>catross80</v>
      </c>
      <c r="B28063" s="65" t="s">
        <v>4215</v>
      </c>
    </row>
    <row r="28064" spans="1:2" x14ac:dyDescent="0.25">
      <c r="A28064" s="64" t="str">
        <f>HYPERLINK("http://www.twitter.com/bookpixie", "bookpixie")</f>
        <v>bookpixie</v>
      </c>
      <c r="B28064" s="65" t="s">
        <v>36</v>
      </c>
    </row>
    <row r="28065" spans="1:2" x14ac:dyDescent="0.25">
      <c r="A28065" s="64" t="str">
        <f>HYPERLINK("http://www.twitter.com/AndLizanddavid", "AndLizanddavid")</f>
        <v>AndLizanddavid</v>
      </c>
      <c r="B28065" s="65"/>
    </row>
    <row r="28066" spans="1:2" x14ac:dyDescent="0.25">
      <c r="A28066" s="64" t="str">
        <f>HYPERLINK("http://www.twitter.com/peedie_rss", "peedie_rss")</f>
        <v>peedie_rss</v>
      </c>
      <c r="B28066" s="65" t="s">
        <v>517</v>
      </c>
    </row>
    <row r="28067" spans="1:2" x14ac:dyDescent="0.25">
      <c r="A28067" s="64" t="str">
        <f>HYPERLINK("http://www.twitter.com/northseaknitter", "northseaknitter")</f>
        <v>northseaknitter</v>
      </c>
      <c r="B28067" s="65" t="s">
        <v>6633</v>
      </c>
    </row>
    <row r="28068" spans="1:2" x14ac:dyDescent="0.25">
      <c r="A28068" s="64" t="str">
        <f>HYPERLINK("http://www.twitter.com/perpus_sda", "perpus_sda")</f>
        <v>perpus_sda</v>
      </c>
      <c r="B28068" s="65" t="s">
        <v>11770</v>
      </c>
    </row>
    <row r="28069" spans="1:2" x14ac:dyDescent="0.25">
      <c r="A28069" s="64" t="str">
        <f>HYPERLINK("http://www.twitter.com/yonyitz", "yonyitz")</f>
        <v>yonyitz</v>
      </c>
      <c r="B28069" s="65"/>
    </row>
    <row r="28070" spans="1:2" x14ac:dyDescent="0.25">
      <c r="A28070" s="64" t="str">
        <f>HYPERLINK("http://www.twitter.com/BookwormNinja", "BookwormNinja")</f>
        <v>BookwormNinja</v>
      </c>
      <c r="B28070" s="65"/>
    </row>
    <row r="28071" spans="1:2" x14ac:dyDescent="0.25">
      <c r="A28071" s="64" t="str">
        <f>HYPERLINK("http://www.twitter.com/elainemmellor", "elainemmellor")</f>
        <v>elainemmellor</v>
      </c>
      <c r="B28071" s="65"/>
    </row>
    <row r="28072" spans="1:2" x14ac:dyDescent="0.25">
      <c r="A28072" s="64" t="str">
        <f>HYPERLINK("http://www.twitter.com/stevieglenlee", "stevieglenlee")</f>
        <v>stevieglenlee</v>
      </c>
      <c r="B28072" s="65"/>
    </row>
    <row r="28073" spans="1:2" x14ac:dyDescent="0.25">
      <c r="A28073" s="64" t="str">
        <f>HYPERLINK("http://www.twitter.com/EstherG1973", "EstherG1973")</f>
        <v>EstherG1973</v>
      </c>
      <c r="B28073" s="65"/>
    </row>
    <row r="28074" spans="1:2" x14ac:dyDescent="0.25">
      <c r="A28074" s="64" t="str">
        <f>HYPERLINK("http://www.twitter.com/KatyandToast", "KatyandToast")</f>
        <v>KatyandToast</v>
      </c>
      <c r="B28074" s="65" t="s">
        <v>3040</v>
      </c>
    </row>
    <row r="28075" spans="1:2" x14ac:dyDescent="0.25">
      <c r="A28075" s="64" t="str">
        <f>HYPERLINK("http://www.twitter.com/HLangstaff27", "HLangstaff27")</f>
        <v>HLangstaff27</v>
      </c>
      <c r="B28075" s="65" t="s">
        <v>296</v>
      </c>
    </row>
    <row r="28076" spans="1:2" x14ac:dyDescent="0.25">
      <c r="A28076" s="64" t="str">
        <f>HYPERLINK("http://www.twitter.com/TraderRegister", "TraderRegister")</f>
        <v>TraderRegister</v>
      </c>
      <c r="B28076" s="65" t="s">
        <v>11771</v>
      </c>
    </row>
    <row r="28077" spans="1:2" x14ac:dyDescent="0.25">
      <c r="A28077" s="64" t="str">
        <f>HYPERLINK("http://www.twitter.com/shugrob", "shugrob")</f>
        <v>shugrob</v>
      </c>
      <c r="B28077" s="65"/>
    </row>
    <row r="28078" spans="1:2" x14ac:dyDescent="0.25">
      <c r="A28078" s="64" t="str">
        <f>HYPERLINK("http://www.twitter.com/WarringahLib", "WarringahLib")</f>
        <v>WarringahLib</v>
      </c>
      <c r="B28078" s="65" t="s">
        <v>4237</v>
      </c>
    </row>
    <row r="28079" spans="1:2" x14ac:dyDescent="0.25">
      <c r="A28079" s="64" t="str">
        <f>HYPERLINK("http://www.twitter.com/HeatherBelmonte", "HeatherBelmonte")</f>
        <v>HeatherBelmonte</v>
      </c>
      <c r="B28079" s="65" t="s">
        <v>24</v>
      </c>
    </row>
    <row r="28080" spans="1:2" x14ac:dyDescent="0.25">
      <c r="A28080" s="64" t="str">
        <f>HYPERLINK("http://www.twitter.com/bookpluscoffee", "bookpluscoffee")</f>
        <v>bookpluscoffee</v>
      </c>
      <c r="B28080" s="65" t="s">
        <v>138</v>
      </c>
    </row>
    <row r="28081" spans="1:2" x14ac:dyDescent="0.25">
      <c r="A28081" s="64" t="str">
        <f>HYPERLINK("http://www.twitter.com/sarahhayton", "sarahhayton")</f>
        <v>sarahhayton</v>
      </c>
      <c r="B28081" s="65" t="s">
        <v>1218</v>
      </c>
    </row>
    <row r="28082" spans="1:2" x14ac:dyDescent="0.25">
      <c r="A28082" s="64" t="str">
        <f>HYPERLINK("http://www.twitter.com/JillSCurrie", "JillSCurrie")</f>
        <v>JillSCurrie</v>
      </c>
      <c r="B28082" s="65"/>
    </row>
    <row r="28083" spans="1:2" x14ac:dyDescent="0.25">
      <c r="A28083" s="64" t="str">
        <f>HYPERLINK("http://www.twitter.com/ontheshelfuk", "ontheshelfuk")</f>
        <v>ontheshelfuk</v>
      </c>
      <c r="B28083" s="65" t="s">
        <v>1511</v>
      </c>
    </row>
    <row r="28084" spans="1:2" x14ac:dyDescent="0.25">
      <c r="A28084" s="64" t="str">
        <f>HYPERLINK("http://www.twitter.com/WoodbridgeLib", "WoodbridgeLib")</f>
        <v>WoodbridgeLib</v>
      </c>
      <c r="B28084" s="65"/>
    </row>
    <row r="28085" spans="1:2" x14ac:dyDescent="0.25">
      <c r="A28085" s="64" t="str">
        <f>HYPERLINK("http://www.twitter.com/game_map", "game_map")</f>
        <v>game_map</v>
      </c>
      <c r="B28085" s="65" t="s">
        <v>9499</v>
      </c>
    </row>
    <row r="28086" spans="1:2" x14ac:dyDescent="0.25">
      <c r="A28086" s="64" t="str">
        <f>HYPERLINK("http://www.twitter.com/brucezx14r", "brucezx14r")</f>
        <v>brucezx14r</v>
      </c>
      <c r="B28086" s="65" t="s">
        <v>11772</v>
      </c>
    </row>
    <row r="28087" spans="1:2" x14ac:dyDescent="0.25">
      <c r="A28087" s="64" t="str">
        <f>HYPERLINK("http://www.twitter.com/hiroweissborn30", "hiroweissborn30")</f>
        <v>hiroweissborn30</v>
      </c>
      <c r="B28087" s="65" t="s">
        <v>102</v>
      </c>
    </row>
    <row r="28088" spans="1:2" x14ac:dyDescent="0.25">
      <c r="A28088" s="64" t="str">
        <f>HYPERLINK("http://www.twitter.com/JHutchIsSoCute3", "JHutchIsSoCute3")</f>
        <v>JHutchIsSoCute3</v>
      </c>
      <c r="B28088" s="65" t="s">
        <v>11773</v>
      </c>
    </row>
    <row r="28089" spans="1:2" x14ac:dyDescent="0.25">
      <c r="A28089" s="64" t="str">
        <f>HYPERLINK("http://www.twitter.com/Shaw_MD", "Shaw_MD")</f>
        <v>Shaw_MD</v>
      </c>
      <c r="B28089" s="65" t="s">
        <v>11774</v>
      </c>
    </row>
    <row r="28090" spans="1:2" x14ac:dyDescent="0.25">
      <c r="A28090" s="64" t="str">
        <f>HYPERLINK("http://www.twitter.com/blackagnes1314", "blackagnes1314")</f>
        <v>blackagnes1314</v>
      </c>
      <c r="B28090" s="65"/>
    </row>
    <row r="28091" spans="1:2" x14ac:dyDescent="0.25">
      <c r="A28091" s="64" t="str">
        <f>HYPERLINK("http://www.twitter.com/TheHiveWorcs", "TheHiveWorcs")</f>
        <v>TheHiveWorcs</v>
      </c>
      <c r="B28091" s="65" t="s">
        <v>129</v>
      </c>
    </row>
    <row r="28092" spans="1:2" x14ac:dyDescent="0.25">
      <c r="A28092" s="64" t="str">
        <f>HYPERLINK("http://www.twitter.com/Lesserfleabane", "Lesserfleabane")</f>
        <v>Lesserfleabane</v>
      </c>
      <c r="B28092" s="65"/>
    </row>
    <row r="28093" spans="1:2" x14ac:dyDescent="0.25">
      <c r="A28093" s="64" t="str">
        <f>HYPERLINK("http://www.twitter.com/JoyceSchneider1", "JoyceSchneider1")</f>
        <v>JoyceSchneider1</v>
      </c>
      <c r="B28093" s="65"/>
    </row>
    <row r="28094" spans="1:2" x14ac:dyDescent="0.25">
      <c r="A28094" s="64" t="str">
        <f>HYPERLINK("http://www.twitter.com/dkblumchen", "dkblumchen")</f>
        <v>dkblumchen</v>
      </c>
      <c r="B28094" s="65"/>
    </row>
    <row r="28095" spans="1:2" x14ac:dyDescent="0.25">
      <c r="A28095" s="64" t="str">
        <f>HYPERLINK("http://www.twitter.com/LivviMaii", "LivviMaii")</f>
        <v>LivviMaii</v>
      </c>
      <c r="B28095" s="65"/>
    </row>
    <row r="28096" spans="1:2" x14ac:dyDescent="0.25">
      <c r="A28096" s="64" t="str">
        <f>HYPERLINK("http://www.twitter.com/edfilmfest", "edfilmfest")</f>
        <v>edfilmfest</v>
      </c>
      <c r="B28096" s="65" t="s">
        <v>24</v>
      </c>
    </row>
    <row r="28097" spans="1:2" x14ac:dyDescent="0.25">
      <c r="A28097" s="64" t="str">
        <f>HYPERLINK("http://www.twitter.com/rleming", "rleming")</f>
        <v>rleming</v>
      </c>
      <c r="B28097" s="65" t="s">
        <v>11775</v>
      </c>
    </row>
    <row r="28098" spans="1:2" x14ac:dyDescent="0.25">
      <c r="A28098" s="64" t="str">
        <f>HYPERLINK("http://www.twitter.com/AyjayFry", "AyjayFry")</f>
        <v>AyjayFry</v>
      </c>
      <c r="B28098" s="65" t="s">
        <v>1098</v>
      </c>
    </row>
    <row r="28099" spans="1:2" x14ac:dyDescent="0.25">
      <c r="A28099" s="64" t="str">
        <f>HYPERLINK("http://www.twitter.com/emmeline3101", "emmeline3101")</f>
        <v>emmeline3101</v>
      </c>
      <c r="B28099" s="65"/>
    </row>
    <row r="28100" spans="1:2" x14ac:dyDescent="0.25">
      <c r="A28100" s="64" t="str">
        <f>HYPERLINK("http://www.twitter.com/JohnGrayCentre", "JohnGrayCentre")</f>
        <v>JohnGrayCentre</v>
      </c>
      <c r="B28100" s="65" t="s">
        <v>700</v>
      </c>
    </row>
    <row r="28101" spans="1:2" x14ac:dyDescent="0.25">
      <c r="A28101" s="64" t="str">
        <f>HYPERLINK("http://www.twitter.com/MrGaunt", "MrGaunt")</f>
        <v>MrGaunt</v>
      </c>
      <c r="B28101" s="65"/>
    </row>
    <row r="28102" spans="1:2" x14ac:dyDescent="0.25">
      <c r="A28102" s="64" t="str">
        <f>HYPERLINK("http://www.twitter.com/lIS_CORNER", "lIS_CORNER")</f>
        <v>lIS_CORNER</v>
      </c>
      <c r="B28102" s="65"/>
    </row>
    <row r="28103" spans="1:2" x14ac:dyDescent="0.25">
      <c r="A28103" s="64" t="str">
        <f>HYPERLINK("http://www.twitter.com/IFLA_LIBER", "IFLA_LIBER")</f>
        <v>IFLA_LIBER</v>
      </c>
      <c r="B28103" s="65"/>
    </row>
    <row r="28104" spans="1:2" x14ac:dyDescent="0.25">
      <c r="A28104" s="64" t="str">
        <f>HYPERLINK("http://www.twitter.com/morrisonkenny", "morrisonkenny")</f>
        <v>morrisonkenny</v>
      </c>
      <c r="B28104" s="65" t="s">
        <v>36</v>
      </c>
    </row>
    <row r="28105" spans="1:2" x14ac:dyDescent="0.25">
      <c r="A28105" s="64" t="str">
        <f>HYPERLINK("http://www.twitter.com/LifetimeTelly", "LifetimeTelly")</f>
        <v>LifetimeTelly</v>
      </c>
      <c r="B28105" s="65" t="s">
        <v>11776</v>
      </c>
    </row>
    <row r="28106" spans="1:2" x14ac:dyDescent="0.25">
      <c r="A28106" s="64" t="str">
        <f>HYPERLINK("http://www.twitter.com/pf_83", "pf_83")</f>
        <v>pf_83</v>
      </c>
      <c r="B28106" s="65" t="s">
        <v>11777</v>
      </c>
    </row>
    <row r="28107" spans="1:2" x14ac:dyDescent="0.25">
      <c r="A28107" s="64" t="str">
        <f>HYPERLINK("http://www.twitter.com/21Revs", "21Revs")</f>
        <v>21Revs</v>
      </c>
      <c r="B28107" s="65" t="s">
        <v>11778</v>
      </c>
    </row>
    <row r="28108" spans="1:2" x14ac:dyDescent="0.25">
      <c r="A28108" s="64" t="str">
        <f>HYPERLINK("http://www.twitter.com/grantnd", "grantnd")</f>
        <v>grantnd</v>
      </c>
      <c r="B28108" s="65" t="s">
        <v>318</v>
      </c>
    </row>
    <row r="28109" spans="1:2" x14ac:dyDescent="0.25">
      <c r="A28109" s="64" t="str">
        <f>HYPERLINK("http://www.twitter.com/paulinet1998", "paulinet1998")</f>
        <v>paulinet1998</v>
      </c>
      <c r="B28109" s="65"/>
    </row>
    <row r="28110" spans="1:2" x14ac:dyDescent="0.25">
      <c r="A28110" s="64" t="str">
        <f>HYPERLINK("http://www.twitter.com/TjaKm", "TjaKm")</f>
        <v>TjaKm</v>
      </c>
      <c r="B28110" s="65"/>
    </row>
    <row r="28111" spans="1:2" x14ac:dyDescent="0.25">
      <c r="A28111" s="64" t="str">
        <f>HYPERLINK("http://www.twitter.com/laurabrooke59", "laurabrooke59")</f>
        <v>laurabrooke59</v>
      </c>
      <c r="B28111" s="65" t="s">
        <v>36</v>
      </c>
    </row>
    <row r="28112" spans="1:2" x14ac:dyDescent="0.25">
      <c r="A28112" s="64" t="str">
        <f>HYPERLINK("http://www.twitter.com/A_M_Q", "A_M_Q")</f>
        <v>A_M_Q</v>
      </c>
      <c r="B28112" s="65" t="s">
        <v>11779</v>
      </c>
    </row>
    <row r="28113" spans="1:2" x14ac:dyDescent="0.25">
      <c r="A28113" s="64" t="str">
        <f>HYPERLINK("http://www.twitter.com/postmenon", "postmenon")</f>
        <v>postmenon</v>
      </c>
      <c r="B28113" s="65" t="s">
        <v>36</v>
      </c>
    </row>
    <row r="28114" spans="1:2" x14ac:dyDescent="0.25">
      <c r="A28114" s="64" t="str">
        <f>HYPERLINK("http://www.twitter.com/Tall_Tucks", "Tall_Tucks")</f>
        <v>Tall_Tucks</v>
      </c>
      <c r="B28114" s="65"/>
    </row>
    <row r="28115" spans="1:2" x14ac:dyDescent="0.25">
      <c r="A28115" s="64" t="str">
        <f>HYPERLINK("http://www.twitter.com/HelgaPirie", "HelgaPirie")</f>
        <v>HelgaPirie</v>
      </c>
      <c r="B28115" s="65"/>
    </row>
    <row r="28116" spans="1:2" x14ac:dyDescent="0.25">
      <c r="A28116" s="64" t="str">
        <f>HYPERLINK("http://www.twitter.com/Coubister", "Coubister")</f>
        <v>Coubister</v>
      </c>
      <c r="B28116" s="65" t="s">
        <v>11780</v>
      </c>
    </row>
    <row r="28117" spans="1:2" x14ac:dyDescent="0.25">
      <c r="A28117" s="64" t="str">
        <f>HYPERLINK("http://www.twitter.com/Katrine66", "Katrine66")</f>
        <v>Katrine66</v>
      </c>
      <c r="B28117" s="65" t="s">
        <v>11781</v>
      </c>
    </row>
    <row r="28118" spans="1:2" x14ac:dyDescent="0.25">
      <c r="A28118" s="64" t="str">
        <f>HYPERLINK("http://www.twitter.com/feesoot", "feesoot")</f>
        <v>feesoot</v>
      </c>
      <c r="B28118" s="65"/>
    </row>
    <row r="28119" spans="1:2" x14ac:dyDescent="0.25">
      <c r="A28119" s="64" t="str">
        <f>HYPERLINK("http://www.twitter.com/LudlowLibrary", "LudlowLibrary")</f>
        <v>LudlowLibrary</v>
      </c>
      <c r="B28119" s="65" t="s">
        <v>860</v>
      </c>
    </row>
    <row r="28120" spans="1:2" x14ac:dyDescent="0.25">
      <c r="A28120" s="64" t="str">
        <f>HYPERLINK("http://www.twitter.com/thehearinglib", "thehearinglib")</f>
        <v>thehearinglib</v>
      </c>
      <c r="B28120" s="65" t="s">
        <v>11782</v>
      </c>
    </row>
    <row r="28121" spans="1:2" x14ac:dyDescent="0.25">
      <c r="A28121" s="64" t="str">
        <f>HYPERLINK("http://www.twitter.com/scannx", "scannx")</f>
        <v>scannx</v>
      </c>
      <c r="B28121" s="65" t="s">
        <v>11783</v>
      </c>
    </row>
    <row r="28122" spans="1:2" x14ac:dyDescent="0.25">
      <c r="A28122" s="64" t="str">
        <f>HYPERLINK("http://www.twitter.com/Ammee29", "Ammee29")</f>
        <v>Ammee29</v>
      </c>
      <c r="B28122" s="65" t="s">
        <v>138</v>
      </c>
    </row>
    <row r="28123" spans="1:2" x14ac:dyDescent="0.25">
      <c r="A28123" s="64" t="str">
        <f>HYPERLINK("http://www.twitter.com/mapguy83", "mapguy83")</f>
        <v>mapguy83</v>
      </c>
      <c r="B28123" s="65" t="s">
        <v>3821</v>
      </c>
    </row>
    <row r="28124" spans="1:2" x14ac:dyDescent="0.25">
      <c r="A28124" s="64" t="str">
        <f>HYPERLINK("http://www.twitter.com/AdamSparke", "AdamSparke")</f>
        <v>AdamSparke</v>
      </c>
      <c r="B28124" s="65" t="s">
        <v>11784</v>
      </c>
    </row>
    <row r="28125" spans="1:2" x14ac:dyDescent="0.25">
      <c r="A28125" s="64" t="str">
        <f>HYPERLINK("http://www.twitter.com/surly1", "surly1")</f>
        <v>surly1</v>
      </c>
      <c r="B28125" s="65" t="s">
        <v>11785</v>
      </c>
    </row>
    <row r="28126" spans="1:2" x14ac:dyDescent="0.25">
      <c r="A28126" s="64" t="str">
        <f>HYPERLINK("http://www.twitter.com/PrendergastG", "PrendergastG")</f>
        <v>PrendergastG</v>
      </c>
      <c r="B28126" s="65"/>
    </row>
    <row r="28127" spans="1:2" x14ac:dyDescent="0.25">
      <c r="A28127" s="64" t="str">
        <f>HYPERLINK("http://www.twitter.com/MCollierBaker", "MCollierBaker")</f>
        <v>MCollierBaker</v>
      </c>
      <c r="B28127" s="65"/>
    </row>
    <row r="28128" spans="1:2" x14ac:dyDescent="0.25">
      <c r="A28128" s="64" t="str">
        <f>HYPERLINK("http://www.twitter.com/KatieRickard1", "KatieRickard1")</f>
        <v>KatieRickard1</v>
      </c>
      <c r="B28128" s="65"/>
    </row>
    <row r="28129" spans="1:2" x14ac:dyDescent="0.25">
      <c r="A28129" s="64" t="str">
        <f>HYPERLINK("http://www.twitter.com/msjenjenjen", "msjenjenjen")</f>
        <v>msjenjenjen</v>
      </c>
      <c r="B28129" s="65"/>
    </row>
    <row r="28130" spans="1:2" x14ac:dyDescent="0.25">
      <c r="A28130" s="64" t="str">
        <f>HYPERLINK("http://www.twitter.com/LibraryHIT", "LibraryHIT")</f>
        <v>LibraryHIT</v>
      </c>
      <c r="B28130" s="65"/>
    </row>
    <row r="28131" spans="1:2" x14ac:dyDescent="0.25">
      <c r="A28131" s="64" t="str">
        <f>HYPERLINK("http://www.twitter.com/choffee", "choffee")</f>
        <v>choffee</v>
      </c>
      <c r="B28131" s="65" t="s">
        <v>296</v>
      </c>
    </row>
    <row r="28132" spans="1:2" x14ac:dyDescent="0.25">
      <c r="A28132" s="64" t="str">
        <f>HYPERLINK("http://www.twitter.com/robertsroz", "robertsroz")</f>
        <v>robertsroz</v>
      </c>
      <c r="B28132" s="65" t="s">
        <v>6939</v>
      </c>
    </row>
    <row r="28133" spans="1:2" x14ac:dyDescent="0.25">
      <c r="A28133" s="64" t="str">
        <f>HYPERLINK("http://www.twitter.com/vivhan", "vivhan")</f>
        <v>vivhan</v>
      </c>
      <c r="B28133" s="65" t="s">
        <v>36</v>
      </c>
    </row>
    <row r="28134" spans="1:2" x14ac:dyDescent="0.25">
      <c r="A28134" s="64" t="str">
        <f>HYPERLINK("http://www.twitter.com/Diana_Perche", "Diana_Perche")</f>
        <v>Diana_Perche</v>
      </c>
      <c r="B28134" s="65" t="s">
        <v>3817</v>
      </c>
    </row>
    <row r="28135" spans="1:2" x14ac:dyDescent="0.25">
      <c r="A28135" s="64" t="str">
        <f>HYPERLINK("http://www.twitter.com/HarrietRoots", "HarrietRoots")</f>
        <v>HarrietRoots</v>
      </c>
      <c r="B28135" s="65"/>
    </row>
    <row r="28136" spans="1:2" x14ac:dyDescent="0.25">
      <c r="A28136" s="64" t="str">
        <f>HYPERLINK("http://www.twitter.com/natlibscotmaps", "natlibscotmaps")</f>
        <v>natlibscotmaps</v>
      </c>
      <c r="B28136" s="65" t="s">
        <v>11786</v>
      </c>
    </row>
    <row r="28137" spans="1:2" x14ac:dyDescent="0.25">
      <c r="A28137" s="64" t="str">
        <f>HYPERLINK("http://www.twitter.com/big_steph63", "big_steph63")</f>
        <v>big_steph63</v>
      </c>
      <c r="B28137" s="65" t="s">
        <v>11787</v>
      </c>
    </row>
    <row r="28138" spans="1:2" x14ac:dyDescent="0.25">
      <c r="A28138" s="64" t="str">
        <f>HYPERLINK("http://www.twitter.com/USILive", "USILive")</f>
        <v>USILive</v>
      </c>
      <c r="B28138" s="65" t="s">
        <v>2289</v>
      </c>
    </row>
    <row r="28139" spans="1:2" x14ac:dyDescent="0.25">
      <c r="A28139" s="64" t="str">
        <f>HYPERLINK("http://www.twitter.com/TACCAuk", "TACCAuk")</f>
        <v>TACCAuk</v>
      </c>
      <c r="B28139" s="65" t="s">
        <v>296</v>
      </c>
    </row>
    <row r="28140" spans="1:2" x14ac:dyDescent="0.25">
      <c r="A28140" s="64" t="str">
        <f>HYPERLINK("http://www.twitter.com/WCHSLib", "WCHSLib")</f>
        <v>WCHSLib</v>
      </c>
      <c r="B28140" s="65" t="s">
        <v>2785</v>
      </c>
    </row>
    <row r="28141" spans="1:2" x14ac:dyDescent="0.25">
      <c r="A28141" s="64" t="str">
        <f>HYPERLINK("http://www.twitter.com/cbarcl", "cbarcl")</f>
        <v>cbarcl</v>
      </c>
      <c r="B28141" s="65" t="s">
        <v>11788</v>
      </c>
    </row>
    <row r="28142" spans="1:2" x14ac:dyDescent="0.25">
      <c r="A28142" s="64" t="str">
        <f>HYPERLINK("http://www.twitter.com/quine57", "quine57")</f>
        <v>quine57</v>
      </c>
      <c r="B28142" s="65" t="s">
        <v>808</v>
      </c>
    </row>
    <row r="28143" spans="1:2" x14ac:dyDescent="0.25">
      <c r="A28143" s="64" t="str">
        <f>HYPERLINK("http://www.twitter.com/jilliantipping", "jilliantipping")</f>
        <v>jilliantipping</v>
      </c>
      <c r="B28143" s="65"/>
    </row>
    <row r="28144" spans="1:2" x14ac:dyDescent="0.25">
      <c r="A28144" s="64" t="str">
        <f>HYPERLINK("http://www.twitter.com/madadamfilms", "madadamfilms")</f>
        <v>madadamfilms</v>
      </c>
      <c r="B28144" s="65" t="s">
        <v>36</v>
      </c>
    </row>
    <row r="28145" spans="1:2" x14ac:dyDescent="0.25">
      <c r="A28145" s="64" t="str">
        <f>HYPERLINK("http://www.twitter.com/vinosity", "vinosity")</f>
        <v>vinosity</v>
      </c>
      <c r="B28145" s="65" t="s">
        <v>11789</v>
      </c>
    </row>
    <row r="28146" spans="1:2" x14ac:dyDescent="0.25">
      <c r="A28146" s="64" t="str">
        <f>HYPERLINK("http://www.twitter.com/StCatzLib", "StCatzLib")</f>
        <v>StCatzLib</v>
      </c>
      <c r="B28146" s="65" t="s">
        <v>505</v>
      </c>
    </row>
    <row r="28147" spans="1:2" x14ac:dyDescent="0.25">
      <c r="A28147" s="64" t="str">
        <f>HYPERLINK("http://www.twitter.com/WCS_Booklovers", "WCS_Booklovers")</f>
        <v>WCS_Booklovers</v>
      </c>
      <c r="B28147" s="65" t="s">
        <v>1871</v>
      </c>
    </row>
    <row r="28148" spans="1:2" x14ac:dyDescent="0.25">
      <c r="A28148" s="64" t="str">
        <f>HYPERLINK("http://www.twitter.com/mooslybut", "mooslybut")</f>
        <v>mooslybut</v>
      </c>
      <c r="B28148" s="65" t="s">
        <v>11790</v>
      </c>
    </row>
    <row r="28149" spans="1:2" x14ac:dyDescent="0.25">
      <c r="A28149" s="64" t="str">
        <f>HYPERLINK("http://www.twitter.com/TheCrimeVault", "TheCrimeVault")</f>
        <v>TheCrimeVault</v>
      </c>
      <c r="B28149" s="65" t="s">
        <v>296</v>
      </c>
    </row>
    <row r="28150" spans="1:2" x14ac:dyDescent="0.25">
      <c r="A28150" s="64" t="str">
        <f>HYPERLINK("http://www.twitter.com/CallumMorrison8", "CallumMorrison8")</f>
        <v>CallumMorrison8</v>
      </c>
      <c r="B28150" s="65" t="s">
        <v>102</v>
      </c>
    </row>
    <row r="28151" spans="1:2" x14ac:dyDescent="0.25">
      <c r="A28151" s="64" t="str">
        <f>HYPERLINK("http://www.twitter.com/RosieGeoffrey", "RosieGeoffrey")</f>
        <v>RosieGeoffrey</v>
      </c>
      <c r="B28151" s="65"/>
    </row>
    <row r="28152" spans="1:2" x14ac:dyDescent="0.25">
      <c r="A28152" s="64" t="str">
        <f>HYPERLINK("http://www.twitter.com/Joanna_Hollins", "Joanna_Hollins")</f>
        <v>Joanna_Hollins</v>
      </c>
      <c r="B28152" s="65" t="s">
        <v>2454</v>
      </c>
    </row>
    <row r="28153" spans="1:2" x14ac:dyDescent="0.25">
      <c r="A28153" s="64" t="str">
        <f>HYPERLINK("http://www.twitter.com/feddaweindydd", "feddaweindydd")</f>
        <v>feddaweindydd</v>
      </c>
      <c r="B28153" s="65" t="s">
        <v>36</v>
      </c>
    </row>
    <row r="28154" spans="1:2" x14ac:dyDescent="0.25">
      <c r="A28154" s="64" t="str">
        <f>HYPERLINK("http://www.twitter.com/richmondbridge", "richmondbridge")</f>
        <v>richmondbridge</v>
      </c>
      <c r="B28154" s="65" t="s">
        <v>5570</v>
      </c>
    </row>
    <row r="28155" spans="1:2" x14ac:dyDescent="0.25">
      <c r="A28155" s="64" t="str">
        <f>HYPERLINK("http://www.twitter.com/DoBeDoBeDo14", "DoBeDoBeDo14")</f>
        <v>DoBeDoBeDo14</v>
      </c>
      <c r="B28155" s="65" t="s">
        <v>3920</v>
      </c>
    </row>
    <row r="28156" spans="1:2" x14ac:dyDescent="0.25">
      <c r="A28156" s="64" t="str">
        <f>HYPERLINK("http://www.twitter.com/norfolkninnee", "norfolkninnee")</f>
        <v>norfolkninnee</v>
      </c>
      <c r="B28156" s="65" t="s">
        <v>11791</v>
      </c>
    </row>
    <row r="28157" spans="1:2" x14ac:dyDescent="0.25">
      <c r="A28157" s="64" t="str">
        <f>HYPERLINK("http://www.twitter.com/gtgwi", "gtgwi")</f>
        <v>gtgwi</v>
      </c>
      <c r="B28157" s="65" t="s">
        <v>2213</v>
      </c>
    </row>
    <row r="28158" spans="1:2" x14ac:dyDescent="0.25">
      <c r="A28158" s="64" t="str">
        <f>HYPERLINK("http://www.twitter.com/LibraryNch100", "LibraryNch100")</f>
        <v>LibraryNch100</v>
      </c>
      <c r="B28158" s="65" t="s">
        <v>4826</v>
      </c>
    </row>
    <row r="28159" spans="1:2" x14ac:dyDescent="0.25">
      <c r="A28159" s="64" t="str">
        <f>HYPERLINK("http://www.twitter.com/littleredyarn", "littleredyarn")</f>
        <v>littleredyarn</v>
      </c>
      <c r="B28159" s="65" t="s">
        <v>11792</v>
      </c>
    </row>
    <row r="28160" spans="1:2" x14ac:dyDescent="0.25">
      <c r="A28160" s="64" t="str">
        <f>HYPERLINK("http://www.twitter.com/bookhive", "bookhive")</f>
        <v>bookhive</v>
      </c>
      <c r="B28160" s="65" t="s">
        <v>1511</v>
      </c>
    </row>
    <row r="28161" spans="1:2" x14ac:dyDescent="0.25">
      <c r="A28161" s="64" t="str">
        <f>HYPERLINK("http://www.twitter.com/Emmemmemma", "Emmemmemma")</f>
        <v>Emmemmemma</v>
      </c>
      <c r="B28161" s="65" t="s">
        <v>2864</v>
      </c>
    </row>
    <row r="28162" spans="1:2" x14ac:dyDescent="0.25">
      <c r="A28162" s="64" t="str">
        <f>HYPERLINK("http://www.twitter.com/smartin", "smartin")</f>
        <v>smartin</v>
      </c>
      <c r="B28162" s="65" t="s">
        <v>11793</v>
      </c>
    </row>
    <row r="28163" spans="1:2" x14ac:dyDescent="0.25">
      <c r="A28163" s="64" t="str">
        <f>HYPERLINK("http://www.twitter.com/kikkiandbootsy", "kikkiandbootsy")</f>
        <v>kikkiandbootsy</v>
      </c>
      <c r="B28163" s="65"/>
    </row>
    <row r="28164" spans="1:2" x14ac:dyDescent="0.25">
      <c r="A28164" s="64" t="str">
        <f>HYPERLINK("http://www.twitter.com/Hollowman60", "Hollowman60")</f>
        <v>Hollowman60</v>
      </c>
      <c r="B28164" s="65"/>
    </row>
    <row r="28165" spans="1:2" x14ac:dyDescent="0.25">
      <c r="A28165" s="64" t="str">
        <f>HYPERLINK("http://www.twitter.com/tscmacdonald", "tscmacdonald")</f>
        <v>tscmacdonald</v>
      </c>
      <c r="B28165" s="65"/>
    </row>
    <row r="28166" spans="1:2" x14ac:dyDescent="0.25">
      <c r="A28166" s="64" t="str">
        <f>HYPERLINK("http://www.twitter.com/teechur", "teechur")</f>
        <v>teechur</v>
      </c>
      <c r="B28166" s="65" t="s">
        <v>11794</v>
      </c>
    </row>
    <row r="28167" spans="1:2" x14ac:dyDescent="0.25">
      <c r="A28167" s="64" t="str">
        <f>HYPERLINK("http://www.twitter.com/iamslowgraffiti", "iamslowgraffiti")</f>
        <v>iamslowgraffiti</v>
      </c>
      <c r="B28167" s="65"/>
    </row>
    <row r="28168" spans="1:2" x14ac:dyDescent="0.25">
      <c r="A28168" s="64" t="str">
        <f>HYPERLINK("http://www.twitter.com/Joanna_Barrett", "Joanna_Barrett")</f>
        <v>Joanna_Barrett</v>
      </c>
      <c r="B28168" s="65" t="s">
        <v>11795</v>
      </c>
    </row>
    <row r="28169" spans="1:2" x14ac:dyDescent="0.25">
      <c r="A28169" s="64" t="str">
        <f>HYPERLINK("http://www.twitter.com/WeAreNational", "WeAreNational")</f>
        <v>WeAreNational</v>
      </c>
      <c r="B28169" s="65" t="s">
        <v>6548</v>
      </c>
    </row>
    <row r="28170" spans="1:2" x14ac:dyDescent="0.25">
      <c r="A28170" s="64" t="str">
        <f>HYPERLINK("http://www.twitter.com/samwollaston", "samwollaston")</f>
        <v>samwollaston</v>
      </c>
      <c r="B28170" s="65" t="s">
        <v>11796</v>
      </c>
    </row>
    <row r="28171" spans="1:2" x14ac:dyDescent="0.25">
      <c r="A28171" s="64" t="str">
        <f>HYPERLINK("http://www.twitter.com/b3lla", "b3lla")</f>
        <v>b3lla</v>
      </c>
      <c r="B28171" s="65"/>
    </row>
    <row r="28172" spans="1:2" x14ac:dyDescent="0.25">
      <c r="A28172" s="64" t="str">
        <f>HYPERLINK("http://www.twitter.com/LlyrapG", "LlyrapG")</f>
        <v>LlyrapG</v>
      </c>
      <c r="B28172" s="65"/>
    </row>
    <row r="28173" spans="1:2" x14ac:dyDescent="0.25">
      <c r="A28173" s="64" t="str">
        <f>HYPERLINK("http://www.twitter.com/nellefant", "nellefant")</f>
        <v>nellefant</v>
      </c>
      <c r="B28173" s="65" t="s">
        <v>11797</v>
      </c>
    </row>
    <row r="28174" spans="1:2" x14ac:dyDescent="0.25">
      <c r="A28174" s="64" t="str">
        <f>HYPERLINK("http://www.twitter.com/BRWombat", "BRWombat")</f>
        <v>BRWombat</v>
      </c>
      <c r="B28174" s="65"/>
    </row>
    <row r="28175" spans="1:2" x14ac:dyDescent="0.25">
      <c r="A28175" s="64" t="str">
        <f>HYPERLINK("http://www.twitter.com/racheleadie", "racheleadie")</f>
        <v>racheleadie</v>
      </c>
      <c r="B28175" s="65" t="s">
        <v>8640</v>
      </c>
    </row>
    <row r="28176" spans="1:2" x14ac:dyDescent="0.25">
      <c r="A28176" s="64" t="str">
        <f>HYPERLINK("http://www.twitter.com/bvanveelen", "bvanveelen")</f>
        <v>bvanveelen</v>
      </c>
      <c r="B28176" s="65" t="s">
        <v>487</v>
      </c>
    </row>
    <row r="28177" spans="1:2" x14ac:dyDescent="0.25">
      <c r="A28177" s="64" t="str">
        <f>HYPERLINK("http://www.twitter.com/SuziJ23", "SuziJ23")</f>
        <v>SuziJ23</v>
      </c>
      <c r="B28177" s="65"/>
    </row>
    <row r="28178" spans="1:2" x14ac:dyDescent="0.25">
      <c r="A28178" s="64" t="str">
        <f>HYPERLINK("http://www.twitter.com/Tzardan", "Tzardan")</f>
        <v>Tzardan</v>
      </c>
      <c r="B28178" s="65" t="s">
        <v>514</v>
      </c>
    </row>
    <row r="28179" spans="1:2" x14ac:dyDescent="0.25">
      <c r="A28179" s="64" t="str">
        <f>HYPERLINK("http://www.twitter.com/goglandno1", "goglandno1")</f>
        <v>goglandno1</v>
      </c>
      <c r="B28179" s="65" t="s">
        <v>11798</v>
      </c>
    </row>
    <row r="28180" spans="1:2" x14ac:dyDescent="0.25">
      <c r="A28180" s="64" t="str">
        <f>HYPERLINK("http://www.twitter.com/DomGribben", "DomGribben")</f>
        <v>DomGribben</v>
      </c>
      <c r="B28180" s="65" t="s">
        <v>36</v>
      </c>
    </row>
    <row r="28181" spans="1:2" x14ac:dyDescent="0.25">
      <c r="A28181" s="64" t="str">
        <f>HYPERLINK("http://www.twitter.com/keeley_j_wilson", "keeley_j_wilson")</f>
        <v>keeley_j_wilson</v>
      </c>
      <c r="B28181" s="65" t="s">
        <v>11799</v>
      </c>
    </row>
    <row r="28182" spans="1:2" x14ac:dyDescent="0.25">
      <c r="A28182" s="64" t="str">
        <f>HYPERLINK("http://www.twitter.com/gutterbookshop", "gutterbookshop")</f>
        <v>gutterbookshop</v>
      </c>
      <c r="B28182" s="65" t="s">
        <v>4254</v>
      </c>
    </row>
    <row r="28183" spans="1:2" x14ac:dyDescent="0.25">
      <c r="A28183" s="64" t="str">
        <f>HYPERLINK("http://www.twitter.com/Squishybeak", "Squishybeak")</f>
        <v>Squishybeak</v>
      </c>
      <c r="B28183" s="65" t="s">
        <v>2492</v>
      </c>
    </row>
    <row r="28184" spans="1:2" x14ac:dyDescent="0.25">
      <c r="A28184" s="64" t="str">
        <f>HYPERLINK("http://www.twitter.com/charlottejself", "charlottejself")</f>
        <v>charlottejself</v>
      </c>
      <c r="B28184" s="65" t="s">
        <v>11800</v>
      </c>
    </row>
    <row r="28185" spans="1:2" x14ac:dyDescent="0.25">
      <c r="A28185" s="64" t="str">
        <f>HYPERLINK("http://www.twitter.com/amyldale", "amyldale")</f>
        <v>amyldale</v>
      </c>
      <c r="B28185" s="65" t="s">
        <v>6775</v>
      </c>
    </row>
    <row r="28186" spans="1:2" x14ac:dyDescent="0.25">
      <c r="A28186" s="64" t="str">
        <f>HYPERLINK("http://www.twitter.com/IslaClareK", "IslaClareK")</f>
        <v>IslaClareK</v>
      </c>
      <c r="B28186" s="65"/>
    </row>
    <row r="28187" spans="1:2" x14ac:dyDescent="0.25">
      <c r="A28187" s="64" t="str">
        <f>HYPERLINK("http://www.twitter.com/girlmondayUK", "girlmondayUK")</f>
        <v>girlmondayUK</v>
      </c>
      <c r="B28187" s="65" t="s">
        <v>138</v>
      </c>
    </row>
    <row r="28188" spans="1:2" x14ac:dyDescent="0.25">
      <c r="A28188" s="64" t="str">
        <f>HYPERLINK("http://www.twitter.com/aktoman", "aktoman")</f>
        <v>aktoman</v>
      </c>
      <c r="B28188" s="65" t="s">
        <v>8176</v>
      </c>
    </row>
    <row r="28189" spans="1:2" x14ac:dyDescent="0.25">
      <c r="A28189" s="64" t="str">
        <f>HYPERLINK("http://www.twitter.com/KatyMendham", "KatyMendham")</f>
        <v>KatyMendham</v>
      </c>
      <c r="B28189" s="65" t="s">
        <v>36</v>
      </c>
    </row>
    <row r="28190" spans="1:2" x14ac:dyDescent="0.25">
      <c r="A28190" s="64" t="str">
        <f>HYPERLINK("http://www.twitter.com/juliaSBT", "juliaSBT")</f>
        <v>juliaSBT</v>
      </c>
      <c r="B28190" s="65"/>
    </row>
    <row r="28191" spans="1:2" x14ac:dyDescent="0.25">
      <c r="A28191" s="64" t="str">
        <f>HYPERLINK("http://www.twitter.com/UKTVCasting", "UKTVCasting")</f>
        <v>UKTVCasting</v>
      </c>
      <c r="B28191" s="65"/>
    </row>
    <row r="28192" spans="1:2" x14ac:dyDescent="0.25">
      <c r="A28192" s="64" t="str">
        <f>HYPERLINK("http://www.twitter.com/RosieHLib", "RosieHLib")</f>
        <v>RosieHLib</v>
      </c>
      <c r="B28192" s="65"/>
    </row>
    <row r="28193" spans="1:2" x14ac:dyDescent="0.25">
      <c r="A28193" s="64" t="str">
        <f>HYPERLINK("http://www.twitter.com/tea_sparkle", "tea_sparkle")</f>
        <v>tea_sparkle</v>
      </c>
      <c r="B28193" s="65" t="s">
        <v>5923</v>
      </c>
    </row>
    <row r="28194" spans="1:2" x14ac:dyDescent="0.25">
      <c r="A28194" s="64" t="str">
        <f>HYPERLINK("http://www.twitter.com/hazytoons", "hazytoons")</f>
        <v>hazytoons</v>
      </c>
      <c r="B28194" s="65"/>
    </row>
    <row r="28195" spans="1:2" x14ac:dyDescent="0.25">
      <c r="A28195" s="64" t="str">
        <f>HYPERLINK("http://www.twitter.com/isis_k_", "isis_k_")</f>
        <v>isis_k_</v>
      </c>
      <c r="B28195" s="65" t="s">
        <v>5930</v>
      </c>
    </row>
    <row r="28196" spans="1:2" x14ac:dyDescent="0.25">
      <c r="A28196" s="64" t="str">
        <f>HYPERLINK("http://www.twitter.com/uklibchat", "uklibchat")</f>
        <v>uklibchat</v>
      </c>
      <c r="B28196" s="65"/>
    </row>
    <row r="28197" spans="1:2" x14ac:dyDescent="0.25">
      <c r="A28197" s="64" t="str">
        <f>HYPERLINK("http://www.twitter.com/OrkneyBuffalo", "OrkneyBuffalo")</f>
        <v>OrkneyBuffalo</v>
      </c>
      <c r="B28197" s="65" t="s">
        <v>11801</v>
      </c>
    </row>
    <row r="28198" spans="1:2" x14ac:dyDescent="0.25">
      <c r="A28198" s="64" t="str">
        <f>HYPERLINK("http://www.twitter.com/librarymaria", "librarymaria")</f>
        <v>librarymaria</v>
      </c>
      <c r="B28198" s="65" t="s">
        <v>257</v>
      </c>
    </row>
    <row r="28199" spans="1:2" x14ac:dyDescent="0.25">
      <c r="A28199" s="64" t="str">
        <f>HYPERLINK("http://www.twitter.com/shakespeare_amy", "shakespeare_amy")</f>
        <v>shakespeare_amy</v>
      </c>
      <c r="B28199" s="65"/>
    </row>
    <row r="28200" spans="1:2" x14ac:dyDescent="0.25">
      <c r="A28200" s="64" t="str">
        <f>HYPERLINK("http://www.twitter.com/Ariadnes_web", "Ariadnes_web")</f>
        <v>Ariadnes_web</v>
      </c>
      <c r="B28200" s="65" t="s">
        <v>517</v>
      </c>
    </row>
    <row r="28201" spans="1:2" x14ac:dyDescent="0.25">
      <c r="A28201" s="64" t="str">
        <f>HYPERLINK("http://www.twitter.com/nikkidavey", "nikkidavey")</f>
        <v>nikkidavey</v>
      </c>
      <c r="B28201" s="65" t="s">
        <v>364</v>
      </c>
    </row>
    <row r="28202" spans="1:2" x14ac:dyDescent="0.25">
      <c r="A28202" s="64" t="str">
        <f>HYPERLINK("http://www.twitter.com/TheOdinStone", "TheOdinStone")</f>
        <v>TheOdinStone</v>
      </c>
      <c r="B28202" s="65" t="s">
        <v>4227</v>
      </c>
    </row>
    <row r="28203" spans="1:2" x14ac:dyDescent="0.25">
      <c r="A28203" s="64" t="str">
        <f>HYPERLINK("http://www.twitter.com/ciaranpjd", "ciaranpjd")</f>
        <v>ciaranpjd</v>
      </c>
      <c r="B28203" s="65" t="s">
        <v>3760</v>
      </c>
    </row>
    <row r="28204" spans="1:2" x14ac:dyDescent="0.25">
      <c r="A28204" s="64" t="str">
        <f>HYPERLINK("http://www.twitter.com/OfficialAido", "OfficialAido")</f>
        <v>OfficialAido</v>
      </c>
      <c r="B28204" s="65"/>
    </row>
    <row r="28205" spans="1:2" x14ac:dyDescent="0.25">
      <c r="A28205" s="64" t="str">
        <f>HYPERLINK("http://www.twitter.com/c_withenay", "c_withenay")</f>
        <v>c_withenay</v>
      </c>
      <c r="B28205" s="65" t="s">
        <v>296</v>
      </c>
    </row>
    <row r="28206" spans="1:2" x14ac:dyDescent="0.25">
      <c r="A28206" s="64" t="str">
        <f>HYPERLINK("http://www.twitter.com/beckykitney", "beckykitney")</f>
        <v>beckykitney</v>
      </c>
      <c r="B28206" s="65"/>
    </row>
    <row r="28207" spans="1:2" x14ac:dyDescent="0.25">
      <c r="A28207" s="64" t="str">
        <f>HYPERLINK("http://www.twitter.com/Mehring_Books", "Mehring_Books")</f>
        <v>Mehring_Books</v>
      </c>
      <c r="B28207" s="65"/>
    </row>
    <row r="28208" spans="1:2" x14ac:dyDescent="0.25">
      <c r="A28208" s="64" t="str">
        <f>HYPERLINK("http://www.twitter.com/BinnieDouglas", "BinnieDouglas")</f>
        <v>BinnieDouglas</v>
      </c>
      <c r="B28208" s="65" t="s">
        <v>4575</v>
      </c>
    </row>
    <row r="28209" spans="1:2" x14ac:dyDescent="0.25">
      <c r="A28209" s="64" t="str">
        <f>HYPERLINK("http://www.twitter.com/gigglykipper", "gigglykipper")</f>
        <v>gigglykipper</v>
      </c>
      <c r="B28209" s="65"/>
    </row>
    <row r="28210" spans="1:2" x14ac:dyDescent="0.25">
      <c r="A28210" s="64" t="str">
        <f>HYPERLINK("http://www.twitter.com/theredwitch", "theredwitch")</f>
        <v>theredwitch</v>
      </c>
      <c r="B28210" s="65" t="s">
        <v>4147</v>
      </c>
    </row>
    <row r="28211" spans="1:2" x14ac:dyDescent="0.25">
      <c r="A28211" s="64" t="str">
        <f>HYPERLINK("http://www.twitter.com/simonasylvester", "simonasylvester")</f>
        <v>simonasylvester</v>
      </c>
      <c r="B28211" s="65" t="s">
        <v>11802</v>
      </c>
    </row>
    <row r="28212" spans="1:2" x14ac:dyDescent="0.25">
      <c r="A28212" s="64" t="str">
        <f>HYPERLINK("http://www.twitter.com/deccles26", "deccles26")</f>
        <v>deccles26</v>
      </c>
      <c r="B28212" s="65" t="s">
        <v>11803</v>
      </c>
    </row>
    <row r="28213" spans="1:2" x14ac:dyDescent="0.25">
      <c r="A28213" s="64" t="str">
        <f>HYPERLINK("http://www.twitter.com/wordwill", "wordwill")</f>
        <v>wordwill</v>
      </c>
      <c r="B28213" s="65" t="s">
        <v>4329</v>
      </c>
    </row>
    <row r="28214" spans="1:2" x14ac:dyDescent="0.25">
      <c r="A28214" s="64" t="str">
        <f>HYPERLINK("http://www.twitter.com/allyjayaway", "allyjayaway")</f>
        <v>allyjayaway</v>
      </c>
      <c r="B28214" s="65"/>
    </row>
    <row r="28215" spans="1:2" x14ac:dyDescent="0.25">
      <c r="A28215" s="64" t="str">
        <f>HYPERLINK("http://www.twitter.com/Ofmooseandmen", "Ofmooseandmen")</f>
        <v>Ofmooseandmen</v>
      </c>
      <c r="B28215" s="65" t="s">
        <v>11804</v>
      </c>
    </row>
    <row r="28216" spans="1:2" x14ac:dyDescent="0.25">
      <c r="A28216" s="64" t="str">
        <f>HYPERLINK("http://www.twitter.com/gallimaufrey777", "gallimaufrey777")</f>
        <v>gallimaufrey777</v>
      </c>
      <c r="B28216" s="65" t="s">
        <v>3678</v>
      </c>
    </row>
    <row r="28217" spans="1:2" x14ac:dyDescent="0.25">
      <c r="A28217" s="64" t="str">
        <f>HYPERLINK("http://www.twitter.com/commsarchives", "commsarchives")</f>
        <v>commsarchives</v>
      </c>
      <c r="B28217" s="65" t="s">
        <v>36</v>
      </c>
    </row>
    <row r="28218" spans="1:2" x14ac:dyDescent="0.25">
      <c r="A28218" s="64" t="str">
        <f>HYPERLINK("http://www.twitter.com/amisamileandme", "amisamileandme")</f>
        <v>amisamileandme</v>
      </c>
      <c r="B28218" s="65" t="s">
        <v>7583</v>
      </c>
    </row>
    <row r="28219" spans="1:2" x14ac:dyDescent="0.25">
      <c r="A28219" s="64" t="str">
        <f>HYPERLINK("http://www.twitter.com/SiobhanOB", "SiobhanOB")</f>
        <v>SiobhanOB</v>
      </c>
      <c r="B28219" s="65" t="s">
        <v>808</v>
      </c>
    </row>
    <row r="28220" spans="1:2" x14ac:dyDescent="0.25">
      <c r="A28220" s="64" t="str">
        <f>HYPERLINK("http://www.twitter.com/cyberlifen1earn", "cyberlifen1earn")</f>
        <v>cyberlifen1earn</v>
      </c>
      <c r="B28220" s="65" t="s">
        <v>11805</v>
      </c>
    </row>
    <row r="28221" spans="1:2" x14ac:dyDescent="0.25">
      <c r="A28221" s="64" t="str">
        <f>HYPERLINK("http://www.twitter.com/suecousins", "suecousins")</f>
        <v>suecousins</v>
      </c>
      <c r="B28221" s="65" t="s">
        <v>517</v>
      </c>
    </row>
    <row r="28222" spans="1:2" x14ac:dyDescent="0.25">
      <c r="A28222" s="64" t="str">
        <f>HYPERLINK("http://www.twitter.com/emmacowing", "emmacowing")</f>
        <v>emmacowing</v>
      </c>
      <c r="B28222" s="65" t="s">
        <v>517</v>
      </c>
    </row>
    <row r="28223" spans="1:2" x14ac:dyDescent="0.25">
      <c r="A28223" s="64" t="str">
        <f>HYPERLINK("http://www.twitter.com/Texarchivist", "Texarchivist")</f>
        <v>Texarchivist</v>
      </c>
      <c r="B28223" s="65" t="s">
        <v>8475</v>
      </c>
    </row>
    <row r="28224" spans="1:2" x14ac:dyDescent="0.25">
      <c r="A28224" s="64" t="str">
        <f>HYPERLINK("http://www.twitter.com/C_C_Ross", "C_C_Ross")</f>
        <v>C_C_Ross</v>
      </c>
      <c r="B28224" s="65"/>
    </row>
    <row r="28225" spans="1:2" x14ac:dyDescent="0.25">
      <c r="A28225" s="64" t="str">
        <f>HYPERLINK("http://www.twitter.com/warmheartwales", "warmheartwales")</f>
        <v>warmheartwales</v>
      </c>
      <c r="B28225" s="65" t="s">
        <v>1218</v>
      </c>
    </row>
    <row r="28226" spans="1:2" x14ac:dyDescent="0.25">
      <c r="A28226" s="64" t="str">
        <f>HYPERLINK("http://www.twitter.com/SparkleAmina", "SparkleAmina")</f>
        <v>SparkleAmina</v>
      </c>
      <c r="B28226" s="65" t="s">
        <v>11806</v>
      </c>
    </row>
    <row r="28227" spans="1:2" x14ac:dyDescent="0.25">
      <c r="A28227" s="64" t="str">
        <f>HYPERLINK("http://www.twitter.com/andimarc1", "andimarc1")</f>
        <v>andimarc1</v>
      </c>
      <c r="B28227" s="65"/>
    </row>
    <row r="28228" spans="1:2" x14ac:dyDescent="0.25">
      <c r="A28228" s="64" t="str">
        <f>HYPERLINK("http://www.twitter.com/LewesPeasant", "LewesPeasant")</f>
        <v>LewesPeasant</v>
      </c>
      <c r="B28228" s="65" t="s">
        <v>11807</v>
      </c>
    </row>
    <row r="28229" spans="1:2" x14ac:dyDescent="0.25">
      <c r="A28229" s="64" t="str">
        <f>HYPERLINK("http://www.twitter.com/jonecc", "jonecc")</f>
        <v>jonecc</v>
      </c>
      <c r="B28229" s="65" t="s">
        <v>1873</v>
      </c>
    </row>
    <row r="28230" spans="1:2" x14ac:dyDescent="0.25">
      <c r="A28230" s="64" t="str">
        <f>HYPERLINK("http://www.twitter.com/jeanilu", "jeanilu")</f>
        <v>jeanilu</v>
      </c>
      <c r="B28230" s="65" t="s">
        <v>9312</v>
      </c>
    </row>
    <row r="28231" spans="1:2" x14ac:dyDescent="0.25">
      <c r="A28231" s="64" t="str">
        <f>HYPERLINK("http://www.twitter.com/meangrape", "meangrape")</f>
        <v>meangrape</v>
      </c>
      <c r="B28231" s="65" t="s">
        <v>6826</v>
      </c>
    </row>
    <row r="28232" spans="1:2" x14ac:dyDescent="0.25">
      <c r="A28232" s="64" t="str">
        <f>HYPERLINK("http://www.twitter.com/morrismummer", "morrismummer")</f>
        <v>morrismummer</v>
      </c>
      <c r="B28232" s="65" t="s">
        <v>11808</v>
      </c>
    </row>
    <row r="28233" spans="1:2" x14ac:dyDescent="0.25">
      <c r="A28233" s="64" t="str">
        <f>HYPERLINK("http://www.twitter.com/TraceLarkhall", "TraceLarkhall")</f>
        <v>TraceLarkhall</v>
      </c>
      <c r="B28233" s="65" t="s">
        <v>11809</v>
      </c>
    </row>
    <row r="28234" spans="1:2" x14ac:dyDescent="0.25">
      <c r="A28234" s="64" t="str">
        <f>HYPERLINK("http://www.twitter.com/CLButler76", "CLButler76")</f>
        <v>CLButler76</v>
      </c>
      <c r="B28234" s="65" t="s">
        <v>36</v>
      </c>
    </row>
    <row r="28235" spans="1:2" x14ac:dyDescent="0.25">
      <c r="A28235" s="64" t="str">
        <f>HYPERLINK("http://www.twitter.com/lkarko", "lkarko")</f>
        <v>lkarko</v>
      </c>
      <c r="B28235" s="65" t="s">
        <v>5522</v>
      </c>
    </row>
    <row r="28236" spans="1:2" x14ac:dyDescent="0.25">
      <c r="A28236" s="64" t="str">
        <f>HYPERLINK("http://www.twitter.com/WolvesLibraries", "WolvesLibraries")</f>
        <v>WolvesLibraries</v>
      </c>
      <c r="B28236" s="65" t="s">
        <v>3665</v>
      </c>
    </row>
    <row r="28237" spans="1:2" x14ac:dyDescent="0.25">
      <c r="A28237" s="64" t="str">
        <f>HYPERLINK("http://www.twitter.com/Notlazybone", "Notlazybone")</f>
        <v>Notlazybone</v>
      </c>
      <c r="B28237" s="65"/>
    </row>
    <row r="28238" spans="1:2" x14ac:dyDescent="0.25">
      <c r="A28238" s="64" t="str">
        <f>HYPERLINK("http://www.twitter.com/Gardener_lmg", "Gardener_lmg")</f>
        <v>Gardener_lmg</v>
      </c>
      <c r="B28238" s="65"/>
    </row>
    <row r="28239" spans="1:2" x14ac:dyDescent="0.25">
      <c r="A28239" s="64" t="str">
        <f>HYPERLINK("http://www.twitter.com/fechtbuch", "fechtbuch")</f>
        <v>fechtbuch</v>
      </c>
      <c r="B28239" s="65" t="s">
        <v>36</v>
      </c>
    </row>
    <row r="28240" spans="1:2" x14ac:dyDescent="0.25">
      <c r="A28240" s="64" t="str">
        <f>HYPERLINK("http://www.twitter.com/HillofFear", "HillofFear")</f>
        <v>HillofFear</v>
      </c>
      <c r="B28240" s="65" t="s">
        <v>5397</v>
      </c>
    </row>
    <row r="28241" spans="1:2" x14ac:dyDescent="0.25">
      <c r="A28241" s="64" t="str">
        <f>HYPERLINK("http://www.twitter.com/lemoyes", "lemoyes")</f>
        <v>lemoyes</v>
      </c>
      <c r="B28241" s="65"/>
    </row>
    <row r="28242" spans="1:2" x14ac:dyDescent="0.25">
      <c r="A28242" s="64" t="str">
        <f>HYPERLINK("http://www.twitter.com/bookmandy", "bookmandy")</f>
        <v>bookmandy</v>
      </c>
      <c r="B28242" s="65"/>
    </row>
    <row r="28243" spans="1:2" x14ac:dyDescent="0.25">
      <c r="A28243" s="64" t="str">
        <f>HYPERLINK("http://www.twitter.com/LindaCTyson", "LindaCTyson")</f>
        <v>LindaCTyson</v>
      </c>
      <c r="B28243" s="65" t="s">
        <v>456</v>
      </c>
    </row>
    <row r="28244" spans="1:2" x14ac:dyDescent="0.25">
      <c r="A28244" s="64" t="str">
        <f>HYPERLINK("http://www.twitter.com/LazygirlSue", "LazygirlSue")</f>
        <v>LazygirlSue</v>
      </c>
      <c r="B28244" s="65"/>
    </row>
    <row r="28245" spans="1:2" x14ac:dyDescent="0.25">
      <c r="A28245" s="64" t="str">
        <f>HYPERLINK("http://www.twitter.com/frivolk", "frivolk")</f>
        <v>frivolk</v>
      </c>
      <c r="B28245" s="65" t="s">
        <v>4147</v>
      </c>
    </row>
    <row r="28246" spans="1:2" x14ac:dyDescent="0.25">
      <c r="A28246" s="64" t="str">
        <f>HYPERLINK("http://www.twitter.com/wilson56100", "wilson56100")</f>
        <v>wilson56100</v>
      </c>
      <c r="B28246" s="65" t="s">
        <v>11810</v>
      </c>
    </row>
    <row r="28247" spans="1:2" x14ac:dyDescent="0.25">
      <c r="A28247" s="64" t="str">
        <f>HYPERLINK("http://www.twitter.com/BL_CollCare", "BL_CollCare")</f>
        <v>BL_CollCare</v>
      </c>
      <c r="B28247" s="65" t="s">
        <v>8983</v>
      </c>
    </row>
    <row r="28248" spans="1:2" x14ac:dyDescent="0.25">
      <c r="A28248" s="64" t="str">
        <f>HYPERLINK("http://www.twitter.com/lmb5035", "lmb5035")</f>
        <v>lmb5035</v>
      </c>
      <c r="B28248" s="65" t="s">
        <v>11811</v>
      </c>
    </row>
    <row r="28249" spans="1:2" x14ac:dyDescent="0.25">
      <c r="A28249" s="64" t="str">
        <f>HYPERLINK("http://www.twitter.com/S_Greenhorn", "S_Greenhorn")</f>
        <v>S_Greenhorn</v>
      </c>
      <c r="B28249" s="65" t="s">
        <v>24</v>
      </c>
    </row>
    <row r="28250" spans="1:2" x14ac:dyDescent="0.25">
      <c r="A28250" s="64" t="str">
        <f>HYPERLINK("http://www.twitter.com/SluiceMaster", "SluiceMaster")</f>
        <v>SluiceMaster</v>
      </c>
      <c r="B28250" s="65" t="s">
        <v>4057</v>
      </c>
    </row>
    <row r="28251" spans="1:2" x14ac:dyDescent="0.25">
      <c r="A28251" s="64" t="str">
        <f>HYPERLINK("http://www.twitter.com/Bouffadou", "Bouffadou")</f>
        <v>Bouffadou</v>
      </c>
      <c r="B28251" s="65" t="s">
        <v>11812</v>
      </c>
    </row>
    <row r="28252" spans="1:2" x14ac:dyDescent="0.25">
      <c r="A28252" s="64" t="str">
        <f>HYPERLINK("http://www.twitter.com/Book_Per_Month", "Book_Per_Month")</f>
        <v>Book_Per_Month</v>
      </c>
      <c r="B28252" s="65"/>
    </row>
    <row r="28253" spans="1:2" x14ac:dyDescent="0.25">
      <c r="A28253" s="64" t="str">
        <f>HYPERLINK("http://www.twitter.com/karenlmacp", "karenlmacp")</f>
        <v>karenlmacp</v>
      </c>
      <c r="B28253" s="65" t="s">
        <v>517</v>
      </c>
    </row>
    <row r="28254" spans="1:2" x14ac:dyDescent="0.25">
      <c r="A28254" s="64" t="str">
        <f>HYPERLINK("http://www.twitter.com/stephenheath5", "stephenheath5")</f>
        <v>stephenheath5</v>
      </c>
      <c r="B28254" s="65" t="s">
        <v>11813</v>
      </c>
    </row>
    <row r="28255" spans="1:2" x14ac:dyDescent="0.25">
      <c r="A28255" s="64" t="str">
        <f>HYPERLINK("http://www.twitter.com/muzza35", "muzza35")</f>
        <v>muzza35</v>
      </c>
      <c r="B28255" s="65"/>
    </row>
    <row r="28256" spans="1:2" x14ac:dyDescent="0.25">
      <c r="A28256" s="64" t="str">
        <f>HYPERLINK("http://www.twitter.com/thosrtanner", "thosrtanner")</f>
        <v>thosrtanner</v>
      </c>
      <c r="B28256" s="65"/>
    </row>
    <row r="28257" spans="1:2" x14ac:dyDescent="0.25">
      <c r="A28257" s="64" t="str">
        <f>HYPERLINK("http://www.twitter.com/OldhamArchives", "OldhamArchives")</f>
        <v>OldhamArchives</v>
      </c>
      <c r="B28257" s="65" t="s">
        <v>11814</v>
      </c>
    </row>
    <row r="28258" spans="1:2" x14ac:dyDescent="0.25">
      <c r="A28258" s="64" t="str">
        <f>HYPERLINK("http://www.twitter.com/EmmaRodgers", "EmmaRodgers")</f>
        <v>EmmaRodgers</v>
      </c>
      <c r="B28258" s="65" t="s">
        <v>1325</v>
      </c>
    </row>
    <row r="28259" spans="1:2" x14ac:dyDescent="0.25">
      <c r="A28259" s="64" t="str">
        <f>HYPERLINK("http://www.twitter.com/PenguinRHUK", "PenguinRHUK")</f>
        <v>PenguinRHUK</v>
      </c>
      <c r="B28259" s="65" t="s">
        <v>36</v>
      </c>
    </row>
    <row r="28260" spans="1:2" x14ac:dyDescent="0.25">
      <c r="A28260" s="64" t="str">
        <f>HYPERLINK("http://www.twitter.com/Peedieboy", "Peedieboy")</f>
        <v>Peedieboy</v>
      </c>
      <c r="B28260" s="65" t="s">
        <v>20</v>
      </c>
    </row>
    <row r="28261" spans="1:2" x14ac:dyDescent="0.25">
      <c r="A28261" s="64" t="str">
        <f>HYPERLINK("http://www.twitter.com/Boeufblogginon", "Boeufblogginon")</f>
        <v>Boeufblogginon</v>
      </c>
      <c r="B28261" s="65" t="s">
        <v>4237</v>
      </c>
    </row>
    <row r="28262" spans="1:2" x14ac:dyDescent="0.25">
      <c r="A28262" s="64" t="str">
        <f>HYPERLINK("http://www.twitter.com/Bucks_Libraries", "Bucks_Libraries")</f>
        <v>Bucks_Libraries</v>
      </c>
      <c r="B28262" s="65" t="s">
        <v>3677</v>
      </c>
    </row>
    <row r="28263" spans="1:2" x14ac:dyDescent="0.25">
      <c r="A28263" s="64" t="str">
        <f>HYPERLINK("http://www.twitter.com/CarolineDNS1990", "CarolineDNS1990")</f>
        <v>CarolineDNS1990</v>
      </c>
      <c r="B28263" s="65" t="s">
        <v>11815</v>
      </c>
    </row>
    <row r="28264" spans="1:2" x14ac:dyDescent="0.25">
      <c r="A28264" s="64" t="str">
        <f>HYPERLINK("http://www.twitter.com/LizMcMillan1", "LizMcMillan1")</f>
        <v>LizMcMillan1</v>
      </c>
      <c r="B28264" s="65" t="s">
        <v>1841</v>
      </c>
    </row>
    <row r="28265" spans="1:2" x14ac:dyDescent="0.25">
      <c r="A28265" s="64" t="str">
        <f>HYPERLINK("http://www.twitter.com/ArtistDevelopWb", "ArtistDevelopWb")</f>
        <v>ArtistDevelopWb</v>
      </c>
      <c r="B28265" s="65" t="s">
        <v>11816</v>
      </c>
    </row>
    <row r="28266" spans="1:2" x14ac:dyDescent="0.25">
      <c r="A28266" s="64" t="str">
        <f>HYPERLINK("http://www.twitter.com/andygoss54", "andygoss54")</f>
        <v>andygoss54</v>
      </c>
      <c r="B28266" s="65"/>
    </row>
    <row r="28267" spans="1:2" x14ac:dyDescent="0.25">
      <c r="A28267" s="64" t="str">
        <f>HYPERLINK("http://www.twitter.com/surfthewaveman", "surfthewaveman")</f>
        <v>surfthewaveman</v>
      </c>
      <c r="B28267" s="65" t="s">
        <v>11817</v>
      </c>
    </row>
    <row r="28268" spans="1:2" x14ac:dyDescent="0.25">
      <c r="A28268" s="64" t="str">
        <f>HYPERLINK("http://www.twitter.com/dr_crouch", "dr_crouch")</f>
        <v>dr_crouch</v>
      </c>
      <c r="B28268" s="65"/>
    </row>
    <row r="28269" spans="1:2" x14ac:dyDescent="0.25">
      <c r="A28269" s="64" t="str">
        <f>HYPERLINK("http://www.twitter.com/LibraryMan3", "LibraryMan3")</f>
        <v>LibraryMan3</v>
      </c>
      <c r="B28269" s="65" t="s">
        <v>4924</v>
      </c>
    </row>
    <row r="28270" spans="1:2" x14ac:dyDescent="0.25">
      <c r="A28270" s="64" t="str">
        <f>HYPERLINK("http://www.twitter.com/Jonquil_Nile", "Jonquil_Nile")</f>
        <v>Jonquil_Nile</v>
      </c>
      <c r="B28270" s="65" t="s">
        <v>11818</v>
      </c>
    </row>
    <row r="28271" spans="1:2" x14ac:dyDescent="0.25">
      <c r="A28271" s="64" t="str">
        <f>HYPERLINK("http://www.twitter.com/s_w_i_s_s_b_i_b", "s_w_i_s_s_b_i_b")</f>
        <v>s_w_i_s_s_b_i_b</v>
      </c>
      <c r="B28271" s="65"/>
    </row>
    <row r="28272" spans="1:2" x14ac:dyDescent="0.25">
      <c r="A28272" s="64" t="str">
        <f>HYPERLINK("http://www.twitter.com/AHay100", "AHay100")</f>
        <v>AHay100</v>
      </c>
      <c r="B28272" s="65"/>
    </row>
    <row r="28273" spans="1:2" x14ac:dyDescent="0.25">
      <c r="A28273" s="64" t="str">
        <f>HYPERLINK("http://www.twitter.com/Vindy_Miller", "Vindy_Miller")</f>
        <v>Vindy_Miller</v>
      </c>
      <c r="B28273" s="65" t="s">
        <v>11819</v>
      </c>
    </row>
    <row r="28274" spans="1:2" x14ac:dyDescent="0.25">
      <c r="A28274" s="64" t="str">
        <f>HYPERLINK("http://www.twitter.com/uwelibglen", "uwelibglen")</f>
        <v>uwelibglen</v>
      </c>
      <c r="B28274" s="65" t="s">
        <v>1295</v>
      </c>
    </row>
    <row r="28275" spans="1:2" x14ac:dyDescent="0.25">
      <c r="A28275" s="64" t="str">
        <f>HYPERLINK("http://www.twitter.com/AstridJaekel", "AstridJaekel")</f>
        <v>AstridJaekel</v>
      </c>
      <c r="B28275" s="65" t="s">
        <v>24</v>
      </c>
    </row>
    <row r="28276" spans="1:2" x14ac:dyDescent="0.25">
      <c r="A28276" s="64" t="str">
        <f>HYPERLINK("http://www.twitter.com/jamesyjamesy", "jamesyjamesy")</f>
        <v>jamesyjamesy</v>
      </c>
      <c r="B28276" s="65" t="s">
        <v>487</v>
      </c>
    </row>
    <row r="28277" spans="1:2" x14ac:dyDescent="0.25">
      <c r="A28277" s="64" t="str">
        <f>HYPERLINK("http://www.twitter.com/PricklyEmu", "PricklyEmu")</f>
        <v>PricklyEmu</v>
      </c>
      <c r="B28277" s="65" t="s">
        <v>725</v>
      </c>
    </row>
    <row r="28278" spans="1:2" x14ac:dyDescent="0.25">
      <c r="A28278" s="64" t="str">
        <f>HYPERLINK("http://www.twitter.com/quilliambros", "quilliambros")</f>
        <v>quilliambros</v>
      </c>
      <c r="B28278" s="65" t="s">
        <v>5939</v>
      </c>
    </row>
    <row r="28279" spans="1:2" x14ac:dyDescent="0.25">
      <c r="A28279" s="64" t="str">
        <f>HYPERLINK("http://www.twitter.com/paultomolfc", "paultomolfc")</f>
        <v>paultomolfc</v>
      </c>
      <c r="B28279" s="65"/>
    </row>
    <row r="28280" spans="1:2" x14ac:dyDescent="0.25">
      <c r="A28280" s="64" t="str">
        <f>HYPERLINK("http://www.twitter.com/Walkj16", "Walkj16")</f>
        <v>Walkj16</v>
      </c>
      <c r="B28280" s="65" t="s">
        <v>3773</v>
      </c>
    </row>
    <row r="28281" spans="1:2" x14ac:dyDescent="0.25">
      <c r="A28281" s="64" t="str">
        <f>HYPERLINK("http://www.twitter.com/JemmaD", "JemmaD")</f>
        <v>JemmaD</v>
      </c>
      <c r="B28281" s="65"/>
    </row>
    <row r="28282" spans="1:2" x14ac:dyDescent="0.25">
      <c r="A28282" s="64" t="str">
        <f>HYPERLINK("http://www.twitter.com/BuddGoheavily", "BuddGoheavily")</f>
        <v>BuddGoheavily</v>
      </c>
      <c r="B28282" s="65"/>
    </row>
    <row r="28283" spans="1:2" x14ac:dyDescent="0.25">
      <c r="A28283" s="64" t="str">
        <f>HYPERLINK("http://www.twitter.com/estmcam", "estmcam")</f>
        <v>estmcam</v>
      </c>
      <c r="B28283" s="65" t="s">
        <v>6384</v>
      </c>
    </row>
    <row r="28284" spans="1:2" x14ac:dyDescent="0.25">
      <c r="A28284" s="64" t="str">
        <f>HYPERLINK("http://www.twitter.com/simonmayo", "simonmayo")</f>
        <v>simonmayo</v>
      </c>
      <c r="B28284" s="65" t="s">
        <v>11820</v>
      </c>
    </row>
    <row r="28285" spans="1:2" x14ac:dyDescent="0.25">
      <c r="A28285" s="64" t="str">
        <f>HYPERLINK("http://www.twitter.com/mattforbescello", "mattforbescello")</f>
        <v>mattforbescello</v>
      </c>
      <c r="B28285" s="65"/>
    </row>
    <row r="28286" spans="1:2" x14ac:dyDescent="0.25">
      <c r="A28286" s="64" t="str">
        <f>HYPERLINK("http://www.twitter.com/STHLibraries", "STHLibraries")</f>
        <v>STHLibraries</v>
      </c>
      <c r="B28286" s="65" t="s">
        <v>264</v>
      </c>
    </row>
    <row r="28287" spans="1:2" x14ac:dyDescent="0.25">
      <c r="A28287" s="64" t="str">
        <f>HYPERLINK("http://www.twitter.com/Olivia986", "Olivia986")</f>
        <v>Olivia986</v>
      </c>
      <c r="B28287" s="65" t="s">
        <v>6288</v>
      </c>
    </row>
    <row r="28288" spans="1:2" x14ac:dyDescent="0.25">
      <c r="A28288" s="64" t="str">
        <f>HYPERLINK("http://www.twitter.com/JoonieRob", "JoonieRob")</f>
        <v>JoonieRob</v>
      </c>
      <c r="B28288" s="65" t="s">
        <v>2369</v>
      </c>
    </row>
    <row r="28289" spans="1:2" x14ac:dyDescent="0.25">
      <c r="A28289" s="64" t="str">
        <f>HYPERLINK("http://www.twitter.com/Profwriting", "Profwriting")</f>
        <v>Profwriting</v>
      </c>
      <c r="B28289" s="65" t="s">
        <v>10735</v>
      </c>
    </row>
    <row r="28290" spans="1:2" x14ac:dyDescent="0.25">
      <c r="A28290" s="64" t="str">
        <f>HYPERLINK("http://www.twitter.com/JohnBrodrick1", "JohnBrodrick1")</f>
        <v>JohnBrodrick1</v>
      </c>
      <c r="B28290" s="65" t="s">
        <v>1221</v>
      </c>
    </row>
    <row r="28291" spans="1:2" x14ac:dyDescent="0.25">
      <c r="A28291" s="64" t="str">
        <f>HYPERLINK("http://www.twitter.com/sallyconnew", "sallyconnew")</f>
        <v>sallyconnew</v>
      </c>
      <c r="B28291" s="65" t="s">
        <v>36</v>
      </c>
    </row>
    <row r="28292" spans="1:2" x14ac:dyDescent="0.25">
      <c r="A28292" s="64" t="str">
        <f>HYPERLINK("http://www.twitter.com/samanthagare", "samanthagare")</f>
        <v>samanthagare</v>
      </c>
      <c r="B28292" s="65" t="s">
        <v>36</v>
      </c>
    </row>
    <row r="28293" spans="1:2" x14ac:dyDescent="0.25">
      <c r="A28293" s="64" t="str">
        <f>HYPERLINK("http://www.twitter.com/EllenBramwell", "EllenBramwell")</f>
        <v>EllenBramwell</v>
      </c>
      <c r="B28293" s="65" t="s">
        <v>6279</v>
      </c>
    </row>
    <row r="28294" spans="1:2" x14ac:dyDescent="0.25">
      <c r="A28294" s="64" t="str">
        <f>HYPERLINK("http://www.twitter.com/BedesBooks", "BedesBooks")</f>
        <v>BedesBooks</v>
      </c>
      <c r="B28294" s="65" t="s">
        <v>837</v>
      </c>
    </row>
    <row r="28295" spans="1:2" x14ac:dyDescent="0.25">
      <c r="A28295" s="64" t="str">
        <f>HYPERLINK("http://www.twitter.com/zelliweg", "zelliweg")</f>
        <v>zelliweg</v>
      </c>
      <c r="B28295" s="65" t="s">
        <v>11821</v>
      </c>
    </row>
    <row r="28296" spans="1:2" x14ac:dyDescent="0.25">
      <c r="A28296" s="64" t="str">
        <f>HYPERLINK("http://www.twitter.com/cforshaw", "cforshaw")</f>
        <v>cforshaw</v>
      </c>
      <c r="B28296" s="65" t="s">
        <v>782</v>
      </c>
    </row>
    <row r="28297" spans="1:2" x14ac:dyDescent="0.25">
      <c r="A28297" s="64" t="str">
        <f>HYPERLINK("http://www.twitter.com/MarianDougan", "MarianDougan")</f>
        <v>MarianDougan</v>
      </c>
      <c r="B28297" s="65" t="s">
        <v>11822</v>
      </c>
    </row>
    <row r="28298" spans="1:2" x14ac:dyDescent="0.25">
      <c r="A28298" s="64" t="str">
        <f>HYPERLINK("http://www.twitter.com/JuliaPeace4", "JuliaPeace4")</f>
        <v>JuliaPeace4</v>
      </c>
      <c r="B28298" s="65"/>
    </row>
    <row r="28299" spans="1:2" x14ac:dyDescent="0.25">
      <c r="A28299" s="64" t="str">
        <f>HYPERLINK("http://www.twitter.com/LibraryDMU", "LibraryDMU")</f>
        <v>LibraryDMU</v>
      </c>
      <c r="B28299" s="65" t="s">
        <v>467</v>
      </c>
    </row>
    <row r="28300" spans="1:2" x14ac:dyDescent="0.25">
      <c r="A28300" s="64" t="str">
        <f>HYPERLINK("http://www.twitter.com/Cate_Wheel", "Cate_Wheel")</f>
        <v>Cate_Wheel</v>
      </c>
      <c r="B28300" s="65"/>
    </row>
    <row r="28301" spans="1:2" x14ac:dyDescent="0.25">
      <c r="A28301" s="64" t="str">
        <f>HYPERLINK("http://www.twitter.com/HaslemereLib", "HaslemereLib")</f>
        <v>HaslemereLib</v>
      </c>
      <c r="B28301" s="65" t="s">
        <v>1308</v>
      </c>
    </row>
    <row r="28302" spans="1:2" x14ac:dyDescent="0.25">
      <c r="A28302" s="64" t="str">
        <f>HYPERLINK("http://www.twitter.com/Gazellian", "Gazellian")</f>
        <v>Gazellian</v>
      </c>
      <c r="B28302" s="65" t="s">
        <v>535</v>
      </c>
    </row>
    <row r="28303" spans="1:2" x14ac:dyDescent="0.25">
      <c r="A28303" s="64" t="str">
        <f>HYPERLINK("http://www.twitter.com/_Enanem_", "_Enanem_")</f>
        <v>_Enanem_</v>
      </c>
      <c r="B28303" s="65" t="s">
        <v>10261</v>
      </c>
    </row>
    <row r="28304" spans="1:2" x14ac:dyDescent="0.25">
      <c r="A28304" s="64" t="str">
        <f>HYPERLINK("http://www.twitter.com/Orkney_Puffin", "Orkney_Puffin")</f>
        <v>Orkney_Puffin</v>
      </c>
      <c r="B28304" s="65" t="s">
        <v>11823</v>
      </c>
    </row>
    <row r="28305" spans="1:2" x14ac:dyDescent="0.25">
      <c r="A28305" s="64" t="str">
        <f>HYPERLINK("http://www.twitter.com/MadHistoryGeek", "MadHistoryGeek")</f>
        <v>MadHistoryGeek</v>
      </c>
      <c r="B28305" s="65" t="s">
        <v>1885</v>
      </c>
    </row>
    <row r="28306" spans="1:2" x14ac:dyDescent="0.25">
      <c r="A28306" s="64" t="str">
        <f>HYPERLINK("http://www.twitter.com/msbelldfarm", "msbelldfarm")</f>
        <v>msbelldfarm</v>
      </c>
      <c r="B28306" s="65"/>
    </row>
    <row r="28307" spans="1:2" x14ac:dyDescent="0.25">
      <c r="A28307" s="64" t="str">
        <f>HYPERLINK("http://www.twitter.com/OilfieldsLCF", "OilfieldsLCF")</f>
        <v>OilfieldsLCF</v>
      </c>
      <c r="B28307" s="65"/>
    </row>
    <row r="28308" spans="1:2" x14ac:dyDescent="0.25">
      <c r="A28308" s="64" t="str">
        <f>HYPERLINK("http://www.twitter.com/MaryEPark", "MaryEPark")</f>
        <v>MaryEPark</v>
      </c>
      <c r="B28308" s="65" t="s">
        <v>6490</v>
      </c>
    </row>
    <row r="28309" spans="1:2" x14ac:dyDescent="0.25">
      <c r="A28309" s="64" t="str">
        <f>HYPERLINK("http://www.twitter.com/CarmenLGreen", "CarmenLGreen")</f>
        <v>CarmenLGreen</v>
      </c>
      <c r="B28309" s="65"/>
    </row>
    <row r="28310" spans="1:2" x14ac:dyDescent="0.25">
      <c r="A28310" s="64" t="str">
        <f>HYPERLINK("http://www.twitter.com/wisconsinscreen", "wisconsinscreen")</f>
        <v>wisconsinscreen</v>
      </c>
      <c r="B28310" s="65" t="s">
        <v>11824</v>
      </c>
    </row>
    <row r="28311" spans="1:2" x14ac:dyDescent="0.25">
      <c r="A28311" s="64" t="str">
        <f>HYPERLINK("http://www.twitter.com/Pedal4Health", "Pedal4Health")</f>
        <v>Pedal4Health</v>
      </c>
      <c r="B28311" s="65" t="s">
        <v>2102</v>
      </c>
    </row>
    <row r="28312" spans="1:2" x14ac:dyDescent="0.25">
      <c r="A28312" s="64" t="str">
        <f>HYPERLINK("http://www.twitter.com/KyleDarcyAuthor", "KyleDarcyAuthor")</f>
        <v>KyleDarcyAuthor</v>
      </c>
      <c r="B28312" s="65" t="s">
        <v>11825</v>
      </c>
    </row>
    <row r="28313" spans="1:2" x14ac:dyDescent="0.25">
      <c r="A28313" s="64" t="str">
        <f>HYPERLINK("http://www.twitter.com/beshabar", "beshabar")</f>
        <v>beshabar</v>
      </c>
      <c r="B28313" s="65" t="s">
        <v>24</v>
      </c>
    </row>
    <row r="28314" spans="1:2" x14ac:dyDescent="0.25">
      <c r="A28314" s="64" t="str">
        <f>HYPERLINK("http://www.twitter.com/cookdunf", "cookdunf")</f>
        <v>cookdunf</v>
      </c>
      <c r="B28314" s="65" t="s">
        <v>2007</v>
      </c>
    </row>
    <row r="28315" spans="1:2" x14ac:dyDescent="0.25">
      <c r="A28315" s="64" t="str">
        <f>HYPERLINK("http://www.twitter.com/mikefstv", "mikefstv")</f>
        <v>mikefstv</v>
      </c>
      <c r="B28315" s="65" t="s">
        <v>1508</v>
      </c>
    </row>
    <row r="28316" spans="1:2" x14ac:dyDescent="0.25">
      <c r="A28316" s="64" t="str">
        <f>HYPERLINK("http://www.twitter.com/YorkArchivesUK", "YorkArchivesUK")</f>
        <v>YorkArchivesUK</v>
      </c>
      <c r="B28316" s="65" t="s">
        <v>11826</v>
      </c>
    </row>
    <row r="28317" spans="1:2" x14ac:dyDescent="0.25">
      <c r="A28317" s="64" t="str">
        <f>HYPERLINK("http://www.twitter.com/PeopleInSpain", "PeopleInSpain")</f>
        <v>PeopleInSpain</v>
      </c>
      <c r="B28317" s="65" t="s">
        <v>11827</v>
      </c>
    </row>
    <row r="28318" spans="1:2" x14ac:dyDescent="0.25">
      <c r="A28318" s="64" t="str">
        <f>HYPERLINK("http://www.twitter.com/GoJaBrown", "GoJaBrown")</f>
        <v>GoJaBrown</v>
      </c>
      <c r="B28318" s="65" t="s">
        <v>138</v>
      </c>
    </row>
    <row r="28319" spans="1:2" x14ac:dyDescent="0.25">
      <c r="A28319" s="64" t="str">
        <f>HYPERLINK("http://www.twitter.com/faisholyah", "faisholyah")</f>
        <v>faisholyah</v>
      </c>
      <c r="B28319" s="65"/>
    </row>
    <row r="28320" spans="1:2" x14ac:dyDescent="0.25">
      <c r="A28320" s="64" t="str">
        <f>HYPERLINK("http://www.twitter.com/ShazzyBroon", "ShazzyBroon")</f>
        <v>ShazzyBroon</v>
      </c>
      <c r="B28320" s="65" t="s">
        <v>421</v>
      </c>
    </row>
    <row r="28321" spans="1:2" x14ac:dyDescent="0.25">
      <c r="A28321" s="64" t="str">
        <f>HYPERLINK("http://www.twitter.com/FamilyAffairs", "FamilyAffairs")</f>
        <v>FamilyAffairs</v>
      </c>
      <c r="B28321" s="65" t="s">
        <v>36</v>
      </c>
    </row>
    <row r="28322" spans="1:2" x14ac:dyDescent="0.25">
      <c r="A28322" s="64" t="str">
        <f>HYPERLINK("http://www.twitter.com/renegatos", "renegatos")</f>
        <v>renegatos</v>
      </c>
      <c r="B28322" s="65" t="s">
        <v>5110</v>
      </c>
    </row>
    <row r="28323" spans="1:2" x14ac:dyDescent="0.25">
      <c r="A28323" s="64" t="str">
        <f>HYPERLINK("http://www.twitter.com/mairimc73", "mairimc73")</f>
        <v>mairimc73</v>
      </c>
      <c r="B28323" s="65" t="s">
        <v>8722</v>
      </c>
    </row>
    <row r="28324" spans="1:2" x14ac:dyDescent="0.25">
      <c r="A28324" s="64" t="str">
        <f>HYPERLINK("http://www.twitter.com/leslieburgher", "leslieburgher")</f>
        <v>leslieburgher</v>
      </c>
      <c r="B28324" s="65" t="s">
        <v>4580</v>
      </c>
    </row>
    <row r="28325" spans="1:2" x14ac:dyDescent="0.25">
      <c r="A28325" s="64" t="str">
        <f>HYPERLINK("http://www.twitter.com/WendysBooks", "WendysBooks")</f>
        <v>WendysBooks</v>
      </c>
      <c r="B28325" s="65" t="s">
        <v>11828</v>
      </c>
    </row>
    <row r="28326" spans="1:2" x14ac:dyDescent="0.25">
      <c r="A28326" s="64" t="str">
        <f>HYPERLINK("http://www.twitter.com/LGriffin_NWCSU", "LGriffin_NWCSU")</f>
        <v>LGriffin_NWCSU</v>
      </c>
      <c r="B28326" s="65" t="s">
        <v>8520</v>
      </c>
    </row>
    <row r="28327" spans="1:2" x14ac:dyDescent="0.25">
      <c r="A28327" s="64" t="str">
        <f>HYPERLINK("http://www.twitter.com/french_piece", "french_piece")</f>
        <v>french_piece</v>
      </c>
      <c r="B28327" s="65"/>
    </row>
    <row r="28328" spans="1:2" x14ac:dyDescent="0.25">
      <c r="A28328" s="64" t="str">
        <f>HYPERLINK("http://www.twitter.com/AmandaThow42", "AmandaThow42")</f>
        <v>AmandaThow42</v>
      </c>
      <c r="B28328" s="65" t="s">
        <v>11829</v>
      </c>
    </row>
    <row r="28329" spans="1:2" x14ac:dyDescent="0.25">
      <c r="A28329" s="64" t="str">
        <f>HYPERLINK("http://www.twitter.com/lalirra", "lalirra")</f>
        <v>lalirra</v>
      </c>
      <c r="B28329" s="65" t="s">
        <v>4147</v>
      </c>
    </row>
    <row r="28330" spans="1:2" x14ac:dyDescent="0.25">
      <c r="A28330" s="64" t="str">
        <f>HYPERLINK("http://www.twitter.com/JessieY45977319", "JessieY45977319")</f>
        <v>JessieY45977319</v>
      </c>
      <c r="B28330" s="65"/>
    </row>
    <row r="28331" spans="1:2" x14ac:dyDescent="0.25">
      <c r="A28331" s="64" t="str">
        <f>HYPERLINK("http://www.twitter.com/meowclank", "meowclank")</f>
        <v>meowclank</v>
      </c>
      <c r="B28331" s="65" t="s">
        <v>11830</v>
      </c>
    </row>
    <row r="28332" spans="1:2" x14ac:dyDescent="0.25">
      <c r="A28332" s="64" t="str">
        <f>HYPERLINK("http://www.twitter.com/johnandrewhall", "johnandrewhall")</f>
        <v>johnandrewhall</v>
      </c>
      <c r="B28332" s="65" t="s">
        <v>11831</v>
      </c>
    </row>
    <row r="28333" spans="1:2" x14ac:dyDescent="0.25">
      <c r="A28333" s="64" t="str">
        <f>HYPERLINK("http://www.twitter.com/flatlandertroll", "flatlandertroll")</f>
        <v>flatlandertroll</v>
      </c>
      <c r="B28333" s="65"/>
    </row>
    <row r="28334" spans="1:2" x14ac:dyDescent="0.25">
      <c r="A28334" s="64" t="str">
        <f>HYPERLINK("http://www.twitter.com/imaginaryisles", "imaginaryisles")</f>
        <v>imaginaryisles</v>
      </c>
      <c r="B28334" s="65"/>
    </row>
    <row r="28335" spans="1:2" x14ac:dyDescent="0.25">
      <c r="A28335" s="64" t="str">
        <f>HYPERLINK("http://www.twitter.com/stephscott1888", "stephscott1888")</f>
        <v>stephscott1888</v>
      </c>
      <c r="B28335" s="65"/>
    </row>
    <row r="28336" spans="1:2" x14ac:dyDescent="0.25">
      <c r="A28336" s="64" t="str">
        <f>HYPERLINK("http://www.twitter.com/houseofspiders", "houseofspiders")</f>
        <v>houseofspiders</v>
      </c>
      <c r="B28336" s="65" t="s">
        <v>11832</v>
      </c>
    </row>
    <row r="28337" spans="1:2" x14ac:dyDescent="0.25">
      <c r="A28337" s="64" t="str">
        <f>HYPERLINK("http://www.twitter.com/NrthrnEditorial", "NrthrnEditorial")</f>
        <v>NrthrnEditorial</v>
      </c>
      <c r="B28337" s="65"/>
    </row>
    <row r="28338" spans="1:2" x14ac:dyDescent="0.25">
      <c r="A28338" s="64" t="str">
        <f>HYPERLINK("http://www.twitter.com/curlysarahjane", "curlysarahjane")</f>
        <v>curlysarahjane</v>
      </c>
      <c r="B28338" s="65" t="s">
        <v>36</v>
      </c>
    </row>
    <row r="28339" spans="1:2" x14ac:dyDescent="0.25">
      <c r="A28339" s="64" t="str">
        <f>HYPERLINK("http://www.twitter.com/jenmsharp", "jenmsharp")</f>
        <v>jenmsharp</v>
      </c>
      <c r="B28339" s="65"/>
    </row>
    <row r="28340" spans="1:2" x14ac:dyDescent="0.25">
      <c r="A28340" s="64" t="str">
        <f>HYPERLINK("http://www.twitter.com/janiebear", "janiebear")</f>
        <v>janiebear</v>
      </c>
      <c r="B28340" s="65" t="s">
        <v>11833</v>
      </c>
    </row>
    <row r="28341" spans="1:2" x14ac:dyDescent="0.25">
      <c r="A28341" s="64" t="str">
        <f>HYPERLINK("http://www.twitter.com/ThobekaS_A", "ThobekaS_A")</f>
        <v>ThobekaS_A</v>
      </c>
      <c r="B28341" s="65" t="s">
        <v>11834</v>
      </c>
    </row>
    <row r="28342" spans="1:2" x14ac:dyDescent="0.25">
      <c r="A28342" s="64" t="str">
        <f>HYPERLINK("http://www.twitter.com/AWarchaeology", "AWarchaeology")</f>
        <v>AWarchaeology</v>
      </c>
      <c r="B28342" s="65" t="s">
        <v>2679</v>
      </c>
    </row>
    <row r="28343" spans="1:2" x14ac:dyDescent="0.25">
      <c r="A28343" s="64" t="str">
        <f>HYPERLINK("http://www.twitter.com/delnia7", "delnia7")</f>
        <v>delnia7</v>
      </c>
      <c r="B28343" s="65"/>
    </row>
    <row r="28344" spans="1:2" x14ac:dyDescent="0.25">
      <c r="A28344" s="64" t="str">
        <f>HYPERLINK("http://www.twitter.com/BellJarred", "BellJarred")</f>
        <v>BellJarred</v>
      </c>
      <c r="B28344" s="65" t="s">
        <v>3978</v>
      </c>
    </row>
    <row r="28345" spans="1:2" x14ac:dyDescent="0.25">
      <c r="A28345" s="64" t="str">
        <f>HYPERLINK("http://www.twitter.com/joolkane", "joolkane")</f>
        <v>joolkane</v>
      </c>
      <c r="B28345" s="65"/>
    </row>
    <row r="28346" spans="1:2" x14ac:dyDescent="0.25">
      <c r="A28346" s="64" t="str">
        <f>HYPERLINK("http://www.twitter.com/missfaulds", "missfaulds")</f>
        <v>missfaulds</v>
      </c>
      <c r="B28346" s="65" t="s">
        <v>421</v>
      </c>
    </row>
    <row r="28347" spans="1:2" x14ac:dyDescent="0.25">
      <c r="A28347" s="64" t="str">
        <f>HYPERLINK("http://www.twitter.com/thelongship", "thelongship")</f>
        <v>thelongship</v>
      </c>
      <c r="B28347" s="65" t="s">
        <v>4227</v>
      </c>
    </row>
    <row r="28348" spans="1:2" x14ac:dyDescent="0.25">
      <c r="A28348" s="64" t="str">
        <f>HYPERLINK("http://www.twitter.com/Maynescoaches", "Maynescoaches")</f>
        <v>Maynescoaches</v>
      </c>
      <c r="B28348" s="65" t="s">
        <v>10022</v>
      </c>
    </row>
    <row r="28349" spans="1:2" x14ac:dyDescent="0.25">
      <c r="A28349" s="64" t="str">
        <f>HYPERLINK("http://www.twitter.com/PSMHopkins", "PSMHopkins")</f>
        <v>PSMHopkins</v>
      </c>
      <c r="B28349" s="65" t="s">
        <v>11835</v>
      </c>
    </row>
    <row r="28350" spans="1:2" x14ac:dyDescent="0.25">
      <c r="A28350" s="64" t="str">
        <f>HYPERLINK("http://www.twitter.com/jnjsmaw", "jnjsmaw")</f>
        <v>jnjsmaw</v>
      </c>
      <c r="B28350" s="65"/>
    </row>
    <row r="28351" spans="1:2" x14ac:dyDescent="0.25">
      <c r="A28351" s="64" t="str">
        <f>HYPERLINK("http://www.twitter.com/smalltruths", "smalltruths")</f>
        <v>smalltruths</v>
      </c>
      <c r="B28351" s="65" t="s">
        <v>4501</v>
      </c>
    </row>
    <row r="28352" spans="1:2" x14ac:dyDescent="0.25">
      <c r="A28352" s="64" t="str">
        <f>HYPERLINK("http://www.twitter.com/imemberapp", "imemberapp")</f>
        <v>imemberapp</v>
      </c>
      <c r="B28352" s="65"/>
    </row>
    <row r="28353" spans="1:2" x14ac:dyDescent="0.25">
      <c r="A28353" s="64" t="str">
        <f>HYPERLINK("http://www.twitter.com/barbaraorkney", "barbaraorkney")</f>
        <v>barbaraorkney</v>
      </c>
      <c r="B28353" s="65"/>
    </row>
    <row r="28354" spans="1:2" x14ac:dyDescent="0.25">
      <c r="A28354" s="64" t="str">
        <f>HYPERLINK("http://www.twitter.com/Orkneybb", "Orkneybb")</f>
        <v>Orkneybb</v>
      </c>
      <c r="B28354" s="65" t="s">
        <v>4227</v>
      </c>
    </row>
    <row r="28355" spans="1:2" x14ac:dyDescent="0.25">
      <c r="A28355" s="64" t="str">
        <f>HYPERLINK("http://www.twitter.com/MiriamStoppard", "MiriamStoppard")</f>
        <v>MiriamStoppard</v>
      </c>
      <c r="B28355" s="65" t="s">
        <v>36</v>
      </c>
    </row>
    <row r="28356" spans="1:2" x14ac:dyDescent="0.25">
      <c r="A28356" s="64" t="str">
        <f>HYPERLINK("http://www.twitter.com/Ejwb2713", "Ejwb2713")</f>
        <v>Ejwb2713</v>
      </c>
      <c r="B28356" s="65"/>
    </row>
    <row r="28357" spans="1:2" x14ac:dyDescent="0.25">
      <c r="A28357" s="64" t="str">
        <f>HYPERLINK("http://www.twitter.com/CaithnessComp", "CaithnessComp")</f>
        <v>CaithnessComp</v>
      </c>
      <c r="B28357" s="65" t="s">
        <v>5149</v>
      </c>
    </row>
    <row r="28358" spans="1:2" x14ac:dyDescent="0.25">
      <c r="A28358" s="64" t="str">
        <f>HYPERLINK("http://www.twitter.com/TabisW", "TabisW")</f>
        <v>TabisW</v>
      </c>
      <c r="B28358" s="65" t="s">
        <v>11836</v>
      </c>
    </row>
    <row r="28359" spans="1:2" x14ac:dyDescent="0.25">
      <c r="A28359" s="64" t="str">
        <f>HYPERLINK("http://www.twitter.com/pirie3", "pirie3")</f>
        <v>pirie3</v>
      </c>
      <c r="B28359" s="65"/>
    </row>
    <row r="28360" spans="1:2" x14ac:dyDescent="0.25">
      <c r="A28360" s="64" t="str">
        <f>HYPERLINK("http://www.twitter.com/GSofA", "GSofA")</f>
        <v>GSofA</v>
      </c>
      <c r="B28360" s="65" t="s">
        <v>318</v>
      </c>
    </row>
    <row r="28361" spans="1:2" x14ac:dyDescent="0.25">
      <c r="A28361" s="64" t="str">
        <f>HYPERLINK("http://www.twitter.com/BagyaRanathunga", "BagyaRanathunga")</f>
        <v>BagyaRanathunga</v>
      </c>
      <c r="B28361" s="65"/>
    </row>
    <row r="28362" spans="1:2" x14ac:dyDescent="0.25">
      <c r="A28362" s="64" t="str">
        <f>HYPERLINK("http://www.twitter.com/OrkneySpaceLab", "OrkneySpaceLab")</f>
        <v>OrkneySpaceLab</v>
      </c>
      <c r="B28362" s="65" t="s">
        <v>20</v>
      </c>
    </row>
    <row r="28363" spans="1:2" x14ac:dyDescent="0.25">
      <c r="A28363" s="64" t="str">
        <f>HYPERLINK("http://www.twitter.com/65N15W", "65N15W")</f>
        <v>65N15W</v>
      </c>
      <c r="B28363" s="65" t="s">
        <v>11837</v>
      </c>
    </row>
    <row r="28364" spans="1:2" x14ac:dyDescent="0.25">
      <c r="A28364" s="64" t="str">
        <f>HYPERLINK("http://www.twitter.com/Missy_ICT", "Missy_ICT")</f>
        <v>Missy_ICT</v>
      </c>
      <c r="B28364" s="65"/>
    </row>
    <row r="28365" spans="1:2" x14ac:dyDescent="0.25">
      <c r="A28365" s="64" t="str">
        <f>HYPERLINK("http://www.twitter.com/nicnhenderson", "nicnhenderson")</f>
        <v>nicnhenderson</v>
      </c>
      <c r="B28365" s="65"/>
    </row>
    <row r="28366" spans="1:2" x14ac:dyDescent="0.25">
      <c r="A28366" s="64" t="str">
        <f>HYPERLINK("http://www.twitter.com/tonib63", "tonib63")</f>
        <v>tonib63</v>
      </c>
      <c r="B28366" s="65" t="s">
        <v>11838</v>
      </c>
    </row>
    <row r="28367" spans="1:2" x14ac:dyDescent="0.25">
      <c r="A28367" s="64" t="str">
        <f>HYPERLINK("http://www.twitter.com/JLMacfadyen", "JLMacfadyen")</f>
        <v>JLMacfadyen</v>
      </c>
      <c r="B28367" s="65" t="s">
        <v>517</v>
      </c>
    </row>
    <row r="28368" spans="1:2" x14ac:dyDescent="0.25">
      <c r="A28368" s="64" t="str">
        <f>HYPERLINK("http://www.twitter.com/BronwynEnright", "BronwynEnright")</f>
        <v>BronwynEnright</v>
      </c>
      <c r="B28368" s="65"/>
    </row>
    <row r="28369" spans="1:2" x14ac:dyDescent="0.25">
      <c r="A28369" s="64" t="str">
        <f>HYPERLINK("http://www.twitter.com/cmbirley", "cmbirley")</f>
        <v>cmbirley</v>
      </c>
      <c r="B28369" s="65" t="s">
        <v>9609</v>
      </c>
    </row>
    <row r="28370" spans="1:2" x14ac:dyDescent="0.25">
      <c r="A28370" s="64" t="str">
        <f>HYPERLINK("http://www.twitter.com/marshall_rysia", "marshall_rysia")</f>
        <v>marshall_rysia</v>
      </c>
      <c r="B28370" s="65"/>
    </row>
    <row r="28371" spans="1:2" x14ac:dyDescent="0.25">
      <c r="A28371" s="64" t="str">
        <f>HYPERLINK("http://www.twitter.com/DESIGNLINE_", "DESIGNLINE_")</f>
        <v>DESIGNLINE_</v>
      </c>
      <c r="B28371" s="65" t="s">
        <v>318</v>
      </c>
    </row>
    <row r="28372" spans="1:2" x14ac:dyDescent="0.25">
      <c r="A28372" s="64" t="str">
        <f>HYPERLINK("http://www.twitter.com/ImberHale", "ImberHale")</f>
        <v>ImberHale</v>
      </c>
      <c r="B28372" s="65"/>
    </row>
    <row r="28373" spans="1:2" x14ac:dyDescent="0.25">
      <c r="A28373" s="64" t="str">
        <f>HYPERLINK("http://www.twitter.com/ohreallyhells", "ohreallyhells")</f>
        <v>ohreallyhells</v>
      </c>
      <c r="B28373" s="65"/>
    </row>
    <row r="28374" spans="1:2" x14ac:dyDescent="0.25">
      <c r="A28374" s="64" t="str">
        <f>HYPERLINK("http://www.twitter.com/CertusProofread", "CertusProofread")</f>
        <v>CertusProofread</v>
      </c>
      <c r="B28374" s="65"/>
    </row>
    <row r="28375" spans="1:2" x14ac:dyDescent="0.25">
      <c r="A28375" s="64" t="str">
        <f>HYPERLINK("http://www.twitter.com/MagnificentMies", "MagnificentMies")</f>
        <v>MagnificentMies</v>
      </c>
      <c r="B28375" s="65" t="s">
        <v>11092</v>
      </c>
    </row>
    <row r="28376" spans="1:2" x14ac:dyDescent="0.25">
      <c r="A28376" s="64" t="str">
        <f>HYPERLINK("http://www.twitter.com/kt_ncllt", "kt_ncllt")</f>
        <v>kt_ncllt</v>
      </c>
      <c r="B28376" s="65" t="s">
        <v>5891</v>
      </c>
    </row>
    <row r="28377" spans="1:2" x14ac:dyDescent="0.25">
      <c r="A28377" s="64" t="str">
        <f>HYPERLINK("http://www.twitter.com/glittrgirl", "glittrgirl")</f>
        <v>glittrgirl</v>
      </c>
      <c r="B28377" s="65" t="s">
        <v>11839</v>
      </c>
    </row>
    <row r="28378" spans="1:2" x14ac:dyDescent="0.25">
      <c r="A28378" s="64" t="str">
        <f>HYPERLINK("http://www.twitter.com/Reds6835", "Reds6835")</f>
        <v>Reds6835</v>
      </c>
      <c r="B28378" s="65"/>
    </row>
    <row r="28379" spans="1:2" x14ac:dyDescent="0.25">
      <c r="A28379" s="64" t="str">
        <f>HYPERLINK("http://www.twitter.com/ianto76", "ianto76")</f>
        <v>ianto76</v>
      </c>
      <c r="B28379" s="65" t="s">
        <v>11840</v>
      </c>
    </row>
    <row r="28380" spans="1:2" x14ac:dyDescent="0.25">
      <c r="A28380" s="64" t="str">
        <f>HYPERLINK("http://www.twitter.com/jenniferpayne__", "jenniferpayne__")</f>
        <v>jenniferpayne__</v>
      </c>
      <c r="B28380" s="65" t="s">
        <v>517</v>
      </c>
    </row>
    <row r="28381" spans="1:2" x14ac:dyDescent="0.25">
      <c r="A28381" s="64" t="str">
        <f>HYPERLINK("http://www.twitter.com/wattyler999", "wattyler999")</f>
        <v>wattyler999</v>
      </c>
      <c r="B28381" s="65" t="s">
        <v>296</v>
      </c>
    </row>
    <row r="28382" spans="1:2" x14ac:dyDescent="0.25">
      <c r="A28382" s="64" t="str">
        <f>HYPERLINK("http://www.twitter.com/RuthHawkin", "RuthHawkin")</f>
        <v>RuthHawkin</v>
      </c>
      <c r="B28382" s="65" t="s">
        <v>1328</v>
      </c>
    </row>
    <row r="28383" spans="1:2" x14ac:dyDescent="0.25">
      <c r="A28383" s="64" t="str">
        <f>HYPERLINK("http://www.twitter.com/originalDM", "originalDM")</f>
        <v>originalDM</v>
      </c>
      <c r="B28383" s="65" t="s">
        <v>10286</v>
      </c>
    </row>
    <row r="28384" spans="1:2" x14ac:dyDescent="0.25">
      <c r="A28384" s="64" t="str">
        <f>HYPERLINK("http://www.twitter.com/trixiebacon", "trixiebacon")</f>
        <v>trixiebacon</v>
      </c>
      <c r="B28384" s="65"/>
    </row>
    <row r="28385" spans="1:2" x14ac:dyDescent="0.25">
      <c r="A28385" s="64" t="str">
        <f>HYPERLINK("http://www.twitter.com/STUCwomen", "STUCwomen")</f>
        <v>STUCwomen</v>
      </c>
      <c r="B28385" s="65" t="s">
        <v>517</v>
      </c>
    </row>
    <row r="28386" spans="1:2" x14ac:dyDescent="0.25">
      <c r="A28386" s="64" t="str">
        <f>HYPERLINK("http://www.twitter.com/gotnc", "gotnc")</f>
        <v>gotnc</v>
      </c>
      <c r="B28386" s="65" t="s">
        <v>7708</v>
      </c>
    </row>
    <row r="28387" spans="1:2" x14ac:dyDescent="0.25">
      <c r="A28387" s="64" t="str">
        <f>HYPERLINK("http://www.twitter.com/Ludicrousscenes", "Ludicrousscenes")</f>
        <v>Ludicrousscenes</v>
      </c>
      <c r="B28387" s="65" t="s">
        <v>1226</v>
      </c>
    </row>
    <row r="28388" spans="1:2" x14ac:dyDescent="0.25">
      <c r="A28388" s="64" t="str">
        <f>HYPERLINK("http://www.twitter.com/henryandfriends", "henryandfriends")</f>
        <v>henryandfriends</v>
      </c>
      <c r="B28388" s="65" t="s">
        <v>11841</v>
      </c>
    </row>
    <row r="28389" spans="1:2" x14ac:dyDescent="0.25">
      <c r="A28389" s="64" t="str">
        <f>HYPERLINK("http://www.twitter.com/whskr", "whskr")</f>
        <v>whskr</v>
      </c>
      <c r="B28389" s="65" t="s">
        <v>11842</v>
      </c>
    </row>
    <row r="28390" spans="1:2" x14ac:dyDescent="0.25">
      <c r="A28390" s="64" t="str">
        <f>HYPERLINK("http://www.twitter.com/caroljallen", "caroljallen")</f>
        <v>caroljallen</v>
      </c>
      <c r="B28390" s="65"/>
    </row>
    <row r="28391" spans="1:2" x14ac:dyDescent="0.25">
      <c r="A28391" s="64" t="str">
        <f>HYPERLINK("http://www.twitter.com/suchprettyeyes", "suchprettyeyes")</f>
        <v>suchprettyeyes</v>
      </c>
      <c r="B28391" s="65" t="s">
        <v>487</v>
      </c>
    </row>
    <row r="28392" spans="1:2" x14ac:dyDescent="0.25">
      <c r="A28392" s="64" t="str">
        <f>HYPERLINK("http://www.twitter.com/anthonywhitford", "anthonywhitford")</f>
        <v>anthonywhitford</v>
      </c>
      <c r="B28392" s="65"/>
    </row>
    <row r="28393" spans="1:2" x14ac:dyDescent="0.25">
      <c r="A28393" s="64" t="str">
        <f>HYPERLINK("http://www.twitter.com/Catherine_Noble", "Catherine_Noble")</f>
        <v>Catherine_Noble</v>
      </c>
      <c r="B28393" s="65" t="s">
        <v>138</v>
      </c>
    </row>
    <row r="28394" spans="1:2" x14ac:dyDescent="0.25">
      <c r="A28394" s="64" t="str">
        <f>HYPERLINK("http://www.twitter.com/Lano1611", "Lano1611")</f>
        <v>Lano1611</v>
      </c>
      <c r="B28394" s="65"/>
    </row>
    <row r="28395" spans="1:2" x14ac:dyDescent="0.25">
      <c r="A28395" s="64" t="str">
        <f>HYPERLINK("http://www.twitter.com/DameDeniseMina", "DameDeniseMina")</f>
        <v>DameDeniseMina</v>
      </c>
      <c r="B28395" s="65" t="s">
        <v>11843</v>
      </c>
    </row>
    <row r="28396" spans="1:2" x14ac:dyDescent="0.25">
      <c r="A28396" s="64" t="str">
        <f>HYPERLINK("http://www.twitter.com/outsideviewstir", "outsideviewstir")</f>
        <v>outsideviewstir</v>
      </c>
      <c r="B28396" s="65" t="s">
        <v>3875</v>
      </c>
    </row>
    <row r="28397" spans="1:2" x14ac:dyDescent="0.25">
      <c r="A28397" s="64" t="str">
        <f>HYPERLINK("http://www.twitter.com/justusbeth", "justusbeth")</f>
        <v>justusbeth</v>
      </c>
      <c r="B28397" s="65" t="s">
        <v>11844</v>
      </c>
    </row>
    <row r="28398" spans="1:2" x14ac:dyDescent="0.25">
      <c r="A28398" s="64" t="str">
        <f>HYPERLINK("http://www.twitter.com/CressidaCowell", "CressidaCowell")</f>
        <v>CressidaCowell</v>
      </c>
      <c r="B28398" s="65" t="s">
        <v>477</v>
      </c>
    </row>
    <row r="28399" spans="1:2" x14ac:dyDescent="0.25">
      <c r="A28399" s="64" t="str">
        <f>HYPERLINK("http://www.twitter.com/DrCNottingham", "DrCNottingham")</f>
        <v>DrCNottingham</v>
      </c>
      <c r="B28399" s="65" t="s">
        <v>2107</v>
      </c>
    </row>
    <row r="28400" spans="1:2" x14ac:dyDescent="0.25">
      <c r="A28400" s="64" t="str">
        <f>HYPERLINK("http://www.twitter.com/duncantreanor", "duncantreanor")</f>
        <v>duncantreanor</v>
      </c>
      <c r="B28400" s="65"/>
    </row>
    <row r="28401" spans="1:2" x14ac:dyDescent="0.25">
      <c r="A28401" s="64" t="str">
        <f>HYPERLINK("http://www.twitter.com/villagelassie", "villagelassie")</f>
        <v>villagelassie</v>
      </c>
      <c r="B28401" s="65"/>
    </row>
    <row r="28402" spans="1:2" x14ac:dyDescent="0.25">
      <c r="A28402" s="64" t="str">
        <f>HYPERLINK("http://www.twitter.com/ArchivistAnto24", "ArchivistAnto24")</f>
        <v>ArchivistAnto24</v>
      </c>
      <c r="B28402" s="65"/>
    </row>
    <row r="28403" spans="1:2" x14ac:dyDescent="0.25">
      <c r="A28403" s="64" t="str">
        <f>HYPERLINK("http://www.twitter.com/HmMoar", "HmMoar")</f>
        <v>HmMoar</v>
      </c>
      <c r="B28403" s="65"/>
    </row>
    <row r="28404" spans="1:2" x14ac:dyDescent="0.25">
      <c r="A28404" s="64" t="str">
        <f>HYPERLINK("http://www.twitter.com/Brooke_allan_", "Brooke_allan_")</f>
        <v>Brooke_allan_</v>
      </c>
      <c r="B28404" s="65" t="s">
        <v>2007</v>
      </c>
    </row>
    <row r="28405" spans="1:2" x14ac:dyDescent="0.25">
      <c r="A28405" s="64" t="str">
        <f>HYPERLINK("http://www.twitter.com/Orcadia666", "Orcadia666")</f>
        <v>Orcadia666</v>
      </c>
      <c r="B28405" s="65"/>
    </row>
    <row r="28406" spans="1:2" x14ac:dyDescent="0.25">
      <c r="A28406" s="64" t="str">
        <f>HYPERLINK("http://www.twitter.com/YarraLibraries", "YarraLibraries")</f>
        <v>YarraLibraries</v>
      </c>
      <c r="B28406" s="65"/>
    </row>
    <row r="28407" spans="1:2" x14ac:dyDescent="0.25">
      <c r="A28407" s="64" t="str">
        <f>HYPERLINK("http://www.twitter.com/janeybreb", "janeybreb")</f>
        <v>janeybreb</v>
      </c>
      <c r="B28407" s="65" t="s">
        <v>11845</v>
      </c>
    </row>
    <row r="28408" spans="1:2" x14ac:dyDescent="0.25">
      <c r="A28408" s="64" t="str">
        <f>HYPERLINK("http://www.twitter.com/PollyBong", "PollyBong")</f>
        <v>PollyBong</v>
      </c>
      <c r="B28408" s="65"/>
    </row>
    <row r="28409" spans="1:2" x14ac:dyDescent="0.25">
      <c r="A28409" s="64" t="str">
        <f>HYPERLINK("http://www.twitter.com/Lib_shaming", "Lib_shaming")</f>
        <v>Lib_shaming</v>
      </c>
      <c r="B28409" s="65"/>
    </row>
    <row r="28410" spans="1:2" x14ac:dyDescent="0.25">
      <c r="A28410" s="64" t="str">
        <f>HYPERLINK("http://www.twitter.com/lubava_isaeva", "lubava_isaeva")</f>
        <v>lubava_isaeva</v>
      </c>
      <c r="B28410" s="65" t="s">
        <v>11846</v>
      </c>
    </row>
    <row r="28411" spans="1:2" x14ac:dyDescent="0.25">
      <c r="A28411" s="64" t="str">
        <f>HYPERLINK("http://www.twitter.com/SuzanneGabriel", "SuzanneGabriel")</f>
        <v>SuzanneGabriel</v>
      </c>
      <c r="B28411" s="65" t="s">
        <v>11847</v>
      </c>
    </row>
    <row r="28412" spans="1:2" x14ac:dyDescent="0.25">
      <c r="A28412" s="64" t="str">
        <f>HYPERLINK("http://www.twitter.com/HI_Voices", "HI_Voices")</f>
        <v>HI_Voices</v>
      </c>
      <c r="B28412" s="65" t="s">
        <v>11848</v>
      </c>
    </row>
    <row r="28413" spans="1:2" x14ac:dyDescent="0.25">
      <c r="A28413" s="64" t="str">
        <f>HYPERLINK("http://www.twitter.com/SaltHouseMusic", "SaltHouseMusic")</f>
        <v>SaltHouseMusic</v>
      </c>
      <c r="B28413" s="65" t="s">
        <v>517</v>
      </c>
    </row>
    <row r="28414" spans="1:2" x14ac:dyDescent="0.25">
      <c r="A28414" s="64" t="str">
        <f>HYPERLINK("http://www.twitter.com/libraryeffect", "libraryeffect")</f>
        <v>libraryeffect</v>
      </c>
      <c r="B28414" s="65" t="s">
        <v>11849</v>
      </c>
    </row>
    <row r="28415" spans="1:2" x14ac:dyDescent="0.25">
      <c r="A28415" s="64" t="str">
        <f>HYPERLINK("http://www.twitter.com/EBSCO", "EBSCO")</f>
        <v>EBSCO</v>
      </c>
      <c r="B28415" s="65" t="s">
        <v>4149</v>
      </c>
    </row>
    <row r="28416" spans="1:2" x14ac:dyDescent="0.25">
      <c r="A28416" s="64" t="str">
        <f>HYPERLINK("http://www.twitter.com/CarwinMiller", "CarwinMiller")</f>
        <v>CarwinMiller</v>
      </c>
      <c r="B28416" s="65"/>
    </row>
    <row r="28417" spans="1:2" x14ac:dyDescent="0.25">
      <c r="A28417" s="64" t="str">
        <f>HYPERLINK("http://www.twitter.com/grako79", "grako79")</f>
        <v>grako79</v>
      </c>
      <c r="B28417" s="65"/>
    </row>
    <row r="28418" spans="1:2" x14ac:dyDescent="0.25">
      <c r="A28418" s="64" t="str">
        <f>HYPERLINK("http://www.twitter.com/bathcat", "bathcat")</f>
        <v>bathcat</v>
      </c>
      <c r="B28418" s="65"/>
    </row>
    <row r="28419" spans="1:2" x14ac:dyDescent="0.25">
      <c r="A28419" s="64" t="str">
        <f>HYPERLINK("http://www.twitter.com/SparkiOne", "SparkiOne")</f>
        <v>SparkiOne</v>
      </c>
      <c r="B28419" s="65" t="s">
        <v>11850</v>
      </c>
    </row>
    <row r="28420" spans="1:2" x14ac:dyDescent="0.25">
      <c r="A28420" s="64" t="str">
        <f>HYPERLINK("http://www.twitter.com/SeymourSunshine", "SeymourSunshine")</f>
        <v>SeymourSunshine</v>
      </c>
      <c r="B28420" s="65" t="s">
        <v>296</v>
      </c>
    </row>
    <row r="28421" spans="1:2" x14ac:dyDescent="0.25">
      <c r="A28421" s="64" t="str">
        <f>HYPERLINK("http://www.twitter.com/WordsforWarrior", "WordsforWarrior")</f>
        <v>WordsforWarrior</v>
      </c>
      <c r="B28421" s="65"/>
    </row>
    <row r="28422" spans="1:2" x14ac:dyDescent="0.25">
      <c r="A28422" s="64" t="str">
        <f>HYPERLINK("http://www.twitter.com/CarmelitaPage", "CarmelitaPage")</f>
        <v>CarmelitaPage</v>
      </c>
      <c r="B28422" s="65"/>
    </row>
    <row r="28423" spans="1:2" x14ac:dyDescent="0.25">
      <c r="A28423" s="64" t="str">
        <f>HYPERLINK("http://www.twitter.com/MissCorene", "MissCorene")</f>
        <v>MissCorene</v>
      </c>
      <c r="B28423" s="65" t="s">
        <v>4317</v>
      </c>
    </row>
    <row r="28424" spans="1:2" x14ac:dyDescent="0.25">
      <c r="A28424" s="64" t="str">
        <f>HYPERLINK("http://www.twitter.com/thebefanadrama", "thebefanadrama")</f>
        <v>thebefanadrama</v>
      </c>
      <c r="B28424" s="65" t="s">
        <v>11851</v>
      </c>
    </row>
    <row r="28425" spans="1:2" x14ac:dyDescent="0.25">
      <c r="A28425" s="64" t="str">
        <f>HYPERLINK("http://www.twitter.com/AlisonUstun", "AlisonUstun")</f>
        <v>AlisonUstun</v>
      </c>
      <c r="B28425" s="65" t="s">
        <v>569</v>
      </c>
    </row>
    <row r="28426" spans="1:2" x14ac:dyDescent="0.25">
      <c r="A28426" s="64" t="str">
        <f>HYPERLINK("http://www.twitter.com/kirsteenDPIL", "kirsteenDPIL")</f>
        <v>kirsteenDPIL</v>
      </c>
      <c r="B28426" s="65" t="s">
        <v>11852</v>
      </c>
    </row>
    <row r="28427" spans="1:2" x14ac:dyDescent="0.25">
      <c r="A28427" s="64" t="str">
        <f>HYPERLINK("http://www.twitter.com/OrkneyBuilder", "OrkneyBuilder")</f>
        <v>OrkneyBuilder</v>
      </c>
      <c r="B28427" s="65" t="s">
        <v>11853</v>
      </c>
    </row>
    <row r="28428" spans="1:2" x14ac:dyDescent="0.25">
      <c r="A28428" s="64" t="str">
        <f>HYPERLINK("http://www.twitter.com/MappingMiracles", "MappingMiracles")</f>
        <v>MappingMiracles</v>
      </c>
      <c r="B28428" s="65" t="s">
        <v>61</v>
      </c>
    </row>
    <row r="28429" spans="1:2" x14ac:dyDescent="0.25">
      <c r="A28429" s="64" t="str">
        <f>HYPERLINK("http://www.twitter.com/Rocking_Mama", "Rocking_Mama")</f>
        <v>Rocking_Mama</v>
      </c>
      <c r="B28429" s="65" t="s">
        <v>4317</v>
      </c>
    </row>
    <row r="28430" spans="1:2" x14ac:dyDescent="0.25">
      <c r="A28430" s="64" t="str">
        <f>HYPERLINK("http://www.twitter.com/onfifelibraries", "onfifelibraries")</f>
        <v>onfifelibraries</v>
      </c>
      <c r="B28430" s="65" t="s">
        <v>421</v>
      </c>
    </row>
    <row r="28431" spans="1:2" x14ac:dyDescent="0.25">
      <c r="A28431" s="64" t="str">
        <f>HYPERLINK("http://www.twitter.com/HIEScotland", "HIEScotland")</f>
        <v>HIEScotland</v>
      </c>
      <c r="B28431" s="65" t="s">
        <v>517</v>
      </c>
    </row>
    <row r="28432" spans="1:2" x14ac:dyDescent="0.25">
      <c r="A28432" s="64" t="str">
        <f>HYPERLINK("http://www.twitter.com/WendyKirkGWL", "WendyKirkGWL")</f>
        <v>WendyKirkGWL</v>
      </c>
      <c r="B28432" s="65"/>
    </row>
    <row r="28433" spans="1:2" x14ac:dyDescent="0.25">
      <c r="A28433" s="64" t="str">
        <f>HYPERLINK("http://www.twitter.com/Hyper_Lib", "Hyper_Lib")</f>
        <v>Hyper_Lib</v>
      </c>
      <c r="B28433" s="65" t="s">
        <v>4867</v>
      </c>
    </row>
    <row r="28434" spans="1:2" x14ac:dyDescent="0.25">
      <c r="A28434" s="64" t="str">
        <f>HYPERLINK("http://www.twitter.com/CypressHouseFB", "CypressHouseFB")</f>
        <v>CypressHouseFB</v>
      </c>
      <c r="B28434" s="65" t="s">
        <v>11854</v>
      </c>
    </row>
    <row r="28435" spans="1:2" x14ac:dyDescent="0.25">
      <c r="A28435" s="64" t="str">
        <f>HYPERLINK("http://www.twitter.com/OrkneyWineCo", "OrkneyWineCo")</f>
        <v>OrkneyWineCo</v>
      </c>
      <c r="B28435" s="65" t="s">
        <v>11855</v>
      </c>
    </row>
    <row r="28436" spans="1:2" x14ac:dyDescent="0.25">
      <c r="A28436" s="64" t="str">
        <f>HYPERLINK("http://www.twitter.com/CalypsoDoyle", "CalypsoDoyle")</f>
        <v>CalypsoDoyle</v>
      </c>
      <c r="B28436" s="65"/>
    </row>
    <row r="28437" spans="1:2" x14ac:dyDescent="0.25">
      <c r="A28437" s="64" t="str">
        <f>HYPERLINK("http://www.twitter.com/carliebrary", "carliebrary")</f>
        <v>carliebrary</v>
      </c>
      <c r="B28437" s="65" t="s">
        <v>4184</v>
      </c>
    </row>
    <row r="28438" spans="1:2" x14ac:dyDescent="0.25">
      <c r="A28438" s="64" t="str">
        <f>HYPERLINK("http://www.twitter.com/Ritchiepk", "Ritchiepk")</f>
        <v>Ritchiepk</v>
      </c>
      <c r="B28438" s="65" t="s">
        <v>11856</v>
      </c>
    </row>
    <row r="28439" spans="1:2" x14ac:dyDescent="0.25">
      <c r="A28439" s="64" t="str">
        <f>HYPERLINK("http://www.twitter.com/annavihanta", "annavihanta")</f>
        <v>annavihanta</v>
      </c>
      <c r="B28439" s="65"/>
    </row>
    <row r="28440" spans="1:2" x14ac:dyDescent="0.25">
      <c r="A28440" s="64" t="str">
        <f>HYPERLINK("http://www.twitter.com/ThunderPointLtd", "ThunderPointLtd")</f>
        <v>ThunderPointLtd</v>
      </c>
      <c r="B28440" s="65" t="s">
        <v>11857</v>
      </c>
    </row>
    <row r="28441" spans="1:2" x14ac:dyDescent="0.25">
      <c r="A28441" s="64" t="str">
        <f>HYPERLINK("http://www.twitter.com/savelibservices", "savelibservices")</f>
        <v>savelibservices</v>
      </c>
      <c r="B28441" s="65" t="s">
        <v>3656</v>
      </c>
    </row>
    <row r="28442" spans="1:2" x14ac:dyDescent="0.25">
      <c r="A28442" s="64" t="str">
        <f>HYPERLINK("http://www.twitter.com/CILIPPMLG", "CILIPPMLG")</f>
        <v>CILIPPMLG</v>
      </c>
      <c r="B28442" s="65"/>
    </row>
    <row r="28443" spans="1:2" x14ac:dyDescent="0.25">
      <c r="A28443" s="64" t="str">
        <f>HYPERLINK("http://www.twitter.com/micalecitra", "micalecitra")</f>
        <v>micalecitra</v>
      </c>
      <c r="B28443" s="65"/>
    </row>
    <row r="28444" spans="1:2" x14ac:dyDescent="0.25">
      <c r="A28444" s="64" t="str">
        <f>HYPERLINK("http://www.twitter.com/Trueisall", "Trueisall")</f>
        <v>Trueisall</v>
      </c>
      <c r="B28444" s="65" t="s">
        <v>1490</v>
      </c>
    </row>
    <row r="28445" spans="1:2" x14ac:dyDescent="0.25">
      <c r="A28445" s="64" t="str">
        <f>HYPERLINK("http://www.twitter.com/Jude1206", "Jude1206")</f>
        <v>Jude1206</v>
      </c>
      <c r="B28445" s="65" t="s">
        <v>10180</v>
      </c>
    </row>
    <row r="28446" spans="1:2" x14ac:dyDescent="0.25">
      <c r="A28446" s="64" t="str">
        <f>HYPERLINK("http://www.twitter.com/bexyboo4000", "bexyboo4000")</f>
        <v>bexyboo4000</v>
      </c>
      <c r="B28446" s="65" t="s">
        <v>4122</v>
      </c>
    </row>
    <row r="28447" spans="1:2" x14ac:dyDescent="0.25">
      <c r="A28447" s="64" t="str">
        <f>HYPERLINK("http://www.twitter.com/LesleyHulonce", "LesleyHulonce")</f>
        <v>LesleyHulonce</v>
      </c>
      <c r="B28447" s="65" t="s">
        <v>11858</v>
      </c>
    </row>
    <row r="28448" spans="1:2" x14ac:dyDescent="0.25">
      <c r="A28448" s="64" t="str">
        <f>HYPERLINK("http://www.twitter.com/theGraceBrown", "theGraceBrown")</f>
        <v>theGraceBrown</v>
      </c>
      <c r="B28448" s="65" t="s">
        <v>505</v>
      </c>
    </row>
    <row r="28449" spans="1:2" x14ac:dyDescent="0.25">
      <c r="A28449" s="64" t="str">
        <f>HYPERLINK("http://www.twitter.com/Ka_Be", "Ka_Be")</f>
        <v>Ka_Be</v>
      </c>
      <c r="B28449" s="65" t="s">
        <v>12</v>
      </c>
    </row>
    <row r="28450" spans="1:2" x14ac:dyDescent="0.25">
      <c r="A28450" s="64" t="str">
        <f>HYPERLINK("http://www.twitter.com/lem0nysnicket", "lem0nysnicket")</f>
        <v>lem0nysnicket</v>
      </c>
      <c r="B28450" s="65" t="s">
        <v>11859</v>
      </c>
    </row>
    <row r="28451" spans="1:2" x14ac:dyDescent="0.25">
      <c r="A28451" s="64" t="str">
        <f>HYPERLINK("http://www.twitter.com/PaulCowdell", "PaulCowdell")</f>
        <v>PaulCowdell</v>
      </c>
      <c r="B28451" s="65"/>
    </row>
    <row r="28452" spans="1:2" x14ac:dyDescent="0.25">
      <c r="A28452" s="64" t="str">
        <f>HYPERLINK("http://www.twitter.com/lypftlib", "lypftlib")</f>
        <v>lypftlib</v>
      </c>
      <c r="B28452" s="65" t="s">
        <v>180</v>
      </c>
    </row>
    <row r="28453" spans="1:2" x14ac:dyDescent="0.25">
      <c r="A28453" s="64" t="str">
        <f>HYPERLINK("http://www.twitter.com/shortcakes1968", "shortcakes1968")</f>
        <v>shortcakes1968</v>
      </c>
      <c r="B28453" s="65" t="s">
        <v>11860</v>
      </c>
    </row>
    <row r="28454" spans="1:2" x14ac:dyDescent="0.25">
      <c r="A28454" s="64" t="str">
        <f>HYPERLINK("http://www.twitter.com/GraemeBoxwell", "GraemeBoxwell")</f>
        <v>GraemeBoxwell</v>
      </c>
      <c r="B28454" s="65" t="s">
        <v>11861</v>
      </c>
    </row>
    <row r="28455" spans="1:2" x14ac:dyDescent="0.25">
      <c r="A28455" s="64" t="str">
        <f>HYPERLINK("http://www.twitter.com/lindsay1up", "lindsay1up")</f>
        <v>lindsay1up</v>
      </c>
      <c r="B28455" s="65"/>
    </row>
    <row r="28456" spans="1:2" x14ac:dyDescent="0.25">
      <c r="A28456" s="64" t="str">
        <f>HYPERLINK("http://www.twitter.com/MsT1870", "MsT1870")</f>
        <v>MsT1870</v>
      </c>
      <c r="B28456" s="65"/>
    </row>
    <row r="28457" spans="1:2" x14ac:dyDescent="0.25">
      <c r="A28457" s="64" t="str">
        <f>HYPERLINK("http://www.twitter.com/LibrariesWest", "LibrariesWest")</f>
        <v>LibrariesWest</v>
      </c>
      <c r="B28457" s="65"/>
    </row>
    <row r="28458" spans="1:2" x14ac:dyDescent="0.25">
      <c r="A28458" s="64" t="str">
        <f>HYPERLINK("http://www.twitter.com/forempowerment", "forempowerment")</f>
        <v>forempowerment</v>
      </c>
      <c r="B28458" s="65"/>
    </row>
    <row r="28459" spans="1:2" x14ac:dyDescent="0.25">
      <c r="A28459" s="64" t="str">
        <f>HYPERLINK("http://www.twitter.com/edmundgooch", "edmundgooch")</f>
        <v>edmundgooch</v>
      </c>
      <c r="B28459" s="65"/>
    </row>
    <row r="28460" spans="1:2" x14ac:dyDescent="0.25">
      <c r="A28460" s="64" t="str">
        <f>HYPERLINK("http://www.twitter.com/Cayterwauling", "Cayterwauling")</f>
        <v>Cayterwauling</v>
      </c>
      <c r="B28460" s="65"/>
    </row>
    <row r="28461" spans="1:2" x14ac:dyDescent="0.25">
      <c r="A28461" s="64" t="str">
        <f>HYPERLINK("http://www.twitter.com/RudeGenealogist", "RudeGenealogist")</f>
        <v>RudeGenealogist</v>
      </c>
      <c r="B28461" s="65" t="s">
        <v>11862</v>
      </c>
    </row>
    <row r="28462" spans="1:2" x14ac:dyDescent="0.25">
      <c r="A28462" s="64" t="str">
        <f>HYPERLINK("http://www.twitter.com/elephile", "elephile")</f>
        <v>elephile</v>
      </c>
      <c r="B28462" s="65" t="s">
        <v>321</v>
      </c>
    </row>
    <row r="28463" spans="1:2" x14ac:dyDescent="0.25">
      <c r="A28463" s="64" t="str">
        <f>HYPERLINK("http://www.twitter.com/Helbond", "Helbond")</f>
        <v>Helbond</v>
      </c>
      <c r="B28463" s="65"/>
    </row>
    <row r="28464" spans="1:2" x14ac:dyDescent="0.25">
      <c r="A28464" s="64" t="str">
        <f>HYPERLINK("http://www.twitter.com/MGMacpherson", "MGMacpherson")</f>
        <v>MGMacpherson</v>
      </c>
      <c r="B28464" s="65" t="s">
        <v>517</v>
      </c>
    </row>
    <row r="28465" spans="1:2" x14ac:dyDescent="0.25">
      <c r="A28465" s="64" t="str">
        <f>HYPERLINK("http://www.twitter.com/CharlieA_Tango", "CharlieA_Tango")</f>
        <v>CharlieA_Tango</v>
      </c>
      <c r="B28465" s="65"/>
    </row>
    <row r="28466" spans="1:2" x14ac:dyDescent="0.25">
      <c r="A28466" s="64" t="str">
        <f>HYPERLINK("http://www.twitter.com/nortonhorton", "nortonhorton")</f>
        <v>nortonhorton</v>
      </c>
      <c r="B28466" s="65" t="s">
        <v>11863</v>
      </c>
    </row>
    <row r="28467" spans="1:2" x14ac:dyDescent="0.25">
      <c r="A28467" s="64" t="str">
        <f>HYPERLINK("http://www.twitter.com/Beesprkly", "Beesprkly")</f>
        <v>Beesprkly</v>
      </c>
      <c r="B28467" s="65"/>
    </row>
    <row r="28468" spans="1:2" x14ac:dyDescent="0.25">
      <c r="A28468" s="64" t="str">
        <f>HYPERLINK("http://www.twitter.com/MissElvey", "MissElvey")</f>
        <v>MissElvey</v>
      </c>
      <c r="B28468" s="65"/>
    </row>
    <row r="28469" spans="1:2" x14ac:dyDescent="0.25">
      <c r="A28469" s="64" t="str">
        <f>HYPERLINK("http://www.twitter.com/moypoy70", "moypoy70")</f>
        <v>moypoy70</v>
      </c>
      <c r="B28469" s="65"/>
    </row>
    <row r="28470" spans="1:2" x14ac:dyDescent="0.25">
      <c r="A28470" s="64" t="str">
        <f>HYPERLINK("http://www.twitter.com/PhixiusDave", "PhixiusDave")</f>
        <v>PhixiusDave</v>
      </c>
      <c r="B28470" s="65" t="s">
        <v>5412</v>
      </c>
    </row>
    <row r="28471" spans="1:2" x14ac:dyDescent="0.25">
      <c r="A28471" s="64" t="str">
        <f>HYPERLINK("http://www.twitter.com/DudleyArchives", "DudleyArchives")</f>
        <v>DudleyArchives</v>
      </c>
      <c r="B28471" s="65" t="s">
        <v>4789</v>
      </c>
    </row>
    <row r="28472" spans="1:2" x14ac:dyDescent="0.25">
      <c r="A28472" s="64" t="str">
        <f>HYPERLINK("http://www.twitter.com/TraceMyHouse", "TraceMyHouse")</f>
        <v>TraceMyHouse</v>
      </c>
      <c r="B28472" s="65"/>
    </row>
    <row r="28473" spans="1:2" x14ac:dyDescent="0.25">
      <c r="A28473" s="64" t="str">
        <f>HYPERLINK("http://www.twitter.com/lauraedbrook", "lauraedbrook")</f>
        <v>lauraedbrook</v>
      </c>
      <c r="B28473" s="65"/>
    </row>
    <row r="28474" spans="1:2" x14ac:dyDescent="0.25">
      <c r="A28474" s="64" t="str">
        <f>HYPERLINK("http://www.twitter.com/Libsbychance", "Libsbychance")</f>
        <v>Libsbychance</v>
      </c>
      <c r="B28474" s="65" t="s">
        <v>517</v>
      </c>
    </row>
    <row r="28475" spans="1:2" x14ac:dyDescent="0.25">
      <c r="A28475" s="64" t="str">
        <f>HYPERLINK("http://www.twitter.com/Janeannie", "Janeannie")</f>
        <v>Janeannie</v>
      </c>
      <c r="B28475" s="65" t="s">
        <v>138</v>
      </c>
    </row>
    <row r="28476" spans="1:2" x14ac:dyDescent="0.25">
      <c r="A28476" s="64" t="str">
        <f>HYPERLINK("http://www.twitter.com/sarawingategray", "sarawingategray")</f>
        <v>sarawingategray</v>
      </c>
      <c r="B28476" s="65" t="s">
        <v>11864</v>
      </c>
    </row>
    <row r="28477" spans="1:2" x14ac:dyDescent="0.25">
      <c r="A28477" s="64" t="str">
        <f>HYPERLINK("http://www.twitter.com/GreenMarineUk", "GreenMarineUk")</f>
        <v>GreenMarineUk</v>
      </c>
      <c r="B28477" s="65" t="s">
        <v>20</v>
      </c>
    </row>
    <row r="28478" spans="1:2" x14ac:dyDescent="0.25">
      <c r="A28478" s="64" t="str">
        <f>HYPERLINK("http://www.twitter.com/lawilk", "lawilk")</f>
        <v>lawilk</v>
      </c>
      <c r="B28478" s="65" t="s">
        <v>296</v>
      </c>
    </row>
    <row r="28479" spans="1:2" x14ac:dyDescent="0.25">
      <c r="A28479" s="64" t="str">
        <f>HYPERLINK("http://www.twitter.com/aliceonthehill", "aliceonthehill")</f>
        <v>aliceonthehill</v>
      </c>
      <c r="B28479" s="65"/>
    </row>
    <row r="28480" spans="1:2" x14ac:dyDescent="0.25">
      <c r="A28480" s="64" t="str">
        <f>HYPERLINK("http://www.twitter.com/NorquoyE", "NorquoyE")</f>
        <v>NorquoyE</v>
      </c>
      <c r="B28480" s="65"/>
    </row>
    <row r="28481" spans="1:2" x14ac:dyDescent="0.25">
      <c r="A28481" s="64" t="str">
        <f>HYPERLINK("http://www.twitter.com/Alpheneo", "Alpheneo")</f>
        <v>Alpheneo</v>
      </c>
      <c r="B28481" s="65" t="s">
        <v>5727</v>
      </c>
    </row>
    <row r="28482" spans="1:2" x14ac:dyDescent="0.25">
      <c r="A28482" s="64" t="str">
        <f>HYPERLINK("http://www.twitter.com/muswell_boy", "muswell_boy")</f>
        <v>muswell_boy</v>
      </c>
      <c r="B28482" s="65"/>
    </row>
    <row r="28483" spans="1:2" x14ac:dyDescent="0.25">
      <c r="A28483" s="64" t="str">
        <f>HYPERLINK("http://www.twitter.com/jessmd89", "jessmd89")</f>
        <v>jessmd89</v>
      </c>
      <c r="B28483" s="65"/>
    </row>
    <row r="28484" spans="1:2" x14ac:dyDescent="0.25">
      <c r="A28484" s="64" t="str">
        <f>HYPERLINK("http://www.twitter.com/iwikiwichick", "iwikiwichick")</f>
        <v>iwikiwichick</v>
      </c>
      <c r="B28484" s="65" t="s">
        <v>11865</v>
      </c>
    </row>
    <row r="28485" spans="1:2" x14ac:dyDescent="0.25">
      <c r="A28485" s="64" t="str">
        <f>HYPERLINK("http://www.twitter.com/FrankieStrange1", "FrankieStrange1")</f>
        <v>FrankieStrange1</v>
      </c>
      <c r="B28485" s="65"/>
    </row>
    <row r="28486" spans="1:2" x14ac:dyDescent="0.25">
      <c r="A28486" s="64" t="str">
        <f>HYPERLINK("http://www.twitter.com/fionams7", "fionams7")</f>
        <v>fionams7</v>
      </c>
      <c r="B28486" s="65" t="s">
        <v>11866</v>
      </c>
    </row>
    <row r="28487" spans="1:2" x14ac:dyDescent="0.25">
      <c r="A28487" s="64" t="str">
        <f>HYPERLINK("http://www.twitter.com/DundonaldCastle", "DundonaldCastle")</f>
        <v>DundonaldCastle</v>
      </c>
      <c r="B28487" s="65" t="s">
        <v>11867</v>
      </c>
    </row>
    <row r="28488" spans="1:2" x14ac:dyDescent="0.25">
      <c r="A28488" s="64" t="str">
        <f>HYPERLINK("http://www.twitter.com/GrahamAttalens", "GrahamAttalens")</f>
        <v>GrahamAttalens</v>
      </c>
      <c r="B28488" s="65" t="s">
        <v>4233</v>
      </c>
    </row>
    <row r="28489" spans="1:2" x14ac:dyDescent="0.25">
      <c r="A28489" s="64" t="str">
        <f>HYPERLINK("http://www.twitter.com/Inacmueller", "Inacmueller")</f>
        <v>Inacmueller</v>
      </c>
      <c r="B28489" s="65" t="s">
        <v>4153</v>
      </c>
    </row>
    <row r="28490" spans="1:2" x14ac:dyDescent="0.25">
      <c r="A28490" s="64" t="str">
        <f>HYPERLINK("http://www.twitter.com/intriguingme", "intriguingme")</f>
        <v>intriguingme</v>
      </c>
      <c r="B28490" s="65" t="s">
        <v>11868</v>
      </c>
    </row>
    <row r="28491" spans="1:2" x14ac:dyDescent="0.25">
      <c r="A28491" s="64" t="str">
        <f>HYPERLINK("http://www.twitter.com/IslaSquirrel", "IslaSquirrel")</f>
        <v>IslaSquirrel</v>
      </c>
      <c r="B28491" s="65" t="s">
        <v>20</v>
      </c>
    </row>
    <row r="28492" spans="1:2" x14ac:dyDescent="0.25">
      <c r="A28492" s="64" t="str">
        <f>HYPERLINK("http://www.twitter.com/ljannan", "ljannan")</f>
        <v>ljannan</v>
      </c>
      <c r="B28492" s="65" t="s">
        <v>138</v>
      </c>
    </row>
    <row r="28493" spans="1:2" x14ac:dyDescent="0.25">
      <c r="A28493" s="64" t="str">
        <f>HYPERLINK("http://www.twitter.com/CartoArchive", "CartoArchive")</f>
        <v>CartoArchive</v>
      </c>
      <c r="B28493" s="65" t="s">
        <v>24</v>
      </c>
    </row>
    <row r="28494" spans="1:2" x14ac:dyDescent="0.25">
      <c r="A28494" s="64" t="str">
        <f>HYPERLINK("http://www.twitter.com/gcpenn", "gcpenn")</f>
        <v>gcpenn</v>
      </c>
      <c r="B28494" s="65" t="s">
        <v>11869</v>
      </c>
    </row>
    <row r="28495" spans="1:2" x14ac:dyDescent="0.25">
      <c r="A28495" s="64" t="str">
        <f>HYPERLINK("http://www.twitter.com/GreatbeanbagsUK", "GreatbeanbagsUK")</f>
        <v>GreatbeanbagsUK</v>
      </c>
      <c r="B28495" s="65" t="s">
        <v>1046</v>
      </c>
    </row>
    <row r="28496" spans="1:2" x14ac:dyDescent="0.25">
      <c r="A28496" s="64" t="str">
        <f>HYPERLINK("http://www.twitter.com/STARSWORLD10", "STARSWORLD10")</f>
        <v>STARSWORLD10</v>
      </c>
      <c r="B28496" s="65"/>
    </row>
    <row r="28497" spans="1:2" x14ac:dyDescent="0.25">
      <c r="A28497" s="64" t="str">
        <f>HYPERLINK("http://www.twitter.com/GoAwayImReading", "GoAwayImReading")</f>
        <v>GoAwayImReading</v>
      </c>
      <c r="B28497" s="65"/>
    </row>
    <row r="28498" spans="1:2" x14ac:dyDescent="0.25">
      <c r="A28498" s="64" t="str">
        <f>HYPERLINK("http://www.twitter.com/katieheart", "katieheart")</f>
        <v>katieheart</v>
      </c>
      <c r="B28498" s="65" t="s">
        <v>36</v>
      </c>
    </row>
    <row r="28499" spans="1:2" x14ac:dyDescent="0.25">
      <c r="A28499" s="64" t="str">
        <f>HYPERLINK("http://www.twitter.com/Scarlet_Diva", "Scarlet_Diva")</f>
        <v>Scarlet_Diva</v>
      </c>
      <c r="B28499" s="65" t="s">
        <v>11870</v>
      </c>
    </row>
    <row r="28500" spans="1:2" x14ac:dyDescent="0.25">
      <c r="A28500" s="64" t="str">
        <f>HYPERLINK("http://www.twitter.com/emma_ainsley", "emma_ainsley")</f>
        <v>emma_ainsley</v>
      </c>
      <c r="B28500" s="65" t="s">
        <v>20</v>
      </c>
    </row>
    <row r="28501" spans="1:2" x14ac:dyDescent="0.25">
      <c r="A28501" s="64" t="str">
        <f>HYPERLINK("http://www.twitter.com/WendyBellScott", "WendyBellScott")</f>
        <v>WendyBellScott</v>
      </c>
      <c r="B28501" s="65" t="s">
        <v>6968</v>
      </c>
    </row>
    <row r="28502" spans="1:2" x14ac:dyDescent="0.25">
      <c r="A28502" s="64" t="str">
        <f>HYPERLINK("http://www.twitter.com/stenonema56", "stenonema56")</f>
        <v>stenonema56</v>
      </c>
      <c r="B28502" s="65"/>
    </row>
    <row r="28503" spans="1:2" x14ac:dyDescent="0.25">
      <c r="A28503" s="64" t="str">
        <f>HYPERLINK("http://www.twitter.com/sforzandocello", "sforzandocello")</f>
        <v>sforzandocello</v>
      </c>
      <c r="B28503" s="65" t="s">
        <v>5793</v>
      </c>
    </row>
    <row r="28504" spans="1:2" x14ac:dyDescent="0.25">
      <c r="A28504" s="64" t="str">
        <f>HYPERLINK("http://www.twitter.com/JP_Books", "JP_Books")</f>
        <v>JP_Books</v>
      </c>
      <c r="B28504" s="65" t="s">
        <v>11871</v>
      </c>
    </row>
    <row r="28505" spans="1:2" x14ac:dyDescent="0.25">
      <c r="A28505" s="64" t="str">
        <f>HYPERLINK("http://www.twitter.com/zoestrachan", "zoestrachan")</f>
        <v>zoestrachan</v>
      </c>
      <c r="B28505" s="65" t="s">
        <v>318</v>
      </c>
    </row>
    <row r="28506" spans="1:2" x14ac:dyDescent="0.25">
      <c r="A28506" s="64" t="str">
        <f>HYPERLINK("http://www.twitter.com/_broken_strings", "_broken_strings")</f>
        <v>_broken_strings</v>
      </c>
      <c r="B28506" s="65" t="s">
        <v>20</v>
      </c>
    </row>
    <row r="28507" spans="1:2" x14ac:dyDescent="0.25">
      <c r="A28507" s="64" t="str">
        <f>HYPERLINK("http://www.twitter.com/CercleduLivreHa", "CercleduLivreHa")</f>
        <v>CercleduLivreHa</v>
      </c>
      <c r="B28507" s="65" t="s">
        <v>11872</v>
      </c>
    </row>
    <row r="28508" spans="1:2" x14ac:dyDescent="0.25">
      <c r="A28508" s="64" t="str">
        <f>HYPERLINK("http://www.twitter.com/LibraryJon", "LibraryJon")</f>
        <v>LibraryJon</v>
      </c>
      <c r="B28508" s="65" t="s">
        <v>11873</v>
      </c>
    </row>
    <row r="28509" spans="1:2" x14ac:dyDescent="0.25">
      <c r="A28509" s="64" t="str">
        <f>HYPERLINK("http://www.twitter.com/abdulwa42815714", "abdulwa42815714")</f>
        <v>abdulwa42815714</v>
      </c>
      <c r="B28509" s="65"/>
    </row>
    <row r="28510" spans="1:2" x14ac:dyDescent="0.25">
      <c r="A28510" s="64" t="str">
        <f>HYPERLINK("http://www.twitter.com/fg_library", "fg_library")</f>
        <v>fg_library</v>
      </c>
      <c r="B28510" s="65" t="s">
        <v>11874</v>
      </c>
    </row>
    <row r="28511" spans="1:2" x14ac:dyDescent="0.25">
      <c r="A28511" s="64" t="str">
        <f>HYPERLINK("http://www.twitter.com/kilmunbooks", "kilmunbooks")</f>
        <v>kilmunbooks</v>
      </c>
      <c r="B28511" s="65"/>
    </row>
    <row r="28512" spans="1:2" x14ac:dyDescent="0.25">
      <c r="A28512" s="64" t="str">
        <f>HYPERLINK("http://www.twitter.com/JeanTulloch2", "JeanTulloch2")</f>
        <v>JeanTulloch2</v>
      </c>
      <c r="B28512" s="65"/>
    </row>
    <row r="28513" spans="1:2" x14ac:dyDescent="0.25">
      <c r="A28513" s="64" t="str">
        <f>HYPERLINK("http://www.twitter.com/LivUniLibrary", "LivUniLibrary")</f>
        <v>LivUniLibrary</v>
      </c>
      <c r="B28513" s="65" t="s">
        <v>11875</v>
      </c>
    </row>
    <row r="28514" spans="1:2" x14ac:dyDescent="0.25">
      <c r="A28514" s="64" t="str">
        <f>HYPERLINK("http://www.twitter.com/LindaPattingham", "LindaPattingham")</f>
        <v>LindaPattingham</v>
      </c>
      <c r="B28514" s="65" t="s">
        <v>11876</v>
      </c>
    </row>
    <row r="28515" spans="1:2" x14ac:dyDescent="0.25">
      <c r="A28515" s="64" t="str">
        <f>HYPERLINK("http://www.twitter.com/JoanneWishart", "JoanneWishart")</f>
        <v>JoanneWishart</v>
      </c>
      <c r="B28515" s="65"/>
    </row>
    <row r="28516" spans="1:2" x14ac:dyDescent="0.25">
      <c r="A28516" s="64" t="str">
        <f>HYPERLINK("http://www.twitter.com/InformationHead", "InformationHead")</f>
        <v>InformationHead</v>
      </c>
      <c r="B28516" s="65" t="s">
        <v>118</v>
      </c>
    </row>
    <row r="28517" spans="1:2" x14ac:dyDescent="0.25">
      <c r="A28517" s="64" t="str">
        <f>HYPERLINK("http://www.twitter.com/ChapterGrim", "ChapterGrim")</f>
        <v>ChapterGrim</v>
      </c>
      <c r="B28517" s="65" t="s">
        <v>517</v>
      </c>
    </row>
    <row r="28518" spans="1:2" x14ac:dyDescent="0.25">
      <c r="A28518" s="64" t="str">
        <f>HYPERLINK("http://www.twitter.com/Slandlibraries", "Slandlibraries")</f>
        <v>Slandlibraries</v>
      </c>
      <c r="B28518" s="65" t="s">
        <v>11877</v>
      </c>
    </row>
    <row r="28519" spans="1:2" x14ac:dyDescent="0.25">
      <c r="A28519" s="64" t="str">
        <f>HYPERLINK("http://www.twitter.com/MI5GCJ", "MI5GCJ")</f>
        <v>MI5GCJ</v>
      </c>
      <c r="B28519" s="65" t="s">
        <v>10624</v>
      </c>
    </row>
    <row r="28520" spans="1:2" x14ac:dyDescent="0.25">
      <c r="A28520" s="64" t="str">
        <f>HYPERLINK("http://www.twitter.com/Stillgame81", "Stillgame81")</f>
        <v>Stillgame81</v>
      </c>
      <c r="B28520" s="65" t="s">
        <v>20</v>
      </c>
    </row>
    <row r="28521" spans="1:2" x14ac:dyDescent="0.25">
      <c r="A28521" s="64" t="str">
        <f>HYPERLINK("http://www.twitter.com/stryndtearoom", "stryndtearoom")</f>
        <v>stryndtearoom</v>
      </c>
      <c r="B28521" s="65" t="s">
        <v>5667</v>
      </c>
    </row>
    <row r="28522" spans="1:2" x14ac:dyDescent="0.25">
      <c r="A28522" s="64" t="str">
        <f>HYPERLINK("http://www.twitter.com/GardenOfPimps", "GardenOfPimps")</f>
        <v>GardenOfPimps</v>
      </c>
      <c r="B28522" s="65" t="s">
        <v>11878</v>
      </c>
    </row>
    <row r="28523" spans="1:2" x14ac:dyDescent="0.25">
      <c r="A28523" s="64" t="str">
        <f>HYPERLINK("http://www.twitter.com/ERidingCricket", "ERidingCricket")</f>
        <v>ERidingCricket</v>
      </c>
      <c r="B28523" s="65" t="s">
        <v>11879</v>
      </c>
    </row>
    <row r="28524" spans="1:2" x14ac:dyDescent="0.25">
      <c r="A28524" s="64" t="str">
        <f>HYPERLINK("http://www.twitter.com/StaffsLibraries", "StaffsLibraries")</f>
        <v>StaffsLibraries</v>
      </c>
      <c r="B28524" s="65" t="s">
        <v>3650</v>
      </c>
    </row>
    <row r="28525" spans="1:2" x14ac:dyDescent="0.25">
      <c r="A28525" s="64" t="str">
        <f>HYPERLINK("http://www.twitter.com/tommilesz", "tommilesz")</f>
        <v>tommilesz</v>
      </c>
      <c r="B28525" s="65" t="s">
        <v>11880</v>
      </c>
    </row>
    <row r="28526" spans="1:2" x14ac:dyDescent="0.25">
      <c r="A28526" s="64" t="str">
        <f>HYPERLINK("http://www.twitter.com/SeftonLibraries", "SeftonLibraries")</f>
        <v>SeftonLibraries</v>
      </c>
      <c r="B28526" s="65" t="s">
        <v>587</v>
      </c>
    </row>
    <row r="28527" spans="1:2" x14ac:dyDescent="0.25">
      <c r="A28527" s="64" t="str">
        <f>HYPERLINK("http://www.twitter.com/treberney", "treberney")</f>
        <v>treberney</v>
      </c>
      <c r="B28527" s="65" t="s">
        <v>11881</v>
      </c>
    </row>
    <row r="28528" spans="1:2" x14ac:dyDescent="0.25">
      <c r="A28528" s="64" t="str">
        <f>HYPERLINK("http://www.twitter.com/R10grb", "R10grb")</f>
        <v>R10grb</v>
      </c>
      <c r="B28528" s="65" t="s">
        <v>5104</v>
      </c>
    </row>
    <row r="28529" spans="1:2" x14ac:dyDescent="0.25">
      <c r="A28529" s="64" t="str">
        <f>HYPERLINK("http://www.twitter.com/Nessa_Platt", "Nessa_Platt")</f>
        <v>Nessa_Platt</v>
      </c>
      <c r="B28529" s="65" t="s">
        <v>11882</v>
      </c>
    </row>
    <row r="28530" spans="1:2" x14ac:dyDescent="0.25">
      <c r="A28530" s="64" t="str">
        <f>HYPERLINK("http://www.twitter.com/clcelebworkouts", "clcelebworkouts")</f>
        <v>clcelebworkouts</v>
      </c>
      <c r="B28530" s="65" t="s">
        <v>70</v>
      </c>
    </row>
    <row r="28531" spans="1:2" x14ac:dyDescent="0.25">
      <c r="A28531" s="64" t="str">
        <f>HYPERLINK("http://www.twitter.com/obanfiddle", "obanfiddle")</f>
        <v>obanfiddle</v>
      </c>
      <c r="B28531" s="65" t="s">
        <v>24</v>
      </c>
    </row>
    <row r="28532" spans="1:2" x14ac:dyDescent="0.25">
      <c r="A28532" s="64" t="str">
        <f>HYPERLINK("http://www.twitter.com/NebogipfelWho", "NebogipfelWho")</f>
        <v>NebogipfelWho</v>
      </c>
      <c r="B28532" s="65" t="s">
        <v>296</v>
      </c>
    </row>
    <row r="28533" spans="1:2" x14ac:dyDescent="0.25">
      <c r="A28533" s="64" t="str">
        <f>HYPERLINK("http://www.twitter.com/IndexerBailey", "IndexerBailey")</f>
        <v>IndexerBailey</v>
      </c>
      <c r="B28533" s="65" t="s">
        <v>4070</v>
      </c>
    </row>
    <row r="28534" spans="1:2" x14ac:dyDescent="0.25">
      <c r="A28534" s="64" t="str">
        <f>HYPERLINK("http://www.twitter.com/TearoomDelights", "TearoomDelights")</f>
        <v>TearoomDelights</v>
      </c>
      <c r="B28534" s="65" t="s">
        <v>5933</v>
      </c>
    </row>
    <row r="28535" spans="1:2" x14ac:dyDescent="0.25">
      <c r="A28535" s="64" t="str">
        <f>HYPERLINK("http://www.twitter.com/NatRecordsScot", "NatRecordsScot")</f>
        <v>NatRecordsScot</v>
      </c>
      <c r="B28535" s="65" t="s">
        <v>487</v>
      </c>
    </row>
    <row r="28536" spans="1:2" x14ac:dyDescent="0.25">
      <c r="A28536" s="64" t="str">
        <f>HYPERLINK("http://www.twitter.com/GenerationsWT", "GenerationsWT")</f>
        <v>GenerationsWT</v>
      </c>
      <c r="B28536" s="65" t="s">
        <v>517</v>
      </c>
    </row>
    <row r="28537" spans="1:2" x14ac:dyDescent="0.25">
      <c r="A28537" s="64" t="str">
        <f>HYPERLINK("http://www.twitter.com/PACT_HomeEnergy", "PACT_HomeEnergy")</f>
        <v>PACT_HomeEnergy</v>
      </c>
      <c r="B28537" s="65" t="s">
        <v>11883</v>
      </c>
    </row>
    <row r="28538" spans="1:2" x14ac:dyDescent="0.25">
      <c r="A28538" s="64" t="str">
        <f>HYPERLINK("http://www.twitter.com/MiddleAgedCred", "MiddleAgedCred")</f>
        <v>MiddleAgedCred</v>
      </c>
      <c r="B28538" s="65" t="s">
        <v>11884</v>
      </c>
    </row>
    <row r="28539" spans="1:2" x14ac:dyDescent="0.25">
      <c r="A28539" s="64" t="str">
        <f>HYPERLINK("http://www.twitter.com/miss_bcampbell", "miss_bcampbell")</f>
        <v>miss_bcampbell</v>
      </c>
      <c r="B28539" s="65" t="s">
        <v>24</v>
      </c>
    </row>
    <row r="28540" spans="1:2" x14ac:dyDescent="0.25">
      <c r="A28540" s="64" t="str">
        <f>HYPERLINK("http://www.twitter.com/MadeleineS", "MadeleineS")</f>
        <v>MadeleineS</v>
      </c>
      <c r="B28540" s="65" t="s">
        <v>24</v>
      </c>
    </row>
    <row r="28541" spans="1:2" x14ac:dyDescent="0.25">
      <c r="A28541" s="64" t="str">
        <f>HYPERLINK("http://www.twitter.com/Valfredoo", "Valfredoo")</f>
        <v>Valfredoo</v>
      </c>
      <c r="B28541" s="65" t="s">
        <v>11885</v>
      </c>
    </row>
    <row r="28542" spans="1:2" x14ac:dyDescent="0.25">
      <c r="A28542" s="64" t="str">
        <f>HYPERLINK("http://www.twitter.com/BrechinLibrary", "BrechinLibrary")</f>
        <v>BrechinLibrary</v>
      </c>
      <c r="B28542" s="65"/>
    </row>
    <row r="28543" spans="1:2" x14ac:dyDescent="0.25">
      <c r="A28543" s="64" t="str">
        <f>HYPERLINK("http://www.twitter.com/jgkennaway", "jgkennaway")</f>
        <v>jgkennaway</v>
      </c>
      <c r="B28543" s="65"/>
    </row>
    <row r="28544" spans="1:2" x14ac:dyDescent="0.25">
      <c r="A28544" s="64" t="str">
        <f>HYPERLINK("http://www.twitter.com/celemack", "celemack")</f>
        <v>celemack</v>
      </c>
      <c r="B28544" s="65" t="s">
        <v>4117</v>
      </c>
    </row>
    <row r="28545" spans="1:2" x14ac:dyDescent="0.25">
      <c r="A28545" s="64" t="str">
        <f>HYPERLINK("http://www.twitter.com/rosieorkney", "rosieorkney")</f>
        <v>rosieorkney</v>
      </c>
      <c r="B28545" s="65" t="s">
        <v>4519</v>
      </c>
    </row>
    <row r="28546" spans="1:2" x14ac:dyDescent="0.25">
      <c r="A28546" s="64" t="str">
        <f>HYPERLINK("http://www.twitter.com/AuntyNicky", "AuntyNicky")</f>
        <v>AuntyNicky</v>
      </c>
      <c r="B28546" s="65" t="s">
        <v>7348</v>
      </c>
    </row>
    <row r="28547" spans="1:2" x14ac:dyDescent="0.25">
      <c r="A28547" s="64" t="str">
        <f>HYPERLINK("http://www.twitter.com/KirkcaldyFF", "KirkcaldyFF")</f>
        <v>KirkcaldyFF</v>
      </c>
      <c r="B28547" s="65" t="s">
        <v>11886</v>
      </c>
    </row>
    <row r="28548" spans="1:2" x14ac:dyDescent="0.25">
      <c r="A28548" s="64" t="str">
        <f>HYPERLINK("http://www.twitter.com/PPMBT", "PPMBT")</f>
        <v>PPMBT</v>
      </c>
      <c r="B28548" s="65" t="s">
        <v>4238</v>
      </c>
    </row>
    <row r="28549" spans="1:2" x14ac:dyDescent="0.25">
      <c r="A28549" s="64" t="str">
        <f>HYPERLINK("http://www.twitter.com/KingAAC", "KingAAC")</f>
        <v>KingAAC</v>
      </c>
      <c r="B28549" s="65" t="s">
        <v>1417</v>
      </c>
    </row>
    <row r="28550" spans="1:2" x14ac:dyDescent="0.25">
      <c r="A28550" s="64" t="str">
        <f>HYPERLINK("http://www.twitter.com/octoorkney", "octoorkney")</f>
        <v>octoorkney</v>
      </c>
      <c r="B28550" s="65" t="s">
        <v>5667</v>
      </c>
    </row>
    <row r="28551" spans="1:2" x14ac:dyDescent="0.25">
      <c r="A28551" s="64" t="str">
        <f>HYPERLINK("http://www.twitter.com/HLFScotland", "HLFScotland")</f>
        <v>HLFScotland</v>
      </c>
      <c r="B28551" s="65" t="s">
        <v>517</v>
      </c>
    </row>
    <row r="28552" spans="1:2" x14ac:dyDescent="0.25">
      <c r="A28552" s="64" t="str">
        <f>HYPERLINK("http://www.twitter.com/lisapenman33", "lisapenman33")</f>
        <v>lisapenman33</v>
      </c>
      <c r="B28552" s="65" t="s">
        <v>5389</v>
      </c>
    </row>
    <row r="28553" spans="1:2" x14ac:dyDescent="0.25">
      <c r="A28553" s="64" t="str">
        <f>HYPERLINK("http://www.twitter.com/henriette88", "henriette88")</f>
        <v>henriette88</v>
      </c>
      <c r="B28553" s="65" t="s">
        <v>11887</v>
      </c>
    </row>
    <row r="28554" spans="1:2" x14ac:dyDescent="0.25">
      <c r="A28554" s="64" t="str">
        <f>HYPERLINK("http://www.twitter.com/amy_parcell", "amy_parcell")</f>
        <v>amy_parcell</v>
      </c>
      <c r="B28554" s="65"/>
    </row>
    <row r="28555" spans="1:2" x14ac:dyDescent="0.25">
      <c r="A28555" s="64" t="str">
        <f>HYPERLINK("http://www.twitter.com/_theabbey", "_theabbey")</f>
        <v>_theabbey</v>
      </c>
      <c r="B28555" s="65" t="s">
        <v>2007</v>
      </c>
    </row>
    <row r="28556" spans="1:2" x14ac:dyDescent="0.25">
      <c r="A28556" s="64" t="str">
        <f>HYPERLINK("http://www.twitter.com/JonnieRocketLtd", "JonnieRocketLtd")</f>
        <v>JonnieRocketLtd</v>
      </c>
      <c r="B28556" s="65" t="s">
        <v>296</v>
      </c>
    </row>
    <row r="28557" spans="1:2" x14ac:dyDescent="0.25">
      <c r="A28557" s="64" t="str">
        <f>HYPERLINK("http://www.twitter.com/jenxmann", "jenxmann")</f>
        <v>jenxmann</v>
      </c>
      <c r="B28557" s="65" t="s">
        <v>24</v>
      </c>
    </row>
    <row r="28558" spans="1:2" x14ac:dyDescent="0.25">
      <c r="A28558" s="64" t="str">
        <f>HYPERLINK("http://www.twitter.com/SocietyofMalawi", "SocietyofMalawi")</f>
        <v>SocietyofMalawi</v>
      </c>
      <c r="B28558" s="65" t="s">
        <v>11888</v>
      </c>
    </row>
    <row r="28559" spans="1:2" x14ac:dyDescent="0.25">
      <c r="A28559" s="64" t="str">
        <f>HYPERLINK("http://www.twitter.com/NMBS01", "NMBS01")</f>
        <v>NMBS01</v>
      </c>
      <c r="B28559" s="65" t="s">
        <v>9777</v>
      </c>
    </row>
    <row r="28560" spans="1:2" x14ac:dyDescent="0.25">
      <c r="A28560" s="64" t="str">
        <f>HYPERLINK("http://www.twitter.com/MariaCentrone", "MariaCentrone")</f>
        <v>MariaCentrone</v>
      </c>
      <c r="B28560" s="65" t="s">
        <v>5166</v>
      </c>
    </row>
    <row r="28561" spans="1:2" x14ac:dyDescent="0.25">
      <c r="A28561" s="64" t="str">
        <f>HYPERLINK("http://www.twitter.com/enfieldlibrary", "enfieldlibrary")</f>
        <v>enfieldlibrary</v>
      </c>
      <c r="B28561" s="65" t="s">
        <v>499</v>
      </c>
    </row>
    <row r="28562" spans="1:2" x14ac:dyDescent="0.25">
      <c r="A28562" s="64" t="str">
        <f>HYPERLINK("http://www.twitter.com/EncountersNL", "EncountersNL")</f>
        <v>EncountersNL</v>
      </c>
      <c r="B28562" s="65" t="s">
        <v>3668</v>
      </c>
    </row>
    <row r="28563" spans="1:2" x14ac:dyDescent="0.25">
      <c r="A28563" s="64" t="str">
        <f>HYPERLINK("http://www.twitter.com/JamesMcGoran", "JamesMcGoran")</f>
        <v>JamesMcGoran</v>
      </c>
      <c r="B28563" s="65" t="s">
        <v>11005</v>
      </c>
    </row>
    <row r="28564" spans="1:2" x14ac:dyDescent="0.25">
      <c r="A28564" s="64" t="str">
        <f>HYPERLINK("http://www.twitter.com/ecocars1", "ecocars1")</f>
        <v>ecocars1</v>
      </c>
      <c r="B28564" s="65" t="s">
        <v>11889</v>
      </c>
    </row>
    <row r="28565" spans="1:2" x14ac:dyDescent="0.25">
      <c r="A28565" s="64" t="str">
        <f>HYPERLINK("http://www.twitter.com/tjreiser", "tjreiser")</f>
        <v>tjreiser</v>
      </c>
      <c r="B28565" s="65"/>
    </row>
    <row r="28566" spans="1:2" x14ac:dyDescent="0.25">
      <c r="A28566" s="64" t="str">
        <f>HYPERLINK("http://www.twitter.com/endsofthecity", "endsofthecity")</f>
        <v>endsofthecity</v>
      </c>
      <c r="B28566" s="65"/>
    </row>
    <row r="28567" spans="1:2" x14ac:dyDescent="0.25">
      <c r="A28567" s="64" t="str">
        <f>HYPERLINK("http://www.twitter.com/andrewgivan", "andrewgivan")</f>
        <v>andrewgivan</v>
      </c>
      <c r="B28567" s="65" t="s">
        <v>11890</v>
      </c>
    </row>
    <row r="28568" spans="1:2" x14ac:dyDescent="0.25">
      <c r="A28568" s="64" t="str">
        <f>HYPERLINK("http://www.twitter.com/otooledesign", "otooledesign")</f>
        <v>otooledesign</v>
      </c>
      <c r="B28568" s="65" t="s">
        <v>293</v>
      </c>
    </row>
    <row r="28569" spans="1:2" x14ac:dyDescent="0.25">
      <c r="A28569" s="64" t="str">
        <f>HYPERLINK("http://www.twitter.com/saus1967", "saus1967")</f>
        <v>saus1967</v>
      </c>
      <c r="B28569" s="65"/>
    </row>
    <row r="28570" spans="1:2" x14ac:dyDescent="0.25">
      <c r="A28570" s="64" t="str">
        <f>HYPERLINK("http://www.twitter.com/EStoresni", "EStoresni")</f>
        <v>EStoresni</v>
      </c>
      <c r="B28570" s="65" t="s">
        <v>2595</v>
      </c>
    </row>
    <row r="28571" spans="1:2" x14ac:dyDescent="0.25">
      <c r="A28571" s="64" t="str">
        <f>HYPERLINK("http://www.twitter.com/lucyn4", "lucyn4")</f>
        <v>lucyn4</v>
      </c>
      <c r="B28571" s="65" t="s">
        <v>2602</v>
      </c>
    </row>
    <row r="28572" spans="1:2" x14ac:dyDescent="0.25">
      <c r="A28572" s="64" t="str">
        <f>HYPERLINK("http://www.twitter.com/MaddieOHare", "MaddieOHare")</f>
        <v>MaddieOHare</v>
      </c>
      <c r="B28572" s="65" t="s">
        <v>642</v>
      </c>
    </row>
    <row r="28573" spans="1:2" x14ac:dyDescent="0.25">
      <c r="A28573" s="64" t="str">
        <f>HYPERLINK("http://www.twitter.com/SuzyBoardman", "SuzyBoardman")</f>
        <v>SuzyBoardman</v>
      </c>
      <c r="B28573" s="65" t="s">
        <v>2007</v>
      </c>
    </row>
    <row r="28574" spans="1:2" x14ac:dyDescent="0.25">
      <c r="A28574" s="64" t="str">
        <f>HYPERLINK("http://www.twitter.com/RichardCrofttt", "RichardCrofttt")</f>
        <v>RichardCrofttt</v>
      </c>
      <c r="B28574" s="65"/>
    </row>
    <row r="28575" spans="1:2" x14ac:dyDescent="0.25">
      <c r="A28575" s="64" t="str">
        <f>HYPERLINK("http://www.twitter.com/JoanBrownEstate", "JoanBrownEstate")</f>
        <v>JoanBrownEstate</v>
      </c>
      <c r="B28575" s="65" t="s">
        <v>3921</v>
      </c>
    </row>
    <row r="28576" spans="1:2" x14ac:dyDescent="0.25">
      <c r="A28576" s="64" t="str">
        <f>HYPERLINK("http://www.twitter.com/WindWillowApp", "WindWillowApp")</f>
        <v>WindWillowApp</v>
      </c>
      <c r="B28576" s="65" t="s">
        <v>296</v>
      </c>
    </row>
    <row r="28577" spans="1:2" x14ac:dyDescent="0.25">
      <c r="A28577" s="64" t="str">
        <f>HYPERLINK("http://www.twitter.com/WFlibraries", "WFlibraries")</f>
        <v>WFlibraries</v>
      </c>
      <c r="B28577" s="65" t="s">
        <v>333</v>
      </c>
    </row>
    <row r="28578" spans="1:2" x14ac:dyDescent="0.25">
      <c r="A28578" s="64" t="str">
        <f>HYPERLINK("http://www.twitter.com/RobertBurnsFed", "RobertBurnsFed")</f>
        <v>RobertBurnsFed</v>
      </c>
      <c r="B28578" s="65" t="s">
        <v>8565</v>
      </c>
    </row>
    <row r="28579" spans="1:2" x14ac:dyDescent="0.25">
      <c r="A28579" s="64" t="str">
        <f>HYPERLINK("http://www.twitter.com/RichardCroftt", "RichardCroftt")</f>
        <v>RichardCroftt</v>
      </c>
      <c r="B28579" s="65"/>
    </row>
    <row r="28580" spans="1:2" x14ac:dyDescent="0.25">
      <c r="A28580" s="64" t="str">
        <f>HYPERLINK("http://www.twitter.com/backothequeue", "backothequeue")</f>
        <v>backothequeue</v>
      </c>
      <c r="B28580" s="65" t="s">
        <v>11891</v>
      </c>
    </row>
    <row r="28581" spans="1:2" x14ac:dyDescent="0.25">
      <c r="A28581" s="64" t="str">
        <f>HYPERLINK("http://www.twitter.com/GMCbooks", "GMCbooks")</f>
        <v>GMCbooks</v>
      </c>
      <c r="B28581" s="65" t="s">
        <v>11892</v>
      </c>
    </row>
    <row r="28582" spans="1:2" x14ac:dyDescent="0.25">
      <c r="A28582" s="64" t="str">
        <f>HYPERLINK("http://www.twitter.com/Longfordlibrary", "Longfordlibrary")</f>
        <v>Longfordlibrary</v>
      </c>
      <c r="B28582" s="65" t="s">
        <v>11893</v>
      </c>
    </row>
    <row r="28583" spans="1:2" x14ac:dyDescent="0.25">
      <c r="A28583" s="64" t="str">
        <f>HYPERLINK("http://www.twitter.com/JJ21CA", "JJ21CA")</f>
        <v>JJ21CA</v>
      </c>
      <c r="B28583" s="65"/>
    </row>
    <row r="28584" spans="1:2" x14ac:dyDescent="0.25">
      <c r="A28584" s="64" t="str">
        <f>HYPERLINK("http://www.twitter.com/WDLibraries", "WDLibraries")</f>
        <v>WDLibraries</v>
      </c>
      <c r="B28584" s="65" t="s">
        <v>11894</v>
      </c>
    </row>
    <row r="28585" spans="1:2" x14ac:dyDescent="0.25">
      <c r="A28585" s="64" t="str">
        <f>HYPERLINK("http://www.twitter.com/nannasoggy", "nannasoggy")</f>
        <v>nannasoggy</v>
      </c>
      <c r="B28585" s="65" t="s">
        <v>11895</v>
      </c>
    </row>
    <row r="28586" spans="1:2" x14ac:dyDescent="0.25">
      <c r="A28586" s="64" t="str">
        <f>HYPERLINK("http://www.twitter.com/EmmieJaneD", "EmmieJaneD")</f>
        <v>EmmieJaneD</v>
      </c>
      <c r="B28586" s="65"/>
    </row>
    <row r="28587" spans="1:2" x14ac:dyDescent="0.25">
      <c r="A28587" s="64" t="str">
        <f>HYPERLINK("http://www.twitter.com/Carla71392788", "Carla71392788")</f>
        <v>Carla71392788</v>
      </c>
      <c r="B28587" s="65"/>
    </row>
    <row r="28588" spans="1:2" x14ac:dyDescent="0.25">
      <c r="A28588" s="64" t="str">
        <f>HYPERLINK("http://www.twitter.com/el_scunnero", "el_scunnero")</f>
        <v>el_scunnero</v>
      </c>
      <c r="B28588" s="65" t="s">
        <v>11896</v>
      </c>
    </row>
    <row r="28589" spans="1:2" x14ac:dyDescent="0.25">
      <c r="A28589" s="64" t="str">
        <f>HYPERLINK("http://www.twitter.com/PershoreColin", "PershoreColin")</f>
        <v>PershoreColin</v>
      </c>
      <c r="B28589" s="65" t="s">
        <v>11897</v>
      </c>
    </row>
    <row r="28590" spans="1:2" x14ac:dyDescent="0.25">
      <c r="A28590" s="64" t="str">
        <f>HYPERLINK("http://www.twitter.com/AliRae934", "AliRae934")</f>
        <v>AliRae934</v>
      </c>
      <c r="B28590" s="65" t="s">
        <v>517</v>
      </c>
    </row>
    <row r="28591" spans="1:2" x14ac:dyDescent="0.25">
      <c r="A28591" s="64" t="str">
        <f>HYPERLINK("http://www.twitter.com/BestNOTTheTalk", "BestNOTTheTalk")</f>
        <v>BestNOTTheTalk</v>
      </c>
      <c r="B28591" s="65"/>
    </row>
    <row r="28592" spans="1:2" x14ac:dyDescent="0.25">
      <c r="A28592" s="64" t="str">
        <f>HYPERLINK("http://www.twitter.com/darrentheviking", "darrentheviking")</f>
        <v>darrentheviking</v>
      </c>
      <c r="B28592" s="65" t="s">
        <v>11898</v>
      </c>
    </row>
    <row r="28593" spans="1:2" x14ac:dyDescent="0.25">
      <c r="A28593" s="64" t="str">
        <f>HYPERLINK("http://www.twitter.com/knowatick", "knowatick")</f>
        <v>knowatick</v>
      </c>
      <c r="B28593" s="65" t="s">
        <v>7921</v>
      </c>
    </row>
    <row r="28594" spans="1:2" x14ac:dyDescent="0.25">
      <c r="A28594" s="64" t="str">
        <f>HYPERLINK("http://www.twitter.com/bfaware", "bfaware")</f>
        <v>bfaware</v>
      </c>
      <c r="B28594" s="65" t="s">
        <v>36</v>
      </c>
    </row>
    <row r="28595" spans="1:2" x14ac:dyDescent="0.25">
      <c r="A28595" s="64" t="str">
        <f>HYPERLINK("http://www.twitter.com/robmajor", "robmajor")</f>
        <v>robmajor</v>
      </c>
      <c r="B28595" s="65" t="s">
        <v>11899</v>
      </c>
    </row>
    <row r="28596" spans="1:2" x14ac:dyDescent="0.25">
      <c r="A28596" s="64" t="str">
        <f>HYPERLINK("http://www.twitter.com/SFVoyager2014", "SFVoyager2014")</f>
        <v>SFVoyager2014</v>
      </c>
      <c r="B28596" s="65" t="s">
        <v>11900</v>
      </c>
    </row>
    <row r="28597" spans="1:2" x14ac:dyDescent="0.25">
      <c r="A28597" s="64" t="str">
        <f>HYPERLINK("http://www.twitter.com/CatLodge1", "CatLodge1")</f>
        <v>CatLodge1</v>
      </c>
      <c r="B28597" s="65" t="s">
        <v>5468</v>
      </c>
    </row>
    <row r="28598" spans="1:2" x14ac:dyDescent="0.25">
      <c r="A28598" s="64" t="str">
        <f>HYPERLINK("http://www.twitter.com/stempertoncrow", "stempertoncrow")</f>
        <v>stempertoncrow</v>
      </c>
      <c r="B28598" s="65" t="s">
        <v>6118</v>
      </c>
    </row>
    <row r="28599" spans="1:2" x14ac:dyDescent="0.25">
      <c r="A28599" s="64" t="str">
        <f>HYPERLINK("http://www.twitter.com/mouseret", "mouseret")</f>
        <v>mouseret</v>
      </c>
      <c r="B28599" s="65"/>
    </row>
    <row r="28600" spans="1:2" x14ac:dyDescent="0.25">
      <c r="A28600" s="64" t="str">
        <f>HYPERLINK("http://www.twitter.com/Jacque97", "Jacque97")</f>
        <v>Jacque97</v>
      </c>
      <c r="B28600" s="65" t="s">
        <v>11901</v>
      </c>
    </row>
    <row r="28601" spans="1:2" x14ac:dyDescent="0.25">
      <c r="A28601" s="64" t="str">
        <f>HYPERLINK("http://www.twitter.com/mamaltwit", "mamaltwit")</f>
        <v>mamaltwit</v>
      </c>
      <c r="B28601" s="65" t="s">
        <v>11902</v>
      </c>
    </row>
    <row r="28602" spans="1:2" x14ac:dyDescent="0.25">
      <c r="A28602" s="64" t="str">
        <f>HYPERLINK("http://www.twitter.com/dalnaneun", "dalnaneun")</f>
        <v>dalnaneun</v>
      </c>
      <c r="B28602" s="65"/>
    </row>
    <row r="28603" spans="1:2" x14ac:dyDescent="0.25">
      <c r="A28603" s="64" t="str">
        <f>HYPERLINK("http://www.twitter.com/Meljanenolan", "Meljanenolan")</f>
        <v>Meljanenolan</v>
      </c>
      <c r="B28603" s="65"/>
    </row>
    <row r="28604" spans="1:2" x14ac:dyDescent="0.25">
      <c r="A28604" s="64" t="str">
        <f>HYPERLINK("http://www.twitter.com/LandlordWatch", "LandlordWatch")</f>
        <v>LandlordWatch</v>
      </c>
      <c r="B28604" s="65" t="s">
        <v>517</v>
      </c>
    </row>
    <row r="28605" spans="1:2" x14ac:dyDescent="0.25">
      <c r="A28605" s="64" t="str">
        <f>HYPERLINK("http://www.twitter.com/WDisability", "WDisability")</f>
        <v>WDisability</v>
      </c>
      <c r="B28605" s="65" t="s">
        <v>3948</v>
      </c>
    </row>
    <row r="28606" spans="1:2" x14ac:dyDescent="0.25">
      <c r="A28606" s="64" t="str">
        <f>HYPERLINK("http://www.twitter.com/islean22", "islean22")</f>
        <v>islean22</v>
      </c>
      <c r="B28606" s="65" t="s">
        <v>517</v>
      </c>
    </row>
    <row r="28607" spans="1:2" x14ac:dyDescent="0.25">
      <c r="A28607" s="64" t="str">
        <f>HYPERLINK("http://www.twitter.com/CriterionPicUSA", "CriterionPicUSA")</f>
        <v>CriterionPicUSA</v>
      </c>
      <c r="B28607" s="65" t="s">
        <v>11903</v>
      </c>
    </row>
    <row r="28608" spans="1:2" x14ac:dyDescent="0.25">
      <c r="A28608" s="64" t="str">
        <f>HYPERLINK("http://www.twitter.com/Wonder_note", "Wonder_note")</f>
        <v>Wonder_note</v>
      </c>
      <c r="B28608" s="65" t="s">
        <v>11904</v>
      </c>
    </row>
    <row r="28609" spans="1:2" x14ac:dyDescent="0.25">
      <c r="A28609" s="64" t="str">
        <f>HYPERLINK("http://www.twitter.com/aszlan", "aszlan")</f>
        <v>aszlan</v>
      </c>
      <c r="B28609" s="65" t="s">
        <v>11905</v>
      </c>
    </row>
    <row r="28610" spans="1:2" x14ac:dyDescent="0.25">
      <c r="A28610" s="64" t="str">
        <f>HYPERLINK("http://www.twitter.com/ClareStorry", "ClareStorry")</f>
        <v>ClareStorry</v>
      </c>
      <c r="B28610" s="65" t="s">
        <v>11906</v>
      </c>
    </row>
    <row r="28611" spans="1:2" x14ac:dyDescent="0.25">
      <c r="A28611" s="64" t="str">
        <f>HYPERLINK("http://www.twitter.com/emergentwriters", "emergentwriters")</f>
        <v>emergentwriters</v>
      </c>
      <c r="B28611" s="65" t="s">
        <v>5397</v>
      </c>
    </row>
    <row r="28612" spans="1:2" x14ac:dyDescent="0.25">
      <c r="A28612" s="64" t="str">
        <f>HYPERLINK("http://www.twitter.com/emmac2603", "emmac2603")</f>
        <v>emmac2603</v>
      </c>
      <c r="B28612" s="65" t="s">
        <v>1810</v>
      </c>
    </row>
    <row r="28613" spans="1:2" x14ac:dyDescent="0.25">
      <c r="A28613" s="64" t="str">
        <f>HYPERLINK("http://www.twitter.com/rik_hammond", "rik_hammond")</f>
        <v>rik_hammond</v>
      </c>
      <c r="B28613" s="65" t="s">
        <v>11907</v>
      </c>
    </row>
    <row r="28614" spans="1:2" x14ac:dyDescent="0.25">
      <c r="A28614" s="64" t="str">
        <f>HYPERLINK("http://www.twitter.com/closed_aplus", "closed_aplus")</f>
        <v>closed_aplus</v>
      </c>
      <c r="B28614" s="65" t="s">
        <v>11908</v>
      </c>
    </row>
    <row r="28615" spans="1:2" x14ac:dyDescent="0.25">
      <c r="A28615" s="64" t="str">
        <f>HYPERLINK("http://www.twitter.com/tamahoc", "tamahoc")</f>
        <v>tamahoc</v>
      </c>
      <c r="B28615" s="65"/>
    </row>
    <row r="28616" spans="1:2" x14ac:dyDescent="0.25">
      <c r="A28616" s="64" t="str">
        <f>HYPERLINK("http://www.twitter.com/BetLe", "BetLe")</f>
        <v>BetLe</v>
      </c>
      <c r="B28616" s="65" t="s">
        <v>1221</v>
      </c>
    </row>
    <row r="28617" spans="1:2" x14ac:dyDescent="0.25">
      <c r="A28617" s="64" t="str">
        <f>HYPERLINK("http://www.twitter.com/nts_usa", "nts_usa")</f>
        <v>nts_usa</v>
      </c>
      <c r="B28617" s="65" t="s">
        <v>4632</v>
      </c>
    </row>
    <row r="28618" spans="1:2" x14ac:dyDescent="0.25">
      <c r="A28618" s="64" t="str">
        <f>HYPERLINK("http://www.twitter.com/shibshabs", "shibshabs")</f>
        <v>shibshabs</v>
      </c>
      <c r="B28618" s="65" t="s">
        <v>3898</v>
      </c>
    </row>
    <row r="28619" spans="1:2" x14ac:dyDescent="0.25">
      <c r="A28619" s="64" t="str">
        <f>HYPERLINK("http://www.twitter.com/djpaterson", "djpaterson")</f>
        <v>djpaterson</v>
      </c>
      <c r="B28619" s="65" t="s">
        <v>11909</v>
      </c>
    </row>
    <row r="28620" spans="1:2" x14ac:dyDescent="0.25">
      <c r="A28620" s="64" t="str">
        <f>HYPERLINK("http://www.twitter.com/aholgate", "aholgate")</f>
        <v>aholgate</v>
      </c>
      <c r="B28620" s="65" t="s">
        <v>36</v>
      </c>
    </row>
    <row r="28621" spans="1:2" x14ac:dyDescent="0.25">
      <c r="A28621" s="64" t="str">
        <f>HYPERLINK("http://www.twitter.com/LesPetitsPrints", "LesPetitsPrints")</f>
        <v>LesPetitsPrints</v>
      </c>
      <c r="B28621" s="65"/>
    </row>
    <row r="28622" spans="1:2" x14ac:dyDescent="0.25">
      <c r="A28622" s="64" t="str">
        <f>HYPERLINK("http://www.twitter.com/SashenkaLopez", "SashenkaLopez")</f>
        <v>SashenkaLopez</v>
      </c>
      <c r="B28622" s="65" t="s">
        <v>11910</v>
      </c>
    </row>
    <row r="28623" spans="1:2" x14ac:dyDescent="0.25">
      <c r="A28623" s="64" t="str">
        <f>HYPERLINK("http://www.twitter.com/CharleneStorey", "CharleneStorey")</f>
        <v>CharleneStorey</v>
      </c>
      <c r="B28623" s="65" t="s">
        <v>115</v>
      </c>
    </row>
    <row r="28624" spans="1:2" x14ac:dyDescent="0.25">
      <c r="A28624" s="64" t="str">
        <f>HYPERLINK("http://www.twitter.com/andypowct", "andypowct")</f>
        <v>andypowct</v>
      </c>
      <c r="B28624" s="65" t="s">
        <v>4098</v>
      </c>
    </row>
    <row r="28625" spans="1:2" x14ac:dyDescent="0.25">
      <c r="A28625" s="64" t="str">
        <f>HYPERLINK("http://www.twitter.com/ismat_545", "ismat_545")</f>
        <v>ismat_545</v>
      </c>
      <c r="B28625" s="65"/>
    </row>
    <row r="28626" spans="1:2" x14ac:dyDescent="0.25">
      <c r="A28626" s="64" t="str">
        <f>HYPERLINK("http://www.twitter.com/magshh52", "magshh52")</f>
        <v>magshh52</v>
      </c>
      <c r="B28626" s="65" t="s">
        <v>517</v>
      </c>
    </row>
    <row r="28627" spans="1:2" x14ac:dyDescent="0.25">
      <c r="A28627" s="64" t="str">
        <f>HYPERLINK("http://www.twitter.com/LIBRITTIO", "LIBRITTIO")</f>
        <v>LIBRITTIO</v>
      </c>
      <c r="B28627" s="65" t="s">
        <v>11911</v>
      </c>
    </row>
    <row r="28628" spans="1:2" x14ac:dyDescent="0.25">
      <c r="A28628" s="64" t="str">
        <f>HYPERLINK("http://www.twitter.com/BeckyGF_Hud", "BeckyGF_Hud")</f>
        <v>BeckyGF_Hud</v>
      </c>
      <c r="B28628" s="65"/>
    </row>
    <row r="28629" spans="1:2" x14ac:dyDescent="0.25">
      <c r="A28629" s="64" t="str">
        <f>HYPERLINK("http://www.twitter.com/CleoClaren", "CleoClaren")</f>
        <v>CleoClaren</v>
      </c>
      <c r="B28629" s="65" t="s">
        <v>7821</v>
      </c>
    </row>
    <row r="28630" spans="1:2" x14ac:dyDescent="0.25">
      <c r="A28630" s="64" t="str">
        <f>HYPERLINK("http://www.twitter.com/AlasdairFlett", "AlasdairFlett")</f>
        <v>AlasdairFlett</v>
      </c>
      <c r="B28630" s="65" t="s">
        <v>487</v>
      </c>
    </row>
    <row r="28631" spans="1:2" x14ac:dyDescent="0.25">
      <c r="A28631" s="64" t="str">
        <f>HYPERLINK("http://www.twitter.com/BookishKirsten", "BookishKirsten")</f>
        <v>BookishKirsten</v>
      </c>
      <c r="B28631" s="65"/>
    </row>
    <row r="28632" spans="1:2" x14ac:dyDescent="0.25">
      <c r="A28632" s="64" t="str">
        <f>HYPERLINK("http://www.twitter.com/SallyLWalker", "SallyLWalker")</f>
        <v>SallyLWalker</v>
      </c>
      <c r="B28632" s="65" t="s">
        <v>20</v>
      </c>
    </row>
    <row r="28633" spans="1:2" x14ac:dyDescent="0.25">
      <c r="A28633" s="64" t="str">
        <f>HYPERLINK("http://www.twitter.com/ScotLawLibs", "ScotLawLibs")</f>
        <v>ScotLawLibs</v>
      </c>
      <c r="B28633" s="65" t="s">
        <v>517</v>
      </c>
    </row>
    <row r="28634" spans="1:2" x14ac:dyDescent="0.25">
      <c r="A28634" s="64" t="str">
        <f>HYPERLINK("http://www.twitter.com/daveyp", "daveyp")</f>
        <v>daveyp</v>
      </c>
      <c r="B28634" s="65" t="s">
        <v>11912</v>
      </c>
    </row>
    <row r="28635" spans="1:2" x14ac:dyDescent="0.25">
      <c r="A28635" s="64" t="str">
        <f>HYPERLINK("http://www.twitter.com/StockansOatcake", "StockansOatcake")</f>
        <v>StockansOatcake</v>
      </c>
      <c r="B28635" s="65" t="s">
        <v>11913</v>
      </c>
    </row>
    <row r="28636" spans="1:2" x14ac:dyDescent="0.25">
      <c r="A28636" s="64" t="str">
        <f>HYPERLINK("http://www.twitter.com/Marcus_Ramtohul", "Marcus_Ramtohul")</f>
        <v>Marcus_Ramtohul</v>
      </c>
      <c r="B28636" s="65" t="s">
        <v>110</v>
      </c>
    </row>
    <row r="28637" spans="1:2" x14ac:dyDescent="0.25">
      <c r="A28637" s="64" t="str">
        <f>HYPERLINK("http://www.twitter.com/Shelly19652000", "Shelly19652000")</f>
        <v>Shelly19652000</v>
      </c>
      <c r="B28637" s="65" t="s">
        <v>11914</v>
      </c>
    </row>
    <row r="28638" spans="1:2" x14ac:dyDescent="0.25">
      <c r="A28638" s="64" t="str">
        <f>HYPERLINK("http://www.twitter.com/indeskidge", "indeskidge")</f>
        <v>indeskidge</v>
      </c>
      <c r="B28638" s="65"/>
    </row>
    <row r="28639" spans="1:2" x14ac:dyDescent="0.25">
      <c r="A28639" s="64" t="str">
        <f>HYPERLINK("http://www.twitter.com/emmadodd2", "emmadodd2")</f>
        <v>emmadodd2</v>
      </c>
      <c r="B28639" s="65" t="s">
        <v>296</v>
      </c>
    </row>
    <row r="28640" spans="1:2" x14ac:dyDescent="0.25">
      <c r="A28640" s="64" t="str">
        <f>HYPERLINK("http://www.twitter.com/DrogDag", "DrogDag")</f>
        <v>DrogDag</v>
      </c>
      <c r="B28640" s="65" t="s">
        <v>10984</v>
      </c>
    </row>
    <row r="28641" spans="1:2" x14ac:dyDescent="0.25">
      <c r="A28641" s="64" t="str">
        <f>HYPERLINK("http://www.twitter.com/KloeKt", "KloeKt")</f>
        <v>KloeKt</v>
      </c>
      <c r="B28641" s="65"/>
    </row>
    <row r="28642" spans="1:2" x14ac:dyDescent="0.25">
      <c r="A28642" s="64" t="str">
        <f>HYPERLINK("http://www.twitter.com/CrankyLibrarian", "CrankyLibrarian")</f>
        <v>CrankyLibrarian</v>
      </c>
      <c r="B28642" s="65"/>
    </row>
    <row r="28643" spans="1:2" x14ac:dyDescent="0.25">
      <c r="A28643" s="64" t="str">
        <f>HYPERLINK("http://www.twitter.com/WoolsackUK", "WoolsackUK")</f>
        <v>WoolsackUK</v>
      </c>
      <c r="B28643" s="65" t="s">
        <v>20</v>
      </c>
    </row>
    <row r="28644" spans="1:2" x14ac:dyDescent="0.25">
      <c r="A28644" s="64" t="str">
        <f>HYPERLINK("http://www.twitter.com/jmcleod22", "jmcleod22")</f>
        <v>jmcleod22</v>
      </c>
      <c r="B28644" s="65"/>
    </row>
    <row r="28645" spans="1:2" x14ac:dyDescent="0.25">
      <c r="A28645" s="64" t="str">
        <f>HYPERLINK("http://www.twitter.com/BensonLibrary", "BensonLibrary")</f>
        <v>BensonLibrary</v>
      </c>
      <c r="B28645" s="65" t="s">
        <v>11915</v>
      </c>
    </row>
    <row r="28646" spans="1:2" x14ac:dyDescent="0.25">
      <c r="A28646" s="64" t="str">
        <f>HYPERLINK("http://www.twitter.com/malachytallack", "malachytallack")</f>
        <v>malachytallack</v>
      </c>
      <c r="B28646" s="65" t="s">
        <v>3917</v>
      </c>
    </row>
    <row r="28647" spans="1:2" x14ac:dyDescent="0.25">
      <c r="A28647" s="64" t="str">
        <f>HYPERLINK("http://www.twitter.com/Alice_FnkYMnKy", "Alice_FnkYMnKy")</f>
        <v>Alice_FnkYMnKy</v>
      </c>
      <c r="B28647" s="65" t="s">
        <v>61</v>
      </c>
    </row>
    <row r="28648" spans="1:2" x14ac:dyDescent="0.25">
      <c r="A28648" s="64" t="str">
        <f>HYPERLINK("http://www.twitter.com/literarydundee", "literarydundee")</f>
        <v>literarydundee</v>
      </c>
      <c r="B28648" s="65" t="s">
        <v>11916</v>
      </c>
    </row>
    <row r="28649" spans="1:2" x14ac:dyDescent="0.25">
      <c r="A28649" s="64" t="str">
        <f>HYPERLINK("http://www.twitter.com/order_and_light", "order_and_light")</f>
        <v>order_and_light</v>
      </c>
      <c r="B28649" s="65" t="s">
        <v>24</v>
      </c>
    </row>
    <row r="28650" spans="1:2" x14ac:dyDescent="0.25">
      <c r="A28650" s="64" t="str">
        <f>HYPERLINK("http://www.twitter.com/Vexus_Nexus", "Vexus_Nexus")</f>
        <v>Vexus_Nexus</v>
      </c>
      <c r="B28650" s="65" t="s">
        <v>3974</v>
      </c>
    </row>
    <row r="28651" spans="1:2" x14ac:dyDescent="0.25">
      <c r="A28651" s="64" t="str">
        <f>HYPERLINK("http://www.twitter.com/LibertonL", "LibertonL")</f>
        <v>LibertonL</v>
      </c>
      <c r="B28651" s="65"/>
    </row>
    <row r="28652" spans="1:2" x14ac:dyDescent="0.25">
      <c r="A28652" s="64" t="str">
        <f>HYPERLINK("http://www.twitter.com/OrkTech2", "OrkTech2")</f>
        <v>OrkTech2</v>
      </c>
      <c r="B28652" s="65" t="s">
        <v>20</v>
      </c>
    </row>
    <row r="28653" spans="1:2" x14ac:dyDescent="0.25">
      <c r="A28653" s="64" t="str">
        <f>HYPERLINK("http://www.twitter.com/cfslibrary", "cfslibrary")</f>
        <v>cfslibrary</v>
      </c>
      <c r="B28653" s="65" t="s">
        <v>11917</v>
      </c>
    </row>
    <row r="28654" spans="1:2" x14ac:dyDescent="0.25">
      <c r="A28654" s="64" t="str">
        <f>HYPERLINK("http://www.twitter.com/dougie189", "dougie189")</f>
        <v>dougie189</v>
      </c>
      <c r="B28654" s="65" t="s">
        <v>4223</v>
      </c>
    </row>
    <row r="28655" spans="1:2" x14ac:dyDescent="0.25">
      <c r="A28655" s="64" t="str">
        <f>HYPERLINK("http://www.twitter.com/1Genie1", "1Genie1")</f>
        <v>1Genie1</v>
      </c>
      <c r="B28655" s="65" t="s">
        <v>11918</v>
      </c>
    </row>
    <row r="28656" spans="1:2" x14ac:dyDescent="0.25">
      <c r="A28656" s="64" t="str">
        <f>HYPERLINK("http://www.twitter.com/imaginary_zoo", "imaginary_zoo")</f>
        <v>imaginary_zoo</v>
      </c>
      <c r="B28656" s="65" t="s">
        <v>138</v>
      </c>
    </row>
    <row r="28657" spans="1:2" x14ac:dyDescent="0.25">
      <c r="A28657" s="64" t="str">
        <f>HYPERLINK("http://www.twitter.com/lienaahmed", "lienaahmed")</f>
        <v>lienaahmed</v>
      </c>
      <c r="B28657" s="65"/>
    </row>
    <row r="28658" spans="1:2" x14ac:dyDescent="0.25">
      <c r="A28658" s="64" t="str">
        <f>HYPERLINK("http://www.twitter.com/Amanda_Redstone", "Amanda_Redstone")</f>
        <v>Amanda_Redstone</v>
      </c>
      <c r="B28658" s="65"/>
    </row>
    <row r="28659" spans="1:2" x14ac:dyDescent="0.25">
      <c r="A28659" s="64" t="str">
        <f>HYPERLINK("http://www.twitter.com/Waverley60", "Waverley60")</f>
        <v>Waverley60</v>
      </c>
      <c r="B28659" s="65" t="s">
        <v>4501</v>
      </c>
    </row>
    <row r="28660" spans="1:2" x14ac:dyDescent="0.25">
      <c r="A28660" s="64" t="str">
        <f>HYPERLINK("http://www.twitter.com/haberdashery_ie", "haberdashery_ie")</f>
        <v>haberdashery_ie</v>
      </c>
      <c r="B28660" s="65" t="s">
        <v>3760</v>
      </c>
    </row>
    <row r="28661" spans="1:2" x14ac:dyDescent="0.25">
      <c r="A28661" s="64" t="str">
        <f>HYPERLINK("http://www.twitter.com/HelsTowers", "HelsTowers")</f>
        <v>HelsTowers</v>
      </c>
      <c r="B28661" s="65" t="s">
        <v>1417</v>
      </c>
    </row>
    <row r="28662" spans="1:2" x14ac:dyDescent="0.25">
      <c r="A28662" s="64" t="str">
        <f>HYPERLINK("http://www.twitter.com/Notesonmusic", "Notesonmusic")</f>
        <v>Notesonmusic</v>
      </c>
      <c r="B28662" s="65"/>
    </row>
    <row r="28663" spans="1:2" x14ac:dyDescent="0.25">
      <c r="A28663" s="64" t="str">
        <f>HYPERLINK("http://www.twitter.com/Macke1l", "Macke1l")</f>
        <v>Macke1l</v>
      </c>
      <c r="B28663" s="65"/>
    </row>
    <row r="28664" spans="1:2" x14ac:dyDescent="0.25">
      <c r="A28664" s="64" t="str">
        <f>HYPERLINK("http://www.twitter.com/hannymacoy", "hannymacoy")</f>
        <v>hannymacoy</v>
      </c>
      <c r="B28664" s="65" t="s">
        <v>36</v>
      </c>
    </row>
    <row r="28665" spans="1:2" x14ac:dyDescent="0.25">
      <c r="A28665" s="64" t="str">
        <f>HYPERLINK("http://www.twitter.com/hopesofanation", "hopesofanation")</f>
        <v>hopesofanation</v>
      </c>
      <c r="B28665" s="65" t="s">
        <v>3529</v>
      </c>
    </row>
    <row r="28666" spans="1:2" x14ac:dyDescent="0.25">
      <c r="A28666" s="64" t="str">
        <f>HYPERLINK("http://www.twitter.com/savelincslibs", "savelincslibs")</f>
        <v>savelincslibs</v>
      </c>
      <c r="B28666" s="65" t="s">
        <v>4122</v>
      </c>
    </row>
    <row r="28667" spans="1:2" x14ac:dyDescent="0.25">
      <c r="A28667" s="64" t="str">
        <f>HYPERLINK("http://www.twitter.com/msthain", "msthain")</f>
        <v>msthain</v>
      </c>
      <c r="B28667" s="65" t="s">
        <v>5336</v>
      </c>
    </row>
    <row r="28668" spans="1:2" x14ac:dyDescent="0.25">
      <c r="A28668" s="64" t="str">
        <f>HYPERLINK("http://www.twitter.com/FriendsReunited", "FriendsReunited")</f>
        <v>FriendsReunited</v>
      </c>
      <c r="B28668" s="65" t="s">
        <v>36</v>
      </c>
    </row>
    <row r="28669" spans="1:2" x14ac:dyDescent="0.25">
      <c r="A28669" s="64" t="str">
        <f>HYPERLINK("http://www.twitter.com/CB_Scotland", "CB_Scotland")</f>
        <v>CB_Scotland</v>
      </c>
      <c r="B28669" s="65" t="s">
        <v>4447</v>
      </c>
    </row>
    <row r="28670" spans="1:2" x14ac:dyDescent="0.25">
      <c r="A28670" s="64" t="str">
        <f>HYPERLINK("http://www.twitter.com/RoryTETurbet", "RoryTETurbet")</f>
        <v>RoryTETurbet</v>
      </c>
      <c r="B28670" s="65" t="s">
        <v>110</v>
      </c>
    </row>
    <row r="28671" spans="1:2" x14ac:dyDescent="0.25">
      <c r="A28671" s="64" t="str">
        <f>HYPERLINK("http://www.twitter.com/ShrewslibraryUK", "ShrewslibraryUK")</f>
        <v>ShrewslibraryUK</v>
      </c>
      <c r="B28671" s="65" t="s">
        <v>575</v>
      </c>
    </row>
    <row r="28672" spans="1:2" x14ac:dyDescent="0.25">
      <c r="A28672" s="64" t="str">
        <f>HYPERLINK("http://www.twitter.com/emmacaloz", "emmacaloz")</f>
        <v>emmacaloz</v>
      </c>
      <c r="B28672" s="65"/>
    </row>
    <row r="28673" spans="1:2" x14ac:dyDescent="0.25">
      <c r="A28673" s="64" t="str">
        <f>HYPERLINK("http://www.twitter.com/scarls17", "scarls17")</f>
        <v>scarls17</v>
      </c>
      <c r="B28673" s="65" t="s">
        <v>11919</v>
      </c>
    </row>
    <row r="28674" spans="1:2" x14ac:dyDescent="0.25">
      <c r="A28674" s="64" t="str">
        <f>HYPERLINK("http://www.twitter.com/jofm71", "jofm71")</f>
        <v>jofm71</v>
      </c>
      <c r="B28674" s="65" t="s">
        <v>2213</v>
      </c>
    </row>
    <row r="28675" spans="1:2" x14ac:dyDescent="0.25">
      <c r="A28675" s="64" t="str">
        <f>HYPERLINK("http://www.twitter.com/jackoliver40", "jackoliver40")</f>
        <v>jackoliver40</v>
      </c>
      <c r="B28675" s="65" t="s">
        <v>11920</v>
      </c>
    </row>
    <row r="28676" spans="1:2" x14ac:dyDescent="0.25">
      <c r="A28676" s="64" t="str">
        <f>HYPERLINK("http://www.twitter.com/ThirlwallAssoc", "ThirlwallAssoc")</f>
        <v>ThirlwallAssoc</v>
      </c>
      <c r="B28676" s="65" t="s">
        <v>5490</v>
      </c>
    </row>
    <row r="28677" spans="1:2" x14ac:dyDescent="0.25">
      <c r="A28677" s="64" t="str">
        <f>HYPERLINK("http://www.twitter.com/GreatParkStars", "GreatParkStars")</f>
        <v>GreatParkStars</v>
      </c>
      <c r="B28677" s="65" t="s">
        <v>11921</v>
      </c>
    </row>
    <row r="28678" spans="1:2" x14ac:dyDescent="0.25">
      <c r="A28678" s="64" t="str">
        <f>HYPERLINK("http://www.twitter.com/MarchHamilton", "MarchHamilton")</f>
        <v>MarchHamilton</v>
      </c>
      <c r="B28678" s="65" t="s">
        <v>711</v>
      </c>
    </row>
    <row r="28679" spans="1:2" x14ac:dyDescent="0.25">
      <c r="A28679" s="64" t="str">
        <f>HYPERLINK("http://www.twitter.com/jillcalder", "jillcalder")</f>
        <v>jillcalder</v>
      </c>
      <c r="B28679" s="65" t="s">
        <v>5389</v>
      </c>
    </row>
    <row r="28680" spans="1:2" x14ac:dyDescent="0.25">
      <c r="A28680" s="64" t="str">
        <f>HYPERLINK("http://www.twitter.com/PamelaBenbow", "PamelaBenbow")</f>
        <v>PamelaBenbow</v>
      </c>
      <c r="B28680" s="65" t="s">
        <v>3871</v>
      </c>
    </row>
    <row r="28681" spans="1:2" x14ac:dyDescent="0.25">
      <c r="A28681" s="64" t="str">
        <f>HYPERLINK("http://www.twitter.com/Kevi_n_Rachel", "Kevi_n_Rachel")</f>
        <v>Kevi_n_Rachel</v>
      </c>
      <c r="B28681" s="65" t="s">
        <v>11922</v>
      </c>
    </row>
    <row r="28682" spans="1:2" x14ac:dyDescent="0.25">
      <c r="A28682" s="64" t="str">
        <f>HYPERLINK("http://www.twitter.com/KloykamonQ", "KloykamonQ")</f>
        <v>KloykamonQ</v>
      </c>
      <c r="B28682" s="65"/>
    </row>
    <row r="28683" spans="1:2" x14ac:dyDescent="0.25">
      <c r="A28683" s="64" t="str">
        <f>HYPERLINK("http://www.twitter.com/FrayBob", "FrayBob")</f>
        <v>FrayBob</v>
      </c>
      <c r="B28683" s="65"/>
    </row>
    <row r="28684" spans="1:2" x14ac:dyDescent="0.25">
      <c r="A28684" s="64" t="str">
        <f>HYPERLINK("http://www.twitter.com/harimebyd", "harimebyd")</f>
        <v>harimebyd</v>
      </c>
      <c r="B28684" s="65"/>
    </row>
    <row r="28685" spans="1:2" x14ac:dyDescent="0.25">
      <c r="A28685" s="64" t="str">
        <f>HYPERLINK("http://www.twitter.com/VoicesLibrary", "VoicesLibrary")</f>
        <v>VoicesLibrary</v>
      </c>
      <c r="B28685" s="65"/>
    </row>
    <row r="28686" spans="1:2" x14ac:dyDescent="0.25">
      <c r="A28686" s="64" t="str">
        <f>HYPERLINK("http://www.twitter.com/Sister_Ballista", "Sister_Ballista")</f>
        <v>Sister_Ballista</v>
      </c>
      <c r="B28686" s="65"/>
    </row>
    <row r="28687" spans="1:2" x14ac:dyDescent="0.25">
      <c r="A28687" s="64" t="str">
        <f>HYPERLINK("http://www.twitter.com/lewispollock1", "lewispollock1")</f>
        <v>lewispollock1</v>
      </c>
      <c r="B28687" s="65"/>
    </row>
    <row r="28688" spans="1:2" x14ac:dyDescent="0.25">
      <c r="A28688" s="64" t="str">
        <f>HYPERLINK("http://www.twitter.com/FamilyTreeFolk", "FamilyTreeFolk")</f>
        <v>FamilyTreeFolk</v>
      </c>
      <c r="B28688" s="65" t="s">
        <v>6502</v>
      </c>
    </row>
    <row r="28689" spans="1:2" x14ac:dyDescent="0.25">
      <c r="A28689" s="64" t="str">
        <f>HYPERLINK("http://www.twitter.com/InfocrewSa", "InfocrewSa")</f>
        <v>InfocrewSa</v>
      </c>
      <c r="B28689" s="65" t="s">
        <v>11923</v>
      </c>
    </row>
    <row r="28690" spans="1:2" x14ac:dyDescent="0.25">
      <c r="A28690" s="64" t="str">
        <f>HYPERLINK("http://www.twitter.com/TankMuseumCF", "TankMuseumCF")</f>
        <v>TankMuseumCF</v>
      </c>
      <c r="B28690" s="65" t="s">
        <v>11924</v>
      </c>
    </row>
    <row r="28691" spans="1:2" x14ac:dyDescent="0.25">
      <c r="A28691" s="64" t="str">
        <f>HYPERLINK("http://www.twitter.com/TrsRahane", "TrsRahane")</f>
        <v>TrsRahane</v>
      </c>
      <c r="B28691" s="65"/>
    </row>
    <row r="28692" spans="1:2" x14ac:dyDescent="0.25">
      <c r="A28692" s="64" t="str">
        <f>HYPERLINK("http://www.twitter.com/tori_nighthawk", "tori_nighthawk")</f>
        <v>tori_nighthawk</v>
      </c>
      <c r="B28692" s="65"/>
    </row>
    <row r="28693" spans="1:2" x14ac:dyDescent="0.25">
      <c r="A28693" s="64" t="str">
        <f>HYPERLINK("http://www.twitter.com/HarborSwan", "HarborSwan")</f>
        <v>HarborSwan</v>
      </c>
      <c r="B28693" s="65" t="s">
        <v>4309</v>
      </c>
    </row>
    <row r="28694" spans="1:2" x14ac:dyDescent="0.25">
      <c r="A28694" s="64" t="str">
        <f>HYPERLINK("http://www.twitter.com/Nade_serenade", "Nade_serenade")</f>
        <v>Nade_serenade</v>
      </c>
      <c r="B28694" s="65" t="s">
        <v>4161</v>
      </c>
    </row>
    <row r="28695" spans="1:2" x14ac:dyDescent="0.25">
      <c r="A28695" s="64" t="str">
        <f>HYPERLINK("http://www.twitter.com/TidelinesFest", "TidelinesFest")</f>
        <v>TidelinesFest</v>
      </c>
      <c r="B28695" s="65" t="s">
        <v>714</v>
      </c>
    </row>
    <row r="28696" spans="1:2" x14ac:dyDescent="0.25">
      <c r="A28696" s="64" t="str">
        <f>HYPERLINK("http://www.twitter.com/DanPbass", "DanPbass")</f>
        <v>DanPbass</v>
      </c>
      <c r="B28696" s="65" t="s">
        <v>11925</v>
      </c>
    </row>
    <row r="28697" spans="1:2" x14ac:dyDescent="0.25">
      <c r="A28697" s="64" t="str">
        <f>HYPERLINK("http://www.twitter.com/PilrigPress", "PilrigPress")</f>
        <v>PilrigPress</v>
      </c>
      <c r="B28697" s="65" t="s">
        <v>24</v>
      </c>
    </row>
    <row r="28698" spans="1:2" x14ac:dyDescent="0.25">
      <c r="A28698" s="64" t="str">
        <f>HYPERLINK("http://www.twitter.com/storkney", "storkney")</f>
        <v>storkney</v>
      </c>
      <c r="B28698" s="65"/>
    </row>
    <row r="28699" spans="1:2" x14ac:dyDescent="0.25">
      <c r="A28699" s="64" t="str">
        <f>HYPERLINK("http://www.twitter.com/Fiona_KerrNZ", "Fiona_KerrNZ")</f>
        <v>Fiona_KerrNZ</v>
      </c>
      <c r="B28699" s="65" t="s">
        <v>11894</v>
      </c>
    </row>
    <row r="28700" spans="1:2" x14ac:dyDescent="0.25">
      <c r="A28700" s="64" t="str">
        <f>HYPERLINK("http://www.twitter.com/MaryDrever", "MaryDrever")</f>
        <v>MaryDrever</v>
      </c>
      <c r="B28700" s="65"/>
    </row>
    <row r="28701" spans="1:2" x14ac:dyDescent="0.25">
      <c r="A28701" s="64" t="str">
        <f>HYPERLINK("http://www.twitter.com/liamsleftfoot", "liamsleftfoot")</f>
        <v>liamsleftfoot</v>
      </c>
      <c r="B28701" s="65" t="s">
        <v>11926</v>
      </c>
    </row>
    <row r="28702" spans="1:2" x14ac:dyDescent="0.25">
      <c r="A28702" s="64" t="str">
        <f>HYPERLINK("http://www.twitter.com/scottiejan", "scottiejan")</f>
        <v>scottiejan</v>
      </c>
      <c r="B28702" s="65" t="s">
        <v>138</v>
      </c>
    </row>
    <row r="28703" spans="1:2" x14ac:dyDescent="0.25">
      <c r="A28703" s="64" t="str">
        <f>HYPERLINK("http://www.twitter.com/TaleswithTanya", "TaleswithTanya")</f>
        <v>TaleswithTanya</v>
      </c>
      <c r="B28703" s="65"/>
    </row>
    <row r="28704" spans="1:2" x14ac:dyDescent="0.25">
      <c r="A28704" s="64" t="str">
        <f>HYPERLINK("http://www.twitter.com/UYCScotland2014", "UYCScotland2014")</f>
        <v>UYCScotland2014</v>
      </c>
      <c r="B28704" s="65" t="s">
        <v>517</v>
      </c>
    </row>
    <row r="28705" spans="1:2" x14ac:dyDescent="0.25">
      <c r="A28705" s="64" t="str">
        <f>HYPERLINK("http://www.twitter.com/Ivory_Hostler", "Ivory_Hostler")</f>
        <v>Ivory_Hostler</v>
      </c>
      <c r="B28705" s="65" t="s">
        <v>70</v>
      </c>
    </row>
    <row r="28706" spans="1:2" x14ac:dyDescent="0.25">
      <c r="A28706" s="64" t="str">
        <f>HYPERLINK("http://www.twitter.com/TamOShanterKBT", "TamOShanterKBT")</f>
        <v>TamOShanterKBT</v>
      </c>
      <c r="B28706" s="65" t="s">
        <v>11927</v>
      </c>
    </row>
    <row r="28707" spans="1:2" x14ac:dyDescent="0.25">
      <c r="A28707" s="64" t="str">
        <f>HYPERLINK("http://www.twitter.com/NaomiBremner", "NaomiBremner")</f>
        <v>NaomiBremner</v>
      </c>
      <c r="B28707" s="65" t="s">
        <v>20</v>
      </c>
    </row>
    <row r="28708" spans="1:2" x14ac:dyDescent="0.25">
      <c r="A28708" s="64" t="str">
        <f>HYPERLINK("http://www.twitter.com/jmshearer87", "jmshearer87")</f>
        <v>jmshearer87</v>
      </c>
      <c r="B28708" s="65"/>
    </row>
    <row r="28709" spans="1:2" x14ac:dyDescent="0.25">
      <c r="A28709" s="64" t="str">
        <f>HYPERLINK("http://www.twitter.com/EdayCC", "EdayCC")</f>
        <v>EdayCC</v>
      </c>
      <c r="B28709" s="65"/>
    </row>
    <row r="28710" spans="1:2" x14ac:dyDescent="0.25">
      <c r="A28710" s="64" t="str">
        <f>HYPERLINK("http://www.twitter.com/arthurrobbins85", "arthurrobbins85")</f>
        <v>arthurrobbins85</v>
      </c>
      <c r="B28710" s="65" t="s">
        <v>11928</v>
      </c>
    </row>
    <row r="28711" spans="1:2" x14ac:dyDescent="0.25">
      <c r="A28711" s="64" t="str">
        <f>HYPERLINK("http://www.twitter.com/HistoryMaggie", "HistoryMaggie")</f>
        <v>HistoryMaggie</v>
      </c>
      <c r="B28711" s="65" t="s">
        <v>180</v>
      </c>
    </row>
    <row r="28712" spans="1:2" x14ac:dyDescent="0.25">
      <c r="A28712" s="64" t="str">
        <f>HYPERLINK("http://www.twitter.com/JulieWoodland1", "JulieWoodland1")</f>
        <v>JulieWoodland1</v>
      </c>
      <c r="B28712" s="65" t="s">
        <v>2580</v>
      </c>
    </row>
    <row r="28713" spans="1:2" x14ac:dyDescent="0.25">
      <c r="A28713" s="64" t="str">
        <f>HYPERLINK("http://www.twitter.com/ev_sexton", "ev_sexton")</f>
        <v>ev_sexton</v>
      </c>
      <c r="B28713" s="65"/>
    </row>
    <row r="28714" spans="1:2" x14ac:dyDescent="0.25">
      <c r="A28714" s="64" t="str">
        <f>HYPERLINK("http://www.twitter.com/mrsbeard80", "mrsbeard80")</f>
        <v>mrsbeard80</v>
      </c>
      <c r="B28714" s="65"/>
    </row>
    <row r="28715" spans="1:2" x14ac:dyDescent="0.25">
      <c r="A28715" s="64" t="str">
        <f>HYPERLINK("http://www.twitter.com/MaryHSwanson", "MaryHSwanson")</f>
        <v>MaryHSwanson</v>
      </c>
      <c r="B28715" s="65" t="s">
        <v>318</v>
      </c>
    </row>
    <row r="28716" spans="1:2" x14ac:dyDescent="0.25">
      <c r="A28716" s="64" t="str">
        <f>HYPERLINK("http://www.twitter.com/LesleySalter", "LesleySalter")</f>
        <v>LesleySalter</v>
      </c>
      <c r="B28716" s="65" t="s">
        <v>11929</v>
      </c>
    </row>
    <row r="28717" spans="1:2" x14ac:dyDescent="0.25">
      <c r="A28717" s="64" t="str">
        <f>HYPERLINK("http://www.twitter.com/missarchives", "missarchives")</f>
        <v>missarchives</v>
      </c>
      <c r="B28717" s="65" t="s">
        <v>11930</v>
      </c>
    </row>
    <row r="28718" spans="1:2" x14ac:dyDescent="0.25">
      <c r="A28718" s="64" t="str">
        <f>HYPERLINK("http://www.twitter.com/DavidACMaile", "DavidACMaile")</f>
        <v>DavidACMaile</v>
      </c>
      <c r="B28718" s="65" t="s">
        <v>9298</v>
      </c>
    </row>
    <row r="28719" spans="1:2" x14ac:dyDescent="0.25">
      <c r="A28719" s="64" t="str">
        <f>HYPERLINK("http://www.twitter.com/AlexArchivists", "AlexArchivists")</f>
        <v>AlexArchivists</v>
      </c>
      <c r="B28719" s="65" t="s">
        <v>4247</v>
      </c>
    </row>
    <row r="28720" spans="1:2" x14ac:dyDescent="0.25">
      <c r="A28720" s="64" t="str">
        <f>HYPERLINK("http://www.twitter.com/nobeltrader", "nobeltrader")</f>
        <v>nobeltrader</v>
      </c>
      <c r="B28720" s="65"/>
    </row>
    <row r="28721" spans="1:2" x14ac:dyDescent="0.25">
      <c r="A28721" s="64" t="str">
        <f>HYPERLINK("http://www.twitter.com/GlosBiography", "GlosBiography")</f>
        <v>GlosBiography</v>
      </c>
      <c r="B28721" s="65" t="s">
        <v>6869</v>
      </c>
    </row>
    <row r="28722" spans="1:2" x14ac:dyDescent="0.25">
      <c r="A28722" s="64" t="str">
        <f>HYPERLINK("http://www.twitter.com/c35occitan", "c35occitan")</f>
        <v>c35occitan</v>
      </c>
      <c r="B28722" s="65"/>
    </row>
    <row r="28723" spans="1:2" x14ac:dyDescent="0.25">
      <c r="A28723" s="64" t="str">
        <f>HYPERLINK("http://www.twitter.com/napeeumaharazu", "napeeumaharazu")</f>
        <v>napeeumaharazu</v>
      </c>
      <c r="B28723" s="65"/>
    </row>
    <row r="28724" spans="1:2" x14ac:dyDescent="0.25">
      <c r="A28724" s="64" t="str">
        <f>HYPERLINK("http://www.twitter.com/rachel_scott13", "rachel_scott13")</f>
        <v>rachel_scott13</v>
      </c>
      <c r="B28724" s="65" t="s">
        <v>232</v>
      </c>
    </row>
    <row r="28725" spans="1:2" x14ac:dyDescent="0.25">
      <c r="A28725" s="64" t="str">
        <f>HYPERLINK("http://www.twitter.com/Geewhizzo", "Geewhizzo")</f>
        <v>Geewhizzo</v>
      </c>
      <c r="B28725" s="65"/>
    </row>
    <row r="28726" spans="1:2" x14ac:dyDescent="0.25">
      <c r="A28726" s="64" t="str">
        <f>HYPERLINK("http://www.twitter.com/clsmailbox", "clsmailbox")</f>
        <v>clsmailbox</v>
      </c>
      <c r="B28726" s="65" t="s">
        <v>296</v>
      </c>
    </row>
    <row r="28727" spans="1:2" x14ac:dyDescent="0.25">
      <c r="A28727" s="64" t="str">
        <f>HYPERLINK("http://www.twitter.com/StarBooksUK", "StarBooksUK")</f>
        <v>StarBooksUK</v>
      </c>
      <c r="B28727" s="65" t="s">
        <v>520</v>
      </c>
    </row>
    <row r="28728" spans="1:2" x14ac:dyDescent="0.25">
      <c r="A28728" s="64" t="str">
        <f>HYPERLINK("http://www.twitter.com/TheFoxgloveTrio", "TheFoxgloveTrio")</f>
        <v>TheFoxgloveTrio</v>
      </c>
      <c r="B28728" s="65" t="s">
        <v>11882</v>
      </c>
    </row>
    <row r="28729" spans="1:2" x14ac:dyDescent="0.25">
      <c r="A28729" s="64" t="str">
        <f>HYPERLINK("http://www.twitter.com/FransiscaDecca", "FransiscaDecca")</f>
        <v>FransiscaDecca</v>
      </c>
      <c r="B28729" s="65" t="s">
        <v>4369</v>
      </c>
    </row>
    <row r="28730" spans="1:2" x14ac:dyDescent="0.25">
      <c r="A28730" s="64" t="str">
        <f>HYPERLINK("http://www.twitter.com/VeronicaBritta", "VeronicaBritta")</f>
        <v>VeronicaBritta</v>
      </c>
      <c r="B28730" s="65" t="s">
        <v>4039</v>
      </c>
    </row>
    <row r="28731" spans="1:2" x14ac:dyDescent="0.25">
      <c r="A28731" s="64" t="str">
        <f>HYPERLINK("http://www.twitter.com/AshteadLibrary", "AshteadLibrary")</f>
        <v>AshteadLibrary</v>
      </c>
      <c r="B28731" s="65" t="s">
        <v>1391</v>
      </c>
    </row>
    <row r="28732" spans="1:2" x14ac:dyDescent="0.25">
      <c r="A28732" s="64" t="str">
        <f>HYPERLINK("http://www.twitter.com/micneu1", "micneu1")</f>
        <v>micneu1</v>
      </c>
      <c r="B28732" s="65" t="s">
        <v>11931</v>
      </c>
    </row>
    <row r="28733" spans="1:2" x14ac:dyDescent="0.25">
      <c r="A28733" s="64" t="str">
        <f>HYPERLINK("http://www.twitter.com/EmuInk", "EmuInk")</f>
        <v>EmuInk</v>
      </c>
      <c r="B28733" s="65"/>
    </row>
    <row r="28734" spans="1:2" x14ac:dyDescent="0.25">
      <c r="A28734" s="64" t="str">
        <f>HYPERLINK("http://www.twitter.com/Business_Stream", "Business_Stream")</f>
        <v>Business_Stream</v>
      </c>
      <c r="B28734" s="65" t="s">
        <v>11932</v>
      </c>
    </row>
    <row r="28735" spans="1:2" x14ac:dyDescent="0.25">
      <c r="A28735" s="64" t="str">
        <f>HYPERLINK("http://www.twitter.com/SeasideReader", "SeasideReader")</f>
        <v>SeasideReader</v>
      </c>
      <c r="B28735" s="65"/>
    </row>
    <row r="28736" spans="1:2" x14ac:dyDescent="0.25">
      <c r="A28736" s="64" t="str">
        <f>HYPERLINK("http://www.twitter.com/Cal444", "Cal444")</f>
        <v>Cal444</v>
      </c>
      <c r="B28736" s="65" t="s">
        <v>517</v>
      </c>
    </row>
    <row r="28737" spans="1:2" x14ac:dyDescent="0.25">
      <c r="A28737" s="64" t="str">
        <f>HYPERLINK("http://www.twitter.com/MappingMetaphor", "MappingMetaphor")</f>
        <v>MappingMetaphor</v>
      </c>
      <c r="B28737" s="65" t="s">
        <v>6279</v>
      </c>
    </row>
    <row r="28738" spans="1:2" x14ac:dyDescent="0.25">
      <c r="A28738" s="64" t="str">
        <f>HYPERLINK("http://www.twitter.com/TextileWH", "TextileWH")</f>
        <v>TextileWH</v>
      </c>
      <c r="B28738" s="65"/>
    </row>
    <row r="28739" spans="1:2" x14ac:dyDescent="0.25">
      <c r="A28739" s="64" t="str">
        <f>HYPERLINK("http://www.twitter.com/nemoloris", "nemoloris")</f>
        <v>nemoloris</v>
      </c>
      <c r="B28739" s="65"/>
    </row>
    <row r="28740" spans="1:2" x14ac:dyDescent="0.25">
      <c r="A28740" s="64" t="str">
        <f>HYPERLINK("http://www.twitter.com/jeanniewatters", "jeanniewatters")</f>
        <v>jeanniewatters</v>
      </c>
      <c r="B28740" s="65"/>
    </row>
    <row r="28741" spans="1:2" x14ac:dyDescent="0.25">
      <c r="A28741" s="64" t="str">
        <f>HYPERLINK("http://www.twitter.com/DIFP_RIA", "DIFP_RIA")</f>
        <v>DIFP_RIA</v>
      </c>
      <c r="B28741" s="65" t="s">
        <v>4254</v>
      </c>
    </row>
    <row r="28742" spans="1:2" x14ac:dyDescent="0.25">
      <c r="A28742" s="64" t="str">
        <f>HYPERLINK("http://www.twitter.com/AileenDuffy1", "AileenDuffy1")</f>
        <v>AileenDuffy1</v>
      </c>
      <c r="B28742" s="65" t="s">
        <v>517</v>
      </c>
    </row>
    <row r="28743" spans="1:2" x14ac:dyDescent="0.25">
      <c r="A28743" s="64" t="str">
        <f>HYPERLINK("http://www.twitter.com/librariankirst", "librariankirst")</f>
        <v>librariankirst</v>
      </c>
      <c r="B28743" s="65" t="s">
        <v>2007</v>
      </c>
    </row>
    <row r="28744" spans="1:2" x14ac:dyDescent="0.25">
      <c r="A28744" s="64" t="str">
        <f>HYPERLINK("http://www.twitter.com/AlysWestYork", "AlysWestYork")</f>
        <v>AlysWestYork</v>
      </c>
      <c r="B28744" s="65" t="s">
        <v>346</v>
      </c>
    </row>
    <row r="28745" spans="1:2" x14ac:dyDescent="0.25">
      <c r="A28745" s="64" t="str">
        <f>HYPERLINK("http://www.twitter.com/bronwenprince", "bronwenprince")</f>
        <v>bronwenprince</v>
      </c>
      <c r="B28745" s="65"/>
    </row>
    <row r="28746" spans="1:2" x14ac:dyDescent="0.25">
      <c r="A28746" s="64" t="str">
        <f>HYPERLINK("http://www.twitter.com/atarbuck", "atarbuck")</f>
        <v>atarbuck</v>
      </c>
      <c r="B28746" s="65" t="s">
        <v>24</v>
      </c>
    </row>
    <row r="28747" spans="1:2" x14ac:dyDescent="0.25">
      <c r="A28747" s="64" t="str">
        <f>HYPERLINK("http://www.twitter.com/slp74", "slp74")</f>
        <v>slp74</v>
      </c>
      <c r="B28747" s="65"/>
    </row>
    <row r="28748" spans="1:2" x14ac:dyDescent="0.25">
      <c r="A28748" s="64" t="str">
        <f>HYPERLINK("http://www.twitter.com/AndersenPress", "AndersenPress")</f>
        <v>AndersenPress</v>
      </c>
      <c r="B28748" s="65" t="s">
        <v>36</v>
      </c>
    </row>
    <row r="28749" spans="1:2" x14ac:dyDescent="0.25">
      <c r="A28749" s="64" t="str">
        <f>HYPERLINK("http://www.twitter.com/DannyConnew", "DannyConnew")</f>
        <v>DannyConnew</v>
      </c>
      <c r="B28749" s="65" t="s">
        <v>36</v>
      </c>
    </row>
    <row r="28750" spans="1:2" x14ac:dyDescent="0.25">
      <c r="A28750" s="64" t="str">
        <f>HYPERLINK("http://www.twitter.com/jeorrettp", "jeorrettp")</f>
        <v>jeorrettp</v>
      </c>
      <c r="B28750" s="65" t="s">
        <v>11933</v>
      </c>
    </row>
    <row r="28751" spans="1:2" x14ac:dyDescent="0.25">
      <c r="A28751" s="64" t="str">
        <f>HYPERLINK("http://www.twitter.com/SMLibrary", "SMLibrary")</f>
        <v>SMLibrary</v>
      </c>
      <c r="B28751" s="65" t="s">
        <v>11934</v>
      </c>
    </row>
    <row r="28752" spans="1:2" x14ac:dyDescent="0.25">
      <c r="A28752" s="64" t="str">
        <f>HYPERLINK("http://www.twitter.com/BookswarmBark", "BookswarmBark")</f>
        <v>BookswarmBark</v>
      </c>
      <c r="B28752" s="65" t="s">
        <v>11935</v>
      </c>
    </row>
    <row r="28753" spans="1:2" x14ac:dyDescent="0.25">
      <c r="A28753" s="64" t="str">
        <f>HYPERLINK("http://www.twitter.com/leylahorse", "leylahorse")</f>
        <v>leylahorse</v>
      </c>
      <c r="B28753" s="65"/>
    </row>
    <row r="28754" spans="1:2" x14ac:dyDescent="0.25">
      <c r="A28754" s="64" t="str">
        <f>HYPERLINK("http://www.twitter.com/BritishSignBSL", "BritishSignBSL")</f>
        <v>BritishSignBSL</v>
      </c>
      <c r="B28754" s="65"/>
    </row>
    <row r="28755" spans="1:2" x14ac:dyDescent="0.25">
      <c r="A28755" s="64" t="str">
        <f>HYPERLINK("http://www.twitter.com/Gemma_Angel", "Gemma_Angel")</f>
        <v>Gemma_Angel</v>
      </c>
      <c r="B28755" s="65" t="s">
        <v>11936</v>
      </c>
    </row>
    <row r="28756" spans="1:2" x14ac:dyDescent="0.25">
      <c r="A28756" s="64" t="str">
        <f>HYPERLINK("http://www.twitter.com/JudgeInfo", "JudgeInfo")</f>
        <v>JudgeInfo</v>
      </c>
      <c r="B28756" s="65"/>
    </row>
    <row r="28757" spans="1:2" x14ac:dyDescent="0.25">
      <c r="A28757" s="64" t="str">
        <f>HYPERLINK("http://www.twitter.com/OrkStarIsleSoap", "OrkStarIsleSoap")</f>
        <v>OrkStarIsleSoap</v>
      </c>
      <c r="B28757" s="65" t="s">
        <v>11697</v>
      </c>
    </row>
    <row r="28758" spans="1:2" x14ac:dyDescent="0.25">
      <c r="A28758" s="64" t="str">
        <f>HYPERLINK("http://www.twitter.com/KidsBloomsbury", "KidsBloomsbury")</f>
        <v>KidsBloomsbury</v>
      </c>
      <c r="B28758" s="65"/>
    </row>
    <row r="28759" spans="1:2" x14ac:dyDescent="0.25">
      <c r="A28759" s="64" t="str">
        <f>HYPERLINK("http://www.twitter.com/jheaslip", "jheaslip")</f>
        <v>jheaslip</v>
      </c>
      <c r="B28759" s="65"/>
    </row>
    <row r="28760" spans="1:2" x14ac:dyDescent="0.25">
      <c r="A28760" s="64" t="str">
        <f>HYPERLINK("http://www.twitter.com/NeathLibrary", "NeathLibrary")</f>
        <v>NeathLibrary</v>
      </c>
      <c r="B28760" s="65" t="s">
        <v>1356</v>
      </c>
    </row>
    <row r="28761" spans="1:2" x14ac:dyDescent="0.25">
      <c r="A28761" s="64" t="str">
        <f>HYPERLINK("http://www.twitter.com/care4books", "care4books")</f>
        <v>care4books</v>
      </c>
      <c r="B28761" s="65" t="s">
        <v>11937</v>
      </c>
    </row>
    <row r="28762" spans="1:2" x14ac:dyDescent="0.25">
      <c r="A28762" s="64" t="str">
        <f>HYPERLINK("http://www.twitter.com/fifefhs", "fifefhs")</f>
        <v>fifefhs</v>
      </c>
      <c r="B28762" s="65" t="s">
        <v>11938</v>
      </c>
    </row>
    <row r="28763" spans="1:2" x14ac:dyDescent="0.25">
      <c r="A28763" s="64" t="str">
        <f>HYPERLINK("http://www.twitter.com/derbymuseums", "derbymuseums")</f>
        <v>derbymuseums</v>
      </c>
      <c r="B28763" s="65" t="s">
        <v>2997</v>
      </c>
    </row>
    <row r="28764" spans="1:2" x14ac:dyDescent="0.25">
      <c r="A28764" s="64" t="str">
        <f>HYPERLINK("http://www.twitter.com/menzies_md", "menzies_md")</f>
        <v>menzies_md</v>
      </c>
      <c r="B28764" s="65"/>
    </row>
    <row r="28765" spans="1:2" x14ac:dyDescent="0.25">
      <c r="A28765" s="64" t="str">
        <f>HYPERLINK("http://www.twitter.com/KateMadigan1", "KateMadigan1")</f>
        <v>KateMadigan1</v>
      </c>
      <c r="B28765" s="65" t="s">
        <v>505</v>
      </c>
    </row>
    <row r="28766" spans="1:2" x14ac:dyDescent="0.25">
      <c r="A28766" s="64" t="str">
        <f>HYPERLINK("http://www.twitter.com/GetBirlin", "GetBirlin")</f>
        <v>GetBirlin</v>
      </c>
      <c r="B28766" s="65" t="s">
        <v>808</v>
      </c>
    </row>
    <row r="28767" spans="1:2" x14ac:dyDescent="0.25">
      <c r="A28767" s="64" t="str">
        <f>HYPERLINK("http://www.twitter.com/alex_peedieal", "alex_peedieal")</f>
        <v>alex_peedieal</v>
      </c>
      <c r="B28767" s="65"/>
    </row>
    <row r="28768" spans="1:2" x14ac:dyDescent="0.25">
      <c r="A28768" s="64" t="str">
        <f>HYPERLINK("http://www.twitter.com/imogenmarcus", "imogenmarcus")</f>
        <v>imogenmarcus</v>
      </c>
      <c r="B28768" s="65" t="s">
        <v>2864</v>
      </c>
    </row>
    <row r="28769" spans="1:2" x14ac:dyDescent="0.25">
      <c r="A28769" s="64" t="str">
        <f>HYPERLINK("http://www.twitter.com/stvdavidc", "stvdavidc")</f>
        <v>stvdavidc</v>
      </c>
      <c r="B28769" s="65"/>
    </row>
    <row r="28770" spans="1:2" x14ac:dyDescent="0.25">
      <c r="A28770" s="64" t="str">
        <f>HYPERLINK("http://www.twitter.com/MorganeLeFay", "MorganeLeFay")</f>
        <v>MorganeLeFay</v>
      </c>
      <c r="B28770" s="65" t="s">
        <v>5059</v>
      </c>
    </row>
    <row r="28771" spans="1:2" x14ac:dyDescent="0.25">
      <c r="A28771" s="64" t="str">
        <f>HYPERLINK("http://www.twitter.com/moonset1968", "moonset1968")</f>
        <v>moonset1968</v>
      </c>
      <c r="B28771" s="65"/>
    </row>
    <row r="28772" spans="1:2" x14ac:dyDescent="0.25">
      <c r="A28772" s="64" t="str">
        <f>HYPERLINK("http://www.twitter.com/maidenorkney", "maidenorkney")</f>
        <v>maidenorkney</v>
      </c>
      <c r="B28772" s="65"/>
    </row>
    <row r="28773" spans="1:2" x14ac:dyDescent="0.25">
      <c r="A28773" s="64" t="str">
        <f>HYPERLINK("http://www.twitter.com/cliftonlibrary", "cliftonlibrary")</f>
        <v>cliftonlibrary</v>
      </c>
      <c r="B28773" s="65"/>
    </row>
    <row r="28774" spans="1:2" x14ac:dyDescent="0.25">
      <c r="A28774" s="64" t="str">
        <f>HYPERLINK("http://www.twitter.com/LSatNUL", "LSatNUL")</f>
        <v>LSatNUL</v>
      </c>
      <c r="B28774" s="65"/>
    </row>
    <row r="28775" spans="1:2" x14ac:dyDescent="0.25">
      <c r="A28775" s="64" t="str">
        <f>HYPERLINK("http://www.twitter.com/KNL_MIRC", "KNL_MIRC")</f>
        <v>KNL_MIRC</v>
      </c>
      <c r="B28775" s="65" t="s">
        <v>1371</v>
      </c>
    </row>
    <row r="28776" spans="1:2" x14ac:dyDescent="0.25">
      <c r="A28776" s="64" t="str">
        <f>HYPERLINK("http://www.twitter.com/StudioShopOrk", "StudioShopOrk")</f>
        <v>StudioShopOrk</v>
      </c>
      <c r="B28776" s="65" t="s">
        <v>4227</v>
      </c>
    </row>
    <row r="28777" spans="1:2" x14ac:dyDescent="0.25">
      <c r="A28777" s="64" t="str">
        <f>HYPERLINK("http://www.twitter.com/UGrndBookClub", "UGrndBookClub")</f>
        <v>UGrndBookClub</v>
      </c>
      <c r="B28777" s="65" t="s">
        <v>477</v>
      </c>
    </row>
    <row r="28778" spans="1:2" x14ac:dyDescent="0.25">
      <c r="A28778" s="64" t="str">
        <f>HYPERLINK("http://www.twitter.com/gaynor_1975", "gaynor_1975")</f>
        <v>gaynor_1975</v>
      </c>
      <c r="B28778" s="65" t="s">
        <v>11939</v>
      </c>
    </row>
    <row r="28779" spans="1:2" x14ac:dyDescent="0.25">
      <c r="A28779" s="64" t="str">
        <f>HYPERLINK("http://www.twitter.com/W2000K", "W2000K")</f>
        <v>W2000K</v>
      </c>
      <c r="B28779" s="65" t="s">
        <v>11940</v>
      </c>
    </row>
    <row r="28780" spans="1:2" x14ac:dyDescent="0.25">
      <c r="A28780" s="64" t="str">
        <f>HYPERLINK("http://www.twitter.com/mad_assis", "mad_assis")</f>
        <v>mad_assis</v>
      </c>
      <c r="B28780" s="65" t="s">
        <v>6027</v>
      </c>
    </row>
    <row r="28781" spans="1:2" x14ac:dyDescent="0.25">
      <c r="A28781" s="64" t="str">
        <f>HYPERLINK("http://www.twitter.com/LittleToller", "LittleToller")</f>
        <v>LittleToller</v>
      </c>
      <c r="B28781" s="65"/>
    </row>
    <row r="28782" spans="1:2" x14ac:dyDescent="0.25">
      <c r="A28782" s="64" t="str">
        <f>HYPERLINK("http://www.twitter.com/HootsmaRoots", "HootsmaRoots")</f>
        <v>HootsmaRoots</v>
      </c>
      <c r="B28782" s="65" t="s">
        <v>24</v>
      </c>
    </row>
    <row r="28783" spans="1:2" x14ac:dyDescent="0.25">
      <c r="A28783" s="64" t="str">
        <f>HYPERLINK("http://www.twitter.com/SarahWork_", "SarahWork_")</f>
        <v>SarahWork_</v>
      </c>
      <c r="B28783" s="65" t="s">
        <v>11941</v>
      </c>
    </row>
    <row r="28784" spans="1:2" x14ac:dyDescent="0.25">
      <c r="A28784" s="64" t="str">
        <f>HYPERLINK("http://www.twitter.com/Fi_Laird", "Fi_Laird")</f>
        <v>Fi_Laird</v>
      </c>
      <c r="B28784" s="65" t="s">
        <v>138</v>
      </c>
    </row>
    <row r="28785" spans="1:2" x14ac:dyDescent="0.25">
      <c r="A28785" s="64" t="str">
        <f>HYPERLINK("http://www.twitter.com/ScotsAncestry", "ScotsAncestry")</f>
        <v>ScotsAncestry</v>
      </c>
      <c r="B28785" s="65" t="s">
        <v>487</v>
      </c>
    </row>
    <row r="28786" spans="1:2" x14ac:dyDescent="0.25">
      <c r="A28786" s="64" t="str">
        <f>HYPERLINK("http://www.twitter.com/barmygirl", "barmygirl")</f>
        <v>barmygirl</v>
      </c>
      <c r="B28786" s="65" t="s">
        <v>11517</v>
      </c>
    </row>
    <row r="28787" spans="1:2" x14ac:dyDescent="0.25">
      <c r="A28787" s="64" t="str">
        <f>HYPERLINK("http://www.twitter.com/smitc1987", "smitc1987")</f>
        <v>smitc1987</v>
      </c>
      <c r="B28787" s="65"/>
    </row>
    <row r="28788" spans="1:2" x14ac:dyDescent="0.25">
      <c r="A28788" s="64" t="str">
        <f>HYPERLINK("http://www.twitter.com/ClarkeBallina", "ClarkeBallina")</f>
        <v>ClarkeBallina</v>
      </c>
      <c r="B28788" s="65" t="s">
        <v>11942</v>
      </c>
    </row>
    <row r="28789" spans="1:2" x14ac:dyDescent="0.25">
      <c r="A28789" s="64" t="str">
        <f>HYPERLINK("http://www.twitter.com/scotlandsplaces", "scotlandsplaces")</f>
        <v>scotlandsplaces</v>
      </c>
      <c r="B28789" s="65" t="s">
        <v>487</v>
      </c>
    </row>
    <row r="28790" spans="1:2" x14ac:dyDescent="0.25">
      <c r="A28790" s="64" t="str">
        <f>HYPERLINK("http://www.twitter.com/BrokenBlondeTV", "BrokenBlondeTV")</f>
        <v>BrokenBlondeTV</v>
      </c>
      <c r="B28790" s="65"/>
    </row>
    <row r="28791" spans="1:2" x14ac:dyDescent="0.25">
      <c r="A28791" s="64" t="str">
        <f>HYPERLINK("http://www.twitter.com/CatherineMann_", "CatherineMann_")</f>
        <v>CatherineMann_</v>
      </c>
      <c r="B28791" s="65"/>
    </row>
    <row r="28792" spans="1:2" x14ac:dyDescent="0.25">
      <c r="A28792" s="64" t="str">
        <f>HYPERLINK("http://www.twitter.com/spoonerism", "spoonerism")</f>
        <v>spoonerism</v>
      </c>
      <c r="B28792" s="65" t="s">
        <v>11943</v>
      </c>
    </row>
    <row r="28793" spans="1:2" x14ac:dyDescent="0.25">
      <c r="A28793" s="64" t="str">
        <f>HYPERLINK("http://www.twitter.com/RichardNeston80", "RichardNeston80")</f>
        <v>RichardNeston80</v>
      </c>
      <c r="B28793" s="65"/>
    </row>
    <row r="28794" spans="1:2" x14ac:dyDescent="0.25">
      <c r="A28794" s="64" t="str">
        <f>HYPERLINK("http://www.twitter.com/Queenofthequorn", "Queenofthequorn")</f>
        <v>Queenofthequorn</v>
      </c>
      <c r="B28794" s="65" t="s">
        <v>517</v>
      </c>
    </row>
    <row r="28795" spans="1:2" x14ac:dyDescent="0.25">
      <c r="A28795" s="64" t="str">
        <f>HYPERLINK("http://www.twitter.com/shazzza7", "shazzza7")</f>
        <v>shazzza7</v>
      </c>
      <c r="B28795" s="65"/>
    </row>
    <row r="28796" spans="1:2" x14ac:dyDescent="0.25">
      <c r="A28796" s="64" t="str">
        <f>HYPERLINK("http://www.twitter.com/massey_susie", "massey_susie")</f>
        <v>massey_susie</v>
      </c>
      <c r="B28796" s="65" t="s">
        <v>11944</v>
      </c>
    </row>
    <row r="28797" spans="1:2" x14ac:dyDescent="0.25">
      <c r="A28797" s="64" t="str">
        <f>HYPERLINK("http://www.twitter.com/NataliaBain", "NataliaBain")</f>
        <v>NataliaBain</v>
      </c>
      <c r="B28797" s="65" t="s">
        <v>517</v>
      </c>
    </row>
    <row r="28798" spans="1:2" x14ac:dyDescent="0.25">
      <c r="A28798" s="64" t="str">
        <f>HYPERLINK("http://www.twitter.com/StanwellLibrary", "StanwellLibrary")</f>
        <v>StanwellLibrary</v>
      </c>
      <c r="B28798" s="65" t="s">
        <v>2020</v>
      </c>
    </row>
    <row r="28799" spans="1:2" x14ac:dyDescent="0.25">
      <c r="A28799" s="64" t="str">
        <f>HYPERLINK("http://www.twitter.com/VictimPatrol", "VictimPatrol")</f>
        <v>VictimPatrol</v>
      </c>
      <c r="B28799" s="65" t="s">
        <v>11945</v>
      </c>
    </row>
    <row r="28800" spans="1:2" x14ac:dyDescent="0.25">
      <c r="A28800" s="64" t="str">
        <f>HYPERLINK("http://www.twitter.com/CuriousFoxBooks", "CuriousFoxBooks")</f>
        <v>CuriousFoxBooks</v>
      </c>
      <c r="B28800" s="65" t="s">
        <v>505</v>
      </c>
    </row>
    <row r="28801" spans="1:2" x14ac:dyDescent="0.25">
      <c r="A28801" s="64" t="str">
        <f>HYPERLINK("http://www.twitter.com/RachelWestworth", "RachelWestworth")</f>
        <v>RachelWestworth</v>
      </c>
      <c r="B28801" s="65" t="s">
        <v>1980</v>
      </c>
    </row>
    <row r="28802" spans="1:2" x14ac:dyDescent="0.25">
      <c r="A28802" s="64" t="str">
        <f>HYPERLINK("http://www.twitter.com/alisonwiggins", "alisonwiggins")</f>
        <v>alisonwiggins</v>
      </c>
      <c r="B28802" s="65"/>
    </row>
    <row r="28803" spans="1:2" x14ac:dyDescent="0.25">
      <c r="A28803" s="64" t="str">
        <f>HYPERLINK("http://www.twitter.com/millermafia87", "millermafia87")</f>
        <v>millermafia87</v>
      </c>
      <c r="B28803" s="65"/>
    </row>
    <row r="28804" spans="1:2" x14ac:dyDescent="0.25">
      <c r="A28804" s="64" t="str">
        <f>HYPERLINK("http://www.twitter.com/RedhillLibrary", "RedhillLibrary")</f>
        <v>RedhillLibrary</v>
      </c>
      <c r="B28804" s="65" t="s">
        <v>947</v>
      </c>
    </row>
    <row r="28805" spans="1:2" x14ac:dyDescent="0.25">
      <c r="A28805" s="64" t="str">
        <f>HYPERLINK("http://www.twitter.com/FestivalofArch", "FestivalofArch")</f>
        <v>FestivalofArch</v>
      </c>
      <c r="B28805" s="65" t="s">
        <v>11946</v>
      </c>
    </row>
    <row r="28806" spans="1:2" x14ac:dyDescent="0.25">
      <c r="A28806" s="64" t="str">
        <f>HYPERLINK("http://www.twitter.com/coolboycasanova", "coolboycasanova")</f>
        <v>coolboycasanova</v>
      </c>
      <c r="B28806" s="65"/>
    </row>
    <row r="28807" spans="1:2" x14ac:dyDescent="0.25">
      <c r="A28807" s="64" t="str">
        <f>HYPERLINK("http://www.twitter.com/FrimleyGreenLib", "FrimleyGreenLib")</f>
        <v>FrimleyGreenLib</v>
      </c>
      <c r="B28807" s="65" t="s">
        <v>1814</v>
      </c>
    </row>
    <row r="28808" spans="1:2" x14ac:dyDescent="0.25">
      <c r="A28808" s="64" t="str">
        <f>HYPERLINK("http://www.twitter.com/Arcasullago", "Arcasullago")</f>
        <v>Arcasullago</v>
      </c>
      <c r="B28808" s="65" t="s">
        <v>11947</v>
      </c>
    </row>
    <row r="28809" spans="1:2" x14ac:dyDescent="0.25">
      <c r="A28809" s="64" t="str">
        <f>HYPERLINK("http://www.twitter.com/karen_gibbins", "karen_gibbins")</f>
        <v>karen_gibbins</v>
      </c>
      <c r="B28809" s="65" t="s">
        <v>70</v>
      </c>
    </row>
    <row r="28810" spans="1:2" x14ac:dyDescent="0.25">
      <c r="A28810" s="64" t="str">
        <f>HYPERLINK("http://www.twitter.com/OxtedLibrary", "OxtedLibrary")</f>
        <v>OxtedLibrary</v>
      </c>
      <c r="B28810" s="65" t="s">
        <v>1138</v>
      </c>
    </row>
    <row r="28811" spans="1:2" x14ac:dyDescent="0.25">
      <c r="A28811" s="64" t="str">
        <f>HYPERLINK("http://www.twitter.com/FarnhamLibrary", "FarnhamLibrary")</f>
        <v>FarnhamLibrary</v>
      </c>
      <c r="B28811" s="65" t="s">
        <v>912</v>
      </c>
    </row>
    <row r="28812" spans="1:2" x14ac:dyDescent="0.25">
      <c r="A28812" s="64" t="str">
        <f>HYPERLINK("http://www.twitter.com/CrazycatJane", "CrazycatJane")</f>
        <v>CrazycatJane</v>
      </c>
      <c r="B28812" s="65" t="s">
        <v>11948</v>
      </c>
    </row>
    <row r="28813" spans="1:2" x14ac:dyDescent="0.25">
      <c r="A28813" s="64" t="str">
        <f>HYPERLINK("http://www.twitter.com/vickiw54", "vickiw54")</f>
        <v>vickiw54</v>
      </c>
      <c r="B28813" s="65" t="s">
        <v>11949</v>
      </c>
    </row>
    <row r="28814" spans="1:2" x14ac:dyDescent="0.25">
      <c r="A28814" s="64" t="str">
        <f>HYPERLINK("http://www.twitter.com/SDMPicDesk", "SDMPicDesk")</f>
        <v>SDMPicDesk</v>
      </c>
      <c r="B28814" s="65" t="s">
        <v>5428</v>
      </c>
    </row>
    <row r="28815" spans="1:2" x14ac:dyDescent="0.25">
      <c r="A28815" s="64" t="str">
        <f>HYPERLINK("http://www.twitter.com/johnnypict", "johnnypict")</f>
        <v>johnnypict</v>
      </c>
      <c r="B28815" s="65" t="s">
        <v>517</v>
      </c>
    </row>
    <row r="28816" spans="1:2" x14ac:dyDescent="0.25">
      <c r="A28816" s="64" t="str">
        <f>HYPERLINK("http://www.twitter.com/CoastWordFest", "CoastWordFest")</f>
        <v>CoastWordFest</v>
      </c>
      <c r="B28816" s="65" t="s">
        <v>11950</v>
      </c>
    </row>
    <row r="28817" spans="1:2" x14ac:dyDescent="0.25">
      <c r="A28817" s="64" t="str">
        <f>HYPERLINK("http://www.twitter.com/OldScottishGen", "OldScottishGen")</f>
        <v>OldScottishGen</v>
      </c>
      <c r="B28817" s="65"/>
    </row>
    <row r="28818" spans="1:2" x14ac:dyDescent="0.25">
      <c r="A28818" s="64" t="str">
        <f>HYPERLINK("http://www.twitter.com/ErikaMill9", "ErikaMill9")</f>
        <v>ErikaMill9</v>
      </c>
      <c r="B28818" s="65"/>
    </row>
    <row r="28819" spans="1:2" x14ac:dyDescent="0.25">
      <c r="A28819" s="64" t="str">
        <f>HYPERLINK("http://www.twitter.com/DiarmidLambert", "DiarmidLambert")</f>
        <v>DiarmidLambert</v>
      </c>
      <c r="B28819" s="65"/>
    </row>
    <row r="28820" spans="1:2" x14ac:dyDescent="0.25">
      <c r="A28820" s="64" t="str">
        <f>HYPERLINK("http://www.twitter.com/alison_plummer", "alison_plummer")</f>
        <v>alison_plummer</v>
      </c>
      <c r="B28820" s="65" t="s">
        <v>11951</v>
      </c>
    </row>
    <row r="28821" spans="1:2" x14ac:dyDescent="0.25">
      <c r="A28821" s="64" t="str">
        <f>HYPERLINK("http://www.twitter.com/OrkneyTogether", "OrkneyTogether")</f>
        <v>OrkneyTogether</v>
      </c>
      <c r="B28821" s="65" t="s">
        <v>20</v>
      </c>
    </row>
    <row r="28822" spans="1:2" x14ac:dyDescent="0.25">
      <c r="A28822" s="64" t="str">
        <f>HYPERLINK("http://www.twitter.com/kirstijareg", "kirstijareg")</f>
        <v>kirstijareg</v>
      </c>
      <c r="B28822" s="65" t="s">
        <v>4274</v>
      </c>
    </row>
    <row r="28823" spans="1:2" x14ac:dyDescent="0.25">
      <c r="A28823" s="64" t="str">
        <f>HYPERLINK("http://www.twitter.com/KylieGrant1", "KylieGrant1")</f>
        <v>KylieGrant1</v>
      </c>
      <c r="B28823" s="65" t="s">
        <v>138</v>
      </c>
    </row>
    <row r="28824" spans="1:2" x14ac:dyDescent="0.25">
      <c r="A28824" s="64" t="str">
        <f>HYPERLINK("http://www.twitter.com/LISJOBNET", "LISJOBNET")</f>
        <v>LISJOBNET</v>
      </c>
      <c r="B28824" s="65" t="s">
        <v>110</v>
      </c>
    </row>
    <row r="28825" spans="1:2" x14ac:dyDescent="0.25">
      <c r="A28825" s="64" t="str">
        <f>HYPERLINK("http://www.twitter.com/HelenHayes86", "HelenHayes86")</f>
        <v>HelenHayes86</v>
      </c>
      <c r="B28825" s="65" t="s">
        <v>4227</v>
      </c>
    </row>
    <row r="28826" spans="1:2" x14ac:dyDescent="0.25">
      <c r="A28826" s="64" t="str">
        <f>HYPERLINK("http://www.twitter.com/libraries4us", "libraries4us")</f>
        <v>libraries4us</v>
      </c>
      <c r="B28826" s="65"/>
    </row>
    <row r="28827" spans="1:2" x14ac:dyDescent="0.25">
      <c r="A28827" s="64" t="str">
        <f>HYPERLINK("http://www.twitter.com/dazbeatson", "dazbeatson")</f>
        <v>dazbeatson</v>
      </c>
      <c r="B28827" s="65" t="s">
        <v>11952</v>
      </c>
    </row>
    <row r="28828" spans="1:2" x14ac:dyDescent="0.25">
      <c r="A28828" s="64" t="str">
        <f>HYPERLINK("http://www.twitter.com/Dylan_Pepper", "Dylan_Pepper")</f>
        <v>Dylan_Pepper</v>
      </c>
      <c r="B28828" s="65"/>
    </row>
    <row r="28829" spans="1:2" x14ac:dyDescent="0.25">
      <c r="A28829" s="64" t="str">
        <f>HYPERLINK("http://www.twitter.com/MMS_Publishing", "MMS_Publishing")</f>
        <v>MMS_Publishing</v>
      </c>
      <c r="B28829" s="65" t="s">
        <v>36</v>
      </c>
    </row>
    <row r="28830" spans="1:2" x14ac:dyDescent="0.25">
      <c r="A28830" s="64" t="str">
        <f>HYPERLINK("http://www.twitter.com/RuthDugdall", "RuthDugdall")</f>
        <v>RuthDugdall</v>
      </c>
      <c r="B28830" s="65" t="s">
        <v>8364</v>
      </c>
    </row>
    <row r="28831" spans="1:2" x14ac:dyDescent="0.25">
      <c r="A28831" s="64" t="str">
        <f>HYPERLINK("http://www.twitter.com/MillenniumLib", "MillenniumLib")</f>
        <v>MillenniumLib</v>
      </c>
      <c r="B28831" s="65" t="s">
        <v>566</v>
      </c>
    </row>
    <row r="28832" spans="1:2" x14ac:dyDescent="0.25">
      <c r="A28832" s="64" t="str">
        <f>HYPERLINK("http://www.twitter.com/CHOICENEWBOOKS", "CHOICENEWBOOKS")</f>
        <v>CHOICENEWBOOKS</v>
      </c>
      <c r="B28832" s="65"/>
    </row>
    <row r="28833" spans="1:2" x14ac:dyDescent="0.25">
      <c r="A28833" s="64" t="str">
        <f>HYPERLINK("http://www.twitter.com/BevBrining", "BevBrining")</f>
        <v>BevBrining</v>
      </c>
      <c r="B28833" s="65" t="s">
        <v>180</v>
      </c>
    </row>
    <row r="28834" spans="1:2" x14ac:dyDescent="0.25">
      <c r="A28834" s="64" t="str">
        <f>HYPERLINK("http://www.twitter.com/Historylabplus", "Historylabplus")</f>
        <v>Historylabplus</v>
      </c>
      <c r="B28834" s="65" t="s">
        <v>11953</v>
      </c>
    </row>
    <row r="28835" spans="1:2" x14ac:dyDescent="0.25">
      <c r="A28835" s="64" t="str">
        <f>HYPERLINK("http://www.twitter.com/alisonium", "alisonium")</f>
        <v>alisonium</v>
      </c>
      <c r="B28835" s="65"/>
    </row>
    <row r="28836" spans="1:2" x14ac:dyDescent="0.25">
      <c r="A28836" s="64" t="str">
        <f>HYPERLINK("http://www.twitter.com/UoBLibServices", "UoBLibServices")</f>
        <v>UoBLibServices</v>
      </c>
      <c r="B28836" s="65" t="s">
        <v>532</v>
      </c>
    </row>
    <row r="28837" spans="1:2" x14ac:dyDescent="0.25">
      <c r="A28837" s="64" t="str">
        <f>HYPERLINK("http://www.twitter.com/bob_maclean", "bob_maclean")</f>
        <v>bob_maclean</v>
      </c>
      <c r="B28837" s="65" t="s">
        <v>138</v>
      </c>
    </row>
    <row r="28838" spans="1:2" x14ac:dyDescent="0.25">
      <c r="A28838" s="64" t="str">
        <f>HYPERLINK("http://www.twitter.com/klickingkitty", "klickingkitty")</f>
        <v>klickingkitty</v>
      </c>
      <c r="B28838" s="65"/>
    </row>
    <row r="28839" spans="1:2" x14ac:dyDescent="0.25">
      <c r="A28839" s="64" t="str">
        <f>HYPERLINK("http://www.twitter.com/kislanykim", "kislanykim")</f>
        <v>kislanykim</v>
      </c>
      <c r="B28839" s="65" t="s">
        <v>7708</v>
      </c>
    </row>
    <row r="28840" spans="1:2" x14ac:dyDescent="0.25">
      <c r="A28840" s="64" t="str">
        <f>HYPERLINK("http://www.twitter.com/bne2bay", "bne2bay")</f>
        <v>bne2bay</v>
      </c>
      <c r="B28840" s="65"/>
    </row>
    <row r="28841" spans="1:2" x14ac:dyDescent="0.25">
      <c r="A28841" s="64" t="str">
        <f>HYPERLINK("http://www.twitter.com/nikkijscott", "nikkijscott")</f>
        <v>nikkijscott</v>
      </c>
      <c r="B28841" s="65" t="s">
        <v>5824</v>
      </c>
    </row>
    <row r="28842" spans="1:2" x14ac:dyDescent="0.25">
      <c r="A28842" s="64" t="str">
        <f>HYPERLINK("http://www.twitter.com/Kemp2rh", "Kemp2rh")</f>
        <v>Kemp2rh</v>
      </c>
      <c r="B28842" s="65"/>
    </row>
    <row r="28843" spans="1:2" x14ac:dyDescent="0.25">
      <c r="A28843" s="64" t="str">
        <f>HYPERLINK("http://www.twitter.com/FriendsOfLowLib", "FriendsOfLowLib")</f>
        <v>FriendsOfLowLib</v>
      </c>
      <c r="B28843" s="65" t="s">
        <v>11954</v>
      </c>
    </row>
    <row r="28844" spans="1:2" x14ac:dyDescent="0.25">
      <c r="A28844" s="64" t="str">
        <f>HYPERLINK("http://www.twitter.com/joannad56", "joannad56")</f>
        <v>joannad56</v>
      </c>
      <c r="B28844" s="65"/>
    </row>
    <row r="28845" spans="1:2" x14ac:dyDescent="0.25">
      <c r="A28845" s="64" t="str">
        <f>HYPERLINK("http://www.twitter.com/davidwaldie1853", "davidwaldie1853")</f>
        <v>davidwaldie1853</v>
      </c>
      <c r="B28845" s="65" t="s">
        <v>11955</v>
      </c>
    </row>
    <row r="28846" spans="1:2" x14ac:dyDescent="0.25">
      <c r="A28846" s="64" t="str">
        <f>HYPERLINK("http://www.twitter.com/ReadZoneBooks", "ReadZoneBooks")</f>
        <v>ReadZoneBooks</v>
      </c>
      <c r="B28846" s="65" t="s">
        <v>10308</v>
      </c>
    </row>
    <row r="28847" spans="1:2" x14ac:dyDescent="0.25">
      <c r="A28847" s="64" t="str">
        <f>HYPERLINK("http://www.twitter.com/qarth", "qarth")</f>
        <v>qarth</v>
      </c>
      <c r="B28847" s="65" t="s">
        <v>5104</v>
      </c>
    </row>
    <row r="28848" spans="1:2" x14ac:dyDescent="0.25">
      <c r="A28848" s="64" t="str">
        <f>HYPERLINK("http://www.twitter.com/babien00", "babien00")</f>
        <v>babien00</v>
      </c>
      <c r="B28848" s="65"/>
    </row>
    <row r="28849" spans="1:2" x14ac:dyDescent="0.25">
      <c r="A28849" s="64" t="str">
        <f>HYPERLINK("http://www.twitter.com/naomi_percival", "naomi_percival")</f>
        <v>naomi_percival</v>
      </c>
      <c r="B28849" s="65" t="s">
        <v>36</v>
      </c>
    </row>
    <row r="28850" spans="1:2" x14ac:dyDescent="0.25">
      <c r="A28850" s="64" t="str">
        <f>HYPERLINK("http://www.twitter.com/LeatherheadLib", "LeatherheadLib")</f>
        <v>LeatherheadLib</v>
      </c>
      <c r="B28850" s="65" t="s">
        <v>1141</v>
      </c>
    </row>
    <row r="28851" spans="1:2" x14ac:dyDescent="0.25">
      <c r="A28851" s="64" t="str">
        <f>HYPERLINK("http://www.twitter.com/HorleyLibrary", "HorleyLibrary")</f>
        <v>HorleyLibrary</v>
      </c>
      <c r="B28851" s="65" t="s">
        <v>1334</v>
      </c>
    </row>
    <row r="28852" spans="1:2" x14ac:dyDescent="0.25">
      <c r="A28852" s="64" t="str">
        <f>HYPERLINK("http://www.twitter.com/EwellLib", "EwellLib")</f>
        <v>EwellLib</v>
      </c>
      <c r="B28852" s="65" t="s">
        <v>1337</v>
      </c>
    </row>
    <row r="28853" spans="1:2" x14ac:dyDescent="0.25">
      <c r="A28853" s="64" t="str">
        <f>HYPERLINK("http://www.twitter.com/AshLibrary", "AshLibrary")</f>
        <v>AshLibrary</v>
      </c>
      <c r="B28853" s="65" t="s">
        <v>1399</v>
      </c>
    </row>
    <row r="28854" spans="1:2" x14ac:dyDescent="0.25">
      <c r="A28854" s="64" t="str">
        <f>HYPERLINK("http://www.twitter.com/InnovativeGrant", "InnovativeGrant")</f>
        <v>InnovativeGrant</v>
      </c>
      <c r="B28854" s="65" t="s">
        <v>3760</v>
      </c>
    </row>
    <row r="28855" spans="1:2" x14ac:dyDescent="0.25">
      <c r="A28855" s="64" t="str">
        <f>HYPERLINK("http://www.twitter.com/CranleighLib", "CranleighLib")</f>
        <v>CranleighLib</v>
      </c>
      <c r="B28855" s="65" t="s">
        <v>1055</v>
      </c>
    </row>
    <row r="28856" spans="1:2" x14ac:dyDescent="0.25">
      <c r="A28856" s="64" t="str">
        <f>HYPERLINK("http://www.twitter.com/CobhamLibrary", "CobhamLibrary")</f>
        <v>CobhamLibrary</v>
      </c>
      <c r="B28856" s="65" t="s">
        <v>1095</v>
      </c>
    </row>
    <row r="28857" spans="1:2" x14ac:dyDescent="0.25">
      <c r="A28857" s="64" t="str">
        <f>HYPERLINK("http://www.twitter.com/Rosie148", "Rosie148")</f>
        <v>Rosie148</v>
      </c>
      <c r="B28857" s="65" t="s">
        <v>5667</v>
      </c>
    </row>
    <row r="28858" spans="1:2" x14ac:dyDescent="0.25">
      <c r="A28858" s="64" t="str">
        <f>HYPERLINK("http://www.twitter.com/beckmaz", "beckmaz")</f>
        <v>beckmaz</v>
      </c>
      <c r="B28858" s="65"/>
    </row>
    <row r="28859" spans="1:2" x14ac:dyDescent="0.25">
      <c r="A28859" s="64" t="str">
        <f>HYPERLINK("http://www.twitter.com/RealifersRoss", "RealifersRoss")</f>
        <v>RealifersRoss</v>
      </c>
      <c r="B28859" s="65" t="s">
        <v>11956</v>
      </c>
    </row>
    <row r="28860" spans="1:2" x14ac:dyDescent="0.25">
      <c r="A28860" s="64" t="str">
        <f>HYPERLINK("http://www.twitter.com/MissMinecraft71", "MissMinecraft71")</f>
        <v>MissMinecraft71</v>
      </c>
      <c r="B28860" s="65"/>
    </row>
    <row r="28861" spans="1:2" x14ac:dyDescent="0.25">
      <c r="A28861" s="64" t="str">
        <f>HYPERLINK("http://www.twitter.com/JLMBand", "JLMBand")</f>
        <v>JLMBand</v>
      </c>
      <c r="B28861" s="65" t="s">
        <v>5219</v>
      </c>
    </row>
    <row r="28862" spans="1:2" x14ac:dyDescent="0.25">
      <c r="A28862" s="64" t="str">
        <f>HYPERLINK("http://www.twitter.com/Kattweedie", "Kattweedie")</f>
        <v>Kattweedie</v>
      </c>
      <c r="B28862" s="65" t="s">
        <v>4167</v>
      </c>
    </row>
    <row r="28863" spans="1:2" x14ac:dyDescent="0.25">
      <c r="A28863" s="64" t="str">
        <f>HYPERLINK("http://www.twitter.com/Stronsaysilver", "Stronsaysilver")</f>
        <v>Stronsaysilver</v>
      </c>
      <c r="B28863" s="65"/>
    </row>
    <row r="28864" spans="1:2" x14ac:dyDescent="0.25">
      <c r="A28864" s="64" t="str">
        <f>HYPERLINK("http://www.twitter.com/orkney_mum", "orkney_mum")</f>
        <v>orkney_mum</v>
      </c>
      <c r="B28864" s="65"/>
    </row>
    <row r="28865" spans="1:2" x14ac:dyDescent="0.25">
      <c r="A28865" s="64" t="str">
        <f>HYPERLINK("http://www.twitter.com/ianj81", "ianj81")</f>
        <v>ianj81</v>
      </c>
      <c r="B28865" s="65" t="s">
        <v>5667</v>
      </c>
    </row>
    <row r="28866" spans="1:2" x14ac:dyDescent="0.25">
      <c r="A28866" s="64" t="str">
        <f>HYPERLINK("http://www.twitter.com/Fiona_Maddox", "Fiona_Maddox")</f>
        <v>Fiona_Maddox</v>
      </c>
      <c r="B28866" s="65" t="s">
        <v>9753</v>
      </c>
    </row>
    <row r="28867" spans="1:2" x14ac:dyDescent="0.25">
      <c r="A28867" s="64" t="str">
        <f>HYPERLINK("http://www.twitter.com/cuckootrailer", "cuckootrailer")</f>
        <v>cuckootrailer</v>
      </c>
      <c r="B28867" s="65" t="s">
        <v>11957</v>
      </c>
    </row>
    <row r="28868" spans="1:2" x14ac:dyDescent="0.25">
      <c r="A28868" s="64" t="str">
        <f>HYPERLINK("http://www.twitter.com/OrkneyNewsToday", "OrkneyNewsToday")</f>
        <v>OrkneyNewsToday</v>
      </c>
      <c r="B28868" s="65" t="s">
        <v>4227</v>
      </c>
    </row>
    <row r="28869" spans="1:2" x14ac:dyDescent="0.25">
      <c r="A28869" s="64" t="str">
        <f>HYPERLINK("http://www.twitter.com/SemperFrivolis", "SemperFrivolis")</f>
        <v>SemperFrivolis</v>
      </c>
      <c r="B28869" s="65"/>
    </row>
    <row r="28870" spans="1:2" x14ac:dyDescent="0.25">
      <c r="A28870" s="64" t="str">
        <f>HYPERLINK("http://www.twitter.com/rich_francis", "rich_francis")</f>
        <v>rich_francis</v>
      </c>
      <c r="B28870" s="65" t="s">
        <v>310</v>
      </c>
    </row>
    <row r="28871" spans="1:2" x14ac:dyDescent="0.25">
      <c r="A28871" s="64" t="str">
        <f>HYPERLINK("http://www.twitter.com/NorthStudiesVC", "NorthStudiesVC")</f>
        <v>NorthStudiesVC</v>
      </c>
      <c r="B28871" s="65"/>
    </row>
    <row r="28872" spans="1:2" x14ac:dyDescent="0.25">
      <c r="A28872" s="64" t="str">
        <f>HYPERLINK("http://www.twitter.com/OrkneyBeachcomb", "OrkneyBeachcomb")</f>
        <v>OrkneyBeachcomb</v>
      </c>
      <c r="B28872" s="65" t="s">
        <v>11958</v>
      </c>
    </row>
    <row r="28873" spans="1:2" x14ac:dyDescent="0.25">
      <c r="A28873" s="64" t="str">
        <f>HYPERLINK("http://www.twitter.com/NewConnections1", "NewConnections1")</f>
        <v>NewConnections1</v>
      </c>
      <c r="B28873" s="65" t="s">
        <v>11959</v>
      </c>
    </row>
    <row r="28874" spans="1:2" x14ac:dyDescent="0.25">
      <c r="A28874" s="64" t="str">
        <f>HYPERLINK("http://www.twitter.com/thulrbaker", "thulrbaker")</f>
        <v>thulrbaker</v>
      </c>
      <c r="B28874" s="65" t="s">
        <v>477</v>
      </c>
    </row>
    <row r="28875" spans="1:2" x14ac:dyDescent="0.25">
      <c r="A28875" s="64" t="str">
        <f>HYPERLINK("http://www.twitter.com/DrMaudBailey", "DrMaudBailey")</f>
        <v>DrMaudBailey</v>
      </c>
      <c r="B28875" s="65"/>
    </row>
    <row r="28876" spans="1:2" x14ac:dyDescent="0.25">
      <c r="A28876" s="64" t="str">
        <f>HYPERLINK("http://www.twitter.com/heirloomhunting", "heirloomhunting")</f>
        <v>heirloomhunting</v>
      </c>
      <c r="B28876" s="65" t="s">
        <v>296</v>
      </c>
    </row>
    <row r="28877" spans="1:2" x14ac:dyDescent="0.25">
      <c r="A28877" s="64" t="str">
        <f>HYPERLINK("http://www.twitter.com/little_red_frog", "little_red_frog")</f>
        <v>little_red_frog</v>
      </c>
      <c r="B28877" s="65"/>
    </row>
    <row r="28878" spans="1:2" x14ac:dyDescent="0.25">
      <c r="A28878" s="64" t="str">
        <f>HYPERLINK("http://www.twitter.com/swansonian", "swansonian")</f>
        <v>swansonian</v>
      </c>
      <c r="B28878" s="65" t="s">
        <v>11960</v>
      </c>
    </row>
    <row r="28879" spans="1:2" x14ac:dyDescent="0.25">
      <c r="A28879" s="64" t="str">
        <f>HYPERLINK("http://www.twitter.com/BookwormTutors", "BookwormTutors")</f>
        <v>BookwormTutors</v>
      </c>
      <c r="B28879" s="65" t="s">
        <v>24</v>
      </c>
    </row>
    <row r="28880" spans="1:2" x14ac:dyDescent="0.25">
      <c r="A28880" s="64" t="str">
        <f>HYPERLINK("http://www.twitter.com/ColDevNet", "ColDevNet")</f>
        <v>ColDevNet</v>
      </c>
      <c r="B28880" s="65" t="s">
        <v>4092</v>
      </c>
    </row>
    <row r="28881" spans="1:2" x14ac:dyDescent="0.25">
      <c r="A28881" s="64" t="str">
        <f>HYPERLINK("http://www.twitter.com/yeka_2461", "yeka_2461")</f>
        <v>yeka_2461</v>
      </c>
      <c r="B28881" s="65"/>
    </row>
    <row r="28882" spans="1:2" x14ac:dyDescent="0.25">
      <c r="A28882" s="64" t="str">
        <f>HYPERLINK("http://www.twitter.com/SBHNetwork", "SBHNetwork")</f>
        <v>SBHNetwork</v>
      </c>
      <c r="B28882" s="65" t="s">
        <v>517</v>
      </c>
    </row>
    <row r="28883" spans="1:2" x14ac:dyDescent="0.25">
      <c r="A28883" s="64" t="str">
        <f>HYPERLINK("http://www.twitter.com/DavyBarlow", "DavyBarlow")</f>
        <v>DavyBarlow</v>
      </c>
      <c r="B28883" s="65"/>
    </row>
    <row r="28884" spans="1:2" x14ac:dyDescent="0.25">
      <c r="A28884" s="64" t="str">
        <f>HYPERLINK("http://www.twitter.com/AboveBritain", "AboveBritain")</f>
        <v>AboveBritain</v>
      </c>
      <c r="B28884" s="65" t="s">
        <v>296</v>
      </c>
    </row>
    <row r="28885" spans="1:2" x14ac:dyDescent="0.25">
      <c r="A28885" s="64" t="str">
        <f>HYPERLINK("http://www.twitter.com/pewsmall", "pewsmall")</f>
        <v>pewsmall</v>
      </c>
      <c r="B28885" s="65"/>
    </row>
    <row r="28886" spans="1:2" x14ac:dyDescent="0.25">
      <c r="A28886" s="64" t="str">
        <f>HYPERLINK("http://www.twitter.com/CILIPConf17", "CILIPConf17")</f>
        <v>CILIPConf17</v>
      </c>
      <c r="B28886" s="65" t="s">
        <v>2289</v>
      </c>
    </row>
    <row r="28887" spans="1:2" x14ac:dyDescent="0.25">
      <c r="A28887" s="64" t="str">
        <f>HYPERLINK("http://www.twitter.com/TanyaMilligan2", "TanyaMilligan2")</f>
        <v>TanyaMilligan2</v>
      </c>
      <c r="B28887" s="65"/>
    </row>
    <row r="28888" spans="1:2" x14ac:dyDescent="0.25">
      <c r="A28888" s="64" t="str">
        <f>HYPERLINK("http://www.twitter.com/bbcorkney", "bbcorkney")</f>
        <v>bbcorkney</v>
      </c>
      <c r="B28888" s="65" t="s">
        <v>4227</v>
      </c>
    </row>
    <row r="28889" spans="1:2" x14ac:dyDescent="0.25">
      <c r="A28889" s="64" t="str">
        <f>HYPERLINK("http://www.twitter.com/watsonical", "watsonical")</f>
        <v>watsonical</v>
      </c>
      <c r="B28889" s="65"/>
    </row>
    <row r="28890" spans="1:2" x14ac:dyDescent="0.25">
      <c r="A28890" s="64" t="str">
        <f>HYPERLINK("http://www.twitter.com/Eoghan_Hughes", "Eoghan_Hughes")</f>
        <v>Eoghan_Hughes</v>
      </c>
      <c r="B28890" s="65" t="s">
        <v>4291</v>
      </c>
    </row>
    <row r="28891" spans="1:2" x14ac:dyDescent="0.25">
      <c r="A28891" s="64" t="str">
        <f>HYPERLINK("http://www.twitter.com/jockybear", "jockybear")</f>
        <v>jockybear</v>
      </c>
      <c r="B28891" s="65" t="s">
        <v>20</v>
      </c>
    </row>
    <row r="28892" spans="1:2" x14ac:dyDescent="0.25">
      <c r="A28892" s="64" t="str">
        <f>HYPERLINK("http://www.twitter.com/allak112", "allak112")</f>
        <v>allak112</v>
      </c>
      <c r="B28892" s="65"/>
    </row>
    <row r="28893" spans="1:2" x14ac:dyDescent="0.25">
      <c r="A28893" s="64" t="str">
        <f>HYPERLINK("http://www.twitter.com/zededdie", "zededdie")</f>
        <v>zededdie</v>
      </c>
      <c r="B28893" s="65"/>
    </row>
    <row r="28894" spans="1:2" x14ac:dyDescent="0.25">
      <c r="A28894" s="64" t="str">
        <f>HYPERLINK("http://www.twitter.com/KOIAirport", "KOIAirport")</f>
        <v>KOIAirport</v>
      </c>
      <c r="B28894" s="65" t="s">
        <v>4227</v>
      </c>
    </row>
    <row r="28895" spans="1:2" x14ac:dyDescent="0.25">
      <c r="A28895" s="64" t="str">
        <f>HYPERLINK("http://www.twitter.com/rbe_pt", "rbe_pt")</f>
        <v>rbe_pt</v>
      </c>
      <c r="B28895" s="65" t="s">
        <v>11961</v>
      </c>
    </row>
    <row r="28896" spans="1:2" x14ac:dyDescent="0.25">
      <c r="A28896" s="64" t="str">
        <f>HYPERLINK("http://www.twitter.com/AltonCollegeLRC", "AltonCollegeLRC")</f>
        <v>AltonCollegeLRC</v>
      </c>
      <c r="B28896" s="65" t="s">
        <v>2423</v>
      </c>
    </row>
    <row r="28897" spans="1:2" x14ac:dyDescent="0.25">
      <c r="A28897" s="64" t="str">
        <f>HYPERLINK("http://www.twitter.com/shirleyvernick", "shirleyvernick")</f>
        <v>shirleyvernick</v>
      </c>
      <c r="B28897" s="65"/>
    </row>
    <row r="28898" spans="1:2" x14ac:dyDescent="0.25">
      <c r="A28898" s="64" t="str">
        <f>HYPERLINK("http://www.twitter.com/ReadinglistsGla", "ReadinglistsGla")</f>
        <v>ReadinglistsGla</v>
      </c>
      <c r="B28898" s="65" t="s">
        <v>138</v>
      </c>
    </row>
    <row r="28899" spans="1:2" x14ac:dyDescent="0.25">
      <c r="A28899" s="64" t="str">
        <f>HYPERLINK("http://www.twitter.com/SoTLibraries", "SoTLibraries")</f>
        <v>SoTLibraries</v>
      </c>
      <c r="B28899" s="65" t="s">
        <v>1325</v>
      </c>
    </row>
    <row r="28900" spans="1:2" x14ac:dyDescent="0.25">
      <c r="A28900" s="64" t="str">
        <f>HYPERLINK("http://www.twitter.com/yourcompassrose", "yourcompassrose")</f>
        <v>yourcompassrose</v>
      </c>
      <c r="B28900" s="65" t="s">
        <v>11962</v>
      </c>
    </row>
    <row r="28901" spans="1:2" x14ac:dyDescent="0.25">
      <c r="A28901" s="64" t="str">
        <f>HYPERLINK("http://www.twitter.com/hug_strangers", "hug_strangers")</f>
        <v>hug_strangers</v>
      </c>
      <c r="B28901" s="65" t="s">
        <v>11963</v>
      </c>
    </row>
    <row r="28902" spans="1:2" x14ac:dyDescent="0.25">
      <c r="A28902" s="64" t="str">
        <f>HYPERLINK("http://www.twitter.com/RichmondLibs", "RichmondLibs")</f>
        <v>RichmondLibs</v>
      </c>
      <c r="B28902" s="65" t="s">
        <v>621</v>
      </c>
    </row>
    <row r="28903" spans="1:2" x14ac:dyDescent="0.25">
      <c r="A28903" s="64" t="str">
        <f>HYPERLINK("http://www.twitter.com/TreshamLRC", "TreshamLRC")</f>
        <v>TreshamLRC</v>
      </c>
      <c r="B28903" s="65" t="s">
        <v>2399</v>
      </c>
    </row>
    <row r="28904" spans="1:2" x14ac:dyDescent="0.25">
      <c r="A28904" s="64" t="str">
        <f>HYPERLINK("http://www.twitter.com/fragmogic", "fragmogic")</f>
        <v>fragmogic</v>
      </c>
      <c r="B28904" s="65"/>
    </row>
    <row r="28905" spans="1:2" x14ac:dyDescent="0.25">
      <c r="A28905" s="64" t="str">
        <f>HYPERLINK("http://www.twitter.com/jreacarey", "jreacarey")</f>
        <v>jreacarey</v>
      </c>
      <c r="B28905" s="65"/>
    </row>
    <row r="28906" spans="1:2" x14ac:dyDescent="0.25">
      <c r="A28906" s="64" t="str">
        <f>HYPERLINK("http://www.twitter.com/SophieDoris", "SophieDoris")</f>
        <v>SophieDoris</v>
      </c>
      <c r="B28906" s="65"/>
    </row>
    <row r="28907" spans="1:2" x14ac:dyDescent="0.25">
      <c r="A28907" s="64" t="str">
        <f>HYPERLINK("http://www.twitter.com/benfasts", "benfasts")</f>
        <v>benfasts</v>
      </c>
      <c r="B28907" s="65" t="s">
        <v>767</v>
      </c>
    </row>
    <row r="28908" spans="1:2" x14ac:dyDescent="0.25">
      <c r="A28908" s="64" t="str">
        <f>HYPERLINK("http://www.twitter.com/gwb007", "gwb007")</f>
        <v>gwb007</v>
      </c>
      <c r="B28908" s="65" t="s">
        <v>7273</v>
      </c>
    </row>
    <row r="28909" spans="1:2" x14ac:dyDescent="0.25">
      <c r="A28909" s="64" t="str">
        <f>HYPERLINK("http://www.twitter.com/cuigcead", "cuigcead")</f>
        <v>cuigcead</v>
      </c>
      <c r="B28909" s="65" t="s">
        <v>4062</v>
      </c>
    </row>
    <row r="28910" spans="1:2" x14ac:dyDescent="0.25">
      <c r="A28910" s="64" t="str">
        <f>HYPERLINK("http://www.twitter.com/susanblethers", "susanblethers")</f>
        <v>susanblethers</v>
      </c>
      <c r="B28910" s="65" t="s">
        <v>24</v>
      </c>
    </row>
    <row r="28911" spans="1:2" x14ac:dyDescent="0.25">
      <c r="A28911" s="64" t="str">
        <f>HYPERLINK("http://www.twitter.com/AakWork", "AakWork")</f>
        <v>AakWork</v>
      </c>
      <c r="B28911" s="65" t="s">
        <v>7628</v>
      </c>
    </row>
    <row r="28912" spans="1:2" x14ac:dyDescent="0.25">
      <c r="A28912" s="64" t="str">
        <f>HYPERLINK("http://www.twitter.com/PlayHighland", "PlayHighland")</f>
        <v>PlayHighland</v>
      </c>
      <c r="B28912" s="65"/>
    </row>
    <row r="28913" spans="1:2" x14ac:dyDescent="0.25">
      <c r="A28913" s="64" t="str">
        <f>HYPERLINK("http://www.twitter.com/CALAchildcare", "CALAchildcare")</f>
        <v>CALAchildcare</v>
      </c>
      <c r="B28913" s="65" t="s">
        <v>517</v>
      </c>
    </row>
    <row r="28914" spans="1:2" x14ac:dyDescent="0.25">
      <c r="A28914" s="64" t="str">
        <f>HYPERLINK("http://www.twitter.com/ThomasWhinnie", "ThomasWhinnie")</f>
        <v>ThomasWhinnie</v>
      </c>
      <c r="B28914" s="65"/>
    </row>
    <row r="28915" spans="1:2" x14ac:dyDescent="0.25">
      <c r="A28915" s="64" t="str">
        <f>HYPERLINK("http://www.twitter.com/MikeCohn22", "MikeCohn22")</f>
        <v>MikeCohn22</v>
      </c>
      <c r="B28915" s="65" t="s">
        <v>11964</v>
      </c>
    </row>
    <row r="28916" spans="1:2" x14ac:dyDescent="0.25">
      <c r="A28916" s="64" t="str">
        <f>HYPERLINK("http://www.twitter.com/ScotlandBeauty", "ScotlandBeauty")</f>
        <v>ScotlandBeauty</v>
      </c>
      <c r="B28916" s="65" t="s">
        <v>24</v>
      </c>
    </row>
    <row r="28917" spans="1:2" x14ac:dyDescent="0.25">
      <c r="A28917" s="64" t="str">
        <f>HYPERLINK("http://www.twitter.com/researchinfo", "researchinfo")</f>
        <v>researchinfo</v>
      </c>
      <c r="B28917" s="65" t="s">
        <v>61</v>
      </c>
    </row>
    <row r="28918" spans="1:2" x14ac:dyDescent="0.25">
      <c r="A28918" s="64" t="str">
        <f>HYPERLINK("http://www.twitter.com/CaterhamsPast", "CaterhamsPast")</f>
        <v>CaterhamsPast</v>
      </c>
      <c r="B28918" s="65" t="s">
        <v>11965</v>
      </c>
    </row>
    <row r="28919" spans="1:2" x14ac:dyDescent="0.25">
      <c r="A28919" s="64" t="str">
        <f>HYPERLINK("http://www.twitter.com/CMRTODAY", "CMRTODAY")</f>
        <v>CMRTODAY</v>
      </c>
      <c r="B28919" s="65" t="s">
        <v>11966</v>
      </c>
    </row>
    <row r="28920" spans="1:2" x14ac:dyDescent="0.25">
      <c r="A28920" s="64" t="str">
        <f>HYPERLINK("http://www.twitter.com/JCCaring", "JCCaring")</f>
        <v>JCCaring</v>
      </c>
      <c r="B28920" s="65" t="s">
        <v>11967</v>
      </c>
    </row>
    <row r="28921" spans="1:2" x14ac:dyDescent="0.25">
      <c r="A28921" s="64" t="str">
        <f>HYPERLINK("http://www.twitter.com/seanmartin_lib", "seanmartin_lib")</f>
        <v>seanmartin_lib</v>
      </c>
      <c r="B28921" s="65" t="s">
        <v>1135</v>
      </c>
    </row>
    <row r="28922" spans="1:2" x14ac:dyDescent="0.25">
      <c r="A28922" s="64" t="str">
        <f>HYPERLINK("http://www.twitter.com/QCQuermudgeon", "QCQuermudgeon")</f>
        <v>QCQuermudgeon</v>
      </c>
      <c r="B28922" s="65" t="s">
        <v>4135</v>
      </c>
    </row>
    <row r="28923" spans="1:2" x14ac:dyDescent="0.25">
      <c r="A28923" s="64" t="str">
        <f>HYPERLINK("http://www.twitter.com/fionacpearson", "fionacpearson")</f>
        <v>fionacpearson</v>
      </c>
      <c r="B28923" s="65" t="s">
        <v>1537</v>
      </c>
    </row>
    <row r="28924" spans="1:2" x14ac:dyDescent="0.25">
      <c r="A28924" s="64" t="str">
        <f>HYPERLINK("http://www.twitter.com/DominiqueVanpee", "DominiqueVanpee")</f>
        <v>DominiqueVanpee</v>
      </c>
      <c r="B28924" s="65" t="s">
        <v>11968</v>
      </c>
    </row>
    <row r="28925" spans="1:2" x14ac:dyDescent="0.25">
      <c r="A28925" s="64" t="str">
        <f>HYPERLINK("http://www.twitter.com/ejolly1969", "ejolly1969")</f>
        <v>ejolly1969</v>
      </c>
      <c r="B28925" s="65"/>
    </row>
    <row r="28926" spans="1:2" x14ac:dyDescent="0.25">
      <c r="A28926" s="64" t="str">
        <f>HYPERLINK("http://www.twitter.com/PaulaDoonigar", "PaulaDoonigar")</f>
        <v>PaulaDoonigar</v>
      </c>
      <c r="B28926" s="65"/>
    </row>
    <row r="28927" spans="1:2" x14ac:dyDescent="0.25">
      <c r="A28927" s="64" t="str">
        <f>HYPERLINK("http://www.twitter.com/wrongwaytogo", "wrongwaytogo")</f>
        <v>wrongwaytogo</v>
      </c>
      <c r="B28927" s="65"/>
    </row>
    <row r="28928" spans="1:2" x14ac:dyDescent="0.25">
      <c r="A28928" s="64" t="str">
        <f>HYPERLINK("http://www.twitter.com/ahmedknuhu", "ahmedknuhu")</f>
        <v>ahmedknuhu</v>
      </c>
      <c r="B28928" s="65"/>
    </row>
    <row r="28929" spans="1:2" x14ac:dyDescent="0.25">
      <c r="A28929" s="64" t="str">
        <f>HYPERLINK("http://www.twitter.com/Shop_Scotland", "Shop_Scotland")</f>
        <v>Shop_Scotland</v>
      </c>
      <c r="B28929" s="65"/>
    </row>
    <row r="28930" spans="1:2" x14ac:dyDescent="0.25">
      <c r="A28930" s="64" t="str">
        <f>HYPERLINK("http://www.twitter.com/_Orkney", "_Orkney")</f>
        <v>_Orkney</v>
      </c>
      <c r="B28930" s="65"/>
    </row>
    <row r="28931" spans="1:2" x14ac:dyDescent="0.25">
      <c r="A28931" s="64" t="str">
        <f>HYPERLINK("http://www.twitter.com/sjwinch", "sjwinch")</f>
        <v>sjwinch</v>
      </c>
      <c r="B28931" s="65"/>
    </row>
    <row r="28932" spans="1:2" x14ac:dyDescent="0.25">
      <c r="A28932" s="64" t="str">
        <f>HYPERLINK("http://www.twitter.com/ErikaHeather", "ErikaHeather")</f>
        <v>ErikaHeather</v>
      </c>
      <c r="B28932" s="65" t="s">
        <v>517</v>
      </c>
    </row>
    <row r="28933" spans="1:2" x14ac:dyDescent="0.25">
      <c r="A28933" s="64" t="str">
        <f>HYPERLINK("http://www.twitter.com/hmdgul", "hmdgul")</f>
        <v>hmdgul</v>
      </c>
      <c r="B28933" s="65" t="s">
        <v>138</v>
      </c>
    </row>
    <row r="28934" spans="1:2" x14ac:dyDescent="0.25">
      <c r="A28934" s="64" t="str">
        <f>HYPERLINK("http://www.twitter.com/TraceyPratchett", "TraceyPratchett")</f>
        <v>TraceyPratchett</v>
      </c>
      <c r="B28934" s="65"/>
    </row>
    <row r="28935" spans="1:2" x14ac:dyDescent="0.25">
      <c r="A28935" s="64" t="str">
        <f>HYPERLINK("http://www.twitter.com/WILibraries", "WILibraries")</f>
        <v>WILibraries</v>
      </c>
      <c r="B28935" s="65" t="s">
        <v>9123</v>
      </c>
    </row>
    <row r="28936" spans="1:2" x14ac:dyDescent="0.25">
      <c r="A28936" s="64" t="str">
        <f>HYPERLINK("http://www.twitter.com/davillagebike", "davillagebike")</f>
        <v>davillagebike</v>
      </c>
      <c r="B28936" s="65" t="s">
        <v>11969</v>
      </c>
    </row>
    <row r="28937" spans="1:2" x14ac:dyDescent="0.25">
      <c r="A28937" s="64" t="str">
        <f>HYPERLINK("http://www.twitter.com/hillier_helen", "hillier_helen")</f>
        <v>hillier_helen</v>
      </c>
      <c r="B28937" s="65" t="s">
        <v>11970</v>
      </c>
    </row>
    <row r="28938" spans="1:2" x14ac:dyDescent="0.25">
      <c r="A28938" s="64" t="str">
        <f>HYPERLINK("http://www.twitter.com/EsherLibrary", "EsherLibrary")</f>
        <v>EsherLibrary</v>
      </c>
      <c r="B28938" s="65" t="s">
        <v>1041</v>
      </c>
    </row>
    <row r="28939" spans="1:2" x14ac:dyDescent="0.25">
      <c r="A28939" s="64" t="str">
        <f>HYPERLINK("http://www.twitter.com/inchmama", "inchmama")</f>
        <v>inchmama</v>
      </c>
      <c r="B28939" s="65" t="s">
        <v>24</v>
      </c>
    </row>
    <row r="28940" spans="1:2" x14ac:dyDescent="0.25">
      <c r="A28940" s="64" t="str">
        <f>HYPERLINK("http://www.twitter.com/PSleeman", "PSleeman")</f>
        <v>PSleeman</v>
      </c>
      <c r="B28940" s="65"/>
    </row>
    <row r="28941" spans="1:2" x14ac:dyDescent="0.25">
      <c r="A28941" s="64" t="str">
        <f>HYPERLINK("http://www.twitter.com/ZSaffrette", "ZSaffrette")</f>
        <v>ZSaffrette</v>
      </c>
      <c r="B28941" s="65"/>
    </row>
    <row r="28942" spans="1:2" x14ac:dyDescent="0.25">
      <c r="A28942" s="64" t="str">
        <f>HYPERLINK("http://www.twitter.com/sfeebee83", "sfeebee83")</f>
        <v>sfeebee83</v>
      </c>
      <c r="B28942" s="65"/>
    </row>
    <row r="28943" spans="1:2" x14ac:dyDescent="0.25">
      <c r="A28943" s="64" t="str">
        <f>HYPERLINK("http://www.twitter.com/TheDay_News", "TheDay_News")</f>
        <v>TheDay_News</v>
      </c>
      <c r="B28943" s="65" t="s">
        <v>4177</v>
      </c>
    </row>
    <row r="28944" spans="1:2" x14ac:dyDescent="0.25">
      <c r="A28944" s="64" t="str">
        <f>HYPERLINK("http://www.twitter.com/Eurobib_Direct", "Eurobib_Direct")</f>
        <v>Eurobib_Direct</v>
      </c>
      <c r="B28944" s="65" t="s">
        <v>296</v>
      </c>
    </row>
    <row r="28945" spans="1:2" x14ac:dyDescent="0.25">
      <c r="A28945" s="64" t="str">
        <f>HYPERLINK("http://www.twitter.com/TUgscam", "TUgscam")</f>
        <v>TUgscam</v>
      </c>
      <c r="B28945" s="65"/>
    </row>
    <row r="28946" spans="1:2" x14ac:dyDescent="0.25">
      <c r="A28946" s="64" t="str">
        <f>HYPERLINK("http://www.twitter.com/hethershouse", "hethershouse")</f>
        <v>hethershouse</v>
      </c>
      <c r="B28946" s="65"/>
    </row>
    <row r="28947" spans="1:2" x14ac:dyDescent="0.25">
      <c r="A28947" s="64" t="str">
        <f>HYPERLINK("http://www.twitter.com/abimawhirt", "abimawhirt")</f>
        <v>abimawhirt</v>
      </c>
      <c r="B28947" s="65" t="s">
        <v>1482</v>
      </c>
    </row>
    <row r="28948" spans="1:2" x14ac:dyDescent="0.25">
      <c r="A28948" s="64" t="str">
        <f>HYPERLINK("http://www.twitter.com/lmk0406", "lmk0406")</f>
        <v>lmk0406</v>
      </c>
      <c r="B28948" s="65"/>
    </row>
    <row r="28949" spans="1:2" x14ac:dyDescent="0.25">
      <c r="A28949" s="64" t="str">
        <f>HYPERLINK("http://www.twitter.com/juliebrand2", "juliebrand2")</f>
        <v>juliebrand2</v>
      </c>
      <c r="B28949" s="65"/>
    </row>
    <row r="28950" spans="1:2" x14ac:dyDescent="0.25">
      <c r="A28950" s="64" t="str">
        <f>HYPERLINK("http://www.twitter.com/KarenReece2", "KarenReece2")</f>
        <v>KarenReece2</v>
      </c>
      <c r="B28950" s="65" t="s">
        <v>11971</v>
      </c>
    </row>
    <row r="28951" spans="1:2" x14ac:dyDescent="0.25">
      <c r="A28951" s="64" t="str">
        <f>HYPERLINK("http://www.twitter.com/EIonaSt", "EIonaSt")</f>
        <v>EIonaSt</v>
      </c>
      <c r="B28951" s="65" t="s">
        <v>11972</v>
      </c>
    </row>
    <row r="28952" spans="1:2" x14ac:dyDescent="0.25">
      <c r="A28952" s="64" t="str">
        <f>HYPERLINK("http://www.twitter.com/QuintinJardine", "QuintinJardine")</f>
        <v>QuintinJardine</v>
      </c>
      <c r="B28952" s="65"/>
    </row>
    <row r="28953" spans="1:2" x14ac:dyDescent="0.25">
      <c r="A28953" s="64" t="str">
        <f>HYPERLINK("http://www.twitter.com/LitAdventure", "LitAdventure")</f>
        <v>LitAdventure</v>
      </c>
      <c r="B28953" s="65"/>
    </row>
    <row r="28954" spans="1:2" x14ac:dyDescent="0.25">
      <c r="A28954" s="64" t="str">
        <f>HYPERLINK("http://www.twitter.com/BelleDickinson", "BelleDickinson")</f>
        <v>BelleDickinson</v>
      </c>
      <c r="B28954" s="65" t="s">
        <v>3762</v>
      </c>
    </row>
    <row r="28955" spans="1:2" x14ac:dyDescent="0.25">
      <c r="A28955" s="64" t="str">
        <f>HYPERLINK("http://www.twitter.com/DMUCrew", "DMUCrew")</f>
        <v>DMUCrew</v>
      </c>
      <c r="B28955" s="65" t="s">
        <v>1226</v>
      </c>
    </row>
    <row r="28956" spans="1:2" x14ac:dyDescent="0.25">
      <c r="A28956" s="64" t="str">
        <f>HYPERLINK("http://www.twitter.com/KateMackenzie2", "KateMackenzie2")</f>
        <v>KateMackenzie2</v>
      </c>
      <c r="B28956" s="65" t="s">
        <v>203</v>
      </c>
    </row>
    <row r="28957" spans="1:2" x14ac:dyDescent="0.25">
      <c r="A28957" s="64" t="str">
        <f>HYPERLINK("http://www.twitter.com/Monster_Books", "Monster_Books")</f>
        <v>Monster_Books</v>
      </c>
      <c r="B28957" s="65" t="s">
        <v>11973</v>
      </c>
    </row>
    <row r="28958" spans="1:2" x14ac:dyDescent="0.25">
      <c r="A28958" s="64" t="str">
        <f>HYPERLINK("http://www.twitter.com/VillainofTruth", "VillainofTruth")</f>
        <v>VillainofTruth</v>
      </c>
      <c r="B28958" s="65" t="s">
        <v>318</v>
      </c>
    </row>
    <row r="28959" spans="1:2" x14ac:dyDescent="0.25">
      <c r="A28959" s="64" t="str">
        <f>HYPERLINK("http://www.twitter.com/catherina_c", "catherina_c")</f>
        <v>catherina_c</v>
      </c>
      <c r="B28959" s="65" t="s">
        <v>11974</v>
      </c>
    </row>
    <row r="28960" spans="1:2" x14ac:dyDescent="0.25">
      <c r="A28960" s="64" t="str">
        <f>HYPERLINK("http://www.twitter.com/buddingbrarian", "buddingbrarian")</f>
        <v>buddingbrarian</v>
      </c>
      <c r="B28960" s="65" t="s">
        <v>11975</v>
      </c>
    </row>
    <row r="28961" spans="1:2" x14ac:dyDescent="0.25">
      <c r="A28961" s="64" t="str">
        <f>HYPERLINK("http://www.twitter.com/storieswriters", "storieswriters")</f>
        <v>storieswriters</v>
      </c>
      <c r="B28961" s="65"/>
    </row>
    <row r="28962" spans="1:2" x14ac:dyDescent="0.25">
      <c r="A28962" s="64" t="str">
        <f>HYPERLINK("http://www.twitter.com/BirdsRachel", "BirdsRachel")</f>
        <v>BirdsRachel</v>
      </c>
      <c r="B28962" s="65" t="s">
        <v>4061</v>
      </c>
    </row>
    <row r="28963" spans="1:2" x14ac:dyDescent="0.25">
      <c r="A28963" s="64" t="str">
        <f>HYPERLINK("http://www.twitter.com/heliotropia", "heliotropia")</f>
        <v>heliotropia</v>
      </c>
      <c r="B28963" s="65" t="s">
        <v>180</v>
      </c>
    </row>
    <row r="28964" spans="1:2" x14ac:dyDescent="0.25">
      <c r="A28964" s="64" t="str">
        <f>HYPERLINK("http://www.twitter.com/delparaje", "delparaje")</f>
        <v>delparaje</v>
      </c>
      <c r="B28964" s="65" t="s">
        <v>4533</v>
      </c>
    </row>
    <row r="28965" spans="1:2" x14ac:dyDescent="0.25">
      <c r="A28965" s="64" t="str">
        <f>HYPERLINK("http://www.twitter.com/TessieSmurfs", "TessieSmurfs")</f>
        <v>TessieSmurfs</v>
      </c>
      <c r="B28965" s="65" t="s">
        <v>808</v>
      </c>
    </row>
    <row r="28966" spans="1:2" x14ac:dyDescent="0.25">
      <c r="A28966" s="64" t="str">
        <f>HYPERLINK("http://www.twitter.com/rmturner31", "rmturner31")</f>
        <v>rmturner31</v>
      </c>
      <c r="B28966" s="65"/>
    </row>
    <row r="28967" spans="1:2" x14ac:dyDescent="0.25">
      <c r="A28967" s="64" t="str">
        <f>HYPERLINK("http://www.twitter.com/albertbruce", "albertbruce")</f>
        <v>albertbruce</v>
      </c>
      <c r="B28967" s="65" t="s">
        <v>5667</v>
      </c>
    </row>
    <row r="28968" spans="1:2" x14ac:dyDescent="0.25">
      <c r="A28968" s="64" t="str">
        <f>HYPERLINK("http://www.twitter.com/OxfordWords", "OxfordWords")</f>
        <v>OxfordWords</v>
      </c>
      <c r="B28968" s="65" t="s">
        <v>12</v>
      </c>
    </row>
    <row r="28969" spans="1:2" x14ac:dyDescent="0.25">
      <c r="A28969" s="64" t="str">
        <f>HYPERLINK("http://www.twitter.com/NC_Cleaning", "NC_Cleaning")</f>
        <v>NC_Cleaning</v>
      </c>
      <c r="B28969" s="65" t="s">
        <v>5522</v>
      </c>
    </row>
    <row r="28970" spans="1:2" x14ac:dyDescent="0.25">
      <c r="A28970" s="64" t="str">
        <f>HYPERLINK("http://www.twitter.com/BMIServices", "BMIServices")</f>
        <v>BMIServices</v>
      </c>
      <c r="B28970" s="65" t="s">
        <v>514</v>
      </c>
    </row>
    <row r="28971" spans="1:2" x14ac:dyDescent="0.25">
      <c r="A28971" s="64" t="str">
        <f>HYPERLINK("http://www.twitter.com/Karrawa", "Karrawa")</f>
        <v>Karrawa</v>
      </c>
      <c r="B28971" s="65" t="s">
        <v>11976</v>
      </c>
    </row>
    <row r="28972" spans="1:2" x14ac:dyDescent="0.25">
      <c r="A28972" s="64" t="str">
        <f>HYPERLINK("http://www.twitter.com/TheLibraryUoS", "TheLibraryUoS")</f>
        <v>TheLibraryUoS</v>
      </c>
      <c r="B28972" s="65" t="s">
        <v>225</v>
      </c>
    </row>
    <row r="28973" spans="1:2" x14ac:dyDescent="0.25">
      <c r="A28973" s="64" t="str">
        <f>HYPERLINK("http://www.twitter.com/Ealasaidmunro", "Ealasaidmunro")</f>
        <v>Ealasaidmunro</v>
      </c>
      <c r="B28973" s="65" t="s">
        <v>138</v>
      </c>
    </row>
    <row r="28974" spans="1:2" x14ac:dyDescent="0.25">
      <c r="A28974" s="64" t="str">
        <f>HYPERLINK("http://www.twitter.com/BedfordLibTX", "BedfordLibTX")</f>
        <v>BedfordLibTX</v>
      </c>
      <c r="B28974" s="65" t="s">
        <v>11977</v>
      </c>
    </row>
    <row r="28975" spans="1:2" x14ac:dyDescent="0.25">
      <c r="A28975" s="64" t="str">
        <f>HYPERLINK("http://www.twitter.com/ScotVoices", "ScotVoices")</f>
        <v>ScotVoices</v>
      </c>
      <c r="B28975" s="65"/>
    </row>
    <row r="28976" spans="1:2" x14ac:dyDescent="0.25">
      <c r="A28976" s="64" t="str">
        <f>HYPERLINK("http://www.twitter.com/egrieve432", "egrieve432")</f>
        <v>egrieve432</v>
      </c>
      <c r="B28976" s="65"/>
    </row>
    <row r="28977" spans="1:2" x14ac:dyDescent="0.25">
      <c r="A28977" s="64" t="str">
        <f>HYPERLINK("http://www.twitter.com/yunwi_giski", "yunwi_giski")</f>
        <v>yunwi_giski</v>
      </c>
      <c r="B28977" s="65"/>
    </row>
    <row r="28978" spans="1:2" x14ac:dyDescent="0.25">
      <c r="A28978" s="64" t="str">
        <f>HYPERLINK("http://www.twitter.com/cat_clash", "cat_clash")</f>
        <v>cat_clash</v>
      </c>
      <c r="B28978" s="65"/>
    </row>
    <row r="28979" spans="1:2" x14ac:dyDescent="0.25">
      <c r="A28979" s="64" t="str">
        <f>HYPERLINK("http://www.twitter.com/ColinHeslin", "ColinHeslin")</f>
        <v>ColinHeslin</v>
      </c>
      <c r="B28979" s="65" t="s">
        <v>4254</v>
      </c>
    </row>
    <row r="28980" spans="1:2" x14ac:dyDescent="0.25">
      <c r="A28980" s="64" t="str">
        <f>HYPERLINK("http://www.twitter.com/AliceCPeace", "AliceCPeace")</f>
        <v>AliceCPeace</v>
      </c>
      <c r="B28980" s="65"/>
    </row>
    <row r="28981" spans="1:2" x14ac:dyDescent="0.25">
      <c r="A28981" s="64" t="str">
        <f>HYPERLINK("http://www.twitter.com/ChildsPlayBooks", "ChildsPlayBooks")</f>
        <v>ChildsPlayBooks</v>
      </c>
      <c r="B28981" s="65"/>
    </row>
    <row r="28982" spans="1:2" x14ac:dyDescent="0.25">
      <c r="A28982" s="64" t="str">
        <f>HYPERLINK("http://www.twitter.com/KelvingroveArt", "KelvingroveArt")</f>
        <v>KelvingroveArt</v>
      </c>
      <c r="B28982" s="65" t="s">
        <v>138</v>
      </c>
    </row>
    <row r="28983" spans="1:2" x14ac:dyDescent="0.25">
      <c r="A28983" s="64" t="str">
        <f>HYPERLINK("http://www.twitter.com/wwwfishinkcouk", "wwwfishinkcouk")</f>
        <v>wwwfishinkcouk</v>
      </c>
      <c r="B28983" s="65" t="s">
        <v>4464</v>
      </c>
    </row>
    <row r="28984" spans="1:2" x14ac:dyDescent="0.25">
      <c r="A28984" s="64" t="str">
        <f>HYPERLINK("http://www.twitter.com/TopStoreyMedia", "TopStoreyMedia")</f>
        <v>TopStoreyMedia</v>
      </c>
      <c r="B28984" s="65" t="s">
        <v>24</v>
      </c>
    </row>
    <row r="28985" spans="1:2" x14ac:dyDescent="0.25">
      <c r="A28985" s="64" t="str">
        <f>HYPERLINK("http://www.twitter.com/FalkirkStadium", "FalkirkStadium")</f>
        <v>FalkirkStadium</v>
      </c>
      <c r="B28985" s="65" t="s">
        <v>11978</v>
      </c>
    </row>
    <row r="28986" spans="1:2" x14ac:dyDescent="0.25">
      <c r="A28986" s="64" t="str">
        <f>HYPERLINK("http://www.twitter.com/Wwritersweekend", "Wwritersweekend")</f>
        <v>Wwritersweekend</v>
      </c>
      <c r="B28986" s="65" t="s">
        <v>11979</v>
      </c>
    </row>
    <row r="28987" spans="1:2" x14ac:dyDescent="0.25">
      <c r="A28987" s="64" t="str">
        <f>HYPERLINK("http://www.twitter.com/stephencgrant", "stephencgrant")</f>
        <v>stephencgrant</v>
      </c>
      <c r="B28987" s="65" t="s">
        <v>11980</v>
      </c>
    </row>
    <row r="28988" spans="1:2" x14ac:dyDescent="0.25">
      <c r="A28988" s="64" t="str">
        <f>HYPERLINK("http://www.twitter.com/JCPOrkneyShet", "JCPOrkneyShet")</f>
        <v>JCPOrkneyShet</v>
      </c>
      <c r="B28988" s="65" t="s">
        <v>11981</v>
      </c>
    </row>
    <row r="28989" spans="1:2" x14ac:dyDescent="0.25">
      <c r="A28989" s="64" t="str">
        <f>HYPERLINK("http://www.twitter.com/RestonHouse", "RestonHouse")</f>
        <v>RestonHouse</v>
      </c>
      <c r="B28989" s="65"/>
    </row>
    <row r="28990" spans="1:2" x14ac:dyDescent="0.25">
      <c r="A28990" s="64" t="str">
        <f>HYPERLINK("http://www.twitter.com/Dogslikebooks", "Dogslikebooks")</f>
        <v>Dogslikebooks</v>
      </c>
      <c r="B28990" s="65" t="s">
        <v>11982</v>
      </c>
    </row>
    <row r="28991" spans="1:2" x14ac:dyDescent="0.25">
      <c r="A28991" s="64" t="str">
        <f>HYPERLINK("http://www.twitter.com/ehwlclc", "ehwlclc")</f>
        <v>ehwlclc</v>
      </c>
      <c r="B28991" s="65" t="s">
        <v>36</v>
      </c>
    </row>
    <row r="28992" spans="1:2" x14ac:dyDescent="0.25">
      <c r="A28992" s="64" t="str">
        <f>HYPERLINK("http://www.twitter.com/HelenMJohnson", "HelenMJohnson")</f>
        <v>HelenMJohnson</v>
      </c>
      <c r="B28992" s="65"/>
    </row>
    <row r="28993" spans="1:2" x14ac:dyDescent="0.25">
      <c r="A28993" s="64" t="str">
        <f>HYPERLINK("http://www.twitter.com/Publicistkatya", "Publicistkatya")</f>
        <v>Publicistkatya</v>
      </c>
      <c r="B28993" s="65" t="s">
        <v>36</v>
      </c>
    </row>
    <row r="28994" spans="1:2" x14ac:dyDescent="0.25">
      <c r="A28994" s="64" t="str">
        <f>HYPERLINK("http://www.twitter.com/Ligatus_UAL", "Ligatus_UAL")</f>
        <v>Ligatus_UAL</v>
      </c>
      <c r="B28994" s="65"/>
    </row>
    <row r="28995" spans="1:2" x14ac:dyDescent="0.25">
      <c r="A28995" s="64" t="str">
        <f>HYPERLINK("http://www.twitter.com/orkneyinga1", "orkneyinga1")</f>
        <v>orkneyinga1</v>
      </c>
      <c r="B28995" s="65"/>
    </row>
    <row r="28996" spans="1:2" x14ac:dyDescent="0.25">
      <c r="A28996" s="64" t="str">
        <f>HYPERLINK("http://www.twitter.com/Slough78", "Slough78")</f>
        <v>Slough78</v>
      </c>
      <c r="B28996" s="65" t="s">
        <v>11983</v>
      </c>
    </row>
    <row r="28997" spans="1:2" x14ac:dyDescent="0.25">
      <c r="A28997" s="64" t="str">
        <f>HYPERLINK("http://www.twitter.com/AudiosuperTony", "AudiosuperTony")</f>
        <v>AudiosuperTony</v>
      </c>
      <c r="B28997" s="65" t="s">
        <v>11984</v>
      </c>
    </row>
    <row r="28998" spans="1:2" x14ac:dyDescent="0.25">
      <c r="A28998" s="64" t="str">
        <f>HYPERLINK("http://www.twitter.com/mtcstuart", "mtcstuart")</f>
        <v>mtcstuart</v>
      </c>
      <c r="B28998" s="65" t="s">
        <v>4062</v>
      </c>
    </row>
    <row r="28999" spans="1:2" x14ac:dyDescent="0.25">
      <c r="A28999" s="64" t="str">
        <f>HYPERLINK("http://www.twitter.com/KayJGrieves", "KayJGrieves")</f>
        <v>KayJGrieves</v>
      </c>
      <c r="B28999" s="65" t="s">
        <v>11985</v>
      </c>
    </row>
    <row r="29000" spans="1:2" x14ac:dyDescent="0.25">
      <c r="A29000" s="64" t="str">
        <f>HYPERLINK("http://www.twitter.com/YrTreeSearcher", "YrTreeSearcher")</f>
        <v>YrTreeSearcher</v>
      </c>
      <c r="B29000" s="65" t="s">
        <v>11986</v>
      </c>
    </row>
    <row r="29001" spans="1:2" x14ac:dyDescent="0.25">
      <c r="A29001" s="64" t="str">
        <f>HYPERLINK("http://www.twitter.com/CaptchaBreaker", "CaptchaBreaker")</f>
        <v>CaptchaBreaker</v>
      </c>
      <c r="B29001" s="65" t="s">
        <v>11987</v>
      </c>
    </row>
    <row r="29002" spans="1:2" x14ac:dyDescent="0.25">
      <c r="A29002" s="64" t="str">
        <f>HYPERLINK("http://www.twitter.com/flossie_1981", "flossie_1981")</f>
        <v>flossie_1981</v>
      </c>
      <c r="B29002" s="65" t="s">
        <v>11988</v>
      </c>
    </row>
    <row r="29003" spans="1:2" x14ac:dyDescent="0.25">
      <c r="A29003" s="64" t="str">
        <f>HYPERLINK("http://www.twitter.com/andresh1188", "andresh1188")</f>
        <v>andresh1188</v>
      </c>
      <c r="B29003" s="65" t="s">
        <v>8176</v>
      </c>
    </row>
    <row r="29004" spans="1:2" x14ac:dyDescent="0.25">
      <c r="A29004" s="64" t="str">
        <f>HYPERLINK("http://www.twitter.com/JennysGarden", "JennysGarden")</f>
        <v>JennysGarden</v>
      </c>
      <c r="B29004" s="65" t="s">
        <v>33</v>
      </c>
    </row>
    <row r="29005" spans="1:2" x14ac:dyDescent="0.25">
      <c r="A29005" s="64" t="str">
        <f>HYPERLINK("http://www.twitter.com/MarketingFairy3", "MarketingFairy3")</f>
        <v>MarketingFairy3</v>
      </c>
      <c r="B29005" s="65" t="s">
        <v>203</v>
      </c>
    </row>
    <row r="29006" spans="1:2" x14ac:dyDescent="0.25">
      <c r="A29006" s="64" t="str">
        <f>HYPERLINK("http://www.twitter.com/faesaline", "faesaline")</f>
        <v>faesaline</v>
      </c>
      <c r="B29006" s="65" t="s">
        <v>11989</v>
      </c>
    </row>
    <row r="29007" spans="1:2" x14ac:dyDescent="0.25">
      <c r="A29007" s="64" t="str">
        <f>HYPERLINK("http://www.twitter.com/MDenno", "MDenno")</f>
        <v>MDenno</v>
      </c>
      <c r="B29007" s="65" t="s">
        <v>11990</v>
      </c>
    </row>
    <row r="29008" spans="1:2" x14ac:dyDescent="0.25">
      <c r="A29008" s="64" t="str">
        <f>HYPERLINK("http://www.twitter.com/Chitgrrl", "Chitgrrl")</f>
        <v>Chitgrrl</v>
      </c>
      <c r="B29008" s="65" t="s">
        <v>11991</v>
      </c>
    </row>
    <row r="29009" spans="1:2" x14ac:dyDescent="0.25">
      <c r="A29009" s="64" t="str">
        <f>HYPERLINK("http://www.twitter.com/NEURON12345", "NEURON12345")</f>
        <v>NEURON12345</v>
      </c>
      <c r="B29009" s="65" t="s">
        <v>11992</v>
      </c>
    </row>
    <row r="29010" spans="1:2" x14ac:dyDescent="0.25">
      <c r="A29010" s="64" t="str">
        <f>HYPERLINK("http://www.twitter.com/saraofyork", "saraofyork")</f>
        <v>saraofyork</v>
      </c>
      <c r="B29010" s="65"/>
    </row>
    <row r="29011" spans="1:2" x14ac:dyDescent="0.25">
      <c r="A29011" s="64" t="str">
        <f>HYPERLINK("http://www.twitter.com/buhouse", "buhouse")</f>
        <v>buhouse</v>
      </c>
      <c r="B29011" s="65" t="s">
        <v>11700</v>
      </c>
    </row>
    <row r="29012" spans="1:2" x14ac:dyDescent="0.25">
      <c r="A29012" s="64" t="str">
        <f>HYPERLINK("http://www.twitter.com/Willmslo", "Willmslo")</f>
        <v>Willmslo</v>
      </c>
      <c r="B29012" s="65"/>
    </row>
    <row r="29013" spans="1:2" x14ac:dyDescent="0.25">
      <c r="A29013" s="64" t="str">
        <f>HYPERLINK("http://www.twitter.com/duncanmaclaren", "duncanmaclaren")</f>
        <v>duncanmaclaren</v>
      </c>
      <c r="B29013" s="65" t="s">
        <v>11993</v>
      </c>
    </row>
    <row r="29014" spans="1:2" x14ac:dyDescent="0.25">
      <c r="A29014" s="64" t="str">
        <f>HYPERLINK("http://www.twitter.com/IRMSConference", "IRMSConference")</f>
        <v>IRMSConference</v>
      </c>
      <c r="B29014" s="65" t="s">
        <v>2102</v>
      </c>
    </row>
    <row r="29015" spans="1:2" x14ac:dyDescent="0.25">
      <c r="A29015" s="64" t="str">
        <f>HYPERLINK("http://www.twitter.com/NTS_Adam", "NTS_Adam")</f>
        <v>NTS_Adam</v>
      </c>
      <c r="B29015" s="65" t="s">
        <v>318</v>
      </c>
    </row>
    <row r="29016" spans="1:2" x14ac:dyDescent="0.25">
      <c r="A29016" s="64" t="str">
        <f>HYPERLINK("http://www.twitter.com/booxnstories", "booxnstories")</f>
        <v>booxnstories</v>
      </c>
      <c r="B29016" s="65" t="s">
        <v>10024</v>
      </c>
    </row>
    <row r="29017" spans="1:2" x14ac:dyDescent="0.25">
      <c r="A29017" s="64" t="str">
        <f>HYPERLINK("http://www.twitter.com/GhostLibrary_", "GhostLibrary_")</f>
        <v>GhostLibrary_</v>
      </c>
      <c r="B29017" s="65"/>
    </row>
    <row r="29018" spans="1:2" x14ac:dyDescent="0.25">
      <c r="A29018" s="64" t="str">
        <f>HYPERLINK("http://www.twitter.com/s_a_smart", "s_a_smart")</f>
        <v>s_a_smart</v>
      </c>
      <c r="B29018" s="65" t="s">
        <v>24</v>
      </c>
    </row>
    <row r="29019" spans="1:2" x14ac:dyDescent="0.25">
      <c r="A29019" s="64" t="str">
        <f>HYPERLINK("http://www.twitter.com/heathcliffs1", "heathcliffs1")</f>
        <v>heathcliffs1</v>
      </c>
      <c r="B29019" s="65" t="s">
        <v>296</v>
      </c>
    </row>
    <row r="29020" spans="1:2" x14ac:dyDescent="0.25">
      <c r="A29020" s="64" t="str">
        <f>HYPERLINK("http://www.twitter.com/a_j_bru", "a_j_bru")</f>
        <v>a_j_bru</v>
      </c>
      <c r="B29020" s="65" t="s">
        <v>11994</v>
      </c>
    </row>
    <row r="29021" spans="1:2" x14ac:dyDescent="0.25">
      <c r="A29021" s="64" t="str">
        <f>HYPERLINK("http://www.twitter.com/kristenklc", "kristenklc")</f>
        <v>kristenklc</v>
      </c>
      <c r="B29021" s="65"/>
    </row>
    <row r="29022" spans="1:2" x14ac:dyDescent="0.25">
      <c r="A29022" s="64" t="str">
        <f>HYPERLINK("http://www.twitter.com/Acrom265", "Acrom265")</f>
        <v>Acrom265</v>
      </c>
      <c r="B29022" s="65"/>
    </row>
    <row r="29023" spans="1:2" x14ac:dyDescent="0.25">
      <c r="A29023" s="64" t="str">
        <f>HYPERLINK("http://www.twitter.com/ciara_drummond", "ciara_drummond")</f>
        <v>ciara_drummond</v>
      </c>
      <c r="B29023" s="65"/>
    </row>
    <row r="29024" spans="1:2" x14ac:dyDescent="0.25">
      <c r="A29024" s="64" t="str">
        <f>HYPERLINK("http://www.twitter.com/zojo78", "zojo78")</f>
        <v>zojo78</v>
      </c>
      <c r="B29024" s="65" t="s">
        <v>517</v>
      </c>
    </row>
    <row r="29025" spans="1:2" x14ac:dyDescent="0.25">
      <c r="A29025" s="64" t="str">
        <f>HYPERLINK("http://www.twitter.com/UoEArtColl", "UoEArtColl")</f>
        <v>UoEArtColl</v>
      </c>
      <c r="B29025" s="65"/>
    </row>
    <row r="29026" spans="1:2" x14ac:dyDescent="0.25">
      <c r="A29026" s="64" t="str">
        <f>HYPERLINK("http://www.twitter.com/ESROlearning", "ESROlearning")</f>
        <v>ESROlearning</v>
      </c>
      <c r="B29026" s="65" t="s">
        <v>5965</v>
      </c>
    </row>
    <row r="29027" spans="1:2" x14ac:dyDescent="0.25">
      <c r="A29027" s="64" t="str">
        <f>HYPERLINK("http://www.twitter.com/CILIPIreland", "CILIPIreland")</f>
        <v>CILIPIreland</v>
      </c>
      <c r="B29027" s="65" t="s">
        <v>2595</v>
      </c>
    </row>
    <row r="29028" spans="1:2" x14ac:dyDescent="0.25">
      <c r="A29028" s="64" t="str">
        <f>HYPERLINK("http://www.twitter.com/moiramcpartlin", "moiramcpartlin")</f>
        <v>moiramcpartlin</v>
      </c>
      <c r="B29028" s="65" t="s">
        <v>11995</v>
      </c>
    </row>
    <row r="29029" spans="1:2" x14ac:dyDescent="0.25">
      <c r="A29029" s="64" t="str">
        <f>HYPERLINK("http://www.twitter.com/annew2002", "annew2002")</f>
        <v>annew2002</v>
      </c>
      <c r="B29029" s="65"/>
    </row>
    <row r="29030" spans="1:2" x14ac:dyDescent="0.25">
      <c r="A29030" s="64" t="str">
        <f>HYPERLINK("http://www.twitter.com/Ardchattan", "Ardchattan")</f>
        <v>Ardchattan</v>
      </c>
      <c r="B29030" s="65" t="s">
        <v>11996</v>
      </c>
    </row>
    <row r="29031" spans="1:2" x14ac:dyDescent="0.25">
      <c r="A29031" s="64" t="str">
        <f>HYPERLINK("http://www.twitter.com/CumberlandLibra", "CumberlandLibra")</f>
        <v>CumberlandLibra</v>
      </c>
      <c r="B29031" s="65" t="s">
        <v>11997</v>
      </c>
    </row>
    <row r="29032" spans="1:2" x14ac:dyDescent="0.25">
      <c r="A29032" s="64" t="str">
        <f>HYPERLINK("http://www.twitter.com/HoxaTapestry", "HoxaTapestry")</f>
        <v>HoxaTapestry</v>
      </c>
      <c r="B29032" s="65" t="s">
        <v>4519</v>
      </c>
    </row>
    <row r="29033" spans="1:2" x14ac:dyDescent="0.25">
      <c r="A29033" s="64" t="str">
        <f>HYPERLINK("http://www.twitter.com/RalphRorkney", "RalphRorkney")</f>
        <v>RalphRorkney</v>
      </c>
      <c r="B29033" s="65"/>
    </row>
    <row r="29034" spans="1:2" x14ac:dyDescent="0.25">
      <c r="A29034" s="64" t="str">
        <f>HYPERLINK("http://www.twitter.com/akigari", "akigari")</f>
        <v>akigari</v>
      </c>
      <c r="B29034" s="65"/>
    </row>
    <row r="29035" spans="1:2" x14ac:dyDescent="0.25">
      <c r="A29035" s="64" t="str">
        <f>HYPERLINK("http://www.twitter.com/pengytweet", "pengytweet")</f>
        <v>pengytweet</v>
      </c>
      <c r="B29035" s="65" t="s">
        <v>11998</v>
      </c>
    </row>
    <row r="29036" spans="1:2" x14ac:dyDescent="0.25">
      <c r="A29036" s="64" t="str">
        <f>HYPERLINK("http://www.twitter.com/Sarah_SGA", "Sarah_SGA")</f>
        <v>Sarah_SGA</v>
      </c>
      <c r="B29036" s="65" t="s">
        <v>36</v>
      </c>
    </row>
    <row r="29037" spans="1:2" x14ac:dyDescent="0.25">
      <c r="A29037" s="64" t="str">
        <f>HYPERLINK("http://www.twitter.com/LouiseASaunders", "LouiseASaunders")</f>
        <v>LouiseASaunders</v>
      </c>
      <c r="B29037" s="65" t="s">
        <v>6839</v>
      </c>
    </row>
    <row r="29038" spans="1:2" x14ac:dyDescent="0.25">
      <c r="A29038" s="64" t="str">
        <f>HYPERLINK("http://www.twitter.com/KayBohan", "KayBohan")</f>
        <v>KayBohan</v>
      </c>
      <c r="B29038" s="65" t="s">
        <v>67</v>
      </c>
    </row>
    <row r="29039" spans="1:2" x14ac:dyDescent="0.25">
      <c r="A29039" s="64" t="str">
        <f>HYPERLINK("http://www.twitter.com/aryman", "aryman")</f>
        <v>aryman</v>
      </c>
      <c r="B29039" s="65" t="s">
        <v>11999</v>
      </c>
    </row>
    <row r="29040" spans="1:2" x14ac:dyDescent="0.25">
      <c r="A29040" s="64" t="str">
        <f>HYPERLINK("http://www.twitter.com/PDbreeks", "PDbreeks")</f>
        <v>PDbreeks</v>
      </c>
      <c r="B29040" s="65"/>
    </row>
    <row r="29041" spans="1:2" x14ac:dyDescent="0.25">
      <c r="A29041" s="64" t="str">
        <f>HYPERLINK("http://www.twitter.com/Karen_j_piper", "Karen_j_piper")</f>
        <v>Karen_j_piper</v>
      </c>
      <c r="B29041" s="65"/>
    </row>
    <row r="29042" spans="1:2" x14ac:dyDescent="0.25">
      <c r="A29042" s="64" t="str">
        <f>HYPERLINK("http://www.twitter.com/ReflexRolUK", "ReflexRolUK")</f>
        <v>ReflexRolUK</v>
      </c>
      <c r="B29042" s="65" t="s">
        <v>12000</v>
      </c>
    </row>
    <row r="29043" spans="1:2" x14ac:dyDescent="0.25">
      <c r="A29043" s="64" t="str">
        <f>HYPERLINK("http://www.twitter.com/EastonMsusan", "EastonMsusan")</f>
        <v>EastonMsusan</v>
      </c>
      <c r="B29043" s="65"/>
    </row>
    <row r="29044" spans="1:2" x14ac:dyDescent="0.25">
      <c r="A29044" s="64" t="str">
        <f>HYPERLINK("http://www.twitter.com/nicola1donnelly", "nicola1donnelly")</f>
        <v>nicola1donnelly</v>
      </c>
      <c r="B29044" s="65" t="s">
        <v>1482</v>
      </c>
    </row>
    <row r="29045" spans="1:2" x14ac:dyDescent="0.25">
      <c r="A29045" s="64" t="str">
        <f>HYPERLINK("http://www.twitter.com/YateleyLibrary", "YateleyLibrary")</f>
        <v>YateleyLibrary</v>
      </c>
      <c r="B29045" s="65" t="s">
        <v>1490</v>
      </c>
    </row>
    <row r="29046" spans="1:2" x14ac:dyDescent="0.25">
      <c r="A29046" s="64" t="str">
        <f>HYPERLINK("http://www.twitter.com/rachthomson55", "rachthomson55")</f>
        <v>rachthomson55</v>
      </c>
      <c r="B29046" s="65" t="s">
        <v>12001</v>
      </c>
    </row>
    <row r="29047" spans="1:2" x14ac:dyDescent="0.25">
      <c r="A29047" s="64" t="str">
        <f>HYPERLINK("http://www.twitter.com/Ergelwim", "Ergelwim")</f>
        <v>Ergelwim</v>
      </c>
      <c r="B29047" s="65" t="s">
        <v>158</v>
      </c>
    </row>
    <row r="29048" spans="1:2" x14ac:dyDescent="0.25">
      <c r="A29048" s="64" t="str">
        <f>HYPERLINK("http://www.twitter.com/OreoDotCom", "OreoDotCom")</f>
        <v>OreoDotCom</v>
      </c>
      <c r="B29048" s="65" t="s">
        <v>12002</v>
      </c>
    </row>
    <row r="29049" spans="1:2" x14ac:dyDescent="0.25">
      <c r="A29049" s="64" t="str">
        <f>HYPERLINK("http://www.twitter.com/AmyTodman", "AmyTodman")</f>
        <v>AmyTodman</v>
      </c>
      <c r="B29049" s="65" t="s">
        <v>487</v>
      </c>
    </row>
    <row r="29050" spans="1:2" x14ac:dyDescent="0.25">
      <c r="A29050" s="64" t="str">
        <f>HYPERLINK("http://www.twitter.com/RQureshiBook", "RQureshiBook")</f>
        <v>RQureshiBook</v>
      </c>
      <c r="B29050" s="65" t="s">
        <v>12003</v>
      </c>
    </row>
    <row r="29051" spans="1:2" x14ac:dyDescent="0.25">
      <c r="A29051" s="64" t="str">
        <f>HYPERLINK("http://www.twitter.com/ideastorecafe", "ideastorecafe")</f>
        <v>ideastorecafe</v>
      </c>
      <c r="B29051" s="65" t="s">
        <v>12004</v>
      </c>
    </row>
    <row r="29052" spans="1:2" x14ac:dyDescent="0.25">
      <c r="A29052" s="64" t="str">
        <f>HYPERLINK("http://www.twitter.com/johannagoetze", "johannagoetze")</f>
        <v>johannagoetze</v>
      </c>
      <c r="B29052" s="65" t="s">
        <v>110</v>
      </c>
    </row>
    <row r="29053" spans="1:2" x14ac:dyDescent="0.25">
      <c r="A29053" s="64" t="str">
        <f>HYPERLINK("http://www.twitter.com/Flora_talks", "Flora_talks")</f>
        <v>Flora_talks</v>
      </c>
      <c r="B29053" s="65" t="s">
        <v>36</v>
      </c>
    </row>
    <row r="29054" spans="1:2" x14ac:dyDescent="0.25">
      <c r="A29054" s="64" t="str">
        <f>HYPERLINK("http://www.twitter.com/MichaelMacLeod1", "MichaelMacLeod1")</f>
        <v>MichaelMacLeod1</v>
      </c>
      <c r="B29054" s="65" t="s">
        <v>36</v>
      </c>
    </row>
    <row r="29055" spans="1:2" x14ac:dyDescent="0.25">
      <c r="A29055" s="64" t="str">
        <f>HYPERLINK("http://www.twitter.com/outsideinmag", "outsideinmag")</f>
        <v>outsideinmag</v>
      </c>
      <c r="B29055" s="65"/>
    </row>
    <row r="29056" spans="1:2" x14ac:dyDescent="0.25">
      <c r="A29056" s="64" t="str">
        <f>HYPERLINK("http://www.twitter.com/somos_ballenero", "somos_ballenero")</f>
        <v>somos_ballenero</v>
      </c>
      <c r="B29056" s="65"/>
    </row>
    <row r="29057" spans="1:2" x14ac:dyDescent="0.25">
      <c r="A29057" s="64" t="str">
        <f>HYPERLINK("http://www.twitter.com/LibrarianKev", "LibrarianKev")</f>
        <v>LibrarianKev</v>
      </c>
      <c r="B29057" s="65" t="s">
        <v>318</v>
      </c>
    </row>
    <row r="29058" spans="1:2" x14ac:dyDescent="0.25">
      <c r="A29058" s="64" t="str">
        <f>HYPERLINK("http://www.twitter.com/PeelOnline", "PeelOnline")</f>
        <v>PeelOnline</v>
      </c>
      <c r="B29058" s="65" t="s">
        <v>12005</v>
      </c>
    </row>
    <row r="29059" spans="1:2" x14ac:dyDescent="0.25">
      <c r="A29059" s="64" t="str">
        <f>HYPERLINK("http://www.twitter.com/tarnoodle", "tarnoodle")</f>
        <v>tarnoodle</v>
      </c>
      <c r="B29059" s="65" t="s">
        <v>24</v>
      </c>
    </row>
    <row r="29060" spans="1:2" x14ac:dyDescent="0.25">
      <c r="A29060" s="64" t="str">
        <f>HYPERLINK("http://www.twitter.com/librariotypes", "librariotypes")</f>
        <v>librariotypes</v>
      </c>
      <c r="B29060" s="65" t="s">
        <v>12006</v>
      </c>
    </row>
    <row r="29061" spans="1:2" x14ac:dyDescent="0.25">
      <c r="A29061" s="64" t="str">
        <f>HYPERLINK("http://www.twitter.com/CILIPEvents", "CILIPEvents")</f>
        <v>CILIPEvents</v>
      </c>
      <c r="B29061" s="65" t="s">
        <v>110</v>
      </c>
    </row>
    <row r="29062" spans="1:2" x14ac:dyDescent="0.25">
      <c r="A29062" s="64" t="str">
        <f>HYPERLINK("http://www.twitter.com/solovewriting", "solovewriting")</f>
        <v>solovewriting</v>
      </c>
      <c r="B29062" s="65" t="s">
        <v>12007</v>
      </c>
    </row>
    <row r="29063" spans="1:2" x14ac:dyDescent="0.25">
      <c r="A29063" s="64" t="str">
        <f>HYPERLINK("http://www.twitter.com/KnaphillLib", "KnaphillLib")</f>
        <v>KnaphillLib</v>
      </c>
      <c r="B29063" s="65" t="s">
        <v>1368</v>
      </c>
    </row>
    <row r="29064" spans="1:2" x14ac:dyDescent="0.25">
      <c r="A29064" s="64" t="str">
        <f>HYPERLINK("http://www.twitter.com/dcadkins", "dcadkins")</f>
        <v>dcadkins</v>
      </c>
      <c r="B29064" s="65"/>
    </row>
    <row r="29065" spans="1:2" x14ac:dyDescent="0.25">
      <c r="A29065" s="64" t="str">
        <f>HYPERLINK("http://www.twitter.com/srt37", "srt37")</f>
        <v>srt37</v>
      </c>
      <c r="B29065" s="65"/>
    </row>
    <row r="29066" spans="1:2" x14ac:dyDescent="0.25">
      <c r="A29066" s="64" t="str">
        <f>HYPERLINK("http://www.twitter.com/sophie_ramsay", "sophie_ramsay")</f>
        <v>sophie_ramsay</v>
      </c>
      <c r="B29066" s="65"/>
    </row>
    <row r="29067" spans="1:2" x14ac:dyDescent="0.25">
      <c r="A29067" s="64" t="str">
        <f>HYPERLINK("http://www.twitter.com/annie18962003", "annie18962003")</f>
        <v>annie18962003</v>
      </c>
      <c r="B29067" s="65"/>
    </row>
    <row r="29068" spans="1:2" x14ac:dyDescent="0.25">
      <c r="A29068" s="64" t="str">
        <f>HYPERLINK("http://www.twitter.com/ciderlass", "ciderlass")</f>
        <v>ciderlass</v>
      </c>
      <c r="B29068" s="65"/>
    </row>
    <row r="29069" spans="1:2" x14ac:dyDescent="0.25">
      <c r="A29069" s="64" t="str">
        <f>HYPERLINK("http://www.twitter.com/ManJewishMuseum", "ManJewishMuseum")</f>
        <v>ManJewishMuseum</v>
      </c>
      <c r="B29069" s="65" t="s">
        <v>4040</v>
      </c>
    </row>
    <row r="29070" spans="1:2" x14ac:dyDescent="0.25">
      <c r="A29070" s="64" t="str">
        <f>HYPERLINK("http://www.twitter.com/kirsteenconnor", "kirsteenconnor")</f>
        <v>kirsteenconnor</v>
      </c>
      <c r="B29070" s="65"/>
    </row>
    <row r="29071" spans="1:2" x14ac:dyDescent="0.25">
      <c r="A29071" s="64" t="str">
        <f>HYPERLINK("http://www.twitter.com/ChatsworthHouse", "ChatsworthHouse")</f>
        <v>ChatsworthHouse</v>
      </c>
      <c r="B29071" s="65" t="s">
        <v>1885</v>
      </c>
    </row>
    <row r="29072" spans="1:2" x14ac:dyDescent="0.25">
      <c r="A29072" s="64" t="str">
        <f>HYPERLINK("http://www.twitter.com/LBHFLibraries", "LBHFLibraries")</f>
        <v>LBHFLibraries</v>
      </c>
      <c r="B29072" s="65" t="s">
        <v>110</v>
      </c>
    </row>
    <row r="29073" spans="1:2" x14ac:dyDescent="0.25">
      <c r="A29073" s="64" t="str">
        <f>HYPERLINK("http://www.twitter.com/heelandcooow", "heelandcooow")</f>
        <v>heelandcooow</v>
      </c>
      <c r="B29073" s="65" t="s">
        <v>4436</v>
      </c>
    </row>
    <row r="29074" spans="1:2" x14ac:dyDescent="0.25">
      <c r="A29074" s="64" t="str">
        <f>HYPERLINK("http://www.twitter.com/balliolarchives", "balliolarchives")</f>
        <v>balliolarchives</v>
      </c>
      <c r="B29074" s="65" t="s">
        <v>12008</v>
      </c>
    </row>
    <row r="29075" spans="1:2" x14ac:dyDescent="0.25">
      <c r="A29075" s="64" t="str">
        <f>HYPERLINK("http://www.twitter.com/JulReid3", "JulReid3")</f>
        <v>JulReid3</v>
      </c>
      <c r="B29075" s="65"/>
    </row>
    <row r="29076" spans="1:2" x14ac:dyDescent="0.25">
      <c r="A29076" s="64" t="str">
        <f>HYPERLINK("http://www.twitter.com/bozzyfest", "bozzyfest")</f>
        <v>bozzyfest</v>
      </c>
      <c r="B29076" s="65" t="s">
        <v>517</v>
      </c>
    </row>
    <row r="29077" spans="1:2" x14ac:dyDescent="0.25">
      <c r="A29077" s="64" t="str">
        <f>HYPERLINK("http://www.twitter.com/J_westwood", "J_westwood")</f>
        <v>J_westwood</v>
      </c>
      <c r="B29077" s="65" t="s">
        <v>2997</v>
      </c>
    </row>
    <row r="29078" spans="1:2" x14ac:dyDescent="0.25">
      <c r="A29078" s="64" t="str">
        <f>HYPERLINK("http://www.twitter.com/rrattazzi", "rrattazzi")</f>
        <v>rrattazzi</v>
      </c>
      <c r="B29078" s="65" t="s">
        <v>7011</v>
      </c>
    </row>
    <row r="29079" spans="1:2" x14ac:dyDescent="0.25">
      <c r="A29079" s="64" t="str">
        <f>HYPERLINK("http://www.twitter.com/HeatherPitman", "HeatherPitman")</f>
        <v>HeatherPitman</v>
      </c>
      <c r="B29079" s="65"/>
    </row>
    <row r="29080" spans="1:2" x14ac:dyDescent="0.25">
      <c r="A29080" s="64" t="str">
        <f>HYPERLINK("http://www.twitter.com/MalcolmRed1", "MalcolmRed1")</f>
        <v>MalcolmRed1</v>
      </c>
      <c r="B29080" s="65" t="s">
        <v>12009</v>
      </c>
    </row>
    <row r="29081" spans="1:2" x14ac:dyDescent="0.25">
      <c r="A29081" s="64" t="str">
        <f>HYPERLINK("http://www.twitter.com/CUCataloguing", "CUCataloguing")</f>
        <v>CUCataloguing</v>
      </c>
      <c r="B29081" s="65" t="s">
        <v>1218</v>
      </c>
    </row>
    <row r="29082" spans="1:2" x14ac:dyDescent="0.25">
      <c r="A29082" s="64" t="str">
        <f>HYPERLINK("http://www.twitter.com/ArchivesWales", "ArchivesWales")</f>
        <v>ArchivesWales</v>
      </c>
      <c r="B29082" s="65"/>
    </row>
    <row r="29083" spans="1:2" x14ac:dyDescent="0.25">
      <c r="A29083" s="64" t="str">
        <f>HYPERLINK("http://www.twitter.com/NelsonMandela", "NelsonMandela")</f>
        <v>NelsonMandela</v>
      </c>
      <c r="B29083" s="65" t="s">
        <v>12010</v>
      </c>
    </row>
    <row r="29084" spans="1:2" x14ac:dyDescent="0.25">
      <c r="A29084" s="64" t="str">
        <f>HYPERLINK("http://www.twitter.com/charlotteacraig", "charlotteacraig")</f>
        <v>charlotteacraig</v>
      </c>
      <c r="B29084" s="65" t="s">
        <v>517</v>
      </c>
    </row>
    <row r="29085" spans="1:2" x14ac:dyDescent="0.25">
      <c r="A29085" s="64" t="str">
        <f>HYPERLINK("http://www.twitter.com/NicCam81", "NicCam81")</f>
        <v>NicCam81</v>
      </c>
      <c r="B29085" s="65"/>
    </row>
    <row r="29086" spans="1:2" x14ac:dyDescent="0.25">
      <c r="A29086" s="64" t="str">
        <f>HYPERLINK("http://www.twitter.com/Marinopoulou1", "Marinopoulou1")</f>
        <v>Marinopoulou1</v>
      </c>
      <c r="B29086" s="65" t="s">
        <v>12011</v>
      </c>
    </row>
    <row r="29087" spans="1:2" x14ac:dyDescent="0.25">
      <c r="A29087" s="64" t="str">
        <f>HYPERLINK("http://www.twitter.com/glitzlit", "glitzlit")</f>
        <v>glitzlit</v>
      </c>
      <c r="B29087" s="65" t="s">
        <v>12012</v>
      </c>
    </row>
    <row r="29088" spans="1:2" x14ac:dyDescent="0.25">
      <c r="A29088" s="64" t="str">
        <f>HYPERLINK("http://www.twitter.com/phoenixcomicuk", "phoenixcomicuk")</f>
        <v>phoenixcomicuk</v>
      </c>
      <c r="B29088" s="65" t="s">
        <v>505</v>
      </c>
    </row>
    <row r="29089" spans="1:2" x14ac:dyDescent="0.25">
      <c r="A29089" s="64" t="str">
        <f>HYPERLINK("http://www.twitter.com/scraboview", "scraboview")</f>
        <v>scraboview</v>
      </c>
      <c r="B29089" s="65" t="s">
        <v>2595</v>
      </c>
    </row>
    <row r="29090" spans="1:2" x14ac:dyDescent="0.25">
      <c r="A29090" s="64" t="str">
        <f>HYPERLINK("http://www.twitter.com/Martafer123", "Martafer123")</f>
        <v>Martafer123</v>
      </c>
      <c r="B29090" s="65"/>
    </row>
    <row r="29091" spans="1:2" x14ac:dyDescent="0.25">
      <c r="A29091" s="64" t="str">
        <f>HYPERLINK("http://www.twitter.com/PaperAeroplaneC", "PaperAeroplaneC")</f>
        <v>PaperAeroplaneC</v>
      </c>
      <c r="B29091" s="65" t="s">
        <v>12013</v>
      </c>
    </row>
    <row r="29092" spans="1:2" x14ac:dyDescent="0.25">
      <c r="A29092" s="64" t="str">
        <f>HYPERLINK("http://www.twitter.com/GoldsmithsPrize", "GoldsmithsPrize")</f>
        <v>GoldsmithsPrize</v>
      </c>
      <c r="B29092" s="65" t="s">
        <v>36</v>
      </c>
    </row>
    <row r="29093" spans="1:2" x14ac:dyDescent="0.25">
      <c r="A29093" s="64" t="str">
        <f>HYPERLINK("http://www.twitter.com/JoyRitch", "JoyRitch")</f>
        <v>JoyRitch</v>
      </c>
      <c r="B29093" s="65" t="s">
        <v>12014</v>
      </c>
    </row>
    <row r="29094" spans="1:2" x14ac:dyDescent="0.25">
      <c r="A29094" s="64" t="str">
        <f>HYPERLINK("http://www.twitter.com/GerriIceCream", "GerriIceCream")</f>
        <v>GerriIceCream</v>
      </c>
      <c r="B29094" s="65" t="s">
        <v>12015</v>
      </c>
    </row>
    <row r="29095" spans="1:2" x14ac:dyDescent="0.25">
      <c r="A29095" s="64" t="str">
        <f>HYPERLINK("http://www.twitter.com/RandomArchivist", "RandomArchivist")</f>
        <v>RandomArchivist</v>
      </c>
      <c r="B29095" s="65" t="s">
        <v>12016</v>
      </c>
    </row>
    <row r="29096" spans="1:2" x14ac:dyDescent="0.25">
      <c r="A29096" s="64" t="str">
        <f>HYPERLINK("http://www.twitter.com/rambose007", "rambose007")</f>
        <v>rambose007</v>
      </c>
      <c r="B29096" s="65" t="s">
        <v>4613</v>
      </c>
    </row>
    <row r="29097" spans="1:2" x14ac:dyDescent="0.25">
      <c r="A29097" s="64" t="str">
        <f>HYPERLINK("http://www.twitter.com/wnorwoodlibrary", "wnorwoodlibrary")</f>
        <v>wnorwoodlibrary</v>
      </c>
      <c r="B29097" s="65" t="s">
        <v>110</v>
      </c>
    </row>
    <row r="29098" spans="1:2" x14ac:dyDescent="0.25">
      <c r="A29098" s="64" t="str">
        <f>HYPERLINK("http://www.twitter.com/retailcr", "retailcr")</f>
        <v>retailcr</v>
      </c>
      <c r="B29098" s="65" t="s">
        <v>24</v>
      </c>
    </row>
    <row r="29099" spans="1:2" x14ac:dyDescent="0.25">
      <c r="A29099" s="64" t="str">
        <f>HYPERLINK("http://www.twitter.com/scottishproduct", "scottishproduct")</f>
        <v>scottishproduct</v>
      </c>
      <c r="B29099" s="65"/>
    </row>
    <row r="29100" spans="1:2" x14ac:dyDescent="0.25">
      <c r="A29100" s="64" t="str">
        <f>HYPERLINK("http://www.twitter.com/BoltonLMS", "BoltonLMS")</f>
        <v>BoltonLMS</v>
      </c>
      <c r="B29100" s="65" t="s">
        <v>192</v>
      </c>
    </row>
    <row r="29101" spans="1:2" x14ac:dyDescent="0.25">
      <c r="A29101" s="64" t="str">
        <f>HYPERLINK("http://www.twitter.com/HickamBookworm", "HickamBookworm")</f>
        <v>HickamBookworm</v>
      </c>
      <c r="B29101" s="65" t="s">
        <v>10881</v>
      </c>
    </row>
    <row r="29102" spans="1:2" x14ac:dyDescent="0.25">
      <c r="A29102" s="64" t="str">
        <f>HYPERLINK("http://www.twitter.com/NLFerries", "NLFerries")</f>
        <v>NLFerries</v>
      </c>
      <c r="B29102" s="65" t="s">
        <v>12017</v>
      </c>
    </row>
    <row r="29103" spans="1:2" x14ac:dyDescent="0.25">
      <c r="A29103" s="64" t="str">
        <f>HYPERLINK("http://www.twitter.com/AfricanLives", "AfricanLives")</f>
        <v>AfricanLives</v>
      </c>
      <c r="B29103" s="65" t="s">
        <v>4095</v>
      </c>
    </row>
    <row r="29104" spans="1:2" x14ac:dyDescent="0.25">
      <c r="A29104" s="64" t="str">
        <f>HYPERLINK("http://www.twitter.com/MissSx", "MissSx")</f>
        <v>MissSx</v>
      </c>
      <c r="B29104" s="65" t="s">
        <v>5412</v>
      </c>
    </row>
    <row r="29105" spans="1:2" x14ac:dyDescent="0.25">
      <c r="A29105" s="64" t="str">
        <f>HYPERLINK("http://www.twitter.com/sabetteridge", "sabetteridge")</f>
        <v>sabetteridge</v>
      </c>
      <c r="B29105" s="65"/>
    </row>
    <row r="29106" spans="1:2" x14ac:dyDescent="0.25">
      <c r="A29106" s="64" t="str">
        <f>HYPERLINK("http://www.twitter.com/BishopsgateInst", "BishopsgateInst")</f>
        <v>BishopsgateInst</v>
      </c>
      <c r="B29106" s="65" t="s">
        <v>132</v>
      </c>
    </row>
    <row r="29107" spans="1:2" x14ac:dyDescent="0.25">
      <c r="A29107" s="64" t="str">
        <f>HYPERLINK("http://www.twitter.com/GillHoffs", "GillHoffs")</f>
        <v>GillHoffs</v>
      </c>
      <c r="B29107" s="65" t="s">
        <v>6337</v>
      </c>
    </row>
    <row r="29108" spans="1:2" x14ac:dyDescent="0.25">
      <c r="A29108" s="64" t="str">
        <f>HYPERLINK("http://www.twitter.com/BiblioGuarulhos", "BiblioGuarulhos")</f>
        <v>BiblioGuarulhos</v>
      </c>
      <c r="B29108" s="65" t="s">
        <v>12018</v>
      </c>
    </row>
    <row r="29109" spans="1:2" x14ac:dyDescent="0.25">
      <c r="A29109" s="64" t="str">
        <f>HYPERLINK("http://www.twitter.com/knittingkonrad", "knittingkonrad")</f>
        <v>knittingkonrad</v>
      </c>
      <c r="B29109" s="65" t="s">
        <v>11751</v>
      </c>
    </row>
    <row r="29110" spans="1:2" x14ac:dyDescent="0.25">
      <c r="A29110" s="64" t="str">
        <f>HYPERLINK("http://www.twitter.com/kwooldrage", "kwooldrage")</f>
        <v>kwooldrage</v>
      </c>
      <c r="B29110" s="65"/>
    </row>
    <row r="29111" spans="1:2" x14ac:dyDescent="0.25">
      <c r="A29111" s="64" t="str">
        <f>HYPERLINK("http://www.twitter.com/scobro13", "scobro13")</f>
        <v>scobro13</v>
      </c>
      <c r="B29111" s="65" t="s">
        <v>517</v>
      </c>
    </row>
    <row r="29112" spans="1:2" x14ac:dyDescent="0.25">
      <c r="A29112" s="64" t="str">
        <f>HYPERLINK("http://www.twitter.com/sickerthanthou", "sickerthanthou")</f>
        <v>sickerthanthou</v>
      </c>
      <c r="B29112" s="65" t="s">
        <v>4136</v>
      </c>
    </row>
    <row r="29113" spans="1:2" x14ac:dyDescent="0.25">
      <c r="A29113" s="64" t="str">
        <f>HYPERLINK("http://www.twitter.com/OpeningTheBook", "OpeningTheBook")</f>
        <v>OpeningTheBook</v>
      </c>
      <c r="B29113" s="65" t="s">
        <v>296</v>
      </c>
    </row>
    <row r="29114" spans="1:2" x14ac:dyDescent="0.25">
      <c r="A29114" s="64" t="str">
        <f>HYPERLINK("http://www.twitter.com/balsemana", "balsemana")</f>
        <v>balsemana</v>
      </c>
      <c r="B29114" s="65" t="s">
        <v>12019</v>
      </c>
    </row>
    <row r="29115" spans="1:2" x14ac:dyDescent="0.25">
      <c r="A29115" s="64" t="str">
        <f>HYPERLINK("http://www.twitter.com/commapress", "commapress")</f>
        <v>commapress</v>
      </c>
      <c r="B29115" s="65" t="s">
        <v>4040</v>
      </c>
    </row>
    <row r="29116" spans="1:2" x14ac:dyDescent="0.25">
      <c r="A29116" s="64" t="str">
        <f>HYPERLINK("http://www.twitter.com/POS_99", "POS_99")</f>
        <v>POS_99</v>
      </c>
      <c r="B29116" s="65" t="s">
        <v>10994</v>
      </c>
    </row>
    <row r="29117" spans="1:2" x14ac:dyDescent="0.25">
      <c r="A29117" s="64" t="str">
        <f>HYPERLINK("http://www.twitter.com/LibDiversity", "LibDiversity")</f>
        <v>LibDiversity</v>
      </c>
      <c r="B29117" s="65" t="s">
        <v>4145</v>
      </c>
    </row>
    <row r="29118" spans="1:2" x14ac:dyDescent="0.25">
      <c r="A29118" s="64" t="str">
        <f>HYPERLINK("http://www.twitter.com/SueCorrigall", "SueCorrigall")</f>
        <v>SueCorrigall</v>
      </c>
      <c r="B29118" s="65" t="s">
        <v>24</v>
      </c>
    </row>
    <row r="29119" spans="1:2" x14ac:dyDescent="0.25">
      <c r="A29119" s="64" t="str">
        <f>HYPERLINK("http://www.twitter.com/RRMediaTV", "RRMediaTV")</f>
        <v>RRMediaTV</v>
      </c>
      <c r="B29119" s="65" t="s">
        <v>4177</v>
      </c>
    </row>
    <row r="29120" spans="1:2" x14ac:dyDescent="0.25">
      <c r="A29120" s="64" t="str">
        <f>HYPERLINK("http://www.twitter.com/KingDerekII", "KingDerekII")</f>
        <v>KingDerekII</v>
      </c>
      <c r="B29120" s="65" t="s">
        <v>4789</v>
      </c>
    </row>
    <row r="29121" spans="1:2" x14ac:dyDescent="0.25">
      <c r="A29121" s="64" t="str">
        <f>HYPERLINK("http://www.twitter.com/AIM25news", "AIM25news")</f>
        <v>AIM25news</v>
      </c>
      <c r="B29121" s="65"/>
    </row>
    <row r="29122" spans="1:2" x14ac:dyDescent="0.25">
      <c r="A29122" s="64" t="str">
        <f>HYPERLINK("http://www.twitter.com/auchentorlie", "auchentorlie")</f>
        <v>auchentorlie</v>
      </c>
      <c r="B29122" s="65"/>
    </row>
    <row r="29123" spans="1:2" x14ac:dyDescent="0.25">
      <c r="A29123" s="64" t="str">
        <f>HYPERLINK("http://www.twitter.com/eskimo_design", "eskimo_design")</f>
        <v>eskimo_design</v>
      </c>
      <c r="B29123" s="65" t="s">
        <v>24</v>
      </c>
    </row>
    <row r="29124" spans="1:2" x14ac:dyDescent="0.25">
      <c r="A29124" s="64" t="str">
        <f>HYPERLINK("http://www.twitter.com/ggyule", "ggyule")</f>
        <v>ggyule</v>
      </c>
      <c r="B29124" s="65" t="s">
        <v>12020</v>
      </c>
    </row>
    <row r="29125" spans="1:2" x14ac:dyDescent="0.25">
      <c r="A29125" s="64" t="str">
        <f>HYPERLINK("http://www.twitter.com/amberoid", "amberoid")</f>
        <v>amberoid</v>
      </c>
      <c r="B29125" s="65" t="s">
        <v>296</v>
      </c>
    </row>
    <row r="29126" spans="1:2" x14ac:dyDescent="0.25">
      <c r="A29126" s="64" t="str">
        <f>HYPERLINK("http://www.twitter.com/GSarge16", "GSarge16")</f>
        <v>GSarge16</v>
      </c>
      <c r="B29126" s="65"/>
    </row>
    <row r="29127" spans="1:2" x14ac:dyDescent="0.25">
      <c r="A29127" s="64" t="str">
        <f>HYPERLINK("http://www.twitter.com/benwim11", "benwim11")</f>
        <v>benwim11</v>
      </c>
      <c r="B29127" s="65"/>
    </row>
    <row r="29128" spans="1:2" x14ac:dyDescent="0.25">
      <c r="A29128" s="64" t="str">
        <f>HYPERLINK("http://www.twitter.com/AndrewStruan", "AndrewStruan")</f>
        <v>AndrewStruan</v>
      </c>
      <c r="B29128" s="65" t="s">
        <v>138</v>
      </c>
    </row>
    <row r="29129" spans="1:2" x14ac:dyDescent="0.25">
      <c r="A29129" s="64" t="str">
        <f>HYPERLINK("http://www.twitter.com/DkITLibrary", "DkITLibrary")</f>
        <v>DkITLibrary</v>
      </c>
      <c r="B29129" s="65" t="s">
        <v>12021</v>
      </c>
    </row>
    <row r="29130" spans="1:2" x14ac:dyDescent="0.25">
      <c r="A29130" s="64" t="str">
        <f>HYPERLINK("http://www.twitter.com/odnb", "odnb")</f>
        <v>odnb</v>
      </c>
      <c r="B29130" s="65" t="s">
        <v>12</v>
      </c>
    </row>
    <row r="29131" spans="1:2" x14ac:dyDescent="0.25">
      <c r="A29131" s="64" t="str">
        <f>HYPERLINK("http://www.twitter.com/gartoc2", "gartoc2")</f>
        <v>gartoc2</v>
      </c>
      <c r="B29131" s="65"/>
    </row>
    <row r="29132" spans="1:2" x14ac:dyDescent="0.25">
      <c r="A29132" s="64" t="str">
        <f>HYPERLINK("http://www.twitter.com/ejwsull14", "ejwsull14")</f>
        <v>ejwsull14</v>
      </c>
      <c r="B29132" s="65"/>
    </row>
    <row r="29133" spans="1:2" x14ac:dyDescent="0.25">
      <c r="A29133" s="64" t="str">
        <f>HYPERLINK("http://www.twitter.com/piecefsheet", "piecefsheet")</f>
        <v>piecefsheet</v>
      </c>
      <c r="B29133" s="65" t="s">
        <v>12022</v>
      </c>
    </row>
    <row r="29134" spans="1:2" x14ac:dyDescent="0.25">
      <c r="A29134" s="64" t="str">
        <f>HYPERLINK("http://www.twitter.com/vjrgma", "vjrgma")</f>
        <v>vjrgma</v>
      </c>
      <c r="B29134" s="65"/>
    </row>
    <row r="29135" spans="1:2" x14ac:dyDescent="0.25">
      <c r="A29135" s="64" t="str">
        <f>HYPERLINK("http://www.twitter.com/gabasom", "gabasom")</f>
        <v>gabasom</v>
      </c>
      <c r="B29135" s="65"/>
    </row>
    <row r="29136" spans="1:2" x14ac:dyDescent="0.25">
      <c r="A29136" s="64" t="str">
        <f>HYPERLINK("http://www.twitter.com/3_hamish", "3_hamish")</f>
        <v>3_hamish</v>
      </c>
      <c r="B29136" s="65"/>
    </row>
    <row r="29137" spans="1:2" x14ac:dyDescent="0.25">
      <c r="A29137" s="64" t="str">
        <f>HYPERLINK("http://www.twitter.com/Philip_Hannay", "Philip_Hannay")</f>
        <v>Philip_Hannay</v>
      </c>
      <c r="B29137" s="65" t="s">
        <v>138</v>
      </c>
    </row>
    <row r="29138" spans="1:2" x14ac:dyDescent="0.25">
      <c r="A29138" s="64" t="str">
        <f>HYPERLINK("http://www.twitter.com/KaoriHilton", "KaoriHilton")</f>
        <v>KaoriHilton</v>
      </c>
      <c r="B29138" s="65"/>
    </row>
    <row r="29139" spans="1:2" x14ac:dyDescent="0.25">
      <c r="A29139" s="64" t="str">
        <f>HYPERLINK("http://www.twitter.com/chillipop9", "chillipop9")</f>
        <v>chillipop9</v>
      </c>
      <c r="B29139" s="65" t="s">
        <v>12023</v>
      </c>
    </row>
    <row r="29140" spans="1:2" x14ac:dyDescent="0.25">
      <c r="A29140" s="64" t="str">
        <f>HYPERLINK("http://www.twitter.com/boisepublib", "boisepublib")</f>
        <v>boisepublib</v>
      </c>
      <c r="B29140" s="65" t="s">
        <v>7200</v>
      </c>
    </row>
    <row r="29141" spans="1:2" x14ac:dyDescent="0.25">
      <c r="A29141" s="64" t="str">
        <f>HYPERLINK("http://www.twitter.com/KnightyStar", "KnightyStar")</f>
        <v>KnightyStar</v>
      </c>
      <c r="B29141" s="65"/>
    </row>
    <row r="29142" spans="1:2" x14ac:dyDescent="0.25">
      <c r="A29142" s="64" t="str">
        <f>HYPERLINK("http://www.twitter.com/ruth_m_gould", "ruth_m_gould")</f>
        <v>ruth_m_gould</v>
      </c>
      <c r="B29142" s="65"/>
    </row>
    <row r="29143" spans="1:2" x14ac:dyDescent="0.25">
      <c r="A29143" s="64" t="str">
        <f>HYPERLINK("http://www.twitter.com/straigonabandb", "straigonabandb")</f>
        <v>straigonabandb</v>
      </c>
      <c r="B29143" s="65" t="s">
        <v>11697</v>
      </c>
    </row>
    <row r="29144" spans="1:2" x14ac:dyDescent="0.25">
      <c r="A29144" s="64" t="str">
        <f>HYPERLINK("http://www.twitter.com/hellychelly", "hellychelly")</f>
        <v>hellychelly</v>
      </c>
      <c r="B29144" s="65" t="s">
        <v>730</v>
      </c>
    </row>
    <row r="29145" spans="1:2" x14ac:dyDescent="0.25">
      <c r="A29145" s="64" t="str">
        <f>HYPERLINK("http://www.twitter.com/GodalmingLib", "GodalmingLib")</f>
        <v>GodalmingLib</v>
      </c>
      <c r="B29145" s="65" t="s">
        <v>893</v>
      </c>
    </row>
    <row r="29146" spans="1:2" x14ac:dyDescent="0.25">
      <c r="A29146" s="64" t="str">
        <f>HYPERLINK("http://www.twitter.com/ukmurdermystery", "ukmurdermystery")</f>
        <v>ukmurdermystery</v>
      </c>
      <c r="B29146" s="65" t="s">
        <v>296</v>
      </c>
    </row>
    <row r="29147" spans="1:2" x14ac:dyDescent="0.25">
      <c r="A29147" s="64" t="str">
        <f>HYPERLINK("http://www.twitter.com/LeicsAncestors", "LeicsAncestors")</f>
        <v>LeicsAncestors</v>
      </c>
      <c r="B29147" s="65" t="s">
        <v>1876</v>
      </c>
    </row>
    <row r="29148" spans="1:2" x14ac:dyDescent="0.25">
      <c r="A29148" s="64" t="str">
        <f>HYPERLINK("http://www.twitter.com/emmanix", "emmanix")</f>
        <v>emmanix</v>
      </c>
      <c r="B29148" s="65" t="s">
        <v>4019</v>
      </c>
    </row>
    <row r="29149" spans="1:2" x14ac:dyDescent="0.25">
      <c r="A29149" s="64" t="str">
        <f>HYPERLINK("http://www.twitter.com/Bigvyor", "Bigvyor")</f>
        <v>Bigvyor</v>
      </c>
      <c r="B29149" s="65" t="s">
        <v>4867</v>
      </c>
    </row>
    <row r="29150" spans="1:2" x14ac:dyDescent="0.25">
      <c r="A29150" s="64" t="str">
        <f>HYPERLINK("http://www.twitter.com/wisearchive", "wisearchive")</f>
        <v>wisearchive</v>
      </c>
      <c r="B29150" s="65"/>
    </row>
    <row r="29151" spans="1:2" x14ac:dyDescent="0.25">
      <c r="A29151" s="64" t="str">
        <f>HYPERLINK("http://www.twitter.com/RedbridgeLibs", "RedbridgeLibs")</f>
        <v>RedbridgeLibs</v>
      </c>
      <c r="B29151" s="65"/>
    </row>
    <row r="29152" spans="1:2" x14ac:dyDescent="0.25">
      <c r="A29152" s="64" t="str">
        <f>HYPERLINK("http://www.twitter.com/SLIC1991", "SLIC1991")</f>
        <v>SLIC1991</v>
      </c>
      <c r="B29152" s="65" t="s">
        <v>2007</v>
      </c>
    </row>
    <row r="29153" spans="1:2" x14ac:dyDescent="0.25">
      <c r="A29153" s="64" t="str">
        <f>HYPERLINK("http://www.twitter.com/dandhlaw", "dandhlaw")</f>
        <v>dandhlaw</v>
      </c>
      <c r="B29153" s="65" t="s">
        <v>12024</v>
      </c>
    </row>
    <row r="29154" spans="1:2" x14ac:dyDescent="0.25">
      <c r="A29154" s="64" t="str">
        <f>HYPERLINK("http://www.twitter.com/GirvanLibrary", "GirvanLibrary")</f>
        <v>GirvanLibrary</v>
      </c>
      <c r="B29154" s="65" t="s">
        <v>4247</v>
      </c>
    </row>
    <row r="29155" spans="1:2" x14ac:dyDescent="0.25">
      <c r="A29155" s="64" t="str">
        <f>HYPERLINK("http://www.twitter.com/4Ds_4U", "4Ds_4U")</f>
        <v>4Ds_4U</v>
      </c>
      <c r="B29155" s="65" t="s">
        <v>395</v>
      </c>
    </row>
    <row r="29156" spans="1:2" x14ac:dyDescent="0.25">
      <c r="A29156" s="64" t="str">
        <f>HYPERLINK("http://www.twitter.com/FamilyTimePhoto", "FamilyTimePhoto")</f>
        <v>FamilyTimePhoto</v>
      </c>
      <c r="B29156" s="65" t="s">
        <v>7574</v>
      </c>
    </row>
    <row r="29157" spans="1:2" x14ac:dyDescent="0.25">
      <c r="A29157" s="64" t="str">
        <f>HYPERLINK("http://www.twitter.com/bwolf865", "bwolf865")</f>
        <v>bwolf865</v>
      </c>
      <c r="B29157" s="65"/>
    </row>
    <row r="29158" spans="1:2" x14ac:dyDescent="0.25">
      <c r="A29158" s="64" t="str">
        <f>HYPERLINK("http://www.twitter.com/Sarwar_Jahan", "Sarwar_Jahan")</f>
        <v>Sarwar_Jahan</v>
      </c>
      <c r="B29158" s="65" t="s">
        <v>5070</v>
      </c>
    </row>
    <row r="29159" spans="1:2" x14ac:dyDescent="0.25">
      <c r="A29159" s="64" t="str">
        <f>HYPERLINK("http://www.twitter.com/LisaMcMillan16", "LisaMcMillan16")</f>
        <v>LisaMcMillan16</v>
      </c>
      <c r="B29159" s="65"/>
    </row>
    <row r="29160" spans="1:2" x14ac:dyDescent="0.25">
      <c r="A29160" s="64" t="str">
        <f>HYPERLINK("http://www.twitter.com/emmrichs", "emmrichs")</f>
        <v>emmrichs</v>
      </c>
      <c r="B29160" s="65"/>
    </row>
    <row r="29161" spans="1:2" x14ac:dyDescent="0.25">
      <c r="A29161" s="64" t="str">
        <f>HYPERLINK("http://www.twitter.com/Widefirth", "Widefirth")</f>
        <v>Widefirth</v>
      </c>
      <c r="B29161" s="65" t="s">
        <v>20</v>
      </c>
    </row>
    <row r="29162" spans="1:2" x14ac:dyDescent="0.25">
      <c r="A29162" s="64" t="str">
        <f>HYPERLINK("http://www.twitter.com/UofGlasgowASC", "UofGlasgowASC")</f>
        <v>UofGlasgowASC</v>
      </c>
      <c r="B29162" s="65" t="s">
        <v>138</v>
      </c>
    </row>
    <row r="29163" spans="1:2" x14ac:dyDescent="0.25">
      <c r="A29163" s="64" t="str">
        <f>HYPERLINK("http://www.twitter.com/buzzingbee285", "buzzingbee285")</f>
        <v>buzzingbee285</v>
      </c>
      <c r="B29163" s="65" t="s">
        <v>12025</v>
      </c>
    </row>
    <row r="29164" spans="1:2" x14ac:dyDescent="0.25">
      <c r="A29164" s="64" t="str">
        <f>HYPERLINK("http://www.twitter.com/BlackMountBooks", "BlackMountBooks")</f>
        <v>BlackMountBooks</v>
      </c>
      <c r="B29164" s="65" t="s">
        <v>12026</v>
      </c>
    </row>
    <row r="29165" spans="1:2" x14ac:dyDescent="0.25">
      <c r="A29165" s="64" t="str">
        <f>HYPERLINK("http://www.twitter.com/GuildfordLib", "GuildfordLib")</f>
        <v>GuildfordLib</v>
      </c>
      <c r="B29165" s="65" t="s">
        <v>401</v>
      </c>
    </row>
    <row r="29166" spans="1:2" x14ac:dyDescent="0.25">
      <c r="A29166" s="64" t="str">
        <f>HYPERLINK("http://www.twitter.com/footinsock", "footinsock")</f>
        <v>footinsock</v>
      </c>
      <c r="B29166" s="65" t="s">
        <v>12027</v>
      </c>
    </row>
    <row r="29167" spans="1:2" x14ac:dyDescent="0.25">
      <c r="A29167" s="64" t="str">
        <f>HYPERLINK("http://www.twitter.com/Rebecca_Gordon", "Rebecca_Gordon")</f>
        <v>Rebecca_Gordon</v>
      </c>
      <c r="B29167" s="65" t="s">
        <v>24</v>
      </c>
    </row>
    <row r="29168" spans="1:2" x14ac:dyDescent="0.25">
      <c r="A29168" s="64" t="str">
        <f>HYPERLINK("http://www.twitter.com/VolArtsFestival", "VolArtsFestival")</f>
        <v>VolArtsFestival</v>
      </c>
      <c r="B29168" s="65" t="s">
        <v>12028</v>
      </c>
    </row>
    <row r="29169" spans="1:2" x14ac:dyDescent="0.25">
      <c r="A29169" s="64" t="str">
        <f>HYPERLINK("http://www.twitter.com/higginseoin", "higginseoin")</f>
        <v>higginseoin</v>
      </c>
      <c r="B29169" s="65"/>
    </row>
    <row r="29170" spans="1:2" x14ac:dyDescent="0.25">
      <c r="A29170" s="64" t="str">
        <f>HYPERLINK("http://www.twitter.com/droitwichlib", "droitwichlib")</f>
        <v>droitwichlib</v>
      </c>
      <c r="B29170" s="65" t="s">
        <v>1362</v>
      </c>
    </row>
    <row r="29171" spans="1:2" x14ac:dyDescent="0.25">
      <c r="A29171" s="64" t="str">
        <f>HYPERLINK("http://www.twitter.com/elaineorkney", "elaineorkney")</f>
        <v>elaineorkney</v>
      </c>
      <c r="B29171" s="65"/>
    </row>
    <row r="29172" spans="1:2" x14ac:dyDescent="0.25">
      <c r="A29172" s="64" t="str">
        <f>HYPERLINK("http://www.twitter.com/haplessdan", "haplessdan")</f>
        <v>haplessdan</v>
      </c>
      <c r="B29172" s="65"/>
    </row>
    <row r="29173" spans="1:2" x14ac:dyDescent="0.25">
      <c r="A29173" s="64" t="str">
        <f>HYPERLINK("http://www.twitter.com/shorie5315", "shorie5315")</f>
        <v>shorie5315</v>
      </c>
      <c r="B29173" s="65" t="s">
        <v>3762</v>
      </c>
    </row>
    <row r="29174" spans="1:2" x14ac:dyDescent="0.25">
      <c r="A29174" s="64" t="str">
        <f>HYPERLINK("http://www.twitter.com/jcdnr", "jcdnr")</f>
        <v>jcdnr</v>
      </c>
      <c r="B29174" s="65"/>
    </row>
    <row r="29175" spans="1:2" x14ac:dyDescent="0.25">
      <c r="A29175" s="64" t="str">
        <f>HYPERLINK("http://www.twitter.com/corinnarayner", "corinnarayner")</f>
        <v>corinnarayner</v>
      </c>
      <c r="B29175" s="65"/>
    </row>
    <row r="29176" spans="1:2" x14ac:dyDescent="0.25">
      <c r="A29176" s="64" t="str">
        <f>HYPERLINK("http://www.twitter.com/Library_Steve", "Library_Steve")</f>
        <v>Library_Steve</v>
      </c>
      <c r="B29176" s="65"/>
    </row>
    <row r="29177" spans="1:2" x14ac:dyDescent="0.25">
      <c r="A29177" s="64" t="str">
        <f>HYPERLINK("http://www.twitter.com/VAScotland", "VAScotland")</f>
        <v>VAScotland</v>
      </c>
      <c r="B29177" s="65"/>
    </row>
    <row r="29178" spans="1:2" x14ac:dyDescent="0.25">
      <c r="A29178" s="64" t="str">
        <f>HYPERLINK("http://www.twitter.com/HumanitasMP", "HumanitasMP")</f>
        <v>HumanitasMP</v>
      </c>
      <c r="B29178" s="65"/>
    </row>
    <row r="29179" spans="1:2" x14ac:dyDescent="0.25">
      <c r="A29179" s="64" t="str">
        <f>HYPERLINK("http://www.twitter.com/shiddiq_arief", "shiddiq_arief")</f>
        <v>shiddiq_arief</v>
      </c>
      <c r="B29179" s="65"/>
    </row>
    <row r="29180" spans="1:2" x14ac:dyDescent="0.25">
      <c r="A29180" s="64" t="str">
        <f>HYPERLINK("http://www.twitter.com/LaBugletta", "LaBugletta")</f>
        <v>LaBugletta</v>
      </c>
      <c r="B29180" s="65"/>
    </row>
    <row r="29181" spans="1:2" x14ac:dyDescent="0.25">
      <c r="A29181" s="64" t="str">
        <f>HYPERLINK("http://www.twitter.com/tordraper", "tordraper")</f>
        <v>tordraper</v>
      </c>
      <c r="B29181" s="65"/>
    </row>
    <row r="29182" spans="1:2" x14ac:dyDescent="0.25">
      <c r="A29182" s="64" t="str">
        <f>HYPERLINK("http://www.twitter.com/GrandpaJoeTales", "GrandpaJoeTales")</f>
        <v>GrandpaJoeTales</v>
      </c>
      <c r="B29182" s="65"/>
    </row>
    <row r="29183" spans="1:2" x14ac:dyDescent="0.25">
      <c r="A29183" s="64" t="str">
        <f>HYPERLINK("http://www.twitter.com/Rohdeperryman", "Rohdeperryman")</f>
        <v>Rohdeperryman</v>
      </c>
      <c r="B29183" s="65"/>
    </row>
    <row r="29184" spans="1:2" x14ac:dyDescent="0.25">
      <c r="A29184" s="64" t="str">
        <f>HYPERLINK("http://www.twitter.com/lauratonks31", "lauratonks31")</f>
        <v>lauratonks31</v>
      </c>
      <c r="B29184" s="65" t="s">
        <v>296</v>
      </c>
    </row>
    <row r="29185" spans="1:2" x14ac:dyDescent="0.25">
      <c r="A29185" s="64" t="str">
        <f>HYPERLINK("http://www.twitter.com/liannnnnnne", "liannnnnnne")</f>
        <v>liannnnnnne</v>
      </c>
      <c r="B29185" s="65" t="s">
        <v>8011</v>
      </c>
    </row>
    <row r="29186" spans="1:2" x14ac:dyDescent="0.25">
      <c r="A29186" s="64" t="str">
        <f>HYPERLINK("http://www.twitter.com/oldcourse", "oldcourse")</f>
        <v>oldcourse</v>
      </c>
      <c r="B29186" s="65" t="s">
        <v>36</v>
      </c>
    </row>
    <row r="29187" spans="1:2" x14ac:dyDescent="0.25">
      <c r="A29187" s="64" t="str">
        <f>HYPERLINK("http://www.twitter.com/scorbet", "scorbet")</f>
        <v>scorbet</v>
      </c>
      <c r="B29187" s="65" t="s">
        <v>5303</v>
      </c>
    </row>
    <row r="29188" spans="1:2" x14ac:dyDescent="0.25">
      <c r="A29188" s="64" t="str">
        <f>HYPERLINK("http://www.twitter.com/NPDIreland", "NPDIreland")</f>
        <v>NPDIreland</v>
      </c>
      <c r="B29188" s="65" t="s">
        <v>4062</v>
      </c>
    </row>
    <row r="29189" spans="1:2" x14ac:dyDescent="0.25">
      <c r="A29189" s="64" t="str">
        <f>HYPERLINK("http://www.twitter.com/jonsfg", "jonsfg")</f>
        <v>jonsfg</v>
      </c>
      <c r="B29189" s="65" t="s">
        <v>2595</v>
      </c>
    </row>
    <row r="29190" spans="1:2" x14ac:dyDescent="0.25">
      <c r="A29190" s="64" t="str">
        <f>HYPERLINK("http://www.twitter.com/daisysowl", "daisysowl")</f>
        <v>daisysowl</v>
      </c>
      <c r="B29190" s="65"/>
    </row>
    <row r="29191" spans="1:2" x14ac:dyDescent="0.25">
      <c r="A29191" s="64" t="str">
        <f>HYPERLINK("http://www.twitter.com/tmartster", "tmartster")</f>
        <v>tmartster</v>
      </c>
      <c r="B29191" s="65" t="s">
        <v>12029</v>
      </c>
    </row>
    <row r="29192" spans="1:2" x14ac:dyDescent="0.25">
      <c r="A29192" s="64" t="str">
        <f>HYPERLINK("http://www.twitter.com/coop1304", "coop1304")</f>
        <v>coop1304</v>
      </c>
      <c r="B29192" s="65"/>
    </row>
    <row r="29193" spans="1:2" x14ac:dyDescent="0.25">
      <c r="A29193" s="64" t="str">
        <f>HYPERLINK("http://www.twitter.com/DeniseDenvir", "DeniseDenvir")</f>
        <v>DeniseDenvir</v>
      </c>
      <c r="B29193" s="65"/>
    </row>
    <row r="29194" spans="1:2" x14ac:dyDescent="0.25">
      <c r="A29194" s="64" t="str">
        <f>HYPERLINK("http://www.twitter.com/CarolynGUK", "CarolynGUK")</f>
        <v>CarolynGUK</v>
      </c>
      <c r="B29194" s="65" t="s">
        <v>20</v>
      </c>
    </row>
    <row r="29195" spans="1:2" x14ac:dyDescent="0.25">
      <c r="A29195" s="64" t="str">
        <f>HYPERLINK("http://www.twitter.com/dharmarajthapa", "dharmarajthapa")</f>
        <v>dharmarajthapa</v>
      </c>
      <c r="B29195" s="65" t="s">
        <v>12030</v>
      </c>
    </row>
    <row r="29196" spans="1:2" x14ac:dyDescent="0.25">
      <c r="A29196" s="64" t="str">
        <f>HYPERLINK("http://www.twitter.com/shandsmith", "shandsmith")</f>
        <v>shandsmith</v>
      </c>
      <c r="B29196" s="65" t="s">
        <v>12031</v>
      </c>
    </row>
    <row r="29197" spans="1:2" x14ac:dyDescent="0.25">
      <c r="A29197" s="64" t="str">
        <f>HYPERLINK("http://www.twitter.com/BeppoMang", "BeppoMang")</f>
        <v>BeppoMang</v>
      </c>
      <c r="B29197" s="65"/>
    </row>
    <row r="29198" spans="1:2" x14ac:dyDescent="0.25">
      <c r="A29198" s="64" t="str">
        <f>HYPERLINK("http://www.twitter.com/LadyInALibrary", "LadyInALibrary")</f>
        <v>LadyInALibrary</v>
      </c>
      <c r="B29198" s="65"/>
    </row>
    <row r="29199" spans="1:2" x14ac:dyDescent="0.25">
      <c r="A29199" s="64" t="str">
        <f>HYPERLINK("http://www.twitter.com/Cathy_Scarey", "Cathy_Scarey")</f>
        <v>Cathy_Scarey</v>
      </c>
      <c r="B29199" s="65" t="s">
        <v>10368</v>
      </c>
    </row>
    <row r="29200" spans="1:2" x14ac:dyDescent="0.25">
      <c r="A29200" s="64" t="str">
        <f>HYPERLINK("http://www.twitter.com/Kittick2Kath", "Kittick2Kath")</f>
        <v>Kittick2Kath</v>
      </c>
      <c r="B29200" s="65"/>
    </row>
    <row r="29201" spans="1:2" x14ac:dyDescent="0.25">
      <c r="A29201" s="64" t="str">
        <f>HYPERLINK("http://www.twitter.com/Judescott573", "Judescott573")</f>
        <v>Judescott573</v>
      </c>
      <c r="B29201" s="65" t="s">
        <v>20</v>
      </c>
    </row>
    <row r="29202" spans="1:2" x14ac:dyDescent="0.25">
      <c r="A29202" s="64" t="str">
        <f>HYPERLINK("http://www.twitter.com/mrsjollyjacktar", "mrsjollyjacktar")</f>
        <v>mrsjollyjacktar</v>
      </c>
      <c r="B29202" s="65" t="s">
        <v>12032</v>
      </c>
    </row>
    <row r="29203" spans="1:2" x14ac:dyDescent="0.25">
      <c r="A29203" s="64" t="str">
        <f>HYPERLINK("http://www.twitter.com/ImageJen", "ImageJen")</f>
        <v>ImageJen</v>
      </c>
      <c r="B29203" s="65" t="s">
        <v>4180</v>
      </c>
    </row>
    <row r="29204" spans="1:2" x14ac:dyDescent="0.25">
      <c r="A29204" s="64" t="str">
        <f>HYPERLINK("http://www.twitter.com/Jo_Casey", "Jo_Casey")</f>
        <v>Jo_Casey</v>
      </c>
      <c r="B29204" s="65"/>
    </row>
    <row r="29205" spans="1:2" x14ac:dyDescent="0.25">
      <c r="A29205" s="64" t="str">
        <f>HYPERLINK("http://www.twitter.com/StainesLibrary", "StainesLibrary")</f>
        <v>StainesLibrary</v>
      </c>
      <c r="B29205" s="65" t="s">
        <v>939</v>
      </c>
    </row>
    <row r="29206" spans="1:2" x14ac:dyDescent="0.25">
      <c r="A29206" s="64" t="str">
        <f>HYPERLINK("http://www.twitter.com/Taviamachara", "Taviamachara")</f>
        <v>Taviamachara</v>
      </c>
      <c r="B29206" s="65" t="s">
        <v>808</v>
      </c>
    </row>
    <row r="29207" spans="1:2" x14ac:dyDescent="0.25">
      <c r="A29207" s="64" t="str">
        <f>HYPERLINK("http://www.twitter.com/F__T__M", "F__T__M")</f>
        <v>F__T__M</v>
      </c>
      <c r="B29207" s="65" t="s">
        <v>36</v>
      </c>
    </row>
    <row r="29208" spans="1:2" x14ac:dyDescent="0.25">
      <c r="A29208" s="64" t="str">
        <f>HYPERLINK("http://www.twitter.com/AbdnArtMuseums", "AbdnArtMuseums")</f>
        <v>AbdnArtMuseums</v>
      </c>
      <c r="B29208" s="65" t="s">
        <v>569</v>
      </c>
    </row>
    <row r="29209" spans="1:2" x14ac:dyDescent="0.25">
      <c r="A29209" s="64" t="str">
        <f>HYPERLINK("http://www.twitter.com/ianhe1977", "ianhe1977")</f>
        <v>ianhe1977</v>
      </c>
      <c r="B29209" s="65" t="s">
        <v>3802</v>
      </c>
    </row>
    <row r="29210" spans="1:2" x14ac:dyDescent="0.25">
      <c r="A29210" s="64" t="str">
        <f>HYPERLINK("http://www.twitter.com/TimJPLeonard", "TimJPLeonard")</f>
        <v>TimJPLeonard</v>
      </c>
      <c r="B29210" s="65"/>
    </row>
    <row r="29211" spans="1:2" x14ac:dyDescent="0.25">
      <c r="A29211" s="64" t="str">
        <f>HYPERLINK("http://www.twitter.com/KatSpectre", "KatSpectre")</f>
        <v>KatSpectre</v>
      </c>
      <c r="B29211" s="65"/>
    </row>
    <row r="29212" spans="1:2" x14ac:dyDescent="0.25">
      <c r="A29212" s="64" t="str">
        <f>HYPERLINK("http://www.twitter.com/johnlord52", "johnlord52")</f>
        <v>johnlord52</v>
      </c>
      <c r="B29212" s="65" t="s">
        <v>24</v>
      </c>
    </row>
    <row r="29213" spans="1:2" x14ac:dyDescent="0.25">
      <c r="A29213" s="64" t="str">
        <f>HYPERLINK("http://www.twitter.com/EdinDogPhoto", "EdinDogPhoto")</f>
        <v>EdinDogPhoto</v>
      </c>
      <c r="B29213" s="65" t="s">
        <v>24</v>
      </c>
    </row>
    <row r="29214" spans="1:2" x14ac:dyDescent="0.25">
      <c r="A29214" s="64" t="str">
        <f>HYPERLINK("http://www.twitter.com/SallylouiseAdam", "SallylouiseAdam")</f>
        <v>SallylouiseAdam</v>
      </c>
      <c r="B29214" s="65" t="s">
        <v>12033</v>
      </c>
    </row>
    <row r="29215" spans="1:2" x14ac:dyDescent="0.25">
      <c r="A29215" s="64" t="str">
        <f>HYPERLINK("http://www.twitter.com/celia_dj", "celia_dj")</f>
        <v>celia_dj</v>
      </c>
      <c r="B29215" s="65" t="s">
        <v>67</v>
      </c>
    </row>
    <row r="29216" spans="1:2" x14ac:dyDescent="0.25">
      <c r="A29216" s="64" t="str">
        <f>HYPERLINK("http://www.twitter.com/HeatherMGS", "HeatherMGS")</f>
        <v>HeatherMGS</v>
      </c>
      <c r="B29216" s="65" t="s">
        <v>24</v>
      </c>
    </row>
    <row r="29217" spans="1:2" x14ac:dyDescent="0.25">
      <c r="A29217" s="64" t="str">
        <f>HYPERLINK("http://www.twitter.com/justmary47", "justmary47")</f>
        <v>justmary47</v>
      </c>
      <c r="B29217" s="65" t="s">
        <v>12034</v>
      </c>
    </row>
    <row r="29218" spans="1:2" x14ac:dyDescent="0.25">
      <c r="A29218" s="64" t="str">
        <f>HYPERLINK("http://www.twitter.com/KOBVPortal", "KOBVPortal")</f>
        <v>KOBVPortal</v>
      </c>
      <c r="B29218" s="65"/>
    </row>
    <row r="29219" spans="1:2" x14ac:dyDescent="0.25">
      <c r="A29219" s="64" t="str">
        <f>HYPERLINK("http://www.twitter.com/themillionstars", "themillionstars")</f>
        <v>themillionstars</v>
      </c>
      <c r="B29219" s="65" t="s">
        <v>12035</v>
      </c>
    </row>
    <row r="29220" spans="1:2" x14ac:dyDescent="0.25">
      <c r="A29220" s="64" t="str">
        <f>HYPERLINK("http://www.twitter.com/wolfdancer", "wolfdancer")</f>
        <v>wolfdancer</v>
      </c>
      <c r="B29220" s="65" t="s">
        <v>12036</v>
      </c>
    </row>
    <row r="29221" spans="1:2" x14ac:dyDescent="0.25">
      <c r="A29221" s="64" t="str">
        <f>HYPERLINK("http://www.twitter.com/PerthLib", "PerthLib")</f>
        <v>PerthLib</v>
      </c>
      <c r="B29221" s="65" t="s">
        <v>3773</v>
      </c>
    </row>
    <row r="29222" spans="1:2" x14ac:dyDescent="0.25">
      <c r="A29222" s="64" t="str">
        <f>HYPERLINK("http://www.twitter.com/JaneKALuk", "JaneKALuk")</f>
        <v>JaneKALuk</v>
      </c>
      <c r="B29222" s="65" t="s">
        <v>2007</v>
      </c>
    </row>
    <row r="29223" spans="1:2" x14ac:dyDescent="0.25">
      <c r="A29223" s="64" t="str">
        <f>HYPERLINK("http://www.twitter.com/Birtaswas", "Birtaswas")</f>
        <v>Birtaswas</v>
      </c>
      <c r="B29223" s="65" t="s">
        <v>36</v>
      </c>
    </row>
    <row r="29224" spans="1:2" x14ac:dyDescent="0.25">
      <c r="A29224" s="64" t="str">
        <f>HYPERLINK("http://www.twitter.com/mumolas", "mumolas")</f>
        <v>mumolas</v>
      </c>
      <c r="B29224" s="65" t="s">
        <v>12037</v>
      </c>
    </row>
    <row r="29225" spans="1:2" x14ac:dyDescent="0.25">
      <c r="A29225" s="64" t="str">
        <f>HYPERLINK("http://www.twitter.com/DennisonJulie", "DennisonJulie")</f>
        <v>DennisonJulie</v>
      </c>
      <c r="B29225" s="65" t="s">
        <v>4227</v>
      </c>
    </row>
    <row r="29226" spans="1:2" x14ac:dyDescent="0.25">
      <c r="A29226" s="64" t="str">
        <f>HYPERLINK("http://www.twitter.com/BexleyArchives", "BexleyArchives")</f>
        <v>BexleyArchives</v>
      </c>
      <c r="B29226" s="65" t="s">
        <v>12038</v>
      </c>
    </row>
    <row r="29227" spans="1:2" x14ac:dyDescent="0.25">
      <c r="A29227" s="64" t="str">
        <f>HYPERLINK("http://www.twitter.com/SallyStarkey", "SallyStarkey")</f>
        <v>SallyStarkey</v>
      </c>
      <c r="B29227" s="65" t="s">
        <v>296</v>
      </c>
    </row>
    <row r="29228" spans="1:2" x14ac:dyDescent="0.25">
      <c r="A29228" s="64" t="str">
        <f>HYPERLINK("http://www.twitter.com/shetland_lass", "shetland_lass")</f>
        <v>shetland_lass</v>
      </c>
      <c r="B29228" s="65"/>
    </row>
    <row r="29229" spans="1:2" x14ac:dyDescent="0.25">
      <c r="A29229" s="64" t="str">
        <f>HYPERLINK("http://www.twitter.com/__mcv", "__mcv")</f>
        <v>__mcv</v>
      </c>
      <c r="B29229" s="65" t="s">
        <v>4716</v>
      </c>
    </row>
    <row r="29230" spans="1:2" x14ac:dyDescent="0.25">
      <c r="A29230" s="64" t="str">
        <f>HYPERLINK("http://www.twitter.com/tunguska391", "tunguska391")</f>
        <v>tunguska391</v>
      </c>
      <c r="B29230" s="65"/>
    </row>
    <row r="29231" spans="1:2" x14ac:dyDescent="0.25">
      <c r="A29231" s="64" t="str">
        <f>HYPERLINK("http://www.twitter.com/rickytheodosio", "rickytheodosio")</f>
        <v>rickytheodosio</v>
      </c>
      <c r="B29231" s="65" t="s">
        <v>36</v>
      </c>
    </row>
    <row r="29232" spans="1:2" x14ac:dyDescent="0.25">
      <c r="A29232" s="64" t="str">
        <f>HYPERLINK("http://www.twitter.com/olwyn26", "olwyn26")</f>
        <v>olwyn26</v>
      </c>
      <c r="B29232" s="65" t="s">
        <v>12039</v>
      </c>
    </row>
    <row r="29233" spans="1:2" x14ac:dyDescent="0.25">
      <c r="A29233" s="64" t="str">
        <f>HYPERLINK("http://www.twitter.com/CILIPScotland", "CILIPScotland")</f>
        <v>CILIPScotland</v>
      </c>
      <c r="B29233" s="65" t="s">
        <v>138</v>
      </c>
    </row>
    <row r="29234" spans="1:2" x14ac:dyDescent="0.25">
      <c r="A29234" s="64" t="str">
        <f>HYPERLINK("http://www.twitter.com/CelebSlippers", "CelebSlippers")</f>
        <v>CelebSlippers</v>
      </c>
      <c r="B29234" s="65" t="s">
        <v>12040</v>
      </c>
    </row>
    <row r="29235" spans="1:2" x14ac:dyDescent="0.25">
      <c r="A29235" s="64" t="str">
        <f>HYPERLINK("http://www.twitter.com/SeanMcDill", "SeanMcDill")</f>
        <v>SeanMcDill</v>
      </c>
      <c r="B29235" s="65" t="s">
        <v>12041</v>
      </c>
    </row>
    <row r="29236" spans="1:2" x14ac:dyDescent="0.25">
      <c r="A29236" s="64" t="str">
        <f>HYPERLINK("http://www.twitter.com/tap_poetry", "tap_poetry")</f>
        <v>tap_poetry</v>
      </c>
      <c r="B29236" s="65" t="s">
        <v>5807</v>
      </c>
    </row>
    <row r="29237" spans="1:2" x14ac:dyDescent="0.25">
      <c r="A29237" s="64" t="str">
        <f>HYPERLINK("http://www.twitter.com/KayMcCarthy10", "KayMcCarthy10")</f>
        <v>KayMcCarthy10</v>
      </c>
      <c r="B29237" s="65"/>
    </row>
    <row r="29238" spans="1:2" x14ac:dyDescent="0.25">
      <c r="A29238" s="64" t="str">
        <f>HYPERLINK("http://www.twitter.com/robinsimpson", "robinsimpson")</f>
        <v>robinsimpson</v>
      </c>
      <c r="B29238" s="65"/>
    </row>
    <row r="29239" spans="1:2" x14ac:dyDescent="0.25">
      <c r="A29239" s="64" t="str">
        <f>HYPERLINK("http://www.twitter.com/mssUniNott", "mssUniNott")</f>
        <v>mssUniNott</v>
      </c>
      <c r="B29239" s="65" t="s">
        <v>526</v>
      </c>
    </row>
    <row r="29240" spans="1:2" x14ac:dyDescent="0.25">
      <c r="A29240" s="64" t="str">
        <f>HYPERLINK("http://www.twitter.com/UoLTreasures", "UoLTreasures")</f>
        <v>UoLTreasures</v>
      </c>
      <c r="B29240" s="65" t="s">
        <v>390</v>
      </c>
    </row>
    <row r="29241" spans="1:2" x14ac:dyDescent="0.25">
      <c r="A29241" s="64" t="str">
        <f>HYPERLINK("http://www.twitter.com/mssLakeside", "mssLakeside")</f>
        <v>mssLakeside</v>
      </c>
      <c r="B29241" s="65" t="s">
        <v>1046</v>
      </c>
    </row>
    <row r="29242" spans="1:2" x14ac:dyDescent="0.25">
      <c r="A29242" s="64" t="str">
        <f>HYPERLINK("http://www.twitter.com/kgsorkney", "kgsorkney")</f>
        <v>kgsorkney</v>
      </c>
      <c r="B29242" s="65" t="s">
        <v>20</v>
      </c>
    </row>
    <row r="29243" spans="1:2" x14ac:dyDescent="0.25">
      <c r="A29243" s="64" t="str">
        <f>HYPERLINK("http://www.twitter.com/DigbyBaer", "DigbyBaer")</f>
        <v>DigbyBaer</v>
      </c>
      <c r="B29243" s="65" t="s">
        <v>4867</v>
      </c>
    </row>
    <row r="29244" spans="1:2" x14ac:dyDescent="0.25">
      <c r="A29244" s="64" t="str">
        <f>HYPERLINK("http://www.twitter.com/susenorm", "susenorm")</f>
        <v>susenorm</v>
      </c>
      <c r="B29244" s="65"/>
    </row>
    <row r="29245" spans="1:2" x14ac:dyDescent="0.25">
      <c r="A29245" s="64" t="str">
        <f>HYPERLINK("http://www.twitter.com/johna_thomson", "johna_thomson")</f>
        <v>johna_thomson</v>
      </c>
      <c r="B29245" s="65" t="s">
        <v>36</v>
      </c>
    </row>
    <row r="29246" spans="1:2" x14ac:dyDescent="0.25">
      <c r="A29246" s="64" t="str">
        <f>HYPERLINK("http://www.twitter.com/FallenTeacup", "FallenTeacup")</f>
        <v>FallenTeacup</v>
      </c>
      <c r="B29246" s="65" t="s">
        <v>3762</v>
      </c>
    </row>
    <row r="29247" spans="1:2" x14ac:dyDescent="0.25">
      <c r="A29247" s="64" t="str">
        <f>HYPERLINK("http://www.twitter.com/bellacaledonia", "bellacaledonia")</f>
        <v>bellacaledonia</v>
      </c>
      <c r="B29247" s="65" t="s">
        <v>517</v>
      </c>
    </row>
    <row r="29248" spans="1:2" x14ac:dyDescent="0.25">
      <c r="A29248" s="64" t="str">
        <f>HYPERLINK("http://www.twitter.com/karlientien", "karlientien")</f>
        <v>karlientien</v>
      </c>
      <c r="B29248" s="65"/>
    </row>
    <row r="29249" spans="1:2" x14ac:dyDescent="0.25">
      <c r="A29249" s="64" t="str">
        <f>HYPERLINK("http://www.twitter.com/Greatbess", "Greatbess")</f>
        <v>Greatbess</v>
      </c>
      <c r="B29249" s="65"/>
    </row>
    <row r="29250" spans="1:2" x14ac:dyDescent="0.25">
      <c r="A29250" s="64" t="str">
        <f>HYPERLINK("http://www.twitter.com/DeannaElaine3", "DeannaElaine3")</f>
        <v>DeannaElaine3</v>
      </c>
      <c r="B29250" s="65" t="s">
        <v>7809</v>
      </c>
    </row>
    <row r="29251" spans="1:2" x14ac:dyDescent="0.25">
      <c r="A29251" s="64" t="str">
        <f>HYPERLINK("http://www.twitter.com/sexualsasquach", "sexualsasquach")</f>
        <v>sexualsasquach</v>
      </c>
      <c r="B29251" s="65" t="s">
        <v>5852</v>
      </c>
    </row>
    <row r="29252" spans="1:2" x14ac:dyDescent="0.25">
      <c r="A29252" s="64" t="str">
        <f>HYPERLINK("http://www.twitter.com/gramps99", "gramps99")</f>
        <v>gramps99</v>
      </c>
      <c r="B29252" s="65"/>
    </row>
    <row r="29253" spans="1:2" x14ac:dyDescent="0.25">
      <c r="A29253" s="64" t="str">
        <f>HYPERLINK("http://www.twitter.com/peeriemagnie", "peeriemagnie")</f>
        <v>peeriemagnie</v>
      </c>
      <c r="B29253" s="65" t="s">
        <v>138</v>
      </c>
    </row>
    <row r="29254" spans="1:2" x14ac:dyDescent="0.25">
      <c r="A29254" s="64" t="str">
        <f>HYPERLINK("http://www.twitter.com/ClareAdamsonSNP", "ClareAdamsonSNP")</f>
        <v>ClareAdamsonSNP</v>
      </c>
      <c r="B29254" s="65" t="s">
        <v>3030</v>
      </c>
    </row>
    <row r="29255" spans="1:2" x14ac:dyDescent="0.25">
      <c r="A29255" s="64" t="str">
        <f>HYPERLINK("http://www.twitter.com/BookChicGirl", "BookChicGirl")</f>
        <v>BookChicGirl</v>
      </c>
      <c r="B29255" s="65" t="s">
        <v>12042</v>
      </c>
    </row>
    <row r="29256" spans="1:2" x14ac:dyDescent="0.25">
      <c r="A29256" s="64" t="str">
        <f>HYPERLINK("http://www.twitter.com/Dave4Tweets", "Dave4Tweets")</f>
        <v>Dave4Tweets</v>
      </c>
      <c r="B29256" s="65" t="s">
        <v>7603</v>
      </c>
    </row>
    <row r="29257" spans="1:2" x14ac:dyDescent="0.25">
      <c r="A29257" s="64" t="str">
        <f>HYPERLINK("http://www.twitter.com/skirdyloon", "skirdyloon")</f>
        <v>skirdyloon</v>
      </c>
      <c r="B29257" s="65"/>
    </row>
    <row r="29258" spans="1:2" x14ac:dyDescent="0.25">
      <c r="A29258" s="64" t="str">
        <f>HYPERLINK("http://www.twitter.com/Nathan_Doig", "Nathan_Doig")</f>
        <v>Nathan_Doig</v>
      </c>
      <c r="B29258" s="65"/>
    </row>
    <row r="29259" spans="1:2" x14ac:dyDescent="0.25">
      <c r="A29259" s="64" t="str">
        <f>HYPERLINK("http://www.twitter.com/Ma_Camerons1", "Ma_Camerons1")</f>
        <v>Ma_Camerons1</v>
      </c>
      <c r="B29259" s="65" t="s">
        <v>12043</v>
      </c>
    </row>
    <row r="29260" spans="1:2" x14ac:dyDescent="0.25">
      <c r="A29260" s="64" t="str">
        <f>HYPERLINK("http://www.twitter.com/LottieJohn1", "LottieJohn1")</f>
        <v>LottieJohn1</v>
      </c>
      <c r="B29260" s="65" t="s">
        <v>1980</v>
      </c>
    </row>
    <row r="29261" spans="1:2" x14ac:dyDescent="0.25">
      <c r="A29261" s="64" t="str">
        <f>HYPERLINK("http://www.twitter.com/itsamistry_uk", "itsamistry_uk")</f>
        <v>itsamistry_uk</v>
      </c>
      <c r="B29261" s="65" t="s">
        <v>36</v>
      </c>
    </row>
    <row r="29262" spans="1:2" x14ac:dyDescent="0.25">
      <c r="A29262" s="64" t="str">
        <f>HYPERLINK("http://www.twitter.com/acker_uppie", "acker_uppie")</f>
        <v>acker_uppie</v>
      </c>
      <c r="B29262" s="65" t="s">
        <v>5412</v>
      </c>
    </row>
    <row r="29263" spans="1:2" x14ac:dyDescent="0.25">
      <c r="A29263" s="64" t="str">
        <f>HYPERLINK("http://www.twitter.com/BRW526", "BRW526")</f>
        <v>BRW526</v>
      </c>
      <c r="B29263" s="65" t="s">
        <v>12044</v>
      </c>
    </row>
    <row r="29264" spans="1:2" x14ac:dyDescent="0.25">
      <c r="A29264" s="64" t="str">
        <f>HYPERLINK("http://www.twitter.com/tycheshepherd", "tycheshepherd")</f>
        <v>tycheshepherd</v>
      </c>
      <c r="B29264" s="65" t="s">
        <v>296</v>
      </c>
    </row>
    <row r="29265" spans="1:2" x14ac:dyDescent="0.25">
      <c r="A29265" s="64" t="str">
        <f>HYPERLINK("http://www.twitter.com/scotland_uk", "scotland_uk")</f>
        <v>scotland_uk</v>
      </c>
      <c r="B29265" s="65" t="s">
        <v>4840</v>
      </c>
    </row>
    <row r="29266" spans="1:2" x14ac:dyDescent="0.25">
      <c r="A29266" s="64" t="str">
        <f>HYPERLINK("http://www.twitter.com/EuropaUniversit", "EuropaUniversit")</f>
        <v>EuropaUniversit</v>
      </c>
      <c r="B29266" s="65"/>
    </row>
    <row r="29267" spans="1:2" x14ac:dyDescent="0.25">
      <c r="A29267" s="64" t="str">
        <f>HYPERLINK("http://www.twitter.com/Lillington", "Lillington")</f>
        <v>Lillington</v>
      </c>
      <c r="B29267" s="65" t="s">
        <v>4439</v>
      </c>
    </row>
    <row r="29268" spans="1:2" x14ac:dyDescent="0.25">
      <c r="A29268" s="64" t="str">
        <f>HYPERLINK("http://www.twitter.com/ClareBarnett", "ClareBarnett")</f>
        <v>ClareBarnett</v>
      </c>
      <c r="B29268" s="65"/>
    </row>
    <row r="29269" spans="1:2" x14ac:dyDescent="0.25">
      <c r="A29269" s="64" t="str">
        <f>HYPERLINK("http://www.twitter.com/shelainefr", "shelainefr")</f>
        <v>shelainefr</v>
      </c>
      <c r="B29269" s="65" t="s">
        <v>2007</v>
      </c>
    </row>
    <row r="29270" spans="1:2" x14ac:dyDescent="0.25">
      <c r="A29270" s="64" t="str">
        <f>HYPERLINK("http://www.twitter.com/iquoteyostuff", "iquoteyostuff")</f>
        <v>iquoteyostuff</v>
      </c>
      <c r="B29270" s="65"/>
    </row>
    <row r="29271" spans="1:2" x14ac:dyDescent="0.25">
      <c r="A29271" s="64" t="str">
        <f>HYPERLINK("http://www.twitter.com/AmyStevenson31", "AmyStevenson31")</f>
        <v>AmyStevenson31</v>
      </c>
      <c r="B29271" s="65" t="s">
        <v>24</v>
      </c>
    </row>
    <row r="29272" spans="1:2" x14ac:dyDescent="0.25">
      <c r="A29272" s="64" t="str">
        <f>HYPERLINK("http://www.twitter.com/DLR_Libraries", "DLR_Libraries")</f>
        <v>DLR_Libraries</v>
      </c>
      <c r="B29272" s="65" t="s">
        <v>12045</v>
      </c>
    </row>
    <row r="29273" spans="1:2" x14ac:dyDescent="0.25">
      <c r="A29273" s="64" t="str">
        <f>HYPERLINK("http://www.twitter.com/JonathanOB_", "JonathanOB_")</f>
        <v>JonathanOB_</v>
      </c>
      <c r="B29273" s="65"/>
    </row>
    <row r="29274" spans="1:2" x14ac:dyDescent="0.25">
      <c r="A29274" s="64" t="str">
        <f>HYPERLINK("http://www.twitter.com/HubrisTheBook", "HubrisTheBook")</f>
        <v>HubrisTheBook</v>
      </c>
      <c r="B29274" s="65" t="s">
        <v>24</v>
      </c>
    </row>
    <row r="29275" spans="1:2" x14ac:dyDescent="0.25">
      <c r="A29275" s="64" t="str">
        <f>HYPERLINK("http://www.twitter.com/Idormouse", "Idormouse")</f>
        <v>Idormouse</v>
      </c>
      <c r="B29275" s="65" t="s">
        <v>12046</v>
      </c>
    </row>
    <row r="29276" spans="1:2" x14ac:dyDescent="0.25">
      <c r="A29276" s="64" t="str">
        <f>HYPERLINK("http://www.twitter.com/87dbronco", "87dbronco")</f>
        <v>87dbronco</v>
      </c>
      <c r="B29276" s="65"/>
    </row>
    <row r="29277" spans="1:2" x14ac:dyDescent="0.25">
      <c r="A29277" s="64" t="str">
        <f>HYPERLINK("http://www.twitter.com/AlanahJohnston", "AlanahJohnston")</f>
        <v>AlanahJohnston</v>
      </c>
      <c r="B29277" s="65" t="s">
        <v>5412</v>
      </c>
    </row>
    <row r="29278" spans="1:2" x14ac:dyDescent="0.25">
      <c r="A29278" s="64" t="str">
        <f>HYPERLINK("http://www.twitter.com/Library_Plus", "Library_Plus")</f>
        <v>Library_Plus</v>
      </c>
      <c r="B29278" s="65" t="s">
        <v>702</v>
      </c>
    </row>
    <row r="29279" spans="1:2" x14ac:dyDescent="0.25">
      <c r="A29279" s="64" t="str">
        <f>HYPERLINK("http://www.twitter.com/2Horne", "2Horne")</f>
        <v>2Horne</v>
      </c>
      <c r="B29279" s="65" t="s">
        <v>12047</v>
      </c>
    </row>
    <row r="29280" spans="1:2" x14ac:dyDescent="0.25">
      <c r="A29280" s="64" t="str">
        <f>HYPERLINK("http://www.twitter.com/1976sparky", "1976sparky")</f>
        <v>1976sparky</v>
      </c>
      <c r="B29280" s="65"/>
    </row>
    <row r="29281" spans="1:2" x14ac:dyDescent="0.25">
      <c r="A29281" s="64" t="str">
        <f>HYPERLINK("http://www.twitter.com/ShearerOrkney", "ShearerOrkney")</f>
        <v>ShearerOrkney</v>
      </c>
      <c r="B29281" s="65" t="s">
        <v>4227</v>
      </c>
    </row>
    <row r="29282" spans="1:2" x14ac:dyDescent="0.25">
      <c r="A29282" s="64" t="str">
        <f>HYPERLINK("http://www.twitter.com/biblioberry", "biblioberry")</f>
        <v>biblioberry</v>
      </c>
      <c r="B29282" s="65"/>
    </row>
    <row r="29283" spans="1:2" x14ac:dyDescent="0.25">
      <c r="A29283" s="64" t="str">
        <f>HYPERLINK("http://www.twitter.com/jps_library", "jps_library")</f>
        <v>jps_library</v>
      </c>
      <c r="B29283" s="65" t="s">
        <v>1915</v>
      </c>
    </row>
    <row r="29284" spans="1:2" x14ac:dyDescent="0.25">
      <c r="A29284" s="64" t="str">
        <f>HYPERLINK("http://www.twitter.com/EvaHerdman1", "EvaHerdman1")</f>
        <v>EvaHerdman1</v>
      </c>
      <c r="B29284" s="65"/>
    </row>
    <row r="29285" spans="1:2" x14ac:dyDescent="0.25">
      <c r="A29285" s="64" t="str">
        <f>HYPERLINK("http://www.twitter.com/bubcat", "bubcat")</f>
        <v>bubcat</v>
      </c>
      <c r="B29285" s="65" t="s">
        <v>7659</v>
      </c>
    </row>
    <row r="29286" spans="1:2" x14ac:dyDescent="0.25">
      <c r="A29286" s="64" t="str">
        <f>HYPERLINK("http://www.twitter.com/MLZLRC", "MLZLRC")</f>
        <v>MLZLRC</v>
      </c>
      <c r="B29286" s="65" t="s">
        <v>12048</v>
      </c>
    </row>
    <row r="29287" spans="1:2" x14ac:dyDescent="0.25">
      <c r="A29287" s="64" t="str">
        <f>HYPERLINK("http://www.twitter.com/Oxonlibraries", "Oxonlibraries")</f>
        <v>Oxonlibraries</v>
      </c>
      <c r="B29287" s="65" t="s">
        <v>1180</v>
      </c>
    </row>
    <row r="29288" spans="1:2" x14ac:dyDescent="0.25">
      <c r="A29288" s="64" t="str">
        <f>HYPERLINK("http://www.twitter.com/SusanEBarsby", "SusanEBarsby")</f>
        <v>SusanEBarsby</v>
      </c>
      <c r="B29288" s="65" t="s">
        <v>526</v>
      </c>
    </row>
    <row r="29289" spans="1:2" x14ac:dyDescent="0.25">
      <c r="A29289" s="64" t="str">
        <f>HYPERLINK("http://www.twitter.com/DrMobs", "DrMobs")</f>
        <v>DrMobs</v>
      </c>
      <c r="B29289" s="65" t="s">
        <v>3817</v>
      </c>
    </row>
    <row r="29290" spans="1:2" x14ac:dyDescent="0.25">
      <c r="A29290" s="64" t="str">
        <f>HYPERLINK("http://www.twitter.com/uberkim", "uberkim")</f>
        <v>uberkim</v>
      </c>
      <c r="B29290" s="65" t="s">
        <v>12049</v>
      </c>
    </row>
    <row r="29291" spans="1:2" x14ac:dyDescent="0.25">
      <c r="A29291" s="64" t="str">
        <f>HYPERLINK("http://www.twitter.com/habituallylost", "habituallylost")</f>
        <v>habituallylost</v>
      </c>
      <c r="B29291" s="65" t="s">
        <v>36</v>
      </c>
    </row>
    <row r="29292" spans="1:2" x14ac:dyDescent="0.25">
      <c r="A29292" s="64" t="str">
        <f>HYPERLINK("http://www.twitter.com/Hack_packer", "Hack_packer")</f>
        <v>Hack_packer</v>
      </c>
      <c r="B29292" s="65" t="s">
        <v>12050</v>
      </c>
    </row>
    <row r="29293" spans="1:2" x14ac:dyDescent="0.25">
      <c r="A29293" s="64" t="str">
        <f>HYPERLINK("http://www.twitter.com/sharon664", "sharon664")</f>
        <v>sharon664</v>
      </c>
      <c r="B29293" s="65" t="s">
        <v>9316</v>
      </c>
    </row>
    <row r="29294" spans="1:2" x14ac:dyDescent="0.25">
      <c r="A29294" s="64" t="str">
        <f>HYPERLINK("http://www.twitter.com/goldipipschmidt", "goldipipschmidt")</f>
        <v>goldipipschmidt</v>
      </c>
      <c r="B29294" s="65" t="s">
        <v>487</v>
      </c>
    </row>
    <row r="29295" spans="1:2" x14ac:dyDescent="0.25">
      <c r="A29295" s="64" t="str">
        <f>HYPERLINK("http://www.twitter.com/thants", "thants")</f>
        <v>thants</v>
      </c>
      <c r="B29295" s="65"/>
    </row>
    <row r="29296" spans="1:2" x14ac:dyDescent="0.25">
      <c r="A29296" s="64" t="str">
        <f>HYPERLINK("http://www.twitter.com/CaroMillington", "CaroMillington")</f>
        <v>CaroMillington</v>
      </c>
      <c r="B29296" s="65"/>
    </row>
    <row r="29297" spans="1:2" x14ac:dyDescent="0.25">
      <c r="A29297" s="64" t="str">
        <f>HYPERLINK("http://www.twitter.com/offshorelifedrg", "offshorelifedrg")</f>
        <v>offshorelifedrg</v>
      </c>
      <c r="B29297" s="65"/>
    </row>
    <row r="29298" spans="1:2" x14ac:dyDescent="0.25">
      <c r="A29298" s="64" t="str">
        <f>HYPERLINK("http://www.twitter.com/liblogger", "liblogger")</f>
        <v>liblogger</v>
      </c>
      <c r="B29298" s="65" t="s">
        <v>138</v>
      </c>
    </row>
    <row r="29299" spans="1:2" x14ac:dyDescent="0.25">
      <c r="A29299" s="64" t="str">
        <f>HYPERLINK("http://www.twitter.com/shrinkwrapped", "shrinkwrapped")</f>
        <v>shrinkwrapped</v>
      </c>
      <c r="B29299" s="65" t="s">
        <v>110</v>
      </c>
    </row>
    <row r="29300" spans="1:2" x14ac:dyDescent="0.25">
      <c r="A29300" s="64" t="str">
        <f>HYPERLINK("http://www.twitter.com/JamieatOrkney", "JamieatOrkney")</f>
        <v>JamieatOrkney</v>
      </c>
      <c r="B29300" s="65"/>
    </row>
    <row r="29301" spans="1:2" x14ac:dyDescent="0.25">
      <c r="A29301" s="64" t="str">
        <f>HYPERLINK("http://www.twitter.com/MsStrophe", "MsStrophe")</f>
        <v>MsStrophe</v>
      </c>
      <c r="B29301" s="65" t="s">
        <v>12051</v>
      </c>
    </row>
    <row r="29302" spans="1:2" x14ac:dyDescent="0.25">
      <c r="A29302" s="64" t="str">
        <f>HYPERLINK("http://www.twitter.com/SiteExhibitions", "SiteExhibitions")</f>
        <v>SiteExhibitions</v>
      </c>
      <c r="B29302" s="65"/>
    </row>
    <row r="29303" spans="1:2" x14ac:dyDescent="0.25">
      <c r="A29303" s="64" t="str">
        <f>HYPERLINK("http://www.twitter.com/st_imaging", "st_imaging")</f>
        <v>st_imaging</v>
      </c>
      <c r="B29303" s="65" t="s">
        <v>12052</v>
      </c>
    </row>
    <row r="29304" spans="1:2" x14ac:dyDescent="0.25">
      <c r="A29304" s="64" t="str">
        <f>HYPERLINK("http://www.twitter.com/___j_m___", "___j_m___")</f>
        <v>___j_m___</v>
      </c>
      <c r="B29304" s="65"/>
    </row>
    <row r="29305" spans="1:2" x14ac:dyDescent="0.25">
      <c r="A29305" s="64" t="str">
        <f>HYPERLINK("http://www.twitter.com/WinnieBreck", "WinnieBreck")</f>
        <v>WinnieBreck</v>
      </c>
      <c r="B29305" s="65"/>
    </row>
    <row r="29306" spans="1:2" x14ac:dyDescent="0.25">
      <c r="A29306" s="64" t="str">
        <f>HYPERLINK("http://www.twitter.com/tmaqprfan", "tmaqprfan")</f>
        <v>tmaqprfan</v>
      </c>
      <c r="B29306" s="65" t="s">
        <v>4610</v>
      </c>
    </row>
    <row r="29307" spans="1:2" x14ac:dyDescent="0.25">
      <c r="A29307" s="64" t="str">
        <f>HYPERLINK("http://www.twitter.com/ebg7676", "ebg7676")</f>
        <v>ebg7676</v>
      </c>
      <c r="B29307" s="65"/>
    </row>
    <row r="29308" spans="1:2" x14ac:dyDescent="0.25">
      <c r="A29308" s="64" t="str">
        <f>HYPERLINK("http://www.twitter.com/AllyCriddle", "AllyCriddle")</f>
        <v>AllyCriddle</v>
      </c>
      <c r="B29308" s="65"/>
    </row>
    <row r="29309" spans="1:2" x14ac:dyDescent="0.25">
      <c r="A29309" s="64" t="str">
        <f>HYPERLINK("http://www.twitter.com/LesleyACampbell", "LesleyACampbell")</f>
        <v>LesleyACampbell</v>
      </c>
      <c r="B29309" s="65" t="s">
        <v>4519</v>
      </c>
    </row>
    <row r="29310" spans="1:2" x14ac:dyDescent="0.25">
      <c r="A29310" s="64" t="str">
        <f>HYPERLINK("http://www.twitter.com/memaxmarz", "memaxmarz")</f>
        <v>memaxmarz</v>
      </c>
      <c r="B29310" s="65" t="s">
        <v>12053</v>
      </c>
    </row>
    <row r="29311" spans="1:2" x14ac:dyDescent="0.25">
      <c r="A29311" s="64" t="str">
        <f>HYPERLINK("http://www.twitter.com/lilac_library", "lilac_library")</f>
        <v>lilac_library</v>
      </c>
      <c r="B29311" s="65" t="s">
        <v>4247</v>
      </c>
    </row>
    <row r="29312" spans="1:2" x14ac:dyDescent="0.25">
      <c r="A29312" s="64" t="str">
        <f>HYPERLINK("http://www.twitter.com/ahunt185", "ahunt185")</f>
        <v>ahunt185</v>
      </c>
      <c r="B29312" s="65"/>
    </row>
    <row r="29313" spans="1:2" x14ac:dyDescent="0.25">
      <c r="A29313" s="64" t="str">
        <f>HYPERLINK("http://www.twitter.com/TeresaMacnab", "TeresaMacnab")</f>
        <v>TeresaMacnab</v>
      </c>
      <c r="B29313" s="65"/>
    </row>
    <row r="29314" spans="1:2" x14ac:dyDescent="0.25">
      <c r="A29314" s="64" t="str">
        <f>HYPERLINK("http://www.twitter.com/TheTartanDuck", "TheTartanDuck")</f>
        <v>TheTartanDuck</v>
      </c>
      <c r="B29314" s="65" t="s">
        <v>24</v>
      </c>
    </row>
    <row r="29315" spans="1:2" x14ac:dyDescent="0.25">
      <c r="A29315" s="64" t="str">
        <f>HYPERLINK("http://www.twitter.com/flaming__june", "flaming__june")</f>
        <v>flaming__june</v>
      </c>
      <c r="B29315" s="65" t="s">
        <v>12054</v>
      </c>
    </row>
    <row r="29316" spans="1:2" x14ac:dyDescent="0.25">
      <c r="A29316" s="64" t="str">
        <f>HYPERLINK("http://www.twitter.com/OrkCarriageGrp", "OrkCarriageGrp")</f>
        <v>OrkCarriageGrp</v>
      </c>
      <c r="B29316" s="65" t="s">
        <v>20</v>
      </c>
    </row>
    <row r="29317" spans="1:2" x14ac:dyDescent="0.25">
      <c r="A29317" s="64" t="str">
        <f>HYPERLINK("http://www.twitter.com/jfdm", "jfdm")</f>
        <v>jfdm</v>
      </c>
      <c r="B29317" s="65" t="s">
        <v>4862</v>
      </c>
    </row>
    <row r="29318" spans="1:2" x14ac:dyDescent="0.25">
      <c r="A29318" s="64" t="str">
        <f>HYPERLINK("http://www.twitter.com/UCCResearch", "UCCResearch")</f>
        <v>UCCResearch</v>
      </c>
      <c r="B29318" s="65" t="s">
        <v>3951</v>
      </c>
    </row>
    <row r="29319" spans="1:2" x14ac:dyDescent="0.25">
      <c r="A29319" s="64" t="str">
        <f>HYPERLINK("http://www.twitter.com/HamboniusPict", "HamboniusPict")</f>
        <v>HamboniusPict</v>
      </c>
      <c r="B29319" s="65" t="s">
        <v>12055</v>
      </c>
    </row>
    <row r="29320" spans="1:2" x14ac:dyDescent="0.25">
      <c r="A29320" s="64" t="str">
        <f>HYPERLINK("http://www.twitter.com/AndreaWeisserth", "AndreaWeisserth")</f>
        <v>AndreaWeisserth</v>
      </c>
      <c r="B29320" s="65"/>
    </row>
    <row r="29321" spans="1:2" x14ac:dyDescent="0.25">
      <c r="A29321" s="64" t="str">
        <f>HYPERLINK("http://www.twitter.com/muteswann", "muteswann")</f>
        <v>muteswann</v>
      </c>
      <c r="B29321" s="65" t="s">
        <v>24</v>
      </c>
    </row>
    <row r="29322" spans="1:2" x14ac:dyDescent="0.25">
      <c r="A29322" s="64" t="str">
        <f>HYPERLINK("http://www.twitter.com/JLucas86", "JLucas86")</f>
        <v>JLucas86</v>
      </c>
      <c r="B29322" s="65" t="s">
        <v>2774</v>
      </c>
    </row>
    <row r="29323" spans="1:2" x14ac:dyDescent="0.25">
      <c r="A29323" s="64" t="str">
        <f>HYPERLINK("http://www.twitter.com/toadonroll", "toadonroll")</f>
        <v>toadonroll</v>
      </c>
      <c r="B29323" s="65"/>
    </row>
    <row r="29324" spans="1:2" x14ac:dyDescent="0.25">
      <c r="A29324" s="64" t="str">
        <f>HYPERLINK("http://www.twitter.com/NAPLESisLib", "NAPLESisLib")</f>
        <v>NAPLESisLib</v>
      </c>
      <c r="B29324" s="65" t="s">
        <v>5869</v>
      </c>
    </row>
    <row r="29325" spans="1:2" x14ac:dyDescent="0.25">
      <c r="A29325" s="64" t="str">
        <f>HYPERLINK("http://www.twitter.com/annemaccoll1", "annemaccoll1")</f>
        <v>annemaccoll1</v>
      </c>
      <c r="B29325" s="65" t="s">
        <v>12056</v>
      </c>
    </row>
    <row r="29326" spans="1:2" x14ac:dyDescent="0.25">
      <c r="A29326" s="64" t="str">
        <f>HYPERLINK("http://www.twitter.com/Louiseog", "Louiseog")</f>
        <v>Louiseog</v>
      </c>
      <c r="B29326" s="65" t="s">
        <v>12057</v>
      </c>
    </row>
    <row r="29327" spans="1:2" x14ac:dyDescent="0.25">
      <c r="A29327" s="64" t="str">
        <f>HYPERLINK("http://www.twitter.com/FlettLorraine", "FlettLorraine")</f>
        <v>FlettLorraine</v>
      </c>
      <c r="B29327" s="65" t="s">
        <v>12058</v>
      </c>
    </row>
    <row r="29328" spans="1:2" x14ac:dyDescent="0.25">
      <c r="A29328" s="64" t="str">
        <f>HYPERLINK("http://www.twitter.com/captaincmb", "captaincmb")</f>
        <v>captaincmb</v>
      </c>
      <c r="B29328" s="65" t="s">
        <v>4865</v>
      </c>
    </row>
    <row r="29329" spans="1:2" x14ac:dyDescent="0.25">
      <c r="A29329" s="64" t="str">
        <f>HYPERLINK("http://www.twitter.com/Reader2Reader", "Reader2Reader")</f>
        <v>Reader2Reader</v>
      </c>
      <c r="B29329" s="65" t="s">
        <v>517</v>
      </c>
    </row>
    <row r="29330" spans="1:2" x14ac:dyDescent="0.25">
      <c r="A29330" s="64" t="str">
        <f>HYPERLINK("http://www.twitter.com/BookmarkYourLib", "BookmarkYourLib")</f>
        <v>BookmarkYourLib</v>
      </c>
      <c r="B29330" s="65"/>
    </row>
    <row r="29331" spans="1:2" x14ac:dyDescent="0.25">
      <c r="A29331" s="64" t="str">
        <f>HYPERLINK("http://www.twitter.com/RachelVanRiel", "RachelVanRiel")</f>
        <v>RachelVanRiel</v>
      </c>
      <c r="B29331" s="65" t="s">
        <v>296</v>
      </c>
    </row>
    <row r="29332" spans="1:2" x14ac:dyDescent="0.25">
      <c r="A29332" s="64" t="str">
        <f>HYPERLINK("http://www.twitter.com/trampledamage", "trampledamage")</f>
        <v>trampledamage</v>
      </c>
      <c r="B29332" s="65"/>
    </row>
    <row r="29333" spans="1:2" x14ac:dyDescent="0.25">
      <c r="A29333" s="64" t="str">
        <f>HYPERLINK("http://www.twitter.com/Vampires2com", "Vampires2com")</f>
        <v>Vampires2com</v>
      </c>
      <c r="B29333" s="65"/>
    </row>
    <row r="29334" spans="1:2" x14ac:dyDescent="0.25">
      <c r="A29334" s="64" t="str">
        <f>HYPERLINK("http://www.twitter.com/UnthankCath", "UnthankCath")</f>
        <v>UnthankCath</v>
      </c>
      <c r="B29334" s="65"/>
    </row>
    <row r="29335" spans="1:2" x14ac:dyDescent="0.25">
      <c r="A29335" s="64" t="str">
        <f>HYPERLINK("http://www.twitter.com/kohlpublishing", "kohlpublishing")</f>
        <v>kohlpublishing</v>
      </c>
      <c r="B29335" s="65" t="s">
        <v>70</v>
      </c>
    </row>
    <row r="29336" spans="1:2" x14ac:dyDescent="0.25">
      <c r="A29336" s="64" t="str">
        <f>HYPERLINK("http://www.twitter.com/LimeyTart", "LimeyTart")</f>
        <v>LimeyTart</v>
      </c>
      <c r="B29336" s="65" t="s">
        <v>12059</v>
      </c>
    </row>
    <row r="29337" spans="1:2" x14ac:dyDescent="0.25">
      <c r="A29337" s="64" t="str">
        <f>HYPERLINK("http://www.twitter.com/steffscully", "steffscully")</f>
        <v>steffscully</v>
      </c>
      <c r="B29337" s="65" t="s">
        <v>4924</v>
      </c>
    </row>
    <row r="29338" spans="1:2" x14ac:dyDescent="0.25">
      <c r="A29338" s="64" t="str">
        <f>HYPERLINK("http://www.twitter.com/bridgeynet", "bridgeynet")</f>
        <v>bridgeynet</v>
      </c>
      <c r="B29338" s="65" t="s">
        <v>5566</v>
      </c>
    </row>
    <row r="29339" spans="1:2" x14ac:dyDescent="0.25">
      <c r="A29339" s="64" t="str">
        <f>HYPERLINK("http://www.twitter.com/azulklein", "azulklein")</f>
        <v>azulklein</v>
      </c>
      <c r="B29339" s="65" t="s">
        <v>12060</v>
      </c>
    </row>
    <row r="29340" spans="1:2" x14ac:dyDescent="0.25">
      <c r="A29340" s="64" t="str">
        <f>HYPERLINK("http://www.twitter.com/ashljr", "ashljr")</f>
        <v>ashljr</v>
      </c>
      <c r="B29340" s="65" t="s">
        <v>6455</v>
      </c>
    </row>
    <row r="29341" spans="1:2" x14ac:dyDescent="0.25">
      <c r="A29341" s="64" t="str">
        <f>HYPERLINK("http://www.twitter.com/2yolks", "2yolks")</f>
        <v>2yolks</v>
      </c>
      <c r="B29341" s="65" t="s">
        <v>5667</v>
      </c>
    </row>
    <row r="29342" spans="1:2" x14ac:dyDescent="0.25">
      <c r="A29342" s="64" t="str">
        <f>HYPERLINK("http://www.twitter.com/HannahJMcGill", "HannahJMcGill")</f>
        <v>HannahJMcGill</v>
      </c>
      <c r="B29342" s="65" t="s">
        <v>4313</v>
      </c>
    </row>
    <row r="29343" spans="1:2" x14ac:dyDescent="0.25">
      <c r="A29343" s="64" t="str">
        <f>HYPERLINK("http://www.twitter.com/Philzcan", "Philzcan")</f>
        <v>Philzcan</v>
      </c>
      <c r="B29343" s="65" t="s">
        <v>4254</v>
      </c>
    </row>
    <row r="29344" spans="1:2" x14ac:dyDescent="0.25">
      <c r="A29344" s="64" t="str">
        <f>HYPERLINK("http://www.twitter.com/noreen1961", "noreen1961")</f>
        <v>noreen1961</v>
      </c>
      <c r="B29344" s="65"/>
    </row>
    <row r="29345" spans="1:2" x14ac:dyDescent="0.25">
      <c r="A29345" s="64" t="str">
        <f>HYPERLINK("http://www.twitter.com/driftndream", "driftndream")</f>
        <v>driftndream</v>
      </c>
      <c r="B29345" s="65" t="s">
        <v>36</v>
      </c>
    </row>
    <row r="29346" spans="1:2" x14ac:dyDescent="0.25">
      <c r="A29346" s="64" t="str">
        <f>HYPERLINK("http://www.twitter.com/ScapaTravel", "ScapaTravel")</f>
        <v>ScapaTravel</v>
      </c>
      <c r="B29346" s="65" t="s">
        <v>4227</v>
      </c>
    </row>
    <row r="29347" spans="1:2" x14ac:dyDescent="0.25">
      <c r="A29347" s="64" t="str">
        <f>HYPERLINK("http://www.twitter.com/rootings_mrs", "rootings_mrs")</f>
        <v>rootings_mrs</v>
      </c>
      <c r="B29347" s="65" t="s">
        <v>1295</v>
      </c>
    </row>
    <row r="29348" spans="1:2" x14ac:dyDescent="0.25">
      <c r="A29348" s="64" t="str">
        <f>HYPERLINK("http://www.twitter.com/zaichishka", "zaichishka")</f>
        <v>zaichishka</v>
      </c>
      <c r="B29348" s="65" t="s">
        <v>4771</v>
      </c>
    </row>
    <row r="29349" spans="1:2" x14ac:dyDescent="0.25">
      <c r="A29349" s="64" t="str">
        <f>HYPERLINK("http://www.twitter.com/serenaorkney", "serenaorkney")</f>
        <v>serenaorkney</v>
      </c>
      <c r="B29349" s="65" t="s">
        <v>4519</v>
      </c>
    </row>
    <row r="29350" spans="1:2" x14ac:dyDescent="0.25">
      <c r="A29350" s="64" t="str">
        <f>HYPERLINK("http://www.twitter.com/InRainbows_", "InRainbows_")</f>
        <v>InRainbows_</v>
      </c>
      <c r="B29350" s="65" t="s">
        <v>4519</v>
      </c>
    </row>
    <row r="29351" spans="1:2" x14ac:dyDescent="0.25">
      <c r="A29351" s="64" t="str">
        <f>HYPERLINK("http://www.twitter.com/miss_wisdom", "miss_wisdom")</f>
        <v>miss_wisdom</v>
      </c>
      <c r="B29351" s="65" t="s">
        <v>110</v>
      </c>
    </row>
    <row r="29352" spans="1:2" x14ac:dyDescent="0.25">
      <c r="A29352" s="64" t="str">
        <f>HYPERLINK("http://www.twitter.com/nextmarkt_World", "nextmarkt_World")</f>
        <v>nextmarkt_World</v>
      </c>
      <c r="B29352" s="65"/>
    </row>
    <row r="29353" spans="1:2" x14ac:dyDescent="0.25">
      <c r="A29353" s="64" t="str">
        <f>HYPERLINK("http://www.twitter.com/descudery", "descudery")</f>
        <v>descudery</v>
      </c>
      <c r="B29353" s="65"/>
    </row>
    <row r="29354" spans="1:2" x14ac:dyDescent="0.25">
      <c r="A29354" s="64" t="str">
        <f>HYPERLINK("http://www.twitter.com/ParkhillLeasing", "ParkhillLeasing")</f>
        <v>ParkhillLeasing</v>
      </c>
      <c r="B29354" s="65" t="s">
        <v>808</v>
      </c>
    </row>
    <row r="29355" spans="1:2" x14ac:dyDescent="0.25">
      <c r="A29355" s="64" t="str">
        <f>HYPERLINK("http://www.twitter.com/GenealogyGirl", "GenealogyGirl")</f>
        <v>GenealogyGirl</v>
      </c>
      <c r="B29355" s="65" t="s">
        <v>67</v>
      </c>
    </row>
    <row r="29356" spans="1:2" x14ac:dyDescent="0.25">
      <c r="A29356" s="64" t="str">
        <f>HYPERLINK("http://www.twitter.com/sarahsworder", "sarahsworder")</f>
        <v>sarahsworder</v>
      </c>
      <c r="B29356" s="65"/>
    </row>
    <row r="29357" spans="1:2" x14ac:dyDescent="0.25">
      <c r="A29357" s="64" t="str">
        <f>HYPERLINK("http://www.twitter.com/NHM_Library", "NHM_Library")</f>
        <v>NHM_Library</v>
      </c>
      <c r="B29357" s="65" t="s">
        <v>144</v>
      </c>
    </row>
    <row r="29358" spans="1:2" x14ac:dyDescent="0.25">
      <c r="A29358" s="64" t="str">
        <f>HYPERLINK("http://www.twitter.com/DJohnsonDrama", "DJohnsonDrama")</f>
        <v>DJohnsonDrama</v>
      </c>
      <c r="B29358" s="65" t="s">
        <v>12061</v>
      </c>
    </row>
    <row r="29359" spans="1:2" x14ac:dyDescent="0.25">
      <c r="A29359" s="64" t="str">
        <f>HYPERLINK("http://www.twitter.com/andrew33r", "andrew33r")</f>
        <v>andrew33r</v>
      </c>
      <c r="B29359" s="65"/>
    </row>
    <row r="29360" spans="1:2" x14ac:dyDescent="0.25">
      <c r="A29360" s="64" t="str">
        <f>HYPERLINK("http://www.twitter.com/Sievert_Journal", "Sievert_Journal")</f>
        <v>Sievert_Journal</v>
      </c>
      <c r="B29360" s="65"/>
    </row>
    <row r="29361" spans="1:2" x14ac:dyDescent="0.25">
      <c r="A29361" s="64" t="str">
        <f>HYPERLINK("http://www.twitter.com/librarykirsty", "librarykirsty")</f>
        <v>librarykirsty</v>
      </c>
      <c r="B29361" s="65" t="s">
        <v>33</v>
      </c>
    </row>
    <row r="29362" spans="1:2" x14ac:dyDescent="0.25">
      <c r="A29362" s="64" t="str">
        <f>HYPERLINK("http://www.twitter.com/pdmdream", "pdmdream")</f>
        <v>pdmdream</v>
      </c>
      <c r="B29362" s="65" t="s">
        <v>296</v>
      </c>
    </row>
    <row r="29363" spans="1:2" x14ac:dyDescent="0.25">
      <c r="A29363" s="64" t="str">
        <f>HYPERLINK("http://www.twitter.com/louisemakin", "louisemakin")</f>
        <v>louisemakin</v>
      </c>
      <c r="B29363" s="65"/>
    </row>
    <row r="29364" spans="1:2" x14ac:dyDescent="0.25">
      <c r="A29364" s="64" t="str">
        <f>HYPERLINK("http://www.twitter.com/BCLRC", "BCLRC")</f>
        <v>BCLRC</v>
      </c>
      <c r="B29364" s="65" t="s">
        <v>2128</v>
      </c>
    </row>
    <row r="29365" spans="1:2" x14ac:dyDescent="0.25">
      <c r="A29365" s="64" t="str">
        <f>HYPERLINK("http://www.twitter.com/librarygalSuze", "librarygalSuze")</f>
        <v>librarygalSuze</v>
      </c>
      <c r="B29365" s="65"/>
    </row>
    <row r="29366" spans="1:2" x14ac:dyDescent="0.25">
      <c r="A29366" s="64" t="str">
        <f>HYPERLINK("http://www.twitter.com/exlibrisevelyn", "exlibrisevelyn")</f>
        <v>exlibrisevelyn</v>
      </c>
      <c r="B29366" s="65" t="s">
        <v>180</v>
      </c>
    </row>
    <row r="29367" spans="1:2" x14ac:dyDescent="0.25">
      <c r="A29367" s="64" t="str">
        <f>HYPERLINK("http://www.twitter.com/lornalibrarian", "lornalibrarian")</f>
        <v>lornalibrarian</v>
      </c>
      <c r="B29367" s="65"/>
    </row>
    <row r="29368" spans="1:2" x14ac:dyDescent="0.25">
      <c r="A29368" s="64" t="str">
        <f>HYPERLINK("http://www.twitter.com/Military_Books", "Military_Books")</f>
        <v>Military_Books</v>
      </c>
      <c r="B29368" s="65" t="s">
        <v>10266</v>
      </c>
    </row>
    <row r="29369" spans="1:2" x14ac:dyDescent="0.25">
      <c r="A29369" s="64" t="str">
        <f>HYPERLINK("http://www.twitter.com/magwi68", "magwi68")</f>
        <v>magwi68</v>
      </c>
      <c r="B29369" s="65" t="s">
        <v>517</v>
      </c>
    </row>
    <row r="29370" spans="1:2" x14ac:dyDescent="0.25">
      <c r="A29370" s="64" t="str">
        <f>HYPERLINK("http://www.twitter.com/miiralane", "miiralane")</f>
        <v>miiralane</v>
      </c>
      <c r="B29370" s="65"/>
    </row>
    <row r="29371" spans="1:2" x14ac:dyDescent="0.25">
      <c r="A29371" s="64" t="str">
        <f>HYPERLINK("http://www.twitter.com/eatartdaily", "eatartdaily")</f>
        <v>eatartdaily</v>
      </c>
      <c r="B29371" s="65" t="s">
        <v>36</v>
      </c>
    </row>
    <row r="29372" spans="1:2" x14ac:dyDescent="0.25">
      <c r="A29372" s="64" t="str">
        <f>HYPERLINK("http://www.twitter.com/BayleafDeli", "BayleafDeli")</f>
        <v>BayleafDeli</v>
      </c>
      <c r="B29372" s="65" t="s">
        <v>12062</v>
      </c>
    </row>
    <row r="29373" spans="1:2" x14ac:dyDescent="0.25">
      <c r="A29373" s="64" t="str">
        <f>HYPERLINK("http://www.twitter.com/SSwanney", "SSwanney")</f>
        <v>SSwanney</v>
      </c>
      <c r="B29373" s="65" t="s">
        <v>12063</v>
      </c>
    </row>
    <row r="29374" spans="1:2" x14ac:dyDescent="0.25">
      <c r="A29374" s="64" t="str">
        <f>HYPERLINK("http://www.twitter.com/rmlj", "rmlj")</f>
        <v>rmlj</v>
      </c>
      <c r="B29374" s="65" t="s">
        <v>517</v>
      </c>
    </row>
    <row r="29375" spans="1:2" x14ac:dyDescent="0.25">
      <c r="A29375" s="64" t="str">
        <f>HYPERLINK("http://www.twitter.com/elaine_mullan", "elaine_mullan")</f>
        <v>elaine_mullan</v>
      </c>
      <c r="B29375" s="65" t="s">
        <v>138</v>
      </c>
    </row>
    <row r="29376" spans="1:2" x14ac:dyDescent="0.25">
      <c r="A29376" s="64" t="str">
        <f>HYPERLINK("http://www.twitter.com/sammbyers", "sammbyers")</f>
        <v>sammbyers</v>
      </c>
      <c r="B29376" s="65" t="s">
        <v>12064</v>
      </c>
    </row>
    <row r="29377" spans="1:2" x14ac:dyDescent="0.25">
      <c r="A29377" s="64" t="str">
        <f>HYPERLINK("http://www.twitter.com/LeithLibrary", "LeithLibrary")</f>
        <v>LeithLibrary</v>
      </c>
      <c r="B29377" s="65" t="s">
        <v>1105</v>
      </c>
    </row>
    <row r="29378" spans="1:2" x14ac:dyDescent="0.25">
      <c r="A29378" s="64" t="str">
        <f>HYPERLINK("http://www.twitter.com/eromsilc", "eromsilc")</f>
        <v>eromsilc</v>
      </c>
      <c r="B29378" s="65" t="s">
        <v>12065</v>
      </c>
    </row>
    <row r="29379" spans="1:2" x14ac:dyDescent="0.25">
      <c r="A29379" s="64" t="str">
        <f>HYPERLINK("http://www.twitter.com/LindseyGWL", "LindseyGWL")</f>
        <v>LindseyGWL</v>
      </c>
      <c r="B29379" s="65"/>
    </row>
    <row r="29380" spans="1:2" x14ac:dyDescent="0.25">
      <c r="A29380" s="64" t="str">
        <f>HYPERLINK("http://www.twitter.com/MitchellTiling", "MitchellTiling")</f>
        <v>MitchellTiling</v>
      </c>
      <c r="B29380" s="65" t="s">
        <v>20</v>
      </c>
    </row>
    <row r="29381" spans="1:2" x14ac:dyDescent="0.25">
      <c r="A29381" s="64" t="str">
        <f>HYPERLINK("http://www.twitter.com/ojrgooner", "ojrgooner")</f>
        <v>ojrgooner</v>
      </c>
      <c r="B29381" s="65"/>
    </row>
    <row r="29382" spans="1:2" x14ac:dyDescent="0.25">
      <c r="A29382" s="64" t="str">
        <f>HYPERLINK("http://www.twitter.com/Bibliotheksdien", "Bibliotheksdien")</f>
        <v>Bibliotheksdien</v>
      </c>
      <c r="B29382" s="65"/>
    </row>
    <row r="29383" spans="1:2" x14ac:dyDescent="0.25">
      <c r="A29383" s="64" t="str">
        <f>HYPERLINK("http://www.twitter.com/sarahmitchelson", "sarahmitchelson")</f>
        <v>sarahmitchelson</v>
      </c>
      <c r="B29383" s="65"/>
    </row>
    <row r="29384" spans="1:2" x14ac:dyDescent="0.25">
      <c r="A29384" s="64" t="str">
        <f>HYPERLINK("http://www.twitter.com/hannahtwin", "hannahtwin")</f>
        <v>hannahtwin</v>
      </c>
      <c r="B29384" s="65" t="s">
        <v>505</v>
      </c>
    </row>
    <row r="29385" spans="1:2" x14ac:dyDescent="0.25">
      <c r="A29385" s="64" t="str">
        <f>HYPERLINK("http://www.twitter.com/Banquomadeira", "Banquomadeira")</f>
        <v>Banquomadeira</v>
      </c>
      <c r="B29385" s="65" t="s">
        <v>11220</v>
      </c>
    </row>
    <row r="29386" spans="1:2" x14ac:dyDescent="0.25">
      <c r="A29386" s="64" t="str">
        <f>HYPERLINK("http://www.twitter.com/alexpendrey", "alexpendrey")</f>
        <v>alexpendrey</v>
      </c>
      <c r="B29386" s="65"/>
    </row>
    <row r="29387" spans="1:2" x14ac:dyDescent="0.25">
      <c r="A29387" s="64" t="str">
        <f>HYPERLINK("http://www.twitter.com/rose_attack", "rose_attack")</f>
        <v>rose_attack</v>
      </c>
      <c r="B29387" s="65"/>
    </row>
    <row r="29388" spans="1:2" x14ac:dyDescent="0.25">
      <c r="A29388" s="64" t="str">
        <f>HYPERLINK("http://www.twitter.com/pawhi7", "pawhi7")</f>
        <v>pawhi7</v>
      </c>
      <c r="B29388" s="65"/>
    </row>
    <row r="29389" spans="1:2" x14ac:dyDescent="0.25">
      <c r="A29389" s="64" t="str">
        <f>HYPERLINK("http://www.twitter.com/McCurrie", "McCurrie")</f>
        <v>McCurrie</v>
      </c>
      <c r="B29389" s="65"/>
    </row>
    <row r="29390" spans="1:2" x14ac:dyDescent="0.25">
      <c r="A29390" s="64" t="str">
        <f>HYPERLINK("http://www.twitter.com/mags060903", "mags060903")</f>
        <v>mags060903</v>
      </c>
      <c r="B29390" s="65" t="s">
        <v>12066</v>
      </c>
    </row>
    <row r="29391" spans="1:2" x14ac:dyDescent="0.25">
      <c r="A29391" s="64" t="str">
        <f>HYPERLINK("http://www.twitter.com/CJBSInfoLib", "CJBSInfoLib")</f>
        <v>CJBSInfoLib</v>
      </c>
      <c r="B29391" s="65" t="s">
        <v>61</v>
      </c>
    </row>
    <row r="29392" spans="1:2" x14ac:dyDescent="0.25">
      <c r="A29392" s="64" t="str">
        <f>HYPERLINK("http://www.twitter.com/SusanPenny2", "SusanPenny2")</f>
        <v>SusanPenny2</v>
      </c>
      <c r="B29392" s="65" t="s">
        <v>12067</v>
      </c>
    </row>
    <row r="29393" spans="1:2" x14ac:dyDescent="0.25">
      <c r="A29393" s="64" t="str">
        <f>HYPERLINK("http://www.twitter.com/zoeb05", "zoeb05")</f>
        <v>zoeb05</v>
      </c>
      <c r="B29393" s="65"/>
    </row>
    <row r="29394" spans="1:2" x14ac:dyDescent="0.25">
      <c r="A29394" s="64" t="str">
        <f>HYPERLINK("http://www.twitter.com/mcleaver", "mcleaver")</f>
        <v>mcleaver</v>
      </c>
      <c r="B29394" s="65" t="s">
        <v>5379</v>
      </c>
    </row>
    <row r="29395" spans="1:2" x14ac:dyDescent="0.25">
      <c r="A29395" s="64" t="str">
        <f>HYPERLINK("http://www.twitter.com/WullieOSkipigoe", "WullieOSkipigoe")</f>
        <v>WullieOSkipigoe</v>
      </c>
      <c r="B29395" s="65"/>
    </row>
    <row r="29396" spans="1:2" x14ac:dyDescent="0.25">
      <c r="A29396" s="64" t="str">
        <f>HYPERLINK("http://www.twitter.com/N_T_S", "N_T_S")</f>
        <v>N_T_S</v>
      </c>
      <c r="B29396" s="65" t="s">
        <v>517</v>
      </c>
    </row>
    <row r="29397" spans="1:2" x14ac:dyDescent="0.25">
      <c r="A29397" s="64" t="str">
        <f>HYPERLINK("http://www.twitter.com/jimmyclou", "jimmyclou")</f>
        <v>jimmyclou</v>
      </c>
      <c r="B29397" s="65" t="s">
        <v>4700</v>
      </c>
    </row>
    <row r="29398" spans="1:2" x14ac:dyDescent="0.25">
      <c r="A29398" s="64" t="str">
        <f>HYPERLINK("http://www.twitter.com/haarhoos", "haarhoos")</f>
        <v>haarhoos</v>
      </c>
      <c r="B29398" s="65" t="s">
        <v>1885</v>
      </c>
    </row>
    <row r="29399" spans="1:2" x14ac:dyDescent="0.25">
      <c r="A29399" s="64" t="str">
        <f>HYPERLINK("http://www.twitter.com/jjjiba", "jjjiba")</f>
        <v>jjjiba</v>
      </c>
      <c r="B29399" s="65"/>
    </row>
    <row r="29400" spans="1:2" x14ac:dyDescent="0.25">
      <c r="A29400" s="64" t="str">
        <f>HYPERLINK("http://www.twitter.com/SgtTCS", "SgtTCS")</f>
        <v>SgtTCS</v>
      </c>
      <c r="B29400" s="65"/>
    </row>
    <row r="29401" spans="1:2" x14ac:dyDescent="0.25">
      <c r="A29401" s="64" t="str">
        <f>HYPERLINK("http://www.twitter.com/TDBDT", "TDBDT")</f>
        <v>TDBDT</v>
      </c>
      <c r="B29401" s="65" t="s">
        <v>12068</v>
      </c>
    </row>
    <row r="29402" spans="1:2" x14ac:dyDescent="0.25">
      <c r="A29402" s="64" t="str">
        <f>HYPERLINK("http://www.twitter.com/sarah_macintyre", "sarah_macintyre")</f>
        <v>sarah_macintyre</v>
      </c>
      <c r="B29402" s="65"/>
    </row>
    <row r="29403" spans="1:2" x14ac:dyDescent="0.25">
      <c r="A29403" s="64" t="str">
        <f>HYPERLINK("http://www.twitter.com/SjarcherSteve", "SjarcherSteve")</f>
        <v>SjarcherSteve</v>
      </c>
      <c r="B29403" s="65"/>
    </row>
    <row r="29404" spans="1:2" x14ac:dyDescent="0.25">
      <c r="A29404" s="64" t="str">
        <f>HYPERLINK("http://www.twitter.com/libraryninja", "libraryninja")</f>
        <v>libraryninja</v>
      </c>
      <c r="B29404" s="65" t="s">
        <v>2717</v>
      </c>
    </row>
    <row r="29405" spans="1:2" x14ac:dyDescent="0.25">
      <c r="A29405" s="64" t="str">
        <f>HYPERLINK("http://www.twitter.com/elizachoc", "elizachoc")</f>
        <v>elizachoc</v>
      </c>
      <c r="B29405" s="65"/>
    </row>
    <row r="29406" spans="1:2" x14ac:dyDescent="0.25">
      <c r="A29406" s="64" t="str">
        <f>HYPERLINK("http://www.twitter.com/dumbpea", "dumbpea")</f>
        <v>dumbpea</v>
      </c>
      <c r="B29406" s="65"/>
    </row>
    <row r="29407" spans="1:2" x14ac:dyDescent="0.25">
      <c r="A29407" s="64" t="str">
        <f>HYPERLINK("http://www.twitter.com/Shuchan", "Shuchan")</f>
        <v>Shuchan</v>
      </c>
      <c r="B29407" s="65" t="s">
        <v>24</v>
      </c>
    </row>
    <row r="29408" spans="1:2" x14ac:dyDescent="0.25">
      <c r="A29408" s="64" t="str">
        <f>HYPERLINK("http://www.twitter.com/SephiTunney", "SephiTunney")</f>
        <v>SephiTunney</v>
      </c>
      <c r="B29408" s="65" t="s">
        <v>808</v>
      </c>
    </row>
    <row r="29409" spans="1:2" x14ac:dyDescent="0.25">
      <c r="A29409" s="64" t="str">
        <f>HYPERLINK("http://www.twitter.com/yvonnehickey1", "yvonnehickey1")</f>
        <v>yvonnehickey1</v>
      </c>
      <c r="B29409" s="65"/>
    </row>
    <row r="29410" spans="1:2" x14ac:dyDescent="0.25">
      <c r="A29410" s="64" t="str">
        <f>HYPERLINK("http://www.twitter.com/sciorama", "sciorama")</f>
        <v>sciorama</v>
      </c>
      <c r="B29410" s="65" t="s">
        <v>517</v>
      </c>
    </row>
    <row r="29411" spans="1:2" x14ac:dyDescent="0.25">
      <c r="A29411" s="64" t="str">
        <f>HYPERLINK("http://www.twitter.com/herahussain", "herahussain")</f>
        <v>herahussain</v>
      </c>
      <c r="B29411" s="65" t="s">
        <v>12069</v>
      </c>
    </row>
    <row r="29412" spans="1:2" x14ac:dyDescent="0.25">
      <c r="A29412" s="64" t="str">
        <f>HYPERLINK("http://www.twitter.com/TyphoidMango", "TyphoidMango")</f>
        <v>TyphoidMango</v>
      </c>
      <c r="B29412" s="65" t="s">
        <v>3839</v>
      </c>
    </row>
    <row r="29413" spans="1:2" x14ac:dyDescent="0.25">
      <c r="A29413" s="64" t="str">
        <f>HYPERLINK("http://www.twitter.com/richardjingram", "richardjingram")</f>
        <v>richardjingram</v>
      </c>
      <c r="B29413" s="65" t="s">
        <v>12070</v>
      </c>
    </row>
    <row r="29414" spans="1:2" x14ac:dyDescent="0.25">
      <c r="A29414" s="64" t="str">
        <f>HYPERLINK("http://www.twitter.com/CaraPleym", "CaraPleym")</f>
        <v>CaraPleym</v>
      </c>
      <c r="B29414" s="65" t="s">
        <v>318</v>
      </c>
    </row>
    <row r="29415" spans="1:2" x14ac:dyDescent="0.25">
      <c r="A29415" s="64" t="str">
        <f>HYPERLINK("http://www.twitter.com/jameshendrie", "jameshendrie")</f>
        <v>jameshendrie</v>
      </c>
      <c r="B29415" s="65" t="s">
        <v>5006</v>
      </c>
    </row>
    <row r="29416" spans="1:2" x14ac:dyDescent="0.25">
      <c r="A29416" s="64" t="str">
        <f>HYPERLINK("http://www.twitter.com/thomaswilliams", "thomaswilliams")</f>
        <v>thomaswilliams</v>
      </c>
      <c r="B29416" s="65" t="s">
        <v>36</v>
      </c>
    </row>
    <row r="29417" spans="1:2" x14ac:dyDescent="0.25">
      <c r="A29417" s="64" t="str">
        <f>HYPERLINK("http://www.twitter.com/ClaireHarkins", "ClaireHarkins")</f>
        <v>ClaireHarkins</v>
      </c>
      <c r="B29417" s="65" t="s">
        <v>4215</v>
      </c>
    </row>
    <row r="29418" spans="1:2" x14ac:dyDescent="0.25">
      <c r="A29418" s="64" t="str">
        <f>HYPERLINK("http://www.twitter.com/ElizabethWalne", "ElizabethWalne")</f>
        <v>ElizabethWalne</v>
      </c>
      <c r="B29418" s="65" t="s">
        <v>4292</v>
      </c>
    </row>
    <row r="29419" spans="1:2" x14ac:dyDescent="0.25">
      <c r="A29419" s="64" t="str">
        <f>HYPERLINK("http://www.twitter.com/YorkCocoaHouse", "YorkCocoaHouse")</f>
        <v>YorkCocoaHouse</v>
      </c>
      <c r="B29419" s="65" t="s">
        <v>12071</v>
      </c>
    </row>
    <row r="29420" spans="1:2" x14ac:dyDescent="0.25">
      <c r="A29420" s="64" t="str">
        <f>HYPERLINK("http://www.twitter.com/templarbooks", "templarbooks")</f>
        <v>templarbooks</v>
      </c>
      <c r="B29420" s="65" t="s">
        <v>477</v>
      </c>
    </row>
    <row r="29421" spans="1:2" x14ac:dyDescent="0.25">
      <c r="A29421" s="64" t="str">
        <f>HYPERLINK("http://www.twitter.com/oilgasmovember", "oilgasmovember")</f>
        <v>oilgasmovember</v>
      </c>
      <c r="B29421" s="65" t="s">
        <v>4180</v>
      </c>
    </row>
    <row r="29422" spans="1:2" x14ac:dyDescent="0.25">
      <c r="A29422" s="64" t="str">
        <f>HYPERLINK("http://www.twitter.com/broon1988", "broon1988")</f>
        <v>broon1988</v>
      </c>
      <c r="B29422" s="65"/>
    </row>
    <row r="29423" spans="1:2" x14ac:dyDescent="0.25">
      <c r="A29423" s="64" t="str">
        <f>HYPERLINK("http://www.twitter.com/jayell9", "jayell9")</f>
        <v>jayell9</v>
      </c>
      <c r="B29423" s="65"/>
    </row>
    <row r="29424" spans="1:2" x14ac:dyDescent="0.25">
      <c r="A29424" s="64" t="str">
        <f>HYPERLINK("http://www.twitter.com/JGerridgeMiller", "JGerridgeMiller")</f>
        <v>JGerridgeMiller</v>
      </c>
      <c r="B29424" s="65" t="s">
        <v>4792</v>
      </c>
    </row>
    <row r="29425" spans="1:2" x14ac:dyDescent="0.25">
      <c r="A29425" s="64" t="str">
        <f>HYPERLINK("http://www.twitter.com/CJBSTraining", "CJBSTraining")</f>
        <v>CJBSTraining</v>
      </c>
      <c r="B29425" s="65"/>
    </row>
    <row r="29426" spans="1:2" x14ac:dyDescent="0.25">
      <c r="A29426" s="64" t="str">
        <f>HYPERLINK("http://www.twitter.com/MsVLemon", "MsVLemon")</f>
        <v>MsVLemon</v>
      </c>
      <c r="B29426" s="65"/>
    </row>
    <row r="29427" spans="1:2" x14ac:dyDescent="0.25">
      <c r="A29427" s="64" t="str">
        <f>HYPERLINK("http://www.twitter.com/Georg_Baumann_6", "Georg_Baumann_6")</f>
        <v>Georg_Baumann_6</v>
      </c>
      <c r="B29427" s="65"/>
    </row>
    <row r="29428" spans="1:2" x14ac:dyDescent="0.25">
      <c r="A29428" s="64" t="str">
        <f>HYPERLINK("http://www.twitter.com/DadburnTheKid", "DadburnTheKid")</f>
        <v>DadburnTheKid</v>
      </c>
      <c r="B29428" s="65" t="s">
        <v>24</v>
      </c>
    </row>
    <row r="29429" spans="1:2" x14ac:dyDescent="0.25">
      <c r="A29429" s="64" t="str">
        <f>HYPERLINK("http://www.twitter.com/HazelCook2", "HazelCook2")</f>
        <v>HazelCook2</v>
      </c>
      <c r="B29429" s="65"/>
    </row>
    <row r="29430" spans="1:2" x14ac:dyDescent="0.25">
      <c r="A29430" s="64" t="str">
        <f>HYPERLINK("http://www.twitter.com/tenten_n55", "tenten_n55")</f>
        <v>tenten_n55</v>
      </c>
      <c r="B29430" s="65" t="s">
        <v>487</v>
      </c>
    </row>
    <row r="29431" spans="1:2" x14ac:dyDescent="0.25">
      <c r="A29431" s="64" t="str">
        <f>HYPERLINK("http://www.twitter.com/tekoforlife", "tekoforlife")</f>
        <v>tekoforlife</v>
      </c>
      <c r="B29431" s="65" t="s">
        <v>12072</v>
      </c>
    </row>
    <row r="29432" spans="1:2" x14ac:dyDescent="0.25">
      <c r="A29432" s="64" t="str">
        <f>HYPERLINK("http://www.twitter.com/TheLeith", "TheLeith")</f>
        <v>TheLeith</v>
      </c>
      <c r="B29432" s="65" t="s">
        <v>12073</v>
      </c>
    </row>
    <row r="29433" spans="1:2" x14ac:dyDescent="0.25">
      <c r="A29433" s="64" t="str">
        <f>HYPERLINK("http://www.twitter.com/worksw", "worksw")</f>
        <v>worksw</v>
      </c>
      <c r="B29433" s="65" t="s">
        <v>12074</v>
      </c>
    </row>
    <row r="29434" spans="1:2" x14ac:dyDescent="0.25">
      <c r="A29434" s="64" t="str">
        <f>HYPERLINK("http://www.twitter.com/CCNInfoStore", "CCNInfoStore")</f>
        <v>CCNInfoStore</v>
      </c>
      <c r="B29434" s="65" t="s">
        <v>12075</v>
      </c>
    </row>
    <row r="29435" spans="1:2" x14ac:dyDescent="0.25">
      <c r="A29435" s="64" t="str">
        <f>HYPERLINK("http://www.twitter.com/KierstyTG", "KierstyTG")</f>
        <v>KierstyTG</v>
      </c>
      <c r="B29435" s="65"/>
    </row>
    <row r="29436" spans="1:2" x14ac:dyDescent="0.25">
      <c r="A29436" s="64" t="str">
        <f>HYPERLINK("http://www.twitter.com/Grumpyfaeorkney", "Grumpyfaeorkney")</f>
        <v>Grumpyfaeorkney</v>
      </c>
      <c r="B29436" s="65" t="s">
        <v>20</v>
      </c>
    </row>
    <row r="29437" spans="1:2" x14ac:dyDescent="0.25">
      <c r="A29437" s="64" t="str">
        <f>HYPERLINK("http://www.twitter.com/librarylady67", "librarylady67")</f>
        <v>librarylady67</v>
      </c>
      <c r="B29437" s="65"/>
    </row>
    <row r="29438" spans="1:2" x14ac:dyDescent="0.25">
      <c r="A29438" s="64" t="str">
        <f>HYPERLINK("http://www.twitter.com/saveUNlibrary", "saveUNlibrary")</f>
        <v>saveUNlibrary</v>
      </c>
      <c r="B29438" s="65" t="s">
        <v>381</v>
      </c>
    </row>
    <row r="29439" spans="1:2" x14ac:dyDescent="0.25">
      <c r="A29439" s="64" t="str">
        <f>HYPERLINK("http://www.twitter.com/stoatster", "stoatster")</f>
        <v>stoatster</v>
      </c>
      <c r="B29439" s="65"/>
    </row>
    <row r="29440" spans="1:2" x14ac:dyDescent="0.25">
      <c r="A29440" s="64" t="str">
        <f>HYPERLINK("http://www.twitter.com/Melv111", "Melv111")</f>
        <v>Melv111</v>
      </c>
      <c r="B29440" s="65" t="s">
        <v>12076</v>
      </c>
    </row>
    <row r="29441" spans="1:2" x14ac:dyDescent="0.25">
      <c r="A29441" s="64" t="str">
        <f>HYPERLINK("http://www.twitter.com/Wallace_Clan", "Wallace_Clan")</f>
        <v>Wallace_Clan</v>
      </c>
      <c r="B29441" s="65" t="s">
        <v>4776</v>
      </c>
    </row>
    <row r="29442" spans="1:2" x14ac:dyDescent="0.25">
      <c r="A29442" s="64" t="str">
        <f>HYPERLINK("http://www.twitter.com/EmilianoShea", "EmilianoShea")</f>
        <v>EmilianoShea</v>
      </c>
      <c r="B29442" s="65" t="s">
        <v>12077</v>
      </c>
    </row>
    <row r="29443" spans="1:2" x14ac:dyDescent="0.25">
      <c r="A29443" s="64" t="str">
        <f>HYPERLINK("http://www.twitter.com/designconceptuk", "designconceptuk")</f>
        <v>designconceptuk</v>
      </c>
      <c r="B29443" s="65" t="s">
        <v>296</v>
      </c>
    </row>
    <row r="29444" spans="1:2" x14ac:dyDescent="0.25">
      <c r="A29444" s="64" t="str">
        <f>HYPERLINK("http://www.twitter.com/i3_conference", "i3_conference")</f>
        <v>i3_conference</v>
      </c>
      <c r="B29444" s="65" t="s">
        <v>1556</v>
      </c>
    </row>
    <row r="29445" spans="1:2" x14ac:dyDescent="0.25">
      <c r="A29445" s="64" t="str">
        <f>HYPERLINK("http://www.twitter.com/paulinegraham", "paulinegraham")</f>
        <v>paulinegraham</v>
      </c>
      <c r="B29445" s="65" t="s">
        <v>24</v>
      </c>
    </row>
    <row r="29446" spans="1:2" x14ac:dyDescent="0.25">
      <c r="A29446" s="64" t="str">
        <f>HYPERLINK("http://www.twitter.com/HISEZ", "HISEZ")</f>
        <v>HISEZ</v>
      </c>
      <c r="B29446" s="65" t="s">
        <v>4050</v>
      </c>
    </row>
    <row r="29447" spans="1:2" x14ac:dyDescent="0.25">
      <c r="A29447" s="64" t="str">
        <f>HYPERLINK("http://www.twitter.com/invisibarbelith", "invisibarbelith")</f>
        <v>invisibarbelith</v>
      </c>
      <c r="B29447" s="65"/>
    </row>
    <row r="29448" spans="1:2" x14ac:dyDescent="0.25">
      <c r="A29448" s="64" t="str">
        <f>HYPERLINK("http://www.twitter.com/AdamMorlad", "AdamMorlad")</f>
        <v>AdamMorlad</v>
      </c>
      <c r="B29448" s="65"/>
    </row>
    <row r="29449" spans="1:2" x14ac:dyDescent="0.25">
      <c r="A29449" s="64" t="str">
        <f>HYPERLINK("http://www.twitter.com/LauraSGWL", "LauraSGWL")</f>
        <v>LauraSGWL</v>
      </c>
      <c r="B29449" s="65"/>
    </row>
    <row r="29450" spans="1:2" x14ac:dyDescent="0.25">
      <c r="A29450" s="64" t="str">
        <f>HYPERLINK("http://www.twitter.com/zoevenditozzi", "zoevenditozzi")</f>
        <v>zoevenditozzi</v>
      </c>
      <c r="B29450" s="65" t="s">
        <v>12078</v>
      </c>
    </row>
    <row r="29451" spans="1:2" x14ac:dyDescent="0.25">
      <c r="A29451" s="64" t="str">
        <f>HYPERLINK("http://www.twitter.com/loudonicus", "loudonicus")</f>
        <v>loudonicus</v>
      </c>
      <c r="B29451" s="65" t="s">
        <v>318</v>
      </c>
    </row>
    <row r="29452" spans="1:2" x14ac:dyDescent="0.25">
      <c r="A29452" s="64" t="str">
        <f>HYPERLINK("http://www.twitter.com/delboy474", "delboy474")</f>
        <v>delboy474</v>
      </c>
      <c r="B29452" s="65"/>
    </row>
    <row r="29453" spans="1:2" x14ac:dyDescent="0.25">
      <c r="A29453" s="64" t="str">
        <f>HYPERLINK("http://www.twitter.com/linabmar", "linabmar")</f>
        <v>linabmar</v>
      </c>
      <c r="B29453" s="65"/>
    </row>
    <row r="29454" spans="1:2" x14ac:dyDescent="0.25">
      <c r="A29454" s="64" t="str">
        <f>HYPERLINK("http://www.twitter.com/ottergod", "ottergod")</f>
        <v>ottergod</v>
      </c>
      <c r="B29454" s="65"/>
    </row>
    <row r="29455" spans="1:2" x14ac:dyDescent="0.25">
      <c r="A29455" s="64" t="str">
        <f>HYPERLINK("http://www.twitter.com/AnneNicolson582", "AnneNicolson582")</f>
        <v>AnneNicolson582</v>
      </c>
      <c r="B29455" s="65"/>
    </row>
    <row r="29456" spans="1:2" x14ac:dyDescent="0.25">
      <c r="A29456" s="64" t="str">
        <f>HYPERLINK("http://www.twitter.com/Libraryclaire", "Libraryclaire")</f>
        <v>Libraryclaire</v>
      </c>
      <c r="B29456" s="65" t="s">
        <v>4015</v>
      </c>
    </row>
    <row r="29457" spans="1:2" x14ac:dyDescent="0.25">
      <c r="A29457" s="64" t="str">
        <f>HYPERLINK("http://www.twitter.com/animalsandmagic", "animalsandmagic")</f>
        <v>animalsandmagic</v>
      </c>
      <c r="B29457" s="65"/>
    </row>
    <row r="29458" spans="1:2" x14ac:dyDescent="0.25">
      <c r="A29458" s="64" t="str">
        <f>HYPERLINK("http://www.twitter.com/Samwilding1", "Samwilding1")</f>
        <v>Samwilding1</v>
      </c>
      <c r="B29458" s="65" t="s">
        <v>7148</v>
      </c>
    </row>
    <row r="29459" spans="1:2" x14ac:dyDescent="0.25">
      <c r="A29459" s="64" t="str">
        <f>HYPERLINK("http://www.twitter.com/TMarwick", "TMarwick")</f>
        <v>TMarwick</v>
      </c>
      <c r="B29459" s="65" t="s">
        <v>8162</v>
      </c>
    </row>
    <row r="29460" spans="1:2" x14ac:dyDescent="0.25">
      <c r="A29460" s="64" t="str">
        <f>HYPERLINK("http://www.twitter.com/hannahinthelib", "hannahinthelib")</f>
        <v>hannahinthelib</v>
      </c>
      <c r="B29460" s="65" t="s">
        <v>12079</v>
      </c>
    </row>
    <row r="29461" spans="1:2" x14ac:dyDescent="0.25">
      <c r="A29461" s="64" t="str">
        <f>HYPERLINK("http://www.twitter.com/lisbeverley", "lisbeverley")</f>
        <v>lisbeverley</v>
      </c>
      <c r="B29461" s="65" t="s">
        <v>12080</v>
      </c>
    </row>
    <row r="29462" spans="1:2" x14ac:dyDescent="0.25">
      <c r="A29462" s="64" t="str">
        <f>HYPERLINK("http://www.twitter.com/priscillo", "priscillo")</f>
        <v>priscillo</v>
      </c>
      <c r="B29462" s="65" t="s">
        <v>138</v>
      </c>
    </row>
    <row r="29463" spans="1:2" x14ac:dyDescent="0.25">
      <c r="A29463" s="64" t="str">
        <f>HYPERLINK("http://www.twitter.com/ColinDakers", "ColinDakers")</f>
        <v>ColinDakers</v>
      </c>
      <c r="B29463" s="65" t="s">
        <v>12081</v>
      </c>
    </row>
    <row r="29464" spans="1:2" x14ac:dyDescent="0.25">
      <c r="A29464" s="64" t="str">
        <f>HYPERLINK("http://www.twitter.com/Titchh", "Titchh")</f>
        <v>Titchh</v>
      </c>
      <c r="B29464" s="65" t="s">
        <v>12082</v>
      </c>
    </row>
    <row r="29465" spans="1:2" x14ac:dyDescent="0.25">
      <c r="A29465" s="64" t="str">
        <f>HYPERLINK("http://www.twitter.com/Geo_Lit", "Geo_Lit")</f>
        <v>Geo_Lit</v>
      </c>
      <c r="B29465" s="65" t="s">
        <v>4177</v>
      </c>
    </row>
    <row r="29466" spans="1:2" x14ac:dyDescent="0.25">
      <c r="A29466" s="64" t="str">
        <f>HYPERLINK("http://www.twitter.com/arkhoose", "arkhoose")</f>
        <v>arkhoose</v>
      </c>
      <c r="B29466" s="65"/>
    </row>
    <row r="29467" spans="1:2" x14ac:dyDescent="0.25">
      <c r="A29467" s="64" t="str">
        <f>HYPERLINK("http://www.twitter.com/JessEmerton", "JessEmerton")</f>
        <v>JessEmerton</v>
      </c>
      <c r="B29467" s="65" t="s">
        <v>1146</v>
      </c>
    </row>
    <row r="29468" spans="1:2" x14ac:dyDescent="0.25">
      <c r="A29468" s="64" t="str">
        <f>HYPERLINK("http://www.twitter.com/CB2014SF", "CB2014SF")</f>
        <v>CB2014SF</v>
      </c>
      <c r="B29468" s="65" t="s">
        <v>11900</v>
      </c>
    </row>
    <row r="29469" spans="1:2" x14ac:dyDescent="0.25">
      <c r="A29469" s="64" t="str">
        <f>HYPERLINK("http://www.twitter.com/UKSheHulk", "UKSheHulk")</f>
        <v>UKSheHulk</v>
      </c>
      <c r="B29469" s="65"/>
    </row>
    <row r="29470" spans="1:2" x14ac:dyDescent="0.25">
      <c r="A29470" s="64" t="str">
        <f>HYPERLINK("http://www.twitter.com/biblio_karen", "biblio_karen")</f>
        <v>biblio_karen</v>
      </c>
      <c r="B29470" s="65" t="s">
        <v>70</v>
      </c>
    </row>
    <row r="29471" spans="1:2" x14ac:dyDescent="0.25">
      <c r="A29471" s="64" t="str">
        <f>HYPERLINK("http://www.twitter.com/cappa100", "cappa100")</f>
        <v>cappa100</v>
      </c>
      <c r="B29471" s="65"/>
    </row>
    <row r="29472" spans="1:2" x14ac:dyDescent="0.25">
      <c r="A29472" s="64" t="str">
        <f>HYPERLINK("http://www.twitter.com/SportingNeasden", "SportingNeasden")</f>
        <v>SportingNeasden</v>
      </c>
      <c r="B29472" s="65"/>
    </row>
    <row r="29473" spans="1:2" x14ac:dyDescent="0.25">
      <c r="A29473" s="64" t="str">
        <f>HYPERLINK("http://www.twitter.com/silvertipworld", "silvertipworld")</f>
        <v>silvertipworld</v>
      </c>
      <c r="B29473" s="65" t="s">
        <v>12083</v>
      </c>
    </row>
    <row r="29474" spans="1:2" x14ac:dyDescent="0.25">
      <c r="A29474" s="64" t="str">
        <f>HYPERLINK("http://www.twitter.com/BeckettLibrary", "BeckettLibrary")</f>
        <v>BeckettLibrary</v>
      </c>
      <c r="B29474" s="65" t="s">
        <v>180</v>
      </c>
    </row>
    <row r="29475" spans="1:2" x14ac:dyDescent="0.25">
      <c r="A29475" s="64" t="str">
        <f>HYPERLINK("http://www.twitter.com/JasonHickey", "JasonHickey")</f>
        <v>JasonHickey</v>
      </c>
      <c r="B29475" s="65" t="s">
        <v>4062</v>
      </c>
    </row>
    <row r="29476" spans="1:2" x14ac:dyDescent="0.25">
      <c r="A29476" s="64" t="str">
        <f>HYPERLINK("http://www.twitter.com/bobmnash", "bobmnash")</f>
        <v>bobmnash</v>
      </c>
      <c r="B29476" s="65" t="s">
        <v>12084</v>
      </c>
    </row>
    <row r="29477" spans="1:2" x14ac:dyDescent="0.25">
      <c r="A29477" s="64" t="str">
        <f>HYPERLINK("http://www.twitter.com/5Mumsie", "5Mumsie")</f>
        <v>5Mumsie</v>
      </c>
      <c r="B29477" s="65"/>
    </row>
    <row r="29478" spans="1:2" x14ac:dyDescent="0.25">
      <c r="A29478" s="64" t="str">
        <f>HYPERLINK("http://www.twitter.com/idiomcorner", "idiomcorner")</f>
        <v>idiomcorner</v>
      </c>
      <c r="B29478" s="65" t="s">
        <v>36</v>
      </c>
    </row>
    <row r="29479" spans="1:2" x14ac:dyDescent="0.25">
      <c r="A29479" s="64" t="str">
        <f>HYPERLINK("http://www.twitter.com/mlcairns", "mlcairns")</f>
        <v>mlcairns</v>
      </c>
      <c r="B29479" s="65"/>
    </row>
    <row r="29480" spans="1:2" x14ac:dyDescent="0.25">
      <c r="A29480" s="64" t="str">
        <f>HYPERLINK("http://www.twitter.com/h2g2_Guide", "h2g2_Guide")</f>
        <v>h2g2_Guide</v>
      </c>
      <c r="B29480" s="65" t="s">
        <v>10310</v>
      </c>
    </row>
    <row r="29481" spans="1:2" x14ac:dyDescent="0.25">
      <c r="A29481" s="64" t="str">
        <f>HYPERLINK("http://www.twitter.com/BookAngelNoMore", "BookAngelNoMore")</f>
        <v>BookAngelNoMore</v>
      </c>
      <c r="B29481" s="65"/>
    </row>
    <row r="29482" spans="1:2" x14ac:dyDescent="0.25">
      <c r="A29482" s="64" t="str">
        <f>HYPERLINK("http://www.twitter.com/PaulineLittle7", "PaulineLittle7")</f>
        <v>PaulineLittle7</v>
      </c>
      <c r="B29482" s="65"/>
    </row>
    <row r="29483" spans="1:2" x14ac:dyDescent="0.25">
      <c r="A29483" s="64" t="str">
        <f>HYPERLINK("http://www.twitter.com/TheRevP", "TheRevP")</f>
        <v>TheRevP</v>
      </c>
      <c r="B29483" s="65" t="s">
        <v>4040</v>
      </c>
    </row>
    <row r="29484" spans="1:2" x14ac:dyDescent="0.25">
      <c r="A29484" s="64" t="str">
        <f>HYPERLINK("http://www.twitter.com/DonaldsonsOfOrk", "DonaldsonsOfOrk")</f>
        <v>DonaldsonsOfOrk</v>
      </c>
      <c r="B29484" s="65"/>
    </row>
    <row r="29485" spans="1:2" x14ac:dyDescent="0.25">
      <c r="A29485" s="64" t="str">
        <f>HYPERLINK("http://www.twitter.com/EarlyGig", "EarlyGig")</f>
        <v>EarlyGig</v>
      </c>
      <c r="B29485" s="65"/>
    </row>
    <row r="29486" spans="1:2" x14ac:dyDescent="0.25">
      <c r="A29486" s="64" t="str">
        <f>HYPERLINK("http://www.twitter.com/Dr_Cheryl", "Dr_Cheryl")</f>
        <v>Dr_Cheryl</v>
      </c>
      <c r="B29486" s="65" t="s">
        <v>10024</v>
      </c>
    </row>
    <row r="29487" spans="1:2" x14ac:dyDescent="0.25">
      <c r="A29487" s="64" t="str">
        <f>HYPERLINK("http://www.twitter.com/eejeepops", "eejeepops")</f>
        <v>eejeepops</v>
      </c>
      <c r="B29487" s="65"/>
    </row>
    <row r="29488" spans="1:2" x14ac:dyDescent="0.25">
      <c r="A29488" s="64" t="str">
        <f>HYPERLINK("http://www.twitter.com/WaverleyBooks", "WaverleyBooks")</f>
        <v>WaverleyBooks</v>
      </c>
      <c r="B29488" s="65" t="s">
        <v>138</v>
      </c>
    </row>
    <row r="29489" spans="1:2" x14ac:dyDescent="0.25">
      <c r="A29489" s="64" t="str">
        <f>HYPERLINK("http://www.twitter.com/babe_in_toyland", "babe_in_toyland")</f>
        <v>babe_in_toyland</v>
      </c>
      <c r="B29489" s="65" t="s">
        <v>1417</v>
      </c>
    </row>
    <row r="29490" spans="1:2" x14ac:dyDescent="0.25">
      <c r="A29490" s="64" t="str">
        <f>HYPERLINK("http://www.twitter.com/MelGrant5", "MelGrant5")</f>
        <v>MelGrant5</v>
      </c>
      <c r="B29490" s="65" t="s">
        <v>36</v>
      </c>
    </row>
    <row r="29491" spans="1:2" x14ac:dyDescent="0.25">
      <c r="A29491" s="64" t="str">
        <f>HYPERLINK("http://www.twitter.com/book___3_0", "book___3_0")</f>
        <v>book___3_0</v>
      </c>
      <c r="B29491" s="65"/>
    </row>
    <row r="29492" spans="1:2" x14ac:dyDescent="0.25">
      <c r="A29492" s="64" t="str">
        <f>HYPERLINK("http://www.twitter.com/libraryquays", "libraryquays")</f>
        <v>libraryquays</v>
      </c>
      <c r="B29492" s="65"/>
    </row>
    <row r="29493" spans="1:2" x14ac:dyDescent="0.25">
      <c r="A29493" s="64" t="str">
        <f>HYPERLINK("http://www.twitter.com/5ylv666", "5ylv666")</f>
        <v>5ylv666</v>
      </c>
      <c r="B29493" s="65" t="s">
        <v>12085</v>
      </c>
    </row>
    <row r="29494" spans="1:2" x14ac:dyDescent="0.25">
      <c r="A29494" s="64" t="str">
        <f>HYPERLINK("http://www.twitter.com/SheppertonLib", "SheppertonLib")</f>
        <v>SheppertonLib</v>
      </c>
      <c r="B29494" s="65" t="s">
        <v>1285</v>
      </c>
    </row>
    <row r="29495" spans="1:2" x14ac:dyDescent="0.25">
      <c r="A29495" s="64" t="str">
        <f>HYPERLINK("http://www.twitter.com/Mudmapped", "Mudmapped")</f>
        <v>Mudmapped</v>
      </c>
      <c r="B29495" s="65" t="s">
        <v>3988</v>
      </c>
    </row>
    <row r="29496" spans="1:2" x14ac:dyDescent="0.25">
      <c r="A29496" s="64" t="str">
        <f>HYPERLINK("http://www.twitter.com/laurenbravo", "laurenbravo")</f>
        <v>laurenbravo</v>
      </c>
      <c r="B29496" s="65" t="s">
        <v>12086</v>
      </c>
    </row>
    <row r="29497" spans="1:2" x14ac:dyDescent="0.25">
      <c r="A29497" s="64" t="str">
        <f>HYPERLINK("http://www.twitter.com/alisontarry", "alisontarry")</f>
        <v>alisontarry</v>
      </c>
      <c r="B29497" s="65" t="s">
        <v>2289</v>
      </c>
    </row>
    <row r="29498" spans="1:2" x14ac:dyDescent="0.25">
      <c r="A29498" s="64" t="str">
        <f>HYPERLINK("http://www.twitter.com/librarycommon", "librarycommon")</f>
        <v>librarycommon</v>
      </c>
      <c r="B29498" s="65"/>
    </row>
    <row r="29499" spans="1:2" x14ac:dyDescent="0.25">
      <c r="A29499" s="64" t="str">
        <f>HYPERLINK("http://www.twitter.com/mojoco67", "mojoco67")</f>
        <v>mojoco67</v>
      </c>
      <c r="B29499" s="65" t="s">
        <v>12087</v>
      </c>
    </row>
    <row r="29500" spans="1:2" x14ac:dyDescent="0.25">
      <c r="A29500" s="64" t="str">
        <f>HYPERLINK("http://www.twitter.com/Georg_Baumann_2", "Georg_Baumann_2")</f>
        <v>Georg_Baumann_2</v>
      </c>
      <c r="B29500" s="65"/>
    </row>
    <row r="29501" spans="1:2" x14ac:dyDescent="0.25">
      <c r="A29501" s="64" t="str">
        <f>HYPERLINK("http://www.twitter.com/SouthTyneLibs", "SouthTyneLibs")</f>
        <v>SouthTyneLibs</v>
      </c>
      <c r="B29501" s="65" t="s">
        <v>412</v>
      </c>
    </row>
    <row r="29502" spans="1:2" x14ac:dyDescent="0.25">
      <c r="A29502" s="64" t="str">
        <f>HYPERLINK("http://www.twitter.com/SaintBertelin", "SaintBertelin")</f>
        <v>SaintBertelin</v>
      </c>
      <c r="B29502" s="65" t="s">
        <v>12088</v>
      </c>
    </row>
    <row r="29503" spans="1:2" x14ac:dyDescent="0.25">
      <c r="A29503" s="64" t="str">
        <f>HYPERLINK("http://www.twitter.com/JayStephens", "JayStephens")</f>
        <v>JayStephens</v>
      </c>
      <c r="B29503" s="65" t="s">
        <v>12089</v>
      </c>
    </row>
    <row r="29504" spans="1:2" x14ac:dyDescent="0.25">
      <c r="A29504" s="64" t="str">
        <f>HYPERLINK("http://www.twitter.com/JordanOgg", "JordanOgg")</f>
        <v>JordanOgg</v>
      </c>
      <c r="B29504" s="65" t="s">
        <v>487</v>
      </c>
    </row>
    <row r="29505" spans="1:2" x14ac:dyDescent="0.25">
      <c r="A29505" s="64" t="str">
        <f>HYPERLINK("http://www.twitter.com/RaeCraigie", "RaeCraigie")</f>
        <v>RaeCraigie</v>
      </c>
      <c r="B29505" s="65"/>
    </row>
    <row r="29506" spans="1:2" x14ac:dyDescent="0.25">
      <c r="A29506" s="64" t="str">
        <f>HYPERLINK("http://www.twitter.com/dmonty23", "dmonty23")</f>
        <v>dmonty23</v>
      </c>
      <c r="B29506" s="65" t="s">
        <v>12090</v>
      </c>
    </row>
    <row r="29507" spans="1:2" x14ac:dyDescent="0.25">
      <c r="A29507" s="64" t="str">
        <f>HYPERLINK("http://www.twitter.com/SwissMmilsom", "SwissMmilsom")</f>
        <v>SwissMmilsom</v>
      </c>
      <c r="B29507" s="65" t="s">
        <v>4233</v>
      </c>
    </row>
    <row r="29508" spans="1:2" x14ac:dyDescent="0.25">
      <c r="A29508" s="64" t="str">
        <f>HYPERLINK("http://www.twitter.com/JayneEvans99", "JayneEvans99")</f>
        <v>JayneEvans99</v>
      </c>
      <c r="B29508" s="65"/>
    </row>
    <row r="29509" spans="1:2" x14ac:dyDescent="0.25">
      <c r="A29509" s="64" t="str">
        <f>HYPERLINK("http://www.twitter.com/KeithNairn", "KeithNairn")</f>
        <v>KeithNairn</v>
      </c>
      <c r="B29509" s="65" t="s">
        <v>11637</v>
      </c>
    </row>
    <row r="29510" spans="1:2" x14ac:dyDescent="0.25">
      <c r="A29510" s="64" t="str">
        <f>HYPERLINK("http://www.twitter.com/andynhall", "andynhall")</f>
        <v>andynhall</v>
      </c>
      <c r="B29510" s="65"/>
    </row>
    <row r="29511" spans="1:2" x14ac:dyDescent="0.25">
      <c r="A29511" s="64" t="str">
        <f>HYPERLINK("http://www.twitter.com/edbookfest", "edbookfest")</f>
        <v>edbookfest</v>
      </c>
      <c r="B29511" s="65" t="s">
        <v>24</v>
      </c>
    </row>
    <row r="29512" spans="1:2" x14ac:dyDescent="0.25">
      <c r="A29512" s="64" t="str">
        <f>HYPERLINK("http://www.twitter.com/ourdemoheritage", "ourdemoheritage")</f>
        <v>ourdemoheritage</v>
      </c>
      <c r="B29512" s="65" t="s">
        <v>3858</v>
      </c>
    </row>
    <row r="29513" spans="1:2" x14ac:dyDescent="0.25">
      <c r="A29513" s="64" t="str">
        <f>HYPERLINK("http://www.twitter.com/argcPALEO", "argcPALEO")</f>
        <v>argcPALEO</v>
      </c>
      <c r="B29513" s="65" t="s">
        <v>5432</v>
      </c>
    </row>
    <row r="29514" spans="1:2" x14ac:dyDescent="0.25">
      <c r="A29514" s="64" t="str">
        <f>HYPERLINK("http://www.twitter.com/SueReidSexton", "SueReidSexton")</f>
        <v>SueReidSexton</v>
      </c>
      <c r="B29514" s="65" t="s">
        <v>138</v>
      </c>
    </row>
    <row r="29515" spans="1:2" x14ac:dyDescent="0.25">
      <c r="A29515" s="64" t="str">
        <f>HYPERLINK("http://www.twitter.com/hcotter", "hcotter")</f>
        <v>hcotter</v>
      </c>
      <c r="B29515" s="65"/>
    </row>
    <row r="29516" spans="1:2" x14ac:dyDescent="0.25">
      <c r="A29516" s="64" t="str">
        <f>HYPERLINK("http://www.twitter.com/RosinaFerguson", "RosinaFerguson")</f>
        <v>RosinaFerguson</v>
      </c>
      <c r="B29516" s="65" t="s">
        <v>12091</v>
      </c>
    </row>
    <row r="29517" spans="1:2" x14ac:dyDescent="0.25">
      <c r="A29517" s="64" t="str">
        <f>HYPERLINK("http://www.twitter.com/gill_lewis", "gill_lewis")</f>
        <v>gill_lewis</v>
      </c>
      <c r="B29517" s="65"/>
    </row>
    <row r="29518" spans="1:2" x14ac:dyDescent="0.25">
      <c r="A29518" s="64" t="str">
        <f>HYPERLINK("http://www.twitter.com/theislandreview", "theislandreview")</f>
        <v>theislandreview</v>
      </c>
      <c r="B29518" s="65"/>
    </row>
    <row r="29519" spans="1:2" x14ac:dyDescent="0.25">
      <c r="A29519" s="64" t="str">
        <f>HYPERLINK("http://www.twitter.com/RossWalker18", "RossWalker18")</f>
        <v>RossWalker18</v>
      </c>
      <c r="B29519" s="65" t="s">
        <v>12092</v>
      </c>
    </row>
    <row r="29520" spans="1:2" x14ac:dyDescent="0.25">
      <c r="A29520" s="64" t="str">
        <f>HYPERLINK("http://www.twitter.com/AlisonHandling", "AlisonHandling")</f>
        <v>AlisonHandling</v>
      </c>
      <c r="B29520" s="65" t="s">
        <v>12093</v>
      </c>
    </row>
    <row r="29521" spans="1:2" x14ac:dyDescent="0.25">
      <c r="A29521" s="64" t="str">
        <f>HYPERLINK("http://www.twitter.com/mudbeast76", "mudbeast76")</f>
        <v>mudbeast76</v>
      </c>
      <c r="B29521" s="65" t="s">
        <v>12094</v>
      </c>
    </row>
    <row r="29522" spans="1:2" x14ac:dyDescent="0.25">
      <c r="A29522" s="64" t="str">
        <f>HYPERLINK("http://www.twitter.com/klswannie", "klswannie")</f>
        <v>klswannie</v>
      </c>
      <c r="B29522" s="65" t="s">
        <v>517</v>
      </c>
    </row>
    <row r="29523" spans="1:2" x14ac:dyDescent="0.25">
      <c r="A29523" s="64" t="str">
        <f>HYPERLINK("http://www.twitter.com/TheFilthyPriest", "TheFilthyPriest")</f>
        <v>TheFilthyPriest</v>
      </c>
      <c r="B29523" s="65" t="s">
        <v>12095</v>
      </c>
    </row>
    <row r="29524" spans="1:2" x14ac:dyDescent="0.25">
      <c r="A29524" s="64" t="str">
        <f>HYPERLINK("http://www.twitter.com/Notfallverbund", "Notfallverbund")</f>
        <v>Notfallverbund</v>
      </c>
      <c r="B29524" s="65"/>
    </row>
    <row r="29525" spans="1:2" x14ac:dyDescent="0.25">
      <c r="A29525" s="64" t="str">
        <f>HYPERLINK("http://www.twitter.com/librarydonna", "librarydonna")</f>
        <v>librarydonna</v>
      </c>
      <c r="B29525" s="65"/>
    </row>
    <row r="29526" spans="1:2" x14ac:dyDescent="0.25">
      <c r="A29526" s="64" t="str">
        <f>HYPERLINK("http://www.twitter.com/NLIreland", "NLIreland")</f>
        <v>NLIreland</v>
      </c>
      <c r="B29526" s="65" t="s">
        <v>3760</v>
      </c>
    </row>
    <row r="29527" spans="1:2" x14ac:dyDescent="0.25">
      <c r="A29527" s="64" t="str">
        <f>HYPERLINK("http://www.twitter.com/niallmacleod76", "niallmacleod76")</f>
        <v>niallmacleod76</v>
      </c>
      <c r="B29527" s="65" t="s">
        <v>12096</v>
      </c>
    </row>
    <row r="29528" spans="1:2" x14ac:dyDescent="0.25">
      <c r="A29528" s="64" t="str">
        <f>HYPERLINK("http://www.twitter.com/AllanSkea", "AllanSkea")</f>
        <v>AllanSkea</v>
      </c>
      <c r="B29528" s="65" t="s">
        <v>24</v>
      </c>
    </row>
    <row r="29529" spans="1:2" x14ac:dyDescent="0.25">
      <c r="A29529" s="64" t="str">
        <f>HYPERLINK("http://www.twitter.com/loveyourheritag", "loveyourheritag")</f>
        <v>loveyourheritag</v>
      </c>
      <c r="B29529" s="65" t="s">
        <v>5513</v>
      </c>
    </row>
    <row r="29530" spans="1:2" x14ac:dyDescent="0.25">
      <c r="A29530" s="64" t="str">
        <f>HYPERLINK("http://www.twitter.com/laurenstanger", "laurenstanger")</f>
        <v>laurenstanger</v>
      </c>
      <c r="B29530" s="65"/>
    </row>
    <row r="29531" spans="1:2" x14ac:dyDescent="0.25">
      <c r="A29531" s="64" t="str">
        <f>HYPERLINK("http://www.twitter.com/treriksen", "treriksen")</f>
        <v>treriksen</v>
      </c>
      <c r="B29531" s="65" t="s">
        <v>138</v>
      </c>
    </row>
    <row r="29532" spans="1:2" x14ac:dyDescent="0.25">
      <c r="A29532" s="64" t="str">
        <f>HYPERLINK("http://www.twitter.com/barbicanlib", "barbicanlib")</f>
        <v>barbicanlib</v>
      </c>
      <c r="B29532" s="65" t="s">
        <v>36</v>
      </c>
    </row>
    <row r="29533" spans="1:2" x14ac:dyDescent="0.25">
      <c r="A29533" s="64" t="str">
        <f>HYPERLINK("http://www.twitter.com/Manx_Research", "Manx_Research")</f>
        <v>Manx_Research</v>
      </c>
      <c r="B29533" s="65" t="s">
        <v>5366</v>
      </c>
    </row>
    <row r="29534" spans="1:2" x14ac:dyDescent="0.25">
      <c r="A29534" s="64" t="str">
        <f>HYPERLINK("http://www.twitter.com/MariPorter3", "MariPorter3")</f>
        <v>MariPorter3</v>
      </c>
      <c r="B29534" s="65"/>
    </row>
    <row r="29535" spans="1:2" x14ac:dyDescent="0.25">
      <c r="A29535" s="64" t="str">
        <f>HYPERLINK("http://www.twitter.com/sid_or_simon", "sid_or_simon")</f>
        <v>sid_or_simon</v>
      </c>
      <c r="B29535" s="65"/>
    </row>
    <row r="29536" spans="1:2" x14ac:dyDescent="0.25">
      <c r="A29536" s="64" t="str">
        <f>HYPERLINK("http://www.twitter.com/DRagsdell", "DRagsdell")</f>
        <v>DRagsdell</v>
      </c>
      <c r="B29536" s="65" t="s">
        <v>12097</v>
      </c>
    </row>
    <row r="29537" spans="1:2" x14ac:dyDescent="0.25">
      <c r="A29537" s="64" t="str">
        <f>HYPERLINK("http://www.twitter.com/kestrelmakes", "kestrelmakes")</f>
        <v>kestrelmakes</v>
      </c>
      <c r="B29537" s="65" t="s">
        <v>517</v>
      </c>
    </row>
    <row r="29538" spans="1:2" x14ac:dyDescent="0.25">
      <c r="A29538" s="64" t="str">
        <f>HYPERLINK("http://www.twitter.com/BrianRhys", "BrianRhys")</f>
        <v>BrianRhys</v>
      </c>
      <c r="B29538" s="65" t="s">
        <v>12098</v>
      </c>
    </row>
    <row r="29539" spans="1:2" x14ac:dyDescent="0.25">
      <c r="A29539" s="64" t="str">
        <f>HYPERLINK("http://www.twitter.com/Lucie_happens", "Lucie_happens")</f>
        <v>Lucie_happens</v>
      </c>
      <c r="B29539" s="65" t="s">
        <v>7276</v>
      </c>
    </row>
    <row r="29540" spans="1:2" x14ac:dyDescent="0.25">
      <c r="A29540" s="64" t="str">
        <f>HYPERLINK("http://www.twitter.com/BMC_series", "BMC_series")</f>
        <v>BMC_series</v>
      </c>
      <c r="B29540" s="65"/>
    </row>
    <row r="29541" spans="1:2" x14ac:dyDescent="0.25">
      <c r="A29541" s="64" t="str">
        <f>HYPERLINK("http://www.twitter.com/MirandaMcK", "MirandaMcK")</f>
        <v>MirandaMcK</v>
      </c>
      <c r="B29541" s="65"/>
    </row>
    <row r="29542" spans="1:2" x14ac:dyDescent="0.25">
      <c r="A29542" s="64" t="str">
        <f>HYPERLINK("http://www.twitter.com/eBooks2godk", "eBooks2godk")</f>
        <v>eBooks2godk</v>
      </c>
      <c r="B29542" s="65" t="s">
        <v>5231</v>
      </c>
    </row>
    <row r="29543" spans="1:2" x14ac:dyDescent="0.25">
      <c r="A29543" s="64" t="str">
        <f>HYPERLINK("http://www.twitter.com/broonlorna", "broonlorna")</f>
        <v>broonlorna</v>
      </c>
      <c r="B29543" s="65"/>
    </row>
    <row r="29544" spans="1:2" x14ac:dyDescent="0.25">
      <c r="A29544" s="64" t="str">
        <f>HYPERLINK("http://www.twitter.com/leafy_love", "leafy_love")</f>
        <v>leafy_love</v>
      </c>
      <c r="B29544" s="65" t="s">
        <v>70</v>
      </c>
    </row>
    <row r="29545" spans="1:2" x14ac:dyDescent="0.25">
      <c r="A29545" s="64" t="str">
        <f>HYPERLINK("http://www.twitter.com/HoygarJacq", "HoygarJacq")</f>
        <v>HoygarJacq</v>
      </c>
      <c r="B29545" s="65"/>
    </row>
    <row r="29546" spans="1:2" x14ac:dyDescent="0.25">
      <c r="A29546" s="64" t="str">
        <f>HYPERLINK("http://www.twitter.com/MansonHp", "MansonHp")</f>
        <v>MansonHp</v>
      </c>
      <c r="B29546" s="65"/>
    </row>
    <row r="29547" spans="1:2" x14ac:dyDescent="0.25">
      <c r="A29547" s="64" t="str">
        <f>HYPERLINK("http://www.twitter.com/rachelbellABDN", "rachelbellABDN")</f>
        <v>rachelbellABDN</v>
      </c>
      <c r="B29547" s="65" t="s">
        <v>569</v>
      </c>
    </row>
    <row r="29548" spans="1:2" x14ac:dyDescent="0.25">
      <c r="A29548" s="64" t="str">
        <f>HYPERLINK("http://www.twitter.com/mini_scot", "mini_scot")</f>
        <v>mini_scot</v>
      </c>
      <c r="B29548" s="65"/>
    </row>
    <row r="29549" spans="1:2" x14ac:dyDescent="0.25">
      <c r="A29549" s="64" t="str">
        <f>HYPERLINK("http://www.twitter.com/LACrossley", "LACrossley")</f>
        <v>LACrossley</v>
      </c>
      <c r="B29549" s="65" t="s">
        <v>12099</v>
      </c>
    </row>
    <row r="29550" spans="1:2" x14ac:dyDescent="0.25">
      <c r="A29550" s="64" t="str">
        <f>HYPERLINK("http://www.twitter.com/Fraulein_Oag", "Fraulein_Oag")</f>
        <v>Fraulein_Oag</v>
      </c>
      <c r="B29550" s="65" t="s">
        <v>24</v>
      </c>
    </row>
    <row r="29551" spans="1:2" x14ac:dyDescent="0.25">
      <c r="A29551" s="64" t="str">
        <f>HYPERLINK("http://www.twitter.com/WestEndEdin", "WestEndEdin")</f>
        <v>WestEndEdin</v>
      </c>
      <c r="B29551" s="65"/>
    </row>
    <row r="29552" spans="1:2" x14ac:dyDescent="0.25">
      <c r="A29552" s="64" t="str">
        <f>HYPERLINK("http://www.twitter.com/jeanplod1664", "jeanplod1664")</f>
        <v>jeanplod1664</v>
      </c>
      <c r="B29552" s="65"/>
    </row>
    <row r="29553" spans="1:2" x14ac:dyDescent="0.25">
      <c r="A29553" s="64" t="str">
        <f>HYPERLINK("http://www.twitter.com/Orcadian180", "Orcadian180")</f>
        <v>Orcadian180</v>
      </c>
      <c r="B29553" s="65" t="s">
        <v>20</v>
      </c>
    </row>
    <row r="29554" spans="1:2" x14ac:dyDescent="0.25">
      <c r="A29554" s="64" t="str">
        <f>HYPERLINK("http://www.twitter.com/ForlagetValeta", "ForlagetValeta")</f>
        <v>ForlagetValeta</v>
      </c>
      <c r="B29554" s="65" t="s">
        <v>5231</v>
      </c>
    </row>
    <row r="29555" spans="1:2" x14ac:dyDescent="0.25">
      <c r="A29555" s="64" t="str">
        <f>HYPERLINK("http://www.twitter.com/DoncasterLib", "DoncasterLib")</f>
        <v>DoncasterLib</v>
      </c>
      <c r="B29555" s="65" t="s">
        <v>691</v>
      </c>
    </row>
    <row r="29556" spans="1:2" x14ac:dyDescent="0.25">
      <c r="A29556" s="64" t="str">
        <f>HYPERLINK("http://www.twitter.com/muckle68", "muckle68")</f>
        <v>muckle68</v>
      </c>
      <c r="B29556" s="65"/>
    </row>
    <row r="29557" spans="1:2" x14ac:dyDescent="0.25">
      <c r="A29557" s="64" t="str">
        <f>HYPERLINK("http://www.twitter.com/readingr00m", "readingr00m")</f>
        <v>readingr00m</v>
      </c>
      <c r="B29557" s="65" t="s">
        <v>12100</v>
      </c>
    </row>
    <row r="29558" spans="1:2" x14ac:dyDescent="0.25">
      <c r="A29558" s="64" t="str">
        <f>HYPERLINK("http://www.twitter.com/SmithandPress", "SmithandPress")</f>
        <v>SmithandPress</v>
      </c>
      <c r="B29558" s="65" t="s">
        <v>12101</v>
      </c>
    </row>
    <row r="29559" spans="1:2" x14ac:dyDescent="0.25">
      <c r="A29559" s="64" t="str">
        <f>HYPERLINK("http://www.twitter.com/BookWeekScot", "BookWeekScot")</f>
        <v>BookWeekScot</v>
      </c>
      <c r="B29559" s="65" t="s">
        <v>517</v>
      </c>
    </row>
    <row r="29560" spans="1:2" x14ac:dyDescent="0.25">
      <c r="A29560" s="64" t="str">
        <f>HYPERLINK("http://www.twitter.com/readingwinds", "readingwinds")</f>
        <v>readingwinds</v>
      </c>
      <c r="B29560" s="65" t="s">
        <v>4710</v>
      </c>
    </row>
    <row r="29561" spans="1:2" x14ac:dyDescent="0.25">
      <c r="A29561" s="64" t="str">
        <f>HYPERLINK("http://www.twitter.com/dawn_stout86", "dawn_stout86")</f>
        <v>dawn_stout86</v>
      </c>
      <c r="B29561" s="65" t="s">
        <v>3762</v>
      </c>
    </row>
    <row r="29562" spans="1:2" x14ac:dyDescent="0.25">
      <c r="A29562" s="64" t="str">
        <f>HYPERLINK("http://www.twitter.com/rochelle8701", "rochelle8701")</f>
        <v>rochelle8701</v>
      </c>
      <c r="B29562" s="65" t="s">
        <v>138</v>
      </c>
    </row>
    <row r="29563" spans="1:2" x14ac:dyDescent="0.25">
      <c r="A29563" s="64" t="str">
        <f>HYPERLINK("http://www.twitter.com/SeanrnSmith", "SeanrnSmith")</f>
        <v>SeanrnSmith</v>
      </c>
      <c r="B29563" s="65" t="s">
        <v>12102</v>
      </c>
    </row>
    <row r="29564" spans="1:2" x14ac:dyDescent="0.25">
      <c r="A29564" s="64" t="str">
        <f>HYPERLINK("http://www.twitter.com/libraryweek2016", "libraryweek2016")</f>
        <v>libraryweek2016</v>
      </c>
      <c r="B29564" s="65" t="s">
        <v>4062</v>
      </c>
    </row>
    <row r="29565" spans="1:2" x14ac:dyDescent="0.25">
      <c r="A29565" s="64" t="str">
        <f>HYPERLINK("http://www.twitter.com/OptTrajPhot", "OptTrajPhot")</f>
        <v>OptTrajPhot</v>
      </c>
      <c r="B29565" s="65" t="s">
        <v>12103</v>
      </c>
    </row>
    <row r="29566" spans="1:2" x14ac:dyDescent="0.25">
      <c r="A29566" s="64" t="str">
        <f>HYPERLINK("http://www.twitter.com/EliseHardy246", "EliseHardy246")</f>
        <v>EliseHardy246</v>
      </c>
      <c r="B29566" s="65"/>
    </row>
    <row r="29567" spans="1:2" x14ac:dyDescent="0.25">
      <c r="A29567" s="64" t="str">
        <f>HYPERLINK("http://www.twitter.com/RMComputing", "RMComputing")</f>
        <v>RMComputing</v>
      </c>
      <c r="B29567" s="65"/>
    </row>
    <row r="29568" spans="1:2" x14ac:dyDescent="0.25">
      <c r="A29568" s="64" t="str">
        <f>HYPERLINK("http://www.twitter.com/tinkerbell1417", "tinkerbell1417")</f>
        <v>tinkerbell1417</v>
      </c>
      <c r="B29568" s="65"/>
    </row>
    <row r="29569" spans="1:2" x14ac:dyDescent="0.25">
      <c r="A29569" s="64" t="str">
        <f>HYPERLINK("http://www.twitter.com/Sharon210268", "Sharon210268")</f>
        <v>Sharon210268</v>
      </c>
      <c r="B29569" s="65" t="s">
        <v>5943</v>
      </c>
    </row>
    <row r="29570" spans="1:2" x14ac:dyDescent="0.25">
      <c r="A29570" s="64" t="str">
        <f>HYPERLINK("http://www.twitter.com/BeorcaNorma", "BeorcaNorma")</f>
        <v>BeorcaNorma</v>
      </c>
      <c r="B29570" s="65"/>
    </row>
    <row r="29571" spans="1:2" x14ac:dyDescent="0.25">
      <c r="A29571" s="64" t="str">
        <f>HYPERLINK("http://www.twitter.com/driftwoodcowboy", "driftwoodcowboy")</f>
        <v>driftwoodcowboy</v>
      </c>
      <c r="B29571" s="65" t="s">
        <v>20</v>
      </c>
    </row>
    <row r="29572" spans="1:2" x14ac:dyDescent="0.25">
      <c r="A29572" s="64" t="str">
        <f>HYPERLINK("http://www.twitter.com/imaplibraries", "imaplibraries")</f>
        <v>imaplibraries</v>
      </c>
      <c r="B29572" s="65" t="s">
        <v>5665</v>
      </c>
    </row>
    <row r="29573" spans="1:2" x14ac:dyDescent="0.25">
      <c r="A29573" s="64" t="str">
        <f>HYPERLINK("http://www.twitter.com/FamilyLibraryIM", "FamilyLibraryIM")</f>
        <v>FamilyLibraryIM</v>
      </c>
      <c r="B29573" s="65" t="s">
        <v>11225</v>
      </c>
    </row>
    <row r="29574" spans="1:2" x14ac:dyDescent="0.25">
      <c r="A29574" s="64" t="str">
        <f>HYPERLINK("http://www.twitter.com/PLR_UK", "PLR_UK")</f>
        <v>PLR_UK</v>
      </c>
      <c r="B29574" s="65" t="s">
        <v>349</v>
      </c>
    </row>
    <row r="29575" spans="1:2" x14ac:dyDescent="0.25">
      <c r="A29575" s="64" t="str">
        <f>HYPERLINK("http://www.twitter.com/EricaThomson1", "EricaThomson1")</f>
        <v>EricaThomson1</v>
      </c>
      <c r="B29575" s="65"/>
    </row>
    <row r="29576" spans="1:2" x14ac:dyDescent="0.25">
      <c r="A29576" s="64" t="str">
        <f>HYPERLINK("http://www.twitter.com/Zloom", "Zloom")</f>
        <v>Zloom</v>
      </c>
      <c r="B29576" s="65" t="s">
        <v>36</v>
      </c>
    </row>
    <row r="29577" spans="1:2" x14ac:dyDescent="0.25">
      <c r="A29577" s="64" t="str">
        <f>HYPERLINK("http://www.twitter.com/tashajane1977", "tashajane1977")</f>
        <v>tashajane1977</v>
      </c>
      <c r="B29577" s="65" t="s">
        <v>5777</v>
      </c>
    </row>
    <row r="29578" spans="1:2" x14ac:dyDescent="0.25">
      <c r="A29578" s="64" t="str">
        <f>HYPERLINK("http://www.twitter.com/jessiepoll", "jessiepoll")</f>
        <v>jessiepoll</v>
      </c>
      <c r="B29578" s="65"/>
    </row>
    <row r="29579" spans="1:2" x14ac:dyDescent="0.25">
      <c r="A29579" s="64" t="str">
        <f>HYPERLINK("http://www.twitter.com/VictoriaMature", "VictoriaMature")</f>
        <v>VictoriaMature</v>
      </c>
      <c r="B29579" s="65"/>
    </row>
    <row r="29580" spans="1:2" x14ac:dyDescent="0.25">
      <c r="A29580" s="64" t="str">
        <f>HYPERLINK("http://www.twitter.com/Veronicasvoice", "Veronicasvoice")</f>
        <v>Veronicasvoice</v>
      </c>
      <c r="B29580" s="65" t="s">
        <v>138</v>
      </c>
    </row>
    <row r="29581" spans="1:2" x14ac:dyDescent="0.25">
      <c r="A29581" s="64" t="str">
        <f>HYPERLINK("http://www.twitter.com/janinek22", "janinek22")</f>
        <v>janinek22</v>
      </c>
      <c r="B29581" s="65" t="s">
        <v>12104</v>
      </c>
    </row>
    <row r="29582" spans="1:2" x14ac:dyDescent="0.25">
      <c r="A29582" s="64" t="str">
        <f>HYPERLINK("http://www.twitter.com/sorrelwood", "sorrelwood")</f>
        <v>sorrelwood</v>
      </c>
      <c r="B29582" s="65"/>
    </row>
    <row r="29583" spans="1:2" x14ac:dyDescent="0.25">
      <c r="A29583" s="64" t="str">
        <f>HYPERLINK("http://www.twitter.com/annastopes", "annastopes")</f>
        <v>annastopes</v>
      </c>
      <c r="B29583" s="65"/>
    </row>
    <row r="29584" spans="1:2" x14ac:dyDescent="0.25">
      <c r="A29584" s="64" t="str">
        <f>HYPERLINK("http://www.twitter.com/RuthSwanney", "RuthSwanney")</f>
        <v>RuthSwanney</v>
      </c>
      <c r="B29584" s="65"/>
    </row>
    <row r="29585" spans="1:2" x14ac:dyDescent="0.25">
      <c r="A29585" s="64" t="str">
        <f>HYPERLINK("http://www.twitter.com/NorfolkRO", "NorfolkRO")</f>
        <v>NorfolkRO</v>
      </c>
      <c r="B29585" s="65" t="s">
        <v>566</v>
      </c>
    </row>
    <row r="29586" spans="1:2" x14ac:dyDescent="0.25">
      <c r="A29586" s="64" t="str">
        <f>HYPERLINK("http://www.twitter.com/alexbaugh3", "alexbaugh3")</f>
        <v>alexbaugh3</v>
      </c>
      <c r="B29586" s="65" t="s">
        <v>12105</v>
      </c>
    </row>
    <row r="29587" spans="1:2" x14ac:dyDescent="0.25">
      <c r="A29587" s="64" t="str">
        <f>HYPERLINK("http://www.twitter.com/LibDanielleJ", "LibDanielleJ")</f>
        <v>LibDanielleJ</v>
      </c>
      <c r="B29587" s="65" t="s">
        <v>3779</v>
      </c>
    </row>
    <row r="29588" spans="1:2" x14ac:dyDescent="0.25">
      <c r="A29588" s="64" t="str">
        <f>HYPERLINK("http://www.twitter.com/iusedtobealibra", "iusedtobealibra")</f>
        <v>iusedtobealibra</v>
      </c>
      <c r="B29588" s="65" t="s">
        <v>318</v>
      </c>
    </row>
    <row r="29589" spans="1:2" x14ac:dyDescent="0.25">
      <c r="A29589" s="64" t="str">
        <f>HYPERLINK("http://www.twitter.com/rannylibrarian", "rannylibrarian")</f>
        <v>rannylibrarian</v>
      </c>
      <c r="B29589" s="65"/>
    </row>
    <row r="29590" spans="1:2" x14ac:dyDescent="0.25">
      <c r="A29590" s="64" t="str">
        <f>HYPERLINK("http://www.twitter.com/tracyboydon", "tracyboydon")</f>
        <v>tracyboydon</v>
      </c>
      <c r="B29590" s="65" t="s">
        <v>4167</v>
      </c>
    </row>
    <row r="29591" spans="1:2" x14ac:dyDescent="0.25">
      <c r="A29591" s="64" t="str">
        <f>HYPERLINK("http://www.twitter.com/ArchEteq", "ArchEteq")</f>
        <v>ArchEteq</v>
      </c>
      <c r="B29591" s="65"/>
    </row>
    <row r="29592" spans="1:2" x14ac:dyDescent="0.25">
      <c r="A29592" s="64" t="str">
        <f>HYPERLINK("http://www.twitter.com/BreedaHerlihy", "BreedaHerlihy")</f>
        <v>BreedaHerlihy</v>
      </c>
      <c r="B29592" s="65" t="s">
        <v>3842</v>
      </c>
    </row>
    <row r="29593" spans="1:2" x14ac:dyDescent="0.25">
      <c r="A29593" s="64" t="str">
        <f>HYPERLINK("http://www.twitter.com/StFergusGallery", "StFergusGallery")</f>
        <v>StFergusGallery</v>
      </c>
      <c r="B29593" s="65" t="s">
        <v>12106</v>
      </c>
    </row>
    <row r="29594" spans="1:2" x14ac:dyDescent="0.25">
      <c r="A29594" s="64" t="str">
        <f>HYPERLINK("http://www.twitter.com/electionlit", "electionlit")</f>
        <v>electionlit</v>
      </c>
      <c r="B29594" s="65" t="s">
        <v>4254</v>
      </c>
    </row>
    <row r="29595" spans="1:2" x14ac:dyDescent="0.25">
      <c r="A29595" s="64" t="str">
        <f>HYPERLINK("http://www.twitter.com/lorcanD", "lorcanD")</f>
        <v>lorcanD</v>
      </c>
      <c r="B29595" s="65" t="s">
        <v>7961</v>
      </c>
    </row>
    <row r="29596" spans="1:2" x14ac:dyDescent="0.25">
      <c r="A29596" s="64" t="str">
        <f>HYPERLINK("http://www.twitter.com/WickedFunGames", "WickedFunGames")</f>
        <v>WickedFunGames</v>
      </c>
      <c r="B29596" s="65" t="s">
        <v>12107</v>
      </c>
    </row>
    <row r="29597" spans="1:2" x14ac:dyDescent="0.25">
      <c r="A29597" s="64" t="str">
        <f>HYPERLINK("http://www.twitter.com/nelelouche", "nelelouche")</f>
        <v>nelelouche</v>
      </c>
      <c r="B29597" s="65" t="s">
        <v>12108</v>
      </c>
    </row>
    <row r="29598" spans="1:2" x14ac:dyDescent="0.25">
      <c r="A29598" s="64" t="str">
        <f>HYPERLINK("http://www.twitter.com/BwdLibraries", "BwdLibraries")</f>
        <v>BwdLibraries</v>
      </c>
      <c r="B29598" s="65" t="s">
        <v>1081</v>
      </c>
    </row>
    <row r="29599" spans="1:2" x14ac:dyDescent="0.25">
      <c r="A29599" s="64" t="str">
        <f>HYPERLINK("http://www.twitter.com/PickaPuppet", "PickaPuppet")</f>
        <v>PickaPuppet</v>
      </c>
      <c r="B29599" s="65"/>
    </row>
    <row r="29600" spans="1:2" x14ac:dyDescent="0.25">
      <c r="A29600" s="64" t="str">
        <f>HYPERLINK("http://www.twitter.com/BioStew", "BioStew")</f>
        <v>BioStew</v>
      </c>
      <c r="B29600" s="65" t="s">
        <v>110</v>
      </c>
    </row>
    <row r="29601" spans="1:2" x14ac:dyDescent="0.25">
      <c r="A29601" s="64" t="str">
        <f>HYPERLINK("http://www.twitter.com/drmwerner", "drmwerner")</f>
        <v>drmwerner</v>
      </c>
      <c r="B29601" s="65"/>
    </row>
    <row r="29602" spans="1:2" x14ac:dyDescent="0.25">
      <c r="A29602" s="64" t="str">
        <f>HYPERLINK("http://www.twitter.com/shazgibson24", "shazgibson24")</f>
        <v>shazgibson24</v>
      </c>
      <c r="B29602" s="65"/>
    </row>
    <row r="29603" spans="1:2" x14ac:dyDescent="0.25">
      <c r="A29603" s="64" t="str">
        <f>HYPERLINK("http://www.twitter.com/HannahSals", "HannahSals")</f>
        <v>HannahSals</v>
      </c>
      <c r="B29603" s="65" t="s">
        <v>6171</v>
      </c>
    </row>
    <row r="29604" spans="1:2" x14ac:dyDescent="0.25">
      <c r="A29604" s="64" t="str">
        <f>HYPERLINK("http://www.twitter.com/readingisgreat", "readingisgreat")</f>
        <v>readingisgreat</v>
      </c>
      <c r="B29604" s="65"/>
    </row>
    <row r="29605" spans="1:2" x14ac:dyDescent="0.25">
      <c r="A29605" s="64" t="str">
        <f>HYPERLINK("http://www.twitter.com/Marymiaow", "Marymiaow")</f>
        <v>Marymiaow</v>
      </c>
      <c r="B29605" s="65"/>
    </row>
    <row r="29606" spans="1:2" x14ac:dyDescent="0.25">
      <c r="A29606" s="64" t="str">
        <f>HYPERLINK("http://www.twitter.com/rasmopolitan", "rasmopolitan")</f>
        <v>rasmopolitan</v>
      </c>
      <c r="B29606" s="65"/>
    </row>
    <row r="29607" spans="1:2" x14ac:dyDescent="0.25">
      <c r="A29607" s="64" t="str">
        <f>HYPERLINK("http://www.twitter.com/familypride", "familypride")</f>
        <v>familypride</v>
      </c>
      <c r="B29607" s="65" t="s">
        <v>4177</v>
      </c>
    </row>
    <row r="29608" spans="1:2" x14ac:dyDescent="0.25">
      <c r="A29608" s="64" t="str">
        <f>HYPERLINK("http://www.twitter.com/Jennyisatwit", "Jennyisatwit")</f>
        <v>Jennyisatwit</v>
      </c>
      <c r="B29608" s="65" t="s">
        <v>12109</v>
      </c>
    </row>
    <row r="29609" spans="1:2" x14ac:dyDescent="0.25">
      <c r="A29609" s="64" t="str">
        <f>HYPERLINK("http://www.twitter.com/chris_tterrag", "chris_tterrag")</f>
        <v>chris_tterrag</v>
      </c>
      <c r="B29609" s="65" t="s">
        <v>118</v>
      </c>
    </row>
    <row r="29610" spans="1:2" x14ac:dyDescent="0.25">
      <c r="A29610" s="64" t="str">
        <f>HYPERLINK("http://www.twitter.com/VictoriaSHardy", "VictoriaSHardy")</f>
        <v>VictoriaSHardy</v>
      </c>
      <c r="B29610" s="65"/>
    </row>
    <row r="29611" spans="1:2" x14ac:dyDescent="0.25">
      <c r="A29611" s="64" t="str">
        <f>HYPERLINK("http://www.twitter.com/olderbolderIRL", "olderbolderIRL")</f>
        <v>olderbolderIRL</v>
      </c>
      <c r="B29611" s="65" t="s">
        <v>4062</v>
      </c>
    </row>
    <row r="29612" spans="1:2" x14ac:dyDescent="0.25">
      <c r="A29612" s="64" t="str">
        <f>HYPERLINK("http://www.twitter.com/FionaClark5", "FionaClark5")</f>
        <v>FionaClark5</v>
      </c>
      <c r="B29612" s="65"/>
    </row>
    <row r="29613" spans="1:2" x14ac:dyDescent="0.25">
      <c r="A29613" s="64" t="str">
        <f>HYPERLINK("http://www.twitter.com/InkWrite", "InkWrite")</f>
        <v>InkWrite</v>
      </c>
      <c r="B29613" s="65"/>
    </row>
    <row r="29614" spans="1:2" x14ac:dyDescent="0.25">
      <c r="A29614" s="64" t="str">
        <f>HYPERLINK("http://www.twitter.com/karenstewart7", "karenstewart7")</f>
        <v>karenstewart7</v>
      </c>
      <c r="B29614" s="65"/>
    </row>
    <row r="29615" spans="1:2" x14ac:dyDescent="0.25">
      <c r="A29615" s="64" t="str">
        <f>HYPERLINK("http://www.twitter.com/thishereeilidh", "thishereeilidh")</f>
        <v>thishereeilidh</v>
      </c>
      <c r="B29615" s="65"/>
    </row>
    <row r="29616" spans="1:2" x14ac:dyDescent="0.25">
      <c r="A29616" s="64" t="str">
        <f>HYPERLINK("http://www.twitter.com/chelseabun71", "chelseabun71")</f>
        <v>chelseabun71</v>
      </c>
      <c r="B29616" s="65"/>
    </row>
    <row r="29617" spans="1:2" x14ac:dyDescent="0.25">
      <c r="A29617" s="64" t="str">
        <f>HYPERLINK("http://www.twitter.com/cathdhanjal", "cathdhanjal")</f>
        <v>cathdhanjal</v>
      </c>
      <c r="B29617" s="65" t="s">
        <v>12110</v>
      </c>
    </row>
    <row r="29618" spans="1:2" x14ac:dyDescent="0.25">
      <c r="A29618" s="64" t="str">
        <f>HYPERLINK("http://www.twitter.com/GMackz", "GMackz")</f>
        <v>GMackz</v>
      </c>
      <c r="B29618" s="65" t="s">
        <v>20</v>
      </c>
    </row>
    <row r="29619" spans="1:2" x14ac:dyDescent="0.25">
      <c r="A29619" s="64" t="str">
        <f>HYPERLINK("http://www.twitter.com/helgsie86", "helgsie86")</f>
        <v>helgsie86</v>
      </c>
      <c r="B29619" s="65" t="s">
        <v>12111</v>
      </c>
    </row>
    <row r="29620" spans="1:2" x14ac:dyDescent="0.25">
      <c r="A29620" s="64" t="str">
        <f>HYPERLINK("http://www.twitter.com/LibraryGC", "LibraryGC")</f>
        <v>LibraryGC</v>
      </c>
      <c r="B29620" s="65" t="s">
        <v>2923</v>
      </c>
    </row>
    <row r="29621" spans="1:2" x14ac:dyDescent="0.25">
      <c r="A29621" s="64" t="str">
        <f>HYPERLINK("http://www.twitter.com/libmsu", "libmsu")</f>
        <v>libmsu</v>
      </c>
      <c r="B29621" s="65" t="s">
        <v>12112</v>
      </c>
    </row>
    <row r="29622" spans="1:2" x14ac:dyDescent="0.25">
      <c r="A29622" s="64" t="str">
        <f>HYPERLINK("http://www.twitter.com/LudLeddy", "LudLeddy")</f>
        <v>LudLeddy</v>
      </c>
      <c r="B29622" s="65" t="s">
        <v>138</v>
      </c>
    </row>
    <row r="29623" spans="1:2" x14ac:dyDescent="0.25">
      <c r="A29623" s="64" t="str">
        <f>HYPERLINK("http://www.twitter.com/MarieStockton", "MarieStockton")</f>
        <v>MarieStockton</v>
      </c>
      <c r="B29623" s="65"/>
    </row>
    <row r="29624" spans="1:2" x14ac:dyDescent="0.25">
      <c r="A29624" s="64" t="str">
        <f>HYPERLINK("http://www.twitter.com/LalJaneMiller", "LalJaneMiller")</f>
        <v>LalJaneMiller</v>
      </c>
      <c r="B29624" s="65" t="s">
        <v>20</v>
      </c>
    </row>
    <row r="29625" spans="1:2" x14ac:dyDescent="0.25">
      <c r="A29625" s="64" t="str">
        <f>HYPERLINK("http://www.twitter.com/CairnbaanHotel", "CairnbaanHotel")</f>
        <v>CairnbaanHotel</v>
      </c>
      <c r="B29625" s="65" t="s">
        <v>12113</v>
      </c>
    </row>
    <row r="29626" spans="1:2" x14ac:dyDescent="0.25">
      <c r="A29626" s="64" t="str">
        <f>HYPERLINK("http://www.twitter.com/rollomum", "rollomum")</f>
        <v>rollomum</v>
      </c>
      <c r="B29626" s="65"/>
    </row>
    <row r="29627" spans="1:2" x14ac:dyDescent="0.25">
      <c r="A29627" s="64" t="str">
        <f>HYPERLINK("http://www.twitter.com/shaqalle2", "shaqalle2")</f>
        <v>shaqalle2</v>
      </c>
      <c r="B29627" s="65" t="s">
        <v>12114</v>
      </c>
    </row>
    <row r="29628" spans="1:2" x14ac:dyDescent="0.25">
      <c r="A29628" s="64" t="str">
        <f>HYPERLINK("http://www.twitter.com/DBronwen", "DBronwen")</f>
        <v>DBronwen</v>
      </c>
      <c r="B29628" s="65"/>
    </row>
    <row r="29629" spans="1:2" x14ac:dyDescent="0.25">
      <c r="A29629" s="64" t="str">
        <f>HYPERLINK("http://www.twitter.com/szjohnston", "szjohnston")</f>
        <v>szjohnston</v>
      </c>
      <c r="B29629" s="65"/>
    </row>
    <row r="29630" spans="1:2" x14ac:dyDescent="0.25">
      <c r="A29630" s="64" t="str">
        <f>HYPERLINK("http://www.twitter.com/GrampianInfo", "GrampianInfo")</f>
        <v>GrampianInfo</v>
      </c>
      <c r="B29630" s="65" t="s">
        <v>8176</v>
      </c>
    </row>
    <row r="29631" spans="1:2" x14ac:dyDescent="0.25">
      <c r="A29631" s="64" t="str">
        <f>HYPERLINK("http://www.twitter.com/FlannOBee", "FlannOBee")</f>
        <v>FlannOBee</v>
      </c>
      <c r="B29631" s="65" t="s">
        <v>12115</v>
      </c>
    </row>
    <row r="29632" spans="1:2" x14ac:dyDescent="0.25">
      <c r="A29632" s="64" t="str">
        <f>HYPERLINK("http://www.twitter.com/fairybasslet", "fairybasslet")</f>
        <v>fairybasslet</v>
      </c>
      <c r="B29632" s="65" t="s">
        <v>296</v>
      </c>
    </row>
    <row r="29633" spans="1:2" x14ac:dyDescent="0.25">
      <c r="A29633" s="64" t="str">
        <f>HYPERLINK("http://www.twitter.com/whiteswine", "whiteswine")</f>
        <v>whiteswine</v>
      </c>
      <c r="B29633" s="65"/>
    </row>
    <row r="29634" spans="1:2" x14ac:dyDescent="0.25">
      <c r="A29634" s="64" t="str">
        <f>HYPERLINK("http://www.twitter.com/ScotsWhayHae", "ScotsWhayHae")</f>
        <v>ScotsWhayHae</v>
      </c>
      <c r="B29634" s="65" t="s">
        <v>138</v>
      </c>
    </row>
    <row r="29635" spans="1:2" x14ac:dyDescent="0.25">
      <c r="A29635" s="64" t="str">
        <f>HYPERLINK("http://www.twitter.com/ellammchinn", "ellammchinn")</f>
        <v>ellammchinn</v>
      </c>
      <c r="B29635" s="65" t="s">
        <v>11174</v>
      </c>
    </row>
    <row r="29636" spans="1:2" x14ac:dyDescent="0.25">
      <c r="A29636" s="64" t="str">
        <f>HYPERLINK("http://www.twitter.com/MusserLibrary", "MusserLibrary")</f>
        <v>MusserLibrary</v>
      </c>
      <c r="B29636" s="65" t="s">
        <v>12116</v>
      </c>
    </row>
    <row r="29637" spans="1:2" x14ac:dyDescent="0.25">
      <c r="A29637" s="64" t="str">
        <f>HYPERLINK("http://www.twitter.com/ArnGray", "ArnGray")</f>
        <v>ArnGray</v>
      </c>
      <c r="B29637" s="65"/>
    </row>
    <row r="29638" spans="1:2" x14ac:dyDescent="0.25">
      <c r="A29638" s="64" t="str">
        <f>HYPERLINK("http://www.twitter.com/FionaDakers", "FionaDakers")</f>
        <v>FionaDakers</v>
      </c>
      <c r="B29638" s="65"/>
    </row>
    <row r="29639" spans="1:2" x14ac:dyDescent="0.25">
      <c r="A29639" s="64" t="str">
        <f>HYPERLINK("http://www.twitter.com/tingram311", "tingram311")</f>
        <v>tingram311</v>
      </c>
      <c r="B29639" s="65" t="s">
        <v>5807</v>
      </c>
    </row>
    <row r="29640" spans="1:2" x14ac:dyDescent="0.25">
      <c r="A29640" s="64" t="str">
        <f>HYPERLINK("http://www.twitter.com/matthewreid1995", "matthewreid1995")</f>
        <v>matthewreid1995</v>
      </c>
      <c r="B29640" s="65" t="s">
        <v>20</v>
      </c>
    </row>
    <row r="29641" spans="1:2" x14ac:dyDescent="0.25">
      <c r="A29641" s="64" t="str">
        <f>HYPERLINK("http://www.twitter.com/optimismnow5", "optimismnow5")</f>
        <v>optimismnow5</v>
      </c>
      <c r="B29641" s="65"/>
    </row>
    <row r="29642" spans="1:2" x14ac:dyDescent="0.25">
      <c r="A29642" s="64" t="str">
        <f>HYPERLINK("http://www.twitter.com/saraaaaawr_", "saraaaaawr_")</f>
        <v>saraaaaawr_</v>
      </c>
      <c r="B29642" s="65"/>
    </row>
    <row r="29643" spans="1:2" x14ac:dyDescent="0.25">
      <c r="A29643" s="64" t="str">
        <f>HYPERLINK("http://www.twitter.com/PolygonBooks", "PolygonBooks")</f>
        <v>PolygonBooks</v>
      </c>
      <c r="B29643" s="65" t="s">
        <v>24</v>
      </c>
    </row>
    <row r="29644" spans="1:2" x14ac:dyDescent="0.25">
      <c r="A29644" s="64" t="str">
        <f>HYPERLINK("http://www.twitter.com/wnbooks", "wnbooks")</f>
        <v>wnbooks</v>
      </c>
      <c r="B29644" s="65" t="s">
        <v>36</v>
      </c>
    </row>
    <row r="29645" spans="1:2" x14ac:dyDescent="0.25">
      <c r="A29645" s="64" t="str">
        <f>HYPERLINK("http://www.twitter.com/CraiginOrkney", "CraiginOrkney")</f>
        <v>CraiginOrkney</v>
      </c>
      <c r="B29645" s="65" t="s">
        <v>20</v>
      </c>
    </row>
    <row r="29646" spans="1:2" x14ac:dyDescent="0.25">
      <c r="A29646" s="64" t="str">
        <f>HYPERLINK("http://www.twitter.com/Pamelamcr", "Pamelamcr")</f>
        <v>Pamelamcr</v>
      </c>
      <c r="B29646" s="65"/>
    </row>
    <row r="29647" spans="1:2" x14ac:dyDescent="0.25">
      <c r="A29647" s="64" t="str">
        <f>HYPERLINK("http://www.twitter.com/BBCListeners", "BBCListeners")</f>
        <v>BBCListeners</v>
      </c>
      <c r="B29647" s="65" t="s">
        <v>12117</v>
      </c>
    </row>
    <row r="29648" spans="1:2" x14ac:dyDescent="0.25">
      <c r="A29648" s="64" t="str">
        <f>HYPERLINK("http://www.twitter.com/eskimo27", "eskimo27")</f>
        <v>eskimo27</v>
      </c>
      <c r="B29648" s="65" t="s">
        <v>24</v>
      </c>
    </row>
    <row r="29649" spans="1:2" x14ac:dyDescent="0.25">
      <c r="A29649" s="64" t="str">
        <f>HYPERLINK("http://www.twitter.com/TheICTadvisors", "TheICTadvisors")</f>
        <v>TheICTadvisors</v>
      </c>
      <c r="B29649" s="65" t="s">
        <v>456</v>
      </c>
    </row>
    <row r="29650" spans="1:2" x14ac:dyDescent="0.25">
      <c r="A29650" s="64" t="str">
        <f>HYPERLINK("http://www.twitter.com/SteveDickinson2", "SteveDickinson2")</f>
        <v>SteveDickinson2</v>
      </c>
      <c r="B29650" s="65" t="s">
        <v>12118</v>
      </c>
    </row>
    <row r="29651" spans="1:2" x14ac:dyDescent="0.25">
      <c r="A29651" s="64" t="str">
        <f>HYPERLINK("http://www.twitter.com/UALRO", "UALRO")</f>
        <v>UALRO</v>
      </c>
      <c r="B29651" s="65" t="s">
        <v>36</v>
      </c>
    </row>
    <row r="29652" spans="1:2" x14ac:dyDescent="0.25">
      <c r="A29652" s="64" t="str">
        <f>HYPERLINK("http://www.twitter.com/PSSDChoir", "PSSDChoir")</f>
        <v>PSSDChoir</v>
      </c>
      <c r="B29652" s="65" t="s">
        <v>7852</v>
      </c>
    </row>
    <row r="29653" spans="1:2" x14ac:dyDescent="0.25">
      <c r="A29653" s="64" t="str">
        <f>HYPERLINK("http://www.twitter.com/NTSonline", "NTSonline")</f>
        <v>NTSonline</v>
      </c>
      <c r="B29653" s="65" t="s">
        <v>517</v>
      </c>
    </row>
    <row r="29654" spans="1:2" x14ac:dyDescent="0.25">
      <c r="A29654" s="64" t="str">
        <f>HYPERLINK("http://www.twitter.com/pygmemo", "pygmemo")</f>
        <v>pygmemo</v>
      </c>
      <c r="B29654" s="65" t="s">
        <v>12119</v>
      </c>
    </row>
    <row r="29655" spans="1:2" x14ac:dyDescent="0.25">
      <c r="A29655" s="64" t="str">
        <f>HYPERLINK("http://www.twitter.com/PierArtsCentre", "PierArtsCentre")</f>
        <v>PierArtsCentre</v>
      </c>
      <c r="B29655" s="65" t="s">
        <v>20</v>
      </c>
    </row>
    <row r="29656" spans="1:2" x14ac:dyDescent="0.25">
      <c r="A29656" s="64" t="str">
        <f>HYPERLINK("http://www.twitter.com/WigtownBookFest", "WigtownBookFest")</f>
        <v>WigtownBookFest</v>
      </c>
      <c r="B29656" s="65" t="s">
        <v>517</v>
      </c>
    </row>
    <row r="29657" spans="1:2" x14ac:dyDescent="0.25">
      <c r="A29657" s="64" t="str">
        <f>HYPERLINK("http://www.twitter.com/MoretonHorsley", "MoretonHorsley")</f>
        <v>MoretonHorsley</v>
      </c>
      <c r="B29657" s="65" t="s">
        <v>36</v>
      </c>
    </row>
    <row r="29658" spans="1:2" x14ac:dyDescent="0.25">
      <c r="A29658" s="64" t="str">
        <f>HYPERLINK("http://www.twitter.com/crafternooner", "crafternooner")</f>
        <v>crafternooner</v>
      </c>
      <c r="B29658" s="65"/>
    </row>
    <row r="29659" spans="1:2" x14ac:dyDescent="0.25">
      <c r="A29659" s="64" t="str">
        <f>HYPERLINK("http://www.twitter.com/gorelsan", "gorelsan")</f>
        <v>gorelsan</v>
      </c>
      <c r="B29659" s="65" t="s">
        <v>12120</v>
      </c>
    </row>
    <row r="29660" spans="1:2" x14ac:dyDescent="0.25">
      <c r="A29660" s="64" t="str">
        <f>HYPERLINK("http://www.twitter.com/agavrilis", "agavrilis")</f>
        <v>agavrilis</v>
      </c>
      <c r="B29660" s="65" t="s">
        <v>12121</v>
      </c>
    </row>
    <row r="29661" spans="1:2" x14ac:dyDescent="0.25">
      <c r="A29661" s="64" t="str">
        <f>HYPERLINK("http://www.twitter.com/Friends_BEL", "Friends_BEL")</f>
        <v>Friends_BEL</v>
      </c>
      <c r="B29661" s="65" t="s">
        <v>12122</v>
      </c>
    </row>
    <row r="29662" spans="1:2" x14ac:dyDescent="0.25">
      <c r="A29662" s="64" t="str">
        <f>HYPERLINK("http://www.twitter.com/ksundst", "ksundst")</f>
        <v>ksundst</v>
      </c>
      <c r="B29662" s="65"/>
    </row>
    <row r="29663" spans="1:2" x14ac:dyDescent="0.25">
      <c r="A29663" s="64" t="str">
        <f>HYPERLINK("http://www.twitter.com/s_kc", "s_kc")</f>
        <v>s_kc</v>
      </c>
      <c r="B29663" s="65" t="s">
        <v>12123</v>
      </c>
    </row>
    <row r="29664" spans="1:2" x14ac:dyDescent="0.25">
      <c r="A29664" s="64" t="str">
        <f>HYPERLINK("http://www.twitter.com/SofiasParadox", "SofiasParadox")</f>
        <v>SofiasParadox</v>
      </c>
      <c r="B29664" s="65" t="s">
        <v>4210</v>
      </c>
    </row>
    <row r="29665" spans="1:2" x14ac:dyDescent="0.25">
      <c r="A29665" s="64" t="str">
        <f>HYPERLINK("http://www.twitter.com/Melita8201", "Melita8201")</f>
        <v>Melita8201</v>
      </c>
      <c r="B29665" s="65"/>
    </row>
    <row r="29666" spans="1:2" x14ac:dyDescent="0.25">
      <c r="A29666" s="64" t="str">
        <f>HYPERLINK("http://www.twitter.com/huchaka", "huchaka")</f>
        <v>huchaka</v>
      </c>
      <c r="B29666" s="65" t="s">
        <v>4317</v>
      </c>
    </row>
    <row r="29667" spans="1:2" x14ac:dyDescent="0.25">
      <c r="A29667" s="64" t="str">
        <f>HYPERLINK("http://www.twitter.com/NabeelahJ", "NabeelahJ")</f>
        <v>NabeelahJ</v>
      </c>
      <c r="B29667" s="65"/>
    </row>
    <row r="29668" spans="1:2" x14ac:dyDescent="0.25">
      <c r="A29668" s="64" t="str">
        <f>HYPERLINK("http://www.twitter.com/fiftythreeDegs", "fiftythreeDegs")</f>
        <v>fiftythreeDegs</v>
      </c>
      <c r="B29668" s="65" t="s">
        <v>7677</v>
      </c>
    </row>
    <row r="29669" spans="1:2" x14ac:dyDescent="0.25">
      <c r="A29669" s="64" t="str">
        <f>HYPERLINK("http://www.twitter.com/LucyALloyd", "LucyALloyd")</f>
        <v>LucyALloyd</v>
      </c>
      <c r="B29669" s="65" t="s">
        <v>12124</v>
      </c>
    </row>
    <row r="29670" spans="1:2" x14ac:dyDescent="0.25">
      <c r="A29670" s="64" t="str">
        <f>HYPERLINK("http://www.twitter.com/magnus_stern", "magnus_stern")</f>
        <v>magnus_stern</v>
      </c>
      <c r="B29670" s="65" t="s">
        <v>12125</v>
      </c>
    </row>
    <row r="29671" spans="1:2" x14ac:dyDescent="0.25">
      <c r="A29671" s="64" t="str">
        <f>HYPERLINK("http://www.twitter.com/ztephen", "ztephen")</f>
        <v>ztephen</v>
      </c>
      <c r="B29671" s="65" t="s">
        <v>517</v>
      </c>
    </row>
    <row r="29672" spans="1:2" x14ac:dyDescent="0.25">
      <c r="A29672" s="64" t="str">
        <f>HYPERLINK("http://www.twitter.com/montanbanan", "montanbanan")</f>
        <v>montanbanan</v>
      </c>
      <c r="B29672" s="65" t="s">
        <v>3948</v>
      </c>
    </row>
    <row r="29673" spans="1:2" x14ac:dyDescent="0.25">
      <c r="A29673" s="64" t="str">
        <f>HYPERLINK("http://www.twitter.com/Raven1esme2", "Raven1esme2")</f>
        <v>Raven1esme2</v>
      </c>
      <c r="B29673" s="65" t="s">
        <v>10526</v>
      </c>
    </row>
    <row r="29674" spans="1:2" x14ac:dyDescent="0.25">
      <c r="A29674" s="64" t="str">
        <f>HYPERLINK("http://www.twitter.com/yourightside", "yourightside")</f>
        <v>yourightside</v>
      </c>
      <c r="B29674" s="65" t="s">
        <v>7479</v>
      </c>
    </row>
    <row r="29675" spans="1:2" x14ac:dyDescent="0.25">
      <c r="A29675" s="64" t="str">
        <f>HYPERLINK("http://www.twitter.com/aveek18", "aveek18")</f>
        <v>aveek18</v>
      </c>
      <c r="B29675" s="65"/>
    </row>
    <row r="29676" spans="1:2" x14ac:dyDescent="0.25">
      <c r="A29676" s="64" t="str">
        <f>HYPERLINK("http://www.twitter.com/domomurike", "domomurike")</f>
        <v>domomurike</v>
      </c>
      <c r="B29676" s="65" t="s">
        <v>12126</v>
      </c>
    </row>
    <row r="29677" spans="1:2" x14ac:dyDescent="0.25">
      <c r="A29677" s="64" t="str">
        <f>HYPERLINK("http://www.twitter.com/gravadersdagar", "gravadersdagar")</f>
        <v>gravadersdagar</v>
      </c>
      <c r="B29677" s="65" t="s">
        <v>4765</v>
      </c>
    </row>
    <row r="29678" spans="1:2" x14ac:dyDescent="0.25">
      <c r="A29678" s="64" t="str">
        <f>HYPERLINK("http://www.twitter.com/thelovebing", "thelovebing")</f>
        <v>thelovebing</v>
      </c>
      <c r="B29678" s="65" t="s">
        <v>5417</v>
      </c>
    </row>
    <row r="29679" spans="1:2" x14ac:dyDescent="0.25">
      <c r="A29679" s="64" t="str">
        <f>HYPERLINK("http://www.twitter.com/chrishanretty", "chrishanretty")</f>
        <v>chrishanretty</v>
      </c>
      <c r="B29679" s="65" t="s">
        <v>2213</v>
      </c>
    </row>
    <row r="29680" spans="1:2" x14ac:dyDescent="0.25">
      <c r="A29680" s="64" t="str">
        <f>HYPERLINK("http://www.twitter.com/mothninja", "mothninja")</f>
        <v>mothninja</v>
      </c>
      <c r="B29680" s="65" t="s">
        <v>12127</v>
      </c>
    </row>
    <row r="29681" spans="1:2" x14ac:dyDescent="0.25">
      <c r="A29681" s="64" t="str">
        <f>HYPERLINK("http://www.twitter.com/lusignanmermaid", "lusignanmermaid")</f>
        <v>lusignanmermaid</v>
      </c>
      <c r="B29681" s="65" t="s">
        <v>3137</v>
      </c>
    </row>
    <row r="29682" spans="1:2" x14ac:dyDescent="0.25">
      <c r="A29682" s="64" t="str">
        <f>HYPERLINK("http://www.twitter.com/WaimakaririLibs", "WaimakaririLibs")</f>
        <v>WaimakaririLibs</v>
      </c>
      <c r="B29682" s="65" t="s">
        <v>12128</v>
      </c>
    </row>
    <row r="29683" spans="1:2" x14ac:dyDescent="0.25">
      <c r="A29683" s="64" t="str">
        <f>HYPERLINK("http://www.twitter.com/JonClark18", "JonClark18")</f>
        <v>JonClark18</v>
      </c>
      <c r="B29683" s="65" t="s">
        <v>2792</v>
      </c>
    </row>
    <row r="29684" spans="1:2" x14ac:dyDescent="0.25">
      <c r="A29684" s="64" t="str">
        <f>HYPERLINK("http://www.twitter.com/Jools_T", "Jools_T")</f>
        <v>Jools_T</v>
      </c>
      <c r="B29684" s="65" t="s">
        <v>12129</v>
      </c>
    </row>
    <row r="29685" spans="1:2" x14ac:dyDescent="0.25">
      <c r="A29685" s="64" t="str">
        <f>HYPERLINK("http://www.twitter.com/emmamccon", "emmamccon")</f>
        <v>emmamccon</v>
      </c>
      <c r="B29685" s="65"/>
    </row>
    <row r="29686" spans="1:2" x14ac:dyDescent="0.25">
      <c r="A29686" s="64" t="str">
        <f>HYPERLINK("http://www.twitter.com/AngelsIcons1850", "AngelsIcons1850")</f>
        <v>AngelsIcons1850</v>
      </c>
      <c r="B29686" s="65"/>
    </row>
    <row r="29687" spans="1:2" x14ac:dyDescent="0.25">
      <c r="A29687" s="64" t="str">
        <f>HYPERLINK("http://www.twitter.com/hodgehegs", "hodgehegs")</f>
        <v>hodgehegs</v>
      </c>
      <c r="B29687" s="65" t="s">
        <v>4454</v>
      </c>
    </row>
    <row r="29688" spans="1:2" x14ac:dyDescent="0.25">
      <c r="A29688" s="64" t="str">
        <f>HYPERLINK("http://www.twitter.com/pandagirl1970", "pandagirl1970")</f>
        <v>pandagirl1970</v>
      </c>
      <c r="B29688" s="65" t="s">
        <v>12130</v>
      </c>
    </row>
    <row r="29689" spans="1:2" x14ac:dyDescent="0.25">
      <c r="A29689" s="64" t="str">
        <f>HYPERLINK("http://www.twitter.com/Jimmikfaescapa", "Jimmikfaescapa")</f>
        <v>Jimmikfaescapa</v>
      </c>
      <c r="B29689" s="65"/>
    </row>
    <row r="29690" spans="1:2" x14ac:dyDescent="0.25">
      <c r="A29690" s="64" t="str">
        <f>HYPERLINK("http://www.twitter.com/kildarelibrary", "kildarelibrary")</f>
        <v>kildarelibrary</v>
      </c>
      <c r="B29690" s="65" t="s">
        <v>12131</v>
      </c>
    </row>
    <row r="29691" spans="1:2" x14ac:dyDescent="0.25">
      <c r="A29691" s="64" t="str">
        <f>HYPERLINK("http://www.twitter.com/TWULibrary", "TWULibrary")</f>
        <v>TWULibrary</v>
      </c>
      <c r="B29691" s="65" t="s">
        <v>3776</v>
      </c>
    </row>
    <row r="29692" spans="1:2" x14ac:dyDescent="0.25">
      <c r="A29692" s="64" t="str">
        <f>HYPERLINK("http://www.twitter.com/theswiveller", "theswiveller")</f>
        <v>theswiveller</v>
      </c>
      <c r="B29692" s="65"/>
    </row>
    <row r="29693" spans="1:2" x14ac:dyDescent="0.25">
      <c r="A29693" s="64" t="str">
        <f>HYPERLINK("http://www.twitter.com/SimonTolkien", "SimonTolkien")</f>
        <v>SimonTolkien</v>
      </c>
      <c r="B29693" s="65"/>
    </row>
    <row r="29694" spans="1:2" x14ac:dyDescent="0.25">
      <c r="A29694" s="64" t="str">
        <f>HYPERLINK("http://www.twitter.com/dajbelshaw", "dajbelshaw")</f>
        <v>dajbelshaw</v>
      </c>
      <c r="B29694" s="65" t="s">
        <v>8862</v>
      </c>
    </row>
    <row r="29695" spans="1:2" x14ac:dyDescent="0.25">
      <c r="A29695" s="64" t="str">
        <f>HYPERLINK("http://www.twitter.com/lmbowler", "lmbowler")</f>
        <v>lmbowler</v>
      </c>
      <c r="B29695" s="65" t="s">
        <v>7260</v>
      </c>
    </row>
    <row r="29696" spans="1:2" x14ac:dyDescent="0.25">
      <c r="A29696" s="64" t="str">
        <f>HYPERLINK("http://www.twitter.com/Gill80Youngman", "Gill80Youngman")</f>
        <v>Gill80Youngman</v>
      </c>
      <c r="B29696" s="65" t="s">
        <v>1490</v>
      </c>
    </row>
    <row r="29697" spans="1:2" x14ac:dyDescent="0.25">
      <c r="A29697" s="64" t="str">
        <f>HYPERLINK("http://www.twitter.com/SandwickLad", "SandwickLad")</f>
        <v>SandwickLad</v>
      </c>
      <c r="B29697" s="65" t="s">
        <v>2007</v>
      </c>
    </row>
    <row r="29698" spans="1:2" x14ac:dyDescent="0.25">
      <c r="A29698" s="64" t="str">
        <f>HYPERLINK("http://www.twitter.com/writerblighter", "writerblighter")</f>
        <v>writerblighter</v>
      </c>
      <c r="B29698" s="65" t="s">
        <v>24</v>
      </c>
    </row>
    <row r="29699" spans="1:2" x14ac:dyDescent="0.25">
      <c r="A29699" s="64" t="str">
        <f>HYPERLINK("http://www.twitter.com/_JamieBaker", "_JamieBaker")</f>
        <v>_JamieBaker</v>
      </c>
      <c r="B29699" s="65" t="s">
        <v>517</v>
      </c>
    </row>
    <row r="29700" spans="1:2" x14ac:dyDescent="0.25">
      <c r="A29700" s="64" t="str">
        <f>HYPERLINK("http://www.twitter.com/juliecaves", "juliecaves")</f>
        <v>juliecaves</v>
      </c>
      <c r="B29700" s="65" t="s">
        <v>12132</v>
      </c>
    </row>
    <row r="29701" spans="1:2" x14ac:dyDescent="0.25">
      <c r="A29701" s="64" t="str">
        <f>HYPERLINK("http://www.twitter.com/librozzoom", "librozzoom")</f>
        <v>librozzoom</v>
      </c>
      <c r="B29701" s="65" t="s">
        <v>10075</v>
      </c>
    </row>
    <row r="29702" spans="1:2" x14ac:dyDescent="0.25">
      <c r="A29702" s="64" t="str">
        <f>HYPERLINK("http://www.twitter.com/MiddleClassCat", "MiddleClassCat")</f>
        <v>MiddleClassCat</v>
      </c>
      <c r="B29702" s="65"/>
    </row>
    <row r="29703" spans="1:2" x14ac:dyDescent="0.25">
      <c r="A29703" s="64" t="str">
        <f>HYPERLINK("http://www.twitter.com/anne2middleton", "anne2middleton")</f>
        <v>anne2middleton</v>
      </c>
      <c r="B29703" s="65"/>
    </row>
    <row r="29704" spans="1:2" x14ac:dyDescent="0.25">
      <c r="A29704" s="64" t="str">
        <f>HYPERLINK("http://www.twitter.com/dtmiller88", "dtmiller88")</f>
        <v>dtmiller88</v>
      </c>
      <c r="B29704" s="65" t="s">
        <v>4760</v>
      </c>
    </row>
    <row r="29705" spans="1:2" x14ac:dyDescent="0.25">
      <c r="A29705" s="64" t="str">
        <f>HYPERLINK("http://www.twitter.com/paulageraghty", "paulageraghty")</f>
        <v>paulageraghty</v>
      </c>
      <c r="B29705" s="65" t="s">
        <v>4062</v>
      </c>
    </row>
    <row r="29706" spans="1:2" x14ac:dyDescent="0.25">
      <c r="A29706" s="64" t="str">
        <f>HYPERLINK("http://www.twitter.com/AdamRobinson26", "AdamRobinson26")</f>
        <v>AdamRobinson26</v>
      </c>
      <c r="B29706" s="65" t="s">
        <v>12133</v>
      </c>
    </row>
    <row r="29707" spans="1:2" x14ac:dyDescent="0.25">
      <c r="A29707" s="64" t="str">
        <f>HYPERLINK("http://www.twitter.com/nja", "nja")</f>
        <v>nja</v>
      </c>
      <c r="B29707" s="65" t="s">
        <v>1235</v>
      </c>
    </row>
    <row r="29708" spans="1:2" x14ac:dyDescent="0.25">
      <c r="A29708" s="64" t="str">
        <f>HYPERLINK("http://www.twitter.com/s_maddra", "s_maddra")</f>
        <v>s_maddra</v>
      </c>
      <c r="B29708" s="65" t="s">
        <v>12134</v>
      </c>
    </row>
    <row r="29709" spans="1:2" x14ac:dyDescent="0.25">
      <c r="A29709" s="64" t="str">
        <f>HYPERLINK("http://www.twitter.com/jrf_uk", "jrf_uk")</f>
        <v>jrf_uk</v>
      </c>
      <c r="B29709" s="65" t="s">
        <v>346</v>
      </c>
    </row>
    <row r="29710" spans="1:2" x14ac:dyDescent="0.25">
      <c r="A29710" s="64" t="str">
        <f>HYPERLINK("http://www.twitter.com/alisonbarrow", "alisonbarrow")</f>
        <v>alisonbarrow</v>
      </c>
      <c r="B29710" s="65" t="s">
        <v>12135</v>
      </c>
    </row>
    <row r="29711" spans="1:2" x14ac:dyDescent="0.25">
      <c r="A29711" s="64" t="str">
        <f>HYPERLINK("http://www.twitter.com/kalmertherapy", "kalmertherapy")</f>
        <v>kalmertherapy</v>
      </c>
      <c r="B29711" s="65"/>
    </row>
    <row r="29712" spans="1:2" x14ac:dyDescent="0.25">
      <c r="A29712" s="64" t="str">
        <f>HYPERLINK("http://www.twitter.com/FractalGeekUK", "FractalGeekUK")</f>
        <v>FractalGeekUK</v>
      </c>
      <c r="B29712" s="65"/>
    </row>
    <row r="29713" spans="1:2" x14ac:dyDescent="0.25">
      <c r="A29713" s="64" t="str">
        <f>HYPERLINK("http://www.twitter.com/dotterjen", "dotterjen")</f>
        <v>dotterjen</v>
      </c>
      <c r="B29713" s="65"/>
    </row>
    <row r="29714" spans="1:2" x14ac:dyDescent="0.25">
      <c r="A29714" s="64" t="str">
        <f>HYPERLINK("http://www.twitter.com/smgovan", "smgovan")</f>
        <v>smgovan</v>
      </c>
      <c r="B29714" s="65" t="s">
        <v>9339</v>
      </c>
    </row>
    <row r="29715" spans="1:2" x14ac:dyDescent="0.25">
      <c r="A29715" s="64" t="str">
        <f>HYPERLINK("http://www.twitter.com/bootneedle", "bootneedle")</f>
        <v>bootneedle</v>
      </c>
      <c r="B29715" s="65"/>
    </row>
    <row r="29716" spans="1:2" x14ac:dyDescent="0.25">
      <c r="A29716" s="64" t="str">
        <f>HYPERLINK("http://www.twitter.com/JohnWilliams9", "JohnWilliams9")</f>
        <v>JohnWilliams9</v>
      </c>
      <c r="B29716" s="65"/>
    </row>
    <row r="29717" spans="1:2" x14ac:dyDescent="0.25">
      <c r="A29717" s="64" t="str">
        <f>HYPERLINK("http://www.twitter.com/LauraLGould", "LauraLGould")</f>
        <v>LauraLGould</v>
      </c>
      <c r="B29717" s="65" t="s">
        <v>74</v>
      </c>
    </row>
    <row r="29718" spans="1:2" x14ac:dyDescent="0.25">
      <c r="A29718" s="64" t="str">
        <f>HYPERLINK("http://www.twitter.com/in_willowland", "in_willowland")</f>
        <v>in_willowland</v>
      </c>
      <c r="B29718" s="65" t="s">
        <v>1377</v>
      </c>
    </row>
    <row r="29719" spans="1:2" x14ac:dyDescent="0.25">
      <c r="A29719" s="64" t="str">
        <f>HYPERLINK("http://www.twitter.com/PinguSuds", "PinguSuds")</f>
        <v>PinguSuds</v>
      </c>
      <c r="B29719" s="65"/>
    </row>
    <row r="29720" spans="1:2" x14ac:dyDescent="0.25">
      <c r="A29720" s="64" t="str">
        <f>HYPERLINK("http://www.twitter.com/da_linz", "da_linz")</f>
        <v>da_linz</v>
      </c>
      <c r="B29720" s="65" t="s">
        <v>5777</v>
      </c>
    </row>
    <row r="29721" spans="1:2" x14ac:dyDescent="0.25">
      <c r="A29721" s="64" t="str">
        <f>HYPERLINK("http://www.twitter.com/WhittakerLib", "WhittakerLib")</f>
        <v>WhittakerLib</v>
      </c>
      <c r="B29721" s="65" t="s">
        <v>1508</v>
      </c>
    </row>
    <row r="29722" spans="1:2" x14ac:dyDescent="0.25">
      <c r="A29722" s="64" t="str">
        <f>HYPERLINK("http://www.twitter.com/scroy0901", "scroy0901")</f>
        <v>scroy0901</v>
      </c>
      <c r="B29722" s="65"/>
    </row>
    <row r="29723" spans="1:2" x14ac:dyDescent="0.25">
      <c r="A29723" s="64" t="str">
        <f>HYPERLINK("http://www.twitter.com/newmaharajah", "newmaharajah")</f>
        <v>newmaharajah</v>
      </c>
      <c r="B29723" s="65" t="s">
        <v>12136</v>
      </c>
    </row>
    <row r="29724" spans="1:2" x14ac:dyDescent="0.25">
      <c r="A29724" s="64" t="str">
        <f>HYPERLINK("http://www.twitter.com/JuJuDollie", "JuJuDollie")</f>
        <v>JuJuDollie</v>
      </c>
      <c r="B29724" s="65" t="s">
        <v>4259</v>
      </c>
    </row>
    <row r="29725" spans="1:2" x14ac:dyDescent="0.25">
      <c r="A29725" s="64" t="str">
        <f>HYPERLINK("http://www.twitter.com/BritLibPublish", "BritLibPublish")</f>
        <v>BritLibPublish</v>
      </c>
      <c r="B29725" s="65" t="s">
        <v>36</v>
      </c>
    </row>
    <row r="29726" spans="1:2" x14ac:dyDescent="0.25">
      <c r="A29726" s="64" t="str">
        <f>HYPERLINK("http://www.twitter.com/jamestownp", "jamestownp")</f>
        <v>jamestownp</v>
      </c>
      <c r="B29726" s="65" t="s">
        <v>12137</v>
      </c>
    </row>
    <row r="29727" spans="1:2" x14ac:dyDescent="0.25">
      <c r="A29727" s="64" t="str">
        <f>HYPERLINK("http://www.twitter.com/TheTwiterary", "TheTwiterary")</f>
        <v>TheTwiterary</v>
      </c>
      <c r="B29727" s="65" t="s">
        <v>36</v>
      </c>
    </row>
    <row r="29728" spans="1:2" x14ac:dyDescent="0.25">
      <c r="A29728" s="64" t="str">
        <f>HYPERLINK("http://www.twitter.com/GCWLibrary", "GCWLibrary")</f>
        <v>GCWLibrary</v>
      </c>
      <c r="B29728" s="65" t="s">
        <v>279</v>
      </c>
    </row>
    <row r="29729" spans="1:2" x14ac:dyDescent="0.25">
      <c r="A29729" s="64" t="str">
        <f>HYPERLINK("http://www.twitter.com/JanaEmburey", "JanaEmburey")</f>
        <v>JanaEmburey</v>
      </c>
      <c r="B29729" s="65" t="s">
        <v>12138</v>
      </c>
    </row>
    <row r="29730" spans="1:2" x14ac:dyDescent="0.25">
      <c r="A29730" s="64" t="str">
        <f>HYPERLINK("http://www.twitter.com/sgbews", "sgbews")</f>
        <v>sgbews</v>
      </c>
      <c r="B29730" s="65"/>
    </row>
    <row r="29731" spans="1:2" x14ac:dyDescent="0.25">
      <c r="A29731" s="64" t="str">
        <f>HYPERLINK("http://www.twitter.com/DeEmEm", "DeEmEm")</f>
        <v>DeEmEm</v>
      </c>
      <c r="B29731" s="65"/>
    </row>
    <row r="29732" spans="1:2" x14ac:dyDescent="0.25">
      <c r="A29732" s="64" t="str">
        <f>HYPERLINK("http://www.twitter.com/Bryameadow", "Bryameadow")</f>
        <v>Bryameadow</v>
      </c>
      <c r="B29732" s="65" t="s">
        <v>12139</v>
      </c>
    </row>
    <row r="29733" spans="1:2" x14ac:dyDescent="0.25">
      <c r="A29733" s="64" t="str">
        <f>HYPERLINK("http://www.twitter.com/CarmsLibraries", "CarmsLibraries")</f>
        <v>CarmsLibraries</v>
      </c>
      <c r="B29733" s="65" t="s">
        <v>851</v>
      </c>
    </row>
    <row r="29734" spans="1:2" x14ac:dyDescent="0.25">
      <c r="A29734" s="64" t="str">
        <f>HYPERLINK("http://www.twitter.com/roddybel", "roddybel")</f>
        <v>roddybel</v>
      </c>
      <c r="B29734" s="65" t="s">
        <v>8162</v>
      </c>
    </row>
    <row r="29735" spans="1:2" x14ac:dyDescent="0.25">
      <c r="A29735" s="64" t="str">
        <f>HYPERLINK("http://www.twitter.com/CCPLS", "CCPLS")</f>
        <v>CCPLS</v>
      </c>
      <c r="B29735" s="65"/>
    </row>
    <row r="29736" spans="1:2" x14ac:dyDescent="0.25">
      <c r="A29736" s="64" t="str">
        <f>HYPERLINK("http://www.twitter.com/EmmaStagg", "EmmaStagg")</f>
        <v>EmmaStagg</v>
      </c>
      <c r="B29736" s="65" t="s">
        <v>12140</v>
      </c>
    </row>
    <row r="29737" spans="1:2" x14ac:dyDescent="0.25">
      <c r="A29737" s="64" t="str">
        <f>HYPERLINK("http://www.twitter.com/VTLibraries", "VTLibraries")</f>
        <v>VTLibraries</v>
      </c>
      <c r="B29737" s="65" t="s">
        <v>12141</v>
      </c>
    </row>
    <row r="29738" spans="1:2" x14ac:dyDescent="0.25">
      <c r="A29738" s="64" t="str">
        <f>HYPERLINK("http://www.twitter.com/CampbellRamage", "CampbellRamage")</f>
        <v>CampbellRamage</v>
      </c>
      <c r="B29738" s="65" t="s">
        <v>318</v>
      </c>
    </row>
    <row r="29739" spans="1:2" x14ac:dyDescent="0.25">
      <c r="A29739" s="64" t="str">
        <f>HYPERLINK("http://www.twitter.com/susanhmackay", "susanhmackay")</f>
        <v>susanhmackay</v>
      </c>
      <c r="B29739" s="65" t="s">
        <v>5667</v>
      </c>
    </row>
    <row r="29740" spans="1:2" x14ac:dyDescent="0.25">
      <c r="A29740" s="64" t="str">
        <f>HYPERLINK("http://www.twitter.com/MartindalePam", "MartindalePam")</f>
        <v>MartindalePam</v>
      </c>
      <c r="B29740" s="65" t="s">
        <v>6147</v>
      </c>
    </row>
    <row r="29741" spans="1:2" x14ac:dyDescent="0.25">
      <c r="A29741" s="64" t="str">
        <f>HYPERLINK("http://www.twitter.com/memorydrum", "memorydrum")</f>
        <v>memorydrum</v>
      </c>
      <c r="B29741" s="65"/>
    </row>
    <row r="29742" spans="1:2" x14ac:dyDescent="0.25">
      <c r="A29742" s="64" t="str">
        <f>HYPERLINK("http://www.twitter.com/dervlahoran", "dervlahoran")</f>
        <v>dervlahoran</v>
      </c>
      <c r="B29742" s="65"/>
    </row>
    <row r="29743" spans="1:2" x14ac:dyDescent="0.25">
      <c r="A29743" s="64" t="str">
        <f>HYPERLINK("http://www.twitter.com/amypippop", "amypippop")</f>
        <v>amypippop</v>
      </c>
      <c r="B29743" s="65" t="s">
        <v>12142</v>
      </c>
    </row>
    <row r="29744" spans="1:2" x14ac:dyDescent="0.25">
      <c r="A29744" s="64" t="str">
        <f>HYPERLINK("http://www.twitter.com/BexCole78", "BexCole78")</f>
        <v>BexCole78</v>
      </c>
      <c r="B29744" s="65"/>
    </row>
    <row r="29745" spans="1:2" x14ac:dyDescent="0.25">
      <c r="A29745" s="64" t="str">
        <f>HYPERLINK("http://www.twitter.com/1SusyQ", "1SusyQ")</f>
        <v>1SusyQ</v>
      </c>
      <c r="B29745" s="65"/>
    </row>
    <row r="29746" spans="1:2" x14ac:dyDescent="0.25">
      <c r="A29746" s="64" t="str">
        <f>HYPERLINK("http://www.twitter.com/geo_masala", "geo_masala")</f>
        <v>geo_masala</v>
      </c>
      <c r="B29746" s="65" t="s">
        <v>12143</v>
      </c>
    </row>
    <row r="29747" spans="1:2" x14ac:dyDescent="0.25">
      <c r="A29747" s="64" t="str">
        <f>HYPERLINK("http://www.twitter.com/JenniferSianB", "JenniferSianB")</f>
        <v>JenniferSianB</v>
      </c>
      <c r="B29747" s="65" t="s">
        <v>1218</v>
      </c>
    </row>
    <row r="29748" spans="1:2" x14ac:dyDescent="0.25">
      <c r="A29748" s="64" t="str">
        <f>HYPERLINK("http://www.twitter.com/flippydo", "flippydo")</f>
        <v>flippydo</v>
      </c>
      <c r="B29748" s="65" t="s">
        <v>4529</v>
      </c>
    </row>
    <row r="29749" spans="1:2" x14ac:dyDescent="0.25">
      <c r="A29749" s="64" t="str">
        <f>HYPERLINK("http://www.twitter.com/lushlibrarylass", "lushlibrarylass")</f>
        <v>lushlibrarylass</v>
      </c>
      <c r="B29749" s="65" t="s">
        <v>514</v>
      </c>
    </row>
    <row r="29750" spans="1:2" x14ac:dyDescent="0.25">
      <c r="A29750" s="64" t="str">
        <f>HYPERLINK("http://www.twitter.com/PatrickRiot", "PatrickRiot")</f>
        <v>PatrickRiot</v>
      </c>
      <c r="B29750" s="65" t="s">
        <v>36</v>
      </c>
    </row>
    <row r="29751" spans="1:2" x14ac:dyDescent="0.25">
      <c r="A29751" s="64" t="str">
        <f>HYPERLINK("http://www.twitter.com/GorillaArtEN", "GorillaArtEN")</f>
        <v>GorillaArtEN</v>
      </c>
      <c r="B29751" s="65" t="s">
        <v>296</v>
      </c>
    </row>
    <row r="29752" spans="1:2" x14ac:dyDescent="0.25">
      <c r="A29752" s="64" t="str">
        <f>HYPERLINK("http://www.twitter.com/BuckinghamClinc", "BuckinghamClinc")</f>
        <v>BuckinghamClinc</v>
      </c>
      <c r="B29752" s="65" t="s">
        <v>318</v>
      </c>
    </row>
    <row r="29753" spans="1:2" x14ac:dyDescent="0.25">
      <c r="A29753" s="64" t="str">
        <f>HYPERLINK("http://www.twitter.com/cbpfictions", "cbpfictions")</f>
        <v>cbpfictions</v>
      </c>
      <c r="B29753" s="65" t="s">
        <v>4948</v>
      </c>
    </row>
    <row r="29754" spans="1:2" x14ac:dyDescent="0.25">
      <c r="A29754" s="64" t="str">
        <f>HYPERLINK("http://www.twitter.com/SohoHouseMuseum", "SohoHouseMuseum")</f>
        <v>SohoHouseMuseum</v>
      </c>
      <c r="B29754" s="65" t="s">
        <v>12144</v>
      </c>
    </row>
    <row r="29755" spans="1:2" x14ac:dyDescent="0.25">
      <c r="A29755" s="64" t="str">
        <f>HYPERLINK("http://www.twitter.com/jojobaprincess", "jojobaprincess")</f>
        <v>jojobaprincess</v>
      </c>
      <c r="B29755" s="65"/>
    </row>
    <row r="29756" spans="1:2" x14ac:dyDescent="0.25">
      <c r="A29756" s="64" t="str">
        <f>HYPERLINK("http://www.twitter.com/Esther___Jane", "Esther___Jane")</f>
        <v>Esther___Jane</v>
      </c>
      <c r="B29756" s="65"/>
    </row>
    <row r="29757" spans="1:2" x14ac:dyDescent="0.25">
      <c r="A29757" s="64" t="str">
        <f>HYPERLINK("http://www.twitter.com/errolthecat", "errolthecat")</f>
        <v>errolthecat</v>
      </c>
      <c r="B29757" s="65"/>
    </row>
    <row r="29758" spans="1:2" x14ac:dyDescent="0.25">
      <c r="A29758" s="64" t="str">
        <f>HYPERLINK("http://www.twitter.com/princemychial", "princemychial")</f>
        <v>princemychial</v>
      </c>
      <c r="B29758" s="65" t="s">
        <v>725</v>
      </c>
    </row>
    <row r="29759" spans="1:2" x14ac:dyDescent="0.25">
      <c r="A29759" s="64" t="str">
        <f>HYPERLINK("http://www.twitter.com/andy13963", "andy13963")</f>
        <v>andy13963</v>
      </c>
      <c r="B29759" s="65" t="s">
        <v>12145</v>
      </c>
    </row>
    <row r="29760" spans="1:2" x14ac:dyDescent="0.25">
      <c r="A29760" s="64" t="str">
        <f>HYPERLINK("http://www.twitter.com/lisahassanscott", "lisahassanscott")</f>
        <v>lisahassanscott</v>
      </c>
      <c r="B29760" s="65" t="s">
        <v>12146</v>
      </c>
    </row>
    <row r="29761" spans="1:2" x14ac:dyDescent="0.25">
      <c r="A29761" s="64" t="str">
        <f>HYPERLINK("http://www.twitter.com/CampbellsTrust", "CampbellsTrust")</f>
        <v>CampbellsTrust</v>
      </c>
      <c r="B29761" s="65" t="s">
        <v>9682</v>
      </c>
    </row>
    <row r="29762" spans="1:2" x14ac:dyDescent="0.25">
      <c r="A29762" s="64" t="str">
        <f>HYPERLINK("http://www.twitter.com/idreamtime", "idreamtime")</f>
        <v>idreamtime</v>
      </c>
      <c r="B29762" s="65" t="s">
        <v>36</v>
      </c>
    </row>
    <row r="29763" spans="1:2" x14ac:dyDescent="0.25">
      <c r="A29763" s="64" t="str">
        <f>HYPERLINK("http://www.twitter.com/gusworldau", "gusworldau")</f>
        <v>gusworldau</v>
      </c>
      <c r="B29763" s="65" t="s">
        <v>4237</v>
      </c>
    </row>
    <row r="29764" spans="1:2" x14ac:dyDescent="0.25">
      <c r="A29764" s="64" t="str">
        <f>HYPERLINK("http://www.twitter.com/WeeDavyNovel", "WeeDavyNovel")</f>
        <v>WeeDavyNovel</v>
      </c>
      <c r="B29764" s="65" t="s">
        <v>12147</v>
      </c>
    </row>
    <row r="29765" spans="1:2" x14ac:dyDescent="0.25">
      <c r="A29765" s="64" t="str">
        <f>HYPERLINK("http://www.twitter.com/nbcommunication", "nbcommunication")</f>
        <v>nbcommunication</v>
      </c>
      <c r="B29765" s="65" t="s">
        <v>12148</v>
      </c>
    </row>
    <row r="29766" spans="1:2" x14ac:dyDescent="0.25">
      <c r="A29766" s="64" t="str">
        <f>HYPERLINK("http://www.twitter.com/davidjamesnicol", "davidjamesnicol")</f>
        <v>davidjamesnicol</v>
      </c>
      <c r="B29766" s="65" t="s">
        <v>12149</v>
      </c>
    </row>
    <row r="29767" spans="1:2" x14ac:dyDescent="0.25">
      <c r="A29767" s="64" t="str">
        <f>HYPERLINK("http://www.twitter.com/AnneR11", "AnneR11")</f>
        <v>AnneR11</v>
      </c>
      <c r="B29767" s="65" t="s">
        <v>10965</v>
      </c>
    </row>
    <row r="29768" spans="1:2" x14ac:dyDescent="0.25">
      <c r="A29768" s="64" t="str">
        <f>HYPERLINK("http://www.twitter.com/Alanak40", "Alanak40")</f>
        <v>Alanak40</v>
      </c>
      <c r="B29768" s="65" t="s">
        <v>6867</v>
      </c>
    </row>
    <row r="29769" spans="1:2" x14ac:dyDescent="0.25">
      <c r="A29769" s="64" t="str">
        <f>HYPERLINK("http://www.twitter.com/jojojongo", "jojojongo")</f>
        <v>jojojongo</v>
      </c>
      <c r="B29769" s="65" t="s">
        <v>4718</v>
      </c>
    </row>
    <row r="29770" spans="1:2" x14ac:dyDescent="0.25">
      <c r="A29770" s="64" t="str">
        <f>HYPERLINK("http://www.twitter.com/GrumpyGoth", "GrumpyGoth")</f>
        <v>GrumpyGoth</v>
      </c>
      <c r="B29770" s="65" t="s">
        <v>12150</v>
      </c>
    </row>
    <row r="29771" spans="1:2" x14ac:dyDescent="0.25">
      <c r="A29771" s="64" t="str">
        <f>HYPERLINK("http://www.twitter.com/NoretteF", "NoretteF")</f>
        <v>NoretteF</v>
      </c>
      <c r="B29771" s="65" t="s">
        <v>8722</v>
      </c>
    </row>
    <row r="29772" spans="1:2" x14ac:dyDescent="0.25">
      <c r="A29772" s="64" t="str">
        <f>HYPERLINK("http://www.twitter.com/Storax_Sedan", "Storax_Sedan")</f>
        <v>Storax_Sedan</v>
      </c>
      <c r="B29772" s="65" t="s">
        <v>5007</v>
      </c>
    </row>
    <row r="29773" spans="1:2" x14ac:dyDescent="0.25">
      <c r="A29773" s="64" t="str">
        <f>HYPERLINK("http://www.twitter.com/HelenBurrows", "HelenBurrows")</f>
        <v>HelenBurrows</v>
      </c>
      <c r="B29773" s="65" t="s">
        <v>36</v>
      </c>
    </row>
    <row r="29774" spans="1:2" x14ac:dyDescent="0.25">
      <c r="A29774" s="64" t="str">
        <f>HYPERLINK("http://www.twitter.com/bjsavage_artist", "bjsavage_artist")</f>
        <v>bjsavage_artist</v>
      </c>
      <c r="B29774" s="65" t="s">
        <v>1537</v>
      </c>
    </row>
    <row r="29775" spans="1:2" x14ac:dyDescent="0.25">
      <c r="A29775" s="64" t="str">
        <f>HYPERLINK("http://www.twitter.com/brunigill15", "brunigill15")</f>
        <v>brunigill15</v>
      </c>
      <c r="B29775" s="65" t="s">
        <v>12151</v>
      </c>
    </row>
    <row r="29776" spans="1:2" x14ac:dyDescent="0.25">
      <c r="A29776" s="64" t="str">
        <f>HYPERLINK("http://www.twitter.com/grahamterris", "grahamterris")</f>
        <v>grahamterris</v>
      </c>
      <c r="B29776" s="65" t="s">
        <v>12152</v>
      </c>
    </row>
    <row r="29777" spans="1:2" x14ac:dyDescent="0.25">
      <c r="A29777" s="64" t="str">
        <f>HYPERLINK("http://www.twitter.com/helbader", "helbader")</f>
        <v>helbader</v>
      </c>
      <c r="B29777" s="65" t="s">
        <v>2619</v>
      </c>
    </row>
    <row r="29778" spans="1:2" x14ac:dyDescent="0.25">
      <c r="A29778" s="64" t="str">
        <f>HYPERLINK("http://www.twitter.com/timstaff", "timstaff")</f>
        <v>timstaff</v>
      </c>
      <c r="B29778" s="65"/>
    </row>
    <row r="29779" spans="1:2" x14ac:dyDescent="0.25">
      <c r="A29779" s="64" t="str">
        <f>HYPERLINK("http://www.twitter.com/louisekelly82", "louisekelly82")</f>
        <v>louisekelly82</v>
      </c>
      <c r="B29779" s="65" t="s">
        <v>318</v>
      </c>
    </row>
    <row r="29780" spans="1:2" x14ac:dyDescent="0.25">
      <c r="A29780" s="64" t="str">
        <f>HYPERLINK("http://www.twitter.com/ICMS_Edinburgh", "ICMS_Edinburgh")</f>
        <v>ICMS_Edinburgh</v>
      </c>
      <c r="B29780" s="65" t="s">
        <v>67</v>
      </c>
    </row>
    <row r="29781" spans="1:2" x14ac:dyDescent="0.25">
      <c r="A29781" s="64" t="str">
        <f>HYPERLINK("http://www.twitter.com/emma_pad", "emma_pad")</f>
        <v>emma_pad</v>
      </c>
      <c r="B29781" s="65" t="s">
        <v>808</v>
      </c>
    </row>
    <row r="29782" spans="1:2" x14ac:dyDescent="0.25">
      <c r="A29782" s="64" t="str">
        <f>HYPERLINK("http://www.twitter.com/munchkinstein", "munchkinstein")</f>
        <v>munchkinstein</v>
      </c>
      <c r="B29782" s="65" t="s">
        <v>12153</v>
      </c>
    </row>
    <row r="29783" spans="1:2" x14ac:dyDescent="0.25">
      <c r="A29783" s="64" t="str">
        <f>HYPERLINK("http://www.twitter.com/nipsweetie", "nipsweetie")</f>
        <v>nipsweetie</v>
      </c>
      <c r="B29783" s="65" t="s">
        <v>12154</v>
      </c>
    </row>
    <row r="29784" spans="1:2" x14ac:dyDescent="0.25">
      <c r="A29784" s="64" t="str">
        <f>HYPERLINK("http://www.twitter.com/deputypics", "deputypics")</f>
        <v>deputypics</v>
      </c>
      <c r="B29784" s="65" t="s">
        <v>517</v>
      </c>
    </row>
    <row r="29785" spans="1:2" x14ac:dyDescent="0.25">
      <c r="A29785" s="64" t="str">
        <f>HYPERLINK("http://www.twitter.com/thebookbandit", "thebookbandit")</f>
        <v>thebookbandit</v>
      </c>
      <c r="B29785" s="65" t="s">
        <v>477</v>
      </c>
    </row>
    <row r="29786" spans="1:2" x14ac:dyDescent="0.25">
      <c r="A29786" s="64" t="str">
        <f>HYPERLINK("http://www.twitter.com/SamMacSweetie", "SamMacSweetie")</f>
        <v>SamMacSweetie</v>
      </c>
      <c r="B29786" s="65"/>
    </row>
    <row r="29787" spans="1:2" x14ac:dyDescent="0.25">
      <c r="A29787" s="64" t="str">
        <f>HYPERLINK("http://www.twitter.com/Novocastria", "Novocastria")</f>
        <v>Novocastria</v>
      </c>
      <c r="B29787" s="65" t="s">
        <v>6195</v>
      </c>
    </row>
    <row r="29788" spans="1:2" x14ac:dyDescent="0.25">
      <c r="A29788" s="64" t="str">
        <f>HYPERLINK("http://www.twitter.com/steamstop", "steamstop")</f>
        <v>steamstop</v>
      </c>
      <c r="B29788" s="65" t="s">
        <v>12155</v>
      </c>
    </row>
    <row r="29789" spans="1:2" x14ac:dyDescent="0.25">
      <c r="A29789" s="64" t="str">
        <f>HYPERLINK("http://www.twitter.com/PenguinRaised", "PenguinRaised")</f>
        <v>PenguinRaised</v>
      </c>
      <c r="B29789" s="65"/>
    </row>
    <row r="29790" spans="1:2" x14ac:dyDescent="0.25">
      <c r="A29790" s="64" t="str">
        <f>HYPERLINK("http://www.twitter.com/oratorylibrary", "oratorylibrary")</f>
        <v>oratorylibrary</v>
      </c>
      <c r="B29790" s="65" t="s">
        <v>12156</v>
      </c>
    </row>
    <row r="29791" spans="1:2" x14ac:dyDescent="0.25">
      <c r="A29791" s="64" t="str">
        <f>HYPERLINK("http://www.twitter.com/claire_foss", "claire_foss")</f>
        <v>claire_foss</v>
      </c>
      <c r="B29791" s="65" t="s">
        <v>138</v>
      </c>
    </row>
    <row r="29792" spans="1:2" x14ac:dyDescent="0.25">
      <c r="A29792" s="64" t="str">
        <f>HYPERLINK("http://www.twitter.com/AngieKCrawford", "AngieKCrawford")</f>
        <v>AngieKCrawford</v>
      </c>
      <c r="B29792" s="65" t="s">
        <v>5389</v>
      </c>
    </row>
    <row r="29793" spans="1:2" x14ac:dyDescent="0.25">
      <c r="A29793" s="64" t="str">
        <f>HYPERLINK("http://www.twitter.com/snuggymummy", "snuggymummy")</f>
        <v>snuggymummy</v>
      </c>
      <c r="B29793" s="65" t="s">
        <v>12157</v>
      </c>
    </row>
    <row r="29794" spans="1:2" x14ac:dyDescent="0.25">
      <c r="A29794" s="64" t="str">
        <f>HYPERLINK("http://www.twitter.com/soulchaserbecky", "soulchaserbecky")</f>
        <v>soulchaserbecky</v>
      </c>
      <c r="B29794" s="65" t="s">
        <v>773</v>
      </c>
    </row>
    <row r="29795" spans="1:2" x14ac:dyDescent="0.25">
      <c r="A29795" s="64" t="str">
        <f>HYPERLINK("http://www.twitter.com/spudderz", "spudderz")</f>
        <v>spudderz</v>
      </c>
      <c r="B29795" s="65" t="s">
        <v>1218</v>
      </c>
    </row>
    <row r="29796" spans="1:2" x14ac:dyDescent="0.25">
      <c r="A29796" s="64" t="str">
        <f>HYPERLINK("http://www.twitter.com/sarahchallenge1", "sarahchallenge1")</f>
        <v>sarahchallenge1</v>
      </c>
      <c r="B29796" s="65"/>
    </row>
    <row r="29797" spans="1:2" x14ac:dyDescent="0.25">
      <c r="A29797" s="64" t="str">
        <f>HYPERLINK("http://www.twitter.com/DeborahCairns1", "DeborahCairns1")</f>
        <v>DeborahCairns1</v>
      </c>
      <c r="B29797" s="65" t="s">
        <v>2025</v>
      </c>
    </row>
    <row r="29798" spans="1:2" x14ac:dyDescent="0.25">
      <c r="A29798" s="64" t="str">
        <f>HYPERLINK("http://www.twitter.com/rad1976", "rad1976")</f>
        <v>rad1976</v>
      </c>
      <c r="B29798" s="65"/>
    </row>
    <row r="29799" spans="1:2" x14ac:dyDescent="0.25">
      <c r="A29799" s="64" t="str">
        <f>HYPERLINK("http://www.twitter.com/under_blue_sky", "under_blue_sky")</f>
        <v>under_blue_sky</v>
      </c>
      <c r="B29799" s="65" t="s">
        <v>1328</v>
      </c>
    </row>
    <row r="29800" spans="1:2" x14ac:dyDescent="0.25">
      <c r="A29800" s="64" t="str">
        <f>HYPERLINK("http://www.twitter.com/SoftguardInc", "SoftguardInc")</f>
        <v>SoftguardInc</v>
      </c>
      <c r="B29800" s="65" t="s">
        <v>3948</v>
      </c>
    </row>
    <row r="29801" spans="1:2" x14ac:dyDescent="0.25">
      <c r="A29801" s="64" t="str">
        <f>HYPERLINK("http://www.twitter.com/AndrewStacey7", "AndrewStacey7")</f>
        <v>AndrewStacey7</v>
      </c>
      <c r="B29801" s="65"/>
    </row>
    <row r="29802" spans="1:2" x14ac:dyDescent="0.25">
      <c r="A29802" s="64" t="str">
        <f>HYPERLINK("http://www.twitter.com/tringovitch", "tringovitch")</f>
        <v>tringovitch</v>
      </c>
      <c r="B29802" s="65"/>
    </row>
    <row r="29803" spans="1:2" x14ac:dyDescent="0.25">
      <c r="A29803" s="64" t="str">
        <f>HYPERLINK("http://www.twitter.com/ElaineMeade", "ElaineMeade")</f>
        <v>ElaineMeade</v>
      </c>
      <c r="B29803" s="65"/>
    </row>
    <row r="29804" spans="1:2" x14ac:dyDescent="0.25">
      <c r="A29804" s="64" t="str">
        <f>HYPERLINK("http://www.twitter.com/SJElkins", "SJElkins")</f>
        <v>SJElkins</v>
      </c>
      <c r="B29804" s="65"/>
    </row>
    <row r="29805" spans="1:2" x14ac:dyDescent="0.25">
      <c r="A29805" s="64" t="str">
        <f>HYPERLINK("http://www.twitter.com/Doodah5", "Doodah5")</f>
        <v>Doodah5</v>
      </c>
      <c r="B29805" s="65" t="s">
        <v>4234</v>
      </c>
    </row>
    <row r="29806" spans="1:2" x14ac:dyDescent="0.25">
      <c r="A29806" s="64" t="str">
        <f>HYPERLINK("http://www.twitter.com/EthanBews", "EthanBews")</f>
        <v>EthanBews</v>
      </c>
      <c r="B29806" s="65" t="s">
        <v>7582</v>
      </c>
    </row>
    <row r="29807" spans="1:2" x14ac:dyDescent="0.25">
      <c r="A29807" s="64" t="str">
        <f>HYPERLINK("http://www.twitter.com/daisyplumandmum", "daisyplumandmum")</f>
        <v>daisyplumandmum</v>
      </c>
      <c r="B29807" s="65"/>
    </row>
    <row r="29808" spans="1:2" x14ac:dyDescent="0.25">
      <c r="A29808" s="64" t="str">
        <f>HYPERLINK("http://www.twitter.com/neilalanbell", "neilalanbell")</f>
        <v>neilalanbell</v>
      </c>
      <c r="B29808" s="65" t="s">
        <v>12158</v>
      </c>
    </row>
    <row r="29809" spans="1:2" x14ac:dyDescent="0.25">
      <c r="A29809" s="64" t="str">
        <f>HYPERLINK("http://www.twitter.com/hypatia_06", "hypatia_06")</f>
        <v>hypatia_06</v>
      </c>
      <c r="B29809" s="65" t="s">
        <v>6968</v>
      </c>
    </row>
    <row r="29810" spans="1:2" x14ac:dyDescent="0.25">
      <c r="A29810" s="64" t="str">
        <f>HYPERLINK("http://www.twitter.com/CathStaincliffe", "CathStaincliffe")</f>
        <v>CathStaincliffe</v>
      </c>
      <c r="B29810" s="65" t="s">
        <v>4040</v>
      </c>
    </row>
    <row r="29811" spans="1:2" x14ac:dyDescent="0.25">
      <c r="A29811" s="64" t="str">
        <f>HYPERLINK("http://www.twitter.com/HorwichJen", "HorwichJen")</f>
        <v>HorwichJen</v>
      </c>
      <c r="B29811" s="65"/>
    </row>
    <row r="29812" spans="1:2" x14ac:dyDescent="0.25">
      <c r="A29812" s="64" t="str">
        <f>HYPERLINK("http://www.twitter.com/LizzieBishop30", "LizzieBishop30")</f>
        <v>LizzieBishop30</v>
      </c>
      <c r="B29812" s="65"/>
    </row>
    <row r="29813" spans="1:2" x14ac:dyDescent="0.25">
      <c r="A29813" s="64" t="str">
        <f>HYPERLINK("http://www.twitter.com/HPUKCulture", "HPUKCulture")</f>
        <v>HPUKCulture</v>
      </c>
      <c r="B29813" s="65" t="s">
        <v>477</v>
      </c>
    </row>
    <row r="29814" spans="1:2" x14ac:dyDescent="0.25">
      <c r="A29814" s="64" t="str">
        <f>HYPERLINK("http://www.twitter.com/suzyredred", "suzyredred")</f>
        <v>suzyredred</v>
      </c>
      <c r="B29814" s="65" t="s">
        <v>477</v>
      </c>
    </row>
    <row r="29815" spans="1:2" x14ac:dyDescent="0.25">
      <c r="A29815" s="64" t="str">
        <f>HYPERLINK("http://www.twitter.com/AbertayLibrary", "AbertayLibrary")</f>
        <v>AbertayLibrary</v>
      </c>
      <c r="B29815" s="65" t="s">
        <v>1482</v>
      </c>
    </row>
    <row r="29816" spans="1:2" x14ac:dyDescent="0.25">
      <c r="A29816" s="64" t="str">
        <f>HYPERLINK("http://www.twitter.com/Emma_Meehan", "Emma_Meehan")</f>
        <v>Emma_Meehan</v>
      </c>
      <c r="B29816" s="65" t="s">
        <v>36</v>
      </c>
    </row>
    <row r="29817" spans="1:2" x14ac:dyDescent="0.25">
      <c r="A29817" s="64" t="str">
        <f>HYPERLINK("http://www.twitter.com/DianeGScott", "DianeGScott")</f>
        <v>DianeGScott</v>
      </c>
      <c r="B29817" s="65" t="s">
        <v>6279</v>
      </c>
    </row>
    <row r="29818" spans="1:2" x14ac:dyDescent="0.25">
      <c r="A29818" s="64" t="str">
        <f>HYPERLINK("http://www.twitter.com/NULibrary", "NULibrary")</f>
        <v>NULibrary</v>
      </c>
      <c r="B29818" s="65" t="s">
        <v>361</v>
      </c>
    </row>
    <row r="29819" spans="1:2" x14ac:dyDescent="0.25">
      <c r="A29819" s="64" t="str">
        <f>HYPERLINK("http://www.twitter.com/gossig", "gossig")</f>
        <v>gossig</v>
      </c>
      <c r="B29819" s="65" t="s">
        <v>5161</v>
      </c>
    </row>
    <row r="29820" spans="1:2" x14ac:dyDescent="0.25">
      <c r="A29820" s="64" t="str">
        <f>HYPERLINK("http://www.twitter.com/AirlinkScotland", "AirlinkScotland")</f>
        <v>AirlinkScotland</v>
      </c>
      <c r="B29820" s="65" t="s">
        <v>4840</v>
      </c>
    </row>
    <row r="29821" spans="1:2" x14ac:dyDescent="0.25">
      <c r="A29821" s="64" t="str">
        <f>HYPERLINK("http://www.twitter.com/brightbookish", "brightbookish")</f>
        <v>brightbookish</v>
      </c>
      <c r="B29821" s="65" t="s">
        <v>3955</v>
      </c>
    </row>
    <row r="29822" spans="1:2" x14ac:dyDescent="0.25">
      <c r="A29822" s="64" t="str">
        <f>HYPERLINK("http://www.twitter.com/maryirwin", "maryirwin")</f>
        <v>maryirwin</v>
      </c>
      <c r="B29822" s="65" t="s">
        <v>67</v>
      </c>
    </row>
    <row r="29823" spans="1:2" x14ac:dyDescent="0.25">
      <c r="A29823" s="64" t="str">
        <f>HYPERLINK("http://www.twitter.com/racheljryan", "racheljryan")</f>
        <v>racheljryan</v>
      </c>
      <c r="B29823" s="65" t="s">
        <v>24</v>
      </c>
    </row>
    <row r="29824" spans="1:2" x14ac:dyDescent="0.25">
      <c r="A29824" s="64" t="str">
        <f>HYPERLINK("http://www.twitter.com/printsandjam", "printsandjam")</f>
        <v>printsandjam</v>
      </c>
      <c r="B29824" s="65"/>
    </row>
    <row r="29825" spans="1:2" x14ac:dyDescent="0.25">
      <c r="A29825" s="64" t="str">
        <f>HYPERLINK("http://www.twitter.com/jonnnieb", "jonnnieb")</f>
        <v>jonnnieb</v>
      </c>
      <c r="B29825" s="65" t="s">
        <v>12159</v>
      </c>
    </row>
    <row r="29826" spans="1:2" x14ac:dyDescent="0.25">
      <c r="A29826" s="64" t="str">
        <f>HYPERLINK("http://www.twitter.com/boyledsweetie", "boyledsweetie")</f>
        <v>boyledsweetie</v>
      </c>
      <c r="B29826" s="65" t="s">
        <v>12160</v>
      </c>
    </row>
    <row r="29827" spans="1:2" x14ac:dyDescent="0.25">
      <c r="A29827" s="64" t="str">
        <f>HYPERLINK("http://www.twitter.com/BoroChris", "BoroChris")</f>
        <v>BoroChris</v>
      </c>
      <c r="B29827" s="65" t="s">
        <v>12161</v>
      </c>
    </row>
    <row r="29828" spans="1:2" x14ac:dyDescent="0.25">
      <c r="A29828" s="64" t="str">
        <f>HYPERLINK("http://www.twitter.com/rantingteacher", "rantingteacher")</f>
        <v>rantingteacher</v>
      </c>
      <c r="B29828" s="65" t="s">
        <v>296</v>
      </c>
    </row>
    <row r="29829" spans="1:2" x14ac:dyDescent="0.25">
      <c r="A29829" s="64" t="str">
        <f>HYPERLINK("http://www.twitter.com/UKrandomshow", "UKrandomshow")</f>
        <v>UKrandomshow</v>
      </c>
      <c r="B29829" s="65" t="s">
        <v>12162</v>
      </c>
    </row>
    <row r="29830" spans="1:2" x14ac:dyDescent="0.25">
      <c r="A29830" s="64" t="str">
        <f>HYPERLINK("http://www.twitter.com/mpchecketts", "mpchecketts")</f>
        <v>mpchecketts</v>
      </c>
      <c r="B29830" s="65" t="s">
        <v>318</v>
      </c>
    </row>
    <row r="29831" spans="1:2" x14ac:dyDescent="0.25">
      <c r="A29831" s="64" t="str">
        <f>HYPERLINK("http://www.twitter.com/swimmingbadger", "swimmingbadger")</f>
        <v>swimmingbadger</v>
      </c>
      <c r="B29831" s="65" t="s">
        <v>1226</v>
      </c>
    </row>
    <row r="29832" spans="1:2" x14ac:dyDescent="0.25">
      <c r="A29832" s="64" t="str">
        <f>HYPERLINK("http://www.twitter.com/adhorstrebor", "adhorstrebor")</f>
        <v>adhorstrebor</v>
      </c>
      <c r="B29832" s="65" t="s">
        <v>12163</v>
      </c>
    </row>
    <row r="29833" spans="1:2" x14ac:dyDescent="0.25">
      <c r="A29833" s="64" t="str">
        <f>HYPERLINK("http://www.twitter.com/Ooh_Bettie", "Ooh_Bettie")</f>
        <v>Ooh_Bettie</v>
      </c>
      <c r="B29833" s="65" t="s">
        <v>12164</v>
      </c>
    </row>
    <row r="29834" spans="1:2" x14ac:dyDescent="0.25">
      <c r="A29834" s="64" t="str">
        <f>HYPERLINK("http://www.twitter.com/Megfdavies", "Megfdavies")</f>
        <v>Megfdavies</v>
      </c>
      <c r="B29834" s="65" t="s">
        <v>12165</v>
      </c>
    </row>
    <row r="29835" spans="1:2" x14ac:dyDescent="0.25">
      <c r="A29835" s="64" t="str">
        <f>HYPERLINK("http://www.twitter.com/geeklyblond", "geeklyblond")</f>
        <v>geeklyblond</v>
      </c>
      <c r="B29835" s="65" t="s">
        <v>1765</v>
      </c>
    </row>
    <row r="29836" spans="1:2" x14ac:dyDescent="0.25">
      <c r="A29836" s="64" t="str">
        <f>HYPERLINK("http://www.twitter.com/jodiacampbell", "jodiacampbell")</f>
        <v>jodiacampbell</v>
      </c>
      <c r="B29836" s="65" t="s">
        <v>12166</v>
      </c>
    </row>
    <row r="29837" spans="1:2" x14ac:dyDescent="0.25">
      <c r="A29837" s="64" t="str">
        <f>HYPERLINK("http://www.twitter.com/ohdearieeme", "ohdearieeme")</f>
        <v>ohdearieeme</v>
      </c>
      <c r="B29837" s="65" t="s">
        <v>7538</v>
      </c>
    </row>
    <row r="29838" spans="1:2" x14ac:dyDescent="0.25">
      <c r="A29838" s="64" t="str">
        <f>HYPERLINK("http://www.twitter.com/joemattinson", "joemattinson")</f>
        <v>joemattinson</v>
      </c>
      <c r="B29838" s="65" t="s">
        <v>6553</v>
      </c>
    </row>
    <row r="29839" spans="1:2" x14ac:dyDescent="0.25">
      <c r="A29839" s="64" t="str">
        <f>HYPERLINK("http://www.twitter.com/JustASpur", "JustASpur")</f>
        <v>JustASpur</v>
      </c>
      <c r="B29839" s="65" t="s">
        <v>4681</v>
      </c>
    </row>
    <row r="29840" spans="1:2" x14ac:dyDescent="0.25">
      <c r="A29840" s="64" t="str">
        <f>HYPERLINK("http://www.twitter.com/GLRooster", "GLRooster")</f>
        <v>GLRooster</v>
      </c>
      <c r="B29840" s="65" t="s">
        <v>2602</v>
      </c>
    </row>
    <row r="29841" spans="1:2" x14ac:dyDescent="0.25">
      <c r="A29841" s="64" t="str">
        <f>HYPERLINK("http://www.twitter.com/oliver_julia", "oliver_julia")</f>
        <v>oliver_julia</v>
      </c>
      <c r="B29841" s="65" t="s">
        <v>663</v>
      </c>
    </row>
    <row r="29842" spans="1:2" x14ac:dyDescent="0.25">
      <c r="A29842" s="64" t="str">
        <f>HYPERLINK("http://www.twitter.com/martin_spence", "martin_spence")</f>
        <v>martin_spence</v>
      </c>
      <c r="B29842" s="65" t="s">
        <v>808</v>
      </c>
    </row>
    <row r="29843" spans="1:2" x14ac:dyDescent="0.25">
      <c r="A29843" s="64" t="str">
        <f>HYPERLINK("http://www.twitter.com/minisisinc", "minisisinc")</f>
        <v>minisisinc</v>
      </c>
      <c r="B29843" s="65" t="s">
        <v>5695</v>
      </c>
    </row>
    <row r="29844" spans="1:2" x14ac:dyDescent="0.25">
      <c r="A29844" s="64" t="str">
        <f>HYPERLINK("http://www.twitter.com/nerdtakeover", "nerdtakeover")</f>
        <v>nerdtakeover</v>
      </c>
      <c r="B29844" s="65" t="s">
        <v>12167</v>
      </c>
    </row>
    <row r="29845" spans="1:2" x14ac:dyDescent="0.25">
      <c r="A29845" s="64" t="str">
        <f>HYPERLINK("http://www.twitter.com/St_Cadburys", "St_Cadburys")</f>
        <v>St_Cadburys</v>
      </c>
      <c r="B29845" s="65" t="s">
        <v>12168</v>
      </c>
    </row>
    <row r="29846" spans="1:2" x14ac:dyDescent="0.25">
      <c r="A29846" s="64" t="str">
        <f>HYPERLINK("http://www.twitter.com/JackieUrwin", "JackieUrwin")</f>
        <v>JackieUrwin</v>
      </c>
      <c r="B29846" s="65" t="s">
        <v>2471</v>
      </c>
    </row>
    <row r="29847" spans="1:2" x14ac:dyDescent="0.25">
      <c r="A29847" s="64" t="str">
        <f>HYPERLINK("http://www.twitter.com/Ruobrab", "Ruobrab")</f>
        <v>Ruobrab</v>
      </c>
      <c r="B29847" s="65" t="s">
        <v>517</v>
      </c>
    </row>
    <row r="29848" spans="1:2" x14ac:dyDescent="0.25">
      <c r="A29848" s="64" t="str">
        <f>HYPERLINK("http://www.twitter.com/kathrynjross", "kathrynjross")</f>
        <v>kathrynjross</v>
      </c>
      <c r="B29848" s="65"/>
    </row>
    <row r="29849" spans="1:2" x14ac:dyDescent="0.25">
      <c r="A29849" s="64" t="str">
        <f>HYPERLINK("http://www.twitter.com/kelwrites", "kelwrites")</f>
        <v>kelwrites</v>
      </c>
      <c r="B29849" s="65" t="s">
        <v>5339</v>
      </c>
    </row>
    <row r="29850" spans="1:2" x14ac:dyDescent="0.25">
      <c r="A29850" s="64" t="str">
        <f>HYPERLINK("http://www.twitter.com/nundmc", "nundmc")</f>
        <v>nundmc</v>
      </c>
      <c r="B29850" s="65" t="s">
        <v>12169</v>
      </c>
    </row>
    <row r="29851" spans="1:2" x14ac:dyDescent="0.25">
      <c r="A29851" s="64" t="str">
        <f>HYPERLINK("http://www.twitter.com/DanaScully2", "DanaScully2")</f>
        <v>DanaScully2</v>
      </c>
      <c r="B29851" s="65" t="s">
        <v>12170</v>
      </c>
    </row>
    <row r="29852" spans="1:2" x14ac:dyDescent="0.25">
      <c r="A29852" s="64" t="str">
        <f>HYPERLINK("http://www.twitter.com/delectablemrsd", "delectablemrsd")</f>
        <v>delectablemrsd</v>
      </c>
      <c r="B29852" s="65" t="s">
        <v>8162</v>
      </c>
    </row>
    <row r="29853" spans="1:2" x14ac:dyDescent="0.25">
      <c r="A29853" s="64" t="str">
        <f>HYPERLINK("http://www.twitter.com/John_Payne19", "John_Payne19")</f>
        <v>John_Payne19</v>
      </c>
      <c r="B29853" s="65" t="s">
        <v>12171</v>
      </c>
    </row>
    <row r="29854" spans="1:2" x14ac:dyDescent="0.25">
      <c r="A29854" s="64" t="str">
        <f>HYPERLINK("http://www.twitter.com/BarnsleyLibs", "BarnsleyLibs")</f>
        <v>BarnsleyLibs</v>
      </c>
      <c r="B29854" s="65" t="s">
        <v>538</v>
      </c>
    </row>
    <row r="29855" spans="1:2" x14ac:dyDescent="0.25">
      <c r="A29855" s="64" t="str">
        <f>HYPERLINK("http://www.twitter.com/ByersMatthew", "ByersMatthew")</f>
        <v>ByersMatthew</v>
      </c>
      <c r="B29855" s="65" t="s">
        <v>12172</v>
      </c>
    </row>
    <row r="29856" spans="1:2" x14ac:dyDescent="0.25">
      <c r="A29856" s="64" t="str">
        <f>HYPERLINK("http://www.twitter.com/thatcraftywifey", "thatcraftywifey")</f>
        <v>thatcraftywifey</v>
      </c>
      <c r="B29856" s="65" t="s">
        <v>3802</v>
      </c>
    </row>
    <row r="29857" spans="1:2" x14ac:dyDescent="0.25">
      <c r="A29857" s="64" t="str">
        <f>HYPERLINK("http://www.twitter.com/facebookdiamond", "facebookdiamond")</f>
        <v>facebookdiamond</v>
      </c>
      <c r="B29857" s="65" t="s">
        <v>12173</v>
      </c>
    </row>
    <row r="29858" spans="1:2" x14ac:dyDescent="0.25">
      <c r="A29858" s="64" t="str">
        <f>HYPERLINK("http://www.twitter.com/learningemall", "learningemall")</f>
        <v>learningemall</v>
      </c>
      <c r="B29858" s="65" t="s">
        <v>4177</v>
      </c>
    </row>
    <row r="29859" spans="1:2" x14ac:dyDescent="0.25">
      <c r="A29859" s="64" t="str">
        <f>HYPERLINK("http://www.twitter.com/wpbookfestival", "wpbookfestival")</f>
        <v>wpbookfestival</v>
      </c>
      <c r="B29859" s="65" t="s">
        <v>24</v>
      </c>
    </row>
    <row r="29860" spans="1:2" x14ac:dyDescent="0.25">
      <c r="A29860" s="64" t="str">
        <f>HYPERLINK("http://www.twitter.com/hioezhj", "hioezhj")</f>
        <v>hioezhj</v>
      </c>
      <c r="B29860" s="65"/>
    </row>
    <row r="29861" spans="1:2" x14ac:dyDescent="0.25">
      <c r="A29861" s="64" t="str">
        <f>HYPERLINK("http://www.twitter.com/mrssianyoung", "mrssianyoung")</f>
        <v>mrssianyoung</v>
      </c>
      <c r="B29861" s="65"/>
    </row>
    <row r="29862" spans="1:2" x14ac:dyDescent="0.25">
      <c r="A29862" s="64" t="str">
        <f>HYPERLINK("http://www.twitter.com/KDBingo", "KDBingo")</f>
        <v>KDBingo</v>
      </c>
      <c r="B29862" s="65" t="s">
        <v>487</v>
      </c>
    </row>
    <row r="29863" spans="1:2" x14ac:dyDescent="0.25">
      <c r="A29863" s="64" t="str">
        <f>HYPERLINK("http://www.twitter.com/WilllJG", "WilllJG")</f>
        <v>WilllJG</v>
      </c>
      <c r="B29863" s="65" t="s">
        <v>36</v>
      </c>
    </row>
    <row r="29864" spans="1:2" x14ac:dyDescent="0.25">
      <c r="A29864" s="64" t="str">
        <f>HYPERLINK("http://www.twitter.com/_benspencer", "_benspencer")</f>
        <v>_benspencer</v>
      </c>
      <c r="B29864" s="65" t="s">
        <v>138</v>
      </c>
    </row>
    <row r="29865" spans="1:2" x14ac:dyDescent="0.25">
      <c r="A29865" s="64" t="str">
        <f>HYPERLINK("http://www.twitter.com/brucealexande13", "brucealexande13")</f>
        <v>brucealexande13</v>
      </c>
      <c r="B29865" s="65"/>
    </row>
    <row r="29866" spans="1:2" x14ac:dyDescent="0.25">
      <c r="A29866" s="64" t="str">
        <f>HYPERLINK("http://www.twitter.com/Mistlemoon", "Mistlemoon")</f>
        <v>Mistlemoon</v>
      </c>
      <c r="B29866" s="65"/>
    </row>
    <row r="29867" spans="1:2" x14ac:dyDescent="0.25">
      <c r="A29867" s="64" t="str">
        <f>HYPERLINK("http://www.twitter.com/leoappleton", "leoappleton")</f>
        <v>leoappleton</v>
      </c>
      <c r="B29867" s="65" t="s">
        <v>12174</v>
      </c>
    </row>
    <row r="29868" spans="1:2" x14ac:dyDescent="0.25">
      <c r="A29868" s="64" t="str">
        <f>HYPERLINK("http://www.twitter.com/_Al_Anderson", "_Al_Anderson")</f>
        <v>_Al_Anderson</v>
      </c>
      <c r="B29868" s="65" t="s">
        <v>10859</v>
      </c>
    </row>
    <row r="29869" spans="1:2" x14ac:dyDescent="0.25">
      <c r="A29869" s="64" t="str">
        <f>HYPERLINK("http://www.twitter.com/VivatBernice", "VivatBernice")</f>
        <v>VivatBernice</v>
      </c>
      <c r="B29869" s="65" t="s">
        <v>12175</v>
      </c>
    </row>
    <row r="29870" spans="1:2" x14ac:dyDescent="0.25">
      <c r="A29870" s="64" t="str">
        <f>HYPERLINK("http://www.twitter.com/osullivan81", "osullivan81")</f>
        <v>osullivan81</v>
      </c>
      <c r="B29870" s="65" t="s">
        <v>36</v>
      </c>
    </row>
    <row r="29871" spans="1:2" x14ac:dyDescent="0.25">
      <c r="A29871" s="64" t="str">
        <f>HYPERLINK("http://www.twitter.com/Ska77A", "Ska77A")</f>
        <v>Ska77A</v>
      </c>
      <c r="B29871" s="65" t="s">
        <v>24</v>
      </c>
    </row>
    <row r="29872" spans="1:2" x14ac:dyDescent="0.25">
      <c r="A29872" s="64" t="str">
        <f>HYPERLINK("http://www.twitter.com/notjustcallum", "notjustcallum")</f>
        <v>notjustcallum</v>
      </c>
      <c r="B29872" s="65"/>
    </row>
    <row r="29873" spans="1:2" x14ac:dyDescent="0.25">
      <c r="A29873" s="64" t="str">
        <f>HYPERLINK("http://www.twitter.com/SeverinBooks", "SeverinBooks")</f>
        <v>SeverinBooks</v>
      </c>
      <c r="B29873" s="65" t="s">
        <v>5807</v>
      </c>
    </row>
    <row r="29874" spans="1:2" x14ac:dyDescent="0.25">
      <c r="A29874" s="64" t="str">
        <f>HYPERLINK("http://www.twitter.com/justinebull", "justinebull")</f>
        <v>justinebull</v>
      </c>
      <c r="B29874" s="65"/>
    </row>
    <row r="29875" spans="1:2" x14ac:dyDescent="0.25">
      <c r="A29875" s="64" t="str">
        <f>HYPERLINK("http://www.twitter.com/retroski13", "retroski13")</f>
        <v>retroski13</v>
      </c>
      <c r="B29875" s="65" t="s">
        <v>5847</v>
      </c>
    </row>
    <row r="29876" spans="1:2" x14ac:dyDescent="0.25">
      <c r="A29876" s="64" t="str">
        <f>HYPERLINK("http://www.twitter.com/s0phie0", "s0phie0")</f>
        <v>s0phie0</v>
      </c>
      <c r="B29876" s="65" t="s">
        <v>36</v>
      </c>
    </row>
    <row r="29877" spans="1:2" x14ac:dyDescent="0.25">
      <c r="A29877" s="64" t="str">
        <f>HYPERLINK("http://www.twitter.com/Universitt", "Universitt")</f>
        <v>Universitt</v>
      </c>
      <c r="B29877" s="65"/>
    </row>
    <row r="29878" spans="1:2" x14ac:dyDescent="0.25">
      <c r="A29878" s="64" t="str">
        <f>HYPERLINK("http://www.twitter.com/neilsleat", "neilsleat")</f>
        <v>neilsleat</v>
      </c>
      <c r="B29878" s="65" t="s">
        <v>1810</v>
      </c>
    </row>
    <row r="29879" spans="1:2" x14ac:dyDescent="0.25">
      <c r="A29879" s="64" t="str">
        <f>HYPERLINK("http://www.twitter.com/MuseumsGalScot", "MuseumsGalScot")</f>
        <v>MuseumsGalScot</v>
      </c>
      <c r="B29879" s="65" t="s">
        <v>24</v>
      </c>
    </row>
    <row r="29880" spans="1:2" x14ac:dyDescent="0.25">
      <c r="A29880" s="64" t="str">
        <f>HYPERLINK("http://www.twitter.com/Leifh26", "Leifh26")</f>
        <v>Leifh26</v>
      </c>
      <c r="B29880" s="65"/>
    </row>
    <row r="29881" spans="1:2" x14ac:dyDescent="0.25">
      <c r="A29881" s="64" t="str">
        <f>HYPERLINK("http://www.twitter.com/Richmondref", "Richmondref")</f>
        <v>Richmondref</v>
      </c>
      <c r="B29881" s="65"/>
    </row>
    <row r="29882" spans="1:2" x14ac:dyDescent="0.25">
      <c r="A29882" s="64" t="str">
        <f>HYPERLINK("http://www.twitter.com/BonnieShaljean", "BonnieShaljean")</f>
        <v>BonnieShaljean</v>
      </c>
      <c r="B29882" s="65"/>
    </row>
    <row r="29883" spans="1:2" x14ac:dyDescent="0.25">
      <c r="A29883" s="64" t="str">
        <f>HYPERLINK("http://www.twitter.com/MichaelBillinge", "MichaelBillinge")</f>
        <v>MichaelBillinge</v>
      </c>
      <c r="B29883" s="65"/>
    </row>
    <row r="29884" spans="1:2" x14ac:dyDescent="0.25">
      <c r="A29884" s="64" t="str">
        <f>HYPERLINK("http://www.twitter.com/LibraryCampaign", "LibraryCampaign")</f>
        <v>LibraryCampaign</v>
      </c>
      <c r="B29884" s="65" t="s">
        <v>296</v>
      </c>
    </row>
    <row r="29885" spans="1:2" x14ac:dyDescent="0.25">
      <c r="A29885" s="64" t="str">
        <f>HYPERLINK("http://www.twitter.com/3bellsAbt", "3bellsAbt")</f>
        <v>3bellsAbt</v>
      </c>
      <c r="B29885" s="65"/>
    </row>
    <row r="29886" spans="1:2" x14ac:dyDescent="0.25">
      <c r="A29886" s="64" t="str">
        <f>HYPERLINK("http://www.twitter.com/tofiq_sip", "tofiq_sip")</f>
        <v>tofiq_sip</v>
      </c>
      <c r="B29886" s="65" t="s">
        <v>8601</v>
      </c>
    </row>
    <row r="29887" spans="1:2" x14ac:dyDescent="0.25">
      <c r="A29887" s="64" t="str">
        <f>HYPERLINK("http://www.twitter.com/rialeslie", "rialeslie")</f>
        <v>rialeslie</v>
      </c>
      <c r="B29887" s="65" t="s">
        <v>12176</v>
      </c>
    </row>
    <row r="29888" spans="1:2" x14ac:dyDescent="0.25">
      <c r="A29888" s="64" t="str">
        <f>HYPERLINK("http://www.twitter.com/t_s_oldfield", "t_s_oldfield")</f>
        <v>t_s_oldfield</v>
      </c>
      <c r="B29888" s="65" t="s">
        <v>4503</v>
      </c>
    </row>
    <row r="29889" spans="1:2" x14ac:dyDescent="0.25">
      <c r="A29889" s="64" t="str">
        <f>HYPERLINK("http://www.twitter.com/LesaDryburgh", "LesaDryburgh")</f>
        <v>LesaDryburgh</v>
      </c>
      <c r="B29889" s="65" t="s">
        <v>2289</v>
      </c>
    </row>
    <row r="29890" spans="1:2" x14ac:dyDescent="0.25">
      <c r="A29890" s="64" t="str">
        <f>HYPERLINK("http://www.twitter.com/Ailybags", "Ailybags")</f>
        <v>Ailybags</v>
      </c>
      <c r="B29890" s="65" t="s">
        <v>12177</v>
      </c>
    </row>
    <row r="29891" spans="1:2" x14ac:dyDescent="0.25">
      <c r="A29891" s="64" t="str">
        <f>HYPERLINK("http://www.twitter.com/traffordpub", "traffordpub")</f>
        <v>traffordpub</v>
      </c>
      <c r="B29891" s="65" t="s">
        <v>12178</v>
      </c>
    </row>
    <row r="29892" spans="1:2" x14ac:dyDescent="0.25">
      <c r="A29892" s="64" t="str">
        <f>HYPERLINK("http://www.twitter.com/HelenMason123", "HelenMason123")</f>
        <v>HelenMason123</v>
      </c>
      <c r="B29892" s="65" t="s">
        <v>12179</v>
      </c>
    </row>
    <row r="29893" spans="1:2" x14ac:dyDescent="0.25">
      <c r="A29893" s="64" t="str">
        <f>HYPERLINK("http://www.twitter.com/PajamaPress1", "PajamaPress1")</f>
        <v>PajamaPress1</v>
      </c>
      <c r="B29893" s="65" t="s">
        <v>4118</v>
      </c>
    </row>
    <row r="29894" spans="1:2" x14ac:dyDescent="0.25">
      <c r="A29894" s="64" t="str">
        <f>HYPERLINK("http://www.twitter.com/FreeStatemag", "FreeStatemag")</f>
        <v>FreeStatemag</v>
      </c>
      <c r="B29894" s="65" t="s">
        <v>7185</v>
      </c>
    </row>
    <row r="29895" spans="1:2" x14ac:dyDescent="0.25">
      <c r="A29895" s="64" t="str">
        <f>HYPERLINK("http://www.twitter.com/HCLU2012", "HCLU2012")</f>
        <v>HCLU2012</v>
      </c>
      <c r="B29895" s="65" t="s">
        <v>2377</v>
      </c>
    </row>
    <row r="29896" spans="1:2" x14ac:dyDescent="0.25">
      <c r="A29896" s="64" t="str">
        <f>HYPERLINK("http://www.twitter.com/essexarchive", "essexarchive")</f>
        <v>essexarchive</v>
      </c>
      <c r="B29896" s="65" t="s">
        <v>8476</v>
      </c>
    </row>
    <row r="29897" spans="1:2" x14ac:dyDescent="0.25">
      <c r="A29897" s="64" t="str">
        <f>HYPERLINK("http://www.twitter.com/Violante23", "Violante23")</f>
        <v>Violante23</v>
      </c>
      <c r="B29897" s="65" t="s">
        <v>4626</v>
      </c>
    </row>
    <row r="29898" spans="1:2" x14ac:dyDescent="0.25">
      <c r="A29898" s="64" t="str">
        <f>HYPERLINK("http://www.twitter.com/555Boyd", "555Boyd")</f>
        <v>555Boyd</v>
      </c>
      <c r="B29898" s="65" t="s">
        <v>5667</v>
      </c>
    </row>
    <row r="29899" spans="1:2" x14ac:dyDescent="0.25">
      <c r="A29899" s="64" t="str">
        <f>HYPERLINK("http://www.twitter.com/BestandLloyd", "BestandLloyd")</f>
        <v>BestandLloyd</v>
      </c>
      <c r="B29899" s="65" t="s">
        <v>12180</v>
      </c>
    </row>
    <row r="29900" spans="1:2" x14ac:dyDescent="0.25">
      <c r="A29900" s="64" t="str">
        <f>HYPERLINK("http://www.twitter.com/ScienceLibThai", "ScienceLibThai")</f>
        <v>ScienceLibThai</v>
      </c>
      <c r="B29900" s="65" t="s">
        <v>12181</v>
      </c>
    </row>
    <row r="29901" spans="1:2" x14ac:dyDescent="0.25">
      <c r="A29901" s="64" t="str">
        <f>HYPERLINK("http://www.twitter.com/Clairemccartan1", "Clairemccartan1")</f>
        <v>Clairemccartan1</v>
      </c>
      <c r="B29901" s="65" t="s">
        <v>12182</v>
      </c>
    </row>
    <row r="29902" spans="1:2" x14ac:dyDescent="0.25">
      <c r="A29902" s="64" t="str">
        <f>HYPERLINK("http://www.twitter.com/k84wilk", "k84wilk")</f>
        <v>k84wilk</v>
      </c>
      <c r="B29902" s="65"/>
    </row>
    <row r="29903" spans="1:2" x14ac:dyDescent="0.25">
      <c r="A29903" s="64" t="str">
        <f>HYPERLINK("http://www.twitter.com/clairekemp76", "clairekemp76")</f>
        <v>clairekemp76</v>
      </c>
      <c r="B29903" s="65" t="s">
        <v>4447</v>
      </c>
    </row>
    <row r="29904" spans="1:2" x14ac:dyDescent="0.25">
      <c r="A29904" s="64" t="str">
        <f>HYPERLINK("http://www.twitter.com/editfull", "editfull")</f>
        <v>editfull</v>
      </c>
      <c r="B29904" s="65" t="s">
        <v>12183</v>
      </c>
    </row>
    <row r="29905" spans="1:2" x14ac:dyDescent="0.25">
      <c r="A29905" s="64" t="str">
        <f>HYPERLINK("http://www.twitter.com/Lonedawg22", "Lonedawg22")</f>
        <v>Lonedawg22</v>
      </c>
      <c r="B29905" s="65" t="s">
        <v>20</v>
      </c>
    </row>
    <row r="29906" spans="1:2" x14ac:dyDescent="0.25">
      <c r="A29906" s="64" t="str">
        <f>HYPERLINK("http://www.twitter.com/ANeamkhunthod", "ANeamkhunthod")</f>
        <v>ANeamkhunthod</v>
      </c>
      <c r="B29906" s="65"/>
    </row>
    <row r="29907" spans="1:2" x14ac:dyDescent="0.25">
      <c r="A29907" s="64" t="str">
        <f>HYPERLINK("http://www.twitter.com/KirstyHeiLin", "KirstyHeiLin")</f>
        <v>KirstyHeiLin</v>
      </c>
      <c r="B29907" s="65"/>
    </row>
    <row r="29908" spans="1:2" x14ac:dyDescent="0.25">
      <c r="A29908" s="64" t="str">
        <f>HYPERLINK("http://www.twitter.com/SamHoggan", "SamHoggan")</f>
        <v>SamHoggan</v>
      </c>
      <c r="B29908" s="65"/>
    </row>
    <row r="29909" spans="1:2" x14ac:dyDescent="0.25">
      <c r="A29909" s="64" t="str">
        <f>HYPERLINK("http://www.twitter.com/lizipendrey", "lizipendrey")</f>
        <v>lizipendrey</v>
      </c>
      <c r="B29909" s="65" t="s">
        <v>4040</v>
      </c>
    </row>
    <row r="29910" spans="1:2" x14ac:dyDescent="0.25">
      <c r="A29910" s="64" t="str">
        <f>HYPERLINK("http://www.twitter.com/Orkneylass24", "Orkneylass24")</f>
        <v>Orkneylass24</v>
      </c>
      <c r="B29910" s="65" t="s">
        <v>4227</v>
      </c>
    </row>
    <row r="29911" spans="1:2" x14ac:dyDescent="0.25">
      <c r="A29911" s="64" t="str">
        <f>HYPERLINK("http://www.twitter.com/cameriera12", "cameriera12")</f>
        <v>cameriera12</v>
      </c>
      <c r="B29911" s="65"/>
    </row>
    <row r="29912" spans="1:2" x14ac:dyDescent="0.25">
      <c r="A29912" s="64" t="str">
        <f>HYPERLINK("http://www.twitter.com/SRartanddesigns", "SRartanddesigns")</f>
        <v>SRartanddesigns</v>
      </c>
      <c r="B29912" s="65" t="s">
        <v>517</v>
      </c>
    </row>
    <row r="29913" spans="1:2" x14ac:dyDescent="0.25">
      <c r="A29913" s="64" t="str">
        <f>HYPERLINK("http://www.twitter.com/GregorDuthie", "GregorDuthie")</f>
        <v>GregorDuthie</v>
      </c>
      <c r="B29913" s="65" t="s">
        <v>138</v>
      </c>
    </row>
    <row r="29914" spans="1:2" x14ac:dyDescent="0.25">
      <c r="A29914" s="64" t="str">
        <f>HYPERLINK("http://www.twitter.com/daisieface", "daisieface")</f>
        <v>daisieface</v>
      </c>
      <c r="B29914" s="65" t="s">
        <v>7750</v>
      </c>
    </row>
    <row r="29915" spans="1:2" x14ac:dyDescent="0.25">
      <c r="A29915" s="64" t="str">
        <f>HYPERLINK("http://www.twitter.com/Duncannwebster", "Duncannwebster")</f>
        <v>Duncannwebster</v>
      </c>
      <c r="B29915" s="65" t="s">
        <v>296</v>
      </c>
    </row>
    <row r="29916" spans="1:2" x14ac:dyDescent="0.25">
      <c r="A29916" s="64" t="str">
        <f>HYPERLINK("http://www.twitter.com/RICSldnbookshop", "RICSldnbookshop")</f>
        <v>RICSldnbookshop</v>
      </c>
      <c r="B29916" s="65" t="s">
        <v>12184</v>
      </c>
    </row>
    <row r="29917" spans="1:2" x14ac:dyDescent="0.25">
      <c r="A29917" s="64" t="str">
        <f>HYPERLINK("http://www.twitter.com/HelgisBar", "HelgisBar")</f>
        <v>HelgisBar</v>
      </c>
      <c r="B29917" s="65" t="s">
        <v>5667</v>
      </c>
    </row>
    <row r="29918" spans="1:2" x14ac:dyDescent="0.25">
      <c r="A29918" s="64" t="str">
        <f>HYPERLINK("http://www.twitter.com/kirstiw", "kirstiw")</f>
        <v>kirstiw</v>
      </c>
      <c r="B29918" s="65" t="s">
        <v>24</v>
      </c>
    </row>
    <row r="29919" spans="1:2" x14ac:dyDescent="0.25">
      <c r="A29919" s="64" t="str">
        <f>HYPERLINK("http://www.twitter.com/Rosscosmack", "Rosscosmack")</f>
        <v>Rosscosmack</v>
      </c>
      <c r="B29919" s="65" t="s">
        <v>5161</v>
      </c>
    </row>
    <row r="29920" spans="1:2" x14ac:dyDescent="0.25">
      <c r="A29920" s="64" t="str">
        <f>HYPERLINK("http://www.twitter.com/WraggJean", "WraggJean")</f>
        <v>WraggJean</v>
      </c>
      <c r="B29920" s="65" t="s">
        <v>20</v>
      </c>
    </row>
    <row r="29921" spans="1:2" x14ac:dyDescent="0.25">
      <c r="A29921" s="64" t="str">
        <f>HYPERLINK("http://www.twitter.com/VClouston", "VClouston")</f>
        <v>VClouston</v>
      </c>
      <c r="B29921" s="65" t="s">
        <v>6963</v>
      </c>
    </row>
    <row r="29922" spans="1:2" x14ac:dyDescent="0.25">
      <c r="A29922" s="64" t="str">
        <f>HYPERLINK("http://www.twitter.com/theshooglypeg", "theshooglypeg")</f>
        <v>theshooglypeg</v>
      </c>
      <c r="B29922" s="65" t="s">
        <v>12185</v>
      </c>
    </row>
    <row r="29923" spans="1:2" x14ac:dyDescent="0.25">
      <c r="A29923" s="64" t="str">
        <f>HYPERLINK("http://www.twitter.com/JonathanMeres", "JonathanMeres")</f>
        <v>JonathanMeres</v>
      </c>
      <c r="B29923" s="65" t="s">
        <v>12186</v>
      </c>
    </row>
    <row r="29924" spans="1:2" x14ac:dyDescent="0.25">
      <c r="A29924" s="64" t="str">
        <f>HYPERLINK("http://www.twitter.com/gloslibs", "gloslibs")</f>
        <v>gloslibs</v>
      </c>
      <c r="B29924" s="65" t="s">
        <v>871</v>
      </c>
    </row>
    <row r="29925" spans="1:2" x14ac:dyDescent="0.25">
      <c r="A29925" s="64" t="str">
        <f>HYPERLINK("http://www.twitter.com/BromleyEsq", "BromleyEsq")</f>
        <v>BromleyEsq</v>
      </c>
      <c r="B29925" s="65" t="s">
        <v>5805</v>
      </c>
    </row>
    <row r="29926" spans="1:2" x14ac:dyDescent="0.25">
      <c r="A29926" s="64" t="str">
        <f>HYPERLINK("http://www.twitter.com/ianmowat", "ianmowat")</f>
        <v>ianmowat</v>
      </c>
      <c r="B29926" s="65"/>
    </row>
    <row r="29927" spans="1:2" x14ac:dyDescent="0.25">
      <c r="A29927" s="64" t="str">
        <f>HYPERLINK("http://www.twitter.com/MissChintz", "MissChintz")</f>
        <v>MissChintz</v>
      </c>
      <c r="B29927" s="65" t="s">
        <v>4273</v>
      </c>
    </row>
    <row r="29928" spans="1:2" x14ac:dyDescent="0.25">
      <c r="A29928" s="64" t="str">
        <f>HYPERLINK("http://www.twitter.com/LeeAnneConnor", "LeeAnneConnor")</f>
        <v>LeeAnneConnor</v>
      </c>
      <c r="B29928" s="65"/>
    </row>
    <row r="29929" spans="1:2" x14ac:dyDescent="0.25">
      <c r="A29929" s="64" t="str">
        <f>HYPERLINK("http://www.twitter.com/gemsybelle", "gemsybelle")</f>
        <v>gemsybelle</v>
      </c>
      <c r="B29929" s="65"/>
    </row>
    <row r="29930" spans="1:2" x14ac:dyDescent="0.25">
      <c r="A29930" s="64" t="str">
        <f>HYPERLINK("http://www.twitter.com/ShellScott17", "ShellScott17")</f>
        <v>ShellScott17</v>
      </c>
      <c r="B29930" s="65" t="s">
        <v>12187</v>
      </c>
    </row>
    <row r="29931" spans="1:2" x14ac:dyDescent="0.25">
      <c r="A29931" s="64" t="str">
        <f>HYPERLINK("http://www.twitter.com/multijimbo", "multijimbo")</f>
        <v>multijimbo</v>
      </c>
      <c r="B29931" s="65" t="s">
        <v>877</v>
      </c>
    </row>
    <row r="29932" spans="1:2" x14ac:dyDescent="0.25">
      <c r="A29932" s="64" t="str">
        <f>HYPERLINK("http://www.twitter.com/AliciaMakes", "AliciaMakes")</f>
        <v>AliciaMakes</v>
      </c>
      <c r="B29932" s="65" t="s">
        <v>12188</v>
      </c>
    </row>
    <row r="29933" spans="1:2" x14ac:dyDescent="0.25">
      <c r="A29933" s="64" t="str">
        <f>HYPERLINK("http://www.twitter.com/Freyannekes", "Freyannekes")</f>
        <v>Freyannekes</v>
      </c>
      <c r="B29933" s="65" t="s">
        <v>12189</v>
      </c>
    </row>
    <row r="29934" spans="1:2" x14ac:dyDescent="0.25">
      <c r="A29934" s="64" t="str">
        <f>HYPERLINK("http://www.twitter.com/SKOOB2306", "SKOOB2306")</f>
        <v>SKOOB2306</v>
      </c>
      <c r="B29934" s="65" t="s">
        <v>12190</v>
      </c>
    </row>
    <row r="29935" spans="1:2" x14ac:dyDescent="0.25">
      <c r="A29935" s="64" t="str">
        <f>HYPERLINK("http://www.twitter.com/AndersonandHill", "AndersonandHill")</f>
        <v>AndersonandHill</v>
      </c>
      <c r="B29935" s="65" t="s">
        <v>310</v>
      </c>
    </row>
    <row r="29936" spans="1:2" x14ac:dyDescent="0.25">
      <c r="A29936" s="64" t="str">
        <f>HYPERLINK("http://www.twitter.com/brianjhomer", "brianjhomer")</f>
        <v>brianjhomer</v>
      </c>
      <c r="B29936" s="65" t="s">
        <v>725</v>
      </c>
    </row>
    <row r="29937" spans="1:2" x14ac:dyDescent="0.25">
      <c r="A29937" s="64" t="str">
        <f>HYPERLINK("http://www.twitter.com/FelixSpittal", "FelixSpittal")</f>
        <v>FelixSpittal</v>
      </c>
      <c r="B29937" s="65" t="s">
        <v>8722</v>
      </c>
    </row>
    <row r="29938" spans="1:2" x14ac:dyDescent="0.25">
      <c r="A29938" s="64" t="str">
        <f>HYPERLINK("http://www.twitter.com/KatyHughesPR", "KatyHughesPR")</f>
        <v>KatyHughesPR</v>
      </c>
      <c r="B29938" s="65" t="s">
        <v>24</v>
      </c>
    </row>
    <row r="29939" spans="1:2" x14ac:dyDescent="0.25">
      <c r="A29939" s="64" t="str">
        <f>HYPERLINK("http://www.twitter.com/jenniferswright", "jenniferswright")</f>
        <v>jenniferswright</v>
      </c>
      <c r="B29939" s="65" t="s">
        <v>517</v>
      </c>
    </row>
    <row r="29940" spans="1:2" x14ac:dyDescent="0.25">
      <c r="A29940" s="64" t="str">
        <f>HYPERLINK("http://www.twitter.com/OtterInaSkoda", "OtterInaSkoda")</f>
        <v>OtterInaSkoda</v>
      </c>
      <c r="B29940" s="65"/>
    </row>
    <row r="29941" spans="1:2" x14ac:dyDescent="0.25">
      <c r="A29941" s="64" t="str">
        <f>HYPERLINK("http://www.twitter.com/Carlzberg93", "Carlzberg93")</f>
        <v>Carlzberg93</v>
      </c>
      <c r="B29941" s="65" t="s">
        <v>12191</v>
      </c>
    </row>
    <row r="29942" spans="1:2" x14ac:dyDescent="0.25">
      <c r="A29942" s="64" t="str">
        <f>HYPERLINK("http://www.twitter.com/ljmorr", "ljmorr")</f>
        <v>ljmorr</v>
      </c>
      <c r="B29942" s="65" t="s">
        <v>517</v>
      </c>
    </row>
    <row r="29943" spans="1:2" x14ac:dyDescent="0.25">
      <c r="A29943" s="64" t="str">
        <f>HYPERLINK("http://www.twitter.com/janismackay", "janismackay")</f>
        <v>janismackay</v>
      </c>
      <c r="B29943" s="65" t="s">
        <v>5777</v>
      </c>
    </row>
    <row r="29944" spans="1:2" x14ac:dyDescent="0.25">
      <c r="A29944" s="64" t="str">
        <f>HYPERLINK("http://www.twitter.com/ReadingHackers", "ReadingHackers")</f>
        <v>ReadingHackers</v>
      </c>
      <c r="B29944" s="65" t="s">
        <v>12192</v>
      </c>
    </row>
    <row r="29945" spans="1:2" x14ac:dyDescent="0.25">
      <c r="A29945" s="64" t="str">
        <f>HYPERLINK("http://www.twitter.com/jodieskbell", "jodieskbell")</f>
        <v>jodieskbell</v>
      </c>
      <c r="B29945" s="65"/>
    </row>
    <row r="29946" spans="1:2" x14ac:dyDescent="0.25">
      <c r="A29946" s="64" t="str">
        <f>HYPERLINK("http://www.twitter.com/alicecorble", "alicecorble")</f>
        <v>alicecorble</v>
      </c>
      <c r="B29946" s="65" t="s">
        <v>36</v>
      </c>
    </row>
    <row r="29947" spans="1:2" x14ac:dyDescent="0.25">
      <c r="A29947" s="64" t="str">
        <f>HYPERLINK("http://www.twitter.com/CraigCorse", "CraigCorse")</f>
        <v>CraigCorse</v>
      </c>
      <c r="B29947" s="65" t="s">
        <v>138</v>
      </c>
    </row>
    <row r="29948" spans="1:2" x14ac:dyDescent="0.25">
      <c r="A29948" s="64" t="str">
        <f>HYPERLINK("http://www.twitter.com/tonybiffteck", "tonybiffteck")</f>
        <v>tonybiffteck</v>
      </c>
      <c r="B29948" s="65"/>
    </row>
    <row r="29949" spans="1:2" x14ac:dyDescent="0.25">
      <c r="A29949" s="64" t="str">
        <f>HYPERLINK("http://www.twitter.com/jennaciancia", "jennaciancia")</f>
        <v>jennaciancia</v>
      </c>
      <c r="B29949" s="65" t="s">
        <v>24</v>
      </c>
    </row>
    <row r="29950" spans="1:2" x14ac:dyDescent="0.25">
      <c r="A29950" s="64" t="str">
        <f>HYPERLINK("http://www.twitter.com/MikiHalder", "MikiHalder")</f>
        <v>MikiHalder</v>
      </c>
      <c r="B29950" s="65" t="s">
        <v>4492</v>
      </c>
    </row>
    <row r="29951" spans="1:2" x14ac:dyDescent="0.25">
      <c r="A29951" s="64" t="str">
        <f>HYPERLINK("http://www.twitter.com/jyule25", "jyule25")</f>
        <v>jyule25</v>
      </c>
      <c r="B29951" s="65" t="s">
        <v>569</v>
      </c>
    </row>
    <row r="29952" spans="1:2" x14ac:dyDescent="0.25">
      <c r="A29952" s="64" t="str">
        <f>HYPERLINK("http://www.twitter.com/DeceasedOnline", "DeceasedOnline")</f>
        <v>DeceasedOnline</v>
      </c>
      <c r="B29952" s="65"/>
    </row>
    <row r="29953" spans="1:2" x14ac:dyDescent="0.25">
      <c r="A29953" s="64" t="str">
        <f>HYPERLINK("http://www.twitter.com/grantdruse", "grantdruse")</f>
        <v>grantdruse</v>
      </c>
      <c r="B29953" s="65"/>
    </row>
    <row r="29954" spans="1:2" x14ac:dyDescent="0.25">
      <c r="A29954" s="64" t="str">
        <f>HYPERLINK("http://www.twitter.com/byekitty", "byekitty")</f>
        <v>byekitty</v>
      </c>
      <c r="B29954" s="65" t="s">
        <v>9065</v>
      </c>
    </row>
    <row r="29955" spans="1:2" x14ac:dyDescent="0.25">
      <c r="A29955" s="64" t="str">
        <f>HYPERLINK("http://www.twitter.com/Cymeneed", "Cymeneed")</f>
        <v>Cymeneed</v>
      </c>
      <c r="B29955" s="65" t="s">
        <v>12193</v>
      </c>
    </row>
    <row r="29956" spans="1:2" x14ac:dyDescent="0.25">
      <c r="A29956" s="64" t="str">
        <f>HYPERLINK("http://www.twitter.com/MarelleJeffrey1", "MarelleJeffrey1")</f>
        <v>MarelleJeffrey1</v>
      </c>
      <c r="B29956" s="65" t="s">
        <v>2007</v>
      </c>
    </row>
    <row r="29957" spans="1:2" x14ac:dyDescent="0.25">
      <c r="A29957" s="64" t="str">
        <f>HYPERLINK("http://www.twitter.com/SaJarJar", "SaJarJar")</f>
        <v>SaJarJar</v>
      </c>
      <c r="B29957" s="65" t="s">
        <v>12194</v>
      </c>
    </row>
    <row r="29958" spans="1:2" x14ac:dyDescent="0.25">
      <c r="A29958" s="64" t="str">
        <f>HYPERLINK("http://www.twitter.com/Yenkrojules", "Yenkrojules")</f>
        <v>Yenkrojules</v>
      </c>
      <c r="B29958" s="65" t="s">
        <v>4519</v>
      </c>
    </row>
    <row r="29959" spans="1:2" x14ac:dyDescent="0.25">
      <c r="A29959" s="64" t="str">
        <f>HYPERLINK("http://www.twitter.com/feastren", "feastren")</f>
        <v>feastren</v>
      </c>
      <c r="B29959" s="65"/>
    </row>
    <row r="29960" spans="1:2" x14ac:dyDescent="0.25">
      <c r="A29960" s="64" t="str">
        <f>HYPERLINK("http://www.twitter.com/AllanahJac", "AllanahJac")</f>
        <v>AllanahJac</v>
      </c>
      <c r="B29960" s="65" t="s">
        <v>2007</v>
      </c>
    </row>
    <row r="29961" spans="1:2" x14ac:dyDescent="0.25">
      <c r="A29961" s="64" t="str">
        <f>HYPERLINK("http://www.twitter.com/1StudioInGiallo", "1StudioInGiallo")</f>
        <v>1StudioInGiallo</v>
      </c>
      <c r="B29961" s="65"/>
    </row>
    <row r="29962" spans="1:2" x14ac:dyDescent="0.25">
      <c r="A29962" s="64" t="str">
        <f>HYPERLINK("http://www.twitter.com/Cain_A_E", "Cain_A_E")</f>
        <v>Cain_A_E</v>
      </c>
      <c r="B29962" s="65"/>
    </row>
    <row r="29963" spans="1:2" x14ac:dyDescent="0.25">
      <c r="A29963" s="64" t="str">
        <f>HYPERLINK("http://www.twitter.com/_dayner", "_dayner")</f>
        <v>_dayner</v>
      </c>
      <c r="B29963" s="65"/>
    </row>
    <row r="29964" spans="1:2" x14ac:dyDescent="0.25">
      <c r="A29964" s="64" t="str">
        <f>HYPERLINK("http://www.twitter.com/fewshar", "fewshar")</f>
        <v>fewshar</v>
      </c>
      <c r="B29964" s="65" t="s">
        <v>1511</v>
      </c>
    </row>
    <row r="29965" spans="1:2" x14ac:dyDescent="0.25">
      <c r="A29965" s="64" t="str">
        <f>HYPERLINK("http://www.twitter.com/petalawrence", "petalawrence")</f>
        <v>petalawrence</v>
      </c>
      <c r="B29965" s="65" t="s">
        <v>1739</v>
      </c>
    </row>
    <row r="29966" spans="1:2" x14ac:dyDescent="0.25">
      <c r="A29966" s="64" t="str">
        <f>HYPERLINK("http://www.twitter.com/catrionaribena", "catrionaribena")</f>
        <v>catrionaribena</v>
      </c>
      <c r="B29966" s="65"/>
    </row>
    <row r="29967" spans="1:2" x14ac:dyDescent="0.25">
      <c r="A29967" s="64" t="str">
        <f>HYPERLINK("http://www.twitter.com/Sometingdiff", "Sometingdiff")</f>
        <v>Sometingdiff</v>
      </c>
      <c r="B29967" s="65" t="s">
        <v>12195</v>
      </c>
    </row>
    <row r="29968" spans="1:2" x14ac:dyDescent="0.25">
      <c r="A29968" s="64" t="str">
        <f>HYPERLINK("http://www.twitter.com/louisewelsh00", "louisewelsh00")</f>
        <v>louisewelsh00</v>
      </c>
      <c r="B29968" s="65" t="s">
        <v>138</v>
      </c>
    </row>
    <row r="29969" spans="1:2" x14ac:dyDescent="0.25">
      <c r="A29969" s="64" t="str">
        <f>HYPERLINK("http://www.twitter.com/stanger_c", "stanger_c")</f>
        <v>stanger_c</v>
      </c>
      <c r="B29969" s="65" t="s">
        <v>4692</v>
      </c>
    </row>
    <row r="29970" spans="1:2" x14ac:dyDescent="0.25">
      <c r="A29970" s="64" t="str">
        <f>HYPERLINK("http://www.twitter.com/katja_wodezki", "katja_wodezki")</f>
        <v>katja_wodezki</v>
      </c>
      <c r="B29970" s="65"/>
    </row>
    <row r="29971" spans="1:2" x14ac:dyDescent="0.25">
      <c r="A29971" s="64" t="str">
        <f>HYPERLINK("http://www.twitter.com/newdorp", "newdorp")</f>
        <v>newdorp</v>
      </c>
      <c r="B29971" s="65" t="s">
        <v>12196</v>
      </c>
    </row>
    <row r="29972" spans="1:2" x14ac:dyDescent="0.25">
      <c r="A29972" s="64" t="str">
        <f>HYPERLINK("http://www.twitter.com/amadigital", "amadigital")</f>
        <v>amadigital</v>
      </c>
      <c r="B29972" s="65" t="s">
        <v>296</v>
      </c>
    </row>
    <row r="29973" spans="1:2" x14ac:dyDescent="0.25">
      <c r="A29973" s="64" t="str">
        <f>HYPERLINK("http://www.twitter.com/Bibliotecarrion", "Bibliotecarrion")</f>
        <v>Bibliotecarrion</v>
      </c>
      <c r="B29973" s="65"/>
    </row>
    <row r="29974" spans="1:2" x14ac:dyDescent="0.25">
      <c r="A29974" s="64" t="str">
        <f>HYPERLINK("http://www.twitter.com/HistBuildings", "HistBuildings")</f>
        <v>HistBuildings</v>
      </c>
      <c r="B29974" s="65"/>
    </row>
    <row r="29975" spans="1:2" x14ac:dyDescent="0.25">
      <c r="A29975" s="64" t="str">
        <f>HYPERLINK("http://www.twitter.com/library_com", "library_com")</f>
        <v>library_com</v>
      </c>
      <c r="B29975" s="65" t="s">
        <v>4092</v>
      </c>
    </row>
    <row r="29976" spans="1:2" x14ac:dyDescent="0.25">
      <c r="A29976" s="64" t="str">
        <f>HYPERLINK("http://www.twitter.com/HoracetheHaggis", "HoracetheHaggis")</f>
        <v>HoracetheHaggis</v>
      </c>
      <c r="B29976" s="65" t="s">
        <v>12197</v>
      </c>
    </row>
    <row r="29977" spans="1:2" x14ac:dyDescent="0.25">
      <c r="A29977" s="64" t="str">
        <f>HYPERLINK("http://www.twitter.com/Discovery_Mus", "Discovery_Mus")</f>
        <v>Discovery_Mus</v>
      </c>
      <c r="B29977" s="65" t="s">
        <v>96</v>
      </c>
    </row>
    <row r="29978" spans="1:2" x14ac:dyDescent="0.25">
      <c r="A29978" s="64" t="str">
        <f>HYPERLINK("http://www.twitter.com/MagentaSnaps", "MagentaSnaps")</f>
        <v>MagentaSnaps</v>
      </c>
      <c r="B29978" s="65"/>
    </row>
    <row r="29979" spans="1:2" x14ac:dyDescent="0.25">
      <c r="A29979" s="64" t="str">
        <f>HYPERLINK("http://www.twitter.com/fionaren", "fionaren")</f>
        <v>fionaren</v>
      </c>
      <c r="B29979" s="65"/>
    </row>
    <row r="29980" spans="1:2" x14ac:dyDescent="0.25">
      <c r="A29980" s="64" t="str">
        <f>HYPERLINK("http://www.twitter.com/FelicityBramwel", "FelicityBramwel")</f>
        <v>FelicityBramwel</v>
      </c>
      <c r="B29980" s="65"/>
    </row>
    <row r="29981" spans="1:2" x14ac:dyDescent="0.25">
      <c r="A29981" s="64" t="str">
        <f>HYPERLINK("http://www.twitter.com/linda_cockburn", "linda_cockburn")</f>
        <v>linda_cockburn</v>
      </c>
      <c r="B29981" s="65"/>
    </row>
    <row r="29982" spans="1:2" x14ac:dyDescent="0.25">
      <c r="A29982" s="64" t="str">
        <f>HYPERLINK("http://www.twitter.com/stirlingmakar", "stirlingmakar")</f>
        <v>stirlingmakar</v>
      </c>
      <c r="B29982" s="65"/>
    </row>
    <row r="29983" spans="1:2" x14ac:dyDescent="0.25">
      <c r="A29983" s="64" t="str">
        <f>HYPERLINK("http://www.twitter.com/Louis_Clark94", "Louis_Clark94")</f>
        <v>Louis_Clark94</v>
      </c>
      <c r="B29983" s="65" t="s">
        <v>487</v>
      </c>
    </row>
    <row r="29984" spans="1:2" x14ac:dyDescent="0.25">
      <c r="A29984" s="64" t="str">
        <f>HYPERLINK("http://www.twitter.com/jennyotheneeps", "jennyotheneeps")</f>
        <v>jennyotheneeps</v>
      </c>
      <c r="B29984" s="65" t="s">
        <v>20</v>
      </c>
    </row>
    <row r="29985" spans="1:2" x14ac:dyDescent="0.25">
      <c r="A29985" s="64" t="str">
        <f>HYPERLINK("http://www.twitter.com/aberdeensmiles", "aberdeensmiles")</f>
        <v>aberdeensmiles</v>
      </c>
      <c r="B29985" s="65"/>
    </row>
    <row r="29986" spans="1:2" x14ac:dyDescent="0.25">
      <c r="A29986" s="64" t="str">
        <f>HYPERLINK("http://www.twitter.com/KateWehmeyer", "KateWehmeyer")</f>
        <v>KateWehmeyer</v>
      </c>
      <c r="B29986" s="65"/>
    </row>
    <row r="29987" spans="1:2" x14ac:dyDescent="0.25">
      <c r="A29987" s="64" t="str">
        <f>HYPERLINK("http://www.twitter.com/ShaheenYussouf", "ShaheenYussouf")</f>
        <v>ShaheenYussouf</v>
      </c>
      <c r="B29987" s="65" t="s">
        <v>3962</v>
      </c>
    </row>
    <row r="29988" spans="1:2" x14ac:dyDescent="0.25">
      <c r="A29988" s="64" t="str">
        <f>HYPERLINK("http://www.twitter.com/PenLifeUK", "PenLifeUK")</f>
        <v>PenLifeUK</v>
      </c>
      <c r="B29988" s="65" t="s">
        <v>346</v>
      </c>
    </row>
    <row r="29989" spans="1:2" x14ac:dyDescent="0.25">
      <c r="A29989" s="64" t="str">
        <f>HYPERLINK("http://www.twitter.com/katherina0314", "katherina0314")</f>
        <v>katherina0314</v>
      </c>
      <c r="B29989" s="65" t="s">
        <v>4147</v>
      </c>
    </row>
    <row r="29990" spans="1:2" x14ac:dyDescent="0.25">
      <c r="A29990" s="64" t="str">
        <f>HYPERLINK("http://www.twitter.com/allanguthrie", "allanguthrie")</f>
        <v>allanguthrie</v>
      </c>
      <c r="B29990" s="65" t="s">
        <v>487</v>
      </c>
    </row>
    <row r="29991" spans="1:2" x14ac:dyDescent="0.25">
      <c r="A29991" s="64" t="str">
        <f>HYPERLINK("http://www.twitter.com/orioncassiopeia", "orioncassiopeia")</f>
        <v>orioncassiopeia</v>
      </c>
      <c r="B29991" s="65"/>
    </row>
    <row r="29992" spans="1:2" x14ac:dyDescent="0.25">
      <c r="A29992" s="64" t="str">
        <f>HYPERLINK("http://www.twitter.com/tiredtrans", "tiredtrans")</f>
        <v>tiredtrans</v>
      </c>
      <c r="B29992" s="65" t="s">
        <v>12198</v>
      </c>
    </row>
    <row r="29993" spans="1:2" x14ac:dyDescent="0.25">
      <c r="A29993" s="64" t="str">
        <f>HYPERLINK("http://www.twitter.com/gordonsta", "gordonsta")</f>
        <v>gordonsta</v>
      </c>
      <c r="B29993" s="65" t="s">
        <v>12199</v>
      </c>
    </row>
    <row r="29994" spans="1:2" x14ac:dyDescent="0.25">
      <c r="A29994" s="64" t="str">
        <f>HYPERLINK("http://www.twitter.com/nextmarkt", "nextmarkt")</f>
        <v>nextmarkt</v>
      </c>
      <c r="B29994" s="65"/>
    </row>
    <row r="29995" spans="1:2" x14ac:dyDescent="0.25">
      <c r="A29995" s="64" t="str">
        <f>HYPERLINK("http://www.twitter.com/westraywatson", "westraywatson")</f>
        <v>westraywatson</v>
      </c>
      <c r="B29995" s="65"/>
    </row>
    <row r="29996" spans="1:2" x14ac:dyDescent="0.25">
      <c r="A29996" s="64" t="str">
        <f>HYPERLINK("http://www.twitter.com/tracykewley", "tracykewley")</f>
        <v>tracykewley</v>
      </c>
      <c r="B29996" s="65" t="s">
        <v>3678</v>
      </c>
    </row>
    <row r="29997" spans="1:2" x14ac:dyDescent="0.25">
      <c r="A29997" s="64" t="str">
        <f>HYPERLINK("http://www.twitter.com/silverfush", "silverfush")</f>
        <v>silverfush</v>
      </c>
      <c r="B29997" s="65" t="s">
        <v>3988</v>
      </c>
    </row>
    <row r="29998" spans="1:2" x14ac:dyDescent="0.25">
      <c r="A29998" s="64" t="str">
        <f>HYPERLINK("http://www.twitter.com/tamdeanburn", "tamdeanburn")</f>
        <v>tamdeanburn</v>
      </c>
      <c r="B29998" s="65" t="s">
        <v>7181</v>
      </c>
    </row>
    <row r="29999" spans="1:2" x14ac:dyDescent="0.25">
      <c r="A29999" s="64" t="str">
        <f>HYPERLINK("http://www.twitter.com/GoGoGillies", "GoGoGillies")</f>
        <v>GoGoGillies</v>
      </c>
      <c r="B29999" s="65" t="s">
        <v>138</v>
      </c>
    </row>
    <row r="30000" spans="1:2" x14ac:dyDescent="0.25">
      <c r="A30000" s="64" t="str">
        <f>HYPERLINK("http://www.twitter.com/Larvalmouse", "Larvalmouse")</f>
        <v>Larvalmouse</v>
      </c>
      <c r="B30000" s="65" t="s">
        <v>20</v>
      </c>
    </row>
    <row r="30001" spans="1:2" x14ac:dyDescent="0.25">
      <c r="A30001" s="64" t="str">
        <f>HYPERLINK("http://www.twitter.com/TheLostLectures", "TheLostLectures")</f>
        <v>TheLostLectures</v>
      </c>
      <c r="B30001" s="65"/>
    </row>
    <row r="30002" spans="1:2" x14ac:dyDescent="0.25">
      <c r="A30002" s="64" t="str">
        <f>HYPERLINK("http://www.twitter.com/Redhammy1", "Redhammy1")</f>
        <v>Redhammy1</v>
      </c>
      <c r="B30002" s="65" t="s">
        <v>20</v>
      </c>
    </row>
    <row r="30003" spans="1:2" x14ac:dyDescent="0.25">
      <c r="A30003" s="64" t="str">
        <f>HYPERLINK("http://www.twitter.com/marmottwo", "marmottwo")</f>
        <v>marmottwo</v>
      </c>
      <c r="B30003" s="65" t="s">
        <v>296</v>
      </c>
    </row>
    <row r="30004" spans="1:2" x14ac:dyDescent="0.25">
      <c r="A30004" s="64" t="str">
        <f>HYPERLINK("http://www.twitter.com/warptter", "warptter")</f>
        <v>warptter</v>
      </c>
      <c r="B30004" s="65"/>
    </row>
    <row r="30005" spans="1:2" x14ac:dyDescent="0.25">
      <c r="A30005" s="64" t="str">
        <f>HYPERLINK("http://www.twitter.com/MeagherJane", "MeagherJane")</f>
        <v>MeagherJane</v>
      </c>
      <c r="B30005" s="65"/>
    </row>
    <row r="30006" spans="1:2" x14ac:dyDescent="0.25">
      <c r="A30006" s="64" t="str">
        <f>HYPERLINK("http://www.twitter.com/gwynethcbell", "gwynethcbell")</f>
        <v>gwynethcbell</v>
      </c>
      <c r="B30006" s="65" t="s">
        <v>3779</v>
      </c>
    </row>
    <row r="30007" spans="1:2" x14ac:dyDescent="0.25">
      <c r="A30007" s="64" t="str">
        <f>HYPERLINK("http://www.twitter.com/MantarayJ", "MantarayJ")</f>
        <v>MantarayJ</v>
      </c>
      <c r="B30007" s="65"/>
    </row>
    <row r="30008" spans="1:2" x14ac:dyDescent="0.25">
      <c r="A30008" s="64" t="str">
        <f>HYPERLINK("http://www.twitter.com/mediagroupGBaum", "mediagroupGBaum")</f>
        <v>mediagroupGBaum</v>
      </c>
      <c r="B30008" s="65"/>
    </row>
    <row r="30009" spans="1:2" x14ac:dyDescent="0.25">
      <c r="A30009" s="64" t="str">
        <f>HYPERLINK("http://www.twitter.com/turnarounduk", "turnarounduk")</f>
        <v>turnarounduk</v>
      </c>
      <c r="B30009" s="65" t="s">
        <v>36</v>
      </c>
    </row>
    <row r="30010" spans="1:2" x14ac:dyDescent="0.25">
      <c r="A30010" s="64" t="str">
        <f>HYPERLINK("http://www.twitter.com/thecolbyexpress", "thecolbyexpress")</f>
        <v>thecolbyexpress</v>
      </c>
      <c r="B30010" s="65" t="s">
        <v>12200</v>
      </c>
    </row>
    <row r="30011" spans="1:2" x14ac:dyDescent="0.25">
      <c r="A30011" s="64" t="str">
        <f>HYPERLINK("http://www.twitter.com/GeorgBaumann", "GeorgBaumann")</f>
        <v>GeorgBaumann</v>
      </c>
      <c r="B30011" s="65"/>
    </row>
    <row r="30012" spans="1:2" x14ac:dyDescent="0.25">
      <c r="A30012" s="64" t="str">
        <f>HYPERLINK("http://www.twitter.com/iCanSellThatcom", "iCanSellThatcom")</f>
        <v>iCanSellThatcom</v>
      </c>
      <c r="B30012" s="65"/>
    </row>
    <row r="30013" spans="1:2" x14ac:dyDescent="0.25">
      <c r="A30013" s="64" t="str">
        <f>HYPERLINK("http://www.twitter.com/Cinekyd", "Cinekyd")</f>
        <v>Cinekyd</v>
      </c>
      <c r="B30013" s="65"/>
    </row>
    <row r="30014" spans="1:2" x14ac:dyDescent="0.25">
      <c r="A30014" s="64" t="str">
        <f>HYPERLINK("http://www.twitter.com/tiredad", "tiredad")</f>
        <v>tiredad</v>
      </c>
      <c r="B30014" s="65" t="s">
        <v>517</v>
      </c>
    </row>
    <row r="30015" spans="1:2" x14ac:dyDescent="0.25">
      <c r="A30015" s="64" t="str">
        <f>HYPERLINK("http://www.twitter.com/BuryPlanning", "BuryPlanning")</f>
        <v>BuryPlanning</v>
      </c>
      <c r="B30015" s="65" t="s">
        <v>636</v>
      </c>
    </row>
    <row r="30016" spans="1:2" x14ac:dyDescent="0.25">
      <c r="A30016" s="64" t="str">
        <f>HYPERLINK("http://www.twitter.com/DaveMForrester", "DaveMForrester")</f>
        <v>DaveMForrester</v>
      </c>
      <c r="B30016" s="65" t="s">
        <v>12201</v>
      </c>
    </row>
    <row r="30017" spans="1:2" x14ac:dyDescent="0.25">
      <c r="A30017" s="64" t="str">
        <f>HYPERLINK("http://www.twitter.com/johnbyrneaward", "johnbyrneaward")</f>
        <v>johnbyrneaward</v>
      </c>
      <c r="B30017" s="65" t="s">
        <v>487</v>
      </c>
    </row>
    <row r="30018" spans="1:2" x14ac:dyDescent="0.25">
      <c r="A30018" s="64" t="str">
        <f>HYPERLINK("http://www.twitter.com/ForlagetHetland", "ForlagetHetland")</f>
        <v>ForlagetHetland</v>
      </c>
      <c r="B30018" s="65" t="s">
        <v>5244</v>
      </c>
    </row>
    <row r="30019" spans="1:2" x14ac:dyDescent="0.25">
      <c r="A30019" s="64" t="str">
        <f>HYPERLINK("http://www.twitter.com/ShirleyHancen", "ShirleyHancen")</f>
        <v>ShirleyHancen</v>
      </c>
      <c r="B30019" s="65"/>
    </row>
    <row r="30020" spans="1:2" x14ac:dyDescent="0.25">
      <c r="A30020" s="64" t="str">
        <f>HYPERLINK("http://www.twitter.com/scottishruth", "scottishruth")</f>
        <v>scottishruth</v>
      </c>
      <c r="B30020" s="65"/>
    </row>
    <row r="30021" spans="1:2" x14ac:dyDescent="0.25">
      <c r="A30021" s="64" t="str">
        <f>HYPERLINK("http://www.twitter.com/JaneMBarnes", "JaneMBarnes")</f>
        <v>JaneMBarnes</v>
      </c>
      <c r="B30021" s="65" t="s">
        <v>2518</v>
      </c>
    </row>
    <row r="30022" spans="1:2" x14ac:dyDescent="0.25">
      <c r="A30022" s="64" t="str">
        <f>HYPERLINK("http://www.twitter.com/AMJ211", "AMJ211")</f>
        <v>AMJ211</v>
      </c>
      <c r="B30022" s="65"/>
    </row>
    <row r="30023" spans="1:2" x14ac:dyDescent="0.25">
      <c r="A30023" s="64" t="str">
        <f>HYPERLINK("http://www.twitter.com/mcefreeman1960", "mcefreeman1960")</f>
        <v>mcefreeman1960</v>
      </c>
      <c r="B30023" s="65" t="s">
        <v>12202</v>
      </c>
    </row>
    <row r="30024" spans="1:2" x14ac:dyDescent="0.25">
      <c r="A30024" s="64" t="str">
        <f>HYPERLINK("http://www.twitter.com/GilksMegan", "GilksMegan")</f>
        <v>GilksMegan</v>
      </c>
      <c r="B30024" s="65"/>
    </row>
    <row r="30025" spans="1:2" x14ac:dyDescent="0.25">
      <c r="A30025" s="64" t="str">
        <f>HYPERLINK("http://www.twitter.com/petalibrary", "petalibrary")</f>
        <v>petalibrary</v>
      </c>
      <c r="B30025" s="65" t="s">
        <v>12203</v>
      </c>
    </row>
    <row r="30026" spans="1:2" x14ac:dyDescent="0.25">
      <c r="A30026" s="64" t="str">
        <f>HYPERLINK("http://www.twitter.com/Duangjai", "Duangjai")</f>
        <v>Duangjai</v>
      </c>
      <c r="B30026" s="65" t="s">
        <v>12204</v>
      </c>
    </row>
    <row r="30027" spans="1:2" x14ac:dyDescent="0.25">
      <c r="A30027" s="64" t="str">
        <f>HYPERLINK("http://www.twitter.com/ResearchSupport", "ResearchSupport")</f>
        <v>ResearchSupport</v>
      </c>
      <c r="B30027" s="65" t="s">
        <v>12205</v>
      </c>
    </row>
    <row r="30028" spans="1:2" x14ac:dyDescent="0.25">
      <c r="A30028" s="64" t="str">
        <f>HYPERLINK("http://www.twitter.com/c_ure", "c_ure")</f>
        <v>c_ure</v>
      </c>
      <c r="B30028" s="65" t="s">
        <v>24</v>
      </c>
    </row>
    <row r="30029" spans="1:2" x14ac:dyDescent="0.25">
      <c r="A30029" s="64" t="str">
        <f>HYPERLINK("http://www.twitter.com/ren642", "ren642")</f>
        <v>ren642</v>
      </c>
      <c r="B30029" s="65"/>
    </row>
    <row r="30030" spans="1:2" x14ac:dyDescent="0.25">
      <c r="A30030" s="64" t="str">
        <f>HYPERLINK("http://www.twitter.com/ahencyclopedia", "ahencyclopedia")</f>
        <v>ahencyclopedia</v>
      </c>
      <c r="B30030" s="65" t="s">
        <v>70</v>
      </c>
    </row>
    <row r="30031" spans="1:2" x14ac:dyDescent="0.25">
      <c r="A30031" s="64" t="str">
        <f>HYPERLINK("http://www.twitter.com/susgriffiths", "susgriffiths")</f>
        <v>susgriffiths</v>
      </c>
      <c r="B30031" s="65" t="s">
        <v>12</v>
      </c>
    </row>
    <row r="30032" spans="1:2" x14ac:dyDescent="0.25">
      <c r="A30032" s="64" t="str">
        <f>HYPERLINK("http://www.twitter.com/drmaladkar", "drmaladkar")</f>
        <v>drmaladkar</v>
      </c>
      <c r="B30032" s="65" t="s">
        <v>9257</v>
      </c>
    </row>
    <row r="30033" spans="1:2" x14ac:dyDescent="0.25">
      <c r="A30033" s="64" t="str">
        <f>HYPERLINK("http://www.twitter.com/NicandBunnies", "NicandBunnies")</f>
        <v>NicandBunnies</v>
      </c>
      <c r="B30033" s="65" t="s">
        <v>8635</v>
      </c>
    </row>
    <row r="30034" spans="1:2" x14ac:dyDescent="0.25">
      <c r="A30034" s="64" t="str">
        <f>HYPERLINK("http://www.twitter.com/Jamiromackay", "Jamiromackay")</f>
        <v>Jamiromackay</v>
      </c>
      <c r="B30034" s="65" t="s">
        <v>8859</v>
      </c>
    </row>
    <row r="30035" spans="1:2" x14ac:dyDescent="0.25">
      <c r="A30035" s="64" t="str">
        <f>HYPERLINK("http://www.twitter.com/ScotlandJourney", "ScotlandJourney")</f>
        <v>ScotlandJourney</v>
      </c>
      <c r="B30035" s="65"/>
    </row>
    <row r="30036" spans="1:2" x14ac:dyDescent="0.25">
      <c r="A30036" s="64" t="str">
        <f>HYPERLINK("http://www.twitter.com/catastrophio", "catastrophio")</f>
        <v>catastrophio</v>
      </c>
      <c r="B30036" s="65" t="s">
        <v>36</v>
      </c>
    </row>
    <row r="30037" spans="1:2" x14ac:dyDescent="0.25">
      <c r="A30037" s="64" t="str">
        <f>HYPERLINK("http://www.twitter.com/PiperGunn", "PiperGunn")</f>
        <v>PiperGunn</v>
      </c>
      <c r="B30037" s="65" t="s">
        <v>12206</v>
      </c>
    </row>
    <row r="30038" spans="1:2" x14ac:dyDescent="0.25">
      <c r="A30038" s="64" t="str">
        <f>HYPERLINK("http://www.twitter.com/HeyworthSue", "HeyworthSue")</f>
        <v>HeyworthSue</v>
      </c>
      <c r="B30038" s="65"/>
    </row>
    <row r="30039" spans="1:2" x14ac:dyDescent="0.25">
      <c r="A30039" s="64" t="str">
        <f>HYPERLINK("http://www.twitter.com/JocStitt", "JocStitt")</f>
        <v>JocStitt</v>
      </c>
      <c r="B30039" s="65" t="s">
        <v>4649</v>
      </c>
    </row>
    <row r="30040" spans="1:2" x14ac:dyDescent="0.25">
      <c r="A30040" s="64" t="str">
        <f>HYPERLINK("http://www.twitter.com/dontletme_drown", "dontletme_drown")</f>
        <v>dontletme_drown</v>
      </c>
      <c r="B30040" s="65" t="s">
        <v>12207</v>
      </c>
    </row>
    <row r="30041" spans="1:2" x14ac:dyDescent="0.25">
      <c r="A30041" s="64" t="str">
        <f>HYPERLINK("http://www.twitter.com/somethinggrace", "somethinggrace")</f>
        <v>somethinggrace</v>
      </c>
      <c r="B30041" s="65" t="s">
        <v>96</v>
      </c>
    </row>
    <row r="30042" spans="1:2" x14ac:dyDescent="0.25">
      <c r="A30042" s="64" t="str">
        <f>HYPERLINK("http://www.twitter.com/Wild_NEScot", "Wild_NEScot")</f>
        <v>Wild_NEScot</v>
      </c>
      <c r="B30042" s="65"/>
    </row>
    <row r="30043" spans="1:2" x14ac:dyDescent="0.25">
      <c r="A30043" s="64" t="str">
        <f>HYPERLINK("http://www.twitter.com/atelierimages", "atelierimages")</f>
        <v>atelierimages</v>
      </c>
      <c r="B30043" s="65"/>
    </row>
    <row r="30044" spans="1:2" x14ac:dyDescent="0.25">
      <c r="A30044" s="64" t="str">
        <f>HYPERLINK("http://www.twitter.com/ThePoorPress", "ThePoorPress")</f>
        <v>ThePoorPress</v>
      </c>
      <c r="B30044" s="65"/>
    </row>
    <row r="30045" spans="1:2" x14ac:dyDescent="0.25">
      <c r="A30045" s="64" t="str">
        <f>HYPERLINK("http://www.twitter.com/NJones", "NJones")</f>
        <v>NJones</v>
      </c>
      <c r="B30045" s="65" t="s">
        <v>12208</v>
      </c>
    </row>
    <row r="30046" spans="1:2" x14ac:dyDescent="0.25">
      <c r="A30046" s="64" t="str">
        <f>HYPERLINK("http://www.twitter.com/JoannaPalmer4", "JoannaPalmer4")</f>
        <v>JoannaPalmer4</v>
      </c>
      <c r="B30046" s="65" t="s">
        <v>871</v>
      </c>
    </row>
    <row r="30047" spans="1:2" x14ac:dyDescent="0.25">
      <c r="A30047" s="64" t="str">
        <f>HYPERLINK("http://www.twitter.com/gemharcus", "gemharcus")</f>
        <v>gemharcus</v>
      </c>
      <c r="B30047" s="65"/>
    </row>
    <row r="30048" spans="1:2" x14ac:dyDescent="0.25">
      <c r="A30048" s="64" t="str">
        <f>HYPERLINK("http://www.twitter.com/west_team", "west_team")</f>
        <v>west_team</v>
      </c>
      <c r="B30048" s="65" t="s">
        <v>24</v>
      </c>
    </row>
    <row r="30049" spans="1:2" x14ac:dyDescent="0.25">
      <c r="A30049" s="64" t="str">
        <f>HYPERLINK("http://www.twitter.com/DCHLib", "DCHLib")</f>
        <v>DCHLib</v>
      </c>
      <c r="B30049" s="65" t="s">
        <v>2363</v>
      </c>
    </row>
    <row r="30050" spans="1:2" x14ac:dyDescent="0.25">
      <c r="A30050" s="64" t="str">
        <f>HYPERLINK("http://www.twitter.com/kristydrever", "kristydrever")</f>
        <v>kristydrever</v>
      </c>
      <c r="B30050" s="65"/>
    </row>
    <row r="30051" spans="1:2" x14ac:dyDescent="0.25">
      <c r="A30051" s="64" t="str">
        <f>HYPERLINK("http://www.twitter.com/soydanger", "soydanger")</f>
        <v>soydanger</v>
      </c>
      <c r="B30051" s="65" t="s">
        <v>6464</v>
      </c>
    </row>
    <row r="30052" spans="1:2" x14ac:dyDescent="0.25">
      <c r="A30052" s="64" t="str">
        <f>HYPERLINK("http://www.twitter.com/mediagroupGeorg", "mediagroupGeorg")</f>
        <v>mediagroupGeorg</v>
      </c>
      <c r="B30052" s="65"/>
    </row>
    <row r="30053" spans="1:2" x14ac:dyDescent="0.25">
      <c r="A30053" s="64" t="str">
        <f>HYPERLINK("http://www.twitter.com/LibrarySCC", "LibrarySCC")</f>
        <v>LibrarySCC</v>
      </c>
      <c r="B30053" s="65" t="s">
        <v>12209</v>
      </c>
    </row>
    <row r="30054" spans="1:2" x14ac:dyDescent="0.25">
      <c r="A30054" s="64" t="str">
        <f>HYPERLINK("http://www.twitter.com/clairescotland", "clairescotland")</f>
        <v>clairescotland</v>
      </c>
      <c r="B30054" s="65" t="s">
        <v>12210</v>
      </c>
    </row>
    <row r="30055" spans="1:2" x14ac:dyDescent="0.25">
      <c r="A30055" s="64" t="str">
        <f>HYPERLINK("http://www.twitter.com/lupohobbes", "lupohobbes")</f>
        <v>lupohobbes</v>
      </c>
      <c r="B30055" s="65" t="s">
        <v>4129</v>
      </c>
    </row>
    <row r="30056" spans="1:2" x14ac:dyDescent="0.25">
      <c r="A30056" s="64" t="str">
        <f>HYPERLINK("http://www.twitter.com/JonTea22", "JonTea22")</f>
        <v>JonTea22</v>
      </c>
      <c r="B30056" s="65"/>
    </row>
    <row r="30057" spans="1:2" x14ac:dyDescent="0.25">
      <c r="A30057" s="64" t="str">
        <f>HYPERLINK("http://www.twitter.com/izjo", "izjo")</f>
        <v>izjo</v>
      </c>
      <c r="B30057" s="65" t="s">
        <v>115</v>
      </c>
    </row>
    <row r="30058" spans="1:2" x14ac:dyDescent="0.25">
      <c r="A30058" s="64" t="str">
        <f>HYPERLINK("http://www.twitter.com/LizCordin1", "LizCordin1")</f>
        <v>LizCordin1</v>
      </c>
      <c r="B30058" s="65"/>
    </row>
    <row r="30059" spans="1:2" x14ac:dyDescent="0.25">
      <c r="A30059" s="64" t="str">
        <f>HYPERLINK("http://www.twitter.com/pruneyoghurt", "pruneyoghurt")</f>
        <v>pruneyoghurt</v>
      </c>
      <c r="B30059" s="65" t="s">
        <v>12211</v>
      </c>
    </row>
    <row r="30060" spans="1:2" x14ac:dyDescent="0.25">
      <c r="A30060" s="64" t="str">
        <f>HYPERLINK("http://www.twitter.com/corrie_corfield", "corrie_corfield")</f>
        <v>corrie_corfield</v>
      </c>
      <c r="B30060" s="65" t="s">
        <v>12212</v>
      </c>
    </row>
    <row r="30061" spans="1:2" x14ac:dyDescent="0.25">
      <c r="A30061" s="64" t="str">
        <f>HYPERLINK("http://www.twitter.com/Pablo8485", "Pablo8485")</f>
        <v>Pablo8485</v>
      </c>
      <c r="B30061" s="65" t="s">
        <v>102</v>
      </c>
    </row>
    <row r="30062" spans="1:2" x14ac:dyDescent="0.25">
      <c r="A30062" s="64" t="str">
        <f>HYPERLINK("http://www.twitter.com/beccasibbett", "beccasibbett")</f>
        <v>beccasibbett</v>
      </c>
      <c r="B30062" s="65" t="s">
        <v>24</v>
      </c>
    </row>
    <row r="30063" spans="1:2" x14ac:dyDescent="0.25">
      <c r="A30063" s="64" t="str">
        <f>HYPERLINK("http://www.twitter.com/wee_lex", "wee_lex")</f>
        <v>wee_lex</v>
      </c>
      <c r="B30063" s="65"/>
    </row>
    <row r="30064" spans="1:2" x14ac:dyDescent="0.25">
      <c r="A30064" s="64" t="str">
        <f>HYPERLINK("http://www.twitter.com/uwslib", "uwslib")</f>
        <v>uwslib</v>
      </c>
      <c r="B30064" s="65" t="s">
        <v>543</v>
      </c>
    </row>
    <row r="30065" spans="1:2" x14ac:dyDescent="0.25">
      <c r="A30065" s="64" t="str">
        <f>HYPERLINK("http://www.twitter.com/MissField", "MissField")</f>
        <v>MissField</v>
      </c>
      <c r="B30065" s="65" t="s">
        <v>3821</v>
      </c>
    </row>
    <row r="30066" spans="1:2" x14ac:dyDescent="0.25">
      <c r="A30066" s="64" t="str">
        <f>HYPERLINK("http://www.twitter.com/Sternians", "Sternians")</f>
        <v>Sternians</v>
      </c>
      <c r="B30066" s="65" t="s">
        <v>1790</v>
      </c>
    </row>
    <row r="30067" spans="1:2" x14ac:dyDescent="0.25">
      <c r="A30067" s="64" t="str">
        <f>HYPERLINK("http://www.twitter.com/flossiejoll1", "flossiejoll1")</f>
        <v>flossiejoll1</v>
      </c>
      <c r="B30067" s="65" t="s">
        <v>36</v>
      </c>
    </row>
    <row r="30068" spans="1:2" x14ac:dyDescent="0.25">
      <c r="A30068" s="64" t="str">
        <f>HYPERLINK("http://www.twitter.com/rhei0023", "rhei0023")</f>
        <v>rhei0023</v>
      </c>
      <c r="B30068" s="65" t="s">
        <v>12213</v>
      </c>
    </row>
    <row r="30069" spans="1:2" x14ac:dyDescent="0.25">
      <c r="A30069" s="64" t="str">
        <f>HYPERLINK("http://www.twitter.com/PenguinSchools", "PenguinSchools")</f>
        <v>PenguinSchools</v>
      </c>
      <c r="B30069" s="65" t="s">
        <v>36</v>
      </c>
    </row>
    <row r="30070" spans="1:2" x14ac:dyDescent="0.25">
      <c r="A30070" s="64" t="str">
        <f>HYPERLINK("http://www.twitter.com/ShetIslandsCll", "ShetIslandsCll")</f>
        <v>ShetIslandsCll</v>
      </c>
      <c r="B30070" s="65" t="s">
        <v>4797</v>
      </c>
    </row>
    <row r="30071" spans="1:2" x14ac:dyDescent="0.25">
      <c r="A30071" s="64" t="str">
        <f>HYPERLINK("http://www.twitter.com/robwmitch", "robwmitch")</f>
        <v>robwmitch</v>
      </c>
      <c r="B30071" s="65" t="s">
        <v>70</v>
      </c>
    </row>
    <row r="30072" spans="1:2" x14ac:dyDescent="0.25">
      <c r="A30072" s="64" t="str">
        <f>HYPERLINK("http://www.twitter.com/PharmerAnn", "PharmerAnn")</f>
        <v>PharmerAnn</v>
      </c>
      <c r="B30072" s="65"/>
    </row>
    <row r="30073" spans="1:2" x14ac:dyDescent="0.25">
      <c r="A30073" s="64" t="str">
        <f>HYPERLINK("http://www.twitter.com/Daydream512", "Daydream512")</f>
        <v>Daydream512</v>
      </c>
      <c r="B30073" s="65" t="s">
        <v>20</v>
      </c>
    </row>
    <row r="30074" spans="1:2" x14ac:dyDescent="0.25">
      <c r="A30074" s="64" t="str">
        <f>HYPERLINK("http://www.twitter.com/mjcardno", "mjcardno")</f>
        <v>mjcardno</v>
      </c>
      <c r="B30074" s="65" t="s">
        <v>12214</v>
      </c>
    </row>
    <row r="30075" spans="1:2" x14ac:dyDescent="0.25">
      <c r="A30075" s="64" t="str">
        <f>HYPERLINK("http://www.twitter.com/BradleyBooks", "BradleyBooks")</f>
        <v>BradleyBooks</v>
      </c>
      <c r="B30075" s="65" t="s">
        <v>7766</v>
      </c>
    </row>
    <row r="30076" spans="1:2" x14ac:dyDescent="0.25">
      <c r="A30076" s="64" t="str">
        <f>HYPERLINK("http://www.twitter.com/Periodicticus", "Periodicticus")</f>
        <v>Periodicticus</v>
      </c>
      <c r="B30076" s="65" t="s">
        <v>36</v>
      </c>
    </row>
    <row r="30077" spans="1:2" x14ac:dyDescent="0.25">
      <c r="A30077" s="64" t="str">
        <f>HYPERLINK("http://www.twitter.com/SusannahOtter", "SusannahOtter")</f>
        <v>SusannahOtter</v>
      </c>
      <c r="B30077" s="65" t="s">
        <v>36</v>
      </c>
    </row>
    <row r="30078" spans="1:2" x14ac:dyDescent="0.25">
      <c r="A30078" s="64" t="str">
        <f>HYPERLINK("http://www.twitter.com/BookSexyReview", "BookSexyReview")</f>
        <v>BookSexyReview</v>
      </c>
      <c r="B30078" s="65"/>
    </row>
    <row r="30079" spans="1:2" x14ac:dyDescent="0.25">
      <c r="A30079" s="64" t="str">
        <f>HYPERLINK("http://www.twitter.com/sjdean74", "sjdean74")</f>
        <v>sjdean74</v>
      </c>
      <c r="B30079" s="65" t="s">
        <v>2030</v>
      </c>
    </row>
    <row r="30080" spans="1:2" x14ac:dyDescent="0.25">
      <c r="A30080" s="64" t="str">
        <f>HYPERLINK("http://www.twitter.com/wurdsmyth", "wurdsmyth")</f>
        <v>wurdsmyth</v>
      </c>
      <c r="B30080" s="65" t="s">
        <v>12215</v>
      </c>
    </row>
    <row r="30081" spans="1:2" x14ac:dyDescent="0.25">
      <c r="A30081" s="64" t="str">
        <f>HYPERLINK("http://www.twitter.com/thompsonjules", "thompsonjules")</f>
        <v>thompsonjules</v>
      </c>
      <c r="B30081" s="65" t="s">
        <v>808</v>
      </c>
    </row>
    <row r="30082" spans="1:2" x14ac:dyDescent="0.25">
      <c r="A30082" s="64" t="str">
        <f>HYPERLINK("http://www.twitter.com/Hedzie", "Hedzie")</f>
        <v>Hedzie</v>
      </c>
      <c r="B30082" s="65" t="s">
        <v>12216</v>
      </c>
    </row>
    <row r="30083" spans="1:2" x14ac:dyDescent="0.25">
      <c r="A30083" s="64" t="str">
        <f>HYPERLINK("http://www.twitter.com/AbsterMB", "AbsterMB")</f>
        <v>AbsterMB</v>
      </c>
      <c r="B30083" s="65" t="s">
        <v>4972</v>
      </c>
    </row>
    <row r="30084" spans="1:2" x14ac:dyDescent="0.25">
      <c r="A30084" s="64" t="str">
        <f>HYPERLINK("http://www.twitter.com/Cazlar123", "Cazlar123")</f>
        <v>Cazlar123</v>
      </c>
      <c r="B30084" s="65" t="s">
        <v>2679</v>
      </c>
    </row>
    <row r="30085" spans="1:2" x14ac:dyDescent="0.25">
      <c r="A30085" s="64" t="str">
        <f>HYPERLINK("http://www.twitter.com/Visit_Eyemouth", "Visit_Eyemouth")</f>
        <v>Visit_Eyemouth</v>
      </c>
      <c r="B30085" s="65" t="s">
        <v>12217</v>
      </c>
    </row>
    <row r="30086" spans="1:2" x14ac:dyDescent="0.25">
      <c r="A30086" s="64" t="str">
        <f>HYPERLINK("http://www.twitter.com/RituSharmaHdr88", "RituSharmaHdr88")</f>
        <v>RituSharmaHdr88</v>
      </c>
      <c r="B30086" s="65" t="s">
        <v>12218</v>
      </c>
    </row>
    <row r="30087" spans="1:2" x14ac:dyDescent="0.25">
      <c r="A30087" s="64" t="str">
        <f>HYPERLINK("http://www.twitter.com/InkSpot_Media", "InkSpot_Media")</f>
        <v>InkSpot_Media</v>
      </c>
      <c r="B30087" s="65" t="s">
        <v>138</v>
      </c>
    </row>
    <row r="30088" spans="1:2" x14ac:dyDescent="0.25">
      <c r="A30088" s="64" t="str">
        <f>HYPERLINK("http://www.twitter.com/SaviWarbler", "SaviWarbler")</f>
        <v>SaviWarbler</v>
      </c>
      <c r="B30088" s="65" t="s">
        <v>5270</v>
      </c>
    </row>
    <row r="30089" spans="1:2" x14ac:dyDescent="0.25">
      <c r="A30089" s="64" t="str">
        <f>HYPERLINK("http://www.twitter.com/lawsonjs", "lawsonjs")</f>
        <v>lawsonjs</v>
      </c>
      <c r="B30089" s="65"/>
    </row>
    <row r="30090" spans="1:2" x14ac:dyDescent="0.25">
      <c r="A30090" s="64" t="str">
        <f>HYPERLINK("http://www.twitter.com/BookSource1", "BookSource1")</f>
        <v>BookSource1</v>
      </c>
      <c r="B30090" s="65" t="s">
        <v>318</v>
      </c>
    </row>
    <row r="30091" spans="1:2" x14ac:dyDescent="0.25">
      <c r="A30091" s="64" t="str">
        <f>HYPERLINK("http://www.twitter.com/trenchway", "trenchway")</f>
        <v>trenchway</v>
      </c>
      <c r="B30091" s="65"/>
    </row>
    <row r="30092" spans="1:2" x14ac:dyDescent="0.25">
      <c r="A30092" s="64" t="str">
        <f>HYPERLINK("http://www.twitter.com/Library_Vic", "Library_Vic")</f>
        <v>Library_Vic</v>
      </c>
      <c r="B30092" s="65" t="s">
        <v>4147</v>
      </c>
    </row>
    <row r="30093" spans="1:2" x14ac:dyDescent="0.25">
      <c r="A30093" s="64" t="str">
        <f>HYPERLINK("http://www.twitter.com/PiroskaWolf", "PiroskaWolf")</f>
        <v>PiroskaWolf</v>
      </c>
      <c r="B30093" s="65"/>
    </row>
    <row r="30094" spans="1:2" x14ac:dyDescent="0.25">
      <c r="A30094" s="64" t="str">
        <f>HYPERLINK("http://www.twitter.com/CharlieChippo", "CharlieChippo")</f>
        <v>CharlieChippo</v>
      </c>
      <c r="B30094" s="65"/>
    </row>
    <row r="30095" spans="1:2" x14ac:dyDescent="0.25">
      <c r="A30095" s="64" t="str">
        <f>HYPERLINK("http://www.twitter.com/KarenMcCombie", "KarenMcCombie")</f>
        <v>KarenMcCombie</v>
      </c>
      <c r="B30095" s="65" t="s">
        <v>12219</v>
      </c>
    </row>
    <row r="30096" spans="1:2" x14ac:dyDescent="0.25">
      <c r="A30096" s="64" t="str">
        <f>HYPERLINK("http://www.twitter.com/CarersWrexham", "CarersWrexham")</f>
        <v>CarersWrexham</v>
      </c>
      <c r="B30096" s="65" t="s">
        <v>12220</v>
      </c>
    </row>
    <row r="30097" spans="1:2" x14ac:dyDescent="0.25">
      <c r="A30097" s="64" t="str">
        <f>HYPERLINK("http://www.twitter.com/MoragGordon", "MoragGordon")</f>
        <v>MoragGordon</v>
      </c>
      <c r="B30097" s="65" t="s">
        <v>4454</v>
      </c>
    </row>
    <row r="30098" spans="1:2" x14ac:dyDescent="0.25">
      <c r="A30098" s="64" t="str">
        <f>HYPERLINK("http://www.twitter.com/TheDissHQ", "TheDissHQ")</f>
        <v>TheDissHQ</v>
      </c>
      <c r="B30098" s="65"/>
    </row>
    <row r="30099" spans="1:2" x14ac:dyDescent="0.25">
      <c r="A30099" s="64" t="str">
        <f>HYPERLINK("http://www.twitter.com/clairekempmac", "clairekempmac")</f>
        <v>clairekempmac</v>
      </c>
      <c r="B30099" s="65" t="s">
        <v>4447</v>
      </c>
    </row>
    <row r="30100" spans="1:2" x14ac:dyDescent="0.25">
      <c r="A30100" s="64" t="str">
        <f>HYPERLINK("http://www.twitter.com/GangofForster", "GangofForster")</f>
        <v>GangofForster</v>
      </c>
      <c r="B30100" s="65" t="s">
        <v>5522</v>
      </c>
    </row>
    <row r="30101" spans="1:2" x14ac:dyDescent="0.25">
      <c r="A30101" s="64" t="str">
        <f>HYPERLINK("http://www.twitter.com/BishopBurtonEqu", "BishopBurtonEqu")</f>
        <v>BishopBurtonEqu</v>
      </c>
      <c r="B30101" s="65" t="s">
        <v>12221</v>
      </c>
    </row>
    <row r="30102" spans="1:2" x14ac:dyDescent="0.25">
      <c r="A30102" s="64" t="str">
        <f>HYPERLINK("http://www.twitter.com/jennycampbell", "jennycampbell")</f>
        <v>jennycampbell</v>
      </c>
      <c r="B30102" s="65" t="s">
        <v>12222</v>
      </c>
    </row>
    <row r="30103" spans="1:2" x14ac:dyDescent="0.25">
      <c r="A30103" s="64" t="str">
        <f>HYPERLINK("http://www.twitter.com/kathrynpak", "kathrynpak")</f>
        <v>kathrynpak</v>
      </c>
      <c r="B30103" s="65" t="s">
        <v>487</v>
      </c>
    </row>
    <row r="30104" spans="1:2" x14ac:dyDescent="0.25">
      <c r="A30104" s="64" t="str">
        <f>HYPERLINK("http://www.twitter.com/Tim_Duxbury", "Tim_Duxbury")</f>
        <v>Tim_Duxbury</v>
      </c>
      <c r="B30104" s="65" t="s">
        <v>203</v>
      </c>
    </row>
    <row r="30105" spans="1:2" x14ac:dyDescent="0.25">
      <c r="A30105" s="64" t="str">
        <f>HYPERLINK("http://www.twitter.com/Simtaylor_devon", "Simtaylor_devon")</f>
        <v>Simtaylor_devon</v>
      </c>
      <c r="B30105" s="65" t="s">
        <v>296</v>
      </c>
    </row>
    <row r="30106" spans="1:2" x14ac:dyDescent="0.25">
      <c r="A30106" s="64" t="str">
        <f>HYPERLINK("http://www.twitter.com/LittleBigSpoon", "LittleBigSpoon")</f>
        <v>LittleBigSpoon</v>
      </c>
      <c r="B30106" s="65" t="s">
        <v>12223</v>
      </c>
    </row>
    <row r="30107" spans="1:2" x14ac:dyDescent="0.25">
      <c r="A30107" s="64" t="str">
        <f>HYPERLINK("http://www.twitter.com/leo_cryss", "leo_cryss")</f>
        <v>leo_cryss</v>
      </c>
      <c r="B30107" s="65" t="s">
        <v>4689</v>
      </c>
    </row>
    <row r="30108" spans="1:2" x14ac:dyDescent="0.25">
      <c r="A30108" s="64" t="str">
        <f>HYPERLINK("http://www.twitter.com/Tejiranshi", "Tejiranshi")</f>
        <v>Tejiranshi</v>
      </c>
      <c r="B30108" s="65"/>
    </row>
    <row r="30109" spans="1:2" x14ac:dyDescent="0.25">
      <c r="A30109" s="64" t="str">
        <f>HYPERLINK("http://www.twitter.com/Buddie65J", "Buddie65J")</f>
        <v>Buddie65J</v>
      </c>
      <c r="B30109" s="65"/>
    </row>
    <row r="30110" spans="1:2" x14ac:dyDescent="0.25">
      <c r="A30110" s="64" t="str">
        <f>HYPERLINK("http://www.twitter.com/LizzieBonito", "LizzieBonito")</f>
        <v>LizzieBonito</v>
      </c>
      <c r="B30110" s="65"/>
    </row>
    <row r="30111" spans="1:2" x14ac:dyDescent="0.25">
      <c r="A30111" s="64" t="str">
        <f>HYPERLINK("http://www.twitter.com/Jon2T2", "Jon2T2")</f>
        <v>Jon2T2</v>
      </c>
      <c r="B30111" s="65" t="s">
        <v>6723</v>
      </c>
    </row>
    <row r="30112" spans="1:2" x14ac:dyDescent="0.25">
      <c r="A30112" s="64" t="str">
        <f>HYPERLINK("http://www.twitter.com/FreeKFC77490848", "FreeKFC77490848")</f>
        <v>FreeKFC77490848</v>
      </c>
      <c r="B30112" s="65" t="s">
        <v>12224</v>
      </c>
    </row>
    <row r="30113" spans="1:2" x14ac:dyDescent="0.25">
      <c r="A30113" s="64" t="str">
        <f>HYPERLINK("http://www.twitter.com/BluePoles", "BluePoles")</f>
        <v>BluePoles</v>
      </c>
      <c r="B30113" s="65" t="s">
        <v>12225</v>
      </c>
    </row>
    <row r="30114" spans="1:2" x14ac:dyDescent="0.25">
      <c r="A30114" s="64" t="str">
        <f>HYPERLINK("http://www.twitter.com/Bonnyclabber", "Bonnyclabber")</f>
        <v>Bonnyclabber</v>
      </c>
      <c r="B30114" s="65"/>
    </row>
    <row r="30115" spans="1:2" x14ac:dyDescent="0.25">
      <c r="A30115" s="64" t="str">
        <f>HYPERLINK("http://www.twitter.com/CD_Slater", "CD_Slater")</f>
        <v>CD_Slater</v>
      </c>
      <c r="B30115" s="65" t="s">
        <v>186</v>
      </c>
    </row>
    <row r="30116" spans="1:2" x14ac:dyDescent="0.25">
      <c r="A30116" s="64" t="str">
        <f>HYPERLINK("http://www.twitter.com/Hume_Sweet_Hume", "Hume_Sweet_Hume")</f>
        <v>Hume_Sweet_Hume</v>
      </c>
      <c r="B30116" s="65" t="s">
        <v>8814</v>
      </c>
    </row>
    <row r="30117" spans="1:2" x14ac:dyDescent="0.25">
      <c r="A30117" s="64" t="str">
        <f>HYPERLINK("http://www.twitter.com/keithmmorgan", "keithmmorgan")</f>
        <v>keithmmorgan</v>
      </c>
      <c r="B30117" s="65" t="s">
        <v>4324</v>
      </c>
    </row>
    <row r="30118" spans="1:2" x14ac:dyDescent="0.25">
      <c r="A30118" s="64" t="str">
        <f>HYPERLINK("http://www.twitter.com/mason_shannon", "mason_shannon")</f>
        <v>mason_shannon</v>
      </c>
      <c r="B30118" s="65" t="s">
        <v>6634</v>
      </c>
    </row>
    <row r="30119" spans="1:2" x14ac:dyDescent="0.25">
      <c r="A30119" s="64" t="str">
        <f>HYPERLINK("http://www.twitter.com/writestuff2", "writestuff2")</f>
        <v>writestuff2</v>
      </c>
      <c r="B30119" s="65" t="s">
        <v>517</v>
      </c>
    </row>
    <row r="30120" spans="1:2" x14ac:dyDescent="0.25">
      <c r="A30120" s="64" t="str">
        <f>HYPERLINK("http://www.twitter.com/alison_azza", "alison_azza")</f>
        <v>alison_azza</v>
      </c>
      <c r="B30120" s="65"/>
    </row>
    <row r="30121" spans="1:2" x14ac:dyDescent="0.25">
      <c r="A30121" s="64" t="str">
        <f>HYPERLINK("http://www.twitter.com/LucyWBMcA", "LucyWBMcA")</f>
        <v>LucyWBMcA</v>
      </c>
      <c r="B30121" s="65" t="s">
        <v>12226</v>
      </c>
    </row>
    <row r="30122" spans="1:2" x14ac:dyDescent="0.25">
      <c r="A30122" s="64" t="str">
        <f>HYPERLINK("http://www.twitter.com/ClioGray", "ClioGray")</f>
        <v>ClioGray</v>
      </c>
      <c r="B30122" s="65" t="s">
        <v>12227</v>
      </c>
    </row>
    <row r="30123" spans="1:2" x14ac:dyDescent="0.25">
      <c r="A30123" s="64" t="str">
        <f>HYPERLINK("http://www.twitter.com/ArchiveJen", "ArchiveJen")</f>
        <v>ArchiveJen</v>
      </c>
      <c r="B30123" s="65" t="s">
        <v>773</v>
      </c>
    </row>
    <row r="30124" spans="1:2" x14ac:dyDescent="0.25">
      <c r="A30124" s="64" t="str">
        <f>HYPERLINK("http://www.twitter.com/EveLewisPhotos", "EveLewisPhotos")</f>
        <v>EveLewisPhotos</v>
      </c>
      <c r="B30124" s="65" t="s">
        <v>138</v>
      </c>
    </row>
    <row r="30125" spans="1:2" x14ac:dyDescent="0.25">
      <c r="A30125" s="64" t="str">
        <f>HYPERLINK("http://www.twitter.com/tinpot_arts", "tinpot_arts")</f>
        <v>tinpot_arts</v>
      </c>
      <c r="B30125" s="65" t="s">
        <v>9620</v>
      </c>
    </row>
    <row r="30126" spans="1:2" x14ac:dyDescent="0.25">
      <c r="A30126" s="64" t="str">
        <f>HYPERLINK("http://www.twitter.com/Barney2Katy", "Barney2Katy")</f>
        <v>Barney2Katy</v>
      </c>
      <c r="B30126" s="65" t="s">
        <v>477</v>
      </c>
    </row>
    <row r="30127" spans="1:2" x14ac:dyDescent="0.25">
      <c r="A30127" s="64" t="str">
        <f>HYPERLINK("http://www.twitter.com/wylie_alan", "wylie_alan")</f>
        <v>wylie_alan</v>
      </c>
      <c r="B30127" s="65" t="s">
        <v>10611</v>
      </c>
    </row>
    <row r="30128" spans="1:2" x14ac:dyDescent="0.25">
      <c r="A30128" s="64" t="str">
        <f>HYPERLINK("http://www.twitter.com/kaherekilts", "kaherekilts")</f>
        <v>kaherekilts</v>
      </c>
      <c r="B30128" s="65" t="s">
        <v>12228</v>
      </c>
    </row>
    <row r="30129" spans="1:2" x14ac:dyDescent="0.25">
      <c r="A30129" s="64" t="str">
        <f>HYPERLINK("http://www.twitter.com/mafrado", "mafrado")</f>
        <v>mafrado</v>
      </c>
      <c r="B30129" s="65" t="s">
        <v>24</v>
      </c>
    </row>
    <row r="30130" spans="1:2" x14ac:dyDescent="0.25">
      <c r="A30130" s="64" t="str">
        <f>HYPERLINK("http://www.twitter.com/jacquie0007", "jacquie0007")</f>
        <v>jacquie0007</v>
      </c>
      <c r="B30130" s="65" t="s">
        <v>12229</v>
      </c>
    </row>
    <row r="30131" spans="1:2" x14ac:dyDescent="0.25">
      <c r="A30131" s="64" t="str">
        <f>HYPERLINK("http://www.twitter.com/StoutBooks", "StoutBooks")</f>
        <v>StoutBooks</v>
      </c>
      <c r="B30131" s="65" t="s">
        <v>3921</v>
      </c>
    </row>
    <row r="30132" spans="1:2" x14ac:dyDescent="0.25">
      <c r="A30132" s="64" t="str">
        <f>HYPERLINK("http://www.twitter.com/WillowClough", "WillowClough")</f>
        <v>WillowClough</v>
      </c>
      <c r="B30132" s="65"/>
    </row>
    <row r="30133" spans="1:2" x14ac:dyDescent="0.25">
      <c r="A30133" s="64" t="str">
        <f>HYPERLINK("http://www.twitter.com/martainngs", "martainngs")</f>
        <v>martainngs</v>
      </c>
      <c r="B30133" s="65" t="s">
        <v>12230</v>
      </c>
    </row>
    <row r="30134" spans="1:2" x14ac:dyDescent="0.25">
      <c r="A30134" s="64" t="str">
        <f>HYPERLINK("http://www.twitter.com/closedbookofme", "closedbookofme")</f>
        <v>closedbookofme</v>
      </c>
      <c r="B30134" s="65" t="s">
        <v>138</v>
      </c>
    </row>
    <row r="30135" spans="1:2" x14ac:dyDescent="0.25">
      <c r="A30135" s="64" t="str">
        <f>HYPERLINK("http://www.twitter.com/TheMovieGavel", "TheMovieGavel")</f>
        <v>TheMovieGavel</v>
      </c>
      <c r="B30135" s="65" t="s">
        <v>12231</v>
      </c>
    </row>
    <row r="30136" spans="1:2" x14ac:dyDescent="0.25">
      <c r="A30136" s="64" t="str">
        <f>HYPERLINK("http://www.twitter.com/JuleeHenderson", "JuleeHenderson")</f>
        <v>JuleeHenderson</v>
      </c>
      <c r="B30136" s="65"/>
    </row>
    <row r="30137" spans="1:2" x14ac:dyDescent="0.25">
      <c r="A30137" s="64" t="str">
        <f>HYPERLINK("http://www.twitter.com/TantePllwp", "TantePllwp")</f>
        <v>TantePllwp</v>
      </c>
      <c r="B30137" s="65" t="s">
        <v>12232</v>
      </c>
    </row>
    <row r="30138" spans="1:2" x14ac:dyDescent="0.25">
      <c r="A30138" s="64" t="str">
        <f>HYPERLINK("http://www.twitter.com/EArbiolSculptor", "EArbiolSculptor")</f>
        <v>EArbiolSculptor</v>
      </c>
      <c r="B30138" s="65" t="s">
        <v>12233</v>
      </c>
    </row>
    <row r="30139" spans="1:2" x14ac:dyDescent="0.25">
      <c r="A30139" s="64" t="str">
        <f>HYPERLINK("http://www.twitter.com/WillemBod", "WillemBod")</f>
        <v>WillemBod</v>
      </c>
      <c r="B30139" s="65" t="s">
        <v>2583</v>
      </c>
    </row>
    <row r="30140" spans="1:2" x14ac:dyDescent="0.25">
      <c r="A30140" s="64" t="str">
        <f>HYPERLINK("http://www.twitter.com/daisyfolkybird", "daisyfolkybird")</f>
        <v>daisyfolkybird</v>
      </c>
      <c r="B30140" s="65"/>
    </row>
    <row r="30141" spans="1:2" x14ac:dyDescent="0.25">
      <c r="A30141" s="64" t="str">
        <f>HYPERLINK("http://www.twitter.com/lloydyes", "lloydyes")</f>
        <v>lloydyes</v>
      </c>
      <c r="B30141" s="65"/>
    </row>
    <row r="30142" spans="1:2" x14ac:dyDescent="0.25">
      <c r="A30142" s="64" t="str">
        <f>HYPERLINK("http://www.twitter.com/izzi_incolour", "izzi_incolour")</f>
        <v>izzi_incolour</v>
      </c>
      <c r="B30142" s="65"/>
    </row>
    <row r="30143" spans="1:2" x14ac:dyDescent="0.25">
      <c r="A30143" s="64" t="str">
        <f>HYPERLINK("http://www.twitter.com/Katea84", "Katea84")</f>
        <v>Katea84</v>
      </c>
      <c r="B30143" s="65"/>
    </row>
    <row r="30144" spans="1:2" x14ac:dyDescent="0.25">
      <c r="A30144" s="64" t="str">
        <f>HYPERLINK("http://www.twitter.com/PerthStudents", "PerthStudents")</f>
        <v>PerthStudents</v>
      </c>
      <c r="B30144" s="65" t="s">
        <v>12234</v>
      </c>
    </row>
    <row r="30145" spans="1:2" x14ac:dyDescent="0.25">
      <c r="A30145" s="64" t="str">
        <f>HYPERLINK("http://www.twitter.com/Jacs963", "Jacs963")</f>
        <v>Jacs963</v>
      </c>
      <c r="B30145" s="65" t="s">
        <v>11990</v>
      </c>
    </row>
    <row r="30146" spans="1:2" x14ac:dyDescent="0.25">
      <c r="A30146" s="64" t="str">
        <f>HYPERLINK("http://www.twitter.com/seanjamescooper", "seanjamescooper")</f>
        <v>seanjamescooper</v>
      </c>
      <c r="B30146" s="65"/>
    </row>
    <row r="30147" spans="1:2" x14ac:dyDescent="0.25">
      <c r="A30147" s="64" t="str">
        <f>HYPERLINK("http://www.twitter.com/KytCalot", "KytCalot")</f>
        <v>KytCalot</v>
      </c>
      <c r="B30147" s="65" t="s">
        <v>12235</v>
      </c>
    </row>
    <row r="30148" spans="1:2" x14ac:dyDescent="0.25">
      <c r="A30148" s="64" t="str">
        <f>HYPERLINK("http://www.twitter.com/JudithJesch", "JudithJesch")</f>
        <v>JudithJesch</v>
      </c>
      <c r="B30148" s="65" t="s">
        <v>526</v>
      </c>
    </row>
    <row r="30149" spans="1:2" x14ac:dyDescent="0.25">
      <c r="A30149" s="64" t="str">
        <f>HYPERLINK("http://www.twitter.com/msarahwickham", "msarahwickham")</f>
        <v>msarahwickham</v>
      </c>
      <c r="B30149" s="65" t="s">
        <v>6307</v>
      </c>
    </row>
    <row r="30150" spans="1:2" x14ac:dyDescent="0.25">
      <c r="A30150" s="64" t="str">
        <f>HYPERLINK("http://www.twitter.com/ChromaticEye", "ChromaticEye")</f>
        <v>ChromaticEye</v>
      </c>
      <c r="B30150" s="65" t="s">
        <v>318</v>
      </c>
    </row>
    <row r="30151" spans="1:2" x14ac:dyDescent="0.25">
      <c r="A30151" s="64" t="str">
        <f>HYPERLINK("http://www.twitter.com/clarerobbo", "clarerobbo")</f>
        <v>clarerobbo</v>
      </c>
      <c r="B30151" s="65" t="s">
        <v>12236</v>
      </c>
    </row>
    <row r="30152" spans="1:2" x14ac:dyDescent="0.25">
      <c r="A30152" s="64" t="str">
        <f>HYPERLINK("http://www.twitter.com/GreenPerk", "GreenPerk")</f>
        <v>GreenPerk</v>
      </c>
      <c r="B30152" s="65" t="s">
        <v>12237</v>
      </c>
    </row>
    <row r="30153" spans="1:2" x14ac:dyDescent="0.25">
      <c r="A30153" s="64" t="str">
        <f>HYPERLINK("http://www.twitter.com/ElizaCorlett", "ElizaCorlett")</f>
        <v>ElizaCorlett</v>
      </c>
      <c r="B30153" s="65" t="s">
        <v>12238</v>
      </c>
    </row>
    <row r="30154" spans="1:2" x14ac:dyDescent="0.25">
      <c r="A30154" s="64" t="str">
        <f>HYPERLINK("http://www.twitter.com/karenbowdler", "karenbowdler")</f>
        <v>karenbowdler</v>
      </c>
      <c r="B30154" s="65"/>
    </row>
    <row r="30155" spans="1:2" x14ac:dyDescent="0.25">
      <c r="A30155" s="64" t="str">
        <f>HYPERLINK("http://www.twitter.com/DiamondBurkey", "DiamondBurkey")</f>
        <v>DiamondBurkey</v>
      </c>
      <c r="B30155" s="65" t="s">
        <v>5540</v>
      </c>
    </row>
    <row r="30156" spans="1:2" x14ac:dyDescent="0.25">
      <c r="A30156" s="64" t="str">
        <f>HYPERLINK("http://www.twitter.com/RichNeville", "RichNeville")</f>
        <v>RichNeville</v>
      </c>
      <c r="B30156" s="65" t="s">
        <v>12239</v>
      </c>
    </row>
    <row r="30157" spans="1:2" x14ac:dyDescent="0.25">
      <c r="A30157" s="64" t="str">
        <f>HYPERLINK("http://www.twitter.com/TerryPancakes", "TerryPancakes")</f>
        <v>TerryPancakes</v>
      </c>
      <c r="B30157" s="65" t="s">
        <v>12240</v>
      </c>
    </row>
    <row r="30158" spans="1:2" x14ac:dyDescent="0.25">
      <c r="A30158" s="64" t="str">
        <f>HYPERLINK("http://www.twitter.com/joel80_sa", "joel80_sa")</f>
        <v>joel80_sa</v>
      </c>
      <c r="B30158" s="65"/>
    </row>
    <row r="30159" spans="1:2" x14ac:dyDescent="0.25">
      <c r="A30159" s="64" t="str">
        <f>HYPERLINK("http://www.twitter.com/Simonjenkin", "Simonjenkin")</f>
        <v>Simonjenkin</v>
      </c>
      <c r="B30159" s="65" t="s">
        <v>33</v>
      </c>
    </row>
    <row r="30160" spans="1:2" x14ac:dyDescent="0.25">
      <c r="A30160" s="64" t="str">
        <f>HYPERLINK("http://www.twitter.com/newtjedi", "newtjedi")</f>
        <v>newtjedi</v>
      </c>
      <c r="B30160" s="65"/>
    </row>
    <row r="30161" spans="1:2" x14ac:dyDescent="0.25">
      <c r="A30161" s="64" t="str">
        <f>HYPERLINK("http://www.twitter.com/Resus_gopher", "Resus_gopher")</f>
        <v>Resus_gopher</v>
      </c>
      <c r="B30161" s="65" t="s">
        <v>12241</v>
      </c>
    </row>
    <row r="30162" spans="1:2" x14ac:dyDescent="0.25">
      <c r="A30162" s="64" t="str">
        <f>HYPERLINK("http://www.twitter.com/jaythorpe", "jaythorpe")</f>
        <v>jaythorpe</v>
      </c>
      <c r="B30162" s="65" t="s">
        <v>36</v>
      </c>
    </row>
    <row r="30163" spans="1:2" x14ac:dyDescent="0.25">
      <c r="A30163" s="64" t="str">
        <f>HYPERLINK("http://www.twitter.com/AmyBellWorfell", "AmyBellWorfell")</f>
        <v>AmyBellWorfell</v>
      </c>
      <c r="B30163" s="65" t="s">
        <v>12242</v>
      </c>
    </row>
    <row r="30164" spans="1:2" x14ac:dyDescent="0.25">
      <c r="A30164" s="64" t="str">
        <f>HYPERLINK("http://www.twitter.com/Weekwifie", "Weekwifie")</f>
        <v>Weekwifie</v>
      </c>
      <c r="B30164" s="65" t="s">
        <v>517</v>
      </c>
    </row>
    <row r="30165" spans="1:2" x14ac:dyDescent="0.25">
      <c r="A30165" s="64" t="str">
        <f>HYPERLINK("http://www.twitter.com/WriterSean", "WriterSean")</f>
        <v>WriterSean</v>
      </c>
      <c r="B30165" s="65"/>
    </row>
    <row r="30166" spans="1:2" x14ac:dyDescent="0.25">
      <c r="A30166" s="64" t="str">
        <f>HYPERLINK("http://www.twitter.com/edinburghslogan", "edinburghslogan")</f>
        <v>edinburghslogan</v>
      </c>
      <c r="B30166" s="65" t="s">
        <v>517</v>
      </c>
    </row>
    <row r="30167" spans="1:2" x14ac:dyDescent="0.25">
      <c r="A30167" s="64" t="str">
        <f>HYPERLINK("http://www.twitter.com/celtickeg", "celtickeg")</f>
        <v>celtickeg</v>
      </c>
      <c r="B30167" s="65" t="s">
        <v>4436</v>
      </c>
    </row>
    <row r="30168" spans="1:2" x14ac:dyDescent="0.25">
      <c r="A30168" s="64" t="str">
        <f>HYPERLINK("http://www.twitter.com/BrewoodSingerss", "BrewoodSingerss")</f>
        <v>BrewoodSingerss</v>
      </c>
      <c r="B30168" s="65" t="s">
        <v>12243</v>
      </c>
    </row>
    <row r="30169" spans="1:2" x14ac:dyDescent="0.25">
      <c r="A30169" s="64" t="str">
        <f>HYPERLINK("http://www.twitter.com/alisonrice", "alisonrice")</f>
        <v>alisonrice</v>
      </c>
      <c r="B30169" s="65" t="s">
        <v>12244</v>
      </c>
    </row>
    <row r="30170" spans="1:2" x14ac:dyDescent="0.25">
      <c r="A30170" s="64" t="str">
        <f>HYPERLINK("http://www.twitter.com/SPennH", "SPennH")</f>
        <v>SPennH</v>
      </c>
      <c r="B30170" s="65"/>
    </row>
    <row r="30171" spans="1:2" x14ac:dyDescent="0.25">
      <c r="A30171" s="64" t="str">
        <f>HYPERLINK("http://www.twitter.com/hodderchildrens", "hodderchildrens")</f>
        <v>hodderchildrens</v>
      </c>
      <c r="B30171" s="65" t="s">
        <v>70</v>
      </c>
    </row>
    <row r="30172" spans="1:2" x14ac:dyDescent="0.25">
      <c r="A30172" s="64" t="str">
        <f>HYPERLINK("http://www.twitter.com/ginistheanswer", "ginistheanswer")</f>
        <v>ginistheanswer</v>
      </c>
      <c r="B30172" s="65" t="s">
        <v>102</v>
      </c>
    </row>
    <row r="30173" spans="1:2" x14ac:dyDescent="0.25">
      <c r="A30173" s="64" t="str">
        <f>HYPERLINK("http://www.twitter.com/StaceyT89", "StaceyT89")</f>
        <v>StaceyT89</v>
      </c>
      <c r="B30173" s="65" t="s">
        <v>5667</v>
      </c>
    </row>
    <row r="30174" spans="1:2" x14ac:dyDescent="0.25">
      <c r="A30174" s="64" t="str">
        <f>HYPERLINK("http://www.twitter.com/Classychick31", "Classychick31")</f>
        <v>Classychick31</v>
      </c>
      <c r="B30174" s="65"/>
    </row>
    <row r="30175" spans="1:2" x14ac:dyDescent="0.25">
      <c r="A30175" s="64" t="str">
        <f>HYPERLINK("http://www.twitter.com/MegWestbury", "MegWestbury")</f>
        <v>MegWestbury</v>
      </c>
      <c r="B30175" s="65" t="s">
        <v>61</v>
      </c>
    </row>
    <row r="30176" spans="1:2" x14ac:dyDescent="0.25">
      <c r="A30176" s="64" t="str">
        <f>HYPERLINK("http://www.twitter.com/cathstertwit", "cathstertwit")</f>
        <v>cathstertwit</v>
      </c>
      <c r="B30176" s="65" t="s">
        <v>4254</v>
      </c>
    </row>
    <row r="30177" spans="1:2" x14ac:dyDescent="0.25">
      <c r="A30177" s="64" t="str">
        <f>HYPERLINK("http://www.twitter.com/lmgskol", "lmgskol")</f>
        <v>lmgskol</v>
      </c>
      <c r="B30177" s="65"/>
    </row>
    <row r="30178" spans="1:2" x14ac:dyDescent="0.25">
      <c r="A30178" s="64" t="str">
        <f>HYPERLINK("http://www.twitter.com/HawkfallX", "HawkfallX")</f>
        <v>HawkfallX</v>
      </c>
      <c r="B30178" s="65" t="s">
        <v>7479</v>
      </c>
    </row>
    <row r="30179" spans="1:2" x14ac:dyDescent="0.25">
      <c r="A30179" s="64" t="str">
        <f>HYPERLINK("http://www.twitter.com/TrevMcconnachie", "TrevMcconnachie")</f>
        <v>TrevMcconnachie</v>
      </c>
      <c r="B30179" s="65" t="s">
        <v>4403</v>
      </c>
    </row>
    <row r="30180" spans="1:2" x14ac:dyDescent="0.25">
      <c r="A30180" s="64" t="str">
        <f>HYPERLINK("http://www.twitter.com/RAFlett", "RAFlett")</f>
        <v>RAFlett</v>
      </c>
      <c r="B30180" s="65" t="s">
        <v>20</v>
      </c>
    </row>
    <row r="30181" spans="1:2" x14ac:dyDescent="0.25">
      <c r="A30181" s="64" t="str">
        <f>HYPERLINK("http://www.twitter.com/fionacporter", "fionacporter")</f>
        <v>fionacporter</v>
      </c>
      <c r="B30181" s="65" t="s">
        <v>12245</v>
      </c>
    </row>
    <row r="30182" spans="1:2" x14ac:dyDescent="0.25">
      <c r="A30182" s="64" t="str">
        <f>HYPERLINK("http://www.twitter.com/ArtySarahAnn", "ArtySarahAnn")</f>
        <v>ArtySarahAnn</v>
      </c>
      <c r="B30182" s="65"/>
    </row>
    <row r="30183" spans="1:2" x14ac:dyDescent="0.25">
      <c r="A30183" s="64" t="str">
        <f>HYPERLINK("http://www.twitter.com/lizzers225", "lizzers225")</f>
        <v>lizzers225</v>
      </c>
      <c r="B30183" s="65"/>
    </row>
    <row r="30184" spans="1:2" x14ac:dyDescent="0.25">
      <c r="A30184" s="64" t="str">
        <f>HYPERLINK("http://www.twitter.com/Sheena_Milne", "Sheena_Milne")</f>
        <v>Sheena_Milne</v>
      </c>
      <c r="B30184" s="65" t="s">
        <v>4324</v>
      </c>
    </row>
    <row r="30185" spans="1:2" x14ac:dyDescent="0.25">
      <c r="A30185" s="64" t="str">
        <f>HYPERLINK("http://www.twitter.com/Geoff_Purnell", "Geoff_Purnell")</f>
        <v>Geoff_Purnell</v>
      </c>
      <c r="B30185" s="65" t="s">
        <v>12246</v>
      </c>
    </row>
    <row r="30186" spans="1:2" x14ac:dyDescent="0.25">
      <c r="A30186" s="64" t="str">
        <f>HYPERLINK("http://www.twitter.com/smookthemoose", "smookthemoose")</f>
        <v>smookthemoose</v>
      </c>
      <c r="B30186" s="65"/>
    </row>
    <row r="30187" spans="1:2" x14ac:dyDescent="0.25">
      <c r="A30187" s="64" t="str">
        <f>HYPERLINK("http://www.twitter.com/mac_perryman", "mac_perryman")</f>
        <v>mac_perryman</v>
      </c>
      <c r="B30187" s="65" t="s">
        <v>3483</v>
      </c>
    </row>
    <row r="30188" spans="1:2" x14ac:dyDescent="0.25">
      <c r="A30188" s="64" t="str">
        <f>HYPERLINK("http://www.twitter.com/BlakeBacklash", "BlakeBacklash")</f>
        <v>BlakeBacklash</v>
      </c>
      <c r="B30188" s="65" t="s">
        <v>138</v>
      </c>
    </row>
    <row r="30189" spans="1:2" x14ac:dyDescent="0.25">
      <c r="A30189" s="64" t="str">
        <f>HYPERLINK("http://www.twitter.com/macmarsha", "macmarsha")</f>
        <v>macmarsha</v>
      </c>
      <c r="B30189" s="65" t="s">
        <v>138</v>
      </c>
    </row>
    <row r="30190" spans="1:2" x14ac:dyDescent="0.25">
      <c r="A30190" s="64" t="str">
        <f>HYPERLINK("http://www.twitter.com/SpaTrek1", "SpaTrek1")</f>
        <v>SpaTrek1</v>
      </c>
      <c r="B30190" s="65"/>
    </row>
    <row r="30191" spans="1:2" x14ac:dyDescent="0.25">
      <c r="A30191" s="64" t="str">
        <f>HYPERLINK("http://www.twitter.com/shinywilson1", "shinywilson1")</f>
        <v>shinywilson1</v>
      </c>
      <c r="B30191" s="65"/>
    </row>
    <row r="30192" spans="1:2" x14ac:dyDescent="0.25">
      <c r="A30192" s="64" t="str">
        <f>HYPERLINK("http://www.twitter.com/MWheelaghan", "MWheelaghan")</f>
        <v>MWheelaghan</v>
      </c>
      <c r="B30192" s="65" t="s">
        <v>12247</v>
      </c>
    </row>
    <row r="30193" spans="1:2" x14ac:dyDescent="0.25">
      <c r="A30193" s="64" t="str">
        <f>HYPERLINK("http://www.twitter.com/ACBYA", "ACBYA")</f>
        <v>ACBYA</v>
      </c>
      <c r="B30193" s="65" t="s">
        <v>36</v>
      </c>
    </row>
    <row r="30194" spans="1:2" x14ac:dyDescent="0.25">
      <c r="A30194" s="64" t="str">
        <f>HYPERLINK("http://www.twitter.com/sinkieorkney", "sinkieorkney")</f>
        <v>sinkieorkney</v>
      </c>
      <c r="B30194" s="65"/>
    </row>
    <row r="30195" spans="1:2" x14ac:dyDescent="0.25">
      <c r="A30195" s="64" t="str">
        <f>HYPERLINK("http://www.twitter.com/CaithnessCraft", "CaithnessCraft")</f>
        <v>CaithnessCraft</v>
      </c>
      <c r="B30195" s="65" t="s">
        <v>12248</v>
      </c>
    </row>
    <row r="30196" spans="1:2" x14ac:dyDescent="0.25">
      <c r="A30196" s="64" t="str">
        <f>HYPERLINK("http://www.twitter.com/iainduff", "iainduff")</f>
        <v>iainduff</v>
      </c>
      <c r="B30196" s="65" t="s">
        <v>12249</v>
      </c>
    </row>
    <row r="30197" spans="1:2" x14ac:dyDescent="0.25">
      <c r="A30197" s="64" t="str">
        <f>HYPERLINK("http://www.twitter.com/nickhanlon", "nickhanlon")</f>
        <v>nickhanlon</v>
      </c>
      <c r="B30197" s="65" t="s">
        <v>12250</v>
      </c>
    </row>
    <row r="30198" spans="1:2" x14ac:dyDescent="0.25">
      <c r="A30198" s="64" t="str">
        <f>HYPERLINK("http://www.twitter.com/marksbyers", "marksbyers")</f>
        <v>marksbyers</v>
      </c>
      <c r="B30198" s="65" t="s">
        <v>12251</v>
      </c>
    </row>
    <row r="30199" spans="1:2" x14ac:dyDescent="0.25">
      <c r="A30199" s="64" t="str">
        <f>HYPERLINK("http://www.twitter.com/katmdavies", "katmdavies")</f>
        <v>katmdavies</v>
      </c>
      <c r="B30199" s="65"/>
    </row>
    <row r="30200" spans="1:2" x14ac:dyDescent="0.25">
      <c r="A30200" s="64" t="str">
        <f>HYPERLINK("http://www.twitter.com/libmichelle", "libmichelle")</f>
        <v>libmichelle</v>
      </c>
      <c r="B30200" s="65" t="s">
        <v>296</v>
      </c>
    </row>
    <row r="30201" spans="1:2" x14ac:dyDescent="0.25">
      <c r="A30201" s="64" t="str">
        <f>HYPERLINK("http://www.twitter.com/ABZACCOMM", "ABZACCOMM")</f>
        <v>ABZACCOMM</v>
      </c>
      <c r="B30201" s="65" t="s">
        <v>569</v>
      </c>
    </row>
    <row r="30202" spans="1:2" x14ac:dyDescent="0.25">
      <c r="A30202" s="64" t="str">
        <f>HYPERLINK("http://www.twitter.com/mike_ewen", "mike_ewen")</f>
        <v>mike_ewen</v>
      </c>
      <c r="B30202" s="65" t="s">
        <v>2951</v>
      </c>
    </row>
    <row r="30203" spans="1:2" x14ac:dyDescent="0.25">
      <c r="A30203" s="64" t="str">
        <f>HYPERLINK("http://www.twitter.com/DuncanVarley", "DuncanVarley")</f>
        <v>DuncanVarley</v>
      </c>
      <c r="B30203" s="65"/>
    </row>
    <row r="30204" spans="1:2" x14ac:dyDescent="0.25">
      <c r="A30204" s="64" t="str">
        <f>HYPERLINK("http://www.twitter.com/IslaAitken", "IslaAitken")</f>
        <v>IslaAitken</v>
      </c>
      <c r="B30204" s="65"/>
    </row>
    <row r="30205" spans="1:2" x14ac:dyDescent="0.25">
      <c r="A30205" s="64" t="str">
        <f>HYPERLINK("http://www.twitter.com/JaneEBurnell", "JaneEBurnell")</f>
        <v>JaneEBurnell</v>
      </c>
      <c r="B30205" s="65" t="s">
        <v>717</v>
      </c>
    </row>
    <row r="30206" spans="1:2" x14ac:dyDescent="0.25">
      <c r="A30206" s="64" t="str">
        <f>HYPERLINK("http://www.twitter.com/WendyHouse", "WendyHouse")</f>
        <v>WendyHouse</v>
      </c>
      <c r="B30206" s="65" t="s">
        <v>12252</v>
      </c>
    </row>
    <row r="30207" spans="1:2" x14ac:dyDescent="0.25">
      <c r="A30207" s="64" t="str">
        <f>HYPERLINK("http://www.twitter.com/SeguinPL", "SeguinPL")</f>
        <v>SeguinPL</v>
      </c>
      <c r="B30207" s="65" t="s">
        <v>12253</v>
      </c>
    </row>
    <row r="30208" spans="1:2" x14ac:dyDescent="0.25">
      <c r="A30208" s="64" t="str">
        <f>HYPERLINK("http://www.twitter.com/robinbyles", "robinbyles")</f>
        <v>robinbyles</v>
      </c>
      <c r="B30208" s="65" t="s">
        <v>459</v>
      </c>
    </row>
    <row r="30209" spans="1:2" x14ac:dyDescent="0.25">
      <c r="A30209" s="64" t="str">
        <f>HYPERLINK("http://www.twitter.com/cerysfurlong", "cerysfurlong")</f>
        <v>cerysfurlong</v>
      </c>
      <c r="B30209" s="65" t="s">
        <v>1218</v>
      </c>
    </row>
    <row r="30210" spans="1:2" x14ac:dyDescent="0.25">
      <c r="A30210" s="64" t="str">
        <f>HYPERLINK("http://www.twitter.com/rosemouny", "rosemouny")</f>
        <v>rosemouny</v>
      </c>
      <c r="B30210" s="65"/>
    </row>
    <row r="30211" spans="1:2" x14ac:dyDescent="0.25">
      <c r="A30211" s="64" t="str">
        <f>HYPERLINK("http://www.twitter.com/nickcarthew", "nickcarthew")</f>
        <v>nickcarthew</v>
      </c>
      <c r="B30211" s="65" t="s">
        <v>12254</v>
      </c>
    </row>
    <row r="30212" spans="1:2" x14ac:dyDescent="0.25">
      <c r="A30212" s="64" t="str">
        <f>HYPERLINK("http://www.twitter.com/oldcastlerock", "oldcastlerock")</f>
        <v>oldcastlerock</v>
      </c>
      <c r="B30212" s="65" t="s">
        <v>6234</v>
      </c>
    </row>
    <row r="30213" spans="1:2" x14ac:dyDescent="0.25">
      <c r="A30213" s="64" t="str">
        <f>HYPERLINK("http://www.twitter.com/KattiBanns2", "KattiBanns2")</f>
        <v>KattiBanns2</v>
      </c>
      <c r="B30213" s="65"/>
    </row>
    <row r="30214" spans="1:2" x14ac:dyDescent="0.25">
      <c r="A30214" s="64" t="str">
        <f>HYPERLINK("http://www.twitter.com/TrimusDA", "TrimusDA")</f>
        <v>TrimusDA</v>
      </c>
      <c r="B30214" s="65" t="s">
        <v>2216</v>
      </c>
    </row>
    <row r="30215" spans="1:2" x14ac:dyDescent="0.25">
      <c r="A30215" s="64" t="str">
        <f>HYPERLINK("http://www.twitter.com/heavenstobetsie", "heavenstobetsie")</f>
        <v>heavenstobetsie</v>
      </c>
      <c r="B30215" s="65" t="s">
        <v>3773</v>
      </c>
    </row>
    <row r="30216" spans="1:2" x14ac:dyDescent="0.25">
      <c r="A30216" s="64" t="str">
        <f>HYPERLINK("http://www.twitter.com/heattin", "heattin")</f>
        <v>heattin</v>
      </c>
      <c r="B30216" s="65" t="s">
        <v>24</v>
      </c>
    </row>
    <row r="30217" spans="1:2" x14ac:dyDescent="0.25">
      <c r="A30217" s="64" t="str">
        <f>HYPERLINK("http://www.twitter.com/aIqurashi", "aIqurashi")</f>
        <v>aIqurashi</v>
      </c>
      <c r="B30217" s="65" t="s">
        <v>12255</v>
      </c>
    </row>
    <row r="30218" spans="1:2" x14ac:dyDescent="0.25">
      <c r="A30218" s="64" t="str">
        <f>HYPERLINK("http://www.twitter.com/becinmonton", "becinmonton")</f>
        <v>becinmonton</v>
      </c>
      <c r="B30218" s="65" t="s">
        <v>225</v>
      </c>
    </row>
    <row r="30219" spans="1:2" x14ac:dyDescent="0.25">
      <c r="A30219" s="64" t="str">
        <f>HYPERLINK("http://www.twitter.com/swan1967", "swan1967")</f>
        <v>swan1967</v>
      </c>
      <c r="B30219" s="65" t="s">
        <v>12256</v>
      </c>
    </row>
    <row r="30220" spans="1:2" x14ac:dyDescent="0.25">
      <c r="A30220" s="64" t="str">
        <f>HYPERLINK("http://www.twitter.com/Melisandreilidh", "Melisandreilidh")</f>
        <v>Melisandreilidh</v>
      </c>
      <c r="B30220" s="65" t="s">
        <v>12257</v>
      </c>
    </row>
    <row r="30221" spans="1:2" x14ac:dyDescent="0.25">
      <c r="A30221" s="64" t="str">
        <f>HYPERLINK("http://www.twitter.com/lordbonkers", "lordbonkers")</f>
        <v>lordbonkers</v>
      </c>
      <c r="B30221" s="65" t="s">
        <v>12258</v>
      </c>
    </row>
    <row r="30222" spans="1:2" x14ac:dyDescent="0.25">
      <c r="A30222" s="64" t="str">
        <f>HYPERLINK("http://www.twitter.com/SaraThornton1", "SaraThornton1")</f>
        <v>SaraThornton1</v>
      </c>
      <c r="B30222" s="65" t="s">
        <v>12259</v>
      </c>
    </row>
    <row r="30223" spans="1:2" x14ac:dyDescent="0.25">
      <c r="A30223" s="64" t="str">
        <f>HYPERLINK("http://www.twitter.com/MessengerSharon", "MessengerSharon")</f>
        <v>MessengerSharon</v>
      </c>
      <c r="B30223" s="65"/>
    </row>
    <row r="30224" spans="1:2" x14ac:dyDescent="0.25">
      <c r="A30224" s="64" t="str">
        <f>HYPERLINK("http://www.twitter.com/justinewalshe", "justinewalshe")</f>
        <v>justinewalshe</v>
      </c>
      <c r="B30224" s="65" t="s">
        <v>11647</v>
      </c>
    </row>
    <row r="30225" spans="1:2" x14ac:dyDescent="0.25">
      <c r="A30225" s="64" t="str">
        <f>HYPERLINK("http://www.twitter.com/jennypunktbang", "jennypunktbang")</f>
        <v>jennypunktbang</v>
      </c>
      <c r="B30225" s="65" t="s">
        <v>8510</v>
      </c>
    </row>
    <row r="30226" spans="1:2" x14ac:dyDescent="0.25">
      <c r="A30226" s="64" t="str">
        <f>HYPERLINK("http://www.twitter.com/hasitreally", "hasitreally")</f>
        <v>hasitreally</v>
      </c>
      <c r="B30226" s="65"/>
    </row>
    <row r="30227" spans="1:2" x14ac:dyDescent="0.25">
      <c r="A30227" s="64" t="str">
        <f>HYPERLINK("http://www.twitter.com/Teens4Libraries", "Teens4Libraries")</f>
        <v>Teens4Libraries</v>
      </c>
      <c r="B30227" s="65"/>
    </row>
    <row r="30228" spans="1:2" x14ac:dyDescent="0.25">
      <c r="A30228" s="64" t="str">
        <f>HYPERLINK("http://www.twitter.com/Callyfamilies", "Callyfamilies")</f>
        <v>Callyfamilies</v>
      </c>
      <c r="B30228" s="65"/>
    </row>
    <row r="30229" spans="1:2" x14ac:dyDescent="0.25">
      <c r="A30229" s="64" t="str">
        <f>HYPERLINK("http://www.twitter.com/AnneMcRae1", "AnneMcRae1")</f>
        <v>AnneMcRae1</v>
      </c>
      <c r="B30229" s="65"/>
    </row>
    <row r="30230" spans="1:2" x14ac:dyDescent="0.25">
      <c r="A30230" s="64" t="str">
        <f>HYPERLINK("http://www.twitter.com/whotsnew92", "whotsnew92")</f>
        <v>whotsnew92</v>
      </c>
      <c r="B30230" s="65"/>
    </row>
    <row r="30231" spans="1:2" x14ac:dyDescent="0.25">
      <c r="A30231" s="64" t="str">
        <f>HYPERLINK("http://www.twitter.com/librariankag", "librariankag")</f>
        <v>librariankag</v>
      </c>
      <c r="B30231" s="65"/>
    </row>
    <row r="30232" spans="1:2" x14ac:dyDescent="0.25">
      <c r="A30232" s="64" t="str">
        <f>HYPERLINK("http://www.twitter.com/welovetec", "welovetec")</f>
        <v>welovetec</v>
      </c>
      <c r="B30232" s="65" t="s">
        <v>6211</v>
      </c>
    </row>
    <row r="30233" spans="1:2" x14ac:dyDescent="0.25">
      <c r="A30233" s="64" t="str">
        <f>HYPERLINK("http://www.twitter.com/citzsmith", "citzsmith")</f>
        <v>citzsmith</v>
      </c>
      <c r="B30233" s="65" t="s">
        <v>318</v>
      </c>
    </row>
    <row r="30234" spans="1:2" x14ac:dyDescent="0.25">
      <c r="A30234" s="64" t="str">
        <f>HYPERLINK("http://www.twitter.com/ForTheBurds", "ForTheBurds")</f>
        <v>ForTheBurds</v>
      </c>
      <c r="B30234" s="65" t="s">
        <v>12260</v>
      </c>
    </row>
    <row r="30235" spans="1:2" x14ac:dyDescent="0.25">
      <c r="A30235" s="64" t="str">
        <f>HYPERLINK("http://www.twitter.com/marjoryno3", "marjoryno3")</f>
        <v>marjoryno3</v>
      </c>
      <c r="B30235" s="65" t="s">
        <v>12261</v>
      </c>
    </row>
    <row r="30236" spans="1:2" x14ac:dyDescent="0.25">
      <c r="A30236" s="64" t="str">
        <f>HYPERLINK("http://www.twitter.com/Queen_Ghost", "Queen_Ghost")</f>
        <v>Queen_Ghost</v>
      </c>
      <c r="B30236" s="65" t="s">
        <v>12262</v>
      </c>
    </row>
    <row r="30237" spans="1:2" x14ac:dyDescent="0.25">
      <c r="A30237" s="64" t="str">
        <f>HYPERLINK("http://www.twitter.com/50ShadesOGreen", "50ShadesOGreen")</f>
        <v>50ShadesOGreen</v>
      </c>
      <c r="B30237" s="65" t="s">
        <v>12263</v>
      </c>
    </row>
    <row r="30238" spans="1:2" x14ac:dyDescent="0.25">
      <c r="A30238" s="64" t="str">
        <f>HYPERLINK("http://www.twitter.com/UWTSDRBLA", "UWTSDRBLA")</f>
        <v>UWTSDRBLA</v>
      </c>
      <c r="B30238" s="65"/>
    </row>
    <row r="30239" spans="1:2" x14ac:dyDescent="0.25">
      <c r="A30239" s="64" t="str">
        <f>HYPERLINK("http://www.twitter.com/HorizonsThurso", "HorizonsThurso")</f>
        <v>HorizonsThurso</v>
      </c>
      <c r="B30239" s="65" t="s">
        <v>5149</v>
      </c>
    </row>
    <row r="30240" spans="1:2" x14ac:dyDescent="0.25">
      <c r="A30240" s="64" t="str">
        <f>HYPERLINK("http://www.twitter.com/JudylouWheeler", "JudylouWheeler")</f>
        <v>JudylouWheeler</v>
      </c>
      <c r="B30240" s="65" t="s">
        <v>517</v>
      </c>
    </row>
    <row r="30241" spans="1:2" x14ac:dyDescent="0.25">
      <c r="A30241" s="64" t="str">
        <f>HYPERLINK("http://www.twitter.com/Yarn_B_Orkney", "Yarn_B_Orkney")</f>
        <v>Yarn_B_Orkney</v>
      </c>
      <c r="B30241" s="65"/>
    </row>
    <row r="30242" spans="1:2" x14ac:dyDescent="0.25">
      <c r="A30242" s="64" t="str">
        <f>HYPERLINK("http://www.twitter.com/Barum_Athena", "Barum_Athena")</f>
        <v>Barum_Athena</v>
      </c>
      <c r="B30242" s="65" t="s">
        <v>6886</v>
      </c>
    </row>
    <row r="30243" spans="1:2" x14ac:dyDescent="0.25">
      <c r="A30243" s="64" t="str">
        <f>HYPERLINK("http://www.twitter.com/katickles", "katickles")</f>
        <v>katickles</v>
      </c>
      <c r="B30243" s="65" t="s">
        <v>12264</v>
      </c>
    </row>
    <row r="30244" spans="1:2" x14ac:dyDescent="0.25">
      <c r="A30244" s="64" t="str">
        <f>HYPERLINK("http://www.twitter.com/TheIronRoom", "TheIronRoom")</f>
        <v>TheIronRoom</v>
      </c>
      <c r="B30244" s="65" t="s">
        <v>310</v>
      </c>
    </row>
    <row r="30245" spans="1:2" x14ac:dyDescent="0.25">
      <c r="A30245" s="64" t="str">
        <f>HYPERLINK("http://www.twitter.com/littlelady65", "littlelady65")</f>
        <v>littlelady65</v>
      </c>
      <c r="B30245" s="65" t="s">
        <v>9355</v>
      </c>
    </row>
    <row r="30246" spans="1:2" x14ac:dyDescent="0.25">
      <c r="A30246" s="64" t="str">
        <f>HYPERLINK("http://www.twitter.com/mr_jason_rose", "mr_jason_rose")</f>
        <v>mr_jason_rose</v>
      </c>
      <c r="B30246" s="65" t="s">
        <v>12265</v>
      </c>
    </row>
    <row r="30247" spans="1:2" x14ac:dyDescent="0.25">
      <c r="A30247" s="64" t="str">
        <f>HYPERLINK("http://www.twitter.com/liz_j_mac", "liz_j_mac")</f>
        <v>liz_j_mac</v>
      </c>
      <c r="B30247" s="65" t="s">
        <v>517</v>
      </c>
    </row>
    <row r="30248" spans="1:2" x14ac:dyDescent="0.25">
      <c r="A30248" s="64" t="str">
        <f>HYPERLINK("http://www.twitter.com/ArthurFroggett", "ArthurFroggett")</f>
        <v>ArthurFroggett</v>
      </c>
      <c r="B30248" s="65" t="s">
        <v>12266</v>
      </c>
    </row>
    <row r="30249" spans="1:2" x14ac:dyDescent="0.25">
      <c r="A30249" s="64" t="str">
        <f>HYPERLINK("http://www.twitter.com/comms2point0", "comms2point0")</f>
        <v>comms2point0</v>
      </c>
      <c r="B30249" s="65" t="s">
        <v>70</v>
      </c>
    </row>
    <row r="30250" spans="1:2" x14ac:dyDescent="0.25">
      <c r="A30250" s="64" t="str">
        <f>HYPERLINK("http://www.twitter.com/texasgrandmom", "texasgrandmom")</f>
        <v>texasgrandmom</v>
      </c>
      <c r="B30250" s="65" t="s">
        <v>12267</v>
      </c>
    </row>
    <row r="30251" spans="1:2" x14ac:dyDescent="0.25">
      <c r="A30251" s="64" t="str">
        <f>HYPERLINK("http://www.twitter.com/miriam_burke", "miriam_burke")</f>
        <v>miriam_burke</v>
      </c>
      <c r="B30251" s="65" t="s">
        <v>36</v>
      </c>
    </row>
    <row r="30252" spans="1:2" x14ac:dyDescent="0.25">
      <c r="A30252" s="64" t="str">
        <f>HYPERLINK("http://www.twitter.com/Sjess31", "Sjess31")</f>
        <v>Sjess31</v>
      </c>
      <c r="B30252" s="65" t="s">
        <v>4519</v>
      </c>
    </row>
    <row r="30253" spans="1:2" x14ac:dyDescent="0.25">
      <c r="A30253" s="64" t="str">
        <f>HYPERLINK("http://www.twitter.com/lisamariemuir22", "lisamariemuir22")</f>
        <v>lisamariemuir22</v>
      </c>
      <c r="B30253" s="65" t="s">
        <v>5104</v>
      </c>
    </row>
    <row r="30254" spans="1:2" x14ac:dyDescent="0.25">
      <c r="A30254" s="64" t="str">
        <f>HYPERLINK("http://www.twitter.com/Veronica_Wells", "Veronica_Wells")</f>
        <v>Veronica_Wells</v>
      </c>
      <c r="B30254" s="65"/>
    </row>
    <row r="30255" spans="1:2" x14ac:dyDescent="0.25">
      <c r="A30255" s="64" t="str">
        <f>HYPERLINK("http://www.twitter.com/duchesspoopoo", "duchesspoopoo")</f>
        <v>duchesspoopoo</v>
      </c>
      <c r="B30255" s="65"/>
    </row>
    <row r="30256" spans="1:2" x14ac:dyDescent="0.25">
      <c r="A30256" s="64" t="str">
        <f>HYPERLINK("http://www.twitter.com/DarylHaldane", "DarylHaldane")</f>
        <v>DarylHaldane</v>
      </c>
      <c r="B30256" s="65"/>
    </row>
    <row r="30257" spans="1:2" x14ac:dyDescent="0.25">
      <c r="A30257" s="64" t="str">
        <f>HYPERLINK("http://www.twitter.com/AmongstTheFells", "AmongstTheFells")</f>
        <v>AmongstTheFells</v>
      </c>
      <c r="B30257" s="65" t="s">
        <v>12268</v>
      </c>
    </row>
    <row r="30258" spans="1:2" x14ac:dyDescent="0.25">
      <c r="A30258" s="64" t="str">
        <f>HYPERLINK("http://www.twitter.com/bobbiec1", "bobbiec1")</f>
        <v>bobbiec1</v>
      </c>
      <c r="B30258" s="65"/>
    </row>
    <row r="30259" spans="1:2" x14ac:dyDescent="0.25">
      <c r="A30259" s="64" t="str">
        <f>HYPERLINK("http://www.twitter.com/HKD99", "HKD99")</f>
        <v>HKD99</v>
      </c>
      <c r="B30259" s="65"/>
    </row>
    <row r="30260" spans="1:2" x14ac:dyDescent="0.25">
      <c r="A30260" s="64" t="str">
        <f>HYPERLINK("http://www.twitter.com/GavTaylor", "GavTaylor")</f>
        <v>GavTaylor</v>
      </c>
      <c r="B30260" s="65" t="s">
        <v>36</v>
      </c>
    </row>
    <row r="30261" spans="1:2" x14ac:dyDescent="0.25">
      <c r="A30261" s="64" t="str">
        <f>HYPERLINK("http://www.twitter.com/dave1lloyd", "dave1lloyd")</f>
        <v>dave1lloyd</v>
      </c>
      <c r="B30261" s="65" t="s">
        <v>9896</v>
      </c>
    </row>
    <row r="30262" spans="1:2" x14ac:dyDescent="0.25">
      <c r="A30262" s="64" t="str">
        <f>HYPERLINK("http://www.twitter.com/kate_beer", "kate_beer")</f>
        <v>kate_beer</v>
      </c>
      <c r="B30262" s="65"/>
    </row>
    <row r="30263" spans="1:2" x14ac:dyDescent="0.25">
      <c r="A30263" s="64" t="str">
        <f>HYPERLINK("http://www.twitter.com/Chrislake2001", "Chrislake2001")</f>
        <v>Chrislake2001</v>
      </c>
      <c r="B30263" s="65"/>
    </row>
    <row r="30264" spans="1:2" x14ac:dyDescent="0.25">
      <c r="A30264" s="64" t="str">
        <f>HYPERLINK("http://www.twitter.com/SarahGarbacz", "SarahGarbacz")</f>
        <v>SarahGarbacz</v>
      </c>
      <c r="B30264" s="65" t="s">
        <v>12269</v>
      </c>
    </row>
    <row r="30265" spans="1:2" x14ac:dyDescent="0.25">
      <c r="A30265" s="64" t="str">
        <f>HYPERLINK("http://www.twitter.com/Basha8000", "Basha8000")</f>
        <v>Basha8000</v>
      </c>
      <c r="B30265" s="65"/>
    </row>
    <row r="30266" spans="1:2" x14ac:dyDescent="0.25">
      <c r="A30266" s="64" t="str">
        <f>HYPERLINK("http://www.twitter.com/jill_boland", "jill_boland")</f>
        <v>jill_boland</v>
      </c>
      <c r="B30266" s="65"/>
    </row>
    <row r="30267" spans="1:2" x14ac:dyDescent="0.25">
      <c r="A30267" s="64" t="str">
        <f>HYPERLINK("http://www.twitter.com/Cerysthepup", "Cerysthepup")</f>
        <v>Cerysthepup</v>
      </c>
      <c r="B30267" s="65"/>
    </row>
    <row r="30268" spans="1:2" x14ac:dyDescent="0.25">
      <c r="A30268" s="64" t="str">
        <f>HYPERLINK("http://www.twitter.com/jeemielowrie", "jeemielowrie")</f>
        <v>jeemielowrie</v>
      </c>
      <c r="B30268" s="65" t="s">
        <v>4519</v>
      </c>
    </row>
    <row r="30269" spans="1:2" x14ac:dyDescent="0.25">
      <c r="A30269" s="64" t="str">
        <f>HYPERLINK("http://www.twitter.com/goodlass", "goodlass")</f>
        <v>goodlass</v>
      </c>
      <c r="B30269" s="65"/>
    </row>
    <row r="30270" spans="1:2" x14ac:dyDescent="0.25">
      <c r="A30270" s="64" t="str">
        <f>HYPERLINK("http://www.twitter.com/TalkingDogGenre", "TalkingDogGenre")</f>
        <v>TalkingDogGenre</v>
      </c>
      <c r="B30270" s="65" t="s">
        <v>12270</v>
      </c>
    </row>
    <row r="30271" spans="1:2" x14ac:dyDescent="0.25">
      <c r="A30271" s="64" t="str">
        <f>HYPERLINK("http://www.twitter.com/VociAvignonOff", "VociAvignonOff")</f>
        <v>VociAvignonOff</v>
      </c>
      <c r="B30271" s="65"/>
    </row>
    <row r="30272" spans="1:2" x14ac:dyDescent="0.25">
      <c r="A30272" s="64" t="str">
        <f>HYPERLINK("http://www.twitter.com/theworldofhilly", "theworldofhilly")</f>
        <v>theworldofhilly</v>
      </c>
      <c r="B30272" s="65" t="s">
        <v>12271</v>
      </c>
    </row>
    <row r="30273" spans="1:2" x14ac:dyDescent="0.25">
      <c r="A30273" s="64" t="str">
        <f>HYPERLINK("http://www.twitter.com/NorthTyneLibs", "NorthTyneLibs")</f>
        <v>NorthTyneLibs</v>
      </c>
      <c r="B30273" s="65" t="s">
        <v>462</v>
      </c>
    </row>
    <row r="30274" spans="1:2" x14ac:dyDescent="0.25">
      <c r="A30274" s="64" t="str">
        <f>HYPERLINK("http://www.twitter.com/RichardAArnold", "RichardAArnold")</f>
        <v>RichardAArnold</v>
      </c>
      <c r="B30274" s="65" t="s">
        <v>36</v>
      </c>
    </row>
    <row r="30275" spans="1:2" x14ac:dyDescent="0.25">
      <c r="A30275" s="64" t="str">
        <f>HYPERLINK("http://www.twitter.com/reesy50", "reesy50")</f>
        <v>reesy50</v>
      </c>
      <c r="B30275" s="65"/>
    </row>
    <row r="30276" spans="1:2" x14ac:dyDescent="0.25">
      <c r="A30276" s="64" t="str">
        <f>HYPERLINK("http://www.twitter.com/lordlanky", "lordlanky")</f>
        <v>lordlanky</v>
      </c>
      <c r="B30276" s="65" t="s">
        <v>12272</v>
      </c>
    </row>
    <row r="30277" spans="1:2" x14ac:dyDescent="0.25">
      <c r="A30277" s="64" t="str">
        <f>HYPERLINK("http://www.twitter.com/steviestep77", "steviestep77")</f>
        <v>steviestep77</v>
      </c>
      <c r="B30277" s="65" t="s">
        <v>12273</v>
      </c>
    </row>
    <row r="30278" spans="1:2" x14ac:dyDescent="0.25">
      <c r="A30278" s="64" t="str">
        <f>HYPERLINK("http://www.twitter.com/druleslie", "druleslie")</f>
        <v>druleslie</v>
      </c>
      <c r="B30278" s="65" t="s">
        <v>6022</v>
      </c>
    </row>
    <row r="30279" spans="1:2" x14ac:dyDescent="0.25">
      <c r="A30279" s="64" t="str">
        <f>HYPERLINK("http://www.twitter.com/TheLostBride", "TheLostBride")</f>
        <v>TheLostBride</v>
      </c>
      <c r="B30279" s="65"/>
    </row>
    <row r="30280" spans="1:2" x14ac:dyDescent="0.25">
      <c r="A30280" s="64" t="str">
        <f>HYPERLINK("http://www.twitter.com/robwarm1", "robwarm1")</f>
        <v>robwarm1</v>
      </c>
      <c r="B30280" s="65" t="s">
        <v>12274</v>
      </c>
    </row>
    <row r="30281" spans="1:2" x14ac:dyDescent="0.25">
      <c r="A30281" s="64" t="str">
        <f>HYPERLINK("http://www.twitter.com/kat_frame", "kat_frame")</f>
        <v>kat_frame</v>
      </c>
      <c r="B30281" s="65" t="s">
        <v>3779</v>
      </c>
    </row>
    <row r="30282" spans="1:2" x14ac:dyDescent="0.25">
      <c r="A30282" s="64" t="str">
        <f>HYPERLINK("http://www.twitter.com/HelenScrivener", "HelenScrivener")</f>
        <v>HelenScrivener</v>
      </c>
      <c r="B30282" s="65" t="s">
        <v>235</v>
      </c>
    </row>
    <row r="30283" spans="1:2" x14ac:dyDescent="0.25">
      <c r="A30283" s="64" t="str">
        <f>HYPERLINK("http://www.twitter.com/iBricolage", "iBricolage")</f>
        <v>iBricolage</v>
      </c>
      <c r="B30283" s="65"/>
    </row>
    <row r="30284" spans="1:2" x14ac:dyDescent="0.25">
      <c r="A30284" s="64" t="str">
        <f>HYPERLINK("http://www.twitter.com/cl_cam", "cl_cam")</f>
        <v>cl_cam</v>
      </c>
      <c r="B30284" s="65" t="s">
        <v>788</v>
      </c>
    </row>
    <row r="30285" spans="1:2" x14ac:dyDescent="0.25">
      <c r="A30285" s="64" t="str">
        <f>HYPERLINK("http://www.twitter.com/jenlaurenson", "jenlaurenson")</f>
        <v>jenlaurenson</v>
      </c>
      <c r="B30285" s="65"/>
    </row>
    <row r="30286" spans="1:2" x14ac:dyDescent="0.25">
      <c r="A30286" s="64" t="str">
        <f>HYPERLINK("http://www.twitter.com/LibrarianNelly", "LibrarianNelly")</f>
        <v>LibrarianNelly</v>
      </c>
      <c r="B30286" s="65"/>
    </row>
    <row r="30287" spans="1:2" x14ac:dyDescent="0.25">
      <c r="A30287" s="64" t="str">
        <f>HYPERLINK("http://www.twitter.com/laurengracenilo", "laurengracenilo")</f>
        <v>laurengracenilo</v>
      </c>
      <c r="B30287" s="65" t="s">
        <v>36</v>
      </c>
    </row>
    <row r="30288" spans="1:2" x14ac:dyDescent="0.25">
      <c r="A30288" s="64" t="str">
        <f>HYPERLINK("http://www.twitter.com/darrenmjones", "darrenmjones")</f>
        <v>darrenmjones</v>
      </c>
      <c r="B30288" s="65" t="s">
        <v>12275</v>
      </c>
    </row>
    <row r="30289" spans="1:2" x14ac:dyDescent="0.25">
      <c r="A30289" s="64" t="str">
        <f>HYPERLINK("http://www.twitter.com/SeanGallagher3", "SeanGallagher3")</f>
        <v>SeanGallagher3</v>
      </c>
      <c r="B30289" s="65" t="s">
        <v>361</v>
      </c>
    </row>
    <row r="30290" spans="1:2" x14ac:dyDescent="0.25">
      <c r="A30290" s="64" t="str">
        <f>HYPERLINK("http://www.twitter.com/FrenchProfessor", "FrenchProfessor")</f>
        <v>FrenchProfessor</v>
      </c>
      <c r="B30290" s="65"/>
    </row>
    <row r="30291" spans="1:2" x14ac:dyDescent="0.25">
      <c r="A30291" s="64" t="str">
        <f>HYPERLINK("http://www.twitter.com/Em_P_three", "Em_P_three")</f>
        <v>Em_P_three</v>
      </c>
      <c r="B30291" s="65" t="s">
        <v>296</v>
      </c>
    </row>
    <row r="30292" spans="1:2" x14ac:dyDescent="0.25">
      <c r="A30292" s="64" t="str">
        <f>HYPERLINK("http://www.twitter.com/lou_cowan", "lou_cowan")</f>
        <v>lou_cowan</v>
      </c>
      <c r="B30292" s="65"/>
    </row>
    <row r="30293" spans="1:2" x14ac:dyDescent="0.25">
      <c r="A30293" s="64" t="str">
        <f>HYPERLINK("http://www.twitter.com/scottcooper79", "scottcooper79")</f>
        <v>scottcooper79</v>
      </c>
      <c r="B30293" s="65" t="s">
        <v>12276</v>
      </c>
    </row>
    <row r="30294" spans="1:2" x14ac:dyDescent="0.25">
      <c r="A30294" s="64" t="str">
        <f>HYPERLINK("http://www.twitter.com/lauramacmull", "lauramacmull")</f>
        <v>lauramacmull</v>
      </c>
      <c r="B30294" s="65"/>
    </row>
    <row r="30295" spans="1:2" x14ac:dyDescent="0.25">
      <c r="A30295" s="64" t="str">
        <f>HYPERLINK("http://www.twitter.com/AntoniaShaw", "AntoniaShaw")</f>
        <v>AntoniaShaw</v>
      </c>
      <c r="B30295" s="65" t="s">
        <v>4266</v>
      </c>
    </row>
    <row r="30296" spans="1:2" x14ac:dyDescent="0.25">
      <c r="A30296" s="64" t="str">
        <f>HYPERLINK("http://www.twitter.com/36Sto58N", "36Sto58N")</f>
        <v>36Sto58N</v>
      </c>
      <c r="B30296" s="65" t="s">
        <v>517</v>
      </c>
    </row>
    <row r="30297" spans="1:2" x14ac:dyDescent="0.25">
      <c r="A30297" s="64" t="str">
        <f>HYPERLINK("http://www.twitter.com/laetitio", "laetitio")</f>
        <v>laetitio</v>
      </c>
      <c r="B30297" s="65" t="s">
        <v>6983</v>
      </c>
    </row>
    <row r="30298" spans="1:2" x14ac:dyDescent="0.25">
      <c r="A30298" s="64" t="str">
        <f>HYPERLINK("http://www.twitter.com/KatFlint", "KatFlint")</f>
        <v>KatFlint</v>
      </c>
      <c r="B30298" s="65" t="s">
        <v>12277</v>
      </c>
    </row>
    <row r="30299" spans="1:2" x14ac:dyDescent="0.25">
      <c r="A30299" s="64" t="str">
        <f>HYPERLINK("http://www.twitter.com/MalcolmCombe", "MalcolmCombe")</f>
        <v>MalcolmCombe</v>
      </c>
      <c r="B30299" s="65" t="s">
        <v>808</v>
      </c>
    </row>
    <row r="30300" spans="1:2" x14ac:dyDescent="0.25">
      <c r="A30300" s="64" t="str">
        <f>HYPERLINK("http://www.twitter.com/rhonagrant", "rhonagrant")</f>
        <v>rhonagrant</v>
      </c>
      <c r="B30300" s="65" t="s">
        <v>9339</v>
      </c>
    </row>
    <row r="30301" spans="1:2" x14ac:dyDescent="0.25">
      <c r="A30301" s="64" t="str">
        <f>HYPERLINK("http://www.twitter.com/BpoolLibraries", "BpoolLibraries")</f>
        <v>BpoolLibraries</v>
      </c>
      <c r="B30301" s="65" t="s">
        <v>448</v>
      </c>
    </row>
    <row r="30302" spans="1:2" x14ac:dyDescent="0.25">
      <c r="A30302" s="64" t="str">
        <f>HYPERLINK("http://www.twitter.com/KatieMackint0sh", "KatieMackint0sh")</f>
        <v>KatieMackint0sh</v>
      </c>
      <c r="B30302" s="65" t="s">
        <v>9339</v>
      </c>
    </row>
    <row r="30303" spans="1:2" x14ac:dyDescent="0.25">
      <c r="A30303" s="64" t="str">
        <f>HYPERLINK("http://www.twitter.com/archivesplus", "archivesplus")</f>
        <v>archivesplus</v>
      </c>
      <c r="B30303" s="65" t="s">
        <v>4040</v>
      </c>
    </row>
    <row r="30304" spans="1:2" x14ac:dyDescent="0.25">
      <c r="A30304" s="64" t="str">
        <f>HYPERLINK("http://www.twitter.com/tellingd", "tellingd")</f>
        <v>tellingd</v>
      </c>
      <c r="B30304" s="65" t="s">
        <v>138</v>
      </c>
    </row>
    <row r="30305" spans="1:2" x14ac:dyDescent="0.25">
      <c r="A30305" s="64" t="str">
        <f>HYPERLINK("http://www.twitter.com/simfin", "simfin")</f>
        <v>simfin</v>
      </c>
      <c r="B30305" s="65" t="s">
        <v>6381</v>
      </c>
    </row>
    <row r="30306" spans="1:2" x14ac:dyDescent="0.25">
      <c r="A30306" s="64" t="str">
        <f>HYPERLINK("http://www.twitter.com/dugw42", "dugw42")</f>
        <v>dugw42</v>
      </c>
      <c r="B30306" s="65" t="s">
        <v>12278</v>
      </c>
    </row>
    <row r="30307" spans="1:2" x14ac:dyDescent="0.25">
      <c r="A30307" s="64" t="str">
        <f>HYPERLINK("http://www.twitter.com/beckyboolittle", "beckyboolittle")</f>
        <v>beckyboolittle</v>
      </c>
      <c r="B30307" s="65" t="s">
        <v>1537</v>
      </c>
    </row>
    <row r="30308" spans="1:2" x14ac:dyDescent="0.25">
      <c r="A30308" s="64" t="str">
        <f>HYPERLINK("http://www.twitter.com/dajamieshow", "dajamieshow")</f>
        <v>dajamieshow</v>
      </c>
      <c r="B30308" s="65" t="s">
        <v>5110</v>
      </c>
    </row>
    <row r="30309" spans="1:2" x14ac:dyDescent="0.25">
      <c r="A30309" s="64" t="str">
        <f>HYPERLINK("http://www.twitter.com/jymian", "jymian")</f>
        <v>jymian</v>
      </c>
      <c r="B30309" s="65" t="s">
        <v>4062</v>
      </c>
    </row>
    <row r="30310" spans="1:2" x14ac:dyDescent="0.25">
      <c r="A30310" s="64" t="str">
        <f>HYPERLINK("http://www.twitter.com/_rill__", "_rill__")</f>
        <v>_rill__</v>
      </c>
      <c r="B30310" s="65"/>
    </row>
    <row r="30311" spans="1:2" x14ac:dyDescent="0.25">
      <c r="A30311" s="64" t="str">
        <f>HYPERLINK("http://www.twitter.com/locard1910", "locard1910")</f>
        <v>locard1910</v>
      </c>
      <c r="B30311" s="65"/>
    </row>
    <row r="30312" spans="1:2" x14ac:dyDescent="0.25">
      <c r="A30312" s="64" t="str">
        <f>HYPERLINK("http://www.twitter.com/LorraineWales", "LorraineWales")</f>
        <v>LorraineWales</v>
      </c>
      <c r="B30312" s="65" t="s">
        <v>318</v>
      </c>
    </row>
    <row r="30313" spans="1:2" x14ac:dyDescent="0.25">
      <c r="A30313" s="64" t="str">
        <f>HYPERLINK("http://www.twitter.com/siobhanbermo", "siobhanbermo")</f>
        <v>siobhanbermo</v>
      </c>
      <c r="B30313" s="65" t="s">
        <v>4254</v>
      </c>
    </row>
    <row r="30314" spans="1:2" x14ac:dyDescent="0.25">
      <c r="A30314" s="64" t="str">
        <f>HYPERLINK("http://www.twitter.com/lindseylofty", "lindseylofty")</f>
        <v>lindseylofty</v>
      </c>
      <c r="B30314" s="65"/>
    </row>
    <row r="30315" spans="1:2" x14ac:dyDescent="0.25">
      <c r="A30315" s="64" t="str">
        <f>HYPERLINK("http://www.twitter.com/NorrieT", "NorrieT")</f>
        <v>NorrieT</v>
      </c>
      <c r="B30315" s="65" t="s">
        <v>12279</v>
      </c>
    </row>
    <row r="30316" spans="1:2" x14ac:dyDescent="0.25">
      <c r="A30316" s="64" t="str">
        <f>HYPERLINK("http://www.twitter.com/Jamboesque", "Jamboesque")</f>
        <v>Jamboesque</v>
      </c>
      <c r="B30316" s="65" t="s">
        <v>487</v>
      </c>
    </row>
    <row r="30317" spans="1:2" x14ac:dyDescent="0.25">
      <c r="A30317" s="64" t="str">
        <f>HYPERLINK("http://www.twitter.com/carolinejms", "carolinejms")</f>
        <v>carolinejms</v>
      </c>
      <c r="B30317" s="65" t="s">
        <v>138</v>
      </c>
    </row>
    <row r="30318" spans="1:2" x14ac:dyDescent="0.25">
      <c r="A30318" s="64" t="str">
        <f>HYPERLINK("http://www.twitter.com/MrsTwentyTom", "MrsTwentyTom")</f>
        <v>MrsTwentyTom</v>
      </c>
      <c r="B30318" s="65" t="s">
        <v>459</v>
      </c>
    </row>
    <row r="30319" spans="1:2" x14ac:dyDescent="0.25">
      <c r="A30319" s="64" t="str">
        <f>HYPERLINK("http://www.twitter.com/Fiona_Porter", "Fiona_Porter")</f>
        <v>Fiona_Porter</v>
      </c>
      <c r="B30319" s="65" t="s">
        <v>318</v>
      </c>
    </row>
    <row r="30320" spans="1:2" x14ac:dyDescent="0.25">
      <c r="A30320" s="64" t="str">
        <f>HYPERLINK("http://www.twitter.com/Routemasterfan", "Routemasterfan")</f>
        <v>Routemasterfan</v>
      </c>
      <c r="B30320" s="65" t="s">
        <v>12280</v>
      </c>
    </row>
    <row r="30321" spans="1:2" x14ac:dyDescent="0.25">
      <c r="A30321" s="64" t="str">
        <f>HYPERLINK("http://www.twitter.com/tru", "tru")</f>
        <v>tru</v>
      </c>
      <c r="B30321" s="65" t="s">
        <v>9504</v>
      </c>
    </row>
    <row r="30322" spans="1:2" x14ac:dyDescent="0.25">
      <c r="A30322" s="64" t="str">
        <f>HYPERLINK("http://www.twitter.com/neilweightman", "neilweightman")</f>
        <v>neilweightman</v>
      </c>
      <c r="B30322" s="65" t="s">
        <v>12281</v>
      </c>
    </row>
    <row r="30323" spans="1:2" x14ac:dyDescent="0.25">
      <c r="A30323" s="64" t="str">
        <f>HYPERLINK("http://www.twitter.com/allannicolson", "allannicolson")</f>
        <v>allannicolson</v>
      </c>
      <c r="B30323" s="65"/>
    </row>
    <row r="30324" spans="1:2" x14ac:dyDescent="0.25">
      <c r="A30324" s="64" t="str">
        <f>HYPERLINK("http://www.twitter.com/jon_melville", "jon_melville")</f>
        <v>jon_melville</v>
      </c>
      <c r="B30324" s="65" t="s">
        <v>67</v>
      </c>
    </row>
    <row r="30325" spans="1:2" x14ac:dyDescent="0.25">
      <c r="A30325" s="64" t="str">
        <f>HYPERLINK("http://www.twitter.com/awesomej", "awesomej")</f>
        <v>awesomej</v>
      </c>
      <c r="B30325" s="65" t="s">
        <v>24</v>
      </c>
    </row>
    <row r="30326" spans="1:2" x14ac:dyDescent="0.25">
      <c r="A30326" s="64" t="str">
        <f>HYPERLINK("http://www.twitter.com/DomesticJules", "DomesticJules")</f>
        <v>DomesticJules</v>
      </c>
      <c r="B30326" s="65" t="s">
        <v>6073</v>
      </c>
    </row>
    <row r="30327" spans="1:2" x14ac:dyDescent="0.25">
      <c r="A30327" s="64" t="str">
        <f>HYPERLINK("http://www.twitter.com/maradadisimba", "maradadisimba")</f>
        <v>maradadisimba</v>
      </c>
      <c r="B30327" s="65" t="s">
        <v>12282</v>
      </c>
    </row>
    <row r="30328" spans="1:2" x14ac:dyDescent="0.25">
      <c r="A30328" s="64" t="str">
        <f>HYPERLINK("http://www.twitter.com/Delli24", "Delli24")</f>
        <v>Delli24</v>
      </c>
      <c r="B30328" s="65" t="s">
        <v>12283</v>
      </c>
    </row>
    <row r="30329" spans="1:2" x14ac:dyDescent="0.25">
      <c r="A30329" s="64" t="str">
        <f>HYPERLINK("http://www.twitter.com/Pollittposts", "Pollittposts")</f>
        <v>Pollittposts</v>
      </c>
      <c r="B30329" s="65" t="s">
        <v>36</v>
      </c>
    </row>
    <row r="30330" spans="1:2" x14ac:dyDescent="0.25">
      <c r="A30330" s="64" t="str">
        <f>HYPERLINK("http://www.twitter.com/Fiona_Go", "Fiona_Go")</f>
        <v>Fiona_Go</v>
      </c>
      <c r="B30330" s="65" t="s">
        <v>318</v>
      </c>
    </row>
    <row r="30331" spans="1:2" x14ac:dyDescent="0.25">
      <c r="A30331" s="64" t="str">
        <f>HYPERLINK("http://www.twitter.com/janehill64", "janehill64")</f>
        <v>janehill64</v>
      </c>
      <c r="B30331" s="65" t="s">
        <v>12284</v>
      </c>
    </row>
    <row r="30332" spans="1:2" x14ac:dyDescent="0.25">
      <c r="A30332" s="64" t="str">
        <f>HYPERLINK("http://www.twitter.com/Rohirric", "Rohirric")</f>
        <v>Rohirric</v>
      </c>
      <c r="B30332" s="65" t="s">
        <v>2030</v>
      </c>
    </row>
    <row r="30333" spans="1:2" x14ac:dyDescent="0.25">
      <c r="A30333" s="64" t="str">
        <f>HYPERLINK("http://www.twitter.com/miriamlaila", "miriamlaila")</f>
        <v>miriamlaila</v>
      </c>
      <c r="B30333" s="65" t="s">
        <v>36</v>
      </c>
    </row>
    <row r="30334" spans="1:2" x14ac:dyDescent="0.25">
      <c r="A30334" s="64" t="str">
        <f>HYPERLINK("http://www.twitter.com/LeahFHardy", "LeahFHardy")</f>
        <v>LeahFHardy</v>
      </c>
      <c r="B30334" s="65" t="s">
        <v>36</v>
      </c>
    </row>
    <row r="30335" spans="1:2" x14ac:dyDescent="0.25">
      <c r="A30335" s="64" t="str">
        <f>HYPERLINK("http://www.twitter.com/GoldenGuidesPr", "GoldenGuidesPr")</f>
        <v>GoldenGuidesPr</v>
      </c>
      <c r="B30335" s="65" t="s">
        <v>296</v>
      </c>
    </row>
    <row r="30336" spans="1:2" x14ac:dyDescent="0.25">
      <c r="A30336" s="64" t="str">
        <f>HYPERLINK("http://www.twitter.com/welshrosie", "welshrosie")</f>
        <v>welshrosie</v>
      </c>
      <c r="B30336" s="65" t="s">
        <v>12285</v>
      </c>
    </row>
    <row r="30337" spans="1:2" x14ac:dyDescent="0.25">
      <c r="A30337" s="64" t="str">
        <f>HYPERLINK("http://www.twitter.com/JoOKeeffe", "JoOKeeffe")</f>
        <v>JoOKeeffe</v>
      </c>
      <c r="B30337" s="65" t="s">
        <v>36</v>
      </c>
    </row>
    <row r="30338" spans="1:2" x14ac:dyDescent="0.25">
      <c r="A30338" s="64" t="str">
        <f>HYPERLINK("http://www.twitter.com/TallaghtLibrary", "TallaghtLibrary")</f>
        <v>TallaghtLibrary</v>
      </c>
      <c r="B30338" s="65" t="s">
        <v>3760</v>
      </c>
    </row>
    <row r="30339" spans="1:2" x14ac:dyDescent="0.25">
      <c r="A30339" s="64" t="str">
        <f>HYPERLINK("http://www.twitter.com/Not_So_DHW_Club", "Not_So_DHW_Club")</f>
        <v>Not_So_DHW_Club</v>
      </c>
      <c r="B30339" s="65" t="s">
        <v>12286</v>
      </c>
    </row>
    <row r="30340" spans="1:2" x14ac:dyDescent="0.25">
      <c r="A30340" s="64" t="str">
        <f>HYPERLINK("http://www.twitter.com/GB_network_asia", "GB_network_asia")</f>
        <v>GB_network_asia</v>
      </c>
      <c r="B30340" s="65"/>
    </row>
    <row r="30341" spans="1:2" x14ac:dyDescent="0.25">
      <c r="A30341" s="64" t="str">
        <f>HYPERLINK("http://www.twitter.com/JamesLjustina", "JamesLjustina")</f>
        <v>JamesLjustina</v>
      </c>
      <c r="B30341" s="65"/>
    </row>
    <row r="30342" spans="1:2" x14ac:dyDescent="0.25">
      <c r="A30342" s="64" t="str">
        <f>HYPERLINK("http://www.twitter.com/CraftsCouncilUK", "CraftsCouncilUK")</f>
        <v>CraftsCouncilUK</v>
      </c>
      <c r="B30342" s="65" t="s">
        <v>296</v>
      </c>
    </row>
    <row r="30343" spans="1:2" x14ac:dyDescent="0.25">
      <c r="A30343" s="64" t="str">
        <f>HYPERLINK("http://www.twitter.com/sharethevision1", "sharethevision1")</f>
        <v>sharethevision1</v>
      </c>
      <c r="B30343" s="65"/>
    </row>
    <row r="30344" spans="1:2" x14ac:dyDescent="0.25">
      <c r="A30344" s="64" t="str">
        <f>HYPERLINK("http://www.twitter.com/newriters", "newriters")</f>
        <v>newriters</v>
      </c>
      <c r="B30344" s="65" t="s">
        <v>5163</v>
      </c>
    </row>
    <row r="30345" spans="1:2" x14ac:dyDescent="0.25">
      <c r="A30345" s="64" t="str">
        <f>HYPERLINK("http://www.twitter.com/BlueSaltColl", "BlueSaltColl")</f>
        <v>BlueSaltColl</v>
      </c>
      <c r="B30345" s="65"/>
    </row>
    <row r="30346" spans="1:2" x14ac:dyDescent="0.25">
      <c r="A30346" s="64" t="str">
        <f>HYPERLINK("http://www.twitter.com/lrob1982", "lrob1982")</f>
        <v>lrob1982</v>
      </c>
      <c r="B30346" s="65"/>
    </row>
    <row r="30347" spans="1:2" x14ac:dyDescent="0.25">
      <c r="A30347" s="64" t="str">
        <f>HYPERLINK("http://www.twitter.com/slqAPDL", "slqAPDL")</f>
        <v>slqAPDL</v>
      </c>
      <c r="B30347" s="65" t="s">
        <v>4273</v>
      </c>
    </row>
    <row r="30348" spans="1:2" x14ac:dyDescent="0.25">
      <c r="A30348" s="64" t="str">
        <f>HYPERLINK("http://www.twitter.com/DoorsOpenDays", "DoorsOpenDays")</f>
        <v>DoorsOpenDays</v>
      </c>
      <c r="B30348" s="65" t="s">
        <v>2007</v>
      </c>
    </row>
    <row r="30349" spans="1:2" x14ac:dyDescent="0.25">
      <c r="A30349" s="64" t="str">
        <f>HYPERLINK("http://www.twitter.com/HuddleandHeft", "HuddleandHeft")</f>
        <v>HuddleandHeft</v>
      </c>
      <c r="B30349" s="65" t="s">
        <v>5048</v>
      </c>
    </row>
    <row r="30350" spans="1:2" x14ac:dyDescent="0.25">
      <c r="A30350" s="64" t="str">
        <f>HYPERLINK("http://www.twitter.com/NocteNurse", "NocteNurse")</f>
        <v>NocteNurse</v>
      </c>
      <c r="B30350" s="65" t="s">
        <v>12287</v>
      </c>
    </row>
    <row r="30351" spans="1:2" x14ac:dyDescent="0.25">
      <c r="A30351" s="64" t="str">
        <f>HYPERLINK("http://www.twitter.com/dorkingmuseum", "dorkingmuseum")</f>
        <v>dorkingmuseum</v>
      </c>
      <c r="B30351" s="65" t="s">
        <v>12288</v>
      </c>
    </row>
    <row r="30352" spans="1:2" x14ac:dyDescent="0.25">
      <c r="A30352" s="64" t="str">
        <f>HYPERLINK("http://www.twitter.com/alibongo32", "alibongo32")</f>
        <v>alibongo32</v>
      </c>
      <c r="B30352" s="65" t="s">
        <v>33</v>
      </c>
    </row>
    <row r="30353" spans="1:2" x14ac:dyDescent="0.25">
      <c r="A30353" s="64" t="str">
        <f>HYPERLINK("http://www.twitter.com/Woodhorn", "Woodhorn")</f>
        <v>Woodhorn</v>
      </c>
      <c r="B30353" s="65" t="s">
        <v>12289</v>
      </c>
    </row>
    <row r="30354" spans="1:2" x14ac:dyDescent="0.25">
      <c r="A30354" s="64" t="str">
        <f>HYPERLINK("http://www.twitter.com/theresabreslin1", "theresabreslin1")</f>
        <v>theresabreslin1</v>
      </c>
      <c r="B30354" s="65" t="s">
        <v>517</v>
      </c>
    </row>
    <row r="30355" spans="1:2" x14ac:dyDescent="0.25">
      <c r="A30355" s="64" t="str">
        <f>HYPERLINK("http://www.twitter.com/JoyTait", "JoyTait")</f>
        <v>JoyTait</v>
      </c>
      <c r="B30355" s="65"/>
    </row>
    <row r="30356" spans="1:2" x14ac:dyDescent="0.25">
      <c r="A30356" s="64" t="str">
        <f>HYPERLINK("http://www.twitter.com/paullantz", "paullantz")</f>
        <v>paullantz</v>
      </c>
      <c r="B30356" s="65" t="s">
        <v>12290</v>
      </c>
    </row>
    <row r="30357" spans="1:2" x14ac:dyDescent="0.25">
      <c r="A30357" s="64" t="str">
        <f>HYPERLINK("http://www.twitter.com/RavenseyeChris", "RavenseyeChris")</f>
        <v>RavenseyeChris</v>
      </c>
      <c r="B30357" s="65" t="s">
        <v>5377</v>
      </c>
    </row>
    <row r="30358" spans="1:2" x14ac:dyDescent="0.25">
      <c r="A30358" s="64" t="str">
        <f>HYPERLINK("http://www.twitter.com/katiebarrowman", "katiebarrowman")</f>
        <v>katiebarrowman</v>
      </c>
      <c r="B30358" s="65" t="s">
        <v>138</v>
      </c>
    </row>
    <row r="30359" spans="1:2" x14ac:dyDescent="0.25">
      <c r="A30359" s="64" t="str">
        <f>HYPERLINK("http://www.twitter.com/BrianMcL", "BrianMcL")</f>
        <v>BrianMcL</v>
      </c>
      <c r="B30359" s="65" t="s">
        <v>4366</v>
      </c>
    </row>
    <row r="30360" spans="1:2" x14ac:dyDescent="0.25">
      <c r="A30360" s="64" t="str">
        <f>HYPERLINK("http://www.twitter.com/sparklepanties", "sparklepanties")</f>
        <v>sparklepanties</v>
      </c>
      <c r="B30360" s="65" t="s">
        <v>36</v>
      </c>
    </row>
    <row r="30361" spans="1:2" x14ac:dyDescent="0.25">
      <c r="A30361" s="64" t="str">
        <f>HYPERLINK("http://www.twitter.com/TheBlackToenail", "TheBlackToenail")</f>
        <v>TheBlackToenail</v>
      </c>
      <c r="B30361" s="65" t="s">
        <v>12291</v>
      </c>
    </row>
    <row r="30362" spans="1:2" x14ac:dyDescent="0.25">
      <c r="A30362" s="64" t="str">
        <f>HYPERLINK("http://www.twitter.com/DeweyDiamonds", "DeweyDiamonds")</f>
        <v>DeweyDiamonds</v>
      </c>
      <c r="B30362" s="65"/>
    </row>
    <row r="30363" spans="1:2" x14ac:dyDescent="0.25">
      <c r="A30363" s="64" t="str">
        <f>HYPERLINK("http://www.twitter.com/PollyClerkin", "PollyClerkin")</f>
        <v>PollyClerkin</v>
      </c>
      <c r="B30363" s="65"/>
    </row>
    <row r="30364" spans="1:2" x14ac:dyDescent="0.25">
      <c r="A30364" s="64" t="str">
        <f>HYPERLINK("http://www.twitter.com/librarianonsea", "librarianonsea")</f>
        <v>librarianonsea</v>
      </c>
      <c r="B30364" s="65" t="s">
        <v>296</v>
      </c>
    </row>
    <row r="30365" spans="1:2" x14ac:dyDescent="0.25">
      <c r="A30365" s="64" t="str">
        <f>HYPERLINK("http://www.twitter.com/Absolute80s", "Absolute80s")</f>
        <v>Absolute80s</v>
      </c>
      <c r="B30365" s="65" t="s">
        <v>36</v>
      </c>
    </row>
    <row r="30366" spans="1:2" x14ac:dyDescent="0.25">
      <c r="A30366" s="64" t="str">
        <f>HYPERLINK("http://www.twitter.com/A1FXY", "A1FXY")</f>
        <v>A1FXY</v>
      </c>
      <c r="B30366" s="65" t="s">
        <v>12292</v>
      </c>
    </row>
    <row r="30367" spans="1:2" x14ac:dyDescent="0.25">
      <c r="A30367" s="64" t="str">
        <f>HYPERLINK("http://www.twitter.com/symbo", "symbo")</f>
        <v>symbo</v>
      </c>
      <c r="B30367" s="65"/>
    </row>
    <row r="30368" spans="1:2" x14ac:dyDescent="0.25">
      <c r="A30368" s="64" t="str">
        <f>HYPERLINK("http://www.twitter.com/AVTPublishing", "AVTPublishing")</f>
        <v>AVTPublishing</v>
      </c>
      <c r="B30368" s="65" t="s">
        <v>12293</v>
      </c>
    </row>
    <row r="30369" spans="1:2" x14ac:dyDescent="0.25">
      <c r="A30369" s="64" t="str">
        <f>HYPERLINK("http://www.twitter.com/blissfullbouncy", "blissfullbouncy")</f>
        <v>blissfullbouncy</v>
      </c>
      <c r="B30369" s="65" t="s">
        <v>9533</v>
      </c>
    </row>
    <row r="30370" spans="1:2" x14ac:dyDescent="0.25">
      <c r="A30370" s="64" t="str">
        <f>HYPERLINK("http://www.twitter.com/Jane_Thatcher", "Jane_Thatcher")</f>
        <v>Jane_Thatcher</v>
      </c>
      <c r="B30370" s="65" t="s">
        <v>1417</v>
      </c>
    </row>
    <row r="30371" spans="1:2" x14ac:dyDescent="0.25">
      <c r="A30371" s="64" t="str">
        <f>HYPERLINK("http://www.twitter.com/mackbhoy", "mackbhoy")</f>
        <v>mackbhoy</v>
      </c>
      <c r="B30371" s="65" t="s">
        <v>4215</v>
      </c>
    </row>
    <row r="30372" spans="1:2" x14ac:dyDescent="0.25">
      <c r="A30372" s="64" t="str">
        <f>HYPERLINK("http://www.twitter.com/LenaLuna1", "LenaLuna1")</f>
        <v>LenaLuna1</v>
      </c>
      <c r="B30372" s="65" t="s">
        <v>505</v>
      </c>
    </row>
    <row r="30373" spans="1:2" x14ac:dyDescent="0.25">
      <c r="A30373" s="64" t="str">
        <f>HYPERLINK("http://www.twitter.com/Daisiemags", "Daisiemags")</f>
        <v>Daisiemags</v>
      </c>
      <c r="B30373" s="65"/>
    </row>
    <row r="30374" spans="1:2" x14ac:dyDescent="0.25">
      <c r="A30374" s="64" t="str">
        <f>HYPERLINK("http://www.twitter.com/Thistle_Moon", "Thistle_Moon")</f>
        <v>Thistle_Moon</v>
      </c>
      <c r="B30374" s="65"/>
    </row>
    <row r="30375" spans="1:2" x14ac:dyDescent="0.25">
      <c r="A30375" s="64" t="str">
        <f>HYPERLINK("http://www.twitter.com/scduncan1984", "scduncan1984")</f>
        <v>scduncan1984</v>
      </c>
      <c r="B30375" s="65" t="s">
        <v>569</v>
      </c>
    </row>
    <row r="30376" spans="1:2" x14ac:dyDescent="0.25">
      <c r="A30376" s="64" t="str">
        <f>HYPERLINK("http://www.twitter.com/AlisonFordeLib", "AlisonFordeLib")</f>
        <v>AlisonFordeLib</v>
      </c>
      <c r="B30376" s="65"/>
    </row>
    <row r="30377" spans="1:2" x14ac:dyDescent="0.25">
      <c r="A30377" s="64" t="str">
        <f>HYPERLINK("http://www.twitter.com/marifromvalley", "marifromvalley")</f>
        <v>marifromvalley</v>
      </c>
      <c r="B30377" s="65" t="s">
        <v>4955</v>
      </c>
    </row>
    <row r="30378" spans="1:2" x14ac:dyDescent="0.25">
      <c r="A30378" s="64" t="str">
        <f>HYPERLINK("http://www.twitter.com/msf_phop", "msf_phop")</f>
        <v>msf_phop</v>
      </c>
      <c r="B30378" s="65" t="s">
        <v>296</v>
      </c>
    </row>
    <row r="30379" spans="1:2" x14ac:dyDescent="0.25">
      <c r="A30379" s="64" t="str">
        <f>HYPERLINK("http://www.twitter.com/FTrimbos", "FTrimbos")</f>
        <v>FTrimbos</v>
      </c>
      <c r="B30379" s="65" t="s">
        <v>12294</v>
      </c>
    </row>
    <row r="30380" spans="1:2" x14ac:dyDescent="0.25">
      <c r="A30380" s="64" t="str">
        <f>HYPERLINK("http://www.twitter.com/patrickjgorman", "patrickjgorman")</f>
        <v>patrickjgorman</v>
      </c>
      <c r="B30380" s="65" t="s">
        <v>4604</v>
      </c>
    </row>
    <row r="30381" spans="1:2" x14ac:dyDescent="0.25">
      <c r="A30381" s="64" t="str">
        <f>HYPERLINK("http://www.twitter.com/tequilalynch", "tequilalynch")</f>
        <v>tequilalynch</v>
      </c>
      <c r="B30381" s="65" t="s">
        <v>12295</v>
      </c>
    </row>
    <row r="30382" spans="1:2" x14ac:dyDescent="0.25">
      <c r="A30382" s="64" t="str">
        <f>HYPERLINK("http://www.twitter.com/jimanime12", "jimanime12")</f>
        <v>jimanime12</v>
      </c>
      <c r="B30382" s="65"/>
    </row>
    <row r="30383" spans="1:2" x14ac:dyDescent="0.25">
      <c r="A30383" s="64" t="str">
        <f>HYPERLINK("http://www.twitter.com/TimBenst", "TimBenst")</f>
        <v>TimBenst</v>
      </c>
      <c r="B30383" s="65" t="s">
        <v>2951</v>
      </c>
    </row>
    <row r="30384" spans="1:2" x14ac:dyDescent="0.25">
      <c r="A30384" s="64" t="str">
        <f>HYPERLINK("http://www.twitter.com/Earthstar67", "Earthstar67")</f>
        <v>Earthstar67</v>
      </c>
      <c r="B30384" s="65" t="s">
        <v>11882</v>
      </c>
    </row>
    <row r="30385" spans="1:2" x14ac:dyDescent="0.25">
      <c r="A30385" s="64" t="str">
        <f>HYPERLINK("http://www.twitter.com/Croyde_7878", "Croyde_7878")</f>
        <v>Croyde_7878</v>
      </c>
      <c r="B30385" s="65" t="s">
        <v>12296</v>
      </c>
    </row>
    <row r="30386" spans="1:2" x14ac:dyDescent="0.25">
      <c r="A30386" s="64" t="str">
        <f>HYPERLINK("http://www.twitter.com/DavidMcKay11", "DavidMcKay11")</f>
        <v>DavidMcKay11</v>
      </c>
      <c r="B30386" s="65" t="s">
        <v>12297</v>
      </c>
    </row>
    <row r="30387" spans="1:2" x14ac:dyDescent="0.25">
      <c r="A30387" s="64" t="str">
        <f>HYPERLINK("http://www.twitter.com/UKSAtogether", "UKSAtogether")</f>
        <v>UKSAtogether</v>
      </c>
      <c r="B30387" s="65" t="s">
        <v>12298</v>
      </c>
    </row>
    <row r="30388" spans="1:2" x14ac:dyDescent="0.25">
      <c r="A30388" s="64" t="str">
        <f>HYPERLINK("http://www.twitter.com/hevsymac", "hevsymac")</f>
        <v>hevsymac</v>
      </c>
      <c r="B30388" s="65" t="s">
        <v>12299</v>
      </c>
    </row>
    <row r="30389" spans="1:2" x14ac:dyDescent="0.25">
      <c r="A30389" s="64" t="str">
        <f>HYPERLINK("http://www.twitter.com/drloomis262", "drloomis262")</f>
        <v>drloomis262</v>
      </c>
      <c r="B30389" s="65" t="s">
        <v>12300</v>
      </c>
    </row>
    <row r="30390" spans="1:2" x14ac:dyDescent="0.25">
      <c r="A30390" s="64" t="str">
        <f>HYPERLINK("http://www.twitter.com/youarenothouse", "youarenothouse")</f>
        <v>youarenothouse</v>
      </c>
      <c r="B30390" s="65"/>
    </row>
    <row r="30391" spans="1:2" x14ac:dyDescent="0.25">
      <c r="A30391" s="64" t="str">
        <f>HYPERLINK("http://www.twitter.com/Amy_Thompson614", "Amy_Thompson614")</f>
        <v>Amy_Thompson614</v>
      </c>
      <c r="B30391" s="65"/>
    </row>
    <row r="30392" spans="1:2" x14ac:dyDescent="0.25">
      <c r="A30392" s="64" t="str">
        <f>HYPERLINK("http://www.twitter.com/msgwhizz", "msgwhizz")</f>
        <v>msgwhizz</v>
      </c>
      <c r="B30392" s="65" t="s">
        <v>1980</v>
      </c>
    </row>
    <row r="30393" spans="1:2" x14ac:dyDescent="0.25">
      <c r="A30393" s="64" t="str">
        <f>HYPERLINK("http://www.twitter.com/sleepy_twitch", "sleepy_twitch")</f>
        <v>sleepy_twitch</v>
      </c>
      <c r="B30393" s="65" t="s">
        <v>138</v>
      </c>
    </row>
    <row r="30394" spans="1:2" x14ac:dyDescent="0.25">
      <c r="A30394" s="64" t="str">
        <f>HYPERLINK("http://www.twitter.com/PillowWhisperer", "PillowWhisperer")</f>
        <v>PillowWhisperer</v>
      </c>
      <c r="B30394" s="65" t="s">
        <v>12301</v>
      </c>
    </row>
    <row r="30395" spans="1:2" x14ac:dyDescent="0.25">
      <c r="A30395" s="64" t="str">
        <f>HYPERLINK("http://www.twitter.com/jonleaver", "jonleaver")</f>
        <v>jonleaver</v>
      </c>
      <c r="B30395" s="65" t="s">
        <v>4715</v>
      </c>
    </row>
    <row r="30396" spans="1:2" x14ac:dyDescent="0.25">
      <c r="A30396" s="64" t="str">
        <f>HYPERLINK("http://www.twitter.com/MelPosford", "MelPosford")</f>
        <v>MelPosford</v>
      </c>
      <c r="B30396" s="65"/>
    </row>
    <row r="30397" spans="1:2" x14ac:dyDescent="0.25">
      <c r="A30397" s="64" t="str">
        <f>HYPERLINK("http://www.twitter.com/Orkneycrafter", "Orkneycrafter")</f>
        <v>Orkneycrafter</v>
      </c>
      <c r="B30397" s="65" t="s">
        <v>12302</v>
      </c>
    </row>
    <row r="30398" spans="1:2" x14ac:dyDescent="0.25">
      <c r="A30398" s="64" t="str">
        <f>HYPERLINK("http://www.twitter.com/Karen_Friar", "Karen_Friar")</f>
        <v>Karen_Friar</v>
      </c>
      <c r="B30398" s="65" t="s">
        <v>36</v>
      </c>
    </row>
    <row r="30399" spans="1:2" x14ac:dyDescent="0.25">
      <c r="A30399" s="64" t="str">
        <f>HYPERLINK("http://www.twitter.com/littlereddaisy", "littlereddaisy")</f>
        <v>littlereddaisy</v>
      </c>
      <c r="B30399" s="65"/>
    </row>
    <row r="30400" spans="1:2" x14ac:dyDescent="0.25">
      <c r="A30400" s="64" t="str">
        <f>HYPERLINK("http://www.twitter.com/asynetos", "asynetos")</f>
        <v>asynetos</v>
      </c>
      <c r="B30400" s="65"/>
    </row>
    <row r="30401" spans="1:2" x14ac:dyDescent="0.25">
      <c r="A30401" s="64" t="str">
        <f>HYPERLINK("http://www.twitter.com/Ironholgs", "Ironholgs")</f>
        <v>Ironholgs</v>
      </c>
      <c r="B30401" s="65" t="s">
        <v>3949</v>
      </c>
    </row>
    <row r="30402" spans="1:2" x14ac:dyDescent="0.25">
      <c r="A30402" s="64" t="str">
        <f>HYPERLINK("http://www.twitter.com/CarsandArt", "CarsandArt")</f>
        <v>CarsandArt</v>
      </c>
      <c r="B30402" s="65" t="s">
        <v>12303</v>
      </c>
    </row>
    <row r="30403" spans="1:2" x14ac:dyDescent="0.25">
      <c r="A30403" s="64" t="str">
        <f>HYPERLINK("http://www.twitter.com/LaineyW66", "LaineyW66")</f>
        <v>LaineyW66</v>
      </c>
      <c r="B30403" s="65" t="s">
        <v>7392</v>
      </c>
    </row>
    <row r="30404" spans="1:2" x14ac:dyDescent="0.25">
      <c r="A30404" s="64" t="str">
        <f>HYPERLINK("http://www.twitter.com/mister_limey", "mister_limey")</f>
        <v>mister_limey</v>
      </c>
      <c r="B30404" s="65"/>
    </row>
    <row r="30405" spans="1:2" x14ac:dyDescent="0.25">
      <c r="A30405" s="64" t="str">
        <f>HYPERLINK("http://www.twitter.com/whiteshutters", "whiteshutters")</f>
        <v>whiteshutters</v>
      </c>
      <c r="B30405" s="65" t="s">
        <v>12304</v>
      </c>
    </row>
    <row r="30406" spans="1:2" x14ac:dyDescent="0.25">
      <c r="A30406" s="64" t="str">
        <f>HYPERLINK("http://www.twitter.com/queenpammy", "queenpammy")</f>
        <v>queenpammy</v>
      </c>
      <c r="B30406" s="65" t="s">
        <v>12305</v>
      </c>
    </row>
    <row r="30407" spans="1:2" x14ac:dyDescent="0.25">
      <c r="A30407" s="64" t="str">
        <f>HYPERLINK("http://www.twitter.com/pruthepenguin", "pruthepenguin")</f>
        <v>pruthepenguin</v>
      </c>
      <c r="B30407" s="65" t="s">
        <v>4231</v>
      </c>
    </row>
    <row r="30408" spans="1:2" x14ac:dyDescent="0.25">
      <c r="A30408" s="64" t="str">
        <f>HYPERLINK("http://www.twitter.com/katenaomiday", "katenaomiday")</f>
        <v>katenaomiday</v>
      </c>
      <c r="B30408" s="65" t="s">
        <v>33</v>
      </c>
    </row>
    <row r="30409" spans="1:2" x14ac:dyDescent="0.25">
      <c r="A30409" s="64" t="str">
        <f>HYPERLINK("http://www.twitter.com/PhilD6600", "PhilD6600")</f>
        <v>PhilD6600</v>
      </c>
      <c r="B30409" s="65" t="s">
        <v>12306</v>
      </c>
    </row>
    <row r="30410" spans="1:2" x14ac:dyDescent="0.25">
      <c r="A30410" s="64" t="str">
        <f>HYPERLINK("http://www.twitter.com/glasgow_food", "glasgow_food")</f>
        <v>glasgow_food</v>
      </c>
      <c r="B30410" s="65" t="s">
        <v>138</v>
      </c>
    </row>
    <row r="30411" spans="1:2" x14ac:dyDescent="0.25">
      <c r="A30411" s="64" t="str">
        <f>HYPERLINK("http://www.twitter.com/EileenRafferty", "EileenRafferty")</f>
        <v>EileenRafferty</v>
      </c>
      <c r="B30411" s="65"/>
    </row>
    <row r="30412" spans="1:2" x14ac:dyDescent="0.25">
      <c r="A30412" s="64" t="str">
        <f>HYPERLINK("http://www.twitter.com/EmilyFlump", "EmilyFlump")</f>
        <v>EmilyFlump</v>
      </c>
      <c r="B30412" s="65" t="s">
        <v>12307</v>
      </c>
    </row>
    <row r="30413" spans="1:2" x14ac:dyDescent="0.25">
      <c r="A30413" s="64" t="str">
        <f>HYPERLINK("http://www.twitter.com/ajwooff", "ajwooff")</f>
        <v>ajwooff</v>
      </c>
      <c r="B30413" s="65" t="s">
        <v>232</v>
      </c>
    </row>
    <row r="30414" spans="1:2" x14ac:dyDescent="0.25">
      <c r="A30414" s="64" t="str">
        <f>HYPERLINK("http://www.twitter.com/SianySianySiany", "SianySianySiany")</f>
        <v>SianySianySiany</v>
      </c>
      <c r="B30414" s="65" t="s">
        <v>12308</v>
      </c>
    </row>
    <row r="30415" spans="1:2" x14ac:dyDescent="0.25">
      <c r="A30415" s="64" t="str">
        <f>HYPERLINK("http://www.twitter.com/craigside", "craigside")</f>
        <v>craigside</v>
      </c>
      <c r="B30415" s="65"/>
    </row>
    <row r="30416" spans="1:2" x14ac:dyDescent="0.25">
      <c r="A30416" s="64" t="str">
        <f>HYPERLINK("http://www.twitter.com/mediascot", "mediascot")</f>
        <v>mediascot</v>
      </c>
      <c r="B30416" s="65" t="s">
        <v>24</v>
      </c>
    </row>
    <row r="30417" spans="1:2" x14ac:dyDescent="0.25">
      <c r="A30417" s="64" t="str">
        <f>HYPERLINK("http://www.twitter.com/tindall_john", "tindall_john")</f>
        <v>tindall_john</v>
      </c>
      <c r="B30417" s="65" t="s">
        <v>2951</v>
      </c>
    </row>
    <row r="30418" spans="1:2" x14ac:dyDescent="0.25">
      <c r="A30418" s="64" t="str">
        <f>HYPERLINK("http://www.twitter.com/robbielaybourn", "robbielaybourn")</f>
        <v>robbielaybourn</v>
      </c>
      <c r="B30418" s="65" t="s">
        <v>4201</v>
      </c>
    </row>
    <row r="30419" spans="1:2" x14ac:dyDescent="0.25">
      <c r="A30419" s="64" t="str">
        <f>HYPERLINK("http://www.twitter.com/baskervilleq", "baskervilleq")</f>
        <v>baskervilleq</v>
      </c>
      <c r="B30419" s="65"/>
    </row>
    <row r="30420" spans="1:2" x14ac:dyDescent="0.25">
      <c r="A30420" s="64" t="str">
        <f>HYPERLINK("http://www.twitter.com/GuineaGirl10", "GuineaGirl10")</f>
        <v>GuineaGirl10</v>
      </c>
      <c r="B30420" s="65" t="s">
        <v>12309</v>
      </c>
    </row>
    <row r="30421" spans="1:2" x14ac:dyDescent="0.25">
      <c r="A30421" s="64" t="str">
        <f>HYPERLINK("http://www.twitter.com/IamYrCptn", "IamYrCptn")</f>
        <v>IamYrCptn</v>
      </c>
      <c r="B30421" s="65"/>
    </row>
    <row r="30422" spans="1:2" x14ac:dyDescent="0.25">
      <c r="A30422" s="64" t="str">
        <f>HYPERLINK("http://www.twitter.com/darxtorm", "darxtorm")</f>
        <v>darxtorm</v>
      </c>
      <c r="B30422" s="65" t="s">
        <v>3978</v>
      </c>
    </row>
    <row r="30423" spans="1:2" x14ac:dyDescent="0.25">
      <c r="A30423" s="64" t="str">
        <f>HYPERLINK("http://www.twitter.com/cambivert", "cambivert")</f>
        <v>cambivert</v>
      </c>
      <c r="B30423" s="65" t="s">
        <v>4019</v>
      </c>
    </row>
    <row r="30424" spans="1:2" x14ac:dyDescent="0.25">
      <c r="A30424" s="64" t="str">
        <f>HYPERLINK("http://www.twitter.com/youngemilyj", "youngemilyj")</f>
        <v>youngemilyj</v>
      </c>
      <c r="B30424" s="65"/>
    </row>
    <row r="30425" spans="1:2" x14ac:dyDescent="0.25">
      <c r="A30425" s="64" t="str">
        <f>HYPERLINK("http://www.twitter.com/DocPep", "DocPep")</f>
        <v>DocPep</v>
      </c>
      <c r="B30425" s="65" t="s">
        <v>12310</v>
      </c>
    </row>
    <row r="30426" spans="1:2" x14ac:dyDescent="0.25">
      <c r="A30426" s="64" t="str">
        <f>HYPERLINK("http://www.twitter.com/WorkPeep", "WorkPeep")</f>
        <v>WorkPeep</v>
      </c>
      <c r="B30426" s="65" t="s">
        <v>5212</v>
      </c>
    </row>
    <row r="30427" spans="1:2" x14ac:dyDescent="0.25">
      <c r="A30427" s="64" t="str">
        <f>HYPERLINK("http://www.twitter.com/valuetzatziki", "valuetzatziki")</f>
        <v>valuetzatziki</v>
      </c>
      <c r="B30427" s="65"/>
    </row>
    <row r="30428" spans="1:2" x14ac:dyDescent="0.25">
      <c r="A30428" s="64" t="str">
        <f>HYPERLINK("http://www.twitter.com/MarieAnneMcQuay", "MarieAnneMcQuay")</f>
        <v>MarieAnneMcQuay</v>
      </c>
      <c r="B30428" s="65"/>
    </row>
    <row r="30429" spans="1:2" x14ac:dyDescent="0.25">
      <c r="A30429" s="64" t="str">
        <f>HYPERLINK("http://www.twitter.com/JMUEnglish", "JMUEnglish")</f>
        <v>JMUEnglish</v>
      </c>
      <c r="B30429" s="65" t="s">
        <v>642</v>
      </c>
    </row>
    <row r="30430" spans="1:2" x14ac:dyDescent="0.25">
      <c r="A30430" s="64" t="str">
        <f>HYPERLINK("http://www.twitter.com/GrtnerDe", "GrtnerDe")</f>
        <v>GrtnerDe</v>
      </c>
      <c r="B30430" s="65" t="s">
        <v>5700</v>
      </c>
    </row>
    <row r="30431" spans="1:2" x14ac:dyDescent="0.25">
      <c r="A30431" s="64" t="str">
        <f>HYPERLINK("http://www.twitter.com/StuSaysNo", "StuSaysNo")</f>
        <v>StuSaysNo</v>
      </c>
      <c r="B30431" s="65" t="s">
        <v>6294</v>
      </c>
    </row>
    <row r="30432" spans="1:2" x14ac:dyDescent="0.25">
      <c r="A30432" s="64" t="str">
        <f>HYPERLINK("http://www.twitter.com/IainSinclair56", "IainSinclair56")</f>
        <v>IainSinclair56</v>
      </c>
      <c r="B30432" s="65" t="s">
        <v>2303</v>
      </c>
    </row>
    <row r="30433" spans="1:2" x14ac:dyDescent="0.25">
      <c r="A30433" s="64" t="str">
        <f>HYPERLINK("http://www.twitter.com/annablibrary", "annablibrary")</f>
        <v>annablibrary</v>
      </c>
      <c r="B30433" s="65" t="s">
        <v>1218</v>
      </c>
    </row>
    <row r="30434" spans="1:2" x14ac:dyDescent="0.25">
      <c r="A30434" s="64" t="str">
        <f>HYPERLINK("http://www.twitter.com/Gincher67", "Gincher67")</f>
        <v>Gincher67</v>
      </c>
      <c r="B30434" s="65" t="s">
        <v>487</v>
      </c>
    </row>
    <row r="30435" spans="1:2" x14ac:dyDescent="0.25">
      <c r="A30435" s="64" t="str">
        <f>HYPERLINK("http://www.twitter.com/chrisrothwellKL", "chrisrothwellKL")</f>
        <v>chrisrothwellKL</v>
      </c>
      <c r="B30435" s="65"/>
    </row>
    <row r="30436" spans="1:2" x14ac:dyDescent="0.25">
      <c r="A30436" s="64" t="str">
        <f>HYPERLINK("http://www.twitter.com/NaomisNoesis", "NaomisNoesis")</f>
        <v>NaomisNoesis</v>
      </c>
      <c r="B30436" s="65"/>
    </row>
    <row r="30437" spans="1:2" x14ac:dyDescent="0.25">
      <c r="A30437" s="64" t="str">
        <f>HYPERLINK("http://www.twitter.com/erlendberry", "erlendberry")</f>
        <v>erlendberry</v>
      </c>
      <c r="B30437" s="65"/>
    </row>
    <row r="30438" spans="1:2" x14ac:dyDescent="0.25">
      <c r="A30438" s="64" t="str">
        <f>HYPERLINK("http://www.twitter.com/alwaysfookinme", "alwaysfookinme")</f>
        <v>alwaysfookinme</v>
      </c>
      <c r="B30438" s="65"/>
    </row>
    <row r="30439" spans="1:2" x14ac:dyDescent="0.25">
      <c r="A30439" s="64" t="str">
        <f>HYPERLINK("http://www.twitter.com/kelbell74", "kelbell74")</f>
        <v>kelbell74</v>
      </c>
      <c r="B30439" s="65" t="s">
        <v>12311</v>
      </c>
    </row>
    <row r="30440" spans="1:2" x14ac:dyDescent="0.25">
      <c r="A30440" s="64" t="str">
        <f>HYPERLINK("http://www.twitter.com/PointyHound", "PointyHound")</f>
        <v>PointyHound</v>
      </c>
      <c r="B30440" s="65" t="s">
        <v>9533</v>
      </c>
    </row>
    <row r="30441" spans="1:2" x14ac:dyDescent="0.25">
      <c r="A30441" s="64" t="str">
        <f>HYPERLINK("http://www.twitter.com/narrowboatlucy", "narrowboatlucy")</f>
        <v>narrowboatlucy</v>
      </c>
      <c r="B30441" s="65" t="s">
        <v>12312</v>
      </c>
    </row>
    <row r="30442" spans="1:2" x14ac:dyDescent="0.25">
      <c r="A30442" s="64" t="str">
        <f>HYPERLINK("http://www.twitter.com/IScollayI", "IScollayI")</f>
        <v>IScollayI</v>
      </c>
      <c r="B30442" s="65" t="s">
        <v>12313</v>
      </c>
    </row>
    <row r="30443" spans="1:2" x14ac:dyDescent="0.25">
      <c r="A30443" s="64" t="str">
        <f>HYPERLINK("http://www.twitter.com/R6_CMD", "R6_CMD")</f>
        <v>R6_CMD</v>
      </c>
      <c r="B30443" s="65" t="s">
        <v>12314</v>
      </c>
    </row>
    <row r="30444" spans="1:2" x14ac:dyDescent="0.25">
      <c r="A30444" s="64" t="str">
        <f>HYPERLINK("http://www.twitter.com/Artfelt_Sheff", "Artfelt_Sheff")</f>
        <v>Artfelt_Sheff</v>
      </c>
      <c r="B30444" s="65" t="s">
        <v>459</v>
      </c>
    </row>
    <row r="30445" spans="1:2" x14ac:dyDescent="0.25">
      <c r="A30445" s="64" t="str">
        <f>HYPERLINK("http://www.twitter.com/dr_hick", "dr_hick")</f>
        <v>dr_hick</v>
      </c>
      <c r="B30445" s="65" t="s">
        <v>36</v>
      </c>
    </row>
    <row r="30446" spans="1:2" x14ac:dyDescent="0.25">
      <c r="A30446" s="64" t="str">
        <f>HYPERLINK("http://www.twitter.com/realandrewgreen", "realandrewgreen")</f>
        <v>realandrewgreen</v>
      </c>
      <c r="B30446" s="65"/>
    </row>
    <row r="30447" spans="1:2" x14ac:dyDescent="0.25">
      <c r="A30447" s="64" t="str">
        <f>HYPERLINK("http://www.twitter.com/Noakes31", "Noakes31")</f>
        <v>Noakes31</v>
      </c>
      <c r="B30447" s="65" t="s">
        <v>5127</v>
      </c>
    </row>
    <row r="30448" spans="1:2" x14ac:dyDescent="0.25">
      <c r="A30448" s="64" t="str">
        <f>HYPERLINK("http://www.twitter.com/Shazom123", "Shazom123")</f>
        <v>Shazom123</v>
      </c>
      <c r="B30448" s="65"/>
    </row>
    <row r="30449" spans="1:2" x14ac:dyDescent="0.25">
      <c r="A30449" s="64" t="str">
        <f>HYPERLINK("http://www.twitter.com/_mightydouche", "_mightydouche")</f>
        <v>_mightydouche</v>
      </c>
      <c r="B30449" s="65" t="s">
        <v>2580</v>
      </c>
    </row>
    <row r="30450" spans="1:2" x14ac:dyDescent="0.25">
      <c r="A30450" s="64" t="str">
        <f>HYPERLINK("http://www.twitter.com/safetywatto", "safetywatto")</f>
        <v>safetywatto</v>
      </c>
      <c r="B30450" s="65" t="s">
        <v>12315</v>
      </c>
    </row>
    <row r="30451" spans="1:2" x14ac:dyDescent="0.25">
      <c r="A30451" s="64" t="str">
        <f>HYPERLINK("http://www.twitter.com/OctoInkjet", "OctoInkjet")</f>
        <v>OctoInkjet</v>
      </c>
      <c r="B30451" s="65" t="s">
        <v>5736</v>
      </c>
    </row>
    <row r="30452" spans="1:2" x14ac:dyDescent="0.25">
      <c r="A30452" s="64" t="str">
        <f>HYPERLINK("http://www.twitter.com/MinetLib", "MinetLib")</f>
        <v>MinetLib</v>
      </c>
      <c r="B30452" s="65" t="s">
        <v>1075</v>
      </c>
    </row>
    <row r="30453" spans="1:2" x14ac:dyDescent="0.25">
      <c r="A30453" s="64" t="str">
        <f>HYPERLINK("http://www.twitter.com/propluslouise", "propluslouise")</f>
        <v>propluslouise</v>
      </c>
      <c r="B30453" s="65" t="s">
        <v>12316</v>
      </c>
    </row>
    <row r="30454" spans="1:2" x14ac:dyDescent="0.25">
      <c r="A30454" s="64" t="str">
        <f>HYPERLINK("http://www.twitter.com/julia_ob", "julia_ob")</f>
        <v>julia_ob</v>
      </c>
      <c r="B30454" s="65"/>
    </row>
    <row r="30455" spans="1:2" x14ac:dyDescent="0.25">
      <c r="A30455" s="64" t="str">
        <f>HYPERLINK("http://www.twitter.com/Nitecirk", "Nitecirk")</f>
        <v>Nitecirk</v>
      </c>
      <c r="B30455" s="65"/>
    </row>
    <row r="30456" spans="1:2" x14ac:dyDescent="0.25">
      <c r="A30456" s="64" t="str">
        <f>HYPERLINK("http://www.twitter.com/GillyHenry", "GillyHenry")</f>
        <v>GillyHenry</v>
      </c>
      <c r="B30456" s="65" t="s">
        <v>871</v>
      </c>
    </row>
    <row r="30457" spans="1:2" x14ac:dyDescent="0.25">
      <c r="A30457" s="64" t="str">
        <f>HYPERLINK("http://www.twitter.com/TomosHeise", "TomosHeise")</f>
        <v>TomosHeise</v>
      </c>
      <c r="B30457" s="65" t="s">
        <v>749</v>
      </c>
    </row>
    <row r="30458" spans="1:2" x14ac:dyDescent="0.25">
      <c r="A30458" s="64" t="str">
        <f>HYPERLINK("http://www.twitter.com/nancecc", "nancecc")</f>
        <v>nancecc</v>
      </c>
      <c r="B30458" s="65" t="s">
        <v>4763</v>
      </c>
    </row>
    <row r="30459" spans="1:2" x14ac:dyDescent="0.25">
      <c r="A30459" s="64" t="str">
        <f>HYPERLINK("http://www.twitter.com/beaneaten", "beaneaten")</f>
        <v>beaneaten</v>
      </c>
      <c r="B30459" s="65" t="s">
        <v>12317</v>
      </c>
    </row>
    <row r="30460" spans="1:2" x14ac:dyDescent="0.25">
      <c r="A30460" s="64" t="str">
        <f>HYPERLINK("http://www.twitter.com/Le_tonk", "Le_tonk")</f>
        <v>Le_tonk</v>
      </c>
      <c r="B30460" s="65"/>
    </row>
    <row r="30461" spans="1:2" x14ac:dyDescent="0.25">
      <c r="A30461" s="64" t="str">
        <f>HYPERLINK("http://www.twitter.com/Lisaistheboss", "Lisaistheboss")</f>
        <v>Lisaistheboss</v>
      </c>
      <c r="B30461" s="65" t="s">
        <v>232</v>
      </c>
    </row>
    <row r="30462" spans="1:2" x14ac:dyDescent="0.25">
      <c r="A30462" s="64" t="str">
        <f>HYPERLINK("http://www.twitter.com/bigbomb1976", "bigbomb1976")</f>
        <v>bigbomb1976</v>
      </c>
      <c r="B30462" s="65" t="s">
        <v>12318</v>
      </c>
    </row>
    <row r="30463" spans="1:2" x14ac:dyDescent="0.25">
      <c r="A30463" s="64" t="str">
        <f>HYPERLINK("http://www.twitter.com/nico_of_bobinus", "nico_of_bobinus")</f>
        <v>nico_of_bobinus</v>
      </c>
      <c r="B30463" s="65" t="s">
        <v>12319</v>
      </c>
    </row>
    <row r="30464" spans="1:2" x14ac:dyDescent="0.25">
      <c r="A30464" s="64" t="str">
        <f>HYPERLINK("http://www.twitter.com/Lance_Bradley_", "Lance_Bradley_")</f>
        <v>Lance_Bradley_</v>
      </c>
      <c r="B30464" s="65" t="s">
        <v>12320</v>
      </c>
    </row>
    <row r="30465" spans="1:2" x14ac:dyDescent="0.25">
      <c r="A30465" s="64" t="str">
        <f>HYPERLINK("http://www.twitter.com/Aileen2710", "Aileen2710")</f>
        <v>Aileen2710</v>
      </c>
      <c r="B30465" s="65"/>
    </row>
    <row r="30466" spans="1:2" x14ac:dyDescent="0.25">
      <c r="A30466" s="64" t="str">
        <f>HYPERLINK("http://www.twitter.com/sarahw3000", "sarahw3000")</f>
        <v>sarahw3000</v>
      </c>
      <c r="B30466" s="65" t="s">
        <v>36</v>
      </c>
    </row>
    <row r="30467" spans="1:2" x14ac:dyDescent="0.25">
      <c r="A30467" s="64" t="str">
        <f>HYPERLINK("http://www.twitter.com/workerbee2013", "workerbee2013")</f>
        <v>workerbee2013</v>
      </c>
      <c r="B30467" s="65" t="s">
        <v>12321</v>
      </c>
    </row>
    <row r="30468" spans="1:2" x14ac:dyDescent="0.25">
      <c r="A30468" s="64" t="str">
        <f>HYPERLINK("http://www.twitter.com/tollboothmusic", "tollboothmusic")</f>
        <v>tollboothmusic</v>
      </c>
      <c r="B30468" s="65"/>
    </row>
    <row r="30469" spans="1:2" x14ac:dyDescent="0.25">
      <c r="A30469" s="64" t="str">
        <f>HYPERLINK("http://www.twitter.com/HolmesL7", "HolmesL7")</f>
        <v>HolmesL7</v>
      </c>
      <c r="B30469" s="65"/>
    </row>
    <row r="30470" spans="1:2" x14ac:dyDescent="0.25">
      <c r="A30470" s="64" t="str">
        <f>HYPERLINK("http://www.twitter.com/kingomountums", "kingomountums")</f>
        <v>kingomountums</v>
      </c>
      <c r="B30470" s="65" t="s">
        <v>12322</v>
      </c>
    </row>
    <row r="30471" spans="1:2" x14ac:dyDescent="0.25">
      <c r="A30471" s="64" t="str">
        <f>HYPERLINK("http://www.twitter.com/Lunnainn", "Lunnainn")</f>
        <v>Lunnainn</v>
      </c>
      <c r="B30471" s="65" t="s">
        <v>12323</v>
      </c>
    </row>
    <row r="30472" spans="1:2" x14ac:dyDescent="0.25">
      <c r="A30472" s="64" t="str">
        <f>HYPERLINK("http://www.twitter.com/Matt17178", "Matt17178")</f>
        <v>Matt17178</v>
      </c>
      <c r="B30472" s="65" t="s">
        <v>1980</v>
      </c>
    </row>
    <row r="30473" spans="1:2" x14ac:dyDescent="0.25">
      <c r="A30473" s="64" t="str">
        <f>HYPERLINK("http://www.twitter.com/paveldouglas", "paveldouglas")</f>
        <v>paveldouglas</v>
      </c>
      <c r="B30473" s="65" t="s">
        <v>1098</v>
      </c>
    </row>
    <row r="30474" spans="1:2" x14ac:dyDescent="0.25">
      <c r="A30474" s="64" t="str">
        <f>HYPERLINK("http://www.twitter.com/lady_addo", "lady_addo")</f>
        <v>lady_addo</v>
      </c>
      <c r="B30474" s="65" t="s">
        <v>6393</v>
      </c>
    </row>
    <row r="30475" spans="1:2" x14ac:dyDescent="0.25">
      <c r="A30475" s="64" t="str">
        <f>HYPERLINK("http://www.twitter.com/ingaboo", "ingaboo")</f>
        <v>ingaboo</v>
      </c>
      <c r="B30475" s="65" t="s">
        <v>12324</v>
      </c>
    </row>
    <row r="30476" spans="1:2" x14ac:dyDescent="0.25">
      <c r="A30476" s="64" t="str">
        <f>HYPERLINK("http://www.twitter.com/sicalcutt", "sicalcutt")</f>
        <v>sicalcutt</v>
      </c>
      <c r="B30476" s="65" t="s">
        <v>12325</v>
      </c>
    </row>
    <row r="30477" spans="1:2" x14ac:dyDescent="0.25">
      <c r="A30477" s="64" t="str">
        <f>HYPERLINK("http://www.twitter.com/devonoli", "devonoli")</f>
        <v>devonoli</v>
      </c>
      <c r="B30477" s="65" t="s">
        <v>8413</v>
      </c>
    </row>
    <row r="30478" spans="1:2" x14ac:dyDescent="0.25">
      <c r="A30478" s="64" t="str">
        <f>HYPERLINK("http://www.twitter.com/insertj0kehere", "insertj0kehere")</f>
        <v>insertj0kehere</v>
      </c>
      <c r="B30478" s="65" t="s">
        <v>12326</v>
      </c>
    </row>
    <row r="30479" spans="1:2" x14ac:dyDescent="0.25">
      <c r="A30479" s="64" t="str">
        <f>HYPERLINK("http://www.twitter.com/MarkTrevorOwen", "MarkTrevorOwen")</f>
        <v>MarkTrevorOwen</v>
      </c>
      <c r="B30479" s="65" t="s">
        <v>12327</v>
      </c>
    </row>
    <row r="30480" spans="1:2" x14ac:dyDescent="0.25">
      <c r="A30480" s="64" t="str">
        <f>HYPERLINK("http://www.twitter.com/posiesmum", "posiesmum")</f>
        <v>posiesmum</v>
      </c>
      <c r="B30480" s="65" t="s">
        <v>4500</v>
      </c>
    </row>
    <row r="30481" spans="1:2" x14ac:dyDescent="0.25">
      <c r="A30481" s="64" t="str">
        <f>HYPERLINK("http://www.twitter.com/CraftyDutchie", "CraftyDutchie")</f>
        <v>CraftyDutchie</v>
      </c>
      <c r="B30481" s="65" t="s">
        <v>12328</v>
      </c>
    </row>
    <row r="30482" spans="1:2" x14ac:dyDescent="0.25">
      <c r="A30482" s="64" t="str">
        <f>HYPERLINK("http://www.twitter.com/RobertMcManus1", "RobertMcManus1")</f>
        <v>RobertMcManus1</v>
      </c>
      <c r="B30482" s="65" t="s">
        <v>12329</v>
      </c>
    </row>
    <row r="30483" spans="1:2" x14ac:dyDescent="0.25">
      <c r="A30483" s="64" t="str">
        <f>HYPERLINK("http://www.twitter.com/pauljchambers", "pauljchambers")</f>
        <v>pauljchambers</v>
      </c>
      <c r="B30483" s="65" t="s">
        <v>1490</v>
      </c>
    </row>
    <row r="30484" spans="1:2" x14ac:dyDescent="0.25">
      <c r="A30484" s="64" t="str">
        <f>HYPERLINK("http://www.twitter.com/MarkiePopstar", "MarkiePopstar")</f>
        <v>MarkiePopstar</v>
      </c>
      <c r="B30484" s="65" t="s">
        <v>459</v>
      </c>
    </row>
    <row r="30485" spans="1:2" x14ac:dyDescent="0.25">
      <c r="A30485" s="64" t="str">
        <f>HYPERLINK("http://www.twitter.com/arcuateline", "arcuateline")</f>
        <v>arcuateline</v>
      </c>
      <c r="B30485" s="65" t="s">
        <v>12330</v>
      </c>
    </row>
    <row r="30486" spans="1:2" x14ac:dyDescent="0.25">
      <c r="A30486" s="64" t="str">
        <f>HYPERLINK("http://www.twitter.com/WillTheEditor", "WillTheEditor")</f>
        <v>WillTheEditor</v>
      </c>
      <c r="B30486" s="65" t="s">
        <v>36</v>
      </c>
    </row>
    <row r="30487" spans="1:2" x14ac:dyDescent="0.25">
      <c r="A30487" s="64" t="str">
        <f>HYPERLINK("http://www.twitter.com/TheBoyFoley", "TheBoyFoley")</f>
        <v>TheBoyFoley</v>
      </c>
      <c r="B30487" s="65"/>
    </row>
    <row r="30488" spans="1:2" x14ac:dyDescent="0.25">
      <c r="A30488" s="64" t="str">
        <f>HYPERLINK("http://www.twitter.com/eletal", "eletal")</f>
        <v>eletal</v>
      </c>
      <c r="B30488" s="65" t="s">
        <v>12331</v>
      </c>
    </row>
    <row r="30489" spans="1:2" x14ac:dyDescent="0.25">
      <c r="A30489" s="64" t="str">
        <f>HYPERLINK("http://www.twitter.com/slenderframe", "slenderframe")</f>
        <v>slenderframe</v>
      </c>
      <c r="B30489" s="65"/>
    </row>
    <row r="30490" spans="1:2" x14ac:dyDescent="0.25">
      <c r="A30490" s="64" t="str">
        <f>HYPERLINK("http://www.twitter.com/richardstirk", "richardstirk")</f>
        <v>richardstirk</v>
      </c>
      <c r="B30490" s="65" t="s">
        <v>12332</v>
      </c>
    </row>
    <row r="30491" spans="1:2" x14ac:dyDescent="0.25">
      <c r="A30491" s="64" t="str">
        <f>HYPERLINK("http://www.twitter.com/eizzil", "eizzil")</f>
        <v>eizzil</v>
      </c>
      <c r="B30491" s="65" t="s">
        <v>12333</v>
      </c>
    </row>
    <row r="30492" spans="1:2" x14ac:dyDescent="0.25">
      <c r="A30492" s="64" t="str">
        <f>HYPERLINK("http://www.twitter.com/joisdancing", "joisdancing")</f>
        <v>joisdancing</v>
      </c>
      <c r="B30492" s="65" t="s">
        <v>5942</v>
      </c>
    </row>
    <row r="30493" spans="1:2" x14ac:dyDescent="0.25">
      <c r="A30493" s="64" t="str">
        <f>HYPERLINK("http://www.twitter.com/VioletBiscuit", "VioletBiscuit")</f>
        <v>VioletBiscuit</v>
      </c>
      <c r="B30493" s="65"/>
    </row>
    <row r="30494" spans="1:2" x14ac:dyDescent="0.25">
      <c r="A30494" s="64" t="str">
        <f>HYPERLINK("http://www.twitter.com/Mrs_Pea68", "Mrs_Pea68")</f>
        <v>Mrs_Pea68</v>
      </c>
      <c r="B30494" s="65" t="s">
        <v>296</v>
      </c>
    </row>
    <row r="30495" spans="1:2" x14ac:dyDescent="0.25">
      <c r="A30495" s="64" t="str">
        <f>HYPERLINK("http://www.twitter.com/Frizbot", "Frizbot")</f>
        <v>Frizbot</v>
      </c>
      <c r="B30495" s="65" t="s">
        <v>459</v>
      </c>
    </row>
    <row r="30496" spans="1:2" x14ac:dyDescent="0.25">
      <c r="A30496" s="64" t="str">
        <f>HYPERLINK("http://www.twitter.com/LaSpange", "LaSpange")</f>
        <v>LaSpange</v>
      </c>
      <c r="B30496" s="65" t="s">
        <v>12334</v>
      </c>
    </row>
    <row r="30497" spans="1:2" x14ac:dyDescent="0.25">
      <c r="A30497" s="64" t="str">
        <f>HYPERLINK("http://www.twitter.com/carlys_tweet", "carlys_tweet")</f>
        <v>carlys_tweet</v>
      </c>
      <c r="B30497" s="65" t="s">
        <v>459</v>
      </c>
    </row>
    <row r="30498" spans="1:2" x14ac:dyDescent="0.25">
      <c r="A30498" s="64" t="str">
        <f>HYPERLINK("http://www.twitter.com/ses2", "ses2")</f>
        <v>ses2</v>
      </c>
      <c r="B30498" s="65"/>
    </row>
    <row r="30499" spans="1:2" x14ac:dyDescent="0.25">
      <c r="A30499" s="64" t="str">
        <f>HYPERLINK("http://www.twitter.com/Conpulsion", "Conpulsion")</f>
        <v>Conpulsion</v>
      </c>
      <c r="B30499" s="65" t="s">
        <v>12335</v>
      </c>
    </row>
    <row r="30500" spans="1:2" x14ac:dyDescent="0.25">
      <c r="A30500" s="64" t="str">
        <f>HYPERLINK("http://www.twitter.com/PhilipGHarris", "PhilipGHarris")</f>
        <v>PhilipGHarris</v>
      </c>
      <c r="B30500" s="65" t="s">
        <v>4442</v>
      </c>
    </row>
    <row r="30501" spans="1:2" x14ac:dyDescent="0.25">
      <c r="A30501" s="64" t="str">
        <f>HYPERLINK("http://www.twitter.com/Litherlander", "Litherlander")</f>
        <v>Litherlander</v>
      </c>
      <c r="B30501" s="65" t="s">
        <v>12336</v>
      </c>
    </row>
    <row r="30502" spans="1:2" x14ac:dyDescent="0.25">
      <c r="A30502" s="64" t="str">
        <f>HYPERLINK("http://www.twitter.com/hipporebecca", "hipporebecca")</f>
        <v>hipporebecca</v>
      </c>
      <c r="B30502" s="65"/>
    </row>
    <row r="30503" spans="1:2" x14ac:dyDescent="0.25">
      <c r="A30503" s="64" t="str">
        <f>HYPERLINK("http://www.twitter.com/NotRobSheridan", "NotRobSheridan")</f>
        <v>NotRobSheridan</v>
      </c>
      <c r="B30503" s="65"/>
    </row>
    <row r="30504" spans="1:2" x14ac:dyDescent="0.25">
      <c r="A30504" s="64" t="str">
        <f>HYPERLINK("http://www.twitter.com/chockey", "chockey")</f>
        <v>chockey</v>
      </c>
      <c r="B30504" s="65" t="s">
        <v>12337</v>
      </c>
    </row>
    <row r="30505" spans="1:2" x14ac:dyDescent="0.25">
      <c r="A30505" s="64" t="str">
        <f>HYPERLINK("http://www.twitter.com/iamsherf", "iamsherf")</f>
        <v>iamsherf</v>
      </c>
      <c r="B30505" s="65"/>
    </row>
    <row r="30506" spans="1:2" x14ac:dyDescent="0.25">
      <c r="A30506" s="64" t="str">
        <f>HYPERLINK("http://www.twitter.com/hannahtrev", "hannahtrev")</f>
        <v>hannahtrev</v>
      </c>
      <c r="B30506" s="65" t="s">
        <v>36</v>
      </c>
    </row>
    <row r="30507" spans="1:2" x14ac:dyDescent="0.25">
      <c r="A30507" s="64" t="str">
        <f>HYPERLINK("http://www.twitter.com/UKParlArts", "UKParlArts")</f>
        <v>UKParlArts</v>
      </c>
      <c r="B30507" s="65" t="s">
        <v>9647</v>
      </c>
    </row>
    <row r="30508" spans="1:2" x14ac:dyDescent="0.25">
      <c r="A30508" s="64" t="str">
        <f>HYPERLINK("http://www.twitter.com/msllama", "msllama")</f>
        <v>msllama</v>
      </c>
      <c r="B30508" s="65" t="s">
        <v>36</v>
      </c>
    </row>
    <row r="30509" spans="1:2" x14ac:dyDescent="0.25">
      <c r="A30509" s="64" t="str">
        <f>HYPERLINK("http://www.twitter.com/SwindonImp", "SwindonImp")</f>
        <v>SwindonImp</v>
      </c>
      <c r="B30509" s="65" t="s">
        <v>2041</v>
      </c>
    </row>
    <row r="30510" spans="1:2" x14ac:dyDescent="0.25">
      <c r="A30510" s="64" t="str">
        <f>HYPERLINK("http://www.twitter.com/captain_doodle", "captain_doodle")</f>
        <v>captain_doodle</v>
      </c>
      <c r="B30510" s="65" t="s">
        <v>12338</v>
      </c>
    </row>
    <row r="30511" spans="1:2" x14ac:dyDescent="0.25">
      <c r="A30511" s="64" t="str">
        <f>HYPERLINK("http://www.twitter.com/Soundslikenina", "Soundslikenina")</f>
        <v>Soundslikenina</v>
      </c>
      <c r="B30511" s="65" t="s">
        <v>5006</v>
      </c>
    </row>
    <row r="30512" spans="1:2" x14ac:dyDescent="0.25">
      <c r="A30512" s="64" t="str">
        <f>HYPERLINK("http://www.twitter.com/Nat_lucks", "Nat_lucks")</f>
        <v>Nat_lucks</v>
      </c>
      <c r="B30512" s="65" t="s">
        <v>12339</v>
      </c>
    </row>
    <row r="30513" spans="1:2" x14ac:dyDescent="0.25">
      <c r="A30513" s="64" t="str">
        <f>HYPERLINK("http://www.twitter.com/Pauline_Grice", "Pauline_Grice")</f>
        <v>Pauline_Grice</v>
      </c>
      <c r="B30513" s="65" t="s">
        <v>12340</v>
      </c>
    </row>
    <row r="30514" spans="1:2" x14ac:dyDescent="0.25">
      <c r="A30514" s="64" t="str">
        <f>HYPERLINK("http://www.twitter.com/Clare74", "Clare74")</f>
        <v>Clare74</v>
      </c>
      <c r="B30514" s="65" t="s">
        <v>102</v>
      </c>
    </row>
    <row r="30515" spans="1:2" x14ac:dyDescent="0.25">
      <c r="A30515" s="64" t="str">
        <f>HYPERLINK("http://www.twitter.com/barbedquill", "barbedquill")</f>
        <v>barbedquill</v>
      </c>
      <c r="B30515" s="65" t="s">
        <v>12341</v>
      </c>
    </row>
    <row r="30516" spans="1:2" x14ac:dyDescent="0.25">
      <c r="A30516" s="64" t="str">
        <f>HYPERLINK("http://www.twitter.com/jadam813", "jadam813")</f>
        <v>jadam813</v>
      </c>
      <c r="B30516" s="65" t="s">
        <v>6195</v>
      </c>
    </row>
    <row r="30517" spans="1:2" x14ac:dyDescent="0.25">
      <c r="A30517" s="64" t="str">
        <f>HYPERLINK("http://www.twitter.com/PrincessObtaria", "PrincessObtaria")</f>
        <v>PrincessObtaria</v>
      </c>
      <c r="B30517" s="65" t="s">
        <v>296</v>
      </c>
    </row>
    <row r="30518" spans="1:2" x14ac:dyDescent="0.25">
      <c r="A30518" s="64" t="str">
        <f>HYPERLINK("http://www.twitter.com/Genloo", "Genloo")</f>
        <v>Genloo</v>
      </c>
      <c r="B30518" s="65" t="s">
        <v>1841</v>
      </c>
    </row>
    <row r="30519" spans="1:2" x14ac:dyDescent="0.25">
      <c r="A30519" s="64" t="str">
        <f>HYPERLINK("http://www.twitter.com/TJ_Temple", "TJ_Temple")</f>
        <v>TJ_Temple</v>
      </c>
      <c r="B30519" s="65" t="s">
        <v>12342</v>
      </c>
    </row>
    <row r="30520" spans="1:2" x14ac:dyDescent="0.25">
      <c r="A30520" s="64" t="str">
        <f>HYPERLINK("http://www.twitter.com/KarenShale", "KarenShale")</f>
        <v>KarenShale</v>
      </c>
      <c r="B30520" s="65"/>
    </row>
    <row r="30521" spans="1:2" x14ac:dyDescent="0.25">
      <c r="A30521" s="64" t="str">
        <f>HYPERLINK("http://www.twitter.com/zozimus", "zozimus")</f>
        <v>zozimus</v>
      </c>
      <c r="B30521" s="65" t="s">
        <v>3760</v>
      </c>
    </row>
    <row r="30522" spans="1:2" x14ac:dyDescent="0.25">
      <c r="A30522" s="64" t="str">
        <f>HYPERLINK("http://www.twitter.com/Drewlj", "Drewlj")</f>
        <v>Drewlj</v>
      </c>
      <c r="B30522" s="65" t="s">
        <v>8229</v>
      </c>
    </row>
    <row r="30523" spans="1:2" x14ac:dyDescent="0.25">
      <c r="A30523" s="64" t="str">
        <f>HYPERLINK("http://www.twitter.com/PsychoticLynx", "PsychoticLynx")</f>
        <v>PsychoticLynx</v>
      </c>
      <c r="B30523" s="65" t="s">
        <v>4349</v>
      </c>
    </row>
    <row r="30524" spans="1:2" x14ac:dyDescent="0.25">
      <c r="A30524" s="64" t="str">
        <f>HYPERLINK("http://www.twitter.com/ELinLewes", "ELinLewes")</f>
        <v>ELinLewes</v>
      </c>
      <c r="B30524" s="65"/>
    </row>
    <row r="30525" spans="1:2" x14ac:dyDescent="0.25">
      <c r="A30525" s="64" t="str">
        <f>HYPERLINK("http://www.twitter.com/HumbieOwl", "HumbieOwl")</f>
        <v>HumbieOwl</v>
      </c>
      <c r="B30525" s="65"/>
    </row>
    <row r="30526" spans="1:2" x14ac:dyDescent="0.25">
      <c r="A30526" s="64" t="str">
        <f>HYPERLINK("http://www.twitter.com/tildyteacake", "tildyteacake")</f>
        <v>tildyteacake</v>
      </c>
      <c r="B30526" s="65" t="s">
        <v>12343</v>
      </c>
    </row>
    <row r="30527" spans="1:2" x14ac:dyDescent="0.25">
      <c r="A30527" s="64" t="str">
        <f>HYPERLINK("http://www.twitter.com/mobilelibrarian", "mobilelibrarian")</f>
        <v>mobilelibrarian</v>
      </c>
      <c r="B30527" s="65"/>
    </row>
    <row r="30528" spans="1:2" x14ac:dyDescent="0.25">
      <c r="A30528" s="64" t="str">
        <f>HYPERLINK("http://www.twitter.com/strange_angel", "strange_angel")</f>
        <v>strange_angel</v>
      </c>
      <c r="B30528" s="65" t="s">
        <v>517</v>
      </c>
    </row>
    <row r="30529" spans="1:2" x14ac:dyDescent="0.25">
      <c r="A30529" s="64" t="str">
        <f>HYPERLINK("http://www.twitter.com/AndrewBCarfrae", "AndrewBCarfrae")</f>
        <v>AndrewBCarfrae</v>
      </c>
      <c r="B30529" s="65" t="s">
        <v>3988</v>
      </c>
    </row>
    <row r="30530" spans="1:2" x14ac:dyDescent="0.25">
      <c r="A30530" s="64" t="str">
        <f>HYPERLINK("http://www.twitter.com/ceiriospie", "ceiriospie")</f>
        <v>ceiriospie</v>
      </c>
      <c r="B30530" s="65"/>
    </row>
    <row r="30531" spans="1:2" x14ac:dyDescent="0.25">
      <c r="A30531" s="64" t="str">
        <f>HYPERLINK("http://www.twitter.com/vonredbeard", "vonredbeard")</f>
        <v>vonredbeard</v>
      </c>
      <c r="B30531" s="65" t="s">
        <v>487</v>
      </c>
    </row>
    <row r="30532" spans="1:2" x14ac:dyDescent="0.25">
      <c r="A30532" s="64" t="str">
        <f>HYPERLINK("http://www.twitter.com/CMKForsyth", "CMKForsyth")</f>
        <v>CMKForsyth</v>
      </c>
      <c r="B30532" s="65"/>
    </row>
    <row r="30533" spans="1:2" x14ac:dyDescent="0.25">
      <c r="A30533" s="64" t="str">
        <f>HYPERLINK("http://www.twitter.com/rosie111", "rosie111")</f>
        <v>rosie111</v>
      </c>
      <c r="B30533" s="65"/>
    </row>
    <row r="30534" spans="1:2" x14ac:dyDescent="0.25">
      <c r="A30534" s="64" t="str">
        <f>HYPERLINK("http://www.twitter.com/BroxiBairn", "BroxiBairn")</f>
        <v>BroxiBairn</v>
      </c>
      <c r="B30534" s="65" t="s">
        <v>12344</v>
      </c>
    </row>
    <row r="30535" spans="1:2" x14ac:dyDescent="0.25">
      <c r="A30535" s="64" t="str">
        <f>HYPERLINK("http://www.twitter.com/JTullock", "JTullock")</f>
        <v>JTullock</v>
      </c>
      <c r="B30535" s="65" t="s">
        <v>12345</v>
      </c>
    </row>
    <row r="30536" spans="1:2" x14ac:dyDescent="0.25">
      <c r="A30536" s="64" t="str">
        <f>HYPERLINK("http://www.twitter.com/rs_mcdonald", "rs_mcdonald")</f>
        <v>rs_mcdonald</v>
      </c>
      <c r="B30536" s="65" t="s">
        <v>1689</v>
      </c>
    </row>
    <row r="30537" spans="1:2" x14ac:dyDescent="0.25">
      <c r="A30537" s="64" t="str">
        <f>HYPERLINK("http://www.twitter.com/tip2tail", "tip2tail")</f>
        <v>tip2tail</v>
      </c>
      <c r="B30537" s="65" t="s">
        <v>6490</v>
      </c>
    </row>
    <row r="30538" spans="1:2" x14ac:dyDescent="0.25">
      <c r="A30538" s="64" t="str">
        <f>HYPERLINK("http://www.twitter.com/adamwilde", "adamwilde")</f>
        <v>adamwilde</v>
      </c>
      <c r="B30538" s="65" t="s">
        <v>346</v>
      </c>
    </row>
    <row r="30539" spans="1:2" x14ac:dyDescent="0.25">
      <c r="A30539" s="64" t="str">
        <f>HYPERLINK("http://www.twitter.com/altojude", "altojude")</f>
        <v>altojude</v>
      </c>
      <c r="B30539" s="65" t="s">
        <v>138</v>
      </c>
    </row>
    <row r="30540" spans="1:2" x14ac:dyDescent="0.25">
      <c r="A30540" s="64" t="str">
        <f>HYPERLINK("http://www.twitter.com/Just_Graeme", "Just_Graeme")</f>
        <v>Just_Graeme</v>
      </c>
      <c r="B30540" s="65" t="s">
        <v>24</v>
      </c>
    </row>
    <row r="30541" spans="1:2" x14ac:dyDescent="0.25">
      <c r="A30541" s="64" t="str">
        <f>HYPERLINK("http://www.twitter.com/EyeEdinburgh", "EyeEdinburgh")</f>
        <v>EyeEdinburgh</v>
      </c>
      <c r="B30541" s="65" t="s">
        <v>24</v>
      </c>
    </row>
    <row r="30542" spans="1:2" x14ac:dyDescent="0.25">
      <c r="A30542" s="64" t="str">
        <f>HYPERLINK("http://www.twitter.com/Pipalala", "Pipalala")</f>
        <v>Pipalala</v>
      </c>
      <c r="B30542" s="65"/>
    </row>
    <row r="30543" spans="1:2" x14ac:dyDescent="0.25">
      <c r="A30543" s="64" t="str">
        <f>HYPERLINK("http://www.twitter.com/srobb9", "srobb9")</f>
        <v>srobb9</v>
      </c>
      <c r="B30543" s="65"/>
    </row>
    <row r="30544" spans="1:2" x14ac:dyDescent="0.25">
      <c r="A30544" s="64" t="str">
        <f>HYPERLINK("http://www.twitter.com/kkersplat", "kkersplat")</f>
        <v>kkersplat</v>
      </c>
      <c r="B30544" s="65"/>
    </row>
    <row r="30545" spans="1:2" x14ac:dyDescent="0.25">
      <c r="A30545" s="64" t="str">
        <f>HYPERLINK("http://www.twitter.com/OutofSchoolClub", "OutofSchoolClub")</f>
        <v>OutofSchoolClub</v>
      </c>
      <c r="B30545" s="65" t="s">
        <v>61</v>
      </c>
    </row>
    <row r="30546" spans="1:2" x14ac:dyDescent="0.25">
      <c r="A30546" s="64" t="str">
        <f>HYPERLINK("http://www.twitter.com/Deflict", "Deflict")</f>
        <v>Deflict</v>
      </c>
      <c r="B30546" s="65" t="s">
        <v>12346</v>
      </c>
    </row>
    <row r="30547" spans="1:2" x14ac:dyDescent="0.25">
      <c r="A30547" s="64" t="str">
        <f>HYPERLINK("http://www.twitter.com/Al_dmc", "Al_dmc")</f>
        <v>Al_dmc</v>
      </c>
      <c r="B30547" s="65"/>
    </row>
    <row r="30548" spans="1:2" x14ac:dyDescent="0.25">
      <c r="A30548" s="64" t="str">
        <f>HYPERLINK("http://www.twitter.com/MikeCrockart", "MikeCrockart")</f>
        <v>MikeCrockart</v>
      </c>
      <c r="B30548" s="65" t="s">
        <v>24</v>
      </c>
    </row>
    <row r="30549" spans="1:2" x14ac:dyDescent="0.25">
      <c r="A30549" s="64" t="str">
        <f>HYPERLINK("http://www.twitter.com/80sNostalgia", "80sNostalgia")</f>
        <v>80sNostalgia</v>
      </c>
      <c r="B30549" s="65" t="s">
        <v>12347</v>
      </c>
    </row>
    <row r="30550" spans="1:2" x14ac:dyDescent="0.25">
      <c r="A30550" s="64" t="str">
        <f>HYPERLINK("http://www.twitter.com/RSPBScotland", "RSPBScotland")</f>
        <v>RSPBScotland</v>
      </c>
      <c r="B30550" s="65" t="s">
        <v>517</v>
      </c>
    </row>
    <row r="30551" spans="1:2" x14ac:dyDescent="0.25">
      <c r="A30551" s="64" t="str">
        <f>HYPERLINK("http://www.twitter.com/skywoman", "skywoman")</f>
        <v>skywoman</v>
      </c>
      <c r="B30551" s="65" t="s">
        <v>2449</v>
      </c>
    </row>
    <row r="30552" spans="1:2" x14ac:dyDescent="0.25">
      <c r="A30552" s="64" t="str">
        <f>HYPERLINK("http://www.twitter.com/illuminatus", "illuminatus")</f>
        <v>illuminatus</v>
      </c>
      <c r="B30552" s="65" t="s">
        <v>12348</v>
      </c>
    </row>
    <row r="30553" spans="1:2" x14ac:dyDescent="0.25">
      <c r="A30553" s="64" t="str">
        <f>HYPERLINK("http://www.twitter.com/craftyguider", "craftyguider")</f>
        <v>craftyguider</v>
      </c>
      <c r="B30553" s="65" t="s">
        <v>296</v>
      </c>
    </row>
    <row r="30554" spans="1:2" x14ac:dyDescent="0.25">
      <c r="A30554" s="64" t="str">
        <f>HYPERLINK("http://www.twitter.com/Joycieontheplot", "Joycieontheplot")</f>
        <v>Joycieontheplot</v>
      </c>
      <c r="B30554" s="65" t="s">
        <v>2007</v>
      </c>
    </row>
    <row r="30555" spans="1:2" x14ac:dyDescent="0.25">
      <c r="A30555" s="64" t="str">
        <f>HYPERLINK("http://www.twitter.com/suncloc", "suncloc")</f>
        <v>suncloc</v>
      </c>
      <c r="B30555" s="65"/>
    </row>
    <row r="30556" spans="1:2" x14ac:dyDescent="0.25">
      <c r="A30556" s="64" t="str">
        <f>HYPERLINK("http://www.twitter.com/MVerweijmeren", "MVerweijmeren")</f>
        <v>MVerweijmeren</v>
      </c>
      <c r="B30556" s="65" t="s">
        <v>12349</v>
      </c>
    </row>
    <row r="30557" spans="1:2" x14ac:dyDescent="0.25">
      <c r="A30557" s="64" t="str">
        <f>HYPERLINK("http://www.twitter.com/oonions", "oonions")</f>
        <v>oonions</v>
      </c>
      <c r="B30557" s="65"/>
    </row>
    <row r="30558" spans="1:2" x14ac:dyDescent="0.25">
      <c r="A30558" s="64" t="str">
        <f>HYPERLINK("http://www.twitter.com/johnshuttlewrth", "johnshuttlewrth")</f>
        <v>johnshuttlewrth</v>
      </c>
      <c r="B30558" s="65" t="s">
        <v>12350</v>
      </c>
    </row>
    <row r="30559" spans="1:2" x14ac:dyDescent="0.25">
      <c r="A30559" s="64" t="str">
        <f>HYPERLINK("http://www.twitter.com/CHunt88", "CHunt88")</f>
        <v>CHunt88</v>
      </c>
      <c r="B30559" s="65" t="s">
        <v>12351</v>
      </c>
    </row>
    <row r="30560" spans="1:2" x14ac:dyDescent="0.25">
      <c r="A30560" s="64" t="str">
        <f>HYPERLINK("http://www.twitter.com/AngelaOwusu1", "AngelaOwusu1")</f>
        <v>AngelaOwusu1</v>
      </c>
      <c r="B30560" s="65" t="s">
        <v>4673</v>
      </c>
    </row>
    <row r="30561" spans="1:2" x14ac:dyDescent="0.25">
      <c r="A30561" s="64" t="str">
        <f>HYPERLINK("http://www.twitter.com/mushacles", "mushacles")</f>
        <v>mushacles</v>
      </c>
      <c r="B30561" s="65" t="s">
        <v>3842</v>
      </c>
    </row>
    <row r="30562" spans="1:2" x14ac:dyDescent="0.25">
      <c r="A30562" s="64" t="str">
        <f>HYPERLINK("http://www.twitter.com/ExParrot92", "ExParrot92")</f>
        <v>ExParrot92</v>
      </c>
      <c r="B30562" s="65" t="s">
        <v>10369</v>
      </c>
    </row>
    <row r="30563" spans="1:2" x14ac:dyDescent="0.25">
      <c r="A30563" s="64" t="str">
        <f>HYPERLINK("http://www.twitter.com/DamienHenderson", "DamienHenderson")</f>
        <v>DamienHenderson</v>
      </c>
      <c r="B30563" s="65" t="s">
        <v>318</v>
      </c>
    </row>
    <row r="30564" spans="1:2" x14ac:dyDescent="0.25">
      <c r="A30564" s="64" t="str">
        <f>HYPERLINK("http://www.twitter.com/The_Mighty_Ape", "The_Mighty_Ape")</f>
        <v>The_Mighty_Ape</v>
      </c>
      <c r="B30564" s="65" t="s">
        <v>642</v>
      </c>
    </row>
    <row r="30565" spans="1:2" x14ac:dyDescent="0.25">
      <c r="A30565" s="64" t="str">
        <f>HYPERLINK("http://www.twitter.com/bassrockbella", "bassrockbella")</f>
        <v>bassrockbella</v>
      </c>
      <c r="B30565" s="65" t="s">
        <v>4215</v>
      </c>
    </row>
    <row r="30566" spans="1:2" x14ac:dyDescent="0.25">
      <c r="A30566" s="64" t="str">
        <f>HYPERLINK("http://www.twitter.com/BeaBam40", "BeaBam40")</f>
        <v>BeaBam40</v>
      </c>
      <c r="B30566" s="65"/>
    </row>
    <row r="30567" spans="1:2" x14ac:dyDescent="0.25">
      <c r="A30567" s="64" t="str">
        <f>HYPERLINK("http://www.twitter.com/Lynne_Currie", "Lynne_Currie")</f>
        <v>Lynne_Currie</v>
      </c>
      <c r="B30567" s="65"/>
    </row>
    <row r="30568" spans="1:2" x14ac:dyDescent="0.25">
      <c r="A30568" s="64" t="str">
        <f>HYPERLINK("http://www.twitter.com/GotaBackup", "GotaBackup")</f>
        <v>GotaBackup</v>
      </c>
      <c r="B30568" s="65" t="s">
        <v>12352</v>
      </c>
    </row>
    <row r="30569" spans="1:2" x14ac:dyDescent="0.25">
      <c r="A30569" s="64" t="str">
        <f>HYPERLINK("http://www.twitter.com/BullseyeTVshow", "BullseyeTVshow")</f>
        <v>BullseyeTVshow</v>
      </c>
      <c r="B30569" s="65" t="s">
        <v>36</v>
      </c>
    </row>
    <row r="30570" spans="1:2" x14ac:dyDescent="0.25">
      <c r="A30570" s="64" t="str">
        <f>HYPERLINK("http://www.twitter.com/majesticliv", "majesticliv")</f>
        <v>majesticliv</v>
      </c>
      <c r="B30570" s="65" t="s">
        <v>12353</v>
      </c>
    </row>
    <row r="30571" spans="1:2" x14ac:dyDescent="0.25">
      <c r="A30571" s="64" t="str">
        <f>HYPERLINK("http://www.twitter.com/HolyroodKate", "HolyroodKate")</f>
        <v>HolyroodKate</v>
      </c>
      <c r="B30571" s="65" t="s">
        <v>24</v>
      </c>
    </row>
    <row r="30572" spans="1:2" x14ac:dyDescent="0.25">
      <c r="A30572" s="64" t="str">
        <f>HYPERLINK("http://www.twitter.com/lexiconzero", "lexiconzero")</f>
        <v>lexiconzero</v>
      </c>
      <c r="B30572" s="65"/>
    </row>
    <row r="30573" spans="1:2" x14ac:dyDescent="0.25">
      <c r="A30573" s="64" t="str">
        <f>HYPERLINK("http://www.twitter.com/jimatmonks", "jimatmonks")</f>
        <v>jimatmonks</v>
      </c>
      <c r="B30573" s="65" t="s">
        <v>12354</v>
      </c>
    </row>
    <row r="30574" spans="1:2" x14ac:dyDescent="0.25">
      <c r="A30574" s="64" t="str">
        <f>HYPERLINK("http://www.twitter.com/TierraDR", "TierraDR")</f>
        <v>TierraDR</v>
      </c>
      <c r="B30574" s="65" t="s">
        <v>67</v>
      </c>
    </row>
    <row r="30575" spans="1:2" x14ac:dyDescent="0.25">
      <c r="A30575" s="64" t="str">
        <f>HYPERLINK("http://www.twitter.com/arbellablue", "arbellablue")</f>
        <v>arbellablue</v>
      </c>
      <c r="B30575" s="65" t="s">
        <v>517</v>
      </c>
    </row>
    <row r="30576" spans="1:2" x14ac:dyDescent="0.25">
      <c r="A30576" s="64" t="str">
        <f>HYPERLINK("http://www.twitter.com/SamElliott1", "SamElliott1")</f>
        <v>SamElliott1</v>
      </c>
      <c r="B30576" s="65" t="s">
        <v>511</v>
      </c>
    </row>
    <row r="30577" spans="1:2" x14ac:dyDescent="0.25">
      <c r="A30577" s="64" t="str">
        <f>HYPERLINK("http://www.twitter.com/kennyritch", "kennyritch")</f>
        <v>kennyritch</v>
      </c>
      <c r="B30577" s="65" t="s">
        <v>4519</v>
      </c>
    </row>
    <row r="30578" spans="1:2" x14ac:dyDescent="0.25">
      <c r="A30578" s="64" t="str">
        <f>HYPERLINK("http://www.twitter.com/calummacdonald2", "calummacdonald2")</f>
        <v>calummacdonald2</v>
      </c>
      <c r="B30578" s="65" t="s">
        <v>487</v>
      </c>
    </row>
    <row r="30579" spans="1:2" x14ac:dyDescent="0.25">
      <c r="A30579" s="64" t="str">
        <f>HYPERLINK("http://www.twitter.com/mariawolters", "mariawolters")</f>
        <v>mariawolters</v>
      </c>
      <c r="B30579" s="65" t="s">
        <v>4840</v>
      </c>
    </row>
    <row r="30580" spans="1:2" x14ac:dyDescent="0.25">
      <c r="A30580" s="64" t="str">
        <f>HYPERLINK("http://www.twitter.com/gibblet_16", "gibblet_16")</f>
        <v>gibblet_16</v>
      </c>
      <c r="B30580" s="65" t="s">
        <v>4050</v>
      </c>
    </row>
    <row r="30581" spans="1:2" x14ac:dyDescent="0.25">
      <c r="A30581" s="64" t="str">
        <f>HYPERLINK("http://www.twitter.com/MrTumshie", "MrTumshie")</f>
        <v>MrTumshie</v>
      </c>
      <c r="B30581" s="65" t="s">
        <v>12355</v>
      </c>
    </row>
    <row r="30582" spans="1:2" x14ac:dyDescent="0.25">
      <c r="A30582" s="64" t="str">
        <f>HYPERLINK("http://www.twitter.com/nannychrisMa", "nannychrisMa")</f>
        <v>nannychrisMa</v>
      </c>
      <c r="B30582" s="65"/>
    </row>
    <row r="30583" spans="1:2" x14ac:dyDescent="0.25">
      <c r="A30583" s="64" t="str">
        <f>HYPERLINK("http://www.twitter.com/edintfest", "edintfest")</f>
        <v>edintfest</v>
      </c>
      <c r="B30583" s="65" t="s">
        <v>24</v>
      </c>
    </row>
    <row r="30584" spans="1:2" x14ac:dyDescent="0.25">
      <c r="A30584" s="64" t="str">
        <f>HYPERLINK("http://www.twitter.com/smgrady", "smgrady")</f>
        <v>smgrady</v>
      </c>
      <c r="B30584" s="65" t="s">
        <v>12356</v>
      </c>
    </row>
    <row r="30585" spans="1:2" x14ac:dyDescent="0.25">
      <c r="A30585" s="64" t="str">
        <f>HYPERLINK("http://www.twitter.com/unilibrary", "unilibrary")</f>
        <v>unilibrary</v>
      </c>
      <c r="B30585" s="65" t="s">
        <v>4147</v>
      </c>
    </row>
    <row r="30586" spans="1:2" x14ac:dyDescent="0.25">
      <c r="A30586" s="64" t="str">
        <f>HYPERLINK("http://www.twitter.com/shonamacd1", "shonamacd1")</f>
        <v>shonamacd1</v>
      </c>
      <c r="B30586" s="65"/>
    </row>
    <row r="30587" spans="1:2" x14ac:dyDescent="0.25">
      <c r="A30587" s="64" t="str">
        <f>HYPERLINK("http://www.twitter.com/KCooperTweets", "KCooperTweets")</f>
        <v>KCooperTweets</v>
      </c>
      <c r="B30587" s="65" t="s">
        <v>808</v>
      </c>
    </row>
    <row r="30588" spans="1:2" x14ac:dyDescent="0.25">
      <c r="A30588" s="64" t="str">
        <f>HYPERLINK("http://www.twitter.com/misc_misc", "misc_misc")</f>
        <v>misc_misc</v>
      </c>
      <c r="B30588" s="65"/>
    </row>
    <row r="30589" spans="1:2" x14ac:dyDescent="0.25">
      <c r="A30589" s="64" t="str">
        <f>HYPERLINK("http://www.twitter.com/scotslawstudent", "scotslawstudent")</f>
        <v>scotslawstudent</v>
      </c>
      <c r="B30589" s="65" t="s">
        <v>138</v>
      </c>
    </row>
    <row r="30590" spans="1:2" x14ac:dyDescent="0.25">
      <c r="A30590" s="64" t="str">
        <f>HYPERLINK("http://www.twitter.com/Paul_Morris_13", "Paul_Morris_13")</f>
        <v>Paul_Morris_13</v>
      </c>
      <c r="B30590" s="65" t="s">
        <v>517</v>
      </c>
    </row>
    <row r="30591" spans="1:2" x14ac:dyDescent="0.25">
      <c r="A30591" s="64" t="str">
        <f>HYPERLINK("http://www.twitter.com/gobhamor", "gobhamor")</f>
        <v>gobhamor</v>
      </c>
      <c r="B30591" s="65" t="s">
        <v>138</v>
      </c>
    </row>
    <row r="30592" spans="1:2" x14ac:dyDescent="0.25">
      <c r="A30592" s="64" t="str">
        <f>HYPERLINK("http://www.twitter.com/mariannepowell", "mariannepowell")</f>
        <v>mariannepowell</v>
      </c>
      <c r="B30592" s="65" t="s">
        <v>36</v>
      </c>
    </row>
    <row r="30593" spans="1:2" x14ac:dyDescent="0.25">
      <c r="A30593" s="64" t="str">
        <f>HYPERLINK("http://www.twitter.com/brasense", "brasense")</f>
        <v>brasense</v>
      </c>
      <c r="B30593" s="65" t="s">
        <v>12357</v>
      </c>
    </row>
    <row r="30594" spans="1:2" x14ac:dyDescent="0.25">
      <c r="A30594" s="64" t="str">
        <f>HYPERLINK("http://www.twitter.com/lovingmenowUK", "lovingmenowUK")</f>
        <v>lovingmenowUK</v>
      </c>
      <c r="B30594" s="65" t="s">
        <v>12358</v>
      </c>
    </row>
    <row r="30595" spans="1:2" x14ac:dyDescent="0.25">
      <c r="A30595" s="64" t="str">
        <f>HYPERLINK("http://www.twitter.com/isobel_goudie", "isobel_goudie")</f>
        <v>isobel_goudie</v>
      </c>
      <c r="B30595" s="65" t="s">
        <v>12359</v>
      </c>
    </row>
    <row r="30596" spans="1:2" x14ac:dyDescent="0.25">
      <c r="A30596" s="64" t="str">
        <f>HYPERLINK("http://www.twitter.com/VEThoxton", "VEThoxton")</f>
        <v>VEThoxton</v>
      </c>
      <c r="B30596" s="65" t="s">
        <v>477</v>
      </c>
    </row>
    <row r="30597" spans="1:2" x14ac:dyDescent="0.25">
      <c r="A30597" s="64" t="str">
        <f>HYPERLINK("http://www.twitter.com/lesleykinney", "lesleykinney")</f>
        <v>lesleykinney</v>
      </c>
      <c r="B30597" s="65" t="s">
        <v>318</v>
      </c>
    </row>
    <row r="30598" spans="1:2" x14ac:dyDescent="0.25">
      <c r="A30598" s="64" t="str">
        <f>HYPERLINK("http://www.twitter.com/MrTimG", "MrTimG")</f>
        <v>MrTimG</v>
      </c>
      <c r="B30598" s="65" t="s">
        <v>2602</v>
      </c>
    </row>
    <row r="30599" spans="1:2" x14ac:dyDescent="0.25">
      <c r="A30599" s="64" t="str">
        <f>HYPERLINK("http://www.twitter.com/kevinnjackson", "kevinnjackson")</f>
        <v>kevinnjackson</v>
      </c>
      <c r="B30599" s="65" t="s">
        <v>138</v>
      </c>
    </row>
    <row r="30600" spans="1:2" x14ac:dyDescent="0.25">
      <c r="A30600" s="64" t="str">
        <f>HYPERLINK("http://www.twitter.com/NicolaMcAlley", "NicolaMcAlley")</f>
        <v>NicolaMcAlley</v>
      </c>
      <c r="B30600" s="65" t="s">
        <v>4447</v>
      </c>
    </row>
    <row r="30601" spans="1:2" x14ac:dyDescent="0.25">
      <c r="A30601" s="64" t="str">
        <f>HYPERLINK("http://www.twitter.com/penrich1", "penrich1")</f>
        <v>penrich1</v>
      </c>
      <c r="B30601" s="65" t="s">
        <v>1221</v>
      </c>
    </row>
    <row r="30602" spans="1:2" x14ac:dyDescent="0.25">
      <c r="A30602" s="64" t="str">
        <f>HYPERLINK("http://www.twitter.com/lizritson", "lizritson")</f>
        <v>lizritson</v>
      </c>
      <c r="B30602" s="65" t="s">
        <v>12360</v>
      </c>
    </row>
    <row r="30603" spans="1:2" x14ac:dyDescent="0.25">
      <c r="A30603" s="64" t="str">
        <f>HYPERLINK("http://www.twitter.com/Lanstephan", "Lanstephan")</f>
        <v>Lanstephan</v>
      </c>
      <c r="B30603" s="65" t="s">
        <v>12361</v>
      </c>
    </row>
    <row r="30604" spans="1:2" x14ac:dyDescent="0.25">
      <c r="A30604" s="64" t="str">
        <f>HYPERLINK("http://www.twitter.com/al_robertson", "al_robertson")</f>
        <v>al_robertson</v>
      </c>
      <c r="B30604" s="65" t="s">
        <v>7458</v>
      </c>
    </row>
    <row r="30605" spans="1:2" x14ac:dyDescent="0.25">
      <c r="A30605" s="64" t="str">
        <f>HYPERLINK("http://www.twitter.com/AssuredLearning", "AssuredLearning")</f>
        <v>AssuredLearning</v>
      </c>
      <c r="B30605" s="65" t="s">
        <v>1862</v>
      </c>
    </row>
    <row r="30606" spans="1:2" x14ac:dyDescent="0.25">
      <c r="A30606" s="64" t="str">
        <f>HYPERLINK("http://www.twitter.com/angelastormont", "angelastormont")</f>
        <v>angelastormont</v>
      </c>
      <c r="B30606" s="65" t="s">
        <v>24</v>
      </c>
    </row>
    <row r="30607" spans="1:2" x14ac:dyDescent="0.25">
      <c r="A30607" s="64" t="str">
        <f>HYPERLINK("http://www.twitter.com/CaroleRobertso2", "CaroleRobertso2")</f>
        <v>CaroleRobertso2</v>
      </c>
      <c r="B30607" s="65" t="s">
        <v>3660</v>
      </c>
    </row>
    <row r="30608" spans="1:2" x14ac:dyDescent="0.25">
      <c r="A30608" s="64" t="str">
        <f>HYPERLINK("http://www.twitter.com/AnnaCampbelloz", "AnnaCampbelloz")</f>
        <v>AnnaCampbelloz</v>
      </c>
      <c r="B30608" s="65" t="s">
        <v>12362</v>
      </c>
    </row>
    <row r="30609" spans="1:2" x14ac:dyDescent="0.25">
      <c r="A30609" s="64" t="str">
        <f>HYPERLINK("http://www.twitter.com/carolpratt56", "carolpratt56")</f>
        <v>carolpratt56</v>
      </c>
      <c r="B30609" s="65" t="s">
        <v>12363</v>
      </c>
    </row>
    <row r="30610" spans="1:2" x14ac:dyDescent="0.25">
      <c r="A30610" s="64" t="str">
        <f>HYPERLINK("http://www.twitter.com/evafairlie", "evafairlie")</f>
        <v>evafairlie</v>
      </c>
      <c r="B30610" s="65"/>
    </row>
    <row r="30611" spans="1:2" x14ac:dyDescent="0.25">
      <c r="A30611" s="64" t="str">
        <f>HYPERLINK("http://www.twitter.com/showells1", "showells1")</f>
        <v>showells1</v>
      </c>
      <c r="B30611" s="65"/>
    </row>
    <row r="30612" spans="1:2" x14ac:dyDescent="0.25">
      <c r="A30612" s="64" t="str">
        <f>HYPERLINK("http://www.twitter.com/KarolineAKemp", "KarolineAKemp")</f>
        <v>KarolineAKemp</v>
      </c>
      <c r="B30612" s="65" t="s">
        <v>2774</v>
      </c>
    </row>
    <row r="30613" spans="1:2" x14ac:dyDescent="0.25">
      <c r="A30613" s="64" t="str">
        <f>HYPERLINK("http://www.twitter.com/elizabethbuchan", "elizabethbuchan")</f>
        <v>elizabethbuchan</v>
      </c>
      <c r="B30613" s="65" t="s">
        <v>110</v>
      </c>
    </row>
    <row r="30614" spans="1:2" x14ac:dyDescent="0.25">
      <c r="A30614" s="64" t="str">
        <f>HYPERLINK("http://www.twitter.com/Freddiepoos1984", "Freddiepoos1984")</f>
        <v>Freddiepoos1984</v>
      </c>
      <c r="B30614" s="65" t="s">
        <v>118</v>
      </c>
    </row>
    <row r="30615" spans="1:2" x14ac:dyDescent="0.25">
      <c r="A30615" s="64" t="str">
        <f>HYPERLINK("http://www.twitter.com/JanneGeraedts", "JanneGeraedts")</f>
        <v>JanneGeraedts</v>
      </c>
      <c r="B30615" s="65" t="s">
        <v>12364</v>
      </c>
    </row>
    <row r="30616" spans="1:2" x14ac:dyDescent="0.25">
      <c r="A30616" s="64" t="str">
        <f>HYPERLINK("http://www.twitter.com/charcharcatpig", "charcharcatpig")</f>
        <v>charcharcatpig</v>
      </c>
      <c r="B30616" s="65" t="s">
        <v>12365</v>
      </c>
    </row>
    <row r="30617" spans="1:2" x14ac:dyDescent="0.25">
      <c r="A30617" s="64" t="str">
        <f>HYPERLINK("http://www.twitter.com/whereswoolly", "whereswoolly")</f>
        <v>whereswoolly</v>
      </c>
      <c r="B30617" s="65"/>
    </row>
    <row r="30618" spans="1:2" x14ac:dyDescent="0.25">
      <c r="A30618" s="64" t="str">
        <f>HYPERLINK("http://www.twitter.com/AnneJar", "AnneJar")</f>
        <v>AnneJar</v>
      </c>
      <c r="B30618" s="65" t="s">
        <v>3210</v>
      </c>
    </row>
    <row r="30619" spans="1:2" x14ac:dyDescent="0.25">
      <c r="A30619" s="64" t="str">
        <f>HYPERLINK("http://www.twitter.com/JennyTipping", "JennyTipping")</f>
        <v>JennyTipping</v>
      </c>
      <c r="B30619" s="65" t="s">
        <v>12366</v>
      </c>
    </row>
    <row r="30620" spans="1:2" x14ac:dyDescent="0.25">
      <c r="A30620" s="64" t="str">
        <f>HYPERLINK("http://www.twitter.com/DoctorSlack", "DoctorSlack")</f>
        <v>DoctorSlack</v>
      </c>
      <c r="B30620" s="65" t="s">
        <v>4040</v>
      </c>
    </row>
    <row r="30621" spans="1:2" x14ac:dyDescent="0.25">
      <c r="A30621" s="64" t="str">
        <f>HYPERLINK("http://www.twitter.com/kiwiLiz", "kiwiLiz")</f>
        <v>kiwiLiz</v>
      </c>
      <c r="B30621" s="65" t="s">
        <v>12367</v>
      </c>
    </row>
    <row r="30622" spans="1:2" x14ac:dyDescent="0.25">
      <c r="A30622" s="64" t="str">
        <f>HYPERLINK("http://www.twitter.com/Nerf101", "Nerf101")</f>
        <v>Nerf101</v>
      </c>
      <c r="B30622" s="65"/>
    </row>
    <row r="30623" spans="1:2" x14ac:dyDescent="0.25">
      <c r="A30623" s="64" t="str">
        <f>HYPERLINK("http://www.twitter.com/drdzwol", "drdzwol")</f>
        <v>drdzwol</v>
      </c>
      <c r="B30623" s="65" t="s">
        <v>12368</v>
      </c>
    </row>
    <row r="30624" spans="1:2" x14ac:dyDescent="0.25">
      <c r="A30624" s="64" t="str">
        <f>HYPERLINK("http://www.twitter.com/Puka_mess", "Puka_mess")</f>
        <v>Puka_mess</v>
      </c>
      <c r="B30624" s="65"/>
    </row>
    <row r="30625" spans="1:2" x14ac:dyDescent="0.25">
      <c r="A30625" s="64" t="str">
        <f>HYPERLINK("http://www.twitter.com/mredwards", "mredwards")</f>
        <v>mredwards</v>
      </c>
      <c r="B30625" s="65" t="s">
        <v>5135</v>
      </c>
    </row>
    <row r="30626" spans="1:2" x14ac:dyDescent="0.25">
      <c r="A30626" s="64" t="str">
        <f>HYPERLINK("http://www.twitter.com/KimberlyFain", "KimberlyFain")</f>
        <v>KimberlyFain</v>
      </c>
      <c r="B30626" s="65" t="s">
        <v>12369</v>
      </c>
    </row>
    <row r="30627" spans="1:2" x14ac:dyDescent="0.25">
      <c r="A30627" s="64" t="str">
        <f>HYPERLINK("http://www.twitter.com/JaneTruelove", "JaneTruelove")</f>
        <v>JaneTruelove</v>
      </c>
      <c r="B30627" s="65"/>
    </row>
    <row r="30628" spans="1:2" x14ac:dyDescent="0.25">
      <c r="A30628" s="64" t="str">
        <f>HYPERLINK("http://www.twitter.com/LizMcKay1950", "LizMcKay1950")</f>
        <v>LizMcKay1950</v>
      </c>
      <c r="B30628" s="65" t="s">
        <v>517</v>
      </c>
    </row>
    <row r="30629" spans="1:2" x14ac:dyDescent="0.25">
      <c r="A30629" s="64" t="str">
        <f>HYPERLINK("http://www.twitter.com/chelsea_ak", "chelsea_ak")</f>
        <v>chelsea_ak</v>
      </c>
      <c r="B30629" s="65" t="s">
        <v>4895</v>
      </c>
    </row>
    <row r="30630" spans="1:2" x14ac:dyDescent="0.25">
      <c r="A30630" s="64" t="str">
        <f>HYPERLINK("http://www.twitter.com/Latterdaylush", "Latterdaylush")</f>
        <v>Latterdaylush</v>
      </c>
      <c r="B30630" s="65"/>
    </row>
    <row r="30631" spans="1:2" x14ac:dyDescent="0.25">
      <c r="A30631" s="64" t="str">
        <f>HYPERLINK("http://www.twitter.com/badlene", "badlene")</f>
        <v>badlene</v>
      </c>
      <c r="B30631" s="65"/>
    </row>
    <row r="30632" spans="1:2" x14ac:dyDescent="0.25">
      <c r="A30632" s="64" t="str">
        <f>HYPERLINK("http://www.twitter.com/HerLifeStory", "HerLifeStory")</f>
        <v>HerLifeStory</v>
      </c>
      <c r="B30632" s="65"/>
    </row>
    <row r="30633" spans="1:2" x14ac:dyDescent="0.25">
      <c r="A30633" s="64" t="str">
        <f>HYPERLINK("http://www.twitter.com/NorthernAutumn", "NorthernAutumn")</f>
        <v>NorthernAutumn</v>
      </c>
      <c r="B30633" s="65" t="s">
        <v>12370</v>
      </c>
    </row>
    <row r="30634" spans="1:2" x14ac:dyDescent="0.25">
      <c r="A30634" s="64" t="str">
        <f>HYPERLINK("http://www.twitter.com/filmbuff62", "filmbuff62")</f>
        <v>filmbuff62</v>
      </c>
      <c r="B30634" s="65" t="s">
        <v>12371</v>
      </c>
    </row>
    <row r="30635" spans="1:2" x14ac:dyDescent="0.25">
      <c r="A30635" s="64" t="str">
        <f>HYPERLINK("http://www.twitter.com/DaisyBaker", "DaisyBaker")</f>
        <v>DaisyBaker</v>
      </c>
      <c r="B30635" s="65" t="s">
        <v>12372</v>
      </c>
    </row>
    <row r="30636" spans="1:2" x14ac:dyDescent="0.25">
      <c r="A30636" s="64" t="str">
        <f>HYPERLINK("http://www.twitter.com/minkprisoner", "minkprisoner")</f>
        <v>minkprisoner</v>
      </c>
      <c r="B30636" s="65"/>
    </row>
    <row r="30637" spans="1:2" x14ac:dyDescent="0.25">
      <c r="A30637" s="64" t="str">
        <f>HYPERLINK("http://www.twitter.com/SandraMangan_", "SandraMangan_")</f>
        <v>SandraMangan_</v>
      </c>
      <c r="B30637" s="65" t="s">
        <v>448</v>
      </c>
    </row>
    <row r="30638" spans="1:2" x14ac:dyDescent="0.25">
      <c r="A30638" s="64" t="str">
        <f>HYPERLINK("http://www.twitter.com/ScarletBanna", "ScarletBanna")</f>
        <v>ScarletBanna</v>
      </c>
      <c r="B30638" s="65"/>
    </row>
    <row r="30639" spans="1:2" x14ac:dyDescent="0.25">
      <c r="A30639" s="64" t="str">
        <f>HYPERLINK("http://www.twitter.com/catherinekerruk", "catherinekerruk")</f>
        <v>catherinekerruk</v>
      </c>
      <c r="B30639" s="65" t="s">
        <v>318</v>
      </c>
    </row>
    <row r="30640" spans="1:2" x14ac:dyDescent="0.25">
      <c r="A30640" s="64" t="str">
        <f>HYPERLINK("http://www.twitter.com/elfkay", "elfkay")</f>
        <v>elfkay</v>
      </c>
      <c r="B30640" s="65" t="s">
        <v>36</v>
      </c>
    </row>
    <row r="30641" spans="1:2" x14ac:dyDescent="0.25">
      <c r="A30641" s="64" t="str">
        <f>HYPERLINK("http://www.twitter.com/DouglasSlater1", "DouglasSlater1")</f>
        <v>DouglasSlater1</v>
      </c>
      <c r="B30641" s="65"/>
    </row>
    <row r="30642" spans="1:2" x14ac:dyDescent="0.25">
      <c r="A30642" s="64" t="str">
        <f>HYPERLINK("http://www.twitter.com/EricWallace78", "EricWallace78")</f>
        <v>EricWallace78</v>
      </c>
      <c r="B30642" s="65"/>
    </row>
    <row r="30643" spans="1:2" x14ac:dyDescent="0.25">
      <c r="A30643" s="64" t="str">
        <f>HYPERLINK("http://www.twitter.com/rcpearce", "rcpearce")</f>
        <v>rcpearce</v>
      </c>
      <c r="B30643" s="65"/>
    </row>
    <row r="30644" spans="1:2" x14ac:dyDescent="0.25">
      <c r="A30644" s="64" t="str">
        <f>HYPERLINK("http://www.twitter.com/LuminateScot", "LuminateScot")</f>
        <v>LuminateScot</v>
      </c>
      <c r="B30644" s="65" t="s">
        <v>517</v>
      </c>
    </row>
    <row r="30645" spans="1:2" x14ac:dyDescent="0.25">
      <c r="A30645" s="64" t="str">
        <f>HYPERLINK("http://www.twitter.com/NPTCLibraries", "NPTCLibraries")</f>
        <v>NPTCLibraries</v>
      </c>
      <c r="B30645" s="65"/>
    </row>
    <row r="30646" spans="1:2" x14ac:dyDescent="0.25">
      <c r="A30646" s="64" t="str">
        <f>HYPERLINK("http://www.twitter.com/ArnoldWhitewolf", "ArnoldWhitewolf")</f>
        <v>ArnoldWhitewolf</v>
      </c>
      <c r="B30646" s="65" t="s">
        <v>12373</v>
      </c>
    </row>
    <row r="30647" spans="1:2" x14ac:dyDescent="0.25">
      <c r="A30647" s="64" t="str">
        <f>HYPERLINK("http://www.twitter.com/CottageDarkBat", "CottageDarkBat")</f>
        <v>CottageDarkBat</v>
      </c>
      <c r="B30647" s="65" t="s">
        <v>12374</v>
      </c>
    </row>
    <row r="30648" spans="1:2" x14ac:dyDescent="0.25">
      <c r="A30648" s="64" t="str">
        <f>HYPERLINK("http://www.twitter.com/rdykes32", "rdykes32")</f>
        <v>rdykes32</v>
      </c>
      <c r="B30648" s="65"/>
    </row>
    <row r="30649" spans="1:2" x14ac:dyDescent="0.25">
      <c r="A30649" s="64" t="str">
        <f>HYPERLINK("http://www.twitter.com/fhuysmans", "fhuysmans")</f>
        <v>fhuysmans</v>
      </c>
      <c r="B30649" s="65" t="s">
        <v>4253</v>
      </c>
    </row>
    <row r="30650" spans="1:2" x14ac:dyDescent="0.25">
      <c r="A30650" s="64" t="str">
        <f>HYPERLINK("http://www.twitter.com/alysirv", "alysirv")</f>
        <v>alysirv</v>
      </c>
      <c r="B30650" s="65"/>
    </row>
    <row r="30651" spans="1:2" x14ac:dyDescent="0.25">
      <c r="A30651" s="64" t="str">
        <f>HYPERLINK("http://www.twitter.com/ArcherRuth", "ArcherRuth")</f>
        <v>ArcherRuth</v>
      </c>
      <c r="B30651" s="65" t="s">
        <v>12375</v>
      </c>
    </row>
    <row r="30652" spans="1:2" x14ac:dyDescent="0.25">
      <c r="A30652" s="64" t="str">
        <f>HYPERLINK("http://www.twitter.com/HereIsMolly", "HereIsMolly")</f>
        <v>HereIsMolly</v>
      </c>
      <c r="B30652" s="65" t="s">
        <v>12376</v>
      </c>
    </row>
    <row r="30653" spans="1:2" x14ac:dyDescent="0.25">
      <c r="A30653" s="64" t="str">
        <f>HYPERLINK("http://www.twitter.com/YJScotland", "YJScotland")</f>
        <v>YJScotland</v>
      </c>
      <c r="B30653" s="65" t="s">
        <v>487</v>
      </c>
    </row>
    <row r="30654" spans="1:2" x14ac:dyDescent="0.25">
      <c r="A30654" s="64" t="str">
        <f>HYPERLINK("http://www.twitter.com/Derek_France", "Derek_France")</f>
        <v>Derek_France</v>
      </c>
      <c r="B30654" s="65" t="s">
        <v>8799</v>
      </c>
    </row>
    <row r="30655" spans="1:2" x14ac:dyDescent="0.25">
      <c r="A30655" s="64" t="str">
        <f>HYPERLINK("http://www.twitter.com/sophierymer", "sophierymer")</f>
        <v>sophierymer</v>
      </c>
      <c r="B30655" s="65" t="s">
        <v>3781</v>
      </c>
    </row>
    <row r="30656" spans="1:2" x14ac:dyDescent="0.25">
      <c r="A30656" s="64" t="str">
        <f>HYPERLINK("http://www.twitter.com/dwdpress1", "dwdpress1")</f>
        <v>dwdpress1</v>
      </c>
      <c r="B30656" s="65" t="s">
        <v>12377</v>
      </c>
    </row>
    <row r="30657" spans="1:2" x14ac:dyDescent="0.25">
      <c r="A30657" s="64" t="str">
        <f>HYPERLINK("http://www.twitter.com/BenJacobsCA", "BenJacobsCA")</f>
        <v>BenJacobsCA</v>
      </c>
      <c r="B30657" s="65" t="s">
        <v>12378</v>
      </c>
    </row>
    <row r="30658" spans="1:2" x14ac:dyDescent="0.25">
      <c r="A30658" s="64" t="str">
        <f>HYPERLINK("http://www.twitter.com/TechMenace", "TechMenace")</f>
        <v>TechMenace</v>
      </c>
      <c r="B30658" s="65" t="s">
        <v>12379</v>
      </c>
    </row>
    <row r="30659" spans="1:2" x14ac:dyDescent="0.25">
      <c r="A30659" s="64" t="str">
        <f>HYPERLINK("http://www.twitter.com/sonanka", "sonanka")</f>
        <v>sonanka</v>
      </c>
      <c r="B30659" s="65" t="s">
        <v>12380</v>
      </c>
    </row>
    <row r="30660" spans="1:2" x14ac:dyDescent="0.25">
      <c r="A30660" s="64" t="str">
        <f>HYPERLINK("http://www.twitter.com/TserenkhandCh", "TserenkhandCh")</f>
        <v>TserenkhandCh</v>
      </c>
      <c r="B30660" s="65" t="s">
        <v>12381</v>
      </c>
    </row>
    <row r="30661" spans="1:2" x14ac:dyDescent="0.25">
      <c r="A30661" s="64" t="str">
        <f>HYPERLINK("http://www.twitter.com/SarahLean1", "SarahLean1")</f>
        <v>SarahLean1</v>
      </c>
      <c r="B30661" s="65" t="s">
        <v>3262</v>
      </c>
    </row>
    <row r="30662" spans="1:2" x14ac:dyDescent="0.25">
      <c r="A30662" s="64" t="str">
        <f>HYPERLINK("http://www.twitter.com/LEIDLLC", "LEIDLLC")</f>
        <v>LEIDLLC</v>
      </c>
      <c r="B30662" s="65" t="s">
        <v>12382</v>
      </c>
    </row>
    <row r="30663" spans="1:2" x14ac:dyDescent="0.25">
      <c r="A30663" s="64" t="str">
        <f>HYPERLINK("http://www.twitter.com/nickcoen", "nickcoen")</f>
        <v>nickcoen</v>
      </c>
      <c r="B30663" s="65" t="s">
        <v>12383</v>
      </c>
    </row>
    <row r="30664" spans="1:2" x14ac:dyDescent="0.25">
      <c r="A30664" s="64" t="str">
        <f>HYPERLINK("http://www.twitter.com/qazitory", "qazitory")</f>
        <v>qazitory</v>
      </c>
      <c r="B30664" s="65" t="s">
        <v>459</v>
      </c>
    </row>
    <row r="30665" spans="1:2" x14ac:dyDescent="0.25">
      <c r="A30665" s="64" t="str">
        <f>HYPERLINK("http://www.twitter.com/GingerandHarve", "GingerandHarve")</f>
        <v>GingerandHarve</v>
      </c>
      <c r="B30665" s="65" t="s">
        <v>318</v>
      </c>
    </row>
    <row r="30666" spans="1:2" x14ac:dyDescent="0.25">
      <c r="A30666" s="64" t="str">
        <f>HYPERLINK("http://www.twitter.com/Bodeecia", "Bodeecia")</f>
        <v>Bodeecia</v>
      </c>
      <c r="B30666" s="65"/>
    </row>
    <row r="30667" spans="1:2" x14ac:dyDescent="0.25">
      <c r="A30667" s="64" t="str">
        <f>HYPERLINK("http://www.twitter.com/Pam_nAshes", "Pam_nAshes")</f>
        <v>Pam_nAshes</v>
      </c>
      <c r="B30667" s="65" t="s">
        <v>12384</v>
      </c>
    </row>
    <row r="30668" spans="1:2" x14ac:dyDescent="0.25">
      <c r="A30668" s="64" t="str">
        <f>HYPERLINK("http://www.twitter.com/jacrats", "jacrats")</f>
        <v>jacrats</v>
      </c>
      <c r="B30668" s="65" t="s">
        <v>421</v>
      </c>
    </row>
    <row r="30669" spans="1:2" x14ac:dyDescent="0.25">
      <c r="A30669" s="64" t="str">
        <f>HYPERLINK("http://www.twitter.com/Jilly_M", "Jilly_M")</f>
        <v>Jilly_M</v>
      </c>
      <c r="B30669" s="65" t="s">
        <v>8533</v>
      </c>
    </row>
    <row r="30670" spans="1:2" x14ac:dyDescent="0.25">
      <c r="A30670" s="64" t="str">
        <f>HYPERLINK("http://www.twitter.com/casci56", "casci56")</f>
        <v>casci56</v>
      </c>
      <c r="B30670" s="65" t="s">
        <v>138</v>
      </c>
    </row>
    <row r="30671" spans="1:2" x14ac:dyDescent="0.25">
      <c r="A30671" s="64" t="str">
        <f>HYPERLINK("http://www.twitter.com/Zoetrope11", "Zoetrope11")</f>
        <v>Zoetrope11</v>
      </c>
      <c r="B30671" s="65" t="s">
        <v>33</v>
      </c>
    </row>
    <row r="30672" spans="1:2" x14ac:dyDescent="0.25">
      <c r="A30672" s="64" t="str">
        <f>HYPERLINK("http://www.twitter.com/dhothersall", "dhothersall")</f>
        <v>dhothersall</v>
      </c>
      <c r="B30672" s="65" t="s">
        <v>67</v>
      </c>
    </row>
    <row r="30673" spans="1:2" x14ac:dyDescent="0.25">
      <c r="A30673" s="64" t="str">
        <f>HYPERLINK("http://www.twitter.com/ripplescrafts", "ripplescrafts")</f>
        <v>ripplescrafts</v>
      </c>
      <c r="B30673" s="65" t="s">
        <v>5336</v>
      </c>
    </row>
    <row r="30674" spans="1:2" x14ac:dyDescent="0.25">
      <c r="A30674" s="64" t="str">
        <f>HYPERLINK("http://www.twitter.com/PAPAWESRAYJeans", "PAPAWESRAYJeans")</f>
        <v>PAPAWESRAYJeans</v>
      </c>
      <c r="B30674" s="65" t="s">
        <v>12385</v>
      </c>
    </row>
    <row r="30675" spans="1:2" x14ac:dyDescent="0.25">
      <c r="A30675" s="64" t="str">
        <f>HYPERLINK("http://www.twitter.com/Nykohler", "Nykohler")</f>
        <v>Nykohler</v>
      </c>
      <c r="B30675" s="65" t="s">
        <v>33</v>
      </c>
    </row>
    <row r="30676" spans="1:2" x14ac:dyDescent="0.25">
      <c r="A30676" s="64" t="str">
        <f>HYPERLINK("http://www.twitter.com/SueDP", "SueDP")</f>
        <v>SueDP</v>
      </c>
      <c r="B30676" s="65" t="s">
        <v>6257</v>
      </c>
    </row>
    <row r="30677" spans="1:2" x14ac:dyDescent="0.25">
      <c r="A30677" s="64" t="str">
        <f>HYPERLINK("http://www.twitter.com/strangemeetings", "strangemeetings")</f>
        <v>strangemeetings</v>
      </c>
      <c r="B30677" s="65"/>
    </row>
    <row r="30678" spans="1:2" x14ac:dyDescent="0.25">
      <c r="A30678" s="64" t="str">
        <f>HYPERLINK("http://www.twitter.com/Victuallers", "Victuallers")</f>
        <v>Victuallers</v>
      </c>
      <c r="B30678" s="65" t="s">
        <v>12386</v>
      </c>
    </row>
    <row r="30679" spans="1:2" x14ac:dyDescent="0.25">
      <c r="A30679" s="64" t="str">
        <f>HYPERLINK("http://www.twitter.com/MrMatRay", "MrMatRay")</f>
        <v>MrMatRay</v>
      </c>
      <c r="B30679" s="65" t="s">
        <v>514</v>
      </c>
    </row>
    <row r="30680" spans="1:2" x14ac:dyDescent="0.25">
      <c r="A30680" s="64" t="str">
        <f>HYPERLINK("http://www.twitter.com/JohnRPhillips80", "JohnRPhillips80")</f>
        <v>JohnRPhillips80</v>
      </c>
      <c r="B30680" s="65"/>
    </row>
    <row r="30681" spans="1:2" x14ac:dyDescent="0.25">
      <c r="A30681" s="64" t="str">
        <f>HYPERLINK("http://www.twitter.com/jeckm9", "jeckm9")</f>
        <v>jeckm9</v>
      </c>
      <c r="B30681" s="65"/>
    </row>
    <row r="30682" spans="1:2" x14ac:dyDescent="0.25">
      <c r="A30682" s="64" t="str">
        <f>HYPERLINK("http://www.twitter.com/DelFerg", "DelFerg")</f>
        <v>DelFerg</v>
      </c>
      <c r="B30682" s="65" t="s">
        <v>421</v>
      </c>
    </row>
    <row r="30683" spans="1:2" x14ac:dyDescent="0.25">
      <c r="A30683" s="64" t="str">
        <f>HYPERLINK("http://www.twitter.com/AnnaHerriman", "AnnaHerriman")</f>
        <v>AnnaHerriman</v>
      </c>
      <c r="B30683" s="65" t="s">
        <v>24</v>
      </c>
    </row>
    <row r="30684" spans="1:2" x14ac:dyDescent="0.25">
      <c r="A30684" s="64" t="str">
        <f>HYPERLINK("http://www.twitter.com/unimelb_lawlib", "unimelb_lawlib")</f>
        <v>unimelb_lawlib</v>
      </c>
      <c r="B30684" s="65" t="s">
        <v>12387</v>
      </c>
    </row>
    <row r="30685" spans="1:2" x14ac:dyDescent="0.25">
      <c r="A30685" s="64" t="str">
        <f>HYPERLINK("http://www.twitter.com/VictorToure", "VictorToure")</f>
        <v>VictorToure</v>
      </c>
      <c r="B30685" s="65" t="s">
        <v>12388</v>
      </c>
    </row>
    <row r="30686" spans="1:2" x14ac:dyDescent="0.25">
      <c r="A30686" s="64" t="str">
        <f>HYPERLINK("http://www.twitter.com/bentollett", "bentollett")</f>
        <v>bentollett</v>
      </c>
      <c r="B30686" s="65"/>
    </row>
    <row r="30687" spans="1:2" x14ac:dyDescent="0.25">
      <c r="A30687" s="64" t="str">
        <f>HYPERLINK("http://www.twitter.com/AmyBalmain", "AmyBalmain")</f>
        <v>AmyBalmain</v>
      </c>
      <c r="B30687" s="65" t="s">
        <v>4360</v>
      </c>
    </row>
    <row r="30688" spans="1:2" x14ac:dyDescent="0.25">
      <c r="A30688" s="64" t="str">
        <f>HYPERLINK("http://www.twitter.com/Si_Genaro", "Si_Genaro")</f>
        <v>Si_Genaro</v>
      </c>
      <c r="B30688" s="65" t="s">
        <v>12389</v>
      </c>
    </row>
    <row r="30689" spans="1:2" x14ac:dyDescent="0.25">
      <c r="A30689" s="64" t="str">
        <f>HYPERLINK("http://www.twitter.com/LNKNCL", "LNKNCL")</f>
        <v>LNKNCL</v>
      </c>
      <c r="B30689" s="65" t="s">
        <v>361</v>
      </c>
    </row>
    <row r="30690" spans="1:2" x14ac:dyDescent="0.25">
      <c r="A30690" s="64" t="str">
        <f>HYPERLINK("http://www.twitter.com/ShortStoryMonth", "ShortStoryMonth")</f>
        <v>ShortStoryMonth</v>
      </c>
      <c r="B30690" s="65"/>
    </row>
    <row r="30691" spans="1:2" x14ac:dyDescent="0.25">
      <c r="A30691" s="64" t="str">
        <f>HYPERLINK("http://www.twitter.com/NeWtJazz", "NeWtJazz")</f>
        <v>NeWtJazz</v>
      </c>
      <c r="B30691" s="65" t="s">
        <v>24</v>
      </c>
    </row>
    <row r="30692" spans="1:2" x14ac:dyDescent="0.25">
      <c r="A30692" s="64" t="str">
        <f>HYPERLINK("http://www.twitter.com/orkneywebdesign", "orkneywebdesign")</f>
        <v>orkneywebdesign</v>
      </c>
      <c r="B30692" s="65" t="s">
        <v>7076</v>
      </c>
    </row>
    <row r="30693" spans="1:2" x14ac:dyDescent="0.25">
      <c r="A30693" s="64" t="str">
        <f>HYPERLINK("http://www.twitter.com/CariaMendes", "CariaMendes")</f>
        <v>CariaMendes</v>
      </c>
      <c r="B30693" s="65" t="s">
        <v>12390</v>
      </c>
    </row>
    <row r="30694" spans="1:2" x14ac:dyDescent="0.25">
      <c r="A30694" s="64" t="str">
        <f>HYPERLINK("http://www.twitter.com/msmox", "msmox")</f>
        <v>msmox</v>
      </c>
      <c r="B30694" s="65" t="s">
        <v>24</v>
      </c>
    </row>
    <row r="30695" spans="1:2" x14ac:dyDescent="0.25">
      <c r="A30695" s="64" t="str">
        <f>HYPERLINK("http://www.twitter.com/mike_sh", "mike_sh")</f>
        <v>mike_sh</v>
      </c>
      <c r="B30695" s="65" t="s">
        <v>12391</v>
      </c>
    </row>
    <row r="30696" spans="1:2" x14ac:dyDescent="0.25">
      <c r="A30696" s="64" t="str">
        <f>HYPERLINK("http://www.twitter.com/lmtcrow", "lmtcrow")</f>
        <v>lmtcrow</v>
      </c>
      <c r="B30696" s="65"/>
    </row>
    <row r="30697" spans="1:2" x14ac:dyDescent="0.25">
      <c r="A30697" s="64" t="str">
        <f>HYPERLINK("http://www.twitter.com/Bananarama2017", "Bananarama2017")</f>
        <v>Bananarama2017</v>
      </c>
      <c r="B30697" s="65" t="s">
        <v>12392</v>
      </c>
    </row>
    <row r="30698" spans="1:2" x14ac:dyDescent="0.25">
      <c r="A30698" s="64" t="str">
        <f>HYPERLINK("http://www.twitter.com/JulieBertagna", "JulieBertagna")</f>
        <v>JulieBertagna</v>
      </c>
      <c r="B30698" s="65" t="s">
        <v>517</v>
      </c>
    </row>
    <row r="30699" spans="1:2" x14ac:dyDescent="0.25">
      <c r="A30699" s="64" t="str">
        <f>HYPERLINK("http://www.twitter.com/lindahazle", "lindahazle")</f>
        <v>lindahazle</v>
      </c>
      <c r="B30699" s="65" t="s">
        <v>70</v>
      </c>
    </row>
    <row r="30700" spans="1:2" x14ac:dyDescent="0.25">
      <c r="A30700" s="64" t="str">
        <f>HYPERLINK("http://www.twitter.com/Peediedeek", "Peediedeek")</f>
        <v>Peediedeek</v>
      </c>
      <c r="B30700" s="65"/>
    </row>
    <row r="30701" spans="1:2" x14ac:dyDescent="0.25">
      <c r="A30701" s="64" t="str">
        <f>HYPERLINK("http://www.twitter.com/AnLeabharLiath", "AnLeabharLiath")</f>
        <v>AnLeabharLiath</v>
      </c>
      <c r="B30701" s="65" t="s">
        <v>7344</v>
      </c>
    </row>
    <row r="30702" spans="1:2" x14ac:dyDescent="0.25">
      <c r="A30702" s="64" t="str">
        <f>HYPERLINK("http://www.twitter.com/julieakon", "julieakon")</f>
        <v>julieakon</v>
      </c>
      <c r="B30702" s="65"/>
    </row>
    <row r="30703" spans="1:2" x14ac:dyDescent="0.25">
      <c r="A30703" s="64" t="str">
        <f>HYPERLINK("http://www.twitter.com/LorineMS", "LorineMS")</f>
        <v>LorineMS</v>
      </c>
      <c r="B30703" s="65" t="s">
        <v>4678</v>
      </c>
    </row>
    <row r="30704" spans="1:2" x14ac:dyDescent="0.25">
      <c r="A30704" s="64" t="str">
        <f>HYPERLINK("http://www.twitter.com/G1llWatts", "G1llWatts")</f>
        <v>G1llWatts</v>
      </c>
      <c r="B30704" s="65" t="s">
        <v>2289</v>
      </c>
    </row>
    <row r="30705" spans="1:2" x14ac:dyDescent="0.25">
      <c r="A30705" s="64" t="str">
        <f>HYPERLINK("http://www.twitter.com/GB_Verlag", "GB_Verlag")</f>
        <v>GB_Verlag</v>
      </c>
      <c r="B30705" s="65"/>
    </row>
    <row r="30706" spans="1:2" x14ac:dyDescent="0.25">
      <c r="A30706" s="64" t="str">
        <f>HYPERLINK("http://www.twitter.com/LIBFlibrary", "LIBFlibrary")</f>
        <v>LIBFlibrary</v>
      </c>
      <c r="B30706" s="65" t="s">
        <v>70</v>
      </c>
    </row>
    <row r="30707" spans="1:2" x14ac:dyDescent="0.25">
      <c r="A30707" s="64" t="str">
        <f>HYPERLINK("http://www.twitter.com/saira172", "saira172")</f>
        <v>saira172</v>
      </c>
      <c r="B30707" s="65" t="s">
        <v>2981</v>
      </c>
    </row>
    <row r="30708" spans="1:2" x14ac:dyDescent="0.25">
      <c r="A30708" s="64" t="str">
        <f>HYPERLINK("http://www.twitter.com/MissHenning86", "MissHenning86")</f>
        <v>MissHenning86</v>
      </c>
      <c r="B30708" s="65" t="s">
        <v>20</v>
      </c>
    </row>
    <row r="30709" spans="1:2" x14ac:dyDescent="0.25">
      <c r="A30709" s="64" t="str">
        <f>HYPERLINK("http://www.twitter.com/Beth_Barany", "Beth_Barany")</f>
        <v>Beth_Barany</v>
      </c>
      <c r="B30709" s="65" t="s">
        <v>4848</v>
      </c>
    </row>
    <row r="30710" spans="1:2" x14ac:dyDescent="0.25">
      <c r="A30710" s="64" t="str">
        <f>HYPERLINK("http://www.twitter.com/migrate2digital", "migrate2digital")</f>
        <v>migrate2digital</v>
      </c>
      <c r="B30710" s="65" t="s">
        <v>4492</v>
      </c>
    </row>
    <row r="30711" spans="1:2" x14ac:dyDescent="0.25">
      <c r="A30711" s="64" t="str">
        <f>HYPERLINK("http://www.twitter.com/jamestopp", "jamestopp")</f>
        <v>jamestopp</v>
      </c>
      <c r="B30711" s="65" t="s">
        <v>4654</v>
      </c>
    </row>
    <row r="30712" spans="1:2" x14ac:dyDescent="0.25">
      <c r="A30712" s="64" t="str">
        <f>HYPERLINK("http://www.twitter.com/moonlightbinder", "moonlightbinder")</f>
        <v>moonlightbinder</v>
      </c>
      <c r="B30712" s="65" t="s">
        <v>7617</v>
      </c>
    </row>
    <row r="30713" spans="1:2" x14ac:dyDescent="0.25">
      <c r="A30713" s="64" t="str">
        <f>HYPERLINK("http://www.twitter.com/drigolin", "drigolin")</f>
        <v>drigolin</v>
      </c>
      <c r="B30713" s="65" t="s">
        <v>4834</v>
      </c>
    </row>
    <row r="30714" spans="1:2" x14ac:dyDescent="0.25">
      <c r="A30714" s="64" t="str">
        <f>HYPERLINK("http://www.twitter.com/rupertfoster1", "rupertfoster1")</f>
        <v>rupertfoster1</v>
      </c>
      <c r="B30714" s="65"/>
    </row>
    <row r="30715" spans="1:2" x14ac:dyDescent="0.25">
      <c r="A30715" s="64" t="str">
        <f>HYPERLINK("http://www.twitter.com/Mozlenko", "Mozlenko")</f>
        <v>Mozlenko</v>
      </c>
      <c r="B30715" s="65" t="s">
        <v>12393</v>
      </c>
    </row>
    <row r="30716" spans="1:2" x14ac:dyDescent="0.25">
      <c r="A30716" s="64" t="str">
        <f>HYPERLINK("http://www.twitter.com/HelenSmout", "HelenSmout")</f>
        <v>HelenSmout</v>
      </c>
      <c r="B30716" s="65" t="s">
        <v>3773</v>
      </c>
    </row>
    <row r="30717" spans="1:2" x14ac:dyDescent="0.25">
      <c r="A30717" s="64" t="str">
        <f>HYPERLINK("http://www.twitter.com/thespacearts", "thespacearts")</f>
        <v>thespacearts</v>
      </c>
      <c r="B30717" s="65" t="s">
        <v>12394</v>
      </c>
    </row>
    <row r="30718" spans="1:2" x14ac:dyDescent="0.25">
      <c r="A30718" s="64" t="str">
        <f>HYPERLINK("http://www.twitter.com/PanMacPublicity", "PanMacPublicity")</f>
        <v>PanMacPublicity</v>
      </c>
      <c r="B30718" s="65" t="s">
        <v>36</v>
      </c>
    </row>
    <row r="30719" spans="1:2" x14ac:dyDescent="0.25">
      <c r="A30719" s="64" t="str">
        <f>HYPERLINK("http://www.twitter.com/UKTor", "UKTor")</f>
        <v>UKTor</v>
      </c>
      <c r="B30719" s="65" t="s">
        <v>12395</v>
      </c>
    </row>
    <row r="30720" spans="1:2" x14ac:dyDescent="0.25">
      <c r="A30720" s="64" t="str">
        <f>HYPERLINK("http://www.twitter.com/luciagraves", "luciagraves")</f>
        <v>luciagraves</v>
      </c>
      <c r="B30720" s="65"/>
    </row>
    <row r="30721" spans="1:2" x14ac:dyDescent="0.25">
      <c r="A30721" s="64" t="str">
        <f>HYPERLINK("http://www.twitter.com/powerhouse62", "powerhouse62")</f>
        <v>powerhouse62</v>
      </c>
      <c r="B30721" s="65" t="s">
        <v>459</v>
      </c>
    </row>
    <row r="30722" spans="1:2" x14ac:dyDescent="0.25">
      <c r="A30722" s="64" t="str">
        <f>HYPERLINK("http://www.twitter.com/shellylibrarian", "shellylibrarian")</f>
        <v>shellylibrarian</v>
      </c>
      <c r="B30722" s="65" t="s">
        <v>318</v>
      </c>
    </row>
    <row r="30723" spans="1:2" x14ac:dyDescent="0.25">
      <c r="A30723" s="64" t="str">
        <f>HYPERLINK("http://www.twitter.com/YesOrkney", "YesOrkney")</f>
        <v>YesOrkney</v>
      </c>
      <c r="B30723" s="65"/>
    </row>
    <row r="30724" spans="1:2" x14ac:dyDescent="0.25">
      <c r="A30724" s="64" t="str">
        <f>HYPERLINK("http://www.twitter.com/cappucciya", "cappucciya")</f>
        <v>cappucciya</v>
      </c>
      <c r="B30724" s="65" t="s">
        <v>10595</v>
      </c>
    </row>
    <row r="30725" spans="1:2" x14ac:dyDescent="0.25">
      <c r="A30725" s="64" t="str">
        <f>HYPERLINK("http://www.twitter.com/JillMackintosh", "JillMackintosh")</f>
        <v>JillMackintosh</v>
      </c>
      <c r="B30725" s="65"/>
    </row>
    <row r="30726" spans="1:2" x14ac:dyDescent="0.25">
      <c r="A30726" s="64" t="str">
        <f>HYPERLINK("http://www.twitter.com/bainvfx", "bainvfx")</f>
        <v>bainvfx</v>
      </c>
      <c r="B30726" s="65" t="s">
        <v>36</v>
      </c>
    </row>
    <row r="30727" spans="1:2" x14ac:dyDescent="0.25">
      <c r="A30727" s="64" t="str">
        <f>HYPERLINK("http://www.twitter.com/pncitylibrary", "pncitylibrary")</f>
        <v>pncitylibrary</v>
      </c>
      <c r="B30727" s="65" t="s">
        <v>11645</v>
      </c>
    </row>
    <row r="30728" spans="1:2" x14ac:dyDescent="0.25">
      <c r="A30728" s="64" t="str">
        <f>HYPERLINK("http://www.twitter.com/itsmelouise", "itsmelouise")</f>
        <v>itsmelouise</v>
      </c>
      <c r="B30728" s="65" t="s">
        <v>8520</v>
      </c>
    </row>
    <row r="30729" spans="1:2" x14ac:dyDescent="0.25">
      <c r="A30729" s="64" t="str">
        <f>HYPERLINK("http://www.twitter.com/maryjo", "maryjo")</f>
        <v>maryjo</v>
      </c>
      <c r="B30729" s="65" t="s">
        <v>12396</v>
      </c>
    </row>
    <row r="30730" spans="1:2" x14ac:dyDescent="0.25">
      <c r="A30730" s="64" t="str">
        <f>HYPERLINK("http://www.twitter.com/uboo11", "uboo11")</f>
        <v>uboo11</v>
      </c>
      <c r="B30730" s="65" t="s">
        <v>10624</v>
      </c>
    </row>
    <row r="30731" spans="1:2" x14ac:dyDescent="0.25">
      <c r="A30731" s="64" t="str">
        <f>HYPERLINK("http://www.twitter.com/foxi_fi", "foxi_fi")</f>
        <v>foxi_fi</v>
      </c>
      <c r="B30731" s="65" t="s">
        <v>12397</v>
      </c>
    </row>
    <row r="30732" spans="1:2" x14ac:dyDescent="0.25">
      <c r="A30732" s="64" t="str">
        <f>HYPERLINK("http://www.twitter.com/ajskea", "ajskea")</f>
        <v>ajskea</v>
      </c>
      <c r="B30732" s="65" t="s">
        <v>12398</v>
      </c>
    </row>
    <row r="30733" spans="1:2" x14ac:dyDescent="0.25">
      <c r="A30733" s="64" t="str">
        <f>HYPERLINK("http://www.twitter.com/MrsScorie", "MrsScorie")</f>
        <v>MrsScorie</v>
      </c>
      <c r="B30733" s="65" t="s">
        <v>4674</v>
      </c>
    </row>
    <row r="30734" spans="1:2" x14ac:dyDescent="0.25">
      <c r="A30734" s="64" t="str">
        <f>HYPERLINK("http://www.twitter.com/chrislean", "chrislean")</f>
        <v>chrislean</v>
      </c>
      <c r="B30734" s="65" t="s">
        <v>12399</v>
      </c>
    </row>
    <row r="30735" spans="1:2" x14ac:dyDescent="0.25">
      <c r="A30735" s="64" t="str">
        <f>HYPERLINK("http://www.twitter.com/helenmbennett", "helenmbennett")</f>
        <v>helenmbennett</v>
      </c>
      <c r="B30735" s="65"/>
    </row>
    <row r="30736" spans="1:2" x14ac:dyDescent="0.25">
      <c r="A30736" s="64" t="str">
        <f>HYPERLINK("http://www.twitter.com/ManxNige", "ManxNige")</f>
        <v>ManxNige</v>
      </c>
      <c r="B30736" s="65" t="s">
        <v>5366</v>
      </c>
    </row>
    <row r="30737" spans="1:2" x14ac:dyDescent="0.25">
      <c r="A30737" s="64" t="str">
        <f>HYPERLINK("http://www.twitter.com/katerodenhurst", "katerodenhurst")</f>
        <v>katerodenhurst</v>
      </c>
      <c r="B30737" s="65" t="s">
        <v>102</v>
      </c>
    </row>
    <row r="30738" spans="1:2" x14ac:dyDescent="0.25">
      <c r="A30738" s="64" t="str">
        <f>HYPERLINK("http://www.twitter.com/demonwrangler", "demonwrangler")</f>
        <v>demonwrangler</v>
      </c>
      <c r="B30738" s="65" t="s">
        <v>12063</v>
      </c>
    </row>
    <row r="30739" spans="1:2" x14ac:dyDescent="0.25">
      <c r="A30739" s="64" t="str">
        <f>HYPERLINK("http://www.twitter.com/MegaPotential", "MegaPotential")</f>
        <v>MegaPotential</v>
      </c>
      <c r="B30739" s="65" t="s">
        <v>3760</v>
      </c>
    </row>
    <row r="30740" spans="1:2" x14ac:dyDescent="0.25">
      <c r="A30740" s="64" t="str">
        <f>HYPERLINK("http://www.twitter.com/Bolywool", "Bolywool")</f>
        <v>Bolywool</v>
      </c>
      <c r="B30740" s="65" t="s">
        <v>12400</v>
      </c>
    </row>
    <row r="30741" spans="1:2" x14ac:dyDescent="0.25">
      <c r="A30741" s="64" t="str">
        <f>HYPERLINK("http://www.twitter.com/IslandGovCamp", "IslandGovCamp")</f>
        <v>IslandGovCamp</v>
      </c>
      <c r="B30741" s="65" t="s">
        <v>4519</v>
      </c>
    </row>
    <row r="30742" spans="1:2" x14ac:dyDescent="0.25">
      <c r="A30742" s="64" t="str">
        <f>HYPERLINK("http://www.twitter.com/leasky09", "leasky09")</f>
        <v>leasky09</v>
      </c>
      <c r="B30742" s="65" t="s">
        <v>12401</v>
      </c>
    </row>
    <row r="30743" spans="1:2" x14ac:dyDescent="0.25">
      <c r="A30743" s="64" t="str">
        <f>HYPERLINK("http://www.twitter.com/Michex69", "Michex69")</f>
        <v>Michex69</v>
      </c>
      <c r="B30743" s="65" t="s">
        <v>12402</v>
      </c>
    </row>
    <row r="30744" spans="1:2" x14ac:dyDescent="0.25">
      <c r="A30744" s="64" t="str">
        <f>HYPERLINK("http://www.twitter.com/eebie99", "eebie99")</f>
        <v>eebie99</v>
      </c>
      <c r="B30744" s="65" t="s">
        <v>36</v>
      </c>
    </row>
    <row r="30745" spans="1:2" x14ac:dyDescent="0.25">
      <c r="A30745" s="64" t="str">
        <f>HYPERLINK("http://www.twitter.com/yulka07", "yulka07")</f>
        <v>yulka07</v>
      </c>
      <c r="B30745" s="65"/>
    </row>
    <row r="30746" spans="1:2" x14ac:dyDescent="0.25">
      <c r="A30746" s="64" t="str">
        <f>HYPERLINK("http://www.twitter.com/cakehole11", "cakehole11")</f>
        <v>cakehole11</v>
      </c>
      <c r="B30746" s="65" t="s">
        <v>12403</v>
      </c>
    </row>
    <row r="30747" spans="1:2" x14ac:dyDescent="0.25">
      <c r="A30747" s="64" t="str">
        <f>HYPERLINK("http://www.twitter.com/melspence2", "melspence2")</f>
        <v>melspence2</v>
      </c>
      <c r="B30747" s="65"/>
    </row>
    <row r="30748" spans="1:2" x14ac:dyDescent="0.25">
      <c r="A30748" s="64" t="str">
        <f>HYPERLINK("http://www.twitter.com/kimorgan2109", "kimorgan2109")</f>
        <v>kimorgan2109</v>
      </c>
      <c r="B30748" s="65" t="s">
        <v>12404</v>
      </c>
    </row>
    <row r="30749" spans="1:2" x14ac:dyDescent="0.25">
      <c r="A30749" s="64" t="str">
        <f>HYPERLINK("http://www.twitter.com/DebbiiHarrison", "DebbiiHarrison")</f>
        <v>DebbiiHarrison</v>
      </c>
      <c r="B30749" s="65" t="s">
        <v>9613</v>
      </c>
    </row>
    <row r="30750" spans="1:2" x14ac:dyDescent="0.25">
      <c r="A30750" s="64" t="str">
        <f>HYPERLINK("http://www.twitter.com/SciFi_Man", "SciFi_Man")</f>
        <v>SciFi_Man</v>
      </c>
      <c r="B30750" s="65"/>
    </row>
    <row r="30751" spans="1:2" x14ac:dyDescent="0.25">
      <c r="A30751" s="64" t="str">
        <f>HYPERLINK("http://www.twitter.com/moinamac", "moinamac")</f>
        <v>moinamac</v>
      </c>
      <c r="B30751" s="65" t="s">
        <v>10994</v>
      </c>
    </row>
    <row r="30752" spans="1:2" x14ac:dyDescent="0.25">
      <c r="A30752" s="64" t="str">
        <f>HYPERLINK("http://www.twitter.com/unrealitytv", "unrealitytv")</f>
        <v>unrealitytv</v>
      </c>
      <c r="B30752" s="65" t="s">
        <v>70</v>
      </c>
    </row>
    <row r="30753" spans="1:2" x14ac:dyDescent="0.25">
      <c r="A30753" s="64" t="str">
        <f>HYPERLINK("http://www.twitter.com/SilkenAssassin", "SilkenAssassin")</f>
        <v>SilkenAssassin</v>
      </c>
      <c r="B30753" s="65" t="s">
        <v>12405</v>
      </c>
    </row>
    <row r="30754" spans="1:2" x14ac:dyDescent="0.25">
      <c r="A30754" s="64" t="str">
        <f>HYPERLINK("http://www.twitter.com/GaleandCo", "GaleandCo")</f>
        <v>GaleandCo</v>
      </c>
      <c r="B30754" s="65" t="s">
        <v>310</v>
      </c>
    </row>
    <row r="30755" spans="1:2" x14ac:dyDescent="0.25">
      <c r="A30755" s="64" t="str">
        <f>HYPERLINK("http://www.twitter.com/freckzilla", "freckzilla")</f>
        <v>freckzilla</v>
      </c>
      <c r="B30755" s="65" t="s">
        <v>3875</v>
      </c>
    </row>
    <row r="30756" spans="1:2" x14ac:dyDescent="0.25">
      <c r="A30756" s="64" t="str">
        <f>HYPERLINK("http://www.twitter.com/lottiejam", "lottiejam")</f>
        <v>lottiejam</v>
      </c>
      <c r="B30756" s="65"/>
    </row>
    <row r="30757" spans="1:2" x14ac:dyDescent="0.25">
      <c r="A30757" s="64" t="str">
        <f>HYPERLINK("http://www.twitter.com/library_lurker", "library_lurker")</f>
        <v>library_lurker</v>
      </c>
      <c r="B30757" s="65" t="s">
        <v>296</v>
      </c>
    </row>
    <row r="30758" spans="1:2" x14ac:dyDescent="0.25">
      <c r="A30758" s="64" t="str">
        <f>HYPERLINK("http://www.twitter.com/FrndsofCarnegie", "FrndsofCarnegie")</f>
        <v>FrndsofCarnegie</v>
      </c>
      <c r="B30758" s="65" t="s">
        <v>12406</v>
      </c>
    </row>
    <row r="30759" spans="1:2" x14ac:dyDescent="0.25">
      <c r="A30759" s="64" t="str">
        <f>HYPERLINK("http://www.twitter.com/GB_GeorgBaumann", "GB_GeorgBaumann")</f>
        <v>GB_GeorgBaumann</v>
      </c>
      <c r="B30759" s="65"/>
    </row>
    <row r="30760" spans="1:2" x14ac:dyDescent="0.25">
      <c r="A30760" s="64" t="str">
        <f>HYPERLINK("http://www.twitter.com/RuthBolister", "RuthBolister")</f>
        <v>RuthBolister</v>
      </c>
      <c r="B30760" s="65"/>
    </row>
    <row r="30761" spans="1:2" x14ac:dyDescent="0.25">
      <c r="A30761" s="64" t="str">
        <f>HYPERLINK("http://www.twitter.com/a_sara14", "a_sara14")</f>
        <v>a_sara14</v>
      </c>
      <c r="B30761" s="65"/>
    </row>
    <row r="30762" spans="1:2" x14ac:dyDescent="0.25">
      <c r="A30762" s="64" t="str">
        <f>HYPERLINK("http://www.twitter.com/thepigguy", "thepigguy")</f>
        <v>thepigguy</v>
      </c>
      <c r="B30762" s="65" t="s">
        <v>7628</v>
      </c>
    </row>
    <row r="30763" spans="1:2" x14ac:dyDescent="0.25">
      <c r="A30763" s="64" t="str">
        <f>HYPERLINK("http://www.twitter.com/cherubim68", "cherubim68")</f>
        <v>cherubim68</v>
      </c>
      <c r="B30763" s="65" t="s">
        <v>24</v>
      </c>
    </row>
    <row r="30764" spans="1:2" x14ac:dyDescent="0.25">
      <c r="A30764" s="64" t="str">
        <f>HYPERLINK("http://www.twitter.com/HighOpTheatre", "HighOpTheatre")</f>
        <v>HighOpTheatre</v>
      </c>
      <c r="B30764" s="65" t="s">
        <v>12407</v>
      </c>
    </row>
    <row r="30765" spans="1:2" x14ac:dyDescent="0.25">
      <c r="A30765" s="64" t="str">
        <f>HYPERLINK("http://www.twitter.com/JamesWyl", "JamesWyl")</f>
        <v>JamesWyl</v>
      </c>
      <c r="B30765" s="65" t="s">
        <v>4180</v>
      </c>
    </row>
    <row r="30766" spans="1:2" x14ac:dyDescent="0.25">
      <c r="A30766" s="64" t="str">
        <f>HYPERLINK("http://www.twitter.com/laurajbrown_", "laurajbrown_")</f>
        <v>laurajbrown_</v>
      </c>
      <c r="B30766" s="65" t="s">
        <v>36</v>
      </c>
    </row>
    <row r="30767" spans="1:2" x14ac:dyDescent="0.25">
      <c r="A30767" s="64" t="str">
        <f>HYPERLINK("http://www.twitter.com/ChangeworksUK", "ChangeworksUK")</f>
        <v>ChangeworksUK</v>
      </c>
      <c r="B30767" s="65" t="s">
        <v>487</v>
      </c>
    </row>
    <row r="30768" spans="1:2" x14ac:dyDescent="0.25">
      <c r="A30768" s="64" t="str">
        <f>HYPERLINK("http://www.twitter.com/MamaJomoss", "MamaJomoss")</f>
        <v>MamaJomoss</v>
      </c>
      <c r="B30768" s="65" t="s">
        <v>4409</v>
      </c>
    </row>
    <row r="30769" spans="1:2" x14ac:dyDescent="0.25">
      <c r="A30769" s="64" t="str">
        <f>HYPERLINK("http://www.twitter.com/KILTR", "KILTR")</f>
        <v>KILTR</v>
      </c>
      <c r="B30769" s="65"/>
    </row>
    <row r="30770" spans="1:2" x14ac:dyDescent="0.25">
      <c r="A30770" s="64" t="str">
        <f>HYPERLINK("http://www.twitter.com/ShoeLaneLib", "ShoeLaneLib")</f>
        <v>ShoeLaneLib</v>
      </c>
      <c r="B30770" s="65" t="s">
        <v>1152</v>
      </c>
    </row>
    <row r="30771" spans="1:2" x14ac:dyDescent="0.25">
      <c r="A30771" s="64" t="str">
        <f>HYPERLINK("http://www.twitter.com/steph_scott13", "steph_scott13")</f>
        <v>steph_scott13</v>
      </c>
      <c r="B30771" s="65"/>
    </row>
    <row r="30772" spans="1:2" x14ac:dyDescent="0.25">
      <c r="A30772" s="64" t="str">
        <f>HYPERLINK("http://www.twitter.com/RGULibrary", "RGULibrary")</f>
        <v>RGULibrary</v>
      </c>
      <c r="B30772" s="65" t="s">
        <v>808</v>
      </c>
    </row>
    <row r="30773" spans="1:2" x14ac:dyDescent="0.25">
      <c r="A30773" s="64" t="str">
        <f>HYPERLINK("http://www.twitter.com/MissGlenRMPS", "MissGlenRMPS")</f>
        <v>MissGlenRMPS</v>
      </c>
      <c r="B30773" s="65"/>
    </row>
    <row r="30774" spans="1:2" x14ac:dyDescent="0.25">
      <c r="A30774" s="64" t="str">
        <f>HYPERLINK("http://www.twitter.com/BettyBooper", "BettyBooper")</f>
        <v>BettyBooper</v>
      </c>
      <c r="B30774" s="65" t="s">
        <v>20</v>
      </c>
    </row>
    <row r="30775" spans="1:2" x14ac:dyDescent="0.25">
      <c r="A30775" s="64" t="str">
        <f>HYPERLINK("http://www.twitter.com/IsobelGlenelg", "IsobelGlenelg")</f>
        <v>IsobelGlenelg</v>
      </c>
      <c r="B30775" s="65" t="s">
        <v>12055</v>
      </c>
    </row>
    <row r="30776" spans="1:2" x14ac:dyDescent="0.25">
      <c r="A30776" s="64" t="str">
        <f>HYPERLINK("http://www.twitter.com/premudonna", "premudonna")</f>
        <v>premudonna</v>
      </c>
      <c r="B30776" s="65"/>
    </row>
    <row r="30777" spans="1:2" x14ac:dyDescent="0.25">
      <c r="A30777" s="64" t="str">
        <f>HYPERLINK("http://www.twitter.com/cherylsinc", "cherylsinc")</f>
        <v>cherylsinc</v>
      </c>
      <c r="B30777" s="65"/>
    </row>
    <row r="30778" spans="1:2" x14ac:dyDescent="0.25">
      <c r="A30778" s="64" t="str">
        <f>HYPERLINK("http://www.twitter.com/ann_lyall", "ann_lyall")</f>
        <v>ann_lyall</v>
      </c>
      <c r="B30778" s="65"/>
    </row>
    <row r="30779" spans="1:2" x14ac:dyDescent="0.25">
      <c r="A30779" s="64" t="str">
        <f>HYPERLINK("http://www.twitter.com/WeeKirsty1982", "WeeKirsty1982")</f>
        <v>WeeKirsty1982</v>
      </c>
      <c r="B30779" s="65" t="s">
        <v>24</v>
      </c>
    </row>
    <row r="30780" spans="1:2" x14ac:dyDescent="0.25">
      <c r="A30780" s="64" t="str">
        <f>HYPERLINK("http://www.twitter.com/OrkneyTherapies", "OrkneyTherapies")</f>
        <v>OrkneyTherapies</v>
      </c>
      <c r="B30780" s="65" t="s">
        <v>20</v>
      </c>
    </row>
    <row r="30781" spans="1:2" x14ac:dyDescent="0.25">
      <c r="A30781" s="64" t="str">
        <f>HYPERLINK("http://www.twitter.com/MuseumsAtNight", "MuseumsAtNight")</f>
        <v>MuseumsAtNight</v>
      </c>
      <c r="B30781" s="65" t="s">
        <v>5522</v>
      </c>
    </row>
    <row r="30782" spans="1:2" x14ac:dyDescent="0.25">
      <c r="A30782" s="64" t="str">
        <f>HYPERLINK("http://www.twitter.com/TamaraEssex", "TamaraEssex")</f>
        <v>TamaraEssex</v>
      </c>
      <c r="B30782" s="65" t="s">
        <v>12408</v>
      </c>
    </row>
    <row r="30783" spans="1:2" x14ac:dyDescent="0.25">
      <c r="A30783" s="64" t="str">
        <f>HYPERLINK("http://www.twitter.com/DrPiffle", "DrPiffle")</f>
        <v>DrPiffle</v>
      </c>
      <c r="B30783" s="65"/>
    </row>
    <row r="30784" spans="1:2" x14ac:dyDescent="0.25">
      <c r="A30784" s="64" t="str">
        <f>HYPERLINK("http://www.twitter.com/I_Rapley", "I_Rapley")</f>
        <v>I_Rapley</v>
      </c>
      <c r="B30784" s="65" t="s">
        <v>12409</v>
      </c>
    </row>
    <row r="30785" spans="1:2" x14ac:dyDescent="0.25">
      <c r="A30785" s="64" t="str">
        <f>HYPERLINK("http://www.twitter.com/RayFleming", "RayFleming")</f>
        <v>RayFleming</v>
      </c>
      <c r="B30785" s="65" t="s">
        <v>3817</v>
      </c>
    </row>
    <row r="30786" spans="1:2" x14ac:dyDescent="0.25">
      <c r="A30786" s="64" t="str">
        <f>HYPERLINK("http://www.twitter.com/k_atieb", "k_atieb")</f>
        <v>k_atieb</v>
      </c>
      <c r="B30786" s="65"/>
    </row>
    <row r="30787" spans="1:2" x14ac:dyDescent="0.25">
      <c r="A30787" s="64" t="str">
        <f>HYPERLINK("http://www.twitter.com/dance1112000", "dance1112000")</f>
        <v>dance1112000</v>
      </c>
      <c r="B30787" s="65"/>
    </row>
    <row r="30788" spans="1:2" x14ac:dyDescent="0.25">
      <c r="A30788" s="64" t="str">
        <f>HYPERLINK("http://www.twitter.com/nicilind", "nicilind")</f>
        <v>nicilind</v>
      </c>
      <c r="B30788" s="65" t="s">
        <v>12410</v>
      </c>
    </row>
    <row r="30789" spans="1:2" x14ac:dyDescent="0.25">
      <c r="A30789" s="64" t="str">
        <f>HYPERLINK("http://www.twitter.com/pennyrleach", "pennyrleach")</f>
        <v>pennyrleach</v>
      </c>
      <c r="B30789" s="65"/>
    </row>
    <row r="30790" spans="1:2" x14ac:dyDescent="0.25">
      <c r="A30790" s="64" t="str">
        <f>HYPERLINK("http://www.twitter.com/PalelyLaura", "PalelyLaura")</f>
        <v>PalelyLaura</v>
      </c>
      <c r="B30790" s="65" t="s">
        <v>36</v>
      </c>
    </row>
    <row r="30791" spans="1:2" x14ac:dyDescent="0.25">
      <c r="A30791" s="64" t="str">
        <f>HYPERLINK("http://www.twitter.com/thewarmshoots", "thewarmshoots")</f>
        <v>thewarmshoots</v>
      </c>
      <c r="B30791" s="65"/>
    </row>
    <row r="30792" spans="1:2" x14ac:dyDescent="0.25">
      <c r="A30792" s="64" t="str">
        <f>HYPERLINK("http://www.twitter.com/Beauvale3", "Beauvale3")</f>
        <v>Beauvale3</v>
      </c>
      <c r="B30792" s="65" t="s">
        <v>9397</v>
      </c>
    </row>
    <row r="30793" spans="1:2" x14ac:dyDescent="0.25">
      <c r="A30793" s="64" t="str">
        <f>HYPERLINK("http://www.twitter.com/StyloWriting", "StyloWriting")</f>
        <v>StyloWriting</v>
      </c>
      <c r="B30793" s="65"/>
    </row>
    <row r="30794" spans="1:2" x14ac:dyDescent="0.25">
      <c r="A30794" s="64" t="str">
        <f>HYPERLINK("http://www.twitter.com/Kyanite99", "Kyanite99")</f>
        <v>Kyanite99</v>
      </c>
      <c r="B30794" s="65" t="s">
        <v>10296</v>
      </c>
    </row>
    <row r="30795" spans="1:2" x14ac:dyDescent="0.25">
      <c r="A30795" s="64" t="str">
        <f>HYPERLINK("http://www.twitter.com/kashy00", "kashy00")</f>
        <v>kashy00</v>
      </c>
      <c r="B30795" s="65" t="s">
        <v>3779</v>
      </c>
    </row>
    <row r="30796" spans="1:2" x14ac:dyDescent="0.25">
      <c r="A30796" s="64" t="str">
        <f>HYPERLINK("http://www.twitter.com/bearbahoochie", "bearbahoochie")</f>
        <v>bearbahoochie</v>
      </c>
      <c r="B30796" s="65" t="s">
        <v>517</v>
      </c>
    </row>
    <row r="30797" spans="1:2" x14ac:dyDescent="0.25">
      <c r="A30797" s="64" t="str">
        <f>HYPERLINK("http://www.twitter.com/MeganJMcPherson", "MeganJMcPherson")</f>
        <v>MeganJMcPherson</v>
      </c>
      <c r="B30797" s="65" t="s">
        <v>3779</v>
      </c>
    </row>
    <row r="30798" spans="1:2" x14ac:dyDescent="0.25">
      <c r="A30798" s="64" t="str">
        <f>HYPERLINK("http://www.twitter.com/JoniCraigie", "JoniCraigie")</f>
        <v>JoniCraigie</v>
      </c>
      <c r="B30798" s="65" t="s">
        <v>8158</v>
      </c>
    </row>
    <row r="30799" spans="1:2" x14ac:dyDescent="0.25">
      <c r="A30799" s="64" t="str">
        <f>HYPERLINK("http://www.twitter.com/MoragKelly1", "MoragKelly1")</f>
        <v>MoragKelly1</v>
      </c>
      <c r="B30799" s="65" t="s">
        <v>3773</v>
      </c>
    </row>
    <row r="30800" spans="1:2" x14ac:dyDescent="0.25">
      <c r="A30800" s="64" t="str">
        <f>HYPERLINK("http://www.twitter.com/hgytty", "hgytty")</f>
        <v>hgytty</v>
      </c>
      <c r="B30800" s="65" t="s">
        <v>20</v>
      </c>
    </row>
    <row r="30801" spans="1:2" x14ac:dyDescent="0.25">
      <c r="A30801" s="64" t="str">
        <f>HYPERLINK("http://www.twitter.com/RHULGeography", "RHULGeography")</f>
        <v>RHULGeography</v>
      </c>
      <c r="B30801" s="65" t="s">
        <v>12411</v>
      </c>
    </row>
    <row r="30802" spans="1:2" x14ac:dyDescent="0.25">
      <c r="A30802" s="64" t="str">
        <f>HYPERLINK("http://www.twitter.com/ianwalker", "ianwalker")</f>
        <v>ianwalker</v>
      </c>
      <c r="B30802" s="65" t="s">
        <v>514</v>
      </c>
    </row>
    <row r="30803" spans="1:2" x14ac:dyDescent="0.25">
      <c r="A30803" s="64" t="str">
        <f>HYPERLINK("http://www.twitter.com/askboltonlibs", "askboltonlibs")</f>
        <v>askboltonlibs</v>
      </c>
      <c r="B30803" s="65" t="s">
        <v>511</v>
      </c>
    </row>
    <row r="30804" spans="1:2" x14ac:dyDescent="0.25">
      <c r="A30804" s="64" t="str">
        <f>HYPERLINK("http://www.twitter.com/SCSLibrary", "SCSLibrary")</f>
        <v>SCSLibrary</v>
      </c>
      <c r="B30804" s="65" t="s">
        <v>4254</v>
      </c>
    </row>
    <row r="30805" spans="1:2" x14ac:dyDescent="0.25">
      <c r="A30805" s="64" t="str">
        <f>HYPERLINK("http://www.twitter.com/jonmillington", "jonmillington")</f>
        <v>jonmillington</v>
      </c>
      <c r="B30805" s="65" t="s">
        <v>12412</v>
      </c>
    </row>
    <row r="30806" spans="1:2" x14ac:dyDescent="0.25">
      <c r="A30806" s="64" t="str">
        <f>HYPERLINK("http://www.twitter.com/LandmarkHistory", "LandmarkHistory")</f>
        <v>LandmarkHistory</v>
      </c>
      <c r="B30806" s="65"/>
    </row>
    <row r="30807" spans="1:2" x14ac:dyDescent="0.25">
      <c r="A30807" s="64" t="str">
        <f>HYPERLINK("http://www.twitter.com/lumphananpress", "lumphananpress")</f>
        <v>lumphananpress</v>
      </c>
      <c r="B30807" s="65" t="s">
        <v>12413</v>
      </c>
    </row>
    <row r="30808" spans="1:2" x14ac:dyDescent="0.25">
      <c r="A30808" s="64" t="str">
        <f>HYPERLINK("http://www.twitter.com/MrGatsby", "MrGatsby")</f>
        <v>MrGatsby</v>
      </c>
      <c r="B30808" s="65" t="s">
        <v>61</v>
      </c>
    </row>
    <row r="30809" spans="1:2" x14ac:dyDescent="0.25">
      <c r="A30809" s="64" t="str">
        <f>HYPERLINK("http://www.twitter.com/dkimera", "dkimera")</f>
        <v>dkimera</v>
      </c>
      <c r="B30809" s="65" t="s">
        <v>12414</v>
      </c>
    </row>
    <row r="30810" spans="1:2" x14ac:dyDescent="0.25">
      <c r="A30810" s="64" t="str">
        <f>HYPERLINK("http://www.twitter.com/Alanna_leslie", "Alanna_leslie")</f>
        <v>Alanna_leslie</v>
      </c>
      <c r="B30810" s="65"/>
    </row>
    <row r="30811" spans="1:2" x14ac:dyDescent="0.25">
      <c r="A30811" s="64" t="str">
        <f>HYPERLINK("http://www.twitter.com/JulianADRush", "JulianADRush")</f>
        <v>JulianADRush</v>
      </c>
      <c r="B30811" s="65"/>
    </row>
    <row r="30812" spans="1:2" x14ac:dyDescent="0.25">
      <c r="A30812" s="64" t="str">
        <f>HYPERLINK("http://www.twitter.com/40MaryMary", "40MaryMary")</f>
        <v>40MaryMary</v>
      </c>
      <c r="B30812" s="65"/>
    </row>
    <row r="30813" spans="1:2" x14ac:dyDescent="0.25">
      <c r="A30813" s="64" t="str">
        <f>HYPERLINK("http://www.twitter.com/titustwit", "titustwit")</f>
        <v>titustwit</v>
      </c>
      <c r="B30813" s="65"/>
    </row>
    <row r="30814" spans="1:2" x14ac:dyDescent="0.25">
      <c r="A30814" s="64" t="str">
        <f>HYPERLINK("http://www.twitter.com/SueKilloran", "SueKilloran")</f>
        <v>SueKilloran</v>
      </c>
      <c r="B30814" s="65"/>
    </row>
    <row r="30815" spans="1:2" x14ac:dyDescent="0.25">
      <c r="A30815" s="64" t="str">
        <f>HYPERLINK("http://www.twitter.com/OxfordEEBOTCP", "OxfordEEBOTCP")</f>
        <v>OxfordEEBOTCP</v>
      </c>
      <c r="B30815" s="65" t="s">
        <v>12</v>
      </c>
    </row>
    <row r="30816" spans="1:2" x14ac:dyDescent="0.25">
      <c r="A30816" s="64" t="str">
        <f>HYPERLINK("http://www.twitter.com/LibMarketing", "LibMarketing")</f>
        <v>LibMarketing</v>
      </c>
      <c r="B30816" s="65" t="s">
        <v>12415</v>
      </c>
    </row>
    <row r="30817" spans="1:2" x14ac:dyDescent="0.25">
      <c r="A30817" s="64" t="str">
        <f>HYPERLINK("http://www.twitter.com/OrkneyCouncil", "OrkneyCouncil")</f>
        <v>OrkneyCouncil</v>
      </c>
      <c r="B30817" s="65" t="s">
        <v>12416</v>
      </c>
    </row>
    <row r="30818" spans="1:2" x14ac:dyDescent="0.25">
      <c r="A30818" s="64" t="str">
        <f>HYPERLINK("http://www.twitter.com/shoplosgatos", "shoplosgatos")</f>
        <v>shoplosgatos</v>
      </c>
      <c r="B30818" s="65" t="s">
        <v>12417</v>
      </c>
    </row>
    <row r="30819" spans="1:2" x14ac:dyDescent="0.25">
      <c r="A30819" s="64" t="str">
        <f>HYPERLINK("http://www.twitter.com/EntertainingEng", "EntertainingEng")</f>
        <v>EntertainingEng</v>
      </c>
      <c r="B30819" s="65"/>
    </row>
    <row r="30820" spans="1:2" x14ac:dyDescent="0.25">
      <c r="A30820" s="64" t="str">
        <f>HYPERLINK("http://www.twitter.com/HelgaSandison", "HelgaSandison")</f>
        <v>HelgaSandison</v>
      </c>
      <c r="B30820" s="65"/>
    </row>
    <row r="30821" spans="1:2" x14ac:dyDescent="0.25">
      <c r="A30821" s="64" t="str">
        <f>HYPERLINK("http://www.twitter.com/twistedmouth", "twistedmouth")</f>
        <v>twistedmouth</v>
      </c>
      <c r="B30821" s="65" t="s">
        <v>601</v>
      </c>
    </row>
    <row r="30822" spans="1:2" x14ac:dyDescent="0.25">
      <c r="A30822" s="64" t="str">
        <f>HYPERLINK("http://www.twitter.com/juliamarybird", "juliamarybird")</f>
        <v>juliamarybird</v>
      </c>
      <c r="B30822" s="65" t="s">
        <v>36</v>
      </c>
    </row>
    <row r="30823" spans="1:2" x14ac:dyDescent="0.25">
      <c r="A30823" s="64" t="str">
        <f>HYPERLINK("http://www.twitter.com/LiseEnAbyme", "LiseEnAbyme")</f>
        <v>LiseEnAbyme</v>
      </c>
      <c r="B30823" s="65" t="s">
        <v>138</v>
      </c>
    </row>
    <row r="30824" spans="1:2" x14ac:dyDescent="0.25">
      <c r="A30824" s="64" t="str">
        <f>HYPERLINK("http://www.twitter.com/BattleofBoxhill", "BattleofBoxhill")</f>
        <v>BattleofBoxhill</v>
      </c>
      <c r="B30824" s="65" t="s">
        <v>12418</v>
      </c>
    </row>
    <row r="30825" spans="1:2" x14ac:dyDescent="0.25">
      <c r="A30825" s="64" t="str">
        <f>HYPERLINK("http://www.twitter.com/shaun3216", "shaun3216")</f>
        <v>shaun3216</v>
      </c>
      <c r="B30825" s="65"/>
    </row>
    <row r="30826" spans="1:2" x14ac:dyDescent="0.25">
      <c r="A30826" s="64" t="str">
        <f>HYPERLINK("http://www.twitter.com/gray_martin", "gray_martin")</f>
        <v>gray_martin</v>
      </c>
      <c r="B30826" s="65"/>
    </row>
    <row r="30827" spans="1:2" x14ac:dyDescent="0.25">
      <c r="A30827" s="64" t="str">
        <f>HYPERLINK("http://www.twitter.com/AvrilCadden", "AvrilCadden")</f>
        <v>AvrilCadden</v>
      </c>
      <c r="B30827" s="65" t="s">
        <v>3030</v>
      </c>
    </row>
    <row r="30828" spans="1:2" x14ac:dyDescent="0.25">
      <c r="A30828" s="64" t="str">
        <f>HYPERLINK("http://www.twitter.com/najmml", "najmml")</f>
        <v>najmml</v>
      </c>
      <c r="B30828" s="65"/>
    </row>
    <row r="30829" spans="1:2" x14ac:dyDescent="0.25">
      <c r="A30829" s="64" t="str">
        <f>HYPERLINK("http://www.twitter.com/col2sond", "col2sond")</f>
        <v>col2sond</v>
      </c>
      <c r="B30829" s="65"/>
    </row>
    <row r="30830" spans="1:2" x14ac:dyDescent="0.25">
      <c r="A30830" s="64" t="str">
        <f>HYPERLINK("http://www.twitter.com/thecurious_case", "thecurious_case")</f>
        <v>thecurious_case</v>
      </c>
      <c r="B30830" s="65" t="s">
        <v>12419</v>
      </c>
    </row>
    <row r="30831" spans="1:2" x14ac:dyDescent="0.25">
      <c r="A30831" s="64" t="str">
        <f>HYPERLINK("http://www.twitter.com/bibliodog", "bibliodog")</f>
        <v>bibliodog</v>
      </c>
      <c r="B30831" s="65"/>
    </row>
    <row r="30832" spans="1:2" x14ac:dyDescent="0.25">
      <c r="A30832" s="64" t="str">
        <f>HYPERLINK("http://www.twitter.com/FionaChautard", "FionaChautard")</f>
        <v>FionaChautard</v>
      </c>
      <c r="B30832" s="65" t="s">
        <v>12420</v>
      </c>
    </row>
    <row r="30833" spans="1:2" x14ac:dyDescent="0.25">
      <c r="A30833" s="64" t="str">
        <f>HYPERLINK("http://www.twitter.com/QueenofJarrovia", "QueenofJarrovia")</f>
        <v>QueenofJarrovia</v>
      </c>
      <c r="B30833" s="65" t="s">
        <v>5942</v>
      </c>
    </row>
    <row r="30834" spans="1:2" x14ac:dyDescent="0.25">
      <c r="A30834" s="64" t="str">
        <f>HYPERLINK("http://www.twitter.com/BookshopGlasgow", "BookshopGlasgow")</f>
        <v>BookshopGlasgow</v>
      </c>
      <c r="B30834" s="65" t="s">
        <v>6279</v>
      </c>
    </row>
    <row r="30835" spans="1:2" x14ac:dyDescent="0.25">
      <c r="A30835" s="64" t="str">
        <f>HYPERLINK("http://www.twitter.com/MLBurgess_", "MLBurgess_")</f>
        <v>MLBurgess_</v>
      </c>
      <c r="B30835" s="65" t="s">
        <v>33</v>
      </c>
    </row>
    <row r="30836" spans="1:2" x14ac:dyDescent="0.25">
      <c r="A30836" s="64" t="str">
        <f>HYPERLINK("http://www.twitter.com/crusoes", "crusoes")</f>
        <v>crusoes</v>
      </c>
      <c r="B30836" s="65" t="s">
        <v>12421</v>
      </c>
    </row>
    <row r="30837" spans="1:2" x14ac:dyDescent="0.25">
      <c r="A30837" s="64" t="str">
        <f>HYPERLINK("http://www.twitter.com/EdinburghGuides", "EdinburghGuides")</f>
        <v>EdinburghGuides</v>
      </c>
      <c r="B30837" s="65" t="s">
        <v>487</v>
      </c>
    </row>
    <row r="30838" spans="1:2" x14ac:dyDescent="0.25">
      <c r="A30838" s="64" t="str">
        <f>HYPERLINK("http://www.twitter.com/LanaBracewell", "LanaBracewell")</f>
        <v>LanaBracewell</v>
      </c>
      <c r="B30838" s="65"/>
    </row>
    <row r="30839" spans="1:2" x14ac:dyDescent="0.25">
      <c r="A30839" s="64" t="str">
        <f>HYPERLINK("http://www.twitter.com/MarkCronfield", "MarkCronfield")</f>
        <v>MarkCronfield</v>
      </c>
      <c r="B30839" s="65" t="s">
        <v>7335</v>
      </c>
    </row>
    <row r="30840" spans="1:2" x14ac:dyDescent="0.25">
      <c r="A30840" s="64" t="str">
        <f>HYPERLINK("http://www.twitter.com/mollyflatt", "mollyflatt")</f>
        <v>mollyflatt</v>
      </c>
      <c r="B30840" s="65" t="s">
        <v>36</v>
      </c>
    </row>
    <row r="30841" spans="1:2" x14ac:dyDescent="0.25">
      <c r="A30841" s="64" t="str">
        <f>HYPERLINK("http://www.twitter.com/ScotsHealthInfo", "ScotsHealthInfo")</f>
        <v>ScotsHealthInfo</v>
      </c>
      <c r="B30841" s="65" t="s">
        <v>517</v>
      </c>
    </row>
    <row r="30842" spans="1:2" x14ac:dyDescent="0.25">
      <c r="A30842" s="64" t="str">
        <f>HYPERLINK("http://www.twitter.com/yiwen_h", "yiwen_h")</f>
        <v>yiwen_h</v>
      </c>
      <c r="B30842" s="65" t="s">
        <v>477</v>
      </c>
    </row>
    <row r="30843" spans="1:2" x14ac:dyDescent="0.25">
      <c r="A30843" s="64" t="str">
        <f>HYPERLINK("http://www.twitter.com/lorrainenutt", "lorrainenutt")</f>
        <v>lorrainenutt</v>
      </c>
      <c r="B30843" s="65" t="s">
        <v>1482</v>
      </c>
    </row>
    <row r="30844" spans="1:2" x14ac:dyDescent="0.25">
      <c r="A30844" s="64" t="str">
        <f>HYPERLINK("http://www.twitter.com/thelistmagazine", "thelistmagazine")</f>
        <v>thelistmagazine</v>
      </c>
      <c r="B30844" s="65" t="s">
        <v>296</v>
      </c>
    </row>
    <row r="30845" spans="1:2" x14ac:dyDescent="0.25">
      <c r="A30845" s="64" t="str">
        <f>HYPERLINK("http://www.twitter.com/MargaretBrankin", "MargaretBrankin")</f>
        <v>MargaretBrankin</v>
      </c>
      <c r="B30845" s="65" t="s">
        <v>24</v>
      </c>
    </row>
    <row r="30846" spans="1:2" x14ac:dyDescent="0.25">
      <c r="A30846" s="64" t="str">
        <f>HYPERLINK("http://www.twitter.com/Cass_MJohnson", "Cass_MJohnson")</f>
        <v>Cass_MJohnson</v>
      </c>
      <c r="B30846" s="65" t="s">
        <v>118</v>
      </c>
    </row>
    <row r="30847" spans="1:2" x14ac:dyDescent="0.25">
      <c r="A30847" s="64" t="str">
        <f>HYPERLINK("http://www.twitter.com/BIC1UK", "BIC1UK")</f>
        <v>BIC1UK</v>
      </c>
      <c r="B30847" s="65" t="s">
        <v>36</v>
      </c>
    </row>
    <row r="30848" spans="1:2" x14ac:dyDescent="0.25">
      <c r="A30848" s="64" t="str">
        <f>HYPERLINK("http://www.twitter.com/DonnaMasarati", "DonnaMasarati")</f>
        <v>DonnaMasarati</v>
      </c>
      <c r="B30848" s="65"/>
    </row>
    <row r="30849" spans="1:2" x14ac:dyDescent="0.25">
      <c r="A30849" s="64" t="str">
        <f>HYPERLINK("http://www.twitter.com/readabubbler", "readabubbler")</f>
        <v>readabubbler</v>
      </c>
      <c r="B30849" s="65"/>
    </row>
    <row r="30850" spans="1:2" x14ac:dyDescent="0.25">
      <c r="A30850" s="64" t="str">
        <f>HYPERLINK("http://www.twitter.com/gingerdayday", "gingerdayday")</f>
        <v>gingerdayday</v>
      </c>
      <c r="B30850" s="65"/>
    </row>
    <row r="30851" spans="1:2" x14ac:dyDescent="0.25">
      <c r="A30851" s="64" t="str">
        <f>HYPERLINK("http://www.twitter.com/hairiermanager", "hairiermanager")</f>
        <v>hairiermanager</v>
      </c>
      <c r="B30851" s="65" t="s">
        <v>1295</v>
      </c>
    </row>
    <row r="30852" spans="1:2" x14ac:dyDescent="0.25">
      <c r="A30852" s="64" t="str">
        <f>HYPERLINK("http://www.twitter.com/Gillian1971", "Gillian1971")</f>
        <v>Gillian1971</v>
      </c>
      <c r="B30852" s="65" t="s">
        <v>12422</v>
      </c>
    </row>
    <row r="30853" spans="1:2" x14ac:dyDescent="0.25">
      <c r="A30853" s="64" t="str">
        <f>HYPERLINK("http://www.twitter.com/PeasantSlave", "PeasantSlave")</f>
        <v>PeasantSlave</v>
      </c>
      <c r="B30853" s="65" t="s">
        <v>6234</v>
      </c>
    </row>
    <row r="30854" spans="1:2" x14ac:dyDescent="0.25">
      <c r="A30854" s="64" t="str">
        <f>HYPERLINK("http://www.twitter.com/wacadoo", "wacadoo")</f>
        <v>wacadoo</v>
      </c>
      <c r="B30854" s="65"/>
    </row>
    <row r="30855" spans="1:2" x14ac:dyDescent="0.25">
      <c r="A30855" s="64" t="str">
        <f>HYPERLINK("http://www.twitter.com/rootmtoot", "rootmtoot")</f>
        <v>rootmtoot</v>
      </c>
      <c r="B30855" s="65" t="s">
        <v>5339</v>
      </c>
    </row>
    <row r="30856" spans="1:2" x14ac:dyDescent="0.25">
      <c r="A30856" s="64" t="str">
        <f>HYPERLINK("http://www.twitter.com/MumsnetBooks", "MumsnetBooks")</f>
        <v>MumsnetBooks</v>
      </c>
      <c r="B30856" s="65" t="s">
        <v>296</v>
      </c>
    </row>
    <row r="30857" spans="1:2" x14ac:dyDescent="0.25">
      <c r="A30857" s="64" t="str">
        <f>HYPERLINK("http://www.twitter.com/NicolaMcNee", "NicolaMcNee")</f>
        <v>NicolaMcNee</v>
      </c>
      <c r="B30857" s="65" t="s">
        <v>1098</v>
      </c>
    </row>
    <row r="30858" spans="1:2" x14ac:dyDescent="0.25">
      <c r="A30858" s="64" t="str">
        <f>HYPERLINK("http://www.twitter.com/CECLibraries", "CECLibraries")</f>
        <v>CECLibraries</v>
      </c>
      <c r="B30858" s="65" t="s">
        <v>3674</v>
      </c>
    </row>
    <row r="30859" spans="1:2" x14ac:dyDescent="0.25">
      <c r="A30859" s="64" t="str">
        <f>HYPERLINK("http://www.twitter.com/BK2K", "BK2K")</f>
        <v>BK2K</v>
      </c>
      <c r="B30859" s="65" t="s">
        <v>4862</v>
      </c>
    </row>
    <row r="30860" spans="1:2" x14ac:dyDescent="0.25">
      <c r="A30860" s="64" t="str">
        <f>HYPERLINK("http://www.twitter.com/SGrunberg", "SGrunberg")</f>
        <v>SGrunberg</v>
      </c>
      <c r="B30860" s="65" t="s">
        <v>4867</v>
      </c>
    </row>
    <row r="30861" spans="1:2" x14ac:dyDescent="0.25">
      <c r="A30861" s="64" t="str">
        <f>HYPERLINK("http://www.twitter.com/SiEssex", "SiEssex")</f>
        <v>SiEssex</v>
      </c>
      <c r="B30861" s="65" t="s">
        <v>36</v>
      </c>
    </row>
    <row r="30862" spans="1:2" x14ac:dyDescent="0.25">
      <c r="A30862" s="64" t="str">
        <f>HYPERLINK("http://www.twitter.com/mcojo", "mcojo")</f>
        <v>mcojo</v>
      </c>
      <c r="B30862" s="65" t="s">
        <v>4254</v>
      </c>
    </row>
    <row r="30863" spans="1:2" x14ac:dyDescent="0.25">
      <c r="A30863" s="64" t="str">
        <f>HYPERLINK("http://www.twitter.com/rabbit777", "rabbit777")</f>
        <v>rabbit777</v>
      </c>
      <c r="B30863" s="65"/>
    </row>
    <row r="30864" spans="1:2" x14ac:dyDescent="0.25">
      <c r="A30864" s="64" t="str">
        <f>HYPERLINK("http://www.twitter.com/DrMerry30", "DrMerry30")</f>
        <v>DrMerry30</v>
      </c>
      <c r="B30864" s="65" t="s">
        <v>610</v>
      </c>
    </row>
    <row r="30865" spans="1:2" x14ac:dyDescent="0.25">
      <c r="A30865" s="64" t="str">
        <f>HYPERLINK("http://www.twitter.com/hilaryr51", "hilaryr51")</f>
        <v>hilaryr51</v>
      </c>
      <c r="B30865" s="65"/>
    </row>
    <row r="30866" spans="1:2" x14ac:dyDescent="0.25">
      <c r="A30866" s="64" t="str">
        <f>HYPERLINK("http://www.twitter.com/shanermaughan", "shanermaughan")</f>
        <v>shanermaughan</v>
      </c>
      <c r="B30866" s="65" t="s">
        <v>12423</v>
      </c>
    </row>
    <row r="30867" spans="1:2" x14ac:dyDescent="0.25">
      <c r="A30867" s="64" t="str">
        <f>HYPERLINK("http://www.twitter.com/jamestarbit", "jamestarbit")</f>
        <v>jamestarbit</v>
      </c>
      <c r="B30867" s="65" t="s">
        <v>12424</v>
      </c>
    </row>
    <row r="30868" spans="1:2" x14ac:dyDescent="0.25">
      <c r="A30868" s="64" t="str">
        <f>HYPERLINK("http://www.twitter.com/emelaarghh", "emelaarghh")</f>
        <v>emelaarghh</v>
      </c>
      <c r="B30868" s="65" t="s">
        <v>12425</v>
      </c>
    </row>
    <row r="30869" spans="1:2" x14ac:dyDescent="0.25">
      <c r="A30869" s="64" t="str">
        <f>HYPERLINK("http://www.twitter.com/deepfatfriars", "deepfatfriars")</f>
        <v>deepfatfriars</v>
      </c>
      <c r="B30869" s="65"/>
    </row>
    <row r="30870" spans="1:2" x14ac:dyDescent="0.25">
      <c r="A30870" s="64" t="str">
        <f>HYPERLINK("http://www.twitter.com/hinnie1122", "hinnie1122")</f>
        <v>hinnie1122</v>
      </c>
      <c r="B30870" s="65"/>
    </row>
    <row r="30871" spans="1:2" x14ac:dyDescent="0.25">
      <c r="A30871" s="64" t="str">
        <f>HYPERLINK("http://www.twitter.com/ElizabethJaneB3", "ElizabethJaneB3")</f>
        <v>ElizabethJaneB3</v>
      </c>
      <c r="B30871" s="65"/>
    </row>
    <row r="30872" spans="1:2" x14ac:dyDescent="0.25">
      <c r="A30872" s="64" t="str">
        <f>HYPERLINK("http://www.twitter.com/mol_dek", "mol_dek")</f>
        <v>mol_dek</v>
      </c>
      <c r="B30872" s="65"/>
    </row>
    <row r="30873" spans="1:2" x14ac:dyDescent="0.25">
      <c r="A30873" s="64" t="str">
        <f>HYPERLINK("http://www.twitter.com/diggums", "diggums")</f>
        <v>diggums</v>
      </c>
      <c r="B30873" s="65" t="s">
        <v>12426</v>
      </c>
    </row>
    <row r="30874" spans="1:2" x14ac:dyDescent="0.25">
      <c r="A30874" s="64" t="str">
        <f>HYPERLINK("http://www.twitter.com/mariarocio", "mariarocio")</f>
        <v>mariarocio</v>
      </c>
      <c r="B30874" s="65" t="s">
        <v>12427</v>
      </c>
    </row>
    <row r="30875" spans="1:2" x14ac:dyDescent="0.25">
      <c r="A30875" s="64" t="str">
        <f>HYPERLINK("http://www.twitter.com/Brianbollin", "Brianbollin")</f>
        <v>Brianbollin</v>
      </c>
      <c r="B30875" s="65"/>
    </row>
    <row r="30876" spans="1:2" x14ac:dyDescent="0.25">
      <c r="A30876" s="64" t="str">
        <f>HYPERLINK("http://www.twitter.com/snuggleskunk", "snuggleskunk")</f>
        <v>snuggleskunk</v>
      </c>
      <c r="B30876" s="65" t="s">
        <v>1841</v>
      </c>
    </row>
    <row r="30877" spans="1:2" x14ac:dyDescent="0.25">
      <c r="A30877" s="64" t="str">
        <f>HYPERLINK("http://www.twitter.com/GemLovett", "GemLovett")</f>
        <v>GemLovett</v>
      </c>
      <c r="B30877" s="65"/>
    </row>
    <row r="30878" spans="1:2" x14ac:dyDescent="0.25">
      <c r="A30878" s="64" t="str">
        <f>HYPERLINK("http://www.twitter.com/Teesside_smiles", "Teesside_smiles")</f>
        <v>Teesside_smiles</v>
      </c>
      <c r="B30878" s="65" t="s">
        <v>6313</v>
      </c>
    </row>
    <row r="30879" spans="1:2" x14ac:dyDescent="0.25">
      <c r="A30879" s="64" t="str">
        <f>HYPERLINK("http://www.twitter.com/DecadeAgoToday", "DecadeAgoToday")</f>
        <v>DecadeAgoToday</v>
      </c>
      <c r="B30879" s="65" t="s">
        <v>12428</v>
      </c>
    </row>
    <row r="30880" spans="1:2" x14ac:dyDescent="0.25">
      <c r="A30880" s="64" t="str">
        <f>HYPERLINK("http://www.twitter.com/jonnylink123", "jonnylink123")</f>
        <v>jonnylink123</v>
      </c>
      <c r="B30880" s="65"/>
    </row>
    <row r="30881" spans="1:2" x14ac:dyDescent="0.25">
      <c r="A30881" s="64" t="str">
        <f>HYPERLINK("http://www.twitter.com/lisatomato66", "lisatomato66")</f>
        <v>lisatomato66</v>
      </c>
      <c r="B30881" s="65"/>
    </row>
    <row r="30882" spans="1:2" x14ac:dyDescent="0.25">
      <c r="A30882" s="64" t="str">
        <f>HYPERLINK("http://www.twitter.com/sboydie", "sboydie")</f>
        <v>sboydie</v>
      </c>
      <c r="B30882" s="65" t="s">
        <v>700</v>
      </c>
    </row>
    <row r="30883" spans="1:2" x14ac:dyDescent="0.25">
      <c r="A30883" s="64" t="str">
        <f>HYPERLINK("http://www.twitter.com/ClareSBT", "ClareSBT")</f>
        <v>ClareSBT</v>
      </c>
      <c r="B30883" s="65" t="s">
        <v>24</v>
      </c>
    </row>
    <row r="30884" spans="1:2" x14ac:dyDescent="0.25">
      <c r="A30884" s="64" t="str">
        <f>HYPERLINK("http://www.twitter.com/beatricepopa", "beatricepopa")</f>
        <v>beatricepopa</v>
      </c>
      <c r="B30884" s="65"/>
    </row>
    <row r="30885" spans="1:2" x14ac:dyDescent="0.25">
      <c r="A30885" s="64" t="str">
        <f>HYPERLINK("http://www.twitter.com/KirstyCraigUK", "KirstyCraigUK")</f>
        <v>KirstyCraigUK</v>
      </c>
      <c r="B30885" s="65" t="s">
        <v>12429</v>
      </c>
    </row>
    <row r="30886" spans="1:2" x14ac:dyDescent="0.25">
      <c r="A30886" s="64" t="str">
        <f>HYPERLINK("http://www.twitter.com/Yugjet", "Yugjet")</f>
        <v>Yugjet</v>
      </c>
      <c r="B30886" s="65" t="s">
        <v>36</v>
      </c>
    </row>
    <row r="30887" spans="1:2" x14ac:dyDescent="0.25">
      <c r="A30887" s="64" t="str">
        <f>HYPERLINK("http://www.twitter.com/devonellen", "devonellen")</f>
        <v>devonellen</v>
      </c>
      <c r="B30887" s="65" t="s">
        <v>12430</v>
      </c>
    </row>
    <row r="30888" spans="1:2" x14ac:dyDescent="0.25">
      <c r="A30888" s="64" t="str">
        <f>HYPERLINK("http://www.twitter.com/TimEBrooks", "TimEBrooks")</f>
        <v>TimEBrooks</v>
      </c>
      <c r="B30888" s="65"/>
    </row>
    <row r="30889" spans="1:2" x14ac:dyDescent="0.25">
      <c r="A30889" s="64" t="str">
        <f>HYPERLINK("http://www.twitter.com/operacat", "operacat")</f>
        <v>operacat</v>
      </c>
      <c r="B30889" s="65" t="s">
        <v>5208</v>
      </c>
    </row>
    <row r="30890" spans="1:2" x14ac:dyDescent="0.25">
      <c r="A30890" s="64" t="str">
        <f>HYPERLINK("http://www.twitter.com/aszerb", "aszerb")</f>
        <v>aszerb</v>
      </c>
      <c r="B30890" s="65" t="s">
        <v>10255</v>
      </c>
    </row>
    <row r="30891" spans="1:2" x14ac:dyDescent="0.25">
      <c r="A30891" s="64" t="str">
        <f>HYPERLINK("http://www.twitter.com/agbthompson", "agbthompson")</f>
        <v>agbthompson</v>
      </c>
      <c r="B30891" s="65" t="s">
        <v>12431</v>
      </c>
    </row>
    <row r="30892" spans="1:2" x14ac:dyDescent="0.25">
      <c r="A30892" s="64" t="str">
        <f>HYPERLINK("http://www.twitter.com/EmmaJaneWallace", "EmmaJaneWallace")</f>
        <v>EmmaJaneWallace</v>
      </c>
      <c r="B30892" s="65" t="s">
        <v>3820</v>
      </c>
    </row>
    <row r="30893" spans="1:2" x14ac:dyDescent="0.25">
      <c r="A30893" s="64" t="str">
        <f>HYPERLINK("http://www.twitter.com/ChristineOrkney", "ChristineOrkney")</f>
        <v>ChristineOrkney</v>
      </c>
      <c r="B30893" s="65" t="s">
        <v>20</v>
      </c>
    </row>
    <row r="30894" spans="1:2" x14ac:dyDescent="0.25">
      <c r="A30894" s="64" t="str">
        <f>HYPERLINK("http://www.twitter.com/mrsnoakes", "mrsnoakes")</f>
        <v>mrsnoakes</v>
      </c>
      <c r="B30894" s="65" t="s">
        <v>5127</v>
      </c>
    </row>
    <row r="30895" spans="1:2" x14ac:dyDescent="0.25">
      <c r="A30895" s="64" t="str">
        <f>HYPERLINK("http://www.twitter.com/the0rchids", "the0rchids")</f>
        <v>the0rchids</v>
      </c>
      <c r="B30895" s="65" t="s">
        <v>138</v>
      </c>
    </row>
    <row r="30896" spans="1:2" x14ac:dyDescent="0.25">
      <c r="A30896" s="64" t="str">
        <f>HYPERLINK("http://www.twitter.com/wrgrs", "wrgrs")</f>
        <v>wrgrs</v>
      </c>
      <c r="B30896" s="65" t="s">
        <v>12</v>
      </c>
    </row>
    <row r="30897" spans="1:2" x14ac:dyDescent="0.25">
      <c r="A30897" s="64" t="str">
        <f>HYPERLINK("http://www.twitter.com/geordiejo_jo", "geordiejo_jo")</f>
        <v>geordiejo_jo</v>
      </c>
      <c r="B30897" s="65" t="s">
        <v>4404</v>
      </c>
    </row>
    <row r="30898" spans="1:2" x14ac:dyDescent="0.25">
      <c r="A30898" s="64" t="str">
        <f>HYPERLINK("http://www.twitter.com/Sineadbks", "Sineadbks")</f>
        <v>Sineadbks</v>
      </c>
      <c r="B30898" s="65" t="s">
        <v>138</v>
      </c>
    </row>
    <row r="30899" spans="1:2" x14ac:dyDescent="0.25">
      <c r="A30899" s="64" t="str">
        <f>HYPERLINK("http://www.twitter.com/Sheffjude", "Sheffjude")</f>
        <v>Sheffjude</v>
      </c>
      <c r="B30899" s="65" t="s">
        <v>219</v>
      </c>
    </row>
    <row r="30900" spans="1:2" x14ac:dyDescent="0.25">
      <c r="A30900" s="64" t="str">
        <f>HYPERLINK("http://www.twitter.com/MarieConcannon", "MarieConcannon")</f>
        <v>MarieConcannon</v>
      </c>
      <c r="B30900" s="65" t="s">
        <v>1221</v>
      </c>
    </row>
    <row r="30901" spans="1:2" x14ac:dyDescent="0.25">
      <c r="A30901" s="64" t="str">
        <f>HYPERLINK("http://www.twitter.com/gibraltarwoman", "gibraltarwoman")</f>
        <v>gibraltarwoman</v>
      </c>
      <c r="B30901" s="65" t="s">
        <v>9877</v>
      </c>
    </row>
    <row r="30902" spans="1:2" x14ac:dyDescent="0.25">
      <c r="A30902" s="64" t="str">
        <f>HYPERLINK("http://www.twitter.com/KatiTattari", "KatiTattari")</f>
        <v>KatiTattari</v>
      </c>
      <c r="B30902" s="65" t="s">
        <v>6211</v>
      </c>
    </row>
    <row r="30903" spans="1:2" x14ac:dyDescent="0.25">
      <c r="A30903" s="64" t="str">
        <f>HYPERLINK("http://www.twitter.com/jash147", "jash147")</f>
        <v>jash147</v>
      </c>
      <c r="B30903" s="65" t="s">
        <v>296</v>
      </c>
    </row>
    <row r="30904" spans="1:2" x14ac:dyDescent="0.25">
      <c r="A30904" s="64" t="str">
        <f>HYPERLINK("http://www.twitter.com/NOLA_Filmslave", "NOLA_Filmslave")</f>
        <v>NOLA_Filmslave</v>
      </c>
      <c r="B30904" s="65" t="s">
        <v>7853</v>
      </c>
    </row>
    <row r="30905" spans="1:2" x14ac:dyDescent="0.25">
      <c r="A30905" s="64" t="str">
        <f>HYPERLINK("http://www.twitter.com/lpmmoon", "lpmmoon")</f>
        <v>lpmmoon</v>
      </c>
      <c r="B30905" s="65" t="s">
        <v>4501</v>
      </c>
    </row>
    <row r="30906" spans="1:2" x14ac:dyDescent="0.25">
      <c r="A30906" s="64" t="str">
        <f>HYPERLINK("http://www.twitter.com/sheenamjcook", "sheenamjcook")</f>
        <v>sheenamjcook</v>
      </c>
      <c r="B30906" s="65"/>
    </row>
    <row r="30907" spans="1:2" x14ac:dyDescent="0.25">
      <c r="A30907" s="64" t="str">
        <f>HYPERLINK("http://www.twitter.com/rob_gough", "rob_gough")</f>
        <v>rob_gough</v>
      </c>
      <c r="B30907" s="65"/>
    </row>
    <row r="30908" spans="1:2" x14ac:dyDescent="0.25">
      <c r="A30908" s="64" t="str">
        <f>HYPERLINK("http://www.twitter.com/juliesbc", "juliesbc")</f>
        <v>juliesbc</v>
      </c>
      <c r="B30908" s="65"/>
    </row>
    <row r="30909" spans="1:2" x14ac:dyDescent="0.25">
      <c r="A30909" s="64" t="str">
        <f>HYPERLINK("http://www.twitter.com/dartswill", "dartswill")</f>
        <v>dartswill</v>
      </c>
      <c r="B30909" s="65"/>
    </row>
    <row r="30910" spans="1:2" x14ac:dyDescent="0.25">
      <c r="A30910" s="64" t="str">
        <f>HYPERLINK("http://www.twitter.com/MargoWilliamson", "MargoWilliamson")</f>
        <v>MargoWilliamson</v>
      </c>
      <c r="B30910" s="65" t="s">
        <v>12432</v>
      </c>
    </row>
    <row r="30911" spans="1:2" x14ac:dyDescent="0.25">
      <c r="A30911" s="64" t="str">
        <f>HYPERLINK("http://www.twitter.com/bayleaf400", "bayleaf400")</f>
        <v>bayleaf400</v>
      </c>
      <c r="B30911" s="65" t="s">
        <v>12433</v>
      </c>
    </row>
    <row r="30912" spans="1:2" x14ac:dyDescent="0.25">
      <c r="A30912" s="64" t="str">
        <f>HYPERLINK("http://www.twitter.com/stirlingstout", "stirlingstout")</f>
        <v>stirlingstout</v>
      </c>
      <c r="B30912" s="65"/>
    </row>
    <row r="30913" spans="1:2" x14ac:dyDescent="0.25">
      <c r="A30913" s="64" t="str">
        <f>HYPERLINK("http://www.twitter.com/ian220368", "ian220368")</f>
        <v>ian220368</v>
      </c>
      <c r="B30913" s="65" t="s">
        <v>12434</v>
      </c>
    </row>
    <row r="30914" spans="1:2" x14ac:dyDescent="0.25">
      <c r="A30914" s="64" t="str">
        <f>HYPERLINK("http://www.twitter.com/lizzie4282", "lizzie4282")</f>
        <v>lizzie4282</v>
      </c>
      <c r="B30914" s="65"/>
    </row>
    <row r="30915" spans="1:2" x14ac:dyDescent="0.25">
      <c r="A30915" s="64" t="str">
        <f>HYPERLINK("http://www.twitter.com/InspectorMoss", "InspectorMoss")</f>
        <v>InspectorMoss</v>
      </c>
      <c r="B30915" s="65" t="s">
        <v>12435</v>
      </c>
    </row>
    <row r="30916" spans="1:2" x14ac:dyDescent="0.25">
      <c r="A30916" s="64" t="str">
        <f>HYPERLINK("http://www.twitter.com/naomigrant95", "naomigrant95")</f>
        <v>naomigrant95</v>
      </c>
      <c r="B30916" s="65" t="s">
        <v>12436</v>
      </c>
    </row>
    <row r="30917" spans="1:2" x14ac:dyDescent="0.25">
      <c r="A30917" s="64" t="str">
        <f>HYPERLINK("http://www.twitter.com/h0mesickange1", "h0mesickange1")</f>
        <v>h0mesickange1</v>
      </c>
      <c r="B30917" s="65"/>
    </row>
    <row r="30918" spans="1:2" x14ac:dyDescent="0.25">
      <c r="A30918" s="64" t="str">
        <f>HYPERLINK("http://www.twitter.com/AlisonIveson", "AlisonIveson")</f>
        <v>AlisonIveson</v>
      </c>
      <c r="B30918" s="65"/>
    </row>
    <row r="30919" spans="1:2" x14ac:dyDescent="0.25">
      <c r="A30919" s="64" t="str">
        <f>HYPERLINK("http://www.twitter.com/HelenClemence", "HelenClemence")</f>
        <v>HelenClemence</v>
      </c>
      <c r="B30919" s="65" t="s">
        <v>1810</v>
      </c>
    </row>
    <row r="30920" spans="1:2" x14ac:dyDescent="0.25">
      <c r="A30920" s="64" t="str">
        <f>HYPERLINK("http://www.twitter.com/Emms_Jackson", "Emms_Jackson")</f>
        <v>Emms_Jackson</v>
      </c>
      <c r="B30920" s="65"/>
    </row>
    <row r="30921" spans="1:2" x14ac:dyDescent="0.25">
      <c r="A30921" s="64" t="str">
        <f>HYPERLINK("http://www.twitter.com/theonlygoose", "theonlygoose")</f>
        <v>theonlygoose</v>
      </c>
      <c r="B30921" s="65"/>
    </row>
    <row r="30922" spans="1:2" x14ac:dyDescent="0.25">
      <c r="A30922" s="64" t="str">
        <f>HYPERLINK("http://www.twitter.com/wodrowproject", "wodrowproject")</f>
        <v>wodrowproject</v>
      </c>
      <c r="B30922" s="65" t="s">
        <v>4254</v>
      </c>
    </row>
    <row r="30923" spans="1:2" x14ac:dyDescent="0.25">
      <c r="A30923" s="64" t="str">
        <f>HYPERLINK("http://www.twitter.com/SJLindsay23", "SJLindsay23")</f>
        <v>SJLindsay23</v>
      </c>
      <c r="B30923" s="65" t="s">
        <v>138</v>
      </c>
    </row>
    <row r="30924" spans="1:2" x14ac:dyDescent="0.25">
      <c r="A30924" s="64" t="str">
        <f>HYPERLINK("http://www.twitter.com/Hami8765", "Hami8765")</f>
        <v>Hami8765</v>
      </c>
      <c r="B30924" s="65" t="s">
        <v>24</v>
      </c>
    </row>
    <row r="30925" spans="1:2" x14ac:dyDescent="0.25">
      <c r="A30925" s="64" t="str">
        <f>HYPERLINK("http://www.twitter.com/Museocat", "Museocat")</f>
        <v>Museocat</v>
      </c>
      <c r="B30925" s="65" t="s">
        <v>12437</v>
      </c>
    </row>
    <row r="30926" spans="1:2" x14ac:dyDescent="0.25">
      <c r="A30926" s="64" t="str">
        <f>HYPERLINK("http://www.twitter.com/lwttoo", "lwttoo")</f>
        <v>lwttoo</v>
      </c>
      <c r="B30926" s="65"/>
    </row>
    <row r="30927" spans="1:2" x14ac:dyDescent="0.25">
      <c r="A30927" s="64" t="str">
        <f>HYPERLINK("http://www.twitter.com/lesleyahpd", "lesleyahpd")</f>
        <v>lesleyahpd</v>
      </c>
      <c r="B30927" s="65" t="s">
        <v>517</v>
      </c>
    </row>
    <row r="30928" spans="1:2" x14ac:dyDescent="0.25">
      <c r="A30928" s="64" t="str">
        <f>HYPERLINK("http://www.twitter.com/maladyets", "maladyets")</f>
        <v>maladyets</v>
      </c>
      <c r="B30928" s="65" t="s">
        <v>102</v>
      </c>
    </row>
    <row r="30929" spans="1:2" x14ac:dyDescent="0.25">
      <c r="A30929" s="64" t="str">
        <f>HYPERLINK("http://www.twitter.com/williamfiennes", "williamfiennes")</f>
        <v>williamfiennes</v>
      </c>
      <c r="B30929" s="65"/>
    </row>
    <row r="30930" spans="1:2" x14ac:dyDescent="0.25">
      <c r="A30930" s="64" t="str">
        <f>HYPERLINK("http://www.twitter.com/TheMaryMary", "TheMaryMary")</f>
        <v>TheMaryMary</v>
      </c>
      <c r="B30930" s="65" t="s">
        <v>5299</v>
      </c>
    </row>
    <row r="30931" spans="1:2" x14ac:dyDescent="0.25">
      <c r="A30931" s="64" t="str">
        <f>HYPERLINK("http://www.twitter.com/libby_brooks", "libby_brooks")</f>
        <v>libby_brooks</v>
      </c>
      <c r="B30931" s="65" t="s">
        <v>138</v>
      </c>
    </row>
    <row r="30932" spans="1:2" x14ac:dyDescent="0.25">
      <c r="A30932" s="64" t="str">
        <f>HYPERLINK("http://www.twitter.com/catherine_max", "catherine_max")</f>
        <v>catherine_max</v>
      </c>
      <c r="B30932" s="65" t="s">
        <v>10252</v>
      </c>
    </row>
    <row r="30933" spans="1:2" x14ac:dyDescent="0.25">
      <c r="A30933" s="64" t="str">
        <f>HYPERLINK("http://www.twitter.com/racoonballoon", "racoonballoon")</f>
        <v>racoonballoon</v>
      </c>
      <c r="B30933" s="65"/>
    </row>
    <row r="30934" spans="1:2" x14ac:dyDescent="0.25">
      <c r="A30934" s="64" t="str">
        <f>HYPERLINK("http://www.twitter.com/DickinsonCaro", "DickinsonCaro")</f>
        <v>DickinsonCaro</v>
      </c>
      <c r="B30934" s="65"/>
    </row>
    <row r="30935" spans="1:2" x14ac:dyDescent="0.25">
      <c r="A30935" s="64" t="str">
        <f>HYPERLINK("http://www.twitter.com/MamajaneJane", "MamajaneJane")</f>
        <v>MamajaneJane</v>
      </c>
      <c r="B30935" s="65"/>
    </row>
    <row r="30936" spans="1:2" x14ac:dyDescent="0.25">
      <c r="A30936" s="64" t="str">
        <f>HYPERLINK("http://www.twitter.com/erinaballerina", "erinaballerina")</f>
        <v>erinaballerina</v>
      </c>
      <c r="B30936" s="65" t="s">
        <v>12438</v>
      </c>
    </row>
    <row r="30937" spans="1:2" x14ac:dyDescent="0.25">
      <c r="A30937" s="64" t="str">
        <f>HYPERLINK("http://www.twitter.com/jennyburke44", "jennyburke44")</f>
        <v>jennyburke44</v>
      </c>
      <c r="B30937" s="65"/>
    </row>
    <row r="30938" spans="1:2" x14ac:dyDescent="0.25">
      <c r="A30938" s="64" t="str">
        <f>HYPERLINK("http://www.twitter.com/ParkerFelicity", "ParkerFelicity")</f>
        <v>ParkerFelicity</v>
      </c>
      <c r="B30938" s="65"/>
    </row>
    <row r="30939" spans="1:2" x14ac:dyDescent="0.25">
      <c r="A30939" s="64" t="str">
        <f>HYPERLINK("http://www.twitter.com/favhour", "favhour")</f>
        <v>favhour</v>
      </c>
      <c r="B30939" s="65" t="s">
        <v>12439</v>
      </c>
    </row>
    <row r="30940" spans="1:2" x14ac:dyDescent="0.25">
      <c r="A30940" s="64" t="str">
        <f>HYPERLINK("http://www.twitter.com/arrangirl99", "arrangirl99")</f>
        <v>arrangirl99</v>
      </c>
      <c r="B30940" s="65" t="s">
        <v>5658</v>
      </c>
    </row>
    <row r="30941" spans="1:2" x14ac:dyDescent="0.25">
      <c r="A30941" s="64" t="str">
        <f>HYPERLINK("http://www.twitter.com/moralisten", "moralisten")</f>
        <v>moralisten</v>
      </c>
      <c r="B30941" s="65"/>
    </row>
    <row r="30942" spans="1:2" x14ac:dyDescent="0.25">
      <c r="A30942" s="64" t="str">
        <f>HYPERLINK("http://www.twitter.com/WillsHeather", "WillsHeather")</f>
        <v>WillsHeather</v>
      </c>
      <c r="B30942" s="65"/>
    </row>
    <row r="30943" spans="1:2" x14ac:dyDescent="0.25">
      <c r="A30943" s="64" t="str">
        <f>HYPERLINK("http://www.twitter.com/BedalesLibrary", "BedalesLibrary")</f>
        <v>BedalesLibrary</v>
      </c>
      <c r="B30943" s="65" t="s">
        <v>12440</v>
      </c>
    </row>
    <row r="30944" spans="1:2" x14ac:dyDescent="0.25">
      <c r="A30944" s="64" t="str">
        <f>HYPERLINK("http://www.twitter.com/berlinomatic", "berlinomatic")</f>
        <v>berlinomatic</v>
      </c>
      <c r="B30944" s="65" t="s">
        <v>12441</v>
      </c>
    </row>
    <row r="30945" spans="1:2" x14ac:dyDescent="0.25">
      <c r="A30945" s="64" t="str">
        <f>HYPERLINK("http://www.twitter.com/martindiggines", "martindiggines")</f>
        <v>martindiggines</v>
      </c>
      <c r="B30945" s="65"/>
    </row>
    <row r="30946" spans="1:2" x14ac:dyDescent="0.25">
      <c r="A30946" s="64" t="str">
        <f>HYPERLINK("http://www.twitter.com/NestaO", "NestaO")</f>
        <v>NestaO</v>
      </c>
      <c r="B30946" s="65"/>
    </row>
    <row r="30947" spans="1:2" x14ac:dyDescent="0.25">
      <c r="A30947" s="64" t="str">
        <f>HYPERLINK("http://www.twitter.com/teaanemone", "teaanemone")</f>
        <v>teaanemone</v>
      </c>
      <c r="B30947" s="65" t="s">
        <v>138</v>
      </c>
    </row>
    <row r="30948" spans="1:2" x14ac:dyDescent="0.25">
      <c r="A30948" s="64" t="str">
        <f>HYPERLINK("http://www.twitter.com/shona_black", "shona_black")</f>
        <v>shona_black</v>
      </c>
      <c r="B30948" s="65"/>
    </row>
    <row r="30949" spans="1:2" x14ac:dyDescent="0.25">
      <c r="A30949" s="64" t="str">
        <f>HYPERLINK("http://www.twitter.com/paulinemable", "paulinemable")</f>
        <v>paulinemable</v>
      </c>
      <c r="B30949" s="65" t="s">
        <v>1980</v>
      </c>
    </row>
    <row r="30950" spans="1:2" x14ac:dyDescent="0.25">
      <c r="A30950" s="64" t="str">
        <f>HYPERLINK("http://www.twitter.com/alison_doig", "alison_doig")</f>
        <v>alison_doig</v>
      </c>
      <c r="B30950" s="65" t="s">
        <v>5965</v>
      </c>
    </row>
    <row r="30951" spans="1:2" x14ac:dyDescent="0.25">
      <c r="A30951" s="64" t="str">
        <f>HYPERLINK("http://www.twitter.com/el_dwyer", "el_dwyer")</f>
        <v>el_dwyer</v>
      </c>
      <c r="B30951" s="65" t="s">
        <v>3559</v>
      </c>
    </row>
    <row r="30952" spans="1:2" x14ac:dyDescent="0.25">
      <c r="A30952" s="64" t="str">
        <f>HYPERLINK("http://www.twitter.com/MadameMiaow", "MadameMiaow")</f>
        <v>MadameMiaow</v>
      </c>
      <c r="B30952" s="65"/>
    </row>
    <row r="30953" spans="1:2" x14ac:dyDescent="0.25">
      <c r="A30953" s="64" t="str">
        <f>HYPERLINK("http://www.twitter.com/KJ61", "KJ61")</f>
        <v>KJ61</v>
      </c>
      <c r="B30953" s="65" t="s">
        <v>517</v>
      </c>
    </row>
    <row r="30954" spans="1:2" x14ac:dyDescent="0.25">
      <c r="A30954" s="64" t="str">
        <f>HYPERLINK("http://www.twitter.com/Xosa", "Xosa")</f>
        <v>Xosa</v>
      </c>
      <c r="B30954" s="65"/>
    </row>
    <row r="30955" spans="1:2" x14ac:dyDescent="0.25">
      <c r="A30955" s="64" t="str">
        <f>HYPERLINK("http://www.twitter.com/Jammyhorse", "Jammyhorse")</f>
        <v>Jammyhorse</v>
      </c>
      <c r="B30955" s="65" t="s">
        <v>12442</v>
      </c>
    </row>
    <row r="30956" spans="1:2" x14ac:dyDescent="0.25">
      <c r="A30956" s="64" t="str">
        <f>HYPERLINK("http://www.twitter.com/elfinstomp", "elfinstomp")</f>
        <v>elfinstomp</v>
      </c>
      <c r="B30956" s="65"/>
    </row>
    <row r="30957" spans="1:2" x14ac:dyDescent="0.25">
      <c r="A30957" s="64" t="str">
        <f>HYPERLINK("http://www.twitter.com/ShelvingSheep", "ShelvingSheep")</f>
        <v>ShelvingSheep</v>
      </c>
      <c r="B30957" s="65" t="s">
        <v>36</v>
      </c>
    </row>
    <row r="30958" spans="1:2" x14ac:dyDescent="0.25">
      <c r="A30958" s="64" t="str">
        <f>HYPERLINK("http://www.twitter.com/danny_gough", "danny_gough")</f>
        <v>danny_gough</v>
      </c>
      <c r="B30958" s="65" t="s">
        <v>926</v>
      </c>
    </row>
    <row r="30959" spans="1:2" x14ac:dyDescent="0.25">
      <c r="A30959" s="64" t="str">
        <f>HYPERLINK("http://www.twitter.com/jwdtucker", "jwdtucker")</f>
        <v>jwdtucker</v>
      </c>
      <c r="B30959" s="65" t="s">
        <v>186</v>
      </c>
    </row>
    <row r="30960" spans="1:2" x14ac:dyDescent="0.25">
      <c r="A30960" s="64" t="str">
        <f>HYPERLINK("http://www.twitter.com/foxylector", "foxylector")</f>
        <v>foxylector</v>
      </c>
      <c r="B30960" s="65" t="s">
        <v>4062</v>
      </c>
    </row>
    <row r="30961" spans="1:2" x14ac:dyDescent="0.25">
      <c r="A30961" s="64" t="str">
        <f>HYPERLINK("http://www.twitter.com/mikeakelly", "mikeakelly")</f>
        <v>mikeakelly</v>
      </c>
      <c r="B30961" s="65" t="s">
        <v>33</v>
      </c>
    </row>
    <row r="30962" spans="1:2" x14ac:dyDescent="0.25">
      <c r="A30962" s="64" t="str">
        <f>HYPERLINK("http://www.twitter.com/worldcafelive", "worldcafelive")</f>
        <v>worldcafelive</v>
      </c>
      <c r="B30962" s="65" t="s">
        <v>4035</v>
      </c>
    </row>
    <row r="30963" spans="1:2" x14ac:dyDescent="0.25">
      <c r="A30963" s="64" t="str">
        <f>HYPERLINK("http://www.twitter.com/justin0case", "justin0case")</f>
        <v>justin0case</v>
      </c>
      <c r="B30963" s="65"/>
    </row>
    <row r="30964" spans="1:2" x14ac:dyDescent="0.25">
      <c r="A30964" s="64" t="str">
        <f>HYPERLINK("http://www.twitter.com/twirlround", "twirlround")</f>
        <v>twirlround</v>
      </c>
      <c r="B30964" s="65" t="s">
        <v>138</v>
      </c>
    </row>
    <row r="30965" spans="1:2" x14ac:dyDescent="0.25">
      <c r="A30965" s="64" t="str">
        <f>HYPERLINK("http://www.twitter.com/Stikkiniff", "Stikkiniff")</f>
        <v>Stikkiniff</v>
      </c>
      <c r="B30965" s="65"/>
    </row>
    <row r="30966" spans="1:2" x14ac:dyDescent="0.25">
      <c r="A30966" s="64" t="str">
        <f>HYPERLINK("http://www.twitter.com/davideworth", "davideworth")</f>
        <v>davideworth</v>
      </c>
      <c r="B30966" s="65" t="s">
        <v>12443</v>
      </c>
    </row>
    <row r="30967" spans="1:2" x14ac:dyDescent="0.25">
      <c r="A30967" s="64" t="str">
        <f>HYPERLINK("http://www.twitter.com/AdeAllan", "AdeAllan")</f>
        <v>AdeAllan</v>
      </c>
      <c r="B30967" s="65" t="s">
        <v>67</v>
      </c>
    </row>
    <row r="30968" spans="1:2" x14ac:dyDescent="0.25">
      <c r="A30968" s="64" t="str">
        <f>HYPERLINK("http://www.twitter.com/JennyRollo", "JennyRollo")</f>
        <v>JennyRollo</v>
      </c>
      <c r="B30968" s="65" t="s">
        <v>138</v>
      </c>
    </row>
    <row r="30969" spans="1:2" x14ac:dyDescent="0.25">
      <c r="A30969" s="64" t="str">
        <f>HYPERLINK("http://www.twitter.com/mr_fresher", "mr_fresher")</f>
        <v>mr_fresher</v>
      </c>
      <c r="B30969" s="65" t="s">
        <v>4989</v>
      </c>
    </row>
    <row r="30970" spans="1:2" x14ac:dyDescent="0.25">
      <c r="A30970" s="64" t="str">
        <f>HYPERLINK("http://www.twitter.com/herbological", "herbological")</f>
        <v>herbological</v>
      </c>
      <c r="B30970" s="65" t="s">
        <v>12444</v>
      </c>
    </row>
    <row r="30971" spans="1:2" x14ac:dyDescent="0.25">
      <c r="A30971" s="64" t="str">
        <f>HYPERLINK("http://www.twitter.com/KiraFitzgerald", "KiraFitzgerald")</f>
        <v>KiraFitzgerald</v>
      </c>
      <c r="B30971" s="65" t="s">
        <v>12445</v>
      </c>
    </row>
    <row r="30972" spans="1:2" x14ac:dyDescent="0.25">
      <c r="A30972" s="64" t="str">
        <f>HYPERLINK("http://www.twitter.com/GPrecourt", "GPrecourt")</f>
        <v>GPrecourt</v>
      </c>
      <c r="B30972" s="65"/>
    </row>
    <row r="30973" spans="1:2" x14ac:dyDescent="0.25">
      <c r="A30973" s="64" t="str">
        <f>HYPERLINK("http://www.twitter.com/ClaireTTweets", "ClaireTTweets")</f>
        <v>ClaireTTweets</v>
      </c>
      <c r="B30973" s="65" t="s">
        <v>12446</v>
      </c>
    </row>
    <row r="30974" spans="1:2" x14ac:dyDescent="0.25">
      <c r="A30974" s="64" t="str">
        <f>HYPERLINK("http://www.twitter.com/AdamAitch", "AdamAitch")</f>
        <v>AdamAitch</v>
      </c>
      <c r="B30974" s="65" t="s">
        <v>12447</v>
      </c>
    </row>
    <row r="30975" spans="1:2" x14ac:dyDescent="0.25">
      <c r="A30975" s="64" t="str">
        <f>HYPERLINK("http://www.twitter.com/baxtron3000", "baxtron3000")</f>
        <v>baxtron3000</v>
      </c>
      <c r="B30975" s="65"/>
    </row>
    <row r="30976" spans="1:2" x14ac:dyDescent="0.25">
      <c r="A30976" s="64" t="str">
        <f>HYPERLINK("http://www.twitter.com/upsteeplebat", "upsteeplebat")</f>
        <v>upsteeplebat</v>
      </c>
      <c r="B30976" s="65" t="s">
        <v>6211</v>
      </c>
    </row>
    <row r="30977" spans="1:2" x14ac:dyDescent="0.25">
      <c r="A30977" s="64" t="str">
        <f>HYPERLINK("http://www.twitter.com/JulieMcCluskey1", "JulieMcCluskey1")</f>
        <v>JulieMcCluskey1</v>
      </c>
      <c r="B30977" s="65" t="s">
        <v>8068</v>
      </c>
    </row>
    <row r="30978" spans="1:2" x14ac:dyDescent="0.25">
      <c r="A30978" s="64" t="str">
        <f>HYPERLINK("http://www.twitter.com/justlyndsay", "justlyndsay")</f>
        <v>justlyndsay</v>
      </c>
      <c r="B30978" s="65" t="s">
        <v>12448</v>
      </c>
    </row>
    <row r="30979" spans="1:2" x14ac:dyDescent="0.25">
      <c r="A30979" s="64" t="str">
        <f>HYPERLINK("http://www.twitter.com/favenmarg", "favenmarg")</f>
        <v>favenmarg</v>
      </c>
      <c r="B30979" s="65"/>
    </row>
    <row r="30980" spans="1:2" x14ac:dyDescent="0.25">
      <c r="A30980" s="64" t="str">
        <f>HYPERLINK("http://www.twitter.com/mattappleby", "mattappleby")</f>
        <v>mattappleby</v>
      </c>
      <c r="B30980" s="65" t="s">
        <v>12449</v>
      </c>
    </row>
    <row r="30981" spans="1:2" x14ac:dyDescent="0.25">
      <c r="A30981" s="64" t="str">
        <f>HYPERLINK("http://www.twitter.com/Geek_Manager", "Geek_Manager")</f>
        <v>Geek_Manager</v>
      </c>
      <c r="B30981" s="65" t="s">
        <v>12450</v>
      </c>
    </row>
    <row r="30982" spans="1:2" x14ac:dyDescent="0.25">
      <c r="A30982" s="64" t="str">
        <f>HYPERLINK("http://www.twitter.com/MuseWR", "MuseWR")</f>
        <v>MuseWR</v>
      </c>
      <c r="B30982" s="65" t="s">
        <v>3559</v>
      </c>
    </row>
    <row r="30983" spans="1:2" x14ac:dyDescent="0.25">
      <c r="A30983" s="64" t="str">
        <f>HYPERLINK("http://www.twitter.com/cumiskey", "cumiskey")</f>
        <v>cumiskey</v>
      </c>
      <c r="B30983" s="65" t="s">
        <v>12451</v>
      </c>
    </row>
    <row r="30984" spans="1:2" x14ac:dyDescent="0.25">
      <c r="A30984" s="64" t="str">
        <f>HYPERLINK("http://www.twitter.com/DeiHarries", "DeiHarries")</f>
        <v>DeiHarries</v>
      </c>
      <c r="B30984" s="65"/>
    </row>
    <row r="30985" spans="1:2" x14ac:dyDescent="0.25">
      <c r="A30985" s="64" t="str">
        <f>HYPERLINK("http://www.twitter.com/BrainTracer", "BrainTracer")</f>
        <v>BrainTracer</v>
      </c>
      <c r="B30985" s="65" t="s">
        <v>36</v>
      </c>
    </row>
    <row r="30986" spans="1:2" x14ac:dyDescent="0.25">
      <c r="A30986" s="64" t="str">
        <f>HYPERLINK("http://www.twitter.com/scarlett_ohaira", "scarlett_ohaira")</f>
        <v>scarlett_ohaira</v>
      </c>
      <c r="B30986" s="65" t="s">
        <v>12452</v>
      </c>
    </row>
    <row r="30987" spans="1:2" x14ac:dyDescent="0.25">
      <c r="A30987" s="64" t="str">
        <f>HYPERLINK("http://www.twitter.com/rehtaeh1", "rehtaeh1")</f>
        <v>rehtaeh1</v>
      </c>
      <c r="B30987" s="65" t="s">
        <v>4394</v>
      </c>
    </row>
    <row r="30988" spans="1:2" x14ac:dyDescent="0.25">
      <c r="A30988" s="64" t="str">
        <f>HYPERLINK("http://www.twitter.com/r_n12", "r_n12")</f>
        <v>r_n12</v>
      </c>
      <c r="B30988" s="65" t="s">
        <v>12453</v>
      </c>
    </row>
    <row r="30989" spans="1:2" x14ac:dyDescent="0.25">
      <c r="A30989" s="64" t="str">
        <f>HYPERLINK("http://www.twitter.com/vencut2", "vencut2")</f>
        <v>vencut2</v>
      </c>
      <c r="B30989" s="65"/>
    </row>
    <row r="30990" spans="1:2" x14ac:dyDescent="0.25">
      <c r="A30990" s="64" t="str">
        <f>HYPERLINK("http://www.twitter.com/sagunswash", "sagunswash")</f>
        <v>sagunswash</v>
      </c>
      <c r="B30990" s="65" t="s">
        <v>12454</v>
      </c>
    </row>
    <row r="30991" spans="1:2" x14ac:dyDescent="0.25">
      <c r="A30991" s="64" t="str">
        <f>HYPERLINK("http://www.twitter.com/TPM_Adrian", "TPM_Adrian")</f>
        <v>TPM_Adrian</v>
      </c>
      <c r="B30991" s="65" t="s">
        <v>36</v>
      </c>
    </row>
    <row r="30992" spans="1:2" x14ac:dyDescent="0.25">
      <c r="A30992" s="64" t="str">
        <f>HYPERLINK("http://www.twitter.com/clockwatch", "clockwatch")</f>
        <v>clockwatch</v>
      </c>
      <c r="B30992" s="65" t="s">
        <v>5694</v>
      </c>
    </row>
    <row r="30993" spans="1:2" x14ac:dyDescent="0.25">
      <c r="A30993" s="64" t="str">
        <f>HYPERLINK("http://www.twitter.com/therandombadger", "therandombadger")</f>
        <v>therandombadger</v>
      </c>
      <c r="B30993" s="65" t="s">
        <v>36</v>
      </c>
    </row>
    <row r="30994" spans="1:2" x14ac:dyDescent="0.25">
      <c r="A30994" s="64" t="str">
        <f>HYPERLINK("http://www.twitter.com/Damian_Barr", "Damian_Barr")</f>
        <v>Damian_Barr</v>
      </c>
      <c r="B30994" s="65" t="s">
        <v>12455</v>
      </c>
    </row>
    <row r="30995" spans="1:2" x14ac:dyDescent="0.25">
      <c r="A30995" s="64" t="str">
        <f>HYPERLINK("http://www.twitter.com/adamedmett", "adamedmett")</f>
        <v>adamedmett</v>
      </c>
      <c r="B30995" s="65" t="s">
        <v>7816</v>
      </c>
    </row>
    <row r="30996" spans="1:2" x14ac:dyDescent="0.25">
      <c r="A30996" s="64" t="str">
        <f>HYPERLINK("http://www.twitter.com/alextait", "alextait")</f>
        <v>alextait</v>
      </c>
      <c r="B30996" s="65" t="s">
        <v>9459</v>
      </c>
    </row>
    <row r="30997" spans="1:2" x14ac:dyDescent="0.25">
      <c r="A30997" s="64" t="str">
        <f>HYPERLINK("http://www.twitter.com/NicolaCornick", "NicolaCornick")</f>
        <v>NicolaCornick</v>
      </c>
      <c r="B30997" s="65" t="s">
        <v>1180</v>
      </c>
    </row>
    <row r="30998" spans="1:2" x14ac:dyDescent="0.25">
      <c r="A30998" s="64" t="str">
        <f>HYPERLINK("http://www.twitter.com/drusmumdoes", "drusmumdoes")</f>
        <v>drusmumdoes</v>
      </c>
      <c r="B30998" s="65" t="s">
        <v>456</v>
      </c>
    </row>
    <row r="30999" spans="1:2" x14ac:dyDescent="0.25">
      <c r="A30999" s="64" t="str">
        <f>HYPERLINK("http://www.twitter.com/Bakerburt", "Bakerburt")</f>
        <v>Bakerburt</v>
      </c>
      <c r="B30999" s="65"/>
    </row>
    <row r="31000" spans="1:2" x14ac:dyDescent="0.25">
      <c r="A31000" s="64" t="str">
        <f>HYPERLINK("http://www.twitter.com/PaulinaOlszanka", "PaulinaOlszanka")</f>
        <v>PaulinaOlszanka</v>
      </c>
      <c r="B31000" s="65"/>
    </row>
    <row r="31001" spans="1:2" x14ac:dyDescent="0.25">
      <c r="A31001" s="64" t="str">
        <f>HYPERLINK("http://www.twitter.com/annawoodyes", "annawoodyes")</f>
        <v>annawoodyes</v>
      </c>
      <c r="B31001" s="65"/>
    </row>
    <row r="31002" spans="1:2" x14ac:dyDescent="0.25">
      <c r="A31002" s="64" t="str">
        <f>HYPERLINK("http://www.twitter.com/satomisorange", "satomisorange")</f>
        <v>satomisorange</v>
      </c>
      <c r="B31002" s="65"/>
    </row>
    <row r="31003" spans="1:2" x14ac:dyDescent="0.25">
      <c r="A31003" s="64" t="str">
        <f>HYPERLINK("http://www.twitter.com/caracinema", "caracinema")</f>
        <v>caracinema</v>
      </c>
      <c r="B31003" s="65"/>
    </row>
    <row r="31004" spans="1:2" x14ac:dyDescent="0.25">
      <c r="A31004" s="64" t="str">
        <f>HYPERLINK("http://www.twitter.com/herbaltea_123", "herbaltea_123")</f>
        <v>herbaltea_123</v>
      </c>
      <c r="B31004" s="65"/>
    </row>
    <row r="31005" spans="1:2" x14ac:dyDescent="0.25">
      <c r="A31005" s="64" t="str">
        <f>HYPERLINK("http://www.twitter.com/EleanorNess", "EleanorNess")</f>
        <v>EleanorNess</v>
      </c>
      <c r="B31005" s="65" t="s">
        <v>12456</v>
      </c>
    </row>
    <row r="31006" spans="1:2" x14ac:dyDescent="0.25">
      <c r="A31006" s="64" t="str">
        <f>HYPERLINK("http://www.twitter.com/Forganliz", "Forganliz")</f>
        <v>Forganliz</v>
      </c>
      <c r="B31006" s="65"/>
    </row>
    <row r="31007" spans="1:2" x14ac:dyDescent="0.25">
      <c r="A31007" s="64" t="str">
        <f>HYPERLINK("http://www.twitter.com/hanaMichi83", "hanaMichi83")</f>
        <v>hanaMichi83</v>
      </c>
      <c r="B31007" s="65"/>
    </row>
    <row r="31008" spans="1:2" x14ac:dyDescent="0.25">
      <c r="A31008" s="64" t="str">
        <f>HYPERLINK("http://www.twitter.com/PollyYYoga", "PollyYYoga")</f>
        <v>PollyYYoga</v>
      </c>
      <c r="B31008" s="65" t="s">
        <v>1295</v>
      </c>
    </row>
    <row r="31009" spans="1:2" x14ac:dyDescent="0.25">
      <c r="A31009" s="64" t="str">
        <f>HYPERLINK("http://www.twitter.com/herrhuld", "herrhuld")</f>
        <v>herrhuld</v>
      </c>
      <c r="B31009" s="65" t="s">
        <v>33</v>
      </c>
    </row>
    <row r="31010" spans="1:2" x14ac:dyDescent="0.25">
      <c r="A31010" s="64" t="str">
        <f>HYPERLINK("http://www.twitter.com/skittledog", "skittledog")</f>
        <v>skittledog</v>
      </c>
      <c r="B31010" s="65" t="s">
        <v>12457</v>
      </c>
    </row>
    <row r="31011" spans="1:2" x14ac:dyDescent="0.25">
      <c r="A31011" s="64" t="str">
        <f>HYPERLINK("http://www.twitter.com/titianhaired", "titianhaired")</f>
        <v>titianhaired</v>
      </c>
      <c r="B31011" s="65" t="s">
        <v>24</v>
      </c>
    </row>
    <row r="31012" spans="1:2" x14ac:dyDescent="0.25">
      <c r="A31012" s="64" t="str">
        <f>HYPERLINK("http://www.twitter.com/davewalker", "davewalker")</f>
        <v>davewalker</v>
      </c>
      <c r="B31012" s="65" t="s">
        <v>12458</v>
      </c>
    </row>
    <row r="31013" spans="1:2" x14ac:dyDescent="0.25">
      <c r="A31013" s="64" t="str">
        <f>HYPERLINK("http://www.twitter.com/joobyju", "joobyju")</f>
        <v>joobyju</v>
      </c>
      <c r="B31013" s="65"/>
    </row>
    <row r="31014" spans="1:2" x14ac:dyDescent="0.25">
      <c r="A31014" s="64" t="str">
        <f>HYPERLINK("http://www.twitter.com/HectorHall1", "HectorHall1")</f>
        <v>HectorHall1</v>
      </c>
      <c r="B31014" s="65"/>
    </row>
    <row r="31015" spans="1:2" x14ac:dyDescent="0.25">
      <c r="A31015" s="64" t="str">
        <f>HYPERLINK("http://www.twitter.com/thownice", "thownice")</f>
        <v>thownice</v>
      </c>
      <c r="B31015" s="65" t="s">
        <v>138</v>
      </c>
    </row>
    <row r="31016" spans="1:2" x14ac:dyDescent="0.25">
      <c r="A31016" s="64" t="str">
        <f>HYPERLINK("http://www.twitter.com/illeestrator", "illeestrator")</f>
        <v>illeestrator</v>
      </c>
      <c r="B31016" s="65"/>
    </row>
    <row r="31017" spans="1:2" x14ac:dyDescent="0.25">
      <c r="A31017" s="64" t="str">
        <f>HYPERLINK("http://www.twitter.com/NazlinJiwani", "NazlinJiwani")</f>
        <v>NazlinJiwani</v>
      </c>
      <c r="B31017" s="65" t="s">
        <v>12459</v>
      </c>
    </row>
    <row r="31018" spans="1:2" x14ac:dyDescent="0.25">
      <c r="A31018" s="64" t="str">
        <f>HYPERLINK("http://www.twitter.com/futuresgirluk", "futuresgirluk")</f>
        <v>futuresgirluk</v>
      </c>
      <c r="B31018" s="65" t="s">
        <v>36</v>
      </c>
    </row>
    <row r="31019" spans="1:2" x14ac:dyDescent="0.25">
      <c r="A31019" s="64" t="str">
        <f>HYPERLINK("http://www.twitter.com/sarleach6", "sarleach6")</f>
        <v>sarleach6</v>
      </c>
      <c r="B31019" s="65"/>
    </row>
    <row r="31020" spans="1:2" x14ac:dyDescent="0.25">
      <c r="A31020" s="64" t="str">
        <f>HYPERLINK("http://www.twitter.com/bookyvikki", "bookyvikki")</f>
        <v>bookyvikki</v>
      </c>
      <c r="B31020" s="65" t="s">
        <v>24</v>
      </c>
    </row>
    <row r="31021" spans="1:2" x14ac:dyDescent="0.25">
      <c r="A31021" s="64" t="str">
        <f>HYPERLINK("http://www.twitter.com/ecohann", "ecohann")</f>
        <v>ecohann</v>
      </c>
      <c r="B31021" s="65" t="s">
        <v>36</v>
      </c>
    </row>
    <row r="31022" spans="1:2" x14ac:dyDescent="0.25">
      <c r="A31022" s="64" t="str">
        <f>HYPERLINK("http://www.twitter.com/drmuig", "drmuig")</f>
        <v>drmuig</v>
      </c>
      <c r="B31022" s="65"/>
    </row>
    <row r="31023" spans="1:2" x14ac:dyDescent="0.25">
      <c r="A31023" s="64" t="str">
        <f>HYPERLINK("http://www.twitter.com/moochingwombat", "moochingwombat")</f>
        <v>moochingwombat</v>
      </c>
      <c r="B31023" s="65"/>
    </row>
    <row r="31024" spans="1:2" x14ac:dyDescent="0.25">
      <c r="A31024" s="64" t="str">
        <f>HYPERLINK("http://www.twitter.com/tweetkswan", "tweetkswan")</f>
        <v>tweetkswan</v>
      </c>
      <c r="B31024" s="65" t="s">
        <v>8635</v>
      </c>
    </row>
    <row r="31025" spans="1:2" x14ac:dyDescent="0.25">
      <c r="A31025" s="64" t="str">
        <f>HYPERLINK("http://www.twitter.com/MatthewLandrum", "MatthewLandrum")</f>
        <v>MatthewLandrum</v>
      </c>
      <c r="B31025" s="65" t="s">
        <v>8441</v>
      </c>
    </row>
    <row r="31026" spans="1:2" x14ac:dyDescent="0.25">
      <c r="A31026" s="64" t="str">
        <f>HYPERLINK("http://www.twitter.com/MallardArt", "MallardArt")</f>
        <v>MallardArt</v>
      </c>
      <c r="B31026" s="65" t="s">
        <v>12460</v>
      </c>
    </row>
    <row r="31027" spans="1:2" x14ac:dyDescent="0.25">
      <c r="A31027" s="64" t="str">
        <f>HYPERLINK("http://www.twitter.com/SorryStavrogin", "SorryStavrogin")</f>
        <v>SorryStavrogin</v>
      </c>
      <c r="B31027" s="65"/>
    </row>
    <row r="31028" spans="1:2" x14ac:dyDescent="0.25">
      <c r="A31028" s="64" t="str">
        <f>HYPERLINK("http://www.twitter.com/jackielb79", "jackielb79")</f>
        <v>jackielb79</v>
      </c>
      <c r="B31028" s="65" t="s">
        <v>3779</v>
      </c>
    </row>
    <row r="31029" spans="1:2" x14ac:dyDescent="0.25">
      <c r="A31029" s="64" t="str">
        <f>HYPERLINK("http://www.twitter.com/waspberry", "waspberry")</f>
        <v>waspberry</v>
      </c>
      <c r="B31029" s="65" t="s">
        <v>4519</v>
      </c>
    </row>
    <row r="31030" spans="1:2" x14ac:dyDescent="0.25">
      <c r="A31030" s="64" t="str">
        <f>HYPERLINK("http://www.twitter.com/jondrever", "jondrever")</f>
        <v>jondrever</v>
      </c>
      <c r="B31030" s="65"/>
    </row>
    <row r="31031" spans="1:2" x14ac:dyDescent="0.25">
      <c r="A31031" s="64" t="str">
        <f>HYPERLINK("http://www.twitter.com/Fllwthebear", "Fllwthebear")</f>
        <v>Fllwthebear</v>
      </c>
      <c r="B31031" s="65" t="s">
        <v>12461</v>
      </c>
    </row>
    <row r="31032" spans="1:2" x14ac:dyDescent="0.25">
      <c r="A31032" s="64" t="str">
        <f>HYPERLINK("http://www.twitter.com/lynnj__", "lynnj__")</f>
        <v>lynnj__</v>
      </c>
      <c r="B31032" s="65"/>
    </row>
    <row r="31033" spans="1:2" x14ac:dyDescent="0.25">
      <c r="A31033" s="64" t="str">
        <f>HYPERLINK("http://www.twitter.com/Katierose020", "Katierose020")</f>
        <v>Katierose020</v>
      </c>
      <c r="B31033" s="65" t="s">
        <v>1046</v>
      </c>
    </row>
    <row r="31034" spans="1:2" x14ac:dyDescent="0.25">
      <c r="A31034" s="64" t="str">
        <f>HYPERLINK("http://www.twitter.com/deejayaitch27", "deejayaitch27")</f>
        <v>deejayaitch27</v>
      </c>
      <c r="B31034" s="65"/>
    </row>
    <row r="31035" spans="1:2" x14ac:dyDescent="0.25">
      <c r="A31035" s="64" t="str">
        <f>HYPERLINK("http://www.twitter.com/slawrency123", "slawrency123")</f>
        <v>slawrency123</v>
      </c>
      <c r="B31035" s="65"/>
    </row>
    <row r="31036" spans="1:2" x14ac:dyDescent="0.25">
      <c r="A31036" s="64" t="str">
        <f>HYPERLINK("http://www.twitter.com/NazlinBhimani", "NazlinBhimani")</f>
        <v>NazlinBhimani</v>
      </c>
      <c r="B31036" s="65" t="s">
        <v>110</v>
      </c>
    </row>
    <row r="31037" spans="1:2" x14ac:dyDescent="0.25">
      <c r="A31037" s="64" t="str">
        <f>HYPERLINK("http://www.twitter.com/LibraryCamp", "LibraryCamp")</f>
        <v>LibraryCamp</v>
      </c>
      <c r="B31037" s="65" t="s">
        <v>70</v>
      </c>
    </row>
    <row r="31038" spans="1:2" x14ac:dyDescent="0.25">
      <c r="A31038" s="64" t="str">
        <f>HYPERLINK("http://www.twitter.com/quierosaber", "quierosaber")</f>
        <v>quierosaber</v>
      </c>
      <c r="B31038" s="65" t="s">
        <v>12462</v>
      </c>
    </row>
    <row r="31039" spans="1:2" x14ac:dyDescent="0.25">
      <c r="A31039" s="64" t="str">
        <f>HYPERLINK("http://www.twitter.com/dent_stu", "dent_stu")</f>
        <v>dent_stu</v>
      </c>
      <c r="B31039" s="65" t="s">
        <v>3988</v>
      </c>
    </row>
    <row r="31040" spans="1:2" x14ac:dyDescent="0.25">
      <c r="A31040" s="64" t="str">
        <f>HYPERLINK("http://www.twitter.com/jcwoody", "jcwoody")</f>
        <v>jcwoody</v>
      </c>
      <c r="B31040" s="65" t="s">
        <v>725</v>
      </c>
    </row>
    <row r="31041" spans="1:2" x14ac:dyDescent="0.25">
      <c r="A31041" s="64" t="str">
        <f>HYPERLINK("http://www.twitter.com/alittleroad", "alittleroad")</f>
        <v>alittleroad</v>
      </c>
      <c r="B31041" s="65" t="s">
        <v>788</v>
      </c>
    </row>
    <row r="31042" spans="1:2" x14ac:dyDescent="0.25">
      <c r="A31042" s="64" t="str">
        <f>HYPERLINK("http://www.twitter.com/sveinc", "sveinc")</f>
        <v>sveinc</v>
      </c>
      <c r="B31042" s="65" t="s">
        <v>487</v>
      </c>
    </row>
    <row r="31043" spans="1:2" x14ac:dyDescent="0.25">
      <c r="A31043" s="64" t="str">
        <f>HYPERLINK("http://www.twitter.com/Deanzoz", "Deanzoz")</f>
        <v>Deanzoz</v>
      </c>
      <c r="B31043" s="65"/>
    </row>
    <row r="31044" spans="1:2" x14ac:dyDescent="0.25">
      <c r="A31044" s="64" t="str">
        <f>HYPERLINK("http://www.twitter.com/sarahlarvor", "sarahlarvor")</f>
        <v>sarahlarvor</v>
      </c>
      <c r="B31044" s="65" t="s">
        <v>4500</v>
      </c>
    </row>
    <row r="31045" spans="1:2" x14ac:dyDescent="0.25">
      <c r="A31045" s="64" t="str">
        <f>HYPERLINK("http://www.twitter.com/EmmaBradbury_", "EmmaBradbury_")</f>
        <v>EmmaBradbury_</v>
      </c>
      <c r="B31045" s="65" t="s">
        <v>296</v>
      </c>
    </row>
    <row r="31046" spans="1:2" x14ac:dyDescent="0.25">
      <c r="A31046" s="64" t="str">
        <f>HYPERLINK("http://www.twitter.com/owlcwtch", "owlcwtch")</f>
        <v>owlcwtch</v>
      </c>
      <c r="B31046" s="65" t="s">
        <v>36</v>
      </c>
    </row>
    <row r="31047" spans="1:2" x14ac:dyDescent="0.25">
      <c r="A31047" s="64" t="str">
        <f>HYPERLINK("http://www.twitter.com/pgmole1", "pgmole1")</f>
        <v>pgmole1</v>
      </c>
      <c r="B31047" s="65" t="s">
        <v>12463</v>
      </c>
    </row>
    <row r="31048" spans="1:2" x14ac:dyDescent="0.25">
      <c r="A31048" s="64" t="str">
        <f>HYPERLINK("http://www.twitter.com/RobertMBall", "RobertMBall")</f>
        <v>RobertMBall</v>
      </c>
      <c r="B31048" s="65" t="s">
        <v>36</v>
      </c>
    </row>
    <row r="31049" spans="1:2" x14ac:dyDescent="0.25">
      <c r="A31049" s="64" t="str">
        <f>HYPERLINK("http://www.twitter.com/Winterborne74", "Winterborne74")</f>
        <v>Winterborne74</v>
      </c>
      <c r="B31049" s="65" t="s">
        <v>12464</v>
      </c>
    </row>
    <row r="31050" spans="1:2" x14ac:dyDescent="0.25">
      <c r="A31050" s="64" t="str">
        <f>HYPERLINK("http://www.twitter.com/Ditts", "Ditts")</f>
        <v>Ditts</v>
      </c>
      <c r="B31050" s="65" t="s">
        <v>871</v>
      </c>
    </row>
    <row r="31051" spans="1:2" x14ac:dyDescent="0.25">
      <c r="A31051" s="64" t="str">
        <f>HYPERLINK("http://www.twitter.com/Spufiforkcandle", "Spufiforkcandle")</f>
        <v>Spufiforkcandle</v>
      </c>
      <c r="B31051" s="65" t="s">
        <v>12465</v>
      </c>
    </row>
    <row r="31052" spans="1:2" x14ac:dyDescent="0.25">
      <c r="A31052" s="64" t="str">
        <f>HYPERLINK("http://www.twitter.com/sallyrandall", "sallyrandall")</f>
        <v>sallyrandall</v>
      </c>
      <c r="B31052" s="65" t="s">
        <v>12466</v>
      </c>
    </row>
    <row r="31053" spans="1:2" x14ac:dyDescent="0.25">
      <c r="A31053" s="64" t="str">
        <f>HYPERLINK("http://www.twitter.com/fablemouse", "fablemouse")</f>
        <v>fablemouse</v>
      </c>
      <c r="B31053" s="65" t="s">
        <v>36</v>
      </c>
    </row>
    <row r="31054" spans="1:2" x14ac:dyDescent="0.25">
      <c r="A31054" s="64" t="str">
        <f>HYPERLINK("http://www.twitter.com/simon_a_roberts", "simon_a_roberts")</f>
        <v>simon_a_roberts</v>
      </c>
      <c r="B31054" s="65" t="s">
        <v>6492</v>
      </c>
    </row>
    <row r="31055" spans="1:2" x14ac:dyDescent="0.25">
      <c r="A31055" s="64" t="str">
        <f>HYPERLINK("http://www.twitter.com/pamelaflood", "pamelaflood")</f>
        <v>pamelaflood</v>
      </c>
      <c r="B31055" s="65" t="s">
        <v>12467</v>
      </c>
    </row>
    <row r="31056" spans="1:2" x14ac:dyDescent="0.25">
      <c r="A31056" s="64" t="str">
        <f>HYPERLINK("http://www.twitter.com/jeniflumper", "jeniflumper")</f>
        <v>jeniflumper</v>
      </c>
      <c r="B31056" s="65" t="s">
        <v>487</v>
      </c>
    </row>
    <row r="31057" spans="1:2" x14ac:dyDescent="0.25">
      <c r="A31057" s="64" t="str">
        <f>HYPERLINK("http://www.twitter.com/sambeaujones", "sambeaujones")</f>
        <v>sambeaujones</v>
      </c>
      <c r="B31057" s="65" t="s">
        <v>788</v>
      </c>
    </row>
    <row r="31058" spans="1:2" x14ac:dyDescent="0.25">
      <c r="A31058" s="64" t="str">
        <f>HYPERLINK("http://www.twitter.com/gemmamacgregor", "gemmamacgregor")</f>
        <v>gemmamacgregor</v>
      </c>
      <c r="B31058" s="65" t="s">
        <v>5807</v>
      </c>
    </row>
    <row r="31059" spans="1:2" x14ac:dyDescent="0.25">
      <c r="A31059" s="64" t="str">
        <f>HYPERLINK("http://www.twitter.com/lola160471", "lola160471")</f>
        <v>lola160471</v>
      </c>
      <c r="B31059" s="65"/>
    </row>
    <row r="31060" spans="1:2" x14ac:dyDescent="0.25">
      <c r="A31060" s="64" t="str">
        <f>HYPERLINK("http://www.twitter.com/WatkinsWisdom", "WatkinsWisdom")</f>
        <v>WatkinsWisdom</v>
      </c>
      <c r="B31060" s="65" t="s">
        <v>36</v>
      </c>
    </row>
    <row r="31061" spans="1:2" x14ac:dyDescent="0.25">
      <c r="A31061" s="64" t="str">
        <f>HYPERLINK("http://www.twitter.com/wellingtongrphc", "wellingtongrphc")</f>
        <v>wellingtongrphc</v>
      </c>
      <c r="B31061" s="65" t="s">
        <v>10211</v>
      </c>
    </row>
    <row r="31062" spans="1:2" x14ac:dyDescent="0.25">
      <c r="A31062" s="64" t="str">
        <f>HYPERLINK("http://www.twitter.com/sue_leahy", "sue_leahy")</f>
        <v>sue_leahy</v>
      </c>
      <c r="B31062" s="65"/>
    </row>
    <row r="31063" spans="1:2" x14ac:dyDescent="0.25">
      <c r="A31063" s="64" t="str">
        <f>HYPERLINK("http://www.twitter.com/briangraney", "briangraney")</f>
        <v>briangraney</v>
      </c>
      <c r="B31063" s="65" t="s">
        <v>12468</v>
      </c>
    </row>
    <row r="31064" spans="1:2" x14ac:dyDescent="0.25">
      <c r="A31064" s="64" t="str">
        <f>HYPERLINK("http://www.twitter.com/MyLadyK8", "MyLadyK8")</f>
        <v>MyLadyK8</v>
      </c>
      <c r="B31064" s="65" t="s">
        <v>12469</v>
      </c>
    </row>
    <row r="31065" spans="1:2" x14ac:dyDescent="0.25">
      <c r="A31065" s="64" t="str">
        <f>HYPERLINK("http://www.twitter.com/jonidoll", "jonidoll")</f>
        <v>jonidoll</v>
      </c>
      <c r="B31065" s="65" t="s">
        <v>6093</v>
      </c>
    </row>
    <row r="31066" spans="1:2" x14ac:dyDescent="0.25">
      <c r="A31066" s="64" t="str">
        <f>HYPERLINK("http://www.twitter.com/Basia59", "Basia59")</f>
        <v>Basia59</v>
      </c>
      <c r="B31066" s="65" t="s">
        <v>4247</v>
      </c>
    </row>
    <row r="31067" spans="1:2" x14ac:dyDescent="0.25">
      <c r="A31067" s="64" t="str">
        <f>HYPERLINK("http://www.twitter.com/antimega", "antimega")</f>
        <v>antimega</v>
      </c>
      <c r="B31067" s="65" t="s">
        <v>4716</v>
      </c>
    </row>
    <row r="31068" spans="1:2" x14ac:dyDescent="0.25">
      <c r="A31068" s="64" t="str">
        <f>HYPERLINK("http://www.twitter.com/GibbRowena", "GibbRowena")</f>
        <v>GibbRowena</v>
      </c>
      <c r="B31068" s="65"/>
    </row>
    <row r="31069" spans="1:2" x14ac:dyDescent="0.25">
      <c r="A31069" s="64" t="str">
        <f>HYPERLINK("http://www.twitter.com/fladburyboy", "fladburyboy")</f>
        <v>fladburyboy</v>
      </c>
      <c r="B31069" s="65" t="s">
        <v>12470</v>
      </c>
    </row>
    <row r="31070" spans="1:2" x14ac:dyDescent="0.25">
      <c r="A31070" s="64" t="str">
        <f>HYPERLINK("http://www.twitter.com/GBookC", "GBookC")</f>
        <v>GBookC</v>
      </c>
      <c r="B31070" s="65"/>
    </row>
    <row r="31071" spans="1:2" x14ac:dyDescent="0.25">
      <c r="A31071" s="64" t="str">
        <f>HYPERLINK("http://www.twitter.com/CharlieBush", "CharlieBush")</f>
        <v>CharlieBush</v>
      </c>
      <c r="B31071" s="65" t="s">
        <v>505</v>
      </c>
    </row>
    <row r="31072" spans="1:2" x14ac:dyDescent="0.25">
      <c r="A31072" s="64" t="str">
        <f>HYPERLINK("http://www.twitter.com/shfralph", "shfralph")</f>
        <v>shfralph</v>
      </c>
      <c r="B31072" s="65" t="s">
        <v>725</v>
      </c>
    </row>
    <row r="31073" spans="1:2" x14ac:dyDescent="0.25">
      <c r="A31073" s="64" t="str">
        <f>HYPERLINK("http://www.twitter.com/CityLightsLondn", "CityLightsLondn")</f>
        <v>CityLightsLondn</v>
      </c>
      <c r="B31073" s="65" t="s">
        <v>12471</v>
      </c>
    </row>
    <row r="31074" spans="1:2" x14ac:dyDescent="0.25">
      <c r="A31074" s="64" t="str">
        <f>HYPERLINK("http://www.twitter.com/DNSteel", "DNSteel")</f>
        <v>DNSteel</v>
      </c>
      <c r="B31074" s="65" t="s">
        <v>6731</v>
      </c>
    </row>
    <row r="31075" spans="1:2" x14ac:dyDescent="0.25">
      <c r="A31075" s="64" t="str">
        <f>HYPERLINK("http://www.twitter.com/Silence_77", "Silence_77")</f>
        <v>Silence_77</v>
      </c>
      <c r="B31075" s="65" t="s">
        <v>12472</v>
      </c>
    </row>
    <row r="31076" spans="1:2" x14ac:dyDescent="0.25">
      <c r="A31076" s="64" t="str">
        <f>HYPERLINK("http://www.twitter.com/Branynos", "Branynos")</f>
        <v>Branynos</v>
      </c>
      <c r="B31076" s="65" t="s">
        <v>6939</v>
      </c>
    </row>
    <row r="31077" spans="1:2" x14ac:dyDescent="0.25">
      <c r="A31077" s="64" t="str">
        <f>HYPERLINK("http://www.twitter.com/geographyofhope", "geographyofhope")</f>
        <v>geographyofhope</v>
      </c>
      <c r="B31077" s="65" t="s">
        <v>4147</v>
      </c>
    </row>
    <row r="31078" spans="1:2" x14ac:dyDescent="0.25">
      <c r="A31078" s="64" t="str">
        <f>HYPERLINK("http://www.twitter.com/AshleighDawnB", "AshleighDawnB")</f>
        <v>AshleighDawnB</v>
      </c>
      <c r="B31078" s="65" t="s">
        <v>4247</v>
      </c>
    </row>
    <row r="31079" spans="1:2" x14ac:dyDescent="0.25">
      <c r="A31079" s="64" t="str">
        <f>HYPERLINK("http://www.twitter.com/foreignrifles", "foreignrifles")</f>
        <v>foreignrifles</v>
      </c>
      <c r="B31079" s="65" t="s">
        <v>12473</v>
      </c>
    </row>
    <row r="31080" spans="1:2" x14ac:dyDescent="0.25">
      <c r="A31080" s="64" t="str">
        <f>HYPERLINK("http://www.twitter.com/Tully_Staple", "Tully_Staple")</f>
        <v>Tully_Staple</v>
      </c>
      <c r="B31080" s="65" t="s">
        <v>36</v>
      </c>
    </row>
    <row r="31081" spans="1:2" x14ac:dyDescent="0.25">
      <c r="A31081" s="64" t="str">
        <f>HYPERLINK("http://www.twitter.com/jason_h3000", "jason_h3000")</f>
        <v>jason_h3000</v>
      </c>
      <c r="B31081" s="65" t="s">
        <v>36</v>
      </c>
    </row>
    <row r="31082" spans="1:2" x14ac:dyDescent="0.25">
      <c r="A31082" s="64" t="str">
        <f>HYPERLINK("http://www.twitter.com/CallumGWT", "CallumGWT")</f>
        <v>CallumGWT</v>
      </c>
      <c r="B31082" s="65"/>
    </row>
    <row r="31083" spans="1:2" x14ac:dyDescent="0.25">
      <c r="A31083" s="64" t="str">
        <f>HYPERLINK("http://www.twitter.com/paulytheyounger", "paulytheyounger")</f>
        <v>paulytheyounger</v>
      </c>
      <c r="B31083" s="65" t="s">
        <v>12474</v>
      </c>
    </row>
    <row r="31084" spans="1:2" x14ac:dyDescent="0.25">
      <c r="A31084" s="64" t="str">
        <f>HYPERLINK("http://www.twitter.com/wskea1210", "wskea1210")</f>
        <v>wskea1210</v>
      </c>
      <c r="B31084" s="65" t="s">
        <v>4638</v>
      </c>
    </row>
    <row r="31085" spans="1:2" x14ac:dyDescent="0.25">
      <c r="A31085" s="64" t="str">
        <f>HYPERLINK("http://www.twitter.com/RosslandLibrary", "RosslandLibrary")</f>
        <v>RosslandLibrary</v>
      </c>
      <c r="B31085" s="65" t="s">
        <v>12475</v>
      </c>
    </row>
    <row r="31086" spans="1:2" x14ac:dyDescent="0.25">
      <c r="A31086" s="64" t="str">
        <f>HYPERLINK("http://www.twitter.com/thechez99", "thechez99")</f>
        <v>thechez99</v>
      </c>
      <c r="B31086" s="65" t="s">
        <v>296</v>
      </c>
    </row>
    <row r="31087" spans="1:2" x14ac:dyDescent="0.25">
      <c r="A31087" s="64" t="str">
        <f>HYPERLINK("http://www.twitter.com/NairnMuseum", "NairnMuseum")</f>
        <v>NairnMuseum</v>
      </c>
      <c r="B31087" s="65" t="s">
        <v>12476</v>
      </c>
    </row>
    <row r="31088" spans="1:2" x14ac:dyDescent="0.25">
      <c r="A31088" s="64" t="str">
        <f>HYPERLINK("http://www.twitter.com/KristopherBevan", "KristopherBevan")</f>
        <v>KristopherBevan</v>
      </c>
      <c r="B31088" s="65" t="s">
        <v>4668</v>
      </c>
    </row>
    <row r="31089" spans="1:2" x14ac:dyDescent="0.25">
      <c r="A31089" s="64" t="str">
        <f>HYPERLINK("http://www.twitter.com/CharleneClark21", "CharleneClark21")</f>
        <v>CharleneClark21</v>
      </c>
      <c r="B31089" s="65"/>
    </row>
    <row r="31090" spans="1:2" x14ac:dyDescent="0.25">
      <c r="A31090" s="64" t="str">
        <f>HYPERLINK("http://www.twitter.com/GraemeOag", "GraemeOag")</f>
        <v>GraemeOag</v>
      </c>
      <c r="B31090" s="65" t="s">
        <v>487</v>
      </c>
    </row>
    <row r="31091" spans="1:2" x14ac:dyDescent="0.25">
      <c r="A31091" s="64" t="str">
        <f>HYPERLINK("http://www.twitter.com/GatesheadLibs", "GatesheadLibs")</f>
        <v>GatesheadLibs</v>
      </c>
      <c r="B31091" s="65" t="s">
        <v>343</v>
      </c>
    </row>
    <row r="31092" spans="1:2" x14ac:dyDescent="0.25">
      <c r="A31092" s="64" t="str">
        <f>HYPERLINK("http://www.twitter.com/Oleanderman", "Oleanderman")</f>
        <v>Oleanderman</v>
      </c>
      <c r="B31092" s="65" t="s">
        <v>61</v>
      </c>
    </row>
    <row r="31093" spans="1:2" x14ac:dyDescent="0.25">
      <c r="A31093" s="64" t="str">
        <f>HYPERLINK("http://www.twitter.com/ILoveCopyright", "ILoveCopyright")</f>
        <v>ILoveCopyright</v>
      </c>
      <c r="B31093" s="65"/>
    </row>
    <row r="31094" spans="1:2" x14ac:dyDescent="0.25">
      <c r="A31094" s="64" t="str">
        <f>HYPERLINK("http://www.twitter.com/GEBJocastaNu", "GEBJocastaNu")</f>
        <v>GEBJocastaNu</v>
      </c>
      <c r="B31094" s="65"/>
    </row>
    <row r="31095" spans="1:2" x14ac:dyDescent="0.25">
      <c r="A31095" s="64" t="str">
        <f>HYPERLINK("http://www.twitter.com/JaneDzisiewski", "JaneDzisiewski")</f>
        <v>JaneDzisiewski</v>
      </c>
      <c r="B31095" s="65" t="s">
        <v>296</v>
      </c>
    </row>
    <row r="31096" spans="1:2" x14ac:dyDescent="0.25">
      <c r="A31096" s="64" t="str">
        <f>HYPERLINK("http://www.twitter.com/motivatquotes", "motivatquotes")</f>
        <v>motivatquotes</v>
      </c>
      <c r="B31096" s="65" t="s">
        <v>12477</v>
      </c>
    </row>
    <row r="31097" spans="1:2" x14ac:dyDescent="0.25">
      <c r="A31097" s="64" t="str">
        <f>HYPERLINK("http://www.twitter.com/travellingcoral", "travellingcoral")</f>
        <v>travellingcoral</v>
      </c>
      <c r="B31097" s="65" t="s">
        <v>2030</v>
      </c>
    </row>
    <row r="31098" spans="1:2" x14ac:dyDescent="0.25">
      <c r="A31098" s="64" t="str">
        <f>HYPERLINK("http://www.twitter.com/Craftyol", "Craftyol")</f>
        <v>Craftyol</v>
      </c>
      <c r="B31098" s="65"/>
    </row>
    <row r="31099" spans="1:2" x14ac:dyDescent="0.25">
      <c r="A31099" s="64" t="str">
        <f>HYPERLINK("http://www.twitter.com/Booksforchildrn", "Booksforchildrn")</f>
        <v>Booksforchildrn</v>
      </c>
      <c r="B31099" s="65" t="s">
        <v>6629</v>
      </c>
    </row>
    <row r="31100" spans="1:2" x14ac:dyDescent="0.25">
      <c r="A31100" s="64" t="str">
        <f>HYPERLINK("http://www.twitter.com/corkcolibrary", "corkcolibrary")</f>
        <v>corkcolibrary</v>
      </c>
      <c r="B31100" s="65" t="s">
        <v>3951</v>
      </c>
    </row>
    <row r="31101" spans="1:2" x14ac:dyDescent="0.25">
      <c r="A31101" s="64" t="str">
        <f>HYPERLINK("http://www.twitter.com/FionnCarmichael", "FionnCarmichael")</f>
        <v>FionnCarmichael</v>
      </c>
      <c r="B31101" s="65" t="s">
        <v>318</v>
      </c>
    </row>
    <row r="31102" spans="1:2" x14ac:dyDescent="0.25">
      <c r="A31102" s="64" t="str">
        <f>HYPERLINK("http://www.twitter.com/aforgan", "aforgan")</f>
        <v>aforgan</v>
      </c>
      <c r="B31102" s="65" t="s">
        <v>8337</v>
      </c>
    </row>
    <row r="31103" spans="1:2" x14ac:dyDescent="0.25">
      <c r="A31103" s="64" t="str">
        <f>HYPERLINK("http://www.twitter.com/BarbicanMusic", "BarbicanMusic")</f>
        <v>BarbicanMusic</v>
      </c>
      <c r="B31103" s="65" t="s">
        <v>529</v>
      </c>
    </row>
    <row r="31104" spans="1:2" x14ac:dyDescent="0.25">
      <c r="A31104" s="64" t="str">
        <f>HYPERLINK("http://www.twitter.com/HarperFiction", "HarperFiction")</f>
        <v>HarperFiction</v>
      </c>
      <c r="B31104" s="65" t="s">
        <v>9033</v>
      </c>
    </row>
    <row r="31105" spans="1:2" x14ac:dyDescent="0.25">
      <c r="A31105" s="64" t="str">
        <f>HYPERLINK("http://www.twitter.com/HotKeyBooks", "HotKeyBooks")</f>
        <v>HotKeyBooks</v>
      </c>
      <c r="B31105" s="65" t="s">
        <v>36</v>
      </c>
    </row>
    <row r="31106" spans="1:2" x14ac:dyDescent="0.25">
      <c r="A31106" s="64" t="str">
        <f>HYPERLINK("http://www.twitter.com/KerryLibrary", "KerryLibrary")</f>
        <v>KerryLibrary</v>
      </c>
      <c r="B31106" s="65" t="s">
        <v>12478</v>
      </c>
    </row>
    <row r="31107" spans="1:2" x14ac:dyDescent="0.25">
      <c r="A31107" s="64" t="str">
        <f>HYPERLINK("http://www.twitter.com/harrieharpist", "harrieharpist")</f>
        <v>harrieharpist</v>
      </c>
      <c r="B31107" s="65" t="s">
        <v>138</v>
      </c>
    </row>
    <row r="31108" spans="1:2" x14ac:dyDescent="0.25">
      <c r="A31108" s="64" t="str">
        <f>HYPERLINK("http://www.twitter.com/GatesheadTeens", "GatesheadTeens")</f>
        <v>GatesheadTeens</v>
      </c>
      <c r="B31108" s="65" t="s">
        <v>12479</v>
      </c>
    </row>
    <row r="31109" spans="1:2" x14ac:dyDescent="0.25">
      <c r="A31109" s="64" t="str">
        <f>HYPERLINK("http://www.twitter.com/mazzimoko", "mazzimoko")</f>
        <v>mazzimoko</v>
      </c>
      <c r="B31109" s="65" t="s">
        <v>12480</v>
      </c>
    </row>
    <row r="31110" spans="1:2" x14ac:dyDescent="0.25">
      <c r="A31110" s="64" t="str">
        <f>HYPERLINK("http://www.twitter.com/SciAndStories", "SciAndStories")</f>
        <v>SciAndStories</v>
      </c>
      <c r="B31110" s="65" t="s">
        <v>12481</v>
      </c>
    </row>
    <row r="31111" spans="1:2" x14ac:dyDescent="0.25">
      <c r="A31111" s="64" t="str">
        <f>HYPERLINK("http://www.twitter.com/jennypoppy", "jennypoppy")</f>
        <v>jennypoppy</v>
      </c>
      <c r="B31111" s="65" t="s">
        <v>477</v>
      </c>
    </row>
    <row r="31112" spans="1:2" x14ac:dyDescent="0.25">
      <c r="A31112" s="64" t="str">
        <f>HYPERLINK("http://www.twitter.com/ninadouglas", "ninadouglas")</f>
        <v>ninadouglas</v>
      </c>
      <c r="B31112" s="65" t="s">
        <v>12482</v>
      </c>
    </row>
    <row r="31113" spans="1:2" x14ac:dyDescent="0.25">
      <c r="A31113" s="64" t="str">
        <f>HYPERLINK("http://www.twitter.com/LibrarySHR", "LibrarySHR")</f>
        <v>LibrarySHR</v>
      </c>
      <c r="B31113" s="65"/>
    </row>
    <row r="31114" spans="1:2" x14ac:dyDescent="0.25">
      <c r="A31114" s="64" t="str">
        <f>HYPERLINK("http://www.twitter.com/Willettjo", "Willettjo")</f>
        <v>Willettjo</v>
      </c>
      <c r="B31114" s="65" t="s">
        <v>36</v>
      </c>
    </row>
    <row r="31115" spans="1:2" x14ac:dyDescent="0.25">
      <c r="A31115" s="64" t="str">
        <f>HYPERLINK("http://www.twitter.com/Alibrarylady", "Alibrarylady")</f>
        <v>Alibrarylady</v>
      </c>
      <c r="B31115" s="65" t="s">
        <v>12483</v>
      </c>
    </row>
    <row r="31116" spans="1:2" x14ac:dyDescent="0.25">
      <c r="A31116" s="64" t="str">
        <f>HYPERLINK("http://www.twitter.com/sarahbenton", "sarahbenton")</f>
        <v>sarahbenton</v>
      </c>
      <c r="B31116" s="65" t="s">
        <v>4410</v>
      </c>
    </row>
    <row r="31117" spans="1:2" x14ac:dyDescent="0.25">
      <c r="A31117" s="64" t="str">
        <f>HYPERLINK("http://www.twitter.com/AlyxP1", "AlyxP1")</f>
        <v>AlyxP1</v>
      </c>
      <c r="B31117" s="65" t="s">
        <v>36</v>
      </c>
    </row>
    <row r="31118" spans="1:2" x14ac:dyDescent="0.25">
      <c r="A31118" s="64" t="str">
        <f>HYPERLINK("http://www.twitter.com/catrionahiya", "catrionahiya")</f>
        <v>catrionahiya</v>
      </c>
      <c r="B31118" s="65"/>
    </row>
    <row r="31119" spans="1:2" x14ac:dyDescent="0.25">
      <c r="A31119" s="64" t="str">
        <f>HYPERLINK("http://www.twitter.com/mcgregor_moira", "mcgregor_moira")</f>
        <v>mcgregor_moira</v>
      </c>
      <c r="B31119" s="65" t="s">
        <v>4210</v>
      </c>
    </row>
    <row r="31120" spans="1:2" x14ac:dyDescent="0.25">
      <c r="A31120" s="64" t="str">
        <f>HYPERLINK("http://www.twitter.com/KirkwallBID", "KirkwallBID")</f>
        <v>KirkwallBID</v>
      </c>
      <c r="B31120" s="65" t="s">
        <v>3762</v>
      </c>
    </row>
    <row r="31121" spans="1:2" x14ac:dyDescent="0.25">
      <c r="A31121" s="64" t="str">
        <f>HYPERLINK("http://www.twitter.com/EmAli84", "EmAli84")</f>
        <v>EmAli84</v>
      </c>
      <c r="B31121" s="65" t="s">
        <v>511</v>
      </c>
    </row>
    <row r="31122" spans="1:2" x14ac:dyDescent="0.25">
      <c r="A31122" s="64" t="str">
        <f>HYPERLINK("http://www.twitter.com/totaldog", "totaldog")</f>
        <v>totaldog</v>
      </c>
      <c r="B31122" s="65"/>
    </row>
    <row r="31123" spans="1:2" x14ac:dyDescent="0.25">
      <c r="A31123" s="64" t="str">
        <f>HYPERLINK("http://www.twitter.com/doonboggles", "doonboggles")</f>
        <v>doonboggles</v>
      </c>
      <c r="B31123" s="65" t="s">
        <v>1765</v>
      </c>
    </row>
    <row r="31124" spans="1:2" x14ac:dyDescent="0.25">
      <c r="A31124" s="64" t="str">
        <f>HYPERLINK("http://www.twitter.com/SusanLeBaigue", "SusanLeBaigue")</f>
        <v>SusanLeBaigue</v>
      </c>
      <c r="B31124" s="65"/>
    </row>
    <row r="31125" spans="1:2" x14ac:dyDescent="0.25">
      <c r="A31125" s="64" t="str">
        <f>HYPERLINK("http://www.twitter.com/peedieg", "peedieg")</f>
        <v>peedieg</v>
      </c>
      <c r="B31125" s="65" t="s">
        <v>2864</v>
      </c>
    </row>
    <row r="31126" spans="1:2" x14ac:dyDescent="0.25">
      <c r="A31126" s="64" t="str">
        <f>HYPERLINK("http://www.twitter.com/Mivarty", "Mivarty")</f>
        <v>Mivarty</v>
      </c>
      <c r="B31126" s="65"/>
    </row>
    <row r="31127" spans="1:2" x14ac:dyDescent="0.25">
      <c r="A31127" s="64" t="str">
        <f>HYPERLINK("http://www.twitter.com/soozfisher", "soozfisher")</f>
        <v>soozfisher</v>
      </c>
      <c r="B31127" s="65"/>
    </row>
    <row r="31128" spans="1:2" x14ac:dyDescent="0.25">
      <c r="A31128" s="64" t="str">
        <f>HYPERLINK("http://www.twitter.com/jackieproven", "jackieproven")</f>
        <v>jackieproven</v>
      </c>
      <c r="B31128" s="65"/>
    </row>
    <row r="31129" spans="1:2" x14ac:dyDescent="0.25">
      <c r="A31129" s="64" t="str">
        <f>HYPERLINK("http://www.twitter.com/cgarnsworthy", "cgarnsworthy")</f>
        <v>cgarnsworthy</v>
      </c>
      <c r="B31129" s="65" t="s">
        <v>12484</v>
      </c>
    </row>
    <row r="31130" spans="1:2" x14ac:dyDescent="0.25">
      <c r="A31130" s="64" t="str">
        <f>HYPERLINK("http://www.twitter.com/DjMarkNicol", "DjMarkNicol")</f>
        <v>DjMarkNicol</v>
      </c>
      <c r="B31130" s="65"/>
    </row>
    <row r="31131" spans="1:2" x14ac:dyDescent="0.25">
      <c r="A31131" s="64" t="str">
        <f>HYPERLINK("http://www.twitter.com/mandragoravixen", "mandragoravixen")</f>
        <v>mandragoravixen</v>
      </c>
      <c r="B31131" s="65" t="s">
        <v>321</v>
      </c>
    </row>
    <row r="31132" spans="1:2" x14ac:dyDescent="0.25">
      <c r="A31132" s="64" t="str">
        <f>HYPERLINK("http://www.twitter.com/diffidentwoman", "diffidentwoman")</f>
        <v>diffidentwoman</v>
      </c>
      <c r="B31132" s="65" t="s">
        <v>10561</v>
      </c>
    </row>
    <row r="31133" spans="1:2" x14ac:dyDescent="0.25">
      <c r="A31133" s="64" t="str">
        <f>HYPERLINK("http://www.twitter.com/justinsleep", "justinsleep")</f>
        <v>justinsleep</v>
      </c>
      <c r="B31133" s="65"/>
    </row>
    <row r="31134" spans="1:2" x14ac:dyDescent="0.25">
      <c r="A31134" s="64" t="str">
        <f>HYPERLINK("http://www.twitter.com/etoiledusoir", "etoiledusoir")</f>
        <v>etoiledusoir</v>
      </c>
      <c r="B31134" s="65" t="s">
        <v>1908</v>
      </c>
    </row>
    <row r="31135" spans="1:2" x14ac:dyDescent="0.25">
      <c r="A31135" s="64" t="str">
        <f>HYPERLINK("http://www.twitter.com/janemathies", "janemathies")</f>
        <v>janemathies</v>
      </c>
      <c r="B31135" s="65" t="s">
        <v>1135</v>
      </c>
    </row>
    <row r="31136" spans="1:2" x14ac:dyDescent="0.25">
      <c r="A31136" s="64" t="str">
        <f>HYPERLINK("http://www.twitter.com/glitterkitty70", "glitterkitty70")</f>
        <v>glitterkitty70</v>
      </c>
      <c r="B31136" s="65"/>
    </row>
    <row r="31137" spans="1:2" x14ac:dyDescent="0.25">
      <c r="A31137" s="64" t="str">
        <f>HYPERLINK("http://www.twitter.com/VictoriaPorritt", "VictoriaPorritt")</f>
        <v>VictoriaPorritt</v>
      </c>
      <c r="B31137" s="65" t="s">
        <v>773</v>
      </c>
    </row>
    <row r="31138" spans="1:2" x14ac:dyDescent="0.25">
      <c r="A31138" s="64" t="str">
        <f>HYPERLINK("http://www.twitter.com/jenherridge", "jenherridge")</f>
        <v>jenherridge</v>
      </c>
      <c r="B31138" s="65" t="s">
        <v>1739</v>
      </c>
    </row>
    <row r="31139" spans="1:2" x14ac:dyDescent="0.25">
      <c r="A31139" s="64" t="str">
        <f>HYPERLINK("http://www.twitter.com/mrandyscothern", "mrandyscothern")</f>
        <v>mrandyscothern</v>
      </c>
      <c r="B31139" s="65"/>
    </row>
    <row r="31140" spans="1:2" x14ac:dyDescent="0.25">
      <c r="A31140" s="64" t="str">
        <f>HYPERLINK("http://www.twitter.com/smidgey66", "smidgey66")</f>
        <v>smidgey66</v>
      </c>
      <c r="B31140" s="65" t="s">
        <v>1135</v>
      </c>
    </row>
    <row r="31141" spans="1:2" x14ac:dyDescent="0.25">
      <c r="A31141" s="64" t="str">
        <f>HYPERLINK("http://www.twitter.com/RealMandeville", "RealMandeville")</f>
        <v>RealMandeville</v>
      </c>
      <c r="B31141" s="65" t="s">
        <v>12485</v>
      </c>
    </row>
    <row r="31142" spans="1:2" x14ac:dyDescent="0.25">
      <c r="A31142" s="64" t="str">
        <f>HYPERLINK("http://www.twitter.com/Dabberdoo", "Dabberdoo")</f>
        <v>Dabberdoo</v>
      </c>
      <c r="B31142" s="65" t="s">
        <v>1980</v>
      </c>
    </row>
    <row r="31143" spans="1:2" x14ac:dyDescent="0.25">
      <c r="A31143" s="64" t="str">
        <f>HYPERLINK("http://www.twitter.com/helenjoneill", "helenjoneill")</f>
        <v>helenjoneill</v>
      </c>
      <c r="B31143" s="65"/>
    </row>
    <row r="31144" spans="1:2" x14ac:dyDescent="0.25">
      <c r="A31144" s="64" t="str">
        <f>HYPERLINK("http://www.twitter.com/nickposford", "nickposford")</f>
        <v>nickposford</v>
      </c>
      <c r="B31144" s="65" t="s">
        <v>1739</v>
      </c>
    </row>
    <row r="31145" spans="1:2" x14ac:dyDescent="0.25">
      <c r="A31145" s="64" t="str">
        <f>HYPERLINK("http://www.twitter.com/franky7977", "franky7977")</f>
        <v>franky7977</v>
      </c>
      <c r="B31145" s="65" t="s">
        <v>1841</v>
      </c>
    </row>
    <row r="31146" spans="1:2" x14ac:dyDescent="0.25">
      <c r="A31146" s="64" t="str">
        <f>HYPERLINK("http://www.twitter.com/heatherfro", "heatherfro")</f>
        <v>heatherfro</v>
      </c>
      <c r="B31146" s="65" t="s">
        <v>12486</v>
      </c>
    </row>
    <row r="31147" spans="1:2" x14ac:dyDescent="0.25">
      <c r="A31147" s="64" t="str">
        <f>HYPERLINK("http://www.twitter.com/0hyes", "0hyes")</f>
        <v>0hyes</v>
      </c>
      <c r="B31147" s="65" t="s">
        <v>12487</v>
      </c>
    </row>
    <row r="31148" spans="1:2" x14ac:dyDescent="0.25">
      <c r="A31148" s="64" t="str">
        <f>HYPERLINK("http://www.twitter.com/charliem78", "charliem78")</f>
        <v>charliem78</v>
      </c>
      <c r="B31148" s="65" t="s">
        <v>70</v>
      </c>
    </row>
    <row r="31149" spans="1:2" x14ac:dyDescent="0.25">
      <c r="A31149" s="64" t="str">
        <f>HYPERLINK("http://www.twitter.com/malevolent_elf", "malevolent_elf")</f>
        <v>malevolent_elf</v>
      </c>
      <c r="B31149" s="65" t="s">
        <v>36</v>
      </c>
    </row>
    <row r="31150" spans="1:2" x14ac:dyDescent="0.25">
      <c r="A31150" s="64" t="str">
        <f>HYPERLINK("http://www.twitter.com/Peter8694", "Peter8694")</f>
        <v>Peter8694</v>
      </c>
      <c r="B31150" s="65" t="s">
        <v>12488</v>
      </c>
    </row>
    <row r="31151" spans="1:2" x14ac:dyDescent="0.25">
      <c r="A31151" s="64" t="str">
        <f>HYPERLINK("http://www.twitter.com/sharp_benny", "sharp_benny")</f>
        <v>sharp_benny</v>
      </c>
      <c r="B31151" s="65"/>
    </row>
    <row r="31152" spans="1:2" x14ac:dyDescent="0.25">
      <c r="A31152" s="64" t="str">
        <f>HYPERLINK("http://www.twitter.com/lizzie_musham", "lizzie_musham")</f>
        <v>lizzie_musham</v>
      </c>
      <c r="B31152" s="65" t="s">
        <v>4887</v>
      </c>
    </row>
    <row r="31153" spans="1:2" x14ac:dyDescent="0.25">
      <c r="A31153" s="64" t="str">
        <f>HYPERLINK("http://www.twitter.com/AliJKenn", "AliJKenn")</f>
        <v>AliJKenn</v>
      </c>
      <c r="B31153" s="65" t="s">
        <v>33</v>
      </c>
    </row>
    <row r="31154" spans="1:2" x14ac:dyDescent="0.25">
      <c r="A31154" s="64" t="str">
        <f>HYPERLINK("http://www.twitter.com/BlackCow2", "BlackCow2")</f>
        <v>BlackCow2</v>
      </c>
      <c r="B31154" s="65" t="s">
        <v>5529</v>
      </c>
    </row>
    <row r="31155" spans="1:2" x14ac:dyDescent="0.25">
      <c r="A31155" s="64" t="str">
        <f>HYPERLINK("http://www.twitter.com/ErlandCooper", "ErlandCooper")</f>
        <v>ErlandCooper</v>
      </c>
      <c r="B31155" s="65" t="s">
        <v>12489</v>
      </c>
    </row>
    <row r="31156" spans="1:2" x14ac:dyDescent="0.25">
      <c r="A31156" s="64" t="str">
        <f>HYPERLINK("http://www.twitter.com/scotiaroots", "scotiaroots")</f>
        <v>scotiaroots</v>
      </c>
      <c r="B31156" s="65" t="s">
        <v>70</v>
      </c>
    </row>
    <row r="31157" spans="1:2" x14ac:dyDescent="0.25">
      <c r="A31157" s="64" t="str">
        <f>HYPERLINK("http://www.twitter.com/ClaireLucas2", "ClaireLucas2")</f>
        <v>ClaireLucas2</v>
      </c>
      <c r="B31157" s="65" t="s">
        <v>61</v>
      </c>
    </row>
    <row r="31158" spans="1:2" x14ac:dyDescent="0.25">
      <c r="A31158" s="64" t="str">
        <f>HYPERLINK("http://www.twitter.com/diversity_films", "diversity_films")</f>
        <v>diversity_films</v>
      </c>
      <c r="B31158" s="65" t="s">
        <v>138</v>
      </c>
    </row>
    <row r="31159" spans="1:2" x14ac:dyDescent="0.25">
      <c r="A31159" s="64" t="str">
        <f>HYPERLINK("http://www.twitter.com/EndeavNetBridge", "EndeavNetBridge")</f>
        <v>EndeavNetBridge</v>
      </c>
      <c r="B31159" s="65" t="s">
        <v>12490</v>
      </c>
    </row>
    <row r="31160" spans="1:2" x14ac:dyDescent="0.25">
      <c r="A31160" s="64" t="str">
        <f>HYPERLINK("http://www.twitter.com/ReelOrkneyTwtup", "ReelOrkneyTwtup")</f>
        <v>ReelOrkneyTwtup</v>
      </c>
      <c r="B31160" s="65" t="s">
        <v>4227</v>
      </c>
    </row>
    <row r="31161" spans="1:2" x14ac:dyDescent="0.25">
      <c r="A31161" s="64" t="str">
        <f>HYPERLINK("http://www.twitter.com/girlwhoshould", "girlwhoshould")</f>
        <v>girlwhoshould</v>
      </c>
      <c r="B31161" s="65" t="s">
        <v>293</v>
      </c>
    </row>
    <row r="31162" spans="1:2" x14ac:dyDescent="0.25">
      <c r="A31162" s="64" t="str">
        <f>HYPERLINK("http://www.twitter.com/cybiksana", "cybiksana")</f>
        <v>cybiksana</v>
      </c>
      <c r="B31162" s="65" t="s">
        <v>1189</v>
      </c>
    </row>
    <row r="31163" spans="1:2" x14ac:dyDescent="0.25">
      <c r="A31163" s="64" t="str">
        <f>HYPERLINK("http://www.twitter.com/ASLPoetry", "ASLPoetry")</f>
        <v>ASLPoetry</v>
      </c>
      <c r="B31163" s="65"/>
    </row>
    <row r="31164" spans="1:2" x14ac:dyDescent="0.25">
      <c r="A31164" s="64" t="str">
        <f>HYPERLINK("http://www.twitter.com/USFWSJobs", "USFWSJobs")</f>
        <v>USFWSJobs</v>
      </c>
      <c r="B31164" s="65" t="s">
        <v>12491</v>
      </c>
    </row>
    <row r="31165" spans="1:2" x14ac:dyDescent="0.25">
      <c r="A31165" s="64" t="str">
        <f>HYPERLINK("http://www.twitter.com/thetattiebogle", "thetattiebogle")</f>
        <v>thetattiebogle</v>
      </c>
      <c r="B31165" s="65" t="s">
        <v>5702</v>
      </c>
    </row>
    <row r="31166" spans="1:2" x14ac:dyDescent="0.25">
      <c r="A31166" s="64" t="str">
        <f>HYPERLINK("http://www.twitter.com/aliasmacalias", "aliasmacalias")</f>
        <v>aliasmacalias</v>
      </c>
      <c r="B31166" s="65" t="s">
        <v>232</v>
      </c>
    </row>
    <row r="31167" spans="1:2" x14ac:dyDescent="0.25">
      <c r="A31167" s="64" t="str">
        <f>HYPERLINK("http://www.twitter.com/ClaireVPF", "ClaireVPF")</f>
        <v>ClaireVPF</v>
      </c>
      <c r="B31167" s="65"/>
    </row>
    <row r="31168" spans="1:2" x14ac:dyDescent="0.25">
      <c r="A31168" s="64" t="str">
        <f>HYPERLINK("http://www.twitter.com/Avision_UK", "Avision_UK")</f>
        <v>Avision_UK</v>
      </c>
      <c r="B31168" s="65"/>
    </row>
    <row r="31169" spans="1:2" x14ac:dyDescent="0.25">
      <c r="A31169" s="64" t="str">
        <f>HYPERLINK("http://www.twitter.com/NavTipsForLivin", "NavTipsForLivin")</f>
        <v>NavTipsForLivin</v>
      </c>
      <c r="B31169" s="65" t="s">
        <v>3988</v>
      </c>
    </row>
    <row r="31170" spans="1:2" x14ac:dyDescent="0.25">
      <c r="A31170" s="64" t="str">
        <f>HYPERLINK("http://www.twitter.com/TiffanyM_BZ", "TiffanyM_BZ")</f>
        <v>TiffanyM_BZ</v>
      </c>
      <c r="B31170" s="65" t="s">
        <v>7137</v>
      </c>
    </row>
    <row r="31171" spans="1:2" x14ac:dyDescent="0.25">
      <c r="A31171" s="64" t="str">
        <f>HYPERLINK("http://www.twitter.com/AppleBks", "AppleBks")</f>
        <v>AppleBks</v>
      </c>
      <c r="B31171" s="65" t="s">
        <v>4001</v>
      </c>
    </row>
    <row r="31172" spans="1:2" x14ac:dyDescent="0.25">
      <c r="A31172" s="64" t="str">
        <f>HYPERLINK("http://www.twitter.com/largeprintbk", "largeprintbk")</f>
        <v>largeprintbk</v>
      </c>
      <c r="B31172" s="65" t="s">
        <v>296</v>
      </c>
    </row>
    <row r="31173" spans="1:2" x14ac:dyDescent="0.25">
      <c r="A31173" s="64" t="str">
        <f>HYPERLINK("http://www.twitter.com/paranoididol", "paranoididol")</f>
        <v>paranoididol</v>
      </c>
      <c r="B31173" s="65" t="s">
        <v>12492</v>
      </c>
    </row>
    <row r="31174" spans="1:2" x14ac:dyDescent="0.25">
      <c r="A31174" s="64" t="str">
        <f>HYPERLINK("http://www.twitter.com/MaWalton", "MaWalton")</f>
        <v>MaWalton</v>
      </c>
      <c r="B31174" s="65" t="s">
        <v>24</v>
      </c>
    </row>
    <row r="31175" spans="1:2" x14ac:dyDescent="0.25">
      <c r="A31175" s="64" t="str">
        <f>HYPERLINK("http://www.twitter.com/WSchoolLibrary", "WSchoolLibrary")</f>
        <v>WSchoolLibrary</v>
      </c>
      <c r="B31175" s="65" t="s">
        <v>2153</v>
      </c>
    </row>
    <row r="31176" spans="1:2" x14ac:dyDescent="0.25">
      <c r="A31176" s="64" t="str">
        <f>HYPERLINK("http://www.twitter.com/_BrightRed", "_BrightRed")</f>
        <v>_BrightRed</v>
      </c>
      <c r="B31176" s="65" t="s">
        <v>24</v>
      </c>
    </row>
    <row r="31177" spans="1:2" x14ac:dyDescent="0.25">
      <c r="A31177" s="64" t="str">
        <f>HYPERLINK("http://www.twitter.com/dpa_twit", "dpa_twit")</f>
        <v>dpa_twit</v>
      </c>
      <c r="B31177" s="65" t="s">
        <v>517</v>
      </c>
    </row>
    <row r="31178" spans="1:2" x14ac:dyDescent="0.25">
      <c r="A31178" s="64" t="str">
        <f>HYPERLINK("http://www.twitter.com/cherly222", "cherly222")</f>
        <v>cherly222</v>
      </c>
      <c r="B31178" s="65" t="s">
        <v>20</v>
      </c>
    </row>
    <row r="31179" spans="1:2" x14ac:dyDescent="0.25">
      <c r="A31179" s="64" t="str">
        <f>HYPERLINK("http://www.twitter.com/LorraineMWork", "LorraineMWork")</f>
        <v>LorraineMWork</v>
      </c>
      <c r="B31179" s="65"/>
    </row>
    <row r="31180" spans="1:2" x14ac:dyDescent="0.25">
      <c r="A31180" s="64" t="str">
        <f>HYPERLINK("http://www.twitter.com/lcorse70", "lcorse70")</f>
        <v>lcorse70</v>
      </c>
      <c r="B31180" s="65"/>
    </row>
    <row r="31181" spans="1:2" x14ac:dyDescent="0.25">
      <c r="A31181" s="64" t="str">
        <f>HYPERLINK("http://www.twitter.com/thelibraryatnc", "thelibraryatnc")</f>
        <v>thelibraryatnc</v>
      </c>
      <c r="B31181" s="65" t="s">
        <v>2454</v>
      </c>
    </row>
    <row r="31182" spans="1:2" x14ac:dyDescent="0.25">
      <c r="A31182" s="64" t="str">
        <f>HYPERLINK("http://www.twitter.com/cmniciosaig", "cmniciosaig")</f>
        <v>cmniciosaig</v>
      </c>
      <c r="B31182" s="65" t="s">
        <v>517</v>
      </c>
    </row>
    <row r="31183" spans="1:2" x14ac:dyDescent="0.25">
      <c r="A31183" s="64" t="str">
        <f>HYPERLINK("http://www.twitter.com/ASGJewellery", "ASGJewellery")</f>
        <v>ASGJewellery</v>
      </c>
      <c r="B31183" s="65" t="s">
        <v>3781</v>
      </c>
    </row>
    <row r="31184" spans="1:2" x14ac:dyDescent="0.25">
      <c r="A31184" s="64" t="str">
        <f>HYPERLINK("http://www.twitter.com/AndreaKarpala", "AndreaKarpala")</f>
        <v>AndreaKarpala</v>
      </c>
      <c r="B31184" s="65" t="s">
        <v>12493</v>
      </c>
    </row>
    <row r="31185" spans="1:2" x14ac:dyDescent="0.25">
      <c r="A31185" s="64" t="str">
        <f>HYPERLINK("http://www.twitter.com/SouthportIndyPL", "SouthportIndyPL")</f>
        <v>SouthportIndyPL</v>
      </c>
      <c r="B31185" s="65" t="s">
        <v>4701</v>
      </c>
    </row>
    <row r="31186" spans="1:2" x14ac:dyDescent="0.25">
      <c r="A31186" s="64" t="str">
        <f>HYPERLINK("http://www.twitter.com/francescabarrie", "francescabarrie")</f>
        <v>francescabarrie</v>
      </c>
      <c r="B31186" s="65" t="s">
        <v>36</v>
      </c>
    </row>
    <row r="31187" spans="1:2" x14ac:dyDescent="0.25">
      <c r="A31187" s="64" t="str">
        <f>HYPERLINK("http://www.twitter.com/LauraCowdrey", "LauraCowdrey")</f>
        <v>LauraCowdrey</v>
      </c>
      <c r="B31187" s="65" t="s">
        <v>12494</v>
      </c>
    </row>
    <row r="31188" spans="1:2" x14ac:dyDescent="0.25">
      <c r="A31188" s="64" t="str">
        <f>HYPERLINK("http://www.twitter.com/sen19", "sen19")</f>
        <v>sen19</v>
      </c>
      <c r="B31188" s="65" t="s">
        <v>4234</v>
      </c>
    </row>
    <row r="31189" spans="1:2" x14ac:dyDescent="0.25">
      <c r="A31189" s="64" t="str">
        <f>HYPERLINK("http://www.twitter.com/KinizsiKnyvtr", "KinizsiKnyvtr")</f>
        <v>KinizsiKnyvtr</v>
      </c>
      <c r="B31189" s="65" t="s">
        <v>12495</v>
      </c>
    </row>
    <row r="31190" spans="1:2" x14ac:dyDescent="0.25">
      <c r="A31190" s="64" t="str">
        <f>HYPERLINK("http://www.twitter.com/ArchScot", "ArchScot")</f>
        <v>ArchScot</v>
      </c>
      <c r="B31190" s="65" t="s">
        <v>517</v>
      </c>
    </row>
    <row r="31191" spans="1:2" x14ac:dyDescent="0.25">
      <c r="A31191" s="64" t="str">
        <f>HYPERLINK("http://www.twitter.com/Leadbetter_Good", "Leadbetter_Good")</f>
        <v>Leadbetter_Good</v>
      </c>
      <c r="B31191" s="65" t="s">
        <v>12496</v>
      </c>
    </row>
    <row r="31192" spans="1:2" x14ac:dyDescent="0.25">
      <c r="A31192" s="64" t="str">
        <f>HYPERLINK("http://www.twitter.com/Trestabadger", "Trestabadger")</f>
        <v>Trestabadger</v>
      </c>
      <c r="B31192" s="65" t="s">
        <v>12497</v>
      </c>
    </row>
    <row r="31193" spans="1:2" x14ac:dyDescent="0.25">
      <c r="A31193" s="64" t="str">
        <f>HYPERLINK("http://www.twitter.com/garciatracy3", "garciatracy3")</f>
        <v>garciatracy3</v>
      </c>
      <c r="B31193" s="65" t="s">
        <v>12498</v>
      </c>
    </row>
    <row r="31194" spans="1:2" x14ac:dyDescent="0.25">
      <c r="A31194" s="64" t="str">
        <f>HYPERLINK("http://www.twitter.com/MackayGillian", "MackayGillian")</f>
        <v>MackayGillian</v>
      </c>
      <c r="B31194" s="65" t="s">
        <v>318</v>
      </c>
    </row>
    <row r="31195" spans="1:2" x14ac:dyDescent="0.25">
      <c r="A31195" s="64" t="str">
        <f>HYPERLINK("http://www.twitter.com/W121NGA", "W121NGA")</f>
        <v>W121NGA</v>
      </c>
      <c r="B31195" s="65"/>
    </row>
    <row r="31196" spans="1:2" x14ac:dyDescent="0.25">
      <c r="A31196" s="64" t="str">
        <f>HYPERLINK("http://www.twitter.com/timbrell07books", "timbrell07books")</f>
        <v>timbrell07books</v>
      </c>
      <c r="B31196" s="65" t="s">
        <v>4197</v>
      </c>
    </row>
    <row r="31197" spans="1:2" x14ac:dyDescent="0.25">
      <c r="A31197" s="64" t="str">
        <f>HYPERLINK("http://www.twitter.com/medskep", "medskep")</f>
        <v>medskep</v>
      </c>
      <c r="B31197" s="65"/>
    </row>
    <row r="31198" spans="1:2" x14ac:dyDescent="0.25">
      <c r="A31198" s="64" t="str">
        <f>HYPERLINK("http://www.twitter.com/alice_lyall", "alice_lyall")</f>
        <v>alice_lyall</v>
      </c>
      <c r="B31198" s="65" t="s">
        <v>487</v>
      </c>
    </row>
    <row r="31199" spans="1:2" x14ac:dyDescent="0.25">
      <c r="A31199" s="64" t="str">
        <f>HYPERLINK("http://www.twitter.com/dearmumsie", "dearmumsie")</f>
        <v>dearmumsie</v>
      </c>
      <c r="B31199" s="65"/>
    </row>
    <row r="31200" spans="1:2" x14ac:dyDescent="0.25">
      <c r="A31200" s="64" t="str">
        <f>HYPERLINK("http://www.twitter.com/IRachbauer", "IRachbauer")</f>
        <v>IRachbauer</v>
      </c>
      <c r="B31200" s="65" t="s">
        <v>6097</v>
      </c>
    </row>
    <row r="31201" spans="1:2" x14ac:dyDescent="0.25">
      <c r="A31201" s="64" t="str">
        <f>HYPERLINK("http://www.twitter.com/PoetryArchive", "PoetryArchive")</f>
        <v>PoetryArchive</v>
      </c>
      <c r="B31201" s="65"/>
    </row>
    <row r="31202" spans="1:2" x14ac:dyDescent="0.25">
      <c r="A31202" s="64" t="str">
        <f>HYPERLINK("http://www.twitter.com/sarahgail01", "sarahgail01")</f>
        <v>sarahgail01</v>
      </c>
      <c r="B31202" s="65"/>
    </row>
    <row r="31203" spans="1:2" x14ac:dyDescent="0.25">
      <c r="A31203" s="64" t="str">
        <f>HYPERLINK("http://www.twitter.com/westsidelib", "westsidelib")</f>
        <v>westsidelib</v>
      </c>
      <c r="B31203" s="65" t="s">
        <v>12499</v>
      </c>
    </row>
    <row r="31204" spans="1:2" x14ac:dyDescent="0.25">
      <c r="A31204" s="64" t="str">
        <f>HYPERLINK("http://www.twitter.com/CiaraEastell", "CiaraEastell")</f>
        <v>CiaraEastell</v>
      </c>
      <c r="B31204" s="65" t="s">
        <v>1716</v>
      </c>
    </row>
    <row r="31205" spans="1:2" x14ac:dyDescent="0.25">
      <c r="A31205" s="64" t="str">
        <f>HYPERLINK("http://www.twitter.com/Making_Hay", "Making_Hay")</f>
        <v>Making_Hay</v>
      </c>
      <c r="B31205" s="65" t="s">
        <v>10687</v>
      </c>
    </row>
    <row r="31206" spans="1:2" x14ac:dyDescent="0.25">
      <c r="A31206" s="64" t="str">
        <f>HYPERLINK("http://www.twitter.com/jayhawk100", "jayhawk100")</f>
        <v>jayhawk100</v>
      </c>
      <c r="B31206" s="65" t="s">
        <v>9505</v>
      </c>
    </row>
    <row r="31207" spans="1:2" x14ac:dyDescent="0.25">
      <c r="A31207" s="64" t="str">
        <f>HYPERLINK("http://www.twitter.com/milliemagpie92", "milliemagpie92")</f>
        <v>milliemagpie92</v>
      </c>
      <c r="B31207" s="65"/>
    </row>
    <row r="31208" spans="1:2" x14ac:dyDescent="0.25">
      <c r="A31208" s="64" t="str">
        <f>HYPERLINK("http://www.twitter.com/toastteacake", "toastteacake")</f>
        <v>toastteacake</v>
      </c>
      <c r="B31208" s="65"/>
    </row>
    <row r="31209" spans="1:2" x14ac:dyDescent="0.25">
      <c r="A31209" s="64" t="str">
        <f>HYPERLINK("http://www.twitter.com/reading_groups", "reading_groups")</f>
        <v>reading_groups</v>
      </c>
      <c r="B31209" s="65" t="s">
        <v>36</v>
      </c>
    </row>
    <row r="31210" spans="1:2" x14ac:dyDescent="0.25">
      <c r="A31210" s="64" t="str">
        <f>HYPERLINK("http://www.twitter.com/Bead1KeachToo", "Bead1KeachToo")</f>
        <v>Bead1KeachToo</v>
      </c>
      <c r="B31210" s="65" t="s">
        <v>7722</v>
      </c>
    </row>
    <row r="31211" spans="1:2" x14ac:dyDescent="0.25">
      <c r="A31211" s="64" t="str">
        <f>HYPERLINK("http://www.twitter.com/dizzysteinway42", "dizzysteinway42")</f>
        <v>dizzysteinway42</v>
      </c>
      <c r="B31211" s="65"/>
    </row>
    <row r="31212" spans="1:2" x14ac:dyDescent="0.25">
      <c r="A31212" s="64" t="str">
        <f>HYPERLINK("http://www.twitter.com/JamieMurley", "JamieMurley")</f>
        <v>JamieMurley</v>
      </c>
      <c r="B31212" s="65" t="s">
        <v>12500</v>
      </c>
    </row>
    <row r="31213" spans="1:2" x14ac:dyDescent="0.25">
      <c r="A31213" s="64" t="str">
        <f>HYPERLINK("http://www.twitter.com/CatherineBraddo", "CatherineBraddo")</f>
        <v>CatherineBraddo</v>
      </c>
      <c r="B31213" s="65" t="s">
        <v>12501</v>
      </c>
    </row>
    <row r="31214" spans="1:2" x14ac:dyDescent="0.25">
      <c r="A31214" s="64" t="str">
        <f>HYPERLINK("http://www.twitter.com/flofow", "flofow")</f>
        <v>flofow</v>
      </c>
      <c r="B31214" s="65" t="s">
        <v>6408</v>
      </c>
    </row>
    <row r="31215" spans="1:2" x14ac:dyDescent="0.25">
      <c r="A31215" s="64" t="str">
        <f>HYPERLINK("http://www.twitter.com/itinerantgeoff", "itinerantgeoff")</f>
        <v>itinerantgeoff</v>
      </c>
      <c r="B31215" s="65" t="s">
        <v>12502</v>
      </c>
    </row>
    <row r="31216" spans="1:2" x14ac:dyDescent="0.25">
      <c r="A31216" s="64" t="str">
        <f>HYPERLINK("http://www.twitter.com/Alexander_Hope", "Alexander_Hope")</f>
        <v>Alexander_Hope</v>
      </c>
      <c r="B31216" s="65"/>
    </row>
    <row r="31217" spans="1:2" x14ac:dyDescent="0.25">
      <c r="A31217" s="64" t="str">
        <f>HYPERLINK("http://www.twitter.com/staceyemmariley", "staceyemmariley")</f>
        <v>staceyemmariley</v>
      </c>
      <c r="B31217" s="65" t="s">
        <v>36</v>
      </c>
    </row>
    <row r="31218" spans="1:2" x14ac:dyDescent="0.25">
      <c r="A31218" s="64" t="str">
        <f>HYPERLINK("http://www.twitter.com/AbdnArchives", "AbdnArchives")</f>
        <v>AbdnArchives</v>
      </c>
      <c r="B31218" s="65" t="s">
        <v>569</v>
      </c>
    </row>
    <row r="31219" spans="1:2" x14ac:dyDescent="0.25">
      <c r="A31219" s="64" t="str">
        <f>HYPERLINK("http://www.twitter.com/sameerakhundmir", "sameerakhundmir")</f>
        <v>sameerakhundmir</v>
      </c>
      <c r="B31219" s="65" t="s">
        <v>4613</v>
      </c>
    </row>
    <row r="31220" spans="1:2" x14ac:dyDescent="0.25">
      <c r="A31220" s="64" t="str">
        <f>HYPERLINK("http://www.twitter.com/Kit_Berry", "Kit_Berry")</f>
        <v>Kit_Berry</v>
      </c>
      <c r="B31220" s="65" t="s">
        <v>624</v>
      </c>
    </row>
    <row r="31221" spans="1:2" x14ac:dyDescent="0.25">
      <c r="A31221" s="64" t="str">
        <f>HYPERLINK("http://www.twitter.com/smashngrabbooks", "smashngrabbooks")</f>
        <v>smashngrabbooks</v>
      </c>
      <c r="B31221" s="65"/>
    </row>
    <row r="31222" spans="1:2" x14ac:dyDescent="0.25">
      <c r="A31222" s="64" t="str">
        <f>HYPERLINK("http://www.twitter.com/marysbookstuff", "marysbookstuff")</f>
        <v>marysbookstuff</v>
      </c>
      <c r="B31222" s="65" t="s">
        <v>12503</v>
      </c>
    </row>
    <row r="31223" spans="1:2" x14ac:dyDescent="0.25">
      <c r="A31223" s="64" t="str">
        <f>HYPERLINK("http://www.twitter.com/Coruscatingwit", "Coruscatingwit")</f>
        <v>Coruscatingwit</v>
      </c>
      <c r="B31223" s="65"/>
    </row>
    <row r="31224" spans="1:2" x14ac:dyDescent="0.25">
      <c r="A31224" s="64" t="str">
        <f>HYPERLINK("http://www.twitter.com/dimessage", "dimessage")</f>
        <v>dimessage</v>
      </c>
      <c r="B31224" s="65" t="s">
        <v>505</v>
      </c>
    </row>
    <row r="31225" spans="1:2" x14ac:dyDescent="0.25">
      <c r="A31225" s="64" t="str">
        <f>HYPERLINK("http://www.twitter.com/Cocowie", "Cocowie")</f>
        <v>Cocowie</v>
      </c>
      <c r="B31225" s="65"/>
    </row>
    <row r="31226" spans="1:2" x14ac:dyDescent="0.25">
      <c r="A31226" s="64" t="str">
        <f>HYPERLINK("http://www.twitter.com/novelmarketing", "novelmarketing")</f>
        <v>novelmarketing</v>
      </c>
      <c r="B31226" s="65" t="s">
        <v>36</v>
      </c>
    </row>
    <row r="31227" spans="1:2" x14ac:dyDescent="0.25">
      <c r="A31227" s="64" t="str">
        <f>HYPERLINK("http://www.twitter.com/JohnStokdyk", "JohnStokdyk")</f>
        <v>JohnStokdyk</v>
      </c>
      <c r="B31227" s="65" t="s">
        <v>1980</v>
      </c>
    </row>
    <row r="31228" spans="1:2" x14ac:dyDescent="0.25">
      <c r="A31228" s="64" t="str">
        <f>HYPERLINK("http://www.twitter.com/betsy_tacy", "betsy_tacy")</f>
        <v>betsy_tacy</v>
      </c>
      <c r="B31228" s="65" t="s">
        <v>12504</v>
      </c>
    </row>
    <row r="31229" spans="1:2" x14ac:dyDescent="0.25">
      <c r="A31229" s="64" t="str">
        <f>HYPERLINK("http://www.twitter.com/shetlandcaravan", "shetlandcaravan")</f>
        <v>shetlandcaravan</v>
      </c>
      <c r="B31229" s="65" t="s">
        <v>12505</v>
      </c>
    </row>
    <row r="31230" spans="1:2" x14ac:dyDescent="0.25">
      <c r="A31230" s="64" t="str">
        <f>HYPERLINK("http://www.twitter.com/kristarichards", "kristarichards")</f>
        <v>kristarichards</v>
      </c>
      <c r="B31230" s="65" t="s">
        <v>12506</v>
      </c>
    </row>
    <row r="31231" spans="1:2" x14ac:dyDescent="0.25">
      <c r="A31231" s="64" t="str">
        <f>HYPERLINK("http://www.twitter.com/rshersnow", "rshersnow")</f>
        <v>rshersnow</v>
      </c>
      <c r="B31231" s="65" t="s">
        <v>4655</v>
      </c>
    </row>
    <row r="31232" spans="1:2" x14ac:dyDescent="0.25">
      <c r="A31232" s="64" t="str">
        <f>HYPERLINK("http://www.twitter.com/NationalGallery", "NationalGallery")</f>
        <v>NationalGallery</v>
      </c>
      <c r="B31232" s="65" t="s">
        <v>110</v>
      </c>
    </row>
    <row r="31233" spans="1:2" x14ac:dyDescent="0.25">
      <c r="A31233" s="64" t="str">
        <f>HYPERLINK("http://www.twitter.com/KathPauling", "KathPauling")</f>
        <v>KathPauling</v>
      </c>
      <c r="B31233" s="65"/>
    </row>
    <row r="31234" spans="1:2" x14ac:dyDescent="0.25">
      <c r="A31234" s="64" t="str">
        <f>HYPERLINK("http://www.twitter.com/nizzabda", "nizzabda")</f>
        <v>nizzabda</v>
      </c>
      <c r="B31234" s="65"/>
    </row>
    <row r="31235" spans="1:2" x14ac:dyDescent="0.25">
      <c r="A31235" s="64" t="str">
        <f>HYPERLINK("http://www.twitter.com/VixxT86", "VixxT86")</f>
        <v>VixxT86</v>
      </c>
      <c r="B31235" s="65" t="s">
        <v>517</v>
      </c>
    </row>
    <row r="31236" spans="1:2" x14ac:dyDescent="0.25">
      <c r="A31236" s="64" t="str">
        <f>HYPERLINK("http://www.twitter.com/brechenord", "brechenord")</f>
        <v>brechenord</v>
      </c>
      <c r="B31236" s="65"/>
    </row>
    <row r="31237" spans="1:2" x14ac:dyDescent="0.25">
      <c r="A31237" s="64" t="str">
        <f>HYPERLINK("http://www.twitter.com/Scotplacenames", "Scotplacenames")</f>
        <v>Scotplacenames</v>
      </c>
      <c r="B31237" s="65" t="s">
        <v>517</v>
      </c>
    </row>
    <row r="31238" spans="1:2" x14ac:dyDescent="0.25">
      <c r="A31238" s="64" t="str">
        <f>HYPERLINK("http://www.twitter.com/jmt3009", "jmt3009")</f>
        <v>jmt3009</v>
      </c>
      <c r="B31238" s="65"/>
    </row>
    <row r="31239" spans="1:2" x14ac:dyDescent="0.25">
      <c r="A31239" s="64" t="str">
        <f>HYPERLINK("http://www.twitter.com/marymrsbox", "marymrsbox")</f>
        <v>marymrsbox</v>
      </c>
      <c r="B31239" s="65"/>
    </row>
    <row r="31240" spans="1:2" x14ac:dyDescent="0.25">
      <c r="A31240" s="64" t="str">
        <f>HYPERLINK("http://www.twitter.com/highland_moose", "highland_moose")</f>
        <v>highland_moose</v>
      </c>
      <c r="B31240" s="65" t="s">
        <v>12507</v>
      </c>
    </row>
    <row r="31241" spans="1:2" x14ac:dyDescent="0.25">
      <c r="A31241" s="64" t="str">
        <f>HYPERLINK("http://www.twitter.com/TechSoup", "TechSoup")</f>
        <v>TechSoup</v>
      </c>
      <c r="B31241" s="65" t="s">
        <v>12508</v>
      </c>
    </row>
    <row r="31242" spans="1:2" x14ac:dyDescent="0.25">
      <c r="A31242" s="64" t="str">
        <f>HYPERLINK("http://www.twitter.com/Sheena_Muncie", "Sheena_Muncie")</f>
        <v>Sheena_Muncie</v>
      </c>
      <c r="B31242" s="65" t="s">
        <v>24</v>
      </c>
    </row>
    <row r="31243" spans="1:2" x14ac:dyDescent="0.25">
      <c r="A31243" s="64" t="str">
        <f>HYPERLINK("http://www.twitter.com/bjhewson", "bjhewson")</f>
        <v>bjhewson</v>
      </c>
      <c r="B31243" s="65" t="s">
        <v>33</v>
      </c>
    </row>
    <row r="31244" spans="1:2" x14ac:dyDescent="0.25">
      <c r="A31244" s="64" t="str">
        <f>HYPERLINK("http://www.twitter.com/WestonPublicLib", "WestonPublicLib")</f>
        <v>WestonPublicLib</v>
      </c>
      <c r="B31244" s="65" t="s">
        <v>12509</v>
      </c>
    </row>
    <row r="31245" spans="1:2" x14ac:dyDescent="0.25">
      <c r="A31245" s="64" t="str">
        <f>HYPERLINK("http://www.twitter.com/HamishBrown", "HamishBrown")</f>
        <v>HamishBrown</v>
      </c>
      <c r="B31245" s="65" t="s">
        <v>24</v>
      </c>
    </row>
    <row r="31246" spans="1:2" x14ac:dyDescent="0.25">
      <c r="A31246" s="64" t="str">
        <f>HYPERLINK("http://www.twitter.com/hamilpann", "hamilpann")</f>
        <v>hamilpann</v>
      </c>
      <c r="B31246" s="65" t="s">
        <v>7539</v>
      </c>
    </row>
    <row r="31247" spans="1:2" x14ac:dyDescent="0.25">
      <c r="A31247" s="64" t="str">
        <f>HYPERLINK("http://www.twitter.com/jasonhookbooks", "jasonhookbooks")</f>
        <v>jasonhookbooks</v>
      </c>
      <c r="B31247" s="65" t="s">
        <v>1980</v>
      </c>
    </row>
    <row r="31248" spans="1:2" x14ac:dyDescent="0.25">
      <c r="A31248" s="64" t="str">
        <f>HYPERLINK("http://www.twitter.com/lhsaeul", "lhsaeul")</f>
        <v>lhsaeul</v>
      </c>
      <c r="B31248" s="65" t="s">
        <v>67</v>
      </c>
    </row>
    <row r="31249" spans="1:2" x14ac:dyDescent="0.25">
      <c r="A31249" s="64" t="str">
        <f>HYPERLINK("http://www.twitter.com/TheLitPlatform", "TheLitPlatform")</f>
        <v>TheLitPlatform</v>
      </c>
      <c r="B31249" s="65" t="s">
        <v>3633</v>
      </c>
    </row>
    <row r="31250" spans="1:2" x14ac:dyDescent="0.25">
      <c r="A31250" s="64" t="str">
        <f>HYPERLINK("http://www.twitter.com/Opus4Veep", "Opus4Veep")</f>
        <v>Opus4Veep</v>
      </c>
      <c r="B31250" s="65"/>
    </row>
    <row r="31251" spans="1:2" x14ac:dyDescent="0.25">
      <c r="A31251" s="64" t="str">
        <f>HYPERLINK("http://www.twitter.com/Daggerinthelib", "Daggerinthelib")</f>
        <v>Daggerinthelib</v>
      </c>
      <c r="B31251" s="65" t="s">
        <v>12510</v>
      </c>
    </row>
    <row r="31252" spans="1:2" x14ac:dyDescent="0.25">
      <c r="A31252" s="64" t="str">
        <f>HYPERLINK("http://www.twitter.com/d3v29_antisec", "d3v29_antisec")</f>
        <v>d3v29_antisec</v>
      </c>
      <c r="B31252" s="65" t="s">
        <v>12511</v>
      </c>
    </row>
    <row r="31253" spans="1:2" x14ac:dyDescent="0.25">
      <c r="A31253" s="64" t="str">
        <f>HYPERLINK("http://www.twitter.com/JaneTho61119029", "JaneTho61119029")</f>
        <v>JaneTho61119029</v>
      </c>
      <c r="B31253" s="65"/>
    </row>
    <row r="31254" spans="1:2" x14ac:dyDescent="0.25">
      <c r="A31254" s="64" t="str">
        <f>HYPERLINK("http://www.twitter.com/LivingstonAt50", "LivingstonAt50")</f>
        <v>LivingstonAt50</v>
      </c>
      <c r="B31254" s="65" t="s">
        <v>2227</v>
      </c>
    </row>
    <row r="31255" spans="1:2" x14ac:dyDescent="0.25">
      <c r="A31255" s="64" t="str">
        <f>HYPERLINK("http://www.twitter.com/annie_blackmore", "annie_blackmore")</f>
        <v>annie_blackmore</v>
      </c>
      <c r="B31255" s="65" t="s">
        <v>3633</v>
      </c>
    </row>
    <row r="31256" spans="1:2" x14ac:dyDescent="0.25">
      <c r="A31256" s="64" t="str">
        <f>HYPERLINK("http://www.twitter.com/moley75", "moley75")</f>
        <v>moley75</v>
      </c>
      <c r="B31256" s="65" t="s">
        <v>12512</v>
      </c>
    </row>
    <row r="31257" spans="1:2" x14ac:dyDescent="0.25">
      <c r="A31257" s="64" t="str">
        <f>HYPERLINK("http://www.twitter.com/AKEdinburgh", "AKEdinburgh")</f>
        <v>AKEdinburgh</v>
      </c>
      <c r="B31257" s="65" t="s">
        <v>24</v>
      </c>
    </row>
    <row r="31258" spans="1:2" x14ac:dyDescent="0.25">
      <c r="A31258" s="64" t="str">
        <f>HYPERLINK("http://www.twitter.com/Jess_Witkowska", "Jess_Witkowska")</f>
        <v>Jess_Witkowska</v>
      </c>
      <c r="B31258" s="65" t="s">
        <v>4501</v>
      </c>
    </row>
    <row r="31259" spans="1:2" x14ac:dyDescent="0.25">
      <c r="A31259" s="64" t="str">
        <f>HYPERLINK("http://www.twitter.com/exitthelemming", "exitthelemming")</f>
        <v>exitthelemming</v>
      </c>
      <c r="B31259" s="65" t="s">
        <v>12513</v>
      </c>
    </row>
    <row r="31260" spans="1:2" x14ac:dyDescent="0.25">
      <c r="A31260" s="64" t="str">
        <f>HYPERLINK("http://www.twitter.com/notebodes", "notebodes")</f>
        <v>notebodes</v>
      </c>
      <c r="B31260" s="65"/>
    </row>
    <row r="31261" spans="1:2" x14ac:dyDescent="0.25">
      <c r="A31261" s="64" t="str">
        <f>HYPERLINK("http://www.twitter.com/Tigerlily1310", "Tigerlily1310")</f>
        <v>Tigerlily1310</v>
      </c>
      <c r="B31261" s="65" t="s">
        <v>517</v>
      </c>
    </row>
    <row r="31262" spans="1:2" x14ac:dyDescent="0.25">
      <c r="A31262" s="64" t="str">
        <f>HYPERLINK("http://www.twitter.com/LollyPopPR", "LollyPopPR")</f>
        <v>LollyPopPR</v>
      </c>
      <c r="B31262" s="65" t="s">
        <v>12514</v>
      </c>
    </row>
    <row r="31263" spans="1:2" x14ac:dyDescent="0.25">
      <c r="A31263" s="64" t="str">
        <f>HYPERLINK("http://www.twitter.com/KellyMauchlen", "KellyMauchlen")</f>
        <v>KellyMauchlen</v>
      </c>
      <c r="B31263" s="65"/>
    </row>
    <row r="31264" spans="1:2" x14ac:dyDescent="0.25">
      <c r="A31264" s="64" t="str">
        <f>HYPERLINK("http://www.twitter.com/NAGWArtLibrary", "NAGWArtLibrary")</f>
        <v>NAGWArtLibrary</v>
      </c>
      <c r="B31264" s="65" t="s">
        <v>1394</v>
      </c>
    </row>
    <row r="31265" spans="1:2" x14ac:dyDescent="0.25">
      <c r="A31265" s="64" t="str">
        <f>HYPERLINK("http://www.twitter.com/MinkyDoyle", "MinkyDoyle")</f>
        <v>MinkyDoyle</v>
      </c>
      <c r="B31265" s="65" t="s">
        <v>12515</v>
      </c>
    </row>
    <row r="31266" spans="1:2" x14ac:dyDescent="0.25">
      <c r="A31266" s="64" t="str">
        <f>HYPERLINK("http://www.twitter.com/JHClarkston", "JHClarkston")</f>
        <v>JHClarkston</v>
      </c>
      <c r="B31266" s="65" t="s">
        <v>12516</v>
      </c>
    </row>
    <row r="31267" spans="1:2" x14ac:dyDescent="0.25">
      <c r="A31267" s="64" t="str">
        <f>HYPERLINK("http://www.twitter.com/EmilyRoseMackay", "EmilyRoseMackay")</f>
        <v>EmilyRoseMackay</v>
      </c>
      <c r="B31267" s="65" t="s">
        <v>1567</v>
      </c>
    </row>
    <row r="31268" spans="1:2" x14ac:dyDescent="0.25">
      <c r="A31268" s="64" t="str">
        <f>HYPERLINK("http://www.twitter.com/weRnLights", "weRnLights")</f>
        <v>weRnLights</v>
      </c>
      <c r="B31268" s="65" t="s">
        <v>517</v>
      </c>
    </row>
    <row r="31269" spans="1:2" x14ac:dyDescent="0.25">
      <c r="A31269" s="64" t="str">
        <f>HYPERLINK("http://www.twitter.com/shetlandcomp", "shetlandcomp")</f>
        <v>shetlandcomp</v>
      </c>
      <c r="B31269" s="65" t="s">
        <v>4674</v>
      </c>
    </row>
    <row r="31270" spans="1:2" x14ac:dyDescent="0.25">
      <c r="A31270" s="64" t="str">
        <f>HYPERLINK("http://www.twitter.com/dustingarlitz", "dustingarlitz")</f>
        <v>dustingarlitz</v>
      </c>
      <c r="B31270" s="65" t="s">
        <v>3893</v>
      </c>
    </row>
    <row r="31271" spans="1:2" x14ac:dyDescent="0.25">
      <c r="A31271" s="64" t="str">
        <f>HYPERLINK("http://www.twitter.com/peedieanna", "peedieanna")</f>
        <v>peedieanna</v>
      </c>
      <c r="B31271" s="65"/>
    </row>
    <row r="31272" spans="1:2" x14ac:dyDescent="0.25">
      <c r="A31272" s="64" t="str">
        <f>HYPERLINK("http://www.twitter.com/genieq", "genieq")</f>
        <v>genieq</v>
      </c>
      <c r="B31272" s="65"/>
    </row>
    <row r="31273" spans="1:2" x14ac:dyDescent="0.25">
      <c r="A31273" s="64" t="str">
        <f>HYPERLINK("http://www.twitter.com/Miss_Horan7", "Miss_Horan7")</f>
        <v>Miss_Horan7</v>
      </c>
      <c r="B31273" s="65" t="s">
        <v>5807</v>
      </c>
    </row>
    <row r="31274" spans="1:2" x14ac:dyDescent="0.25">
      <c r="A31274" s="64" t="str">
        <f>HYPERLINK("http://www.twitter.com/RHGSherlock", "RHGSherlock")</f>
        <v>RHGSherlock</v>
      </c>
      <c r="B31274" s="65" t="s">
        <v>6092</v>
      </c>
    </row>
    <row r="31275" spans="1:2" x14ac:dyDescent="0.25">
      <c r="A31275" s="64" t="str">
        <f>HYPERLINK("http://www.twitter.com/joannesmedley", "joannesmedley")</f>
        <v>joannesmedley</v>
      </c>
      <c r="B31275" s="65" t="s">
        <v>12517</v>
      </c>
    </row>
    <row r="31276" spans="1:2" x14ac:dyDescent="0.25">
      <c r="A31276" s="64" t="str">
        <f>HYPERLINK("http://www.twitter.com/TRACSYSTEMS", "TRACSYSTEMS")</f>
        <v>TRACSYSTEMS</v>
      </c>
      <c r="B31276" s="65" t="s">
        <v>12518</v>
      </c>
    </row>
    <row r="31277" spans="1:2" x14ac:dyDescent="0.25">
      <c r="A31277" s="64" t="str">
        <f>HYPERLINK("http://www.twitter.com/AlexBMX198", "AlexBMX198")</f>
        <v>AlexBMX198</v>
      </c>
      <c r="B31277" s="65" t="s">
        <v>12519</v>
      </c>
    </row>
    <row r="31278" spans="1:2" x14ac:dyDescent="0.25">
      <c r="A31278" s="64" t="str">
        <f>HYPERLINK("http://www.twitter.com/Withnail74", "Withnail74")</f>
        <v>Withnail74</v>
      </c>
      <c r="B31278" s="65" t="s">
        <v>12520</v>
      </c>
    </row>
    <row r="31279" spans="1:2" x14ac:dyDescent="0.25">
      <c r="A31279" s="64" t="str">
        <f>HYPERLINK("http://www.twitter.com/a_bacci", "a_bacci")</f>
        <v>a_bacci</v>
      </c>
      <c r="B31279" s="65" t="s">
        <v>477</v>
      </c>
    </row>
    <row r="31280" spans="1:2" x14ac:dyDescent="0.25">
      <c r="A31280" s="64" t="str">
        <f>HYPERLINK("http://www.twitter.com/queenoftartan", "queenoftartan")</f>
        <v>queenoftartan</v>
      </c>
      <c r="B31280" s="65" t="s">
        <v>138</v>
      </c>
    </row>
    <row r="31281" spans="1:2" x14ac:dyDescent="0.25">
      <c r="A31281" s="64" t="str">
        <f>HYPERLINK("http://www.twitter.com/tel_jen", "tel_jen")</f>
        <v>tel_jen</v>
      </c>
      <c r="B31281" s="65"/>
    </row>
    <row r="31282" spans="1:2" x14ac:dyDescent="0.25">
      <c r="A31282" s="64" t="str">
        <f>HYPERLINK("http://www.twitter.com/FlissWalton", "FlissWalton")</f>
        <v>FlissWalton</v>
      </c>
      <c r="B31282" s="65" t="s">
        <v>36</v>
      </c>
    </row>
    <row r="31283" spans="1:2" x14ac:dyDescent="0.25">
      <c r="A31283" s="64" t="str">
        <f>HYPERLINK("http://www.twitter.com/agatha1900", "agatha1900")</f>
        <v>agatha1900</v>
      </c>
      <c r="B31283" s="65"/>
    </row>
    <row r="31284" spans="1:2" x14ac:dyDescent="0.25">
      <c r="A31284" s="64" t="str">
        <f>HYPERLINK("http://www.twitter.com/iwandavies", "iwandavies")</f>
        <v>iwandavies</v>
      </c>
      <c r="B31284" s="65" t="s">
        <v>3773</v>
      </c>
    </row>
    <row r="31285" spans="1:2" x14ac:dyDescent="0.25">
      <c r="A31285" s="64" t="str">
        <f>HYPERLINK("http://www.twitter.com/jokinloch", "jokinloch")</f>
        <v>jokinloch</v>
      </c>
      <c r="B31285" s="65" t="s">
        <v>12521</v>
      </c>
    </row>
    <row r="31286" spans="1:2" x14ac:dyDescent="0.25">
      <c r="A31286" s="64" t="str">
        <f>HYPERLINK("http://www.twitter.com/NeuReekie", "NeuReekie")</f>
        <v>NeuReekie</v>
      </c>
      <c r="B31286" s="65" t="s">
        <v>12522</v>
      </c>
    </row>
    <row r="31287" spans="1:2" x14ac:dyDescent="0.25">
      <c r="A31287" s="64" t="str">
        <f>HYPERLINK("http://www.twitter.com/nowty", "nowty")</f>
        <v>nowty</v>
      </c>
      <c r="B31287" s="65" t="s">
        <v>12523</v>
      </c>
    </row>
    <row r="31288" spans="1:2" x14ac:dyDescent="0.25">
      <c r="A31288" s="64" t="str">
        <f>HYPERLINK("http://www.twitter.com/stayingawake", "stayingawake")</f>
        <v>stayingawake</v>
      </c>
      <c r="B31288" s="65"/>
    </row>
    <row r="31289" spans="1:2" x14ac:dyDescent="0.25">
      <c r="A31289" s="64" t="str">
        <f>HYPERLINK("http://www.twitter.com/Honeymoon1Tee", "Honeymoon1Tee")</f>
        <v>Honeymoon1Tee</v>
      </c>
      <c r="B31289" s="65" t="s">
        <v>9474</v>
      </c>
    </row>
    <row r="31290" spans="1:2" x14ac:dyDescent="0.25">
      <c r="A31290" s="64" t="str">
        <f>HYPERLINK("http://www.twitter.com/Occams_Blazer", "Occams_Blazer")</f>
        <v>Occams_Blazer</v>
      </c>
      <c r="B31290" s="65" t="s">
        <v>12524</v>
      </c>
    </row>
    <row r="31291" spans="1:2" x14ac:dyDescent="0.25">
      <c r="A31291" s="64" t="str">
        <f>HYPERLINK("http://www.twitter.com/TheMattStronge", "TheMattStronge")</f>
        <v>TheMattStronge</v>
      </c>
      <c r="B31291" s="65" t="s">
        <v>36</v>
      </c>
    </row>
    <row r="31292" spans="1:2" x14ac:dyDescent="0.25">
      <c r="A31292" s="64" t="str">
        <f>HYPERLINK("http://www.twitter.com/Lacci7", "Lacci7")</f>
        <v>Lacci7</v>
      </c>
      <c r="B31292" s="65"/>
    </row>
    <row r="31293" spans="1:2" x14ac:dyDescent="0.25">
      <c r="A31293" s="64" t="str">
        <f>HYPERLINK("http://www.twitter.com/KrisCaplice", "KrisCaplice")</f>
        <v>KrisCaplice</v>
      </c>
      <c r="B31293" s="65" t="s">
        <v>4237</v>
      </c>
    </row>
    <row r="31294" spans="1:2" x14ac:dyDescent="0.25">
      <c r="A31294" s="64" t="str">
        <f>HYPERLINK("http://www.twitter.com/Llamagretch", "Llamagretch")</f>
        <v>Llamagretch</v>
      </c>
      <c r="B31294" s="65" t="s">
        <v>12525</v>
      </c>
    </row>
    <row r="31295" spans="1:2" x14ac:dyDescent="0.25">
      <c r="A31295" s="64" t="str">
        <f>HYPERLINK("http://www.twitter.com/amtstevens", "amtstevens")</f>
        <v>amtstevens</v>
      </c>
      <c r="B31295" s="65" t="s">
        <v>11268</v>
      </c>
    </row>
    <row r="31296" spans="1:2" x14ac:dyDescent="0.25">
      <c r="A31296" s="64" t="str">
        <f>HYPERLINK("http://www.twitter.com/CAMaule", "CAMaule")</f>
        <v>CAMaule</v>
      </c>
      <c r="B31296" s="65" t="s">
        <v>6708</v>
      </c>
    </row>
    <row r="31297" spans="1:2" x14ac:dyDescent="0.25">
      <c r="A31297" s="64" t="str">
        <f>HYPERLINK("http://www.twitter.com/ManilaChinchila", "ManilaChinchila")</f>
        <v>ManilaChinchila</v>
      </c>
      <c r="B31297" s="65" t="s">
        <v>12526</v>
      </c>
    </row>
    <row r="31298" spans="1:2" x14ac:dyDescent="0.25">
      <c r="A31298" s="64" t="str">
        <f>HYPERLINK("http://www.twitter.com/carolinegullion", "carolinegullion")</f>
        <v>carolinegullion</v>
      </c>
      <c r="B31298" s="65" t="s">
        <v>12527</v>
      </c>
    </row>
    <row r="31299" spans="1:2" x14ac:dyDescent="0.25">
      <c r="A31299" s="64" t="str">
        <f>HYPERLINK("http://www.twitter.com/munroclive", "munroclive")</f>
        <v>munroclive</v>
      </c>
      <c r="B31299" s="65"/>
    </row>
    <row r="31300" spans="1:2" x14ac:dyDescent="0.25">
      <c r="A31300" s="64" t="str">
        <f>HYPERLINK("http://www.twitter.com/NJB1O4", "NJB1O4")</f>
        <v>NJB1O4</v>
      </c>
      <c r="B31300" s="65" t="s">
        <v>24</v>
      </c>
    </row>
    <row r="31301" spans="1:2" x14ac:dyDescent="0.25">
      <c r="A31301" s="64" t="str">
        <f>HYPERLINK("http://www.twitter.com/CompTwisted", "CompTwisted")</f>
        <v>CompTwisted</v>
      </c>
      <c r="B31301" s="65" t="s">
        <v>12528</v>
      </c>
    </row>
    <row r="31302" spans="1:2" x14ac:dyDescent="0.25">
      <c r="A31302" s="64" t="str">
        <f>HYPERLINK("http://www.twitter.com/SeallamCentre", "SeallamCentre")</f>
        <v>SeallamCentre</v>
      </c>
      <c r="B31302" s="65" t="s">
        <v>12529</v>
      </c>
    </row>
    <row r="31303" spans="1:2" x14ac:dyDescent="0.25">
      <c r="A31303" s="64" t="str">
        <f>HYPERLINK("http://www.twitter.com/ChangelingArts", "ChangelingArts")</f>
        <v>ChangelingArts</v>
      </c>
      <c r="B31303" s="65" t="s">
        <v>20</v>
      </c>
    </row>
    <row r="31304" spans="1:2" x14ac:dyDescent="0.25">
      <c r="A31304" s="64" t="str">
        <f>HYPERLINK("http://www.twitter.com/WestrayWilma", "WestrayWilma")</f>
        <v>WestrayWilma</v>
      </c>
      <c r="B31304" s="65" t="s">
        <v>6753</v>
      </c>
    </row>
    <row r="31305" spans="1:2" x14ac:dyDescent="0.25">
      <c r="A31305" s="64" t="str">
        <f>HYPERLINK("http://www.twitter.com/SunburyLibrary", "SunburyLibrary")</f>
        <v>SunburyLibrary</v>
      </c>
      <c r="B31305" s="65" t="s">
        <v>1210</v>
      </c>
    </row>
    <row r="31306" spans="1:2" x14ac:dyDescent="0.25">
      <c r="A31306" s="64" t="str">
        <f>HYPERLINK("http://www.twitter.com/Dubh_Artach", "Dubh_Artach")</f>
        <v>Dubh_Artach</v>
      </c>
      <c r="B31306" s="65" t="s">
        <v>4019</v>
      </c>
    </row>
    <row r="31307" spans="1:2" x14ac:dyDescent="0.25">
      <c r="A31307" s="64" t="str">
        <f>HYPERLINK("http://www.twitter.com/msc45", "msc45")</f>
        <v>msc45</v>
      </c>
      <c r="B31307" s="65"/>
    </row>
    <row r="31308" spans="1:2" x14ac:dyDescent="0.25">
      <c r="A31308" s="64" t="str">
        <f>HYPERLINK("http://www.twitter.com/1BurlesquePress", "1BurlesquePress")</f>
        <v>1BurlesquePress</v>
      </c>
      <c r="B31308" s="65" t="s">
        <v>7853</v>
      </c>
    </row>
    <row r="31309" spans="1:2" x14ac:dyDescent="0.25">
      <c r="A31309" s="64" t="str">
        <f>HYPERLINK("http://www.twitter.com/Perkapop", "Perkapop")</f>
        <v>Perkapop</v>
      </c>
      <c r="B31309" s="65" t="s">
        <v>12530</v>
      </c>
    </row>
    <row r="31310" spans="1:2" x14ac:dyDescent="0.25">
      <c r="A31310" s="64" t="str">
        <f>HYPERLINK("http://www.twitter.com/blackdouglas7", "blackdouglas7")</f>
        <v>blackdouglas7</v>
      </c>
      <c r="B31310" s="65" t="s">
        <v>517</v>
      </c>
    </row>
    <row r="31311" spans="1:2" x14ac:dyDescent="0.25">
      <c r="A31311" s="64" t="str">
        <f>HYPERLINK("http://www.twitter.com/clamberer", "clamberer")</f>
        <v>clamberer</v>
      </c>
      <c r="B31311" s="65"/>
    </row>
    <row r="31312" spans="1:2" x14ac:dyDescent="0.25">
      <c r="A31312" s="64" t="str">
        <f>HYPERLINK("http://www.twitter.com/cascaolas", "cascaolas")</f>
        <v>cascaolas</v>
      </c>
      <c r="B31312" s="65"/>
    </row>
    <row r="31313" spans="1:2" x14ac:dyDescent="0.25">
      <c r="A31313" s="64" t="str">
        <f>HYPERLINK("http://www.twitter.com/GolfMachinery", "GolfMachinery")</f>
        <v>GolfMachinery</v>
      </c>
      <c r="B31313" s="65"/>
    </row>
    <row r="31314" spans="1:2" x14ac:dyDescent="0.25">
      <c r="A31314" s="64" t="str">
        <f>HYPERLINK("http://www.twitter.com/musa_standrews", "musa_standrews")</f>
        <v>musa_standrews</v>
      </c>
      <c r="B31314" s="65" t="s">
        <v>12531</v>
      </c>
    </row>
    <row r="31315" spans="1:2" x14ac:dyDescent="0.25">
      <c r="A31315" s="64" t="str">
        <f>HYPERLINK("http://www.twitter.com/prettysimple", "prettysimple")</f>
        <v>prettysimple</v>
      </c>
      <c r="B31315" s="65" t="s">
        <v>67</v>
      </c>
    </row>
    <row r="31316" spans="1:2" x14ac:dyDescent="0.25">
      <c r="A31316" s="64" t="str">
        <f>HYPERLINK("http://www.twitter.com/crispriestley", "crispriestley")</f>
        <v>crispriestley</v>
      </c>
      <c r="B31316" s="65"/>
    </row>
    <row r="31317" spans="1:2" x14ac:dyDescent="0.25">
      <c r="A31317" s="64" t="str">
        <f>HYPERLINK("http://www.twitter.com/Chippy_wench", "Chippy_wench")</f>
        <v>Chippy_wench</v>
      </c>
      <c r="B31317" s="65"/>
    </row>
    <row r="31318" spans="1:2" x14ac:dyDescent="0.25">
      <c r="A31318" s="64" t="str">
        <f>HYPERLINK("http://www.twitter.com/PhoenixFringeKW", "PhoenixFringeKW")</f>
        <v>PhoenixFringeKW</v>
      </c>
      <c r="B31318" s="65"/>
    </row>
    <row r="31319" spans="1:2" x14ac:dyDescent="0.25">
      <c r="A31319" s="64" t="str">
        <f>HYPERLINK("http://www.twitter.com/WiltsLibraries", "WiltsLibraries")</f>
        <v>WiltsLibraries</v>
      </c>
      <c r="B31319" s="65" t="s">
        <v>2041</v>
      </c>
    </row>
    <row r="31320" spans="1:2" x14ac:dyDescent="0.25">
      <c r="A31320" s="64" t="str">
        <f>HYPERLINK("http://www.twitter.com/THP_Local", "THP_Local")</f>
        <v>THP_Local</v>
      </c>
      <c r="B31320" s="65" t="s">
        <v>12532</v>
      </c>
    </row>
    <row r="31321" spans="1:2" x14ac:dyDescent="0.25">
      <c r="A31321" s="64" t="str">
        <f>HYPERLINK("http://www.twitter.com/annagriff1", "annagriff1")</f>
        <v>annagriff1</v>
      </c>
      <c r="B31321" s="65" t="s">
        <v>505</v>
      </c>
    </row>
    <row r="31322" spans="1:2" x14ac:dyDescent="0.25">
      <c r="A31322" s="64" t="str">
        <f>HYPERLINK("http://www.twitter.com/DrMattFinch", "DrMattFinch")</f>
        <v>DrMattFinch</v>
      </c>
      <c r="B31322" s="65" t="s">
        <v>5029</v>
      </c>
    </row>
    <row r="31323" spans="1:2" x14ac:dyDescent="0.25">
      <c r="A31323" s="64" t="str">
        <f>HYPERLINK("http://www.twitter.com/davidjohnmorris", "davidjohnmorris")</f>
        <v>davidjohnmorris</v>
      </c>
      <c r="B31323" s="65" t="s">
        <v>5481</v>
      </c>
    </row>
    <row r="31324" spans="1:2" x14ac:dyDescent="0.25">
      <c r="A31324" s="64" t="str">
        <f>HYPERLINK("http://www.twitter.com/Audesome", "Audesome")</f>
        <v>Audesome</v>
      </c>
      <c r="B31324" s="65" t="s">
        <v>1192</v>
      </c>
    </row>
    <row r="31325" spans="1:2" x14ac:dyDescent="0.25">
      <c r="A31325" s="64" t="str">
        <f>HYPERLINK("http://www.twitter.com/ajc2507", "ajc2507")</f>
        <v>ajc2507</v>
      </c>
      <c r="B31325" s="65" t="s">
        <v>24</v>
      </c>
    </row>
    <row r="31326" spans="1:2" x14ac:dyDescent="0.25">
      <c r="A31326" s="64" t="str">
        <f>HYPERLINK("http://www.twitter.com/megaledon30", "megaledon30")</f>
        <v>megaledon30</v>
      </c>
      <c r="B31326" s="65" t="s">
        <v>808</v>
      </c>
    </row>
    <row r="31327" spans="1:2" x14ac:dyDescent="0.25">
      <c r="A31327" s="64" t="str">
        <f>HYPERLINK("http://www.twitter.com/chalesm", "chalesm")</f>
        <v>chalesm</v>
      </c>
      <c r="B31327" s="65"/>
    </row>
    <row r="31328" spans="1:2" x14ac:dyDescent="0.25">
      <c r="A31328" s="64" t="str">
        <f>HYPERLINK("http://www.twitter.com/RuairidhWhite", "RuairidhWhite")</f>
        <v>RuairidhWhite</v>
      </c>
      <c r="B31328" s="65"/>
    </row>
    <row r="31329" spans="1:2" x14ac:dyDescent="0.25">
      <c r="A31329" s="64" t="str">
        <f>HYPERLINK("http://www.twitter.com/jozdeladoz", "jozdeladoz")</f>
        <v>jozdeladoz</v>
      </c>
      <c r="B31329" s="65" t="s">
        <v>36</v>
      </c>
    </row>
    <row r="31330" spans="1:2" x14ac:dyDescent="0.25">
      <c r="A31330" s="64" t="str">
        <f>HYPERLINK("http://www.twitter.com/lydiakerr", "lydiakerr")</f>
        <v>lydiakerr</v>
      </c>
      <c r="B31330" s="65" t="s">
        <v>9262</v>
      </c>
    </row>
    <row r="31331" spans="1:2" x14ac:dyDescent="0.25">
      <c r="A31331" s="64" t="str">
        <f>HYPERLINK("http://www.twitter.com/Hilary_Grant", "Hilary_Grant")</f>
        <v>Hilary_Grant</v>
      </c>
      <c r="B31331" s="65" t="s">
        <v>5824</v>
      </c>
    </row>
    <row r="31332" spans="1:2" x14ac:dyDescent="0.25">
      <c r="A31332" s="64" t="str">
        <f>HYPERLINK("http://www.twitter.com/Gramatron", "Gramatron")</f>
        <v>Gramatron</v>
      </c>
      <c r="B31332" s="65" t="s">
        <v>5942</v>
      </c>
    </row>
    <row r="31333" spans="1:2" x14ac:dyDescent="0.25">
      <c r="A31333" s="64" t="str">
        <f>HYPERLINK("http://www.twitter.com/digib", "digib")</f>
        <v>digib</v>
      </c>
      <c r="B31333" s="65" t="s">
        <v>517</v>
      </c>
    </row>
    <row r="31334" spans="1:2" x14ac:dyDescent="0.25">
      <c r="A31334" s="64" t="str">
        <f>HYPERLINK("http://www.twitter.com/thismanslife", "thismanslife")</f>
        <v>thismanslife</v>
      </c>
      <c r="B31334" s="65" t="s">
        <v>24</v>
      </c>
    </row>
    <row r="31335" spans="1:2" x14ac:dyDescent="0.25">
      <c r="A31335" s="64" t="str">
        <f>HYPERLINK("http://www.twitter.com/suzyjoinson", "suzyjoinson")</f>
        <v>suzyjoinson</v>
      </c>
      <c r="B31335" s="65" t="s">
        <v>12533</v>
      </c>
    </row>
    <row r="31336" spans="1:2" x14ac:dyDescent="0.25">
      <c r="A31336" s="64" t="str">
        <f>HYPERLINK("http://www.twitter.com/evelynmaryannsa", "evelynmaryannsa")</f>
        <v>evelynmaryannsa</v>
      </c>
      <c r="B31336" s="65"/>
    </row>
    <row r="31337" spans="1:2" x14ac:dyDescent="0.25">
      <c r="A31337" s="64" t="str">
        <f>HYPERLINK("http://www.twitter.com/Brackers_", "Brackers_")</f>
        <v>Brackers_</v>
      </c>
      <c r="B31337" s="65" t="s">
        <v>12534</v>
      </c>
    </row>
    <row r="31338" spans="1:2" x14ac:dyDescent="0.25">
      <c r="A31338" s="64" t="str">
        <f>HYPERLINK("http://www.twitter.com/Duncan_Gates", "Duncan_Gates")</f>
        <v>Duncan_Gates</v>
      </c>
      <c r="B31338" s="65" t="s">
        <v>12535</v>
      </c>
    </row>
    <row r="31339" spans="1:2" x14ac:dyDescent="0.25">
      <c r="A31339" s="64" t="str">
        <f>HYPERLINK("http://www.twitter.com/iabsc", "iabsc")</f>
        <v>iabsc</v>
      </c>
      <c r="B31339" s="65" t="s">
        <v>4519</v>
      </c>
    </row>
    <row r="31340" spans="1:2" x14ac:dyDescent="0.25">
      <c r="A31340" s="64" t="str">
        <f>HYPERLINK("http://www.twitter.com/StepsFan3000", "StepsFan3000")</f>
        <v>StepsFan3000</v>
      </c>
      <c r="B31340" s="65" t="s">
        <v>36</v>
      </c>
    </row>
    <row r="31341" spans="1:2" x14ac:dyDescent="0.25">
      <c r="A31341" s="64" t="str">
        <f>HYPERLINK("http://www.twitter.com/lindz_dl", "lindz_dl")</f>
        <v>lindz_dl</v>
      </c>
      <c r="B31341" s="65" t="s">
        <v>24</v>
      </c>
    </row>
    <row r="31342" spans="1:2" x14ac:dyDescent="0.25">
      <c r="A31342" s="64" t="str">
        <f>HYPERLINK("http://www.twitter.com/iest", "iest")</f>
        <v>iest</v>
      </c>
      <c r="B31342" s="65"/>
    </row>
    <row r="31343" spans="1:2" x14ac:dyDescent="0.25">
      <c r="A31343" s="64" t="str">
        <f>HYPERLINK("http://www.twitter.com/MammyDalby", "MammyDalby")</f>
        <v>MammyDalby</v>
      </c>
      <c r="B31343" s="65" t="s">
        <v>517</v>
      </c>
    </row>
    <row r="31344" spans="1:2" x14ac:dyDescent="0.25">
      <c r="A31344" s="64" t="str">
        <f>HYPERLINK("http://www.twitter.com/millenniata", "millenniata")</f>
        <v>millenniata</v>
      </c>
      <c r="B31344" s="65" t="s">
        <v>8185</v>
      </c>
    </row>
    <row r="31345" spans="1:2" x14ac:dyDescent="0.25">
      <c r="A31345" s="64" t="str">
        <f>HYPERLINK("http://www.twitter.com/KatKe", "KatKe")</f>
        <v>KatKe</v>
      </c>
      <c r="B31345" s="65"/>
    </row>
    <row r="31346" spans="1:2" x14ac:dyDescent="0.25">
      <c r="A31346" s="64" t="str">
        <f>HYPERLINK("http://www.twitter.com/sarashinton", "sarashinton")</f>
        <v>sarashinton</v>
      </c>
      <c r="B31346" s="65" t="s">
        <v>517</v>
      </c>
    </row>
    <row r="31347" spans="1:2" x14ac:dyDescent="0.25">
      <c r="A31347" s="64" t="str">
        <f>HYPERLINK("http://www.twitter.com/Trackaudio", "Trackaudio")</f>
        <v>Trackaudio</v>
      </c>
      <c r="B31347" s="65"/>
    </row>
    <row r="31348" spans="1:2" x14ac:dyDescent="0.25">
      <c r="A31348" s="64" t="str">
        <f>HYPERLINK("http://www.twitter.com/RoseLerner", "RoseLerner")</f>
        <v>RoseLerner</v>
      </c>
      <c r="B31348" s="65" t="s">
        <v>5156</v>
      </c>
    </row>
    <row r="31349" spans="1:2" x14ac:dyDescent="0.25">
      <c r="A31349" s="64" t="str">
        <f>HYPERLINK("http://www.twitter.com/robobviously", "robobviously")</f>
        <v>robobviously</v>
      </c>
      <c r="B31349" s="65" t="s">
        <v>12536</v>
      </c>
    </row>
    <row r="31350" spans="1:2" x14ac:dyDescent="0.25">
      <c r="A31350" s="64" t="str">
        <f>HYPERLINK("http://www.twitter.com/SBFOnline", "SBFOnline")</f>
        <v>SBFOnline</v>
      </c>
      <c r="B31350" s="65" t="s">
        <v>5567</v>
      </c>
    </row>
    <row r="31351" spans="1:2" x14ac:dyDescent="0.25">
      <c r="A31351" s="64" t="str">
        <f>HYPERLINK("http://www.twitter.com/virginia875", "virginia875")</f>
        <v>virginia875</v>
      </c>
      <c r="B31351" s="65" t="s">
        <v>110</v>
      </c>
    </row>
    <row r="31352" spans="1:2" x14ac:dyDescent="0.25">
      <c r="A31352" s="64" t="str">
        <f>HYPERLINK("http://www.twitter.com/amateurspinster", "amateurspinster")</f>
        <v>amateurspinster</v>
      </c>
      <c r="B31352" s="65" t="s">
        <v>296</v>
      </c>
    </row>
    <row r="31353" spans="1:2" x14ac:dyDescent="0.25">
      <c r="A31353" s="64" t="str">
        <f>HYPERLINK("http://www.twitter.com/Writeinfor", "Writeinfor")</f>
        <v>Writeinfor</v>
      </c>
      <c r="B31353" s="65" t="s">
        <v>138</v>
      </c>
    </row>
    <row r="31354" spans="1:2" x14ac:dyDescent="0.25">
      <c r="A31354" s="64" t="str">
        <f>HYPERLINK("http://www.twitter.com/bookspeedAlan", "bookspeedAlan")</f>
        <v>bookspeedAlan</v>
      </c>
      <c r="B31354" s="65"/>
    </row>
    <row r="31355" spans="1:2" x14ac:dyDescent="0.25">
      <c r="A31355" s="64" t="str">
        <f>HYPERLINK("http://www.twitter.com/ross_kirsten", "ross_kirsten")</f>
        <v>ross_kirsten</v>
      </c>
      <c r="B31355" s="65"/>
    </row>
    <row r="31356" spans="1:2" x14ac:dyDescent="0.25">
      <c r="A31356" s="64" t="str">
        <f>HYPERLINK("http://www.twitter.com/sarahnheaton", "sarahnheaton")</f>
        <v>sarahnheaton</v>
      </c>
      <c r="B31356" s="65"/>
    </row>
    <row r="31357" spans="1:2" x14ac:dyDescent="0.25">
      <c r="A31357" s="64" t="str">
        <f>HYPERLINK("http://www.twitter.com/yorkshirevoices", "yorkshirevoices")</f>
        <v>yorkshirevoices</v>
      </c>
      <c r="B31357" s="65" t="s">
        <v>4501</v>
      </c>
    </row>
    <row r="31358" spans="1:2" x14ac:dyDescent="0.25">
      <c r="A31358" s="64" t="str">
        <f>HYPERLINK("http://www.twitter.com/twelfthday", "twelfthday")</f>
        <v>twelfthday</v>
      </c>
      <c r="B31358" s="65" t="s">
        <v>11534</v>
      </c>
    </row>
    <row r="31359" spans="1:2" x14ac:dyDescent="0.25">
      <c r="A31359" s="64" t="str">
        <f>HYPERLINK("http://www.twitter.com/nonnieorkney", "nonnieorkney")</f>
        <v>nonnieorkney</v>
      </c>
      <c r="B31359" s="65" t="s">
        <v>20</v>
      </c>
    </row>
    <row r="31360" spans="1:2" x14ac:dyDescent="0.25">
      <c r="A31360" s="64" t="str">
        <f>HYPERLINK("http://www.twitter.com/Lisadawnbassoon", "Lisadawnbassoon")</f>
        <v>Lisadawnbassoon</v>
      </c>
      <c r="B31360" s="65" t="s">
        <v>9533</v>
      </c>
    </row>
    <row r="31361" spans="1:2" x14ac:dyDescent="0.25">
      <c r="A31361" s="64" t="str">
        <f>HYPERLINK("http://www.twitter.com/MissJulieC23", "MissJulieC23")</f>
        <v>MissJulieC23</v>
      </c>
      <c r="B31361" s="65" t="s">
        <v>138</v>
      </c>
    </row>
    <row r="31362" spans="1:2" x14ac:dyDescent="0.25">
      <c r="A31362" s="64" t="str">
        <f>HYPERLINK("http://www.twitter.com/Scranlife", "Scranlife")</f>
        <v>Scranlife</v>
      </c>
      <c r="B31362" s="65" t="s">
        <v>2007</v>
      </c>
    </row>
    <row r="31363" spans="1:2" x14ac:dyDescent="0.25">
      <c r="A31363" s="64" t="str">
        <f>HYPERLINK("http://www.twitter.com/themeadowblog", "themeadowblog")</f>
        <v>themeadowblog</v>
      </c>
      <c r="B31363" s="65" t="s">
        <v>296</v>
      </c>
    </row>
    <row r="31364" spans="1:2" x14ac:dyDescent="0.25">
      <c r="A31364" s="64" t="str">
        <f>HYPERLINK("http://www.twitter.com/MIELbooks", "MIELbooks")</f>
        <v>MIELbooks</v>
      </c>
      <c r="B31364" s="65" t="s">
        <v>3819</v>
      </c>
    </row>
    <row r="31365" spans="1:2" x14ac:dyDescent="0.25">
      <c r="A31365" s="64" t="str">
        <f>HYPERLINK("http://www.twitter.com/thewordofthewoo", "thewordofthewoo")</f>
        <v>thewordofthewoo</v>
      </c>
      <c r="B31365" s="65"/>
    </row>
    <row r="31366" spans="1:2" x14ac:dyDescent="0.25">
      <c r="A31366" s="64" t="str">
        <f>HYPERLINK("http://www.twitter.com/Freudenschade", "Freudenschade")</f>
        <v>Freudenschade</v>
      </c>
      <c r="B31366" s="65" t="s">
        <v>318</v>
      </c>
    </row>
    <row r="31367" spans="1:2" x14ac:dyDescent="0.25">
      <c r="A31367" s="64" t="str">
        <f>HYPERLINK("http://www.twitter.com/jamesdoeser", "jamesdoeser")</f>
        <v>jamesdoeser</v>
      </c>
      <c r="B31367" s="65" t="s">
        <v>36</v>
      </c>
    </row>
    <row r="31368" spans="1:2" x14ac:dyDescent="0.25">
      <c r="A31368" s="64" t="str">
        <f>HYPERLINK("http://www.twitter.com/crestawells", "crestawells")</f>
        <v>crestawells</v>
      </c>
      <c r="B31368" s="65" t="s">
        <v>12537</v>
      </c>
    </row>
    <row r="31369" spans="1:2" x14ac:dyDescent="0.25">
      <c r="A31369" s="64" t="str">
        <f>HYPERLINK("http://www.twitter.com/LibraryITT", "LibraryITT")</f>
        <v>LibraryITT</v>
      </c>
      <c r="B31369" s="65" t="s">
        <v>12538</v>
      </c>
    </row>
    <row r="31370" spans="1:2" x14ac:dyDescent="0.25">
      <c r="A31370" s="64" t="str">
        <f>HYPERLINK("http://www.twitter.com/iaindrobertson", "iaindrobertson")</f>
        <v>iaindrobertson</v>
      </c>
      <c r="B31370" s="65" t="s">
        <v>138</v>
      </c>
    </row>
    <row r="31371" spans="1:2" x14ac:dyDescent="0.25">
      <c r="A31371" s="64" t="str">
        <f>HYPERLINK("http://www.twitter.com/Philiphotog", "Philiphotog")</f>
        <v>Philiphotog</v>
      </c>
      <c r="B31371" s="65"/>
    </row>
    <row r="31372" spans="1:2" x14ac:dyDescent="0.25">
      <c r="A31372" s="64" t="str">
        <f>HYPERLINK("http://www.twitter.com/extarlogie", "extarlogie")</f>
        <v>extarlogie</v>
      </c>
      <c r="B31372" s="65"/>
    </row>
    <row r="31373" spans="1:2" x14ac:dyDescent="0.25">
      <c r="A31373" s="64" t="str">
        <f>HYPERLINK("http://www.twitter.com/rwhtly", "rwhtly")</f>
        <v>rwhtly</v>
      </c>
      <c r="B31373" s="65" t="s">
        <v>3609</v>
      </c>
    </row>
    <row r="31374" spans="1:2" x14ac:dyDescent="0.25">
      <c r="A31374" s="64" t="str">
        <f>HYPERLINK("http://www.twitter.com/Hel_Burns", "Hel_Burns")</f>
        <v>Hel_Burns</v>
      </c>
      <c r="B31374" s="65" t="s">
        <v>2007</v>
      </c>
    </row>
    <row r="31375" spans="1:2" x14ac:dyDescent="0.25">
      <c r="A31375" s="64" t="str">
        <f>HYPERLINK("http://www.twitter.com/lucygillies", "lucygillies")</f>
        <v>lucygillies</v>
      </c>
      <c r="B31375" s="65" t="s">
        <v>12539</v>
      </c>
    </row>
    <row r="31376" spans="1:2" x14ac:dyDescent="0.25">
      <c r="A31376" s="64" t="str">
        <f>HYPERLINK("http://www.twitter.com/Pics2lookat", "Pics2lookat")</f>
        <v>Pics2lookat</v>
      </c>
      <c r="B31376" s="65" t="s">
        <v>11882</v>
      </c>
    </row>
    <row r="31377" spans="1:2" x14ac:dyDescent="0.25">
      <c r="A31377" s="64" t="str">
        <f>HYPERLINK("http://www.twitter.com/duplopig", "duplopig")</f>
        <v>duplopig</v>
      </c>
      <c r="B31377" s="65" t="s">
        <v>12540</v>
      </c>
    </row>
    <row r="31378" spans="1:2" x14ac:dyDescent="0.25">
      <c r="A31378" s="64" t="str">
        <f>HYPERLINK("http://www.twitter.com/Mtreveli", "Mtreveli")</f>
        <v>Mtreveli</v>
      </c>
      <c r="B31378" s="65"/>
    </row>
    <row r="31379" spans="1:2" x14ac:dyDescent="0.25">
      <c r="A31379" s="64" t="str">
        <f>HYPERLINK("http://www.twitter.com/GilliesKaren", "GilliesKaren")</f>
        <v>GilliesKaren</v>
      </c>
      <c r="B31379" s="65"/>
    </row>
    <row r="31380" spans="1:2" x14ac:dyDescent="0.25">
      <c r="A31380" s="64" t="str">
        <f>HYPERLINK("http://www.twitter.com/HNoble80", "HNoble80")</f>
        <v>HNoble80</v>
      </c>
      <c r="B31380" s="65" t="s">
        <v>1218</v>
      </c>
    </row>
    <row r="31381" spans="1:2" x14ac:dyDescent="0.25">
      <c r="A31381" s="64" t="str">
        <f>HYPERLINK("http://www.twitter.com/OrkFemNet", "OrkFemNet")</f>
        <v>OrkFemNet</v>
      </c>
      <c r="B31381" s="65" t="s">
        <v>4519</v>
      </c>
    </row>
    <row r="31382" spans="1:2" x14ac:dyDescent="0.25">
      <c r="A31382" s="64" t="str">
        <f>HYPERLINK("http://www.twitter.com/shadows_2012", "shadows_2012")</f>
        <v>shadows_2012</v>
      </c>
      <c r="B31382" s="65"/>
    </row>
    <row r="31383" spans="1:2" x14ac:dyDescent="0.25">
      <c r="A31383" s="64" t="str">
        <f>HYPERLINK("http://www.twitter.com/crldaniele", "crldaniele")</f>
        <v>crldaniele</v>
      </c>
      <c r="B31383" s="65" t="s">
        <v>24</v>
      </c>
    </row>
    <row r="31384" spans="1:2" x14ac:dyDescent="0.25">
      <c r="A31384" s="64" t="str">
        <f>HYPERLINK("http://www.twitter.com/MrsCinnabar", "MrsCinnabar")</f>
        <v>MrsCinnabar</v>
      </c>
      <c r="B31384" s="65" t="s">
        <v>12541</v>
      </c>
    </row>
    <row r="31385" spans="1:2" x14ac:dyDescent="0.25">
      <c r="A31385" s="64" t="str">
        <f>HYPERLINK("http://www.twitter.com/iambeckymanson", "iambeckymanson")</f>
        <v>iambeckymanson</v>
      </c>
      <c r="B31385" s="65" t="s">
        <v>5777</v>
      </c>
    </row>
    <row r="31386" spans="1:2" x14ac:dyDescent="0.25">
      <c r="A31386" s="64" t="str">
        <f>HYPERLINK("http://www.twitter.com/katebentham", "katebentham")</f>
        <v>katebentham</v>
      </c>
      <c r="B31386" s="65" t="s">
        <v>2185</v>
      </c>
    </row>
    <row r="31387" spans="1:2" x14ac:dyDescent="0.25">
      <c r="A31387" s="64" t="str">
        <f>HYPERLINK("http://www.twitter.com/bibdata", "bibdata")</f>
        <v>bibdata</v>
      </c>
      <c r="B31387" s="65" t="s">
        <v>3948</v>
      </c>
    </row>
    <row r="31388" spans="1:2" x14ac:dyDescent="0.25">
      <c r="A31388" s="64" t="str">
        <f>HYPERLINK("http://www.twitter.com/scott_col", "scott_col")</f>
        <v>scott_col</v>
      </c>
      <c r="B31388" s="65" t="s">
        <v>24</v>
      </c>
    </row>
    <row r="31389" spans="1:2" x14ac:dyDescent="0.25">
      <c r="A31389" s="64" t="str">
        <f>HYPERLINK("http://www.twitter.com/cahalboyd", "cahalboyd")</f>
        <v>cahalboyd</v>
      </c>
      <c r="B31389" s="65" t="s">
        <v>12542</v>
      </c>
    </row>
    <row r="31390" spans="1:2" x14ac:dyDescent="0.25">
      <c r="A31390" s="64" t="str">
        <f>HYPERLINK("http://www.twitter.com/sineadohiggins", "sineadohiggins")</f>
        <v>sineadohiggins</v>
      </c>
      <c r="B31390" s="65" t="s">
        <v>8845</v>
      </c>
    </row>
    <row r="31391" spans="1:2" x14ac:dyDescent="0.25">
      <c r="A31391" s="64" t="str">
        <f>HYPERLINK("http://www.twitter.com/FourDwellings", "FourDwellings")</f>
        <v>FourDwellings</v>
      </c>
      <c r="B31391" s="65" t="s">
        <v>12543</v>
      </c>
    </row>
    <row r="31392" spans="1:2" x14ac:dyDescent="0.25">
      <c r="A31392" s="64" t="str">
        <f>HYPERLINK("http://www.twitter.com/RPS_Library", "RPS_Library")</f>
        <v>RPS_Library</v>
      </c>
      <c r="B31392" s="65" t="s">
        <v>2580</v>
      </c>
    </row>
    <row r="31393" spans="1:2" x14ac:dyDescent="0.25">
      <c r="A31393" s="64" t="str">
        <f>HYPERLINK("http://www.twitter.com/msnicolamarie", "msnicolamarie")</f>
        <v>msnicolamarie</v>
      </c>
      <c r="B31393" s="65" t="s">
        <v>3988</v>
      </c>
    </row>
    <row r="31394" spans="1:2" x14ac:dyDescent="0.25">
      <c r="A31394" s="64" t="str">
        <f>HYPERLINK("http://www.twitter.com/lindish", "lindish")</f>
        <v>lindish</v>
      </c>
      <c r="B31394" s="65" t="s">
        <v>12</v>
      </c>
    </row>
    <row r="31395" spans="1:2" x14ac:dyDescent="0.25">
      <c r="A31395" s="64" t="str">
        <f>HYPERLINK("http://www.twitter.com/HyannisPubLib", "HyannisPubLib")</f>
        <v>HyannisPubLib</v>
      </c>
      <c r="B31395" s="65" t="s">
        <v>4655</v>
      </c>
    </row>
    <row r="31396" spans="1:2" x14ac:dyDescent="0.25">
      <c r="A31396" s="64" t="str">
        <f>HYPERLINK("http://www.twitter.com/ShetlandLibrary", "ShetlandLibrary")</f>
        <v>ShetlandLibrary</v>
      </c>
      <c r="B31396" s="65" t="s">
        <v>115</v>
      </c>
    </row>
    <row r="31397" spans="1:2" x14ac:dyDescent="0.25">
      <c r="A31397" s="64" t="str">
        <f>HYPERLINK("http://www.twitter.com/lynjayed", "lynjayed")</f>
        <v>lynjayed</v>
      </c>
      <c r="B31397" s="65"/>
    </row>
    <row r="31398" spans="1:2" x14ac:dyDescent="0.25">
      <c r="A31398" s="64" t="str">
        <f>HYPERLINK("http://www.twitter.com/kellymhall3", "kellymhall3")</f>
        <v>kellymhall3</v>
      </c>
      <c r="B31398" s="65" t="s">
        <v>10045</v>
      </c>
    </row>
    <row r="31399" spans="1:2" x14ac:dyDescent="0.25">
      <c r="A31399" s="64" t="str">
        <f>HYPERLINK("http://www.twitter.com/onebillioncrime", "onebillioncrime")</f>
        <v>onebillioncrime</v>
      </c>
      <c r="B31399" s="65" t="s">
        <v>12544</v>
      </c>
    </row>
    <row r="31400" spans="1:2" x14ac:dyDescent="0.25">
      <c r="A31400" s="64" t="str">
        <f>HYPERLINK("http://www.twitter.com/glenisilla", "glenisilla")</f>
        <v>glenisilla</v>
      </c>
      <c r="B31400" s="65" t="s">
        <v>24</v>
      </c>
    </row>
    <row r="31401" spans="1:2" x14ac:dyDescent="0.25">
      <c r="A31401" s="64" t="str">
        <f>HYPERLINK("http://www.twitter.com/smartlibraries", "smartlibraries")</f>
        <v>smartlibraries</v>
      </c>
      <c r="B31401" s="65" t="s">
        <v>4177</v>
      </c>
    </row>
    <row r="31402" spans="1:2" x14ac:dyDescent="0.25">
      <c r="A31402" s="64" t="str">
        <f>HYPERLINK("http://www.twitter.com/eastcoaststory", "eastcoaststory")</f>
        <v>eastcoaststory</v>
      </c>
      <c r="B31402" s="65"/>
    </row>
    <row r="31403" spans="1:2" x14ac:dyDescent="0.25">
      <c r="A31403" s="64" t="str">
        <f>HYPERLINK("http://www.twitter.com/shungite", "shungite")</f>
        <v>shungite</v>
      </c>
      <c r="B31403" s="65" t="s">
        <v>7864</v>
      </c>
    </row>
    <row r="31404" spans="1:2" x14ac:dyDescent="0.25">
      <c r="A31404" s="64" t="str">
        <f>HYPERLINK("http://www.twitter.com/annascafe", "annascafe")</f>
        <v>annascafe</v>
      </c>
      <c r="B31404" s="65" t="s">
        <v>477</v>
      </c>
    </row>
    <row r="31405" spans="1:2" x14ac:dyDescent="0.25">
      <c r="A31405" s="64" t="str">
        <f>HYPERLINK("http://www.twitter.com/Torcuil", "Torcuil")</f>
        <v>Torcuil</v>
      </c>
      <c r="B31405" s="65" t="s">
        <v>12545</v>
      </c>
    </row>
    <row r="31406" spans="1:2" x14ac:dyDescent="0.25">
      <c r="A31406" s="64" t="str">
        <f>HYPERLINK("http://www.twitter.com/scotruralnet", "scotruralnet")</f>
        <v>scotruralnet</v>
      </c>
      <c r="B31406" s="65" t="s">
        <v>2007</v>
      </c>
    </row>
    <row r="31407" spans="1:2" x14ac:dyDescent="0.25">
      <c r="A31407" s="64" t="str">
        <f>HYPERLINK("http://www.twitter.com/RooLaPoo", "RooLaPoo")</f>
        <v>RooLaPoo</v>
      </c>
      <c r="B31407" s="65"/>
    </row>
    <row r="31408" spans="1:2" x14ac:dyDescent="0.25">
      <c r="A31408" s="64" t="str">
        <f>HYPERLINK("http://www.twitter.com/jonolney", "jonolney")</f>
        <v>jonolney</v>
      </c>
      <c r="B31408" s="65"/>
    </row>
    <row r="31409" spans="1:2" x14ac:dyDescent="0.25">
      <c r="A31409" s="64" t="str">
        <f>HYPERLINK("http://www.twitter.com/athreads", "athreads")</f>
        <v>athreads</v>
      </c>
      <c r="B31409" s="65"/>
    </row>
    <row r="31410" spans="1:2" x14ac:dyDescent="0.25">
      <c r="A31410" s="64" t="str">
        <f>HYPERLINK("http://www.twitter.com/KayleighArchi", "KayleighArchi")</f>
        <v>KayleighArchi</v>
      </c>
      <c r="B31410" s="65" t="s">
        <v>4327</v>
      </c>
    </row>
    <row r="31411" spans="1:2" x14ac:dyDescent="0.25">
      <c r="A31411" s="64" t="str">
        <f>HYPERLINK("http://www.twitter.com/annamaxted", "annamaxted")</f>
        <v>annamaxted</v>
      </c>
      <c r="B31411" s="65" t="s">
        <v>36</v>
      </c>
    </row>
    <row r="31412" spans="1:2" x14ac:dyDescent="0.25">
      <c r="A31412" s="64" t="str">
        <f>HYPERLINK("http://www.twitter.com/melonetta", "melonetta")</f>
        <v>melonetta</v>
      </c>
      <c r="B31412" s="65"/>
    </row>
    <row r="31413" spans="1:2" x14ac:dyDescent="0.25">
      <c r="A31413" s="64" t="str">
        <f>HYPERLINK("http://www.twitter.com/Jobs_welding", "Jobs_welding")</f>
        <v>Jobs_welding</v>
      </c>
      <c r="B31413" s="65" t="s">
        <v>3988</v>
      </c>
    </row>
    <row r="31414" spans="1:2" x14ac:dyDescent="0.25">
      <c r="A31414" s="64" t="str">
        <f>HYPERLINK("http://www.twitter.com/niallrowe", "niallrowe")</f>
        <v>niallrowe</v>
      </c>
      <c r="B31414" s="65" t="s">
        <v>12546</v>
      </c>
    </row>
    <row r="31415" spans="1:2" x14ac:dyDescent="0.25">
      <c r="A31415" s="64" t="str">
        <f>HYPERLINK("http://www.twitter.com/euansmith5", "euansmith5")</f>
        <v>euansmith5</v>
      </c>
      <c r="B31415" s="65"/>
    </row>
    <row r="31416" spans="1:2" x14ac:dyDescent="0.25">
      <c r="A31416" s="64" t="str">
        <f>HYPERLINK("http://www.twitter.com/TheTobermoryCat", "TheTobermoryCat")</f>
        <v>TheTobermoryCat</v>
      </c>
      <c r="B31416" s="65" t="s">
        <v>517</v>
      </c>
    </row>
    <row r="31417" spans="1:2" x14ac:dyDescent="0.25">
      <c r="A31417" s="64" t="str">
        <f>HYPERLINK("http://www.twitter.com/tweetsofowen", "tweetsofowen")</f>
        <v>tweetsofowen</v>
      </c>
      <c r="B31417" s="65"/>
    </row>
    <row r="31418" spans="1:2" x14ac:dyDescent="0.25">
      <c r="A31418" s="64" t="str">
        <f>HYPERLINK("http://www.twitter.com/sliauzyte", "sliauzyte")</f>
        <v>sliauzyte</v>
      </c>
      <c r="B31418" s="65"/>
    </row>
    <row r="31419" spans="1:2" x14ac:dyDescent="0.25">
      <c r="A31419" s="64" t="str">
        <f>HYPERLINK("http://www.twitter.com/GCFLearnFree", "GCFLearnFree")</f>
        <v>GCFLearnFree</v>
      </c>
      <c r="B31419" s="65" t="s">
        <v>4992</v>
      </c>
    </row>
    <row r="31420" spans="1:2" x14ac:dyDescent="0.25">
      <c r="A31420" s="64" t="str">
        <f>HYPERLINK("http://www.twitter.com/I_M_Aushra", "I_M_Aushra")</f>
        <v>I_M_Aushra</v>
      </c>
      <c r="B31420" s="65"/>
    </row>
    <row r="31421" spans="1:2" x14ac:dyDescent="0.25">
      <c r="A31421" s="64" t="str">
        <f>HYPERLINK("http://www.twitter.com/upsizelife", "upsizelife")</f>
        <v>upsizelife</v>
      </c>
      <c r="B31421" s="65" t="s">
        <v>11943</v>
      </c>
    </row>
    <row r="31422" spans="1:2" x14ac:dyDescent="0.25">
      <c r="A31422" s="64" t="str">
        <f>HYPERLINK("http://www.twitter.com/TwoSidesNA", "TwoSidesNA")</f>
        <v>TwoSidesNA</v>
      </c>
      <c r="B31422" s="65"/>
    </row>
    <row r="31423" spans="1:2" x14ac:dyDescent="0.25">
      <c r="A31423" s="64" t="str">
        <f>HYPERLINK("http://www.twitter.com/librarymade", "librarymade")</f>
        <v>librarymade</v>
      </c>
      <c r="B31423" s="65" t="s">
        <v>364</v>
      </c>
    </row>
    <row r="31424" spans="1:2" x14ac:dyDescent="0.25">
      <c r="A31424" s="64" t="str">
        <f>HYPERLINK("http://www.twitter.com/OnchanLibrary", "OnchanLibrary")</f>
        <v>OnchanLibrary</v>
      </c>
      <c r="B31424" s="65" t="s">
        <v>12547</v>
      </c>
    </row>
    <row r="31425" spans="1:2" x14ac:dyDescent="0.25">
      <c r="A31425" s="64" t="str">
        <f>HYPERLINK("http://www.twitter.com/goldie555", "goldie555")</f>
        <v>goldie555</v>
      </c>
      <c r="B31425" s="65" t="s">
        <v>4292</v>
      </c>
    </row>
    <row r="31426" spans="1:2" x14ac:dyDescent="0.25">
      <c r="A31426" s="64" t="str">
        <f>HYPERLINK("http://www.twitter.com/SarahOrchardOMA", "SarahOrchardOMA")</f>
        <v>SarahOrchardOMA</v>
      </c>
      <c r="B31426" s="65" t="s">
        <v>805</v>
      </c>
    </row>
    <row r="31427" spans="1:2" x14ac:dyDescent="0.25">
      <c r="A31427" s="64" t="str">
        <f>HYPERLINK("http://www.twitter.com/deafmetal", "deafmetal")</f>
        <v>deafmetal</v>
      </c>
      <c r="B31427" s="65" t="s">
        <v>12548</v>
      </c>
    </row>
    <row r="31428" spans="1:2" x14ac:dyDescent="0.25">
      <c r="A31428" s="64" t="str">
        <f>HYPERLINK("http://www.twitter.com/srobalino", "srobalino")</f>
        <v>srobalino</v>
      </c>
      <c r="B31428" s="65" t="s">
        <v>12549</v>
      </c>
    </row>
    <row r="31429" spans="1:2" x14ac:dyDescent="0.25">
      <c r="A31429" s="64" t="str">
        <f>HYPERLINK("http://www.twitter.com/chrisjnewton", "chrisjnewton")</f>
        <v>chrisjnewton</v>
      </c>
      <c r="B31429" s="65" t="s">
        <v>24</v>
      </c>
    </row>
    <row r="31430" spans="1:2" x14ac:dyDescent="0.25">
      <c r="A31430" s="64" t="str">
        <f>HYPERLINK("http://www.twitter.com/mwtroughton", "mwtroughton")</f>
        <v>mwtroughton</v>
      </c>
      <c r="B31430" s="65"/>
    </row>
    <row r="31431" spans="1:2" x14ac:dyDescent="0.25">
      <c r="A31431" s="64" t="str">
        <f>HYPERLINK("http://www.twitter.com/StolenChildFilm", "StolenChildFilm")</f>
        <v>StolenChildFilm</v>
      </c>
      <c r="B31431" s="65" t="s">
        <v>12550</v>
      </c>
    </row>
    <row r="31432" spans="1:2" x14ac:dyDescent="0.25">
      <c r="A31432" s="64" t="str">
        <f>HYPERLINK("http://www.twitter.com/IvyOhlensehlen", "IvyOhlensehlen")</f>
        <v>IvyOhlensehlen</v>
      </c>
      <c r="B31432" s="65"/>
    </row>
    <row r="31433" spans="1:2" x14ac:dyDescent="0.25">
      <c r="A31433" s="64" t="str">
        <f>HYPERLINK("http://www.twitter.com/MarkDrever", "MarkDrever")</f>
        <v>MarkDrever</v>
      </c>
      <c r="B31433" s="65" t="s">
        <v>5876</v>
      </c>
    </row>
    <row r="31434" spans="1:2" x14ac:dyDescent="0.25">
      <c r="A31434" s="64" t="str">
        <f>HYPERLINK("http://www.twitter.com/AndyKnight79", "AndyKnight79")</f>
        <v>AndyKnight79</v>
      </c>
      <c r="B31434" s="65" t="s">
        <v>36</v>
      </c>
    </row>
    <row r="31435" spans="1:2" x14ac:dyDescent="0.25">
      <c r="A31435" s="64" t="str">
        <f>HYPERLINK("http://www.twitter.com/A1M33B3V4N", "A1M33B3V4N")</f>
        <v>A1M33B3V4N</v>
      </c>
      <c r="B31435" s="65" t="s">
        <v>4403</v>
      </c>
    </row>
    <row r="31436" spans="1:2" x14ac:dyDescent="0.25">
      <c r="A31436" s="64" t="str">
        <f>HYPERLINK("http://www.twitter.com/NatGalleriesSco", "NatGalleriesSco")</f>
        <v>NatGalleriesSco</v>
      </c>
      <c r="B31436" s="65" t="s">
        <v>487</v>
      </c>
    </row>
    <row r="31437" spans="1:2" x14ac:dyDescent="0.25">
      <c r="A31437" s="64" t="str">
        <f>HYPERLINK("http://www.twitter.com/seanstirling", "seanstirling")</f>
        <v>seanstirling</v>
      </c>
      <c r="B31437" s="65" t="s">
        <v>6490</v>
      </c>
    </row>
    <row r="31438" spans="1:2" x14ac:dyDescent="0.25">
      <c r="A31438" s="64" t="str">
        <f>HYPERLINK("http://www.twitter.com/worbit1", "worbit1")</f>
        <v>worbit1</v>
      </c>
      <c r="B31438" s="65" t="s">
        <v>517</v>
      </c>
    </row>
    <row r="31439" spans="1:2" x14ac:dyDescent="0.25">
      <c r="A31439" s="64" t="str">
        <f>HYPERLINK("http://www.twitter.com/rebobaydobay", "rebobaydobay")</f>
        <v>rebobaydobay</v>
      </c>
      <c r="B31439" s="65" t="s">
        <v>138</v>
      </c>
    </row>
    <row r="31440" spans="1:2" x14ac:dyDescent="0.25">
      <c r="A31440" s="64" t="str">
        <f>HYPERLINK("http://www.twitter.com/GraemeBrown42", "GraemeBrown42")</f>
        <v>GraemeBrown42</v>
      </c>
      <c r="B31440" s="65" t="s">
        <v>24</v>
      </c>
    </row>
    <row r="31441" spans="1:2" x14ac:dyDescent="0.25">
      <c r="A31441" s="64" t="str">
        <f>HYPERLINK("http://www.twitter.com/Cynderness", "Cynderness")</f>
        <v>Cynderness</v>
      </c>
      <c r="B31441" s="65" t="s">
        <v>12551</v>
      </c>
    </row>
    <row r="31442" spans="1:2" x14ac:dyDescent="0.25">
      <c r="A31442" s="64" t="str">
        <f>HYPERLINK("http://www.twitter.com/EdArtFest", "EdArtFest")</f>
        <v>EdArtFest</v>
      </c>
      <c r="B31442" s="65" t="s">
        <v>4313</v>
      </c>
    </row>
    <row r="31443" spans="1:2" x14ac:dyDescent="0.25">
      <c r="A31443" s="64" t="str">
        <f>HYPERLINK("http://www.twitter.com/leanna_mac", "leanna_mac")</f>
        <v>leanna_mac</v>
      </c>
      <c r="B31443" s="65" t="s">
        <v>487</v>
      </c>
    </row>
    <row r="31444" spans="1:2" x14ac:dyDescent="0.25">
      <c r="A31444" s="64" t="str">
        <f>HYPERLINK("http://www.twitter.com/yanusha100", "yanusha100")</f>
        <v>yanusha100</v>
      </c>
      <c r="B31444" s="65" t="s">
        <v>24</v>
      </c>
    </row>
    <row r="31445" spans="1:2" x14ac:dyDescent="0.25">
      <c r="A31445" s="64" t="str">
        <f>HYPERLINK("http://www.twitter.com/Daveofanewcity", "Daveofanewcity")</f>
        <v>Daveofanewcity</v>
      </c>
      <c r="B31445" s="65" t="s">
        <v>3781</v>
      </c>
    </row>
    <row r="31446" spans="1:2" x14ac:dyDescent="0.25">
      <c r="A31446" s="64" t="str">
        <f>HYPERLINK("http://www.twitter.com/vcampbellauthor", "vcampbellauthor")</f>
        <v>vcampbellauthor</v>
      </c>
      <c r="B31446" s="65" t="s">
        <v>138</v>
      </c>
    </row>
    <row r="31447" spans="1:2" x14ac:dyDescent="0.25">
      <c r="A31447" s="64" t="str">
        <f>HYPERLINK("http://www.twitter.com/AstralTweets", "AstralTweets")</f>
        <v>AstralTweets</v>
      </c>
      <c r="B31447" s="65" t="s">
        <v>12552</v>
      </c>
    </row>
    <row r="31448" spans="1:2" x14ac:dyDescent="0.25">
      <c r="A31448" s="64" t="str">
        <f>HYPERLINK("http://www.twitter.com/ErinsboroughL", "ErinsboroughL")</f>
        <v>ErinsboroughL</v>
      </c>
      <c r="B31448" s="65"/>
    </row>
    <row r="31449" spans="1:2" x14ac:dyDescent="0.25">
      <c r="A31449" s="64" t="str">
        <f>HYPERLINK("http://www.twitter.com/Christian46Swto", "Christian46Swto")</f>
        <v>Christian46Swto</v>
      </c>
      <c r="B31449" s="65" t="s">
        <v>9284</v>
      </c>
    </row>
    <row r="31450" spans="1:2" x14ac:dyDescent="0.25">
      <c r="A31450" s="64" t="str">
        <f>HYPERLINK("http://www.twitter.com/wbrockyg", "wbrockyg")</f>
        <v>wbrockyg</v>
      </c>
      <c r="B31450" s="65" t="s">
        <v>477</v>
      </c>
    </row>
    <row r="31451" spans="1:2" x14ac:dyDescent="0.25">
      <c r="A31451" s="64" t="str">
        <f>HYPERLINK("http://www.twitter.com/urscaly", "urscaly")</f>
        <v>urscaly</v>
      </c>
      <c r="B31451" s="65" t="s">
        <v>5598</v>
      </c>
    </row>
    <row r="31452" spans="1:2" x14ac:dyDescent="0.25">
      <c r="A31452" s="64" t="str">
        <f>HYPERLINK("http://www.twitter.com/TheQuotesBus", "TheQuotesBus")</f>
        <v>TheQuotesBus</v>
      </c>
      <c r="B31452" s="65" t="s">
        <v>70</v>
      </c>
    </row>
    <row r="31453" spans="1:2" x14ac:dyDescent="0.25">
      <c r="A31453" s="64" t="str">
        <f>HYPERLINK("http://www.twitter.com/daviddonovan72", "daviddonovan72")</f>
        <v>daviddonovan72</v>
      </c>
      <c r="B31453" s="65"/>
    </row>
    <row r="31454" spans="1:2" x14ac:dyDescent="0.25">
      <c r="A31454" s="64" t="str">
        <f>HYPERLINK("http://www.twitter.com/LittleToRelate", "LittleToRelate")</f>
        <v>LittleToRelate</v>
      </c>
      <c r="B31454" s="65" t="s">
        <v>12553</v>
      </c>
    </row>
    <row r="31455" spans="1:2" x14ac:dyDescent="0.25">
      <c r="A31455" s="64" t="str">
        <f>HYPERLINK("http://www.twitter.com/UnitedPressUK", "UnitedPressUK")</f>
        <v>UnitedPressUK</v>
      </c>
      <c r="B31455" s="65"/>
    </row>
    <row r="31456" spans="1:2" x14ac:dyDescent="0.25">
      <c r="A31456" s="64" t="str">
        <f>HYPERLINK("http://www.twitter.com/AlexaHaynes2012", "AlexaHaynes2012")</f>
        <v>AlexaHaynes2012</v>
      </c>
      <c r="B31456" s="65" t="s">
        <v>24</v>
      </c>
    </row>
    <row r="31457" spans="1:2" x14ac:dyDescent="0.25">
      <c r="A31457" s="64" t="str">
        <f>HYPERLINK("http://www.twitter.com/MeathLibrary", "MeathLibrary")</f>
        <v>MeathLibrary</v>
      </c>
      <c r="B31457" s="65" t="s">
        <v>12554</v>
      </c>
    </row>
    <row r="31458" spans="1:2" x14ac:dyDescent="0.25">
      <c r="A31458" s="64" t="str">
        <f>HYPERLINK("http://www.twitter.com/susiemahon", "susiemahon")</f>
        <v>susiemahon</v>
      </c>
      <c r="B31458" s="65"/>
    </row>
    <row r="31459" spans="1:2" x14ac:dyDescent="0.25">
      <c r="A31459" s="64" t="str">
        <f>HYPERLINK("http://www.twitter.com/ayomi1978", "ayomi1978")</f>
        <v>ayomi1978</v>
      </c>
      <c r="B31459" s="65"/>
    </row>
    <row r="31460" spans="1:2" x14ac:dyDescent="0.25">
      <c r="A31460" s="64" t="str">
        <f>HYPERLINK("http://www.twitter.com/tiredold", "tiredold")</f>
        <v>tiredold</v>
      </c>
      <c r="B31460" s="65" t="s">
        <v>12555</v>
      </c>
    </row>
    <row r="31461" spans="1:2" x14ac:dyDescent="0.25">
      <c r="A31461" s="64" t="str">
        <f>HYPERLINK("http://www.twitter.com/jamesbwxm", "jamesbwxm")</f>
        <v>jamesbwxm</v>
      </c>
      <c r="B31461" s="65" t="s">
        <v>12556</v>
      </c>
    </row>
    <row r="31462" spans="1:2" x14ac:dyDescent="0.25">
      <c r="A31462" s="64" t="str">
        <f>HYPERLINK("http://www.twitter.com/Original_cynic", "Original_cynic")</f>
        <v>Original_cynic</v>
      </c>
      <c r="B31462" s="65" t="s">
        <v>12557</v>
      </c>
    </row>
    <row r="31463" spans="1:2" x14ac:dyDescent="0.25">
      <c r="A31463" s="64" t="str">
        <f>HYPERLINK("http://www.twitter.com/AvocadoSweet", "AvocadoSweet")</f>
        <v>AvocadoSweet</v>
      </c>
      <c r="B31463" s="65" t="s">
        <v>4044</v>
      </c>
    </row>
    <row r="31464" spans="1:2" x14ac:dyDescent="0.25">
      <c r="A31464" s="64" t="str">
        <f>HYPERLINK("http://www.twitter.com/ElizabethHGreen", "ElizabethHGreen")</f>
        <v>ElizabethHGreen</v>
      </c>
      <c r="B31464" s="65" t="s">
        <v>6501</v>
      </c>
    </row>
    <row r="31465" spans="1:2" x14ac:dyDescent="0.25">
      <c r="A31465" s="64" t="str">
        <f>HYPERLINK("http://www.twitter.com/andrewclubb", "andrewclubb")</f>
        <v>andrewclubb</v>
      </c>
      <c r="B31465" s="65" t="s">
        <v>8137</v>
      </c>
    </row>
    <row r="31466" spans="1:2" x14ac:dyDescent="0.25">
      <c r="A31466" s="64" t="str">
        <f>HYPERLINK("http://www.twitter.com/RASaggers", "RASaggers")</f>
        <v>RASaggers</v>
      </c>
      <c r="B31466" s="65"/>
    </row>
    <row r="31467" spans="1:2" x14ac:dyDescent="0.25">
      <c r="A31467" s="64" t="str">
        <f>HYPERLINK("http://www.twitter.com/cite_seer", "cite_seer")</f>
        <v>cite_seer</v>
      </c>
      <c r="B31467" s="65" t="s">
        <v>526</v>
      </c>
    </row>
    <row r="31468" spans="1:2" x14ac:dyDescent="0.25">
      <c r="A31468" s="64" t="str">
        <f>HYPERLINK("http://www.twitter.com/libraryjedi1", "libraryjedi1")</f>
        <v>libraryjedi1</v>
      </c>
      <c r="B31468" s="65"/>
    </row>
    <row r="31469" spans="1:2" x14ac:dyDescent="0.25">
      <c r="A31469" s="64" t="str">
        <f>HYPERLINK("http://www.twitter.com/JDavidSimons", "JDavidSimons")</f>
        <v>JDavidSimons</v>
      </c>
      <c r="B31469" s="65" t="s">
        <v>318</v>
      </c>
    </row>
    <row r="31470" spans="1:2" x14ac:dyDescent="0.25">
      <c r="A31470" s="64" t="str">
        <f>HYPERLINK("http://www.twitter.com/FCTrust", "FCTrust")</f>
        <v>FCTrust</v>
      </c>
      <c r="B31470" s="65" t="s">
        <v>355</v>
      </c>
    </row>
    <row r="31471" spans="1:2" x14ac:dyDescent="0.25">
      <c r="A31471" s="64" t="str">
        <f>HYPERLINK("http://www.twitter.com/freeclassics", "freeclassics")</f>
        <v>freeclassics</v>
      </c>
      <c r="B31471" s="65" t="s">
        <v>4177</v>
      </c>
    </row>
    <row r="31472" spans="1:2" x14ac:dyDescent="0.25">
      <c r="A31472" s="64" t="str">
        <f>HYPERLINK("http://www.twitter.com/shonamain", "shonamain")</f>
        <v>shonamain</v>
      </c>
      <c r="B31472" s="65" t="s">
        <v>12558</v>
      </c>
    </row>
    <row r="31473" spans="1:2" x14ac:dyDescent="0.25">
      <c r="A31473" s="64" t="str">
        <f>HYPERLINK("http://www.twitter.com/milodamsbeans", "milodamsbeans")</f>
        <v>milodamsbeans</v>
      </c>
      <c r="B31473" s="65"/>
    </row>
    <row r="31474" spans="1:2" x14ac:dyDescent="0.25">
      <c r="A31474" s="64" t="str">
        <f>HYPERLINK("http://www.twitter.com/KarenFQ1", "KarenFQ1")</f>
        <v>KarenFQ1</v>
      </c>
      <c r="B31474" s="65" t="s">
        <v>12559</v>
      </c>
    </row>
    <row r="31475" spans="1:2" x14ac:dyDescent="0.25">
      <c r="A31475" s="64" t="str">
        <f>HYPERLINK("http://www.twitter.com/tenorlead", "tenorlead")</f>
        <v>tenorlead</v>
      </c>
      <c r="B31475" s="65"/>
    </row>
    <row r="31476" spans="1:2" x14ac:dyDescent="0.25">
      <c r="A31476" s="64" t="str">
        <f>HYPERLINK("http://www.twitter.com/AlInshearah", "AlInshearah")</f>
        <v>AlInshearah</v>
      </c>
      <c r="B31476" s="65"/>
    </row>
    <row r="31477" spans="1:2" x14ac:dyDescent="0.25">
      <c r="A31477" s="64" t="str">
        <f>HYPERLINK("http://www.twitter.com/LynneEvansNPTC", "LynneEvansNPTC")</f>
        <v>LynneEvansNPTC</v>
      </c>
      <c r="B31477" s="65" t="s">
        <v>11312</v>
      </c>
    </row>
    <row r="31478" spans="1:2" x14ac:dyDescent="0.25">
      <c r="A31478" s="64" t="str">
        <f>HYPERLINK("http://www.twitter.com/MinorOutrage", "MinorOutrage")</f>
        <v>MinorOutrage</v>
      </c>
      <c r="B31478" s="65" t="s">
        <v>102</v>
      </c>
    </row>
    <row r="31479" spans="1:2" x14ac:dyDescent="0.25">
      <c r="A31479" s="64" t="str">
        <f>HYPERLINK("http://www.twitter.com/K_jamin12", "K_jamin12")</f>
        <v>K_jamin12</v>
      </c>
      <c r="B31479" s="65"/>
    </row>
    <row r="31480" spans="1:2" x14ac:dyDescent="0.25">
      <c r="A31480" s="64" t="str">
        <f>HYPERLINK("http://www.twitter.com/jackiebestbest", "jackiebestbest")</f>
        <v>jackiebestbest</v>
      </c>
      <c r="B31480" s="65" t="s">
        <v>12560</v>
      </c>
    </row>
    <row r="31481" spans="1:2" x14ac:dyDescent="0.25">
      <c r="A31481" s="64" t="str">
        <f>HYPERLINK("http://www.twitter.com/heartbeat_4jess", "heartbeat_4jess")</f>
        <v>heartbeat_4jess</v>
      </c>
      <c r="B31481" s="65" t="s">
        <v>12561</v>
      </c>
    </row>
    <row r="31482" spans="1:2" x14ac:dyDescent="0.25">
      <c r="A31482" s="64" t="str">
        <f>HYPERLINK("http://www.twitter.com/kclapk", "kclapk")</f>
        <v>kclapk</v>
      </c>
      <c r="B31482" s="65" t="s">
        <v>788</v>
      </c>
    </row>
    <row r="31483" spans="1:2" x14ac:dyDescent="0.25">
      <c r="A31483" s="64" t="str">
        <f>HYPERLINK("http://www.twitter.com/womenofscotland", "womenofscotland")</f>
        <v>womenofscotland</v>
      </c>
      <c r="B31483" s="65" t="s">
        <v>517</v>
      </c>
    </row>
    <row r="31484" spans="1:2" x14ac:dyDescent="0.25">
      <c r="A31484" s="64" t="str">
        <f>HYPERLINK("http://www.twitter.com/ShannonAdams95", "ShannonAdams95")</f>
        <v>ShannonAdams95</v>
      </c>
      <c r="B31484" s="65"/>
    </row>
    <row r="31485" spans="1:2" x14ac:dyDescent="0.25">
      <c r="A31485" s="64" t="str">
        <f>HYPERLINK("http://www.twitter.com/Matildapuss", "Matildapuss")</f>
        <v>Matildapuss</v>
      </c>
      <c r="B31485" s="65" t="s">
        <v>4797</v>
      </c>
    </row>
    <row r="31486" spans="1:2" x14ac:dyDescent="0.25">
      <c r="A31486" s="64" t="str">
        <f>HYPERLINK("http://www.twitter.com/ShirleyBurnham", "ShirleyBurnham")</f>
        <v>ShirleyBurnham</v>
      </c>
      <c r="B31486" s="65" t="s">
        <v>6805</v>
      </c>
    </row>
    <row r="31487" spans="1:2" x14ac:dyDescent="0.25">
      <c r="A31487" s="64" t="str">
        <f>HYPERLINK("http://www.twitter.com/wendysaustin", "wendysaustin")</f>
        <v>wendysaustin</v>
      </c>
      <c r="B31487" s="65"/>
    </row>
    <row r="31488" spans="1:2" x14ac:dyDescent="0.25">
      <c r="A31488" s="64" t="str">
        <f>HYPERLINK("http://www.twitter.com/MyBook_IBT_Hope", "MyBook_IBT_Hope")</f>
        <v>MyBook_IBT_Hope</v>
      </c>
      <c r="B31488" s="65" t="s">
        <v>12562</v>
      </c>
    </row>
    <row r="31489" spans="1:2" x14ac:dyDescent="0.25">
      <c r="A31489" s="64" t="str">
        <f>HYPERLINK("http://www.twitter.com/ClaireyMcR", "ClaireyMcR")</f>
        <v>ClaireyMcR</v>
      </c>
      <c r="B31489" s="65"/>
    </row>
    <row r="31490" spans="1:2" x14ac:dyDescent="0.25">
      <c r="A31490" s="64" t="str">
        <f>HYPERLINK("http://www.twitter.com/eugen_sandow", "eugen_sandow")</f>
        <v>eugen_sandow</v>
      </c>
      <c r="B31490" s="65" t="s">
        <v>12563</v>
      </c>
    </row>
    <row r="31491" spans="1:2" x14ac:dyDescent="0.25">
      <c r="A31491" s="64" t="str">
        <f>HYPERLINK("http://www.twitter.com/brideofthebook", "brideofthebook")</f>
        <v>brideofthebook</v>
      </c>
      <c r="B31491" s="65" t="s">
        <v>7630</v>
      </c>
    </row>
    <row r="31492" spans="1:2" x14ac:dyDescent="0.25">
      <c r="A31492" s="64" t="str">
        <f>HYPERLINK("http://www.twitter.com/StAPTMuseum", "StAPTMuseum")</f>
        <v>StAPTMuseum</v>
      </c>
      <c r="B31492" s="65" t="s">
        <v>4049</v>
      </c>
    </row>
    <row r="31493" spans="1:2" x14ac:dyDescent="0.25">
      <c r="A31493" s="64" t="str">
        <f>HYPERLINK("http://www.twitter.com/sheenbookshop", "sheenbookshop")</f>
        <v>sheenbookshop</v>
      </c>
      <c r="B31493" s="65" t="s">
        <v>12564</v>
      </c>
    </row>
    <row r="31494" spans="1:2" x14ac:dyDescent="0.25">
      <c r="A31494" s="64" t="str">
        <f>HYPERLINK("http://www.twitter.com/melglee", "melglee")</f>
        <v>melglee</v>
      </c>
      <c r="B31494" s="65" t="s">
        <v>6792</v>
      </c>
    </row>
    <row r="31495" spans="1:2" x14ac:dyDescent="0.25">
      <c r="A31495" s="64" t="str">
        <f>HYPERLINK("http://www.twitter.com/shonah", "shonah")</f>
        <v>shonah</v>
      </c>
      <c r="B31495" s="65" t="s">
        <v>1482</v>
      </c>
    </row>
    <row r="31496" spans="1:2" x14ac:dyDescent="0.25">
      <c r="A31496" s="64" t="str">
        <f>HYPERLINK("http://www.twitter.com/OwlAndKitster", "OwlAndKitster")</f>
        <v>OwlAndKitster</v>
      </c>
      <c r="B31496" s="65" t="s">
        <v>517</v>
      </c>
    </row>
    <row r="31497" spans="1:2" x14ac:dyDescent="0.25">
      <c r="A31497" s="64" t="str">
        <f>HYPERLINK("http://www.twitter.com/readingmap", "readingmap")</f>
        <v>readingmap</v>
      </c>
      <c r="B31497" s="65" t="s">
        <v>12565</v>
      </c>
    </row>
    <row r="31498" spans="1:2" x14ac:dyDescent="0.25">
      <c r="A31498" s="64" t="str">
        <f>HYPERLINK("http://www.twitter.com/acwillustration", "acwillustration")</f>
        <v>acwillustration</v>
      </c>
      <c r="B31498" s="65" t="s">
        <v>487</v>
      </c>
    </row>
    <row r="31499" spans="1:2" x14ac:dyDescent="0.25">
      <c r="A31499" s="64" t="str">
        <f>HYPERLINK("http://www.twitter.com/DebiGliori", "DebiGliori")</f>
        <v>DebiGliori</v>
      </c>
      <c r="B31499" s="65" t="s">
        <v>12566</v>
      </c>
    </row>
    <row r="31500" spans="1:2" x14ac:dyDescent="0.25">
      <c r="A31500" s="64" t="str">
        <f>HYPERLINK("http://www.twitter.com/eviea1", "eviea1")</f>
        <v>eviea1</v>
      </c>
      <c r="B31500" s="65"/>
    </row>
    <row r="31501" spans="1:2" x14ac:dyDescent="0.25">
      <c r="A31501" s="64" t="str">
        <f>HYPERLINK("http://www.twitter.com/WallaceRosie", "WallaceRosie")</f>
        <v>WallaceRosie</v>
      </c>
      <c r="B31501" s="65"/>
    </row>
    <row r="31502" spans="1:2" x14ac:dyDescent="0.25">
      <c r="A31502" s="64" t="str">
        <f>HYPERLINK("http://www.twitter.com/JuliaM1302", "JuliaM1302")</f>
        <v>JuliaM1302</v>
      </c>
      <c r="B31502" s="65" t="s">
        <v>1046</v>
      </c>
    </row>
    <row r="31503" spans="1:2" x14ac:dyDescent="0.25">
      <c r="A31503" s="64" t="str">
        <f>HYPERLINK("http://www.twitter.com/Darrengreenidge", "Darrengreenidge")</f>
        <v>Darrengreenidge</v>
      </c>
      <c r="B31503" s="65" t="s">
        <v>12567</v>
      </c>
    </row>
    <row r="31504" spans="1:2" x14ac:dyDescent="0.25">
      <c r="A31504" s="64" t="str">
        <f>HYPERLINK("http://www.twitter.com/mcdangerfield", "mcdangerfield")</f>
        <v>mcdangerfield</v>
      </c>
      <c r="B31504" s="65" t="s">
        <v>5689</v>
      </c>
    </row>
    <row r="31505" spans="1:2" x14ac:dyDescent="0.25">
      <c r="A31505" s="64" t="str">
        <f>HYPERLINK("http://www.twitter.com/emmamhouse", "emmamhouse")</f>
        <v>emmamhouse</v>
      </c>
      <c r="B31505" s="65" t="s">
        <v>296</v>
      </c>
    </row>
    <row r="31506" spans="1:2" x14ac:dyDescent="0.25">
      <c r="A31506" s="64" t="str">
        <f>HYPERLINK("http://www.twitter.com/GeorgeEVickers", "GeorgeEVickers")</f>
        <v>GeorgeEVickers</v>
      </c>
      <c r="B31506" s="65" t="s">
        <v>20</v>
      </c>
    </row>
    <row r="31507" spans="1:2" x14ac:dyDescent="0.25">
      <c r="A31507" s="64" t="str">
        <f>HYPERLINK("http://www.twitter.com/IMissEdinburgh", "IMissEdinburgh")</f>
        <v>IMissEdinburgh</v>
      </c>
      <c r="B31507" s="65" t="s">
        <v>12568</v>
      </c>
    </row>
    <row r="31508" spans="1:2" x14ac:dyDescent="0.25">
      <c r="A31508" s="64" t="str">
        <f>HYPERLINK("http://www.twitter.com/Orkneytories", "Orkneytories")</f>
        <v>Orkneytories</v>
      </c>
      <c r="B31508" s="65" t="s">
        <v>4519</v>
      </c>
    </row>
    <row r="31509" spans="1:2" x14ac:dyDescent="0.25">
      <c r="A31509" s="64" t="str">
        <f>HYPERLINK("http://www.twitter.com/OHlibraryschool", "OHlibraryschool")</f>
        <v>OHlibraryschool</v>
      </c>
      <c r="B31509" s="65" t="s">
        <v>12569</v>
      </c>
    </row>
    <row r="31510" spans="1:2" x14ac:dyDescent="0.25">
      <c r="A31510" s="64" t="str">
        <f>HYPERLINK("http://www.twitter.com/ExposeNorth", "ExposeNorth")</f>
        <v>ExposeNorth</v>
      </c>
      <c r="B31510" s="65" t="s">
        <v>12570</v>
      </c>
    </row>
    <row r="31511" spans="1:2" x14ac:dyDescent="0.25">
      <c r="A31511" s="64" t="str">
        <f>HYPERLINK("http://www.twitter.com/PeasePubLibrary", "PeasePubLibrary")</f>
        <v>PeasePubLibrary</v>
      </c>
      <c r="B31511" s="65" t="s">
        <v>12571</v>
      </c>
    </row>
    <row r="31512" spans="1:2" x14ac:dyDescent="0.25">
      <c r="A31512" s="64" t="str">
        <f>HYPERLINK("http://www.twitter.com/Lady_Libris", "Lady_Libris")</f>
        <v>Lady_Libris</v>
      </c>
      <c r="B31512" s="65" t="s">
        <v>12572</v>
      </c>
    </row>
    <row r="31513" spans="1:2" x14ac:dyDescent="0.25">
      <c r="A31513" s="64" t="str">
        <f>HYPERLINK("http://www.twitter.com/seanah150", "seanah150")</f>
        <v>seanah150</v>
      </c>
      <c r="B31513" s="65" t="s">
        <v>4062</v>
      </c>
    </row>
    <row r="31514" spans="1:2" x14ac:dyDescent="0.25">
      <c r="A31514" s="64" t="str">
        <f>HYPERLINK("http://www.twitter.com/ReganKathleen", "ReganKathleen")</f>
        <v>ReganKathleen</v>
      </c>
      <c r="B31514" s="65"/>
    </row>
    <row r="31515" spans="1:2" x14ac:dyDescent="0.25">
      <c r="A31515" s="64" t="str">
        <f>HYPERLINK("http://www.twitter.com/Jooster7", "Jooster7")</f>
        <v>Jooster7</v>
      </c>
      <c r="B31515" s="65" t="s">
        <v>12573</v>
      </c>
    </row>
    <row r="31516" spans="1:2" x14ac:dyDescent="0.25">
      <c r="A31516" s="64" t="str">
        <f>HYPERLINK("http://www.twitter.com/ales3", "ales3")</f>
        <v>ales3</v>
      </c>
      <c r="B31516" s="65" t="s">
        <v>5389</v>
      </c>
    </row>
    <row r="31517" spans="1:2" x14ac:dyDescent="0.25">
      <c r="A31517" s="64" t="str">
        <f>HYPERLINK("http://www.twitter.com/JaJaJaBooks", "JaJaJaBooks")</f>
        <v>JaJaJaBooks</v>
      </c>
      <c r="B31517" s="65" t="s">
        <v>6171</v>
      </c>
    </row>
    <row r="31518" spans="1:2" x14ac:dyDescent="0.25">
      <c r="A31518" s="64" t="str">
        <f>HYPERLINK("http://www.twitter.com/MauraRedPR", "MauraRedPR")</f>
        <v>MauraRedPR</v>
      </c>
      <c r="B31518" s="65" t="s">
        <v>12574</v>
      </c>
    </row>
    <row r="31519" spans="1:2" x14ac:dyDescent="0.25">
      <c r="A31519" s="64" t="str">
        <f>HYPERLINK("http://www.twitter.com/CraigFinlay2", "CraigFinlay2")</f>
        <v>CraigFinlay2</v>
      </c>
      <c r="B31519" s="65"/>
    </row>
    <row r="31520" spans="1:2" x14ac:dyDescent="0.25">
      <c r="A31520" s="64" t="str">
        <f>HYPERLINK("http://www.twitter.com/SPLwrittenworld", "SPLwrittenworld")</f>
        <v>SPLwrittenworld</v>
      </c>
      <c r="B31520" s="65" t="s">
        <v>24</v>
      </c>
    </row>
    <row r="31521" spans="1:2" x14ac:dyDescent="0.25">
      <c r="A31521" s="64" t="str">
        <f>HYPERLINK("http://www.twitter.com/hamiltoninches", "hamiltoninches")</f>
        <v>hamiltoninches</v>
      </c>
      <c r="B31521" s="65" t="s">
        <v>487</v>
      </c>
    </row>
    <row r="31522" spans="1:2" x14ac:dyDescent="0.25">
      <c r="A31522" s="64" t="str">
        <f>HYPERLINK("http://www.twitter.com/pcpaintings", "pcpaintings")</f>
        <v>pcpaintings</v>
      </c>
      <c r="B31522" s="65" t="s">
        <v>12575</v>
      </c>
    </row>
    <row r="31523" spans="1:2" x14ac:dyDescent="0.25">
      <c r="A31523" s="64" t="str">
        <f>HYPERLINK("http://www.twitter.com/OSPoetry", "OSPoetry")</f>
        <v>OSPoetry</v>
      </c>
      <c r="B31523" s="65"/>
    </row>
    <row r="31524" spans="1:2" x14ac:dyDescent="0.25">
      <c r="A31524" s="64" t="str">
        <f>HYPERLINK("http://www.twitter.com/AdrianMole", "AdrianMole")</f>
        <v>AdrianMole</v>
      </c>
      <c r="B31524" s="65" t="s">
        <v>1226</v>
      </c>
    </row>
    <row r="31525" spans="1:2" x14ac:dyDescent="0.25">
      <c r="A31525" s="64" t="str">
        <f>HYPERLINK("http://www.twitter.com/eidset", "eidset")</f>
        <v>eidset</v>
      </c>
      <c r="B31525" s="65" t="s">
        <v>12576</v>
      </c>
    </row>
    <row r="31526" spans="1:2" x14ac:dyDescent="0.25">
      <c r="A31526" s="64" t="str">
        <f>HYPERLINK("http://www.twitter.com/BookWyrme", "BookWyrme")</f>
        <v>BookWyrme</v>
      </c>
      <c r="B31526" s="65" t="s">
        <v>93</v>
      </c>
    </row>
    <row r="31527" spans="1:2" x14ac:dyDescent="0.25">
      <c r="A31527" s="64" t="str">
        <f>HYPERLINK("http://www.twitter.com/UCLLibraries", "UCLLibraries")</f>
        <v>UCLLibraries</v>
      </c>
      <c r="B31527" s="65" t="s">
        <v>270</v>
      </c>
    </row>
    <row r="31528" spans="1:2" x14ac:dyDescent="0.25">
      <c r="A31528" s="64" t="str">
        <f>HYPERLINK("http://www.twitter.com/dkt001", "dkt001")</f>
        <v>dkt001</v>
      </c>
      <c r="B31528" s="65" t="s">
        <v>7312</v>
      </c>
    </row>
    <row r="31529" spans="1:2" x14ac:dyDescent="0.25">
      <c r="A31529" s="64" t="str">
        <f>HYPERLINK("http://www.twitter.com/Vectorised_duck", "Vectorised_duck")</f>
        <v>Vectorised_duck</v>
      </c>
      <c r="B31529" s="65"/>
    </row>
    <row r="31530" spans="1:2" x14ac:dyDescent="0.25">
      <c r="A31530" s="64" t="str">
        <f>HYPERLINK("http://www.twitter.com/a1isonmurray", "a1isonmurray")</f>
        <v>a1isonmurray</v>
      </c>
      <c r="B31530" s="65" t="s">
        <v>138</v>
      </c>
    </row>
    <row r="31531" spans="1:2" x14ac:dyDescent="0.25">
      <c r="A31531" s="64" t="str">
        <f>HYPERLINK("http://www.twitter.com/relmynl", "relmynl")</f>
        <v>relmynl</v>
      </c>
      <c r="B31531" s="65" t="s">
        <v>12577</v>
      </c>
    </row>
    <row r="31532" spans="1:2" x14ac:dyDescent="0.25">
      <c r="A31532" s="64" t="str">
        <f>HYPERLINK("http://www.twitter.com/smartsscotland", "smartsscotland")</f>
        <v>smartsscotland</v>
      </c>
      <c r="B31532" s="65" t="s">
        <v>12578</v>
      </c>
    </row>
    <row r="31533" spans="1:2" x14ac:dyDescent="0.25">
      <c r="A31533" s="64" t="str">
        <f>HYPERLINK("http://www.twitter.com/joanwalker65", "joanwalker65")</f>
        <v>joanwalker65</v>
      </c>
      <c r="B31533" s="65" t="s">
        <v>517</v>
      </c>
    </row>
    <row r="31534" spans="1:2" x14ac:dyDescent="0.25">
      <c r="A31534" s="64" t="str">
        <f>HYPERLINK("http://www.twitter.com/eawilkinson", "eawilkinson")</f>
        <v>eawilkinson</v>
      </c>
      <c r="B31534" s="65" t="s">
        <v>296</v>
      </c>
    </row>
    <row r="31535" spans="1:2" x14ac:dyDescent="0.25">
      <c r="A31535" s="64" t="str">
        <f>HYPERLINK("http://www.twitter.com/FriernBarnetLib", "FriernBarnetLib")</f>
        <v>FriernBarnetLib</v>
      </c>
      <c r="B31535" s="65" t="s">
        <v>1121</v>
      </c>
    </row>
    <row r="31536" spans="1:2" x14ac:dyDescent="0.25">
      <c r="A31536" s="64" t="str">
        <f>HYPERLINK("http://www.twitter.com/bibliobess", "bibliobess")</f>
        <v>bibliobess</v>
      </c>
      <c r="B31536" s="65" t="s">
        <v>4867</v>
      </c>
    </row>
    <row r="31537" spans="1:2" x14ac:dyDescent="0.25">
      <c r="A31537" s="64" t="str">
        <f>HYPERLINK("http://www.twitter.com/fsuu_elc_imc", "fsuu_elc_imc")</f>
        <v>fsuu_elc_imc</v>
      </c>
      <c r="B31537" s="65"/>
    </row>
    <row r="31538" spans="1:2" x14ac:dyDescent="0.25">
      <c r="A31538" s="64" t="str">
        <f>HYPERLINK("http://www.twitter.com/MillySleep", "MillySleep")</f>
        <v>MillySleep</v>
      </c>
      <c r="B31538" s="65"/>
    </row>
    <row r="31539" spans="1:2" x14ac:dyDescent="0.25">
      <c r="A31539" s="64" t="str">
        <f>HYPERLINK("http://www.twitter.com/kimwalker4", "kimwalker4")</f>
        <v>kimwalker4</v>
      </c>
      <c r="B31539" s="65" t="s">
        <v>7975</v>
      </c>
    </row>
    <row r="31540" spans="1:2" x14ac:dyDescent="0.25">
      <c r="A31540" s="64" t="str">
        <f>HYPERLINK("http://www.twitter.com/AFScotNorth", "AFScotNorth")</f>
        <v>AFScotNorth</v>
      </c>
      <c r="B31540" s="65" t="s">
        <v>12579</v>
      </c>
    </row>
    <row r="31541" spans="1:2" x14ac:dyDescent="0.25">
      <c r="A31541" s="64" t="str">
        <f>HYPERLINK("http://www.twitter.com/Tigerfan11", "Tigerfan11")</f>
        <v>Tigerfan11</v>
      </c>
      <c r="B31541" s="65" t="s">
        <v>12580</v>
      </c>
    </row>
    <row r="31542" spans="1:2" x14ac:dyDescent="0.25">
      <c r="A31542" s="64" t="str">
        <f>HYPERLINK("http://www.twitter.com/amkartman", "amkartman")</f>
        <v>amkartman</v>
      </c>
      <c r="B31542" s="65" t="s">
        <v>10872</v>
      </c>
    </row>
    <row r="31543" spans="1:2" x14ac:dyDescent="0.25">
      <c r="A31543" s="64" t="str">
        <f>HYPERLINK("http://www.twitter.com/abbothouse", "abbothouse")</f>
        <v>abbothouse</v>
      </c>
      <c r="B31543" s="65" t="s">
        <v>9339</v>
      </c>
    </row>
    <row r="31544" spans="1:2" x14ac:dyDescent="0.25">
      <c r="A31544" s="64" t="str">
        <f>HYPERLINK("http://www.twitter.com/AliConway", "AliConway")</f>
        <v>AliConway</v>
      </c>
      <c r="B31544" s="65" t="s">
        <v>12581</v>
      </c>
    </row>
    <row r="31545" spans="1:2" x14ac:dyDescent="0.25">
      <c r="A31545" s="64" t="str">
        <f>HYPERLINK("http://www.twitter.com/ClaraGlocke", "ClaraGlocke")</f>
        <v>ClaraGlocke</v>
      </c>
      <c r="B31545" s="65"/>
    </row>
    <row r="31546" spans="1:2" x14ac:dyDescent="0.25">
      <c r="A31546" s="64" t="str">
        <f>HYPERLINK("http://www.twitter.com/Turkeyplucker", "Turkeyplucker")</f>
        <v>Turkeyplucker</v>
      </c>
      <c r="B31546" s="65"/>
    </row>
    <row r="31547" spans="1:2" x14ac:dyDescent="0.25">
      <c r="A31547" s="64" t="str">
        <f>HYPERLINK("http://www.twitter.com/BooksforLondon", "BooksforLondon")</f>
        <v>BooksforLondon</v>
      </c>
      <c r="B31547" s="65" t="s">
        <v>110</v>
      </c>
    </row>
    <row r="31548" spans="1:2" x14ac:dyDescent="0.25">
      <c r="A31548" s="64" t="str">
        <f>HYPERLINK("http://www.twitter.com/ELMuseumService", "ELMuseumService")</f>
        <v>ELMuseumService</v>
      </c>
      <c r="B31548" s="65"/>
    </row>
    <row r="31549" spans="1:2" x14ac:dyDescent="0.25">
      <c r="A31549" s="64" t="str">
        <f>HYPERLINK("http://www.twitter.com/georginagem", "georginagem")</f>
        <v>georginagem</v>
      </c>
      <c r="B31549" s="65" t="s">
        <v>36</v>
      </c>
    </row>
    <row r="31550" spans="1:2" x14ac:dyDescent="0.25">
      <c r="A31550" s="64" t="str">
        <f>HYPERLINK("http://www.twitter.com/ejp18", "ejp18")</f>
        <v>ejp18</v>
      </c>
      <c r="B31550" s="65" t="s">
        <v>1221</v>
      </c>
    </row>
    <row r="31551" spans="1:2" x14ac:dyDescent="0.25">
      <c r="A31551" s="64" t="str">
        <f>HYPERLINK("http://www.twitter.com/PSHistory", "PSHistory")</f>
        <v>PSHistory</v>
      </c>
      <c r="B31551" s="65" t="s">
        <v>717</v>
      </c>
    </row>
    <row r="31552" spans="1:2" x14ac:dyDescent="0.25">
      <c r="A31552" s="64" t="str">
        <f>HYPERLINK("http://www.twitter.com/Mandi_Freeman1", "Mandi_Freeman1")</f>
        <v>Mandi_Freeman1</v>
      </c>
      <c r="B31552" s="65" t="s">
        <v>12582</v>
      </c>
    </row>
    <row r="31553" spans="1:2" x14ac:dyDescent="0.25">
      <c r="A31553" s="64" t="str">
        <f>HYPERLINK("http://www.twitter.com/mrmatthewfinn", "mrmatthewfinn")</f>
        <v>mrmatthewfinn</v>
      </c>
      <c r="B31553" s="65" t="s">
        <v>20</v>
      </c>
    </row>
    <row r="31554" spans="1:2" x14ac:dyDescent="0.25">
      <c r="A31554" s="64" t="str">
        <f>HYPERLINK("http://www.twitter.com/KathWoolcock", "KathWoolcock")</f>
        <v>KathWoolcock</v>
      </c>
      <c r="B31554" s="65" t="s">
        <v>6201</v>
      </c>
    </row>
    <row r="31555" spans="1:2" x14ac:dyDescent="0.25">
      <c r="A31555" s="64" t="str">
        <f>HYPERLINK("http://www.twitter.com/TracyCollins8", "TracyCollins8")</f>
        <v>TracyCollins8</v>
      </c>
      <c r="B31555" s="65"/>
    </row>
    <row r="31556" spans="1:2" x14ac:dyDescent="0.25">
      <c r="A31556" s="64" t="str">
        <f>HYPERLINK("http://www.twitter.com/jomather2", "jomather2")</f>
        <v>jomather2</v>
      </c>
      <c r="B31556" s="65" t="s">
        <v>11312</v>
      </c>
    </row>
    <row r="31557" spans="1:2" x14ac:dyDescent="0.25">
      <c r="A31557" s="64" t="str">
        <f>HYPERLINK("http://www.twitter.com/AwenLibs", "AwenLibs")</f>
        <v>AwenLibs</v>
      </c>
      <c r="B31557" s="65" t="s">
        <v>1108</v>
      </c>
    </row>
    <row r="31558" spans="1:2" x14ac:dyDescent="0.25">
      <c r="A31558" s="64" t="str">
        <f>HYPERLINK("http://www.twitter.com/amykeepandshare", "amykeepandshare")</f>
        <v>amykeepandshare</v>
      </c>
      <c r="B31558" s="65" t="s">
        <v>526</v>
      </c>
    </row>
    <row r="31559" spans="1:2" x14ac:dyDescent="0.25">
      <c r="A31559" s="64" t="str">
        <f>HYPERLINK("http://www.twitter.com/ThisDanFrost", "ThisDanFrost")</f>
        <v>ThisDanFrost</v>
      </c>
      <c r="B31559" s="65" t="s">
        <v>36</v>
      </c>
    </row>
    <row r="31560" spans="1:2" x14ac:dyDescent="0.25">
      <c r="A31560" s="64" t="str">
        <f>HYPERLINK("http://www.twitter.com/ruthmellor12", "ruthmellor12")</f>
        <v>ruthmellor12</v>
      </c>
      <c r="B31560" s="65"/>
    </row>
    <row r="31561" spans="1:2" x14ac:dyDescent="0.25">
      <c r="A31561" s="64" t="str">
        <f>HYPERLINK("http://www.twitter.com/Mmcampbell111", "Mmcampbell111")</f>
        <v>Mmcampbell111</v>
      </c>
      <c r="B31561" s="65" t="s">
        <v>517</v>
      </c>
    </row>
    <row r="31562" spans="1:2" x14ac:dyDescent="0.25">
      <c r="A31562" s="64" t="str">
        <f>HYPERLINK("http://www.twitter.com/Jodyjanine25", "Jodyjanine25")</f>
        <v>Jodyjanine25</v>
      </c>
      <c r="B31562" s="65"/>
    </row>
    <row r="31563" spans="1:2" x14ac:dyDescent="0.25">
      <c r="A31563" s="64" t="str">
        <f>HYPERLINK("http://www.twitter.com/4AdsthePoet", "4AdsthePoet")</f>
        <v>4AdsthePoet</v>
      </c>
      <c r="B31563" s="65" t="s">
        <v>717</v>
      </c>
    </row>
    <row r="31564" spans="1:2" x14ac:dyDescent="0.25">
      <c r="A31564" s="64" t="str">
        <f>HYPERLINK("http://www.twitter.com/ChallengeTV", "ChallengeTV")</f>
        <v>ChallengeTV</v>
      </c>
      <c r="B31564" s="65" t="s">
        <v>36</v>
      </c>
    </row>
    <row r="31565" spans="1:2" x14ac:dyDescent="0.25">
      <c r="A31565" s="64" t="str">
        <f>HYPERLINK("http://www.twitter.com/ChertseyLib", "ChertseyLib")</f>
        <v>ChertseyLib</v>
      </c>
      <c r="B31565" s="65" t="s">
        <v>1158</v>
      </c>
    </row>
    <row r="31566" spans="1:2" x14ac:dyDescent="0.25">
      <c r="A31566" s="64" t="str">
        <f>HYPERLINK("http://www.twitter.com/FHWebTeam", "FHWebTeam")</f>
        <v>FHWebTeam</v>
      </c>
      <c r="B31566" s="65" t="s">
        <v>12583</v>
      </c>
    </row>
    <row r="31567" spans="1:2" x14ac:dyDescent="0.25">
      <c r="A31567" s="64" t="str">
        <f>HYPERLINK("http://www.twitter.com/surgeonshall", "surgeonshall")</f>
        <v>surgeonshall</v>
      </c>
      <c r="B31567" s="65" t="s">
        <v>24</v>
      </c>
    </row>
    <row r="31568" spans="1:2" x14ac:dyDescent="0.25">
      <c r="A31568" s="64" t="str">
        <f>HYPERLINK("http://www.twitter.com/BungleFinchley", "BungleFinchley")</f>
        <v>BungleFinchley</v>
      </c>
      <c r="B31568" s="65" t="s">
        <v>12584</v>
      </c>
    </row>
    <row r="31569" spans="1:2" x14ac:dyDescent="0.25">
      <c r="A31569" s="64" t="str">
        <f>HYPERLINK("http://www.twitter.com/SusanTylr", "SusanTylr")</f>
        <v>SusanTylr</v>
      </c>
      <c r="B31569" s="65" t="s">
        <v>7117</v>
      </c>
    </row>
    <row r="31570" spans="1:2" x14ac:dyDescent="0.25">
      <c r="A31570" s="64" t="str">
        <f>HYPERLINK("http://www.twitter.com/SpeakUp4Libs", "SpeakUp4Libs")</f>
        <v>SpeakUp4Libs</v>
      </c>
      <c r="B31570" s="65"/>
    </row>
    <row r="31571" spans="1:2" x14ac:dyDescent="0.25">
      <c r="A31571" s="64" t="str">
        <f>HYPERLINK("http://www.twitter.com/cloudchorus", "cloudchorus")</f>
        <v>cloudchorus</v>
      </c>
      <c r="B31571" s="65"/>
    </row>
    <row r="31572" spans="1:2" x14ac:dyDescent="0.25">
      <c r="A31572" s="64" t="str">
        <f>HYPERLINK("http://www.twitter.com/laurahanscom", "laurahanscom")</f>
        <v>laurahanscom</v>
      </c>
      <c r="B31572" s="65"/>
    </row>
    <row r="31573" spans="1:2" x14ac:dyDescent="0.25">
      <c r="A31573" s="64" t="str">
        <f>HYPERLINK("http://www.twitter.com/oactivites", "oactivites")</f>
        <v>oactivites</v>
      </c>
      <c r="B31573" s="65"/>
    </row>
    <row r="31574" spans="1:2" x14ac:dyDescent="0.25">
      <c r="A31574" s="64" t="str">
        <f>HYPERLINK("http://www.twitter.com/talkatalkabooks", "talkatalkabooks")</f>
        <v>talkatalkabooks</v>
      </c>
      <c r="B31574" s="65" t="s">
        <v>12585</v>
      </c>
    </row>
    <row r="31575" spans="1:2" x14ac:dyDescent="0.25">
      <c r="A31575" s="64" t="str">
        <f>HYPERLINK("http://www.twitter.com/catiecham", "catiecham")</f>
        <v>catiecham</v>
      </c>
      <c r="B31575" s="65"/>
    </row>
    <row r="31576" spans="1:2" x14ac:dyDescent="0.25">
      <c r="A31576" s="64" t="str">
        <f>HYPERLINK("http://www.twitter.com/mygibbo", "mygibbo")</f>
        <v>mygibbo</v>
      </c>
      <c r="B31576" s="65" t="s">
        <v>102</v>
      </c>
    </row>
    <row r="31577" spans="1:2" x14ac:dyDescent="0.25">
      <c r="A31577" s="64" t="str">
        <f>HYPERLINK("http://www.twitter.com/MovingToyshop", "MovingToyshop")</f>
        <v>MovingToyshop</v>
      </c>
      <c r="B31577" s="65" t="s">
        <v>138</v>
      </c>
    </row>
    <row r="31578" spans="1:2" x14ac:dyDescent="0.25">
      <c r="A31578" s="64" t="str">
        <f>HYPERLINK("http://www.twitter.com/OrcadesMarine1", "OrcadesMarine1")</f>
        <v>OrcadesMarine1</v>
      </c>
      <c r="B31578" s="65" t="s">
        <v>20</v>
      </c>
    </row>
    <row r="31579" spans="1:2" x14ac:dyDescent="0.25">
      <c r="A31579" s="64" t="str">
        <f>HYPERLINK("http://www.twitter.com/briancromarty", "briancromarty")</f>
        <v>briancromarty</v>
      </c>
      <c r="B31579" s="65"/>
    </row>
    <row r="31580" spans="1:2" x14ac:dyDescent="0.25">
      <c r="A31580" s="64" t="str">
        <f>HYPERLINK("http://www.twitter.com/aberdeenuni", "aberdeenuni")</f>
        <v>aberdeenuni</v>
      </c>
      <c r="B31580" s="65" t="s">
        <v>569</v>
      </c>
    </row>
    <row r="31581" spans="1:2" x14ac:dyDescent="0.25">
      <c r="A31581" s="64" t="str">
        <f>HYPERLINK("http://www.twitter.com/OrkneyArtsCraft", "OrkneyArtsCraft")</f>
        <v>OrkneyArtsCraft</v>
      </c>
      <c r="B31581" s="65" t="s">
        <v>20</v>
      </c>
    </row>
    <row r="31582" spans="1:2" x14ac:dyDescent="0.25">
      <c r="A31582" s="64" t="str">
        <f>HYPERLINK("http://www.twitter.com/_sianjamieson", "_sianjamieson")</f>
        <v>_sianjamieson</v>
      </c>
      <c r="B31582" s="65" t="s">
        <v>4050</v>
      </c>
    </row>
    <row r="31583" spans="1:2" x14ac:dyDescent="0.25">
      <c r="A31583" s="64" t="str">
        <f>HYPERLINK("http://www.twitter.com/CatrionaChild", "CatrionaChild")</f>
        <v>CatrionaChild</v>
      </c>
      <c r="B31583" s="65" t="s">
        <v>517</v>
      </c>
    </row>
    <row r="31584" spans="1:2" x14ac:dyDescent="0.25">
      <c r="A31584" s="64" t="str">
        <f>HYPERLINK("http://www.twitter.com/WellcomeLibrary", "WellcomeLibrary")</f>
        <v>WellcomeLibrary</v>
      </c>
      <c r="B31584" s="65" t="s">
        <v>36</v>
      </c>
    </row>
    <row r="31585" spans="1:2" x14ac:dyDescent="0.25">
      <c r="A31585" s="64" t="str">
        <f>HYPERLINK("http://www.twitter.com/lwfabf", "lwfabf")</f>
        <v>lwfabf</v>
      </c>
      <c r="B31585" s="65" t="s">
        <v>459</v>
      </c>
    </row>
    <row r="31586" spans="1:2" x14ac:dyDescent="0.25">
      <c r="A31586" s="64" t="str">
        <f>HYPERLINK("http://www.twitter.com/johnhannahcoach", "johnhannahcoach")</f>
        <v>johnhannahcoach</v>
      </c>
      <c r="B31586" s="65" t="s">
        <v>12586</v>
      </c>
    </row>
    <row r="31587" spans="1:2" x14ac:dyDescent="0.25">
      <c r="A31587" s="64" t="str">
        <f>HYPERLINK("http://www.twitter.com/Jessica_Meta", "Jessica_Meta")</f>
        <v>Jessica_Meta</v>
      </c>
      <c r="B31587" s="65" t="s">
        <v>20</v>
      </c>
    </row>
    <row r="31588" spans="1:2" x14ac:dyDescent="0.25">
      <c r="A31588" s="64" t="str">
        <f>HYPERLINK("http://www.twitter.com/SFryer1", "SFryer1")</f>
        <v>SFryer1</v>
      </c>
      <c r="B31588" s="65"/>
    </row>
    <row r="31589" spans="1:2" x14ac:dyDescent="0.25">
      <c r="A31589" s="64" t="str">
        <f>HYPERLINK("http://www.twitter.com/fionajwhite", "fionajwhite")</f>
        <v>fionajwhite</v>
      </c>
      <c r="B31589" s="65" t="s">
        <v>24</v>
      </c>
    </row>
    <row r="31590" spans="1:2" x14ac:dyDescent="0.25">
      <c r="A31590" s="64" t="str">
        <f>HYPERLINK("http://www.twitter.com/kozetland", "kozetland")</f>
        <v>kozetland</v>
      </c>
      <c r="B31590" s="65" t="s">
        <v>115</v>
      </c>
    </row>
    <row r="31591" spans="1:2" x14ac:dyDescent="0.25">
      <c r="A31591" s="64" t="str">
        <f>HYPERLINK("http://www.twitter.com/sarahsavitt", "sarahsavitt")</f>
        <v>sarahsavitt</v>
      </c>
      <c r="B31591" s="65" t="s">
        <v>36</v>
      </c>
    </row>
    <row r="31592" spans="1:2" x14ac:dyDescent="0.25">
      <c r="A31592" s="64" t="str">
        <f>HYPERLINK("http://www.twitter.com/Gairsty", "Gairsty")</f>
        <v>Gairsty</v>
      </c>
      <c r="B31592" s="65" t="s">
        <v>8817</v>
      </c>
    </row>
    <row r="31593" spans="1:2" x14ac:dyDescent="0.25">
      <c r="A31593" s="64" t="str">
        <f>HYPERLINK("http://www.twitter.com/mwskinn", "mwskinn")</f>
        <v>mwskinn</v>
      </c>
      <c r="B31593" s="65" t="s">
        <v>12587</v>
      </c>
    </row>
    <row r="31594" spans="1:2" x14ac:dyDescent="0.25">
      <c r="A31594" s="64" t="str">
        <f>HYPERLINK("http://www.twitter.com/heatherw1976", "heatherw1976")</f>
        <v>heatherw1976</v>
      </c>
      <c r="B31594" s="65"/>
    </row>
    <row r="31595" spans="1:2" x14ac:dyDescent="0.25">
      <c r="A31595" s="64" t="str">
        <f>HYPERLINK("http://www.twitter.com/catymo", "catymo")</f>
        <v>catymo</v>
      </c>
      <c r="B31595" s="65" t="s">
        <v>12588</v>
      </c>
    </row>
    <row r="31596" spans="1:2" x14ac:dyDescent="0.25">
      <c r="A31596" s="64" t="str">
        <f>HYPERLINK("http://www.twitter.com/GillianSwanney", "GillianSwanney")</f>
        <v>GillianSwanney</v>
      </c>
      <c r="B31596" s="65"/>
    </row>
    <row r="31597" spans="1:2" x14ac:dyDescent="0.25">
      <c r="A31597" s="64" t="str">
        <f>HYPERLINK("http://www.twitter.com/abigailcrook", "abigailcrook")</f>
        <v>abigailcrook</v>
      </c>
      <c r="B31597" s="65" t="s">
        <v>2725</v>
      </c>
    </row>
    <row r="31598" spans="1:2" x14ac:dyDescent="0.25">
      <c r="A31598" s="64" t="str">
        <f>HYPERLINK("http://www.twitter.com/macdoosh", "macdoosh")</f>
        <v>macdoosh</v>
      </c>
      <c r="B31598" s="65" t="s">
        <v>4403</v>
      </c>
    </row>
    <row r="31599" spans="1:2" x14ac:dyDescent="0.25">
      <c r="A31599" s="64" t="str">
        <f>HYPERLINK("http://www.twitter.com/jdrever", "jdrever")</f>
        <v>jdrever</v>
      </c>
      <c r="B31599" s="65" t="s">
        <v>211</v>
      </c>
    </row>
    <row r="31600" spans="1:2" x14ac:dyDescent="0.25">
      <c r="A31600" s="64" t="str">
        <f>HYPERLINK("http://www.twitter.com/neraknotnef", "neraknotnef")</f>
        <v>neraknotnef</v>
      </c>
      <c r="B31600" s="65"/>
    </row>
    <row r="31601" spans="1:2" x14ac:dyDescent="0.25">
      <c r="A31601" s="64" t="str">
        <f>HYPERLINK("http://www.twitter.com/socantscot", "socantscot")</f>
        <v>socantscot</v>
      </c>
      <c r="B31601" s="65" t="s">
        <v>24</v>
      </c>
    </row>
    <row r="31602" spans="1:2" x14ac:dyDescent="0.25">
      <c r="A31602" s="64" t="str">
        <f>HYPERLINK("http://www.twitter.com/MiriamHalahmy", "MiriamHalahmy")</f>
        <v>MiriamHalahmy</v>
      </c>
      <c r="B31602" s="65" t="s">
        <v>36</v>
      </c>
    </row>
    <row r="31603" spans="1:2" x14ac:dyDescent="0.25">
      <c r="A31603" s="64" t="str">
        <f>HYPERLINK("http://www.twitter.com/gill389", "gill389")</f>
        <v>gill389</v>
      </c>
      <c r="B31603" s="65" t="s">
        <v>138</v>
      </c>
    </row>
    <row r="31604" spans="1:2" x14ac:dyDescent="0.25">
      <c r="A31604" s="64" t="str">
        <f>HYPERLINK("http://www.twitter.com/derekrootboy", "derekrootboy")</f>
        <v>derekrootboy</v>
      </c>
      <c r="B31604" s="65" t="s">
        <v>12589</v>
      </c>
    </row>
    <row r="31605" spans="1:2" x14ac:dyDescent="0.25">
      <c r="A31605" s="64" t="str">
        <f>HYPERLINK("http://www.twitter.com/HaworthH", "HaworthH")</f>
        <v>HaworthH</v>
      </c>
      <c r="B31605" s="65" t="s">
        <v>5807</v>
      </c>
    </row>
    <row r="31606" spans="1:2" x14ac:dyDescent="0.25">
      <c r="A31606" s="64" t="str">
        <f>HYPERLINK("http://www.twitter.com/mllouisekelly", "mllouisekelly")</f>
        <v>mllouisekelly</v>
      </c>
      <c r="B31606" s="65" t="s">
        <v>24</v>
      </c>
    </row>
    <row r="31607" spans="1:2" x14ac:dyDescent="0.25">
      <c r="A31607" s="64" t="str">
        <f>HYPERLINK("http://www.twitter.com/MWStationMuseum", "MWStationMuseum")</f>
        <v>MWStationMuseum</v>
      </c>
      <c r="B31607" s="65" t="s">
        <v>12590</v>
      </c>
    </row>
    <row r="31608" spans="1:2" x14ac:dyDescent="0.25">
      <c r="A31608" s="64" t="str">
        <f>HYPERLINK("http://www.twitter.com/noty_nic", "noty_nic")</f>
        <v>noty_nic</v>
      </c>
      <c r="B31608" s="65"/>
    </row>
    <row r="31609" spans="1:2" x14ac:dyDescent="0.25">
      <c r="A31609" s="64" t="str">
        <f>HYPERLINK("http://www.twitter.com/latenightlibrar", "latenightlibrar")</f>
        <v>latenightlibrar</v>
      </c>
      <c r="B31609" s="65" t="s">
        <v>12591</v>
      </c>
    </row>
    <row r="31610" spans="1:2" x14ac:dyDescent="0.25">
      <c r="A31610" s="64" t="str">
        <f>HYPERLINK("http://www.twitter.com/RachelOakes", "RachelOakes")</f>
        <v>RachelOakes</v>
      </c>
      <c r="B31610" s="65"/>
    </row>
    <row r="31611" spans="1:2" x14ac:dyDescent="0.25">
      <c r="A31611" s="64" t="str">
        <f>HYPERLINK("http://www.twitter.com/Gina_Ramsay", "Gina_Ramsay")</f>
        <v>Gina_Ramsay</v>
      </c>
      <c r="B31611" s="65"/>
    </row>
    <row r="31612" spans="1:2" x14ac:dyDescent="0.25">
      <c r="A31612" s="64" t="str">
        <f>HYPERLINK("http://www.twitter.com/gypsy_librarian", "gypsy_librarian")</f>
        <v>gypsy_librarian</v>
      </c>
      <c r="B31612" s="65" t="s">
        <v>12592</v>
      </c>
    </row>
    <row r="31613" spans="1:2" x14ac:dyDescent="0.25">
      <c r="A31613" s="64" t="str">
        <f>HYPERLINK("http://www.twitter.com/Nicki_MacRae", "Nicki_MacRae")</f>
        <v>Nicki_MacRae</v>
      </c>
      <c r="B31613" s="65" t="s">
        <v>6107</v>
      </c>
    </row>
    <row r="31614" spans="1:2" x14ac:dyDescent="0.25">
      <c r="A31614" s="64" t="str">
        <f>HYPERLINK("http://www.twitter.com/neilogism", "neilogism")</f>
        <v>neilogism</v>
      </c>
      <c r="B31614" s="65"/>
    </row>
    <row r="31615" spans="1:2" x14ac:dyDescent="0.25">
      <c r="A31615" s="64" t="str">
        <f>HYPERLINK("http://www.twitter.com/D_Johnson1979", "D_Johnson1979")</f>
        <v>D_Johnson1979</v>
      </c>
      <c r="B31615" s="65" t="s">
        <v>5412</v>
      </c>
    </row>
    <row r="31616" spans="1:2" x14ac:dyDescent="0.25">
      <c r="A31616" s="64" t="str">
        <f>HYPERLINK("http://www.twitter.com/mishmoneypenny1", "mishmoneypenny1")</f>
        <v>mishmoneypenny1</v>
      </c>
      <c r="B31616" s="65" t="s">
        <v>24</v>
      </c>
    </row>
    <row r="31617" spans="1:2" x14ac:dyDescent="0.25">
      <c r="A31617" s="64" t="str">
        <f>HYPERLINK("http://www.twitter.com/solchesehnsucht", "solchesehnsucht")</f>
        <v>solchesehnsucht</v>
      </c>
      <c r="B31617" s="65"/>
    </row>
    <row r="31618" spans="1:2" x14ac:dyDescent="0.25">
      <c r="A31618" s="64" t="str">
        <f>HYPERLINK("http://www.twitter.com/okreader", "okreader")</f>
        <v>okreader</v>
      </c>
      <c r="B31618" s="65"/>
    </row>
    <row r="31619" spans="1:2" x14ac:dyDescent="0.25">
      <c r="A31619" s="64" t="str">
        <f>HYPERLINK("http://www.twitter.com/SimplyCapriMag", "SimplyCapriMag")</f>
        <v>SimplyCapriMag</v>
      </c>
      <c r="B31619" s="65"/>
    </row>
    <row r="31620" spans="1:2" x14ac:dyDescent="0.25">
      <c r="A31620" s="64" t="str">
        <f>HYPERLINK("http://www.twitter.com/OrkneyFarmer", "OrkneyFarmer")</f>
        <v>OrkneyFarmer</v>
      </c>
      <c r="B31620" s="65"/>
    </row>
    <row r="31621" spans="1:2" x14ac:dyDescent="0.25">
      <c r="A31621" s="64" t="str">
        <f>HYPERLINK("http://www.twitter.com/isgeo", "isgeo")</f>
        <v>isgeo</v>
      </c>
      <c r="B31621" s="65" t="s">
        <v>12593</v>
      </c>
    </row>
    <row r="31622" spans="1:2" x14ac:dyDescent="0.25">
      <c r="A31622" s="64" t="str">
        <f>HYPERLINK("http://www.twitter.com/cookmacC", "cookmacC")</f>
        <v>cookmacC</v>
      </c>
      <c r="B31622" s="65" t="s">
        <v>12594</v>
      </c>
    </row>
    <row r="31623" spans="1:2" x14ac:dyDescent="0.25">
      <c r="A31623" s="64" t="str">
        <f>HYPERLINK("http://www.twitter.com/RuTaub", "RuTaub")</f>
        <v>RuTaub</v>
      </c>
      <c r="B31623" s="65" t="s">
        <v>4626</v>
      </c>
    </row>
    <row r="31624" spans="1:2" x14ac:dyDescent="0.25">
      <c r="A31624" s="64" t="str">
        <f>HYPERLINK("http://www.twitter.com/TowerPoetry", "TowerPoetry")</f>
        <v>TowerPoetry</v>
      </c>
      <c r="B31624" s="65" t="s">
        <v>12595</v>
      </c>
    </row>
    <row r="31625" spans="1:2" x14ac:dyDescent="0.25">
      <c r="A31625" s="64" t="str">
        <f>HYPERLINK("http://www.twitter.com/karengreaves", "karengreaves")</f>
        <v>karengreaves</v>
      </c>
      <c r="B31625" s="65"/>
    </row>
    <row r="31626" spans="1:2" x14ac:dyDescent="0.25">
      <c r="A31626" s="64" t="str">
        <f>HYPERLINK("http://www.twitter.com/HoZ_Books", "HoZ_Books")</f>
        <v>HoZ_Books</v>
      </c>
      <c r="B31626" s="65" t="s">
        <v>110</v>
      </c>
    </row>
    <row r="31627" spans="1:2" x14ac:dyDescent="0.25">
      <c r="A31627" s="64" t="str">
        <f>HYPERLINK("http://www.twitter.com/fiverrstar", "fiverrstar")</f>
        <v>fiverrstar</v>
      </c>
      <c r="B31627" s="65"/>
    </row>
    <row r="31628" spans="1:2" x14ac:dyDescent="0.25">
      <c r="A31628" s="64" t="str">
        <f>HYPERLINK("http://www.twitter.com/SundMuseum", "SundMuseum")</f>
        <v>SundMuseum</v>
      </c>
      <c r="B31628" s="65" t="s">
        <v>12590</v>
      </c>
    </row>
    <row r="31629" spans="1:2" x14ac:dyDescent="0.25">
      <c r="A31629" s="64" t="str">
        <f>HYPERLINK("http://www.twitter.com/kilmartinmuseum", "kilmartinmuseum")</f>
        <v>kilmartinmuseum</v>
      </c>
      <c r="B31629" s="65" t="s">
        <v>12596</v>
      </c>
    </row>
    <row r="31630" spans="1:2" x14ac:dyDescent="0.25">
      <c r="A31630" s="64" t="str">
        <f>HYPERLINK("http://www.twitter.com/maryyoungs", "maryyoungs")</f>
        <v>maryyoungs</v>
      </c>
      <c r="B31630" s="65"/>
    </row>
    <row r="31631" spans="1:2" x14ac:dyDescent="0.25">
      <c r="A31631" s="64" t="str">
        <f>HYPERLINK("http://www.twitter.com/Rebookoo", "Rebookoo")</f>
        <v>Rebookoo</v>
      </c>
      <c r="B31631" s="65" t="s">
        <v>517</v>
      </c>
    </row>
    <row r="31632" spans="1:2" x14ac:dyDescent="0.25">
      <c r="A31632" s="64" t="str">
        <f>HYPERLINK("http://www.twitter.com/AmyDobson_", "AmyDobson_")</f>
        <v>AmyDobson_</v>
      </c>
      <c r="B31632" s="65" t="s">
        <v>2270</v>
      </c>
    </row>
    <row r="31633" spans="1:2" x14ac:dyDescent="0.25">
      <c r="A31633" s="64" t="str">
        <f>HYPERLINK("http://www.twitter.com/bokasafnlhi", "bokasafnlhi")</f>
        <v>bokasafnlhi</v>
      </c>
      <c r="B31633" s="65" t="s">
        <v>12597</v>
      </c>
    </row>
    <row r="31634" spans="1:2" x14ac:dyDescent="0.25">
      <c r="A31634" s="64" t="str">
        <f>HYPERLINK("http://www.twitter.com/SunriseDances", "SunriseDances")</f>
        <v>SunriseDances</v>
      </c>
      <c r="B31634" s="65"/>
    </row>
    <row r="31635" spans="1:2" x14ac:dyDescent="0.25">
      <c r="A31635" s="64" t="str">
        <f>HYPERLINK("http://www.twitter.com/kate_mcfadyen", "kate_mcfadyen")</f>
        <v>kate_mcfadyen</v>
      </c>
      <c r="B31635" s="65" t="s">
        <v>3779</v>
      </c>
    </row>
    <row r="31636" spans="1:2" x14ac:dyDescent="0.25">
      <c r="A31636" s="64" t="str">
        <f>HYPERLINK("http://www.twitter.com/preetholt", "preetholt")</f>
        <v>preetholt</v>
      </c>
      <c r="B31636" s="65"/>
    </row>
    <row r="31637" spans="1:2" x14ac:dyDescent="0.25">
      <c r="A31637" s="64" t="str">
        <f>HYPERLINK("http://www.twitter.com/Thickfurred", "Thickfurred")</f>
        <v>Thickfurred</v>
      </c>
      <c r="B31637" s="65" t="s">
        <v>12348</v>
      </c>
    </row>
    <row r="31638" spans="1:2" x14ac:dyDescent="0.25">
      <c r="A31638" s="64" t="str">
        <f>HYPERLINK("http://www.twitter.com/I_like", "I_like")</f>
        <v>I_like</v>
      </c>
      <c r="B31638" s="65" t="s">
        <v>138</v>
      </c>
    </row>
    <row r="31639" spans="1:2" x14ac:dyDescent="0.25">
      <c r="A31639" s="64" t="str">
        <f>HYPERLINK("http://www.twitter.com/Lainey_1", "Lainey_1")</f>
        <v>Lainey_1</v>
      </c>
      <c r="B31639" s="65" t="s">
        <v>12598</v>
      </c>
    </row>
    <row r="31640" spans="1:2" x14ac:dyDescent="0.25">
      <c r="A31640" s="64" t="str">
        <f>HYPERLINK("http://www.twitter.com/stephenroemer", "stephenroemer")</f>
        <v>stephenroemer</v>
      </c>
      <c r="B31640" s="65" t="s">
        <v>5016</v>
      </c>
    </row>
    <row r="31641" spans="1:2" x14ac:dyDescent="0.25">
      <c r="A31641" s="64" t="str">
        <f>HYPERLINK("http://www.twitter.com/fiowar", "fiowar")</f>
        <v>fiowar</v>
      </c>
      <c r="B31641" s="65" t="s">
        <v>12599</v>
      </c>
    </row>
    <row r="31642" spans="1:2" x14ac:dyDescent="0.25">
      <c r="A31642" s="64" t="str">
        <f>HYPERLINK("http://www.twitter.com/nwjg", "nwjg")</f>
        <v>nwjg</v>
      </c>
      <c r="B31642" s="65" t="s">
        <v>4070</v>
      </c>
    </row>
    <row r="31643" spans="1:2" x14ac:dyDescent="0.25">
      <c r="A31643" s="64" t="str">
        <f>HYPERLINK("http://www.twitter.com/WoCityLib", "WoCityLib")</f>
        <v>WoCityLib</v>
      </c>
      <c r="B31643" s="65" t="s">
        <v>1758</v>
      </c>
    </row>
    <row r="31644" spans="1:2" x14ac:dyDescent="0.25">
      <c r="A31644" s="64" t="str">
        <f>HYPERLINK("http://www.twitter.com/WaterstonesMorp", "WaterstonesMorp")</f>
        <v>WaterstonesMorp</v>
      </c>
      <c r="B31644" s="65" t="s">
        <v>12600</v>
      </c>
    </row>
    <row r="31645" spans="1:2" x14ac:dyDescent="0.25">
      <c r="A31645" s="64" t="str">
        <f>HYPERLINK("http://www.twitter.com/Notttttttttttto", "Notttttttttttto")</f>
        <v>Notttttttttttto</v>
      </c>
      <c r="B31645" s="65" t="s">
        <v>8083</v>
      </c>
    </row>
    <row r="31646" spans="1:2" x14ac:dyDescent="0.25">
      <c r="A31646" s="64" t="str">
        <f>HYPERLINK("http://www.twitter.com/barnesbookshop", "barnesbookshop")</f>
        <v>barnesbookshop</v>
      </c>
      <c r="B31646" s="65" t="s">
        <v>12601</v>
      </c>
    </row>
    <row r="31647" spans="1:2" x14ac:dyDescent="0.25">
      <c r="A31647" s="64" t="str">
        <f>HYPERLINK("http://www.twitter.com/SurreyHeritage", "SurreyHeritage")</f>
        <v>SurreyHeritage</v>
      </c>
      <c r="B31647" s="65" t="s">
        <v>238</v>
      </c>
    </row>
    <row r="31648" spans="1:2" x14ac:dyDescent="0.25">
      <c r="A31648" s="64" t="str">
        <f>HYPERLINK("http://www.twitter.com/moneraakter79ya", "moneraakter79ya")</f>
        <v>moneraakter79ya</v>
      </c>
      <c r="B31648" s="65"/>
    </row>
    <row r="31649" spans="1:2" x14ac:dyDescent="0.25">
      <c r="A31649" s="64" t="str">
        <f>HYPERLINK("http://www.twitter.com/SRSRenSoc", "SRSRenSoc")</f>
        <v>SRSRenSoc</v>
      </c>
      <c r="B31649" s="65" t="s">
        <v>70</v>
      </c>
    </row>
    <row r="31650" spans="1:2" x14ac:dyDescent="0.25">
      <c r="A31650" s="64" t="str">
        <f>HYPERLINK("http://www.twitter.com/HeritageHere", "HeritageHere")</f>
        <v>HeritageHere</v>
      </c>
      <c r="B31650" s="65" t="s">
        <v>9486</v>
      </c>
    </row>
    <row r="31651" spans="1:2" x14ac:dyDescent="0.25">
      <c r="A31651" s="64" t="str">
        <f>HYPERLINK("http://www.twitter.com/CILIPinWales", "CILIPinWales")</f>
        <v>CILIPinWales</v>
      </c>
      <c r="B31651" s="65" t="s">
        <v>1221</v>
      </c>
    </row>
    <row r="31652" spans="1:2" x14ac:dyDescent="0.25">
      <c r="A31652" s="64" t="str">
        <f>HYPERLINK("http://www.twitter.com/mireeum", "mireeum")</f>
        <v>mireeum</v>
      </c>
      <c r="B31652" s="65" t="s">
        <v>9326</v>
      </c>
    </row>
    <row r="31653" spans="1:2" x14ac:dyDescent="0.25">
      <c r="A31653" s="64" t="str">
        <f>HYPERLINK("http://www.twitter.com/CarolynAllan1", "CarolynAllan1")</f>
        <v>CarolynAllan1</v>
      </c>
      <c r="B31653" s="65"/>
    </row>
    <row r="31654" spans="1:2" x14ac:dyDescent="0.25">
      <c r="A31654" s="64" t="str">
        <f>HYPERLINK("http://www.twitter.com/NoSoond", "NoSoond")</f>
        <v>NoSoond</v>
      </c>
      <c r="B31654" s="65" t="s">
        <v>20</v>
      </c>
    </row>
    <row r="31655" spans="1:2" x14ac:dyDescent="0.25">
      <c r="A31655" s="64" t="str">
        <f>HYPERLINK("http://www.twitter.com/mrBhistory12", "mrBhistory12")</f>
        <v>mrBhistory12</v>
      </c>
      <c r="B31655" s="65" t="s">
        <v>5163</v>
      </c>
    </row>
    <row r="31656" spans="1:2" x14ac:dyDescent="0.25">
      <c r="A31656" s="64" t="str">
        <f>HYPERLINK("http://www.twitter.com/amysworldd", "amysworldd")</f>
        <v>amysworldd</v>
      </c>
      <c r="B31656" s="65" t="s">
        <v>4019</v>
      </c>
    </row>
    <row r="31657" spans="1:2" x14ac:dyDescent="0.25">
      <c r="A31657" s="64" t="str">
        <f>HYPERLINK("http://www.twitter.com/HartlepoolLibs", "HartlepoolLibs")</f>
        <v>HartlepoolLibs</v>
      </c>
      <c r="B31657" s="65" t="s">
        <v>627</v>
      </c>
    </row>
    <row r="31658" spans="1:2" x14ac:dyDescent="0.25">
      <c r="A31658" s="64" t="str">
        <f>HYPERLINK("http://www.twitter.com/LindaIsaacson", "LindaIsaacson")</f>
        <v>LindaIsaacson</v>
      </c>
      <c r="B31658" s="65" t="s">
        <v>12602</v>
      </c>
    </row>
    <row r="31659" spans="1:2" x14ac:dyDescent="0.25">
      <c r="A31659" s="64" t="str">
        <f>HYPERLINK("http://www.twitter.com/Colric_Tweets", "Colric_Tweets")</f>
        <v>Colric_Tweets</v>
      </c>
      <c r="B31659" s="65"/>
    </row>
    <row r="31660" spans="1:2" x14ac:dyDescent="0.25">
      <c r="A31660" s="64" t="str">
        <f>HYPERLINK("http://www.twitter.com/NorthernReader", "NorthernReader")</f>
        <v>NorthernReader</v>
      </c>
      <c r="B31660" s="65" t="s">
        <v>1328</v>
      </c>
    </row>
    <row r="31661" spans="1:2" x14ac:dyDescent="0.25">
      <c r="A31661" s="64" t="str">
        <f>HYPERLINK("http://www.twitter.com/ClaireMadge", "ClaireMadge")</f>
        <v>ClaireMadge</v>
      </c>
      <c r="B31661" s="65" t="s">
        <v>110</v>
      </c>
    </row>
    <row r="31662" spans="1:2" x14ac:dyDescent="0.25">
      <c r="A31662" s="64" t="str">
        <f>HYPERLINK("http://www.twitter.com/GMDavison", "GMDavison")</f>
        <v>GMDavison</v>
      </c>
      <c r="B31662" s="65"/>
    </row>
    <row r="31663" spans="1:2" x14ac:dyDescent="0.25">
      <c r="A31663" s="64" t="str">
        <f>HYPERLINK("http://www.twitter.com/DarrenThomson01", "DarrenThomson01")</f>
        <v>DarrenThomson01</v>
      </c>
      <c r="B31663" s="65" t="s">
        <v>12603</v>
      </c>
    </row>
    <row r="31664" spans="1:2" x14ac:dyDescent="0.25">
      <c r="A31664" s="64" t="str">
        <f>HYPERLINK("http://www.twitter.com/ahillor", "ahillor")</f>
        <v>ahillor</v>
      </c>
      <c r="B31664" s="65"/>
    </row>
    <row r="31665" spans="1:2" x14ac:dyDescent="0.25">
      <c r="A31665" s="64" t="str">
        <f>HYPERLINK("http://www.twitter.com/carldjcross", "carldjcross")</f>
        <v>carldjcross</v>
      </c>
      <c r="B31665" s="65"/>
    </row>
    <row r="31666" spans="1:2" x14ac:dyDescent="0.25">
      <c r="A31666" s="64" t="str">
        <f>HYPERLINK("http://www.twitter.com/tkjatgs", "tkjatgs")</f>
        <v>tkjatgs</v>
      </c>
      <c r="B31666" s="65"/>
    </row>
    <row r="31667" spans="1:2" x14ac:dyDescent="0.25">
      <c r="A31667" s="64" t="str">
        <f>HYPERLINK("http://www.twitter.com/WalterScottNews", "WalterScottNews")</f>
        <v>WalterScottNews</v>
      </c>
      <c r="B31667" s="65" t="s">
        <v>517</v>
      </c>
    </row>
    <row r="31668" spans="1:2" x14ac:dyDescent="0.25">
      <c r="A31668" s="64" t="str">
        <f>HYPERLINK("http://www.twitter.com/onestopmind", "onestopmind")</f>
        <v>onestopmind</v>
      </c>
      <c r="B31668" s="65" t="s">
        <v>36</v>
      </c>
    </row>
    <row r="31669" spans="1:2" x14ac:dyDescent="0.25">
      <c r="A31669" s="64" t="str">
        <f>HYPERLINK("http://www.twitter.com/cumming200", "cumming200")</f>
        <v>cumming200</v>
      </c>
      <c r="B31669" s="65"/>
    </row>
    <row r="31670" spans="1:2" x14ac:dyDescent="0.25">
      <c r="A31670" s="64" t="str">
        <f>HYPERLINK("http://www.twitter.com/ceiling_goth", "ceiling_goth")</f>
        <v>ceiling_goth</v>
      </c>
      <c r="B31670" s="65" t="s">
        <v>4092</v>
      </c>
    </row>
    <row r="31671" spans="1:2" x14ac:dyDescent="0.25">
      <c r="A31671" s="64" t="str">
        <f>HYPERLINK("http://www.twitter.com/darkwildhorses", "darkwildhorses")</f>
        <v>darkwildhorses</v>
      </c>
      <c r="B31671" s="65" t="s">
        <v>5667</v>
      </c>
    </row>
    <row r="31672" spans="1:2" x14ac:dyDescent="0.25">
      <c r="A31672" s="64" t="str">
        <f>HYPERLINK("http://www.twitter.com/MissJane_Marple", "MissJane_Marple")</f>
        <v>MissJane_Marple</v>
      </c>
      <c r="B31672" s="65" t="s">
        <v>12604</v>
      </c>
    </row>
    <row r="31673" spans="1:2" x14ac:dyDescent="0.25">
      <c r="A31673" s="64" t="str">
        <f>HYPERLINK("http://www.twitter.com/eTricklebank", "eTricklebank")</f>
        <v>eTricklebank</v>
      </c>
      <c r="B31673" s="65" t="s">
        <v>12605</v>
      </c>
    </row>
    <row r="31674" spans="1:2" x14ac:dyDescent="0.25">
      <c r="A31674" s="64" t="str">
        <f>HYPERLINK("http://www.twitter.com/ronda_g", "ronda_g")</f>
        <v>ronda_g</v>
      </c>
      <c r="B31674" s="65"/>
    </row>
    <row r="31675" spans="1:2" x14ac:dyDescent="0.25">
      <c r="A31675" s="64" t="str">
        <f>HYPERLINK("http://www.twitter.com/anneruab", "anneruab")</f>
        <v>anneruab</v>
      </c>
      <c r="B31675" s="65" t="s">
        <v>6381</v>
      </c>
    </row>
    <row r="31676" spans="1:2" x14ac:dyDescent="0.25">
      <c r="A31676" s="64" t="str">
        <f>HYPERLINK("http://www.twitter.com/peedieskarf", "peedieskarf")</f>
        <v>peedieskarf</v>
      </c>
      <c r="B31676" s="65"/>
    </row>
    <row r="31677" spans="1:2" x14ac:dyDescent="0.25">
      <c r="A31677" s="64" t="str">
        <f>HYPERLINK("http://www.twitter.com/CardiffTeaCup", "CardiffTeaCup")</f>
        <v>CardiffTeaCup</v>
      </c>
      <c r="B31677" s="65" t="s">
        <v>427</v>
      </c>
    </row>
    <row r="31678" spans="1:2" x14ac:dyDescent="0.25">
      <c r="A31678" s="64" t="str">
        <f>HYPERLINK("http://www.twitter.com/clements100b", "clements100b")</f>
        <v>clements100b</v>
      </c>
      <c r="B31678" s="65" t="s">
        <v>12606</v>
      </c>
    </row>
    <row r="31679" spans="1:2" x14ac:dyDescent="0.25">
      <c r="A31679" s="64" t="str">
        <f>HYPERLINK("http://www.twitter.com/JuliaBacon153", "JuliaBacon153")</f>
        <v>JuliaBacon153</v>
      </c>
      <c r="B31679" s="65"/>
    </row>
    <row r="31680" spans="1:2" x14ac:dyDescent="0.25">
      <c r="A31680" s="64" t="str">
        <f>HYPERLINK("http://www.twitter.com/SoupySoupySue", "SoupySoupySue")</f>
        <v>SoupySoupySue</v>
      </c>
      <c r="B31680" s="65" t="s">
        <v>102</v>
      </c>
    </row>
    <row r="31681" spans="1:2" x14ac:dyDescent="0.25">
      <c r="A31681" s="64" t="str">
        <f>HYPERLINK("http://www.twitter.com/aistronach", "aistronach")</f>
        <v>aistronach</v>
      </c>
      <c r="B31681" s="65" t="s">
        <v>2213</v>
      </c>
    </row>
    <row r="31682" spans="1:2" x14ac:dyDescent="0.25">
      <c r="A31682" s="64" t="str">
        <f>HYPERLINK("http://www.twitter.com/SqueakinglyJen", "SqueakinglyJen")</f>
        <v>SqueakinglyJen</v>
      </c>
      <c r="B31682" s="65" t="s">
        <v>36</v>
      </c>
    </row>
    <row r="31683" spans="1:2" x14ac:dyDescent="0.25">
      <c r="A31683" s="64" t="str">
        <f>HYPERLINK("http://www.twitter.com/moirajeffrey", "moirajeffrey")</f>
        <v>moirajeffrey</v>
      </c>
      <c r="B31683" s="65" t="s">
        <v>5212</v>
      </c>
    </row>
    <row r="31684" spans="1:2" x14ac:dyDescent="0.25">
      <c r="A31684" s="64" t="str">
        <f>HYPERLINK("http://www.twitter.com/NoraNielsen1", "NoraNielsen1")</f>
        <v>NoraNielsen1</v>
      </c>
      <c r="B31684" s="65" t="s">
        <v>12607</v>
      </c>
    </row>
    <row r="31685" spans="1:2" x14ac:dyDescent="0.25">
      <c r="A31685" s="64" t="str">
        <f>HYPERLINK("http://www.twitter.com/KelleherBex", "KelleherBex")</f>
        <v>KelleherBex</v>
      </c>
      <c r="B31685" s="65" t="s">
        <v>3890</v>
      </c>
    </row>
    <row r="31686" spans="1:2" x14ac:dyDescent="0.25">
      <c r="A31686" s="64" t="str">
        <f>HYPERLINK("http://www.twitter.com/Moneypenny1981", "Moneypenny1981")</f>
        <v>Moneypenny1981</v>
      </c>
      <c r="B31686" s="65"/>
    </row>
    <row r="31687" spans="1:2" x14ac:dyDescent="0.25">
      <c r="A31687" s="64" t="str">
        <f>HYPERLINK("http://www.twitter.com/LaingArtGallery", "LaingArtGallery")</f>
        <v>LaingArtGallery</v>
      </c>
      <c r="B31687" s="65" t="s">
        <v>361</v>
      </c>
    </row>
    <row r="31688" spans="1:2" x14ac:dyDescent="0.25">
      <c r="A31688" s="64" t="str">
        <f>HYPERLINK("http://www.twitter.com/vikkim77", "vikkim77")</f>
        <v>vikkim77</v>
      </c>
      <c r="B31688" s="65" t="s">
        <v>4760</v>
      </c>
    </row>
    <row r="31689" spans="1:2" x14ac:dyDescent="0.25">
      <c r="A31689" s="64" t="str">
        <f>HYPERLINK("http://www.twitter.com/TheLateShows", "TheLateShows")</f>
        <v>TheLateShows</v>
      </c>
      <c r="B31689" s="65" t="s">
        <v>12608</v>
      </c>
    </row>
    <row r="31690" spans="1:2" x14ac:dyDescent="0.25">
      <c r="A31690" s="64" t="str">
        <f>HYPERLINK("http://www.twitter.com/charlotteats", "charlotteats")</f>
        <v>charlotteats</v>
      </c>
      <c r="B31690" s="65"/>
    </row>
    <row r="31691" spans="1:2" x14ac:dyDescent="0.25">
      <c r="A31691" s="64" t="str">
        <f>HYPERLINK("http://www.twitter.com/lazulus", "lazulus")</f>
        <v>lazulus</v>
      </c>
      <c r="B31691" s="65" t="s">
        <v>12609</v>
      </c>
    </row>
    <row r="31692" spans="1:2" x14ac:dyDescent="0.25">
      <c r="A31692" s="64" t="str">
        <f>HYPERLINK("http://www.twitter.com/bibliosuk", "bibliosuk")</f>
        <v>bibliosuk</v>
      </c>
      <c r="B31692" s="65" t="s">
        <v>12610</v>
      </c>
    </row>
    <row r="31693" spans="1:2" x14ac:dyDescent="0.25">
      <c r="A31693" s="64" t="str">
        <f>HYPERLINK("http://www.twitter.com/heraldscotland", "heraldscotland")</f>
        <v>heraldscotland</v>
      </c>
      <c r="B31693" s="65" t="s">
        <v>517</v>
      </c>
    </row>
    <row r="31694" spans="1:2" x14ac:dyDescent="0.25">
      <c r="A31694" s="64" t="str">
        <f>HYPERLINK("http://www.twitter.com/The_BookDoctor", "The_BookDoctor")</f>
        <v>The_BookDoctor</v>
      </c>
      <c r="B31694" s="65" t="s">
        <v>1226</v>
      </c>
    </row>
    <row r="31695" spans="1:2" x14ac:dyDescent="0.25">
      <c r="A31695" s="64" t="str">
        <f>HYPERLINK("http://www.twitter.com/Celiaka", "Celiaka")</f>
        <v>Celiaka</v>
      </c>
      <c r="B31695" s="65" t="s">
        <v>487</v>
      </c>
    </row>
    <row r="31696" spans="1:2" x14ac:dyDescent="0.25">
      <c r="A31696" s="64" t="str">
        <f>HYPERLINK("http://www.twitter.com/MalteserAnne", "MalteserAnne")</f>
        <v>MalteserAnne</v>
      </c>
      <c r="B31696" s="65"/>
    </row>
    <row r="31697" spans="1:2" x14ac:dyDescent="0.25">
      <c r="A31697" s="64" t="str">
        <f>HYPERLINK("http://www.twitter.com/stockwellgreen", "stockwellgreen")</f>
        <v>stockwellgreen</v>
      </c>
      <c r="B31697" s="65" t="s">
        <v>12611</v>
      </c>
    </row>
    <row r="31698" spans="1:2" x14ac:dyDescent="0.25">
      <c r="A31698" s="64" t="str">
        <f>HYPERLINK("http://www.twitter.com/mwmcdowell", "mwmcdowell")</f>
        <v>mwmcdowell</v>
      </c>
      <c r="B31698" s="65" t="s">
        <v>12612</v>
      </c>
    </row>
    <row r="31699" spans="1:2" x14ac:dyDescent="0.25">
      <c r="A31699" s="64" t="str">
        <f>HYPERLINK("http://www.twitter.com/joannae", "joannae")</f>
        <v>joannae</v>
      </c>
      <c r="B31699" s="65"/>
    </row>
    <row r="31700" spans="1:2" x14ac:dyDescent="0.25">
      <c r="A31700" s="64" t="str">
        <f>HYPERLINK("http://www.twitter.com/MrsGerdwilker", "MrsGerdwilker")</f>
        <v>MrsGerdwilker</v>
      </c>
      <c r="B31700" s="65" t="s">
        <v>4969</v>
      </c>
    </row>
    <row r="31701" spans="1:2" x14ac:dyDescent="0.25">
      <c r="A31701" s="64" t="str">
        <f>HYPERLINK("http://www.twitter.com/Eggstones", "Eggstones")</f>
        <v>Eggstones</v>
      </c>
      <c r="B31701" s="65" t="s">
        <v>12613</v>
      </c>
    </row>
    <row r="31702" spans="1:2" x14ac:dyDescent="0.25">
      <c r="A31702" s="64" t="str">
        <f>HYPERLINK("http://www.twitter.com/ebcf", "ebcf")</f>
        <v>ebcf</v>
      </c>
      <c r="B31702" s="65" t="s">
        <v>12614</v>
      </c>
    </row>
    <row r="31703" spans="1:2" x14ac:dyDescent="0.25">
      <c r="A31703" s="64" t="str">
        <f>HYPERLINK("http://www.twitter.com/SusanLearmonth2", "SusanLearmonth2")</f>
        <v>SusanLearmonth2</v>
      </c>
      <c r="B31703" s="65"/>
    </row>
    <row r="31704" spans="1:2" x14ac:dyDescent="0.25">
      <c r="A31704" s="64" t="str">
        <f>HYPERLINK("http://www.twitter.com/IrvineLaurence", "IrvineLaurence")</f>
        <v>IrvineLaurence</v>
      </c>
      <c r="B31704" s="65"/>
    </row>
    <row r="31705" spans="1:2" x14ac:dyDescent="0.25">
      <c r="A31705" s="64" t="str">
        <f>HYPERLINK("http://www.twitter.com/Mountblair", "Mountblair")</f>
        <v>Mountblair</v>
      </c>
      <c r="B31705" s="65" t="s">
        <v>20</v>
      </c>
    </row>
    <row r="31706" spans="1:2" x14ac:dyDescent="0.25">
      <c r="A31706" s="64" t="str">
        <f>HYPERLINK("http://www.twitter.com/ScotlandsDNA", "ScotlandsDNA")</f>
        <v>ScotlandsDNA</v>
      </c>
      <c r="B31706" s="65" t="s">
        <v>517</v>
      </c>
    </row>
    <row r="31707" spans="1:2" x14ac:dyDescent="0.25">
      <c r="A31707" s="64" t="str">
        <f>HYPERLINK("http://www.twitter.com/Neenypie777", "Neenypie777")</f>
        <v>Neenypie777</v>
      </c>
      <c r="B31707" s="65"/>
    </row>
    <row r="31708" spans="1:2" x14ac:dyDescent="0.25">
      <c r="A31708" s="64" t="str">
        <f>HYPERLINK("http://www.twitter.com/Laura_H_D", "Laura_H_D")</f>
        <v>Laura_H_D</v>
      </c>
      <c r="B31708" s="65" t="s">
        <v>2283</v>
      </c>
    </row>
    <row r="31709" spans="1:2" x14ac:dyDescent="0.25">
      <c r="A31709" s="64" t="str">
        <f>HYPERLINK("http://www.twitter.com/rachelcotterill", "rachelcotterill")</f>
        <v>rachelcotterill</v>
      </c>
      <c r="B31709" s="65" t="s">
        <v>4854</v>
      </c>
    </row>
    <row r="31710" spans="1:2" x14ac:dyDescent="0.25">
      <c r="A31710" s="64" t="str">
        <f>HYPERLINK("http://www.twitter.com/NatashaMHughes", "NatashaMHughes")</f>
        <v>NatashaMHughes</v>
      </c>
      <c r="B31710" s="65" t="s">
        <v>70</v>
      </c>
    </row>
    <row r="31711" spans="1:2" x14ac:dyDescent="0.25">
      <c r="A31711" s="64" t="str">
        <f>HYPERLINK("http://www.twitter.com/IamFraserMac", "IamFraserMac")</f>
        <v>IamFraserMac</v>
      </c>
      <c r="B31711" s="65" t="s">
        <v>487</v>
      </c>
    </row>
    <row r="31712" spans="1:2" x14ac:dyDescent="0.25">
      <c r="A31712" s="64" t="str">
        <f>HYPERLINK("http://www.twitter.com/fortyfive_rpm", "fortyfive_rpm")</f>
        <v>fortyfive_rpm</v>
      </c>
      <c r="B31712" s="65" t="s">
        <v>12615</v>
      </c>
    </row>
    <row r="31713" spans="1:2" x14ac:dyDescent="0.25">
      <c r="A31713" s="64" t="str">
        <f>HYPERLINK("http://www.twitter.com/clairedonlan", "clairedonlan")</f>
        <v>clairedonlan</v>
      </c>
      <c r="B31713" s="65"/>
    </row>
    <row r="31714" spans="1:2" x14ac:dyDescent="0.25">
      <c r="A31714" s="64" t="str">
        <f>HYPERLINK("http://www.twitter.com/EwoksSpeakEngli", "EwoksSpeakEngli")</f>
        <v>EwoksSpeakEngli</v>
      </c>
      <c r="B31714" s="65"/>
    </row>
    <row r="31715" spans="1:2" x14ac:dyDescent="0.25">
      <c r="A31715" s="64" t="str">
        <f>HYPERLINK("http://www.twitter.com/JillLawless", "JillLawless")</f>
        <v>JillLawless</v>
      </c>
      <c r="B31715" s="65"/>
    </row>
    <row r="31716" spans="1:2" x14ac:dyDescent="0.25">
      <c r="A31716" s="64" t="str">
        <f>HYPERLINK("http://www.twitter.com/WondrousMerry", "WondrousMerry")</f>
        <v>WondrousMerry</v>
      </c>
      <c r="B31716" s="65"/>
    </row>
    <row r="31717" spans="1:2" x14ac:dyDescent="0.25">
      <c r="A31717" s="64" t="str">
        <f>HYPERLINK("http://www.twitter.com/XStitchBecki", "XStitchBecki")</f>
        <v>XStitchBecki</v>
      </c>
      <c r="B31717" s="65" t="s">
        <v>5943</v>
      </c>
    </row>
    <row r="31718" spans="1:2" x14ac:dyDescent="0.25">
      <c r="A31718" s="64" t="str">
        <f>HYPERLINK("http://www.twitter.com/EmbraciveMusic", "EmbraciveMusic")</f>
        <v>EmbraciveMusic</v>
      </c>
      <c r="B31718" s="65"/>
    </row>
    <row r="31719" spans="1:2" x14ac:dyDescent="0.25">
      <c r="A31719" s="64" t="str">
        <f>HYPERLINK("http://www.twitter.com/DavidAirboot", "DavidAirboot")</f>
        <v>DavidAirboot</v>
      </c>
      <c r="B31719" s="65" t="s">
        <v>12616</v>
      </c>
    </row>
    <row r="31720" spans="1:2" x14ac:dyDescent="0.25">
      <c r="A31720" s="64" t="str">
        <f>HYPERLINK("http://www.twitter.com/sprattclaire", "sprattclaire")</f>
        <v>sprattclaire</v>
      </c>
      <c r="B31720" s="65" t="s">
        <v>12617</v>
      </c>
    </row>
    <row r="31721" spans="1:2" x14ac:dyDescent="0.25">
      <c r="A31721" s="64" t="str">
        <f>HYPERLINK("http://www.twitter.com/clarebristow", "clarebristow")</f>
        <v>clarebristow</v>
      </c>
      <c r="B31721" s="65" t="s">
        <v>4289</v>
      </c>
    </row>
    <row r="31722" spans="1:2" x14ac:dyDescent="0.25">
      <c r="A31722" s="64" t="str">
        <f>HYPERLINK("http://www.twitter.com/helgambo", "helgambo")</f>
        <v>helgambo</v>
      </c>
      <c r="B31722" s="65" t="s">
        <v>4273</v>
      </c>
    </row>
    <row r="31723" spans="1:2" x14ac:dyDescent="0.25">
      <c r="A31723" s="64" t="str">
        <f>HYPERLINK("http://www.twitter.com/ZedBooks", "ZedBooks")</f>
        <v>ZedBooks</v>
      </c>
      <c r="B31723" s="65" t="s">
        <v>36</v>
      </c>
    </row>
    <row r="31724" spans="1:2" x14ac:dyDescent="0.25">
      <c r="A31724" s="64" t="str">
        <f>HYPERLINK("http://www.twitter.com/ScotlandsPeople", "ScotlandsPeople")</f>
        <v>ScotlandsPeople</v>
      </c>
      <c r="B31724" s="65"/>
    </row>
    <row r="31725" spans="1:2" x14ac:dyDescent="0.25">
      <c r="A31725" s="64" t="str">
        <f>HYPERLINK("http://www.twitter.com/SAVEDPHOTO", "SAVEDPHOTO")</f>
        <v>SAVEDPHOTO</v>
      </c>
      <c r="B31725" s="65" t="s">
        <v>12618</v>
      </c>
    </row>
    <row r="31726" spans="1:2" x14ac:dyDescent="0.25">
      <c r="A31726" s="64" t="str">
        <f>HYPERLINK("http://www.twitter.com/CUSciLiby", "CUSciLiby")</f>
        <v>CUSciLiby</v>
      </c>
      <c r="B31726" s="65" t="s">
        <v>1218</v>
      </c>
    </row>
    <row r="31727" spans="1:2" x14ac:dyDescent="0.25">
      <c r="A31727" s="64" t="str">
        <f>HYPERLINK("http://www.twitter.com/LydiaMarcal", "LydiaMarcal")</f>
        <v>LydiaMarcal</v>
      </c>
      <c r="B31727" s="65" t="s">
        <v>36</v>
      </c>
    </row>
    <row r="31728" spans="1:2" x14ac:dyDescent="0.25">
      <c r="A31728" s="64" t="str">
        <f>HYPERLINK("http://www.twitter.com/CarouselDave", "CarouselDave")</f>
        <v>CarouselDave</v>
      </c>
      <c r="B31728" s="65" t="s">
        <v>12619</v>
      </c>
    </row>
    <row r="31729" spans="1:2" x14ac:dyDescent="0.25">
      <c r="A31729" s="64" t="str">
        <f>HYPERLINK("http://www.twitter.com/SaveCroydonLibs", "SaveCroydonLibs")</f>
        <v>SaveCroydonLibs</v>
      </c>
      <c r="B31729" s="65" t="s">
        <v>1250</v>
      </c>
    </row>
    <row r="31730" spans="1:2" x14ac:dyDescent="0.25">
      <c r="A31730" s="64" t="str">
        <f>HYPERLINK("http://www.twitter.com/p34rlm", "p34rlm")</f>
        <v>p34rlm</v>
      </c>
      <c r="B31730" s="65" t="s">
        <v>12620</v>
      </c>
    </row>
    <row r="31731" spans="1:2" x14ac:dyDescent="0.25">
      <c r="A31731" s="64" t="str">
        <f>HYPERLINK("http://www.twitter.com/witchlet", "witchlet")</f>
        <v>witchlet</v>
      </c>
      <c r="B31731" s="65" t="s">
        <v>5336</v>
      </c>
    </row>
    <row r="31732" spans="1:2" x14ac:dyDescent="0.25">
      <c r="A31732" s="64" t="str">
        <f>HYPERLINK("http://www.twitter.com/Kerry_SimpleDL", "Kerry_SimpleDL")</f>
        <v>Kerry_SimpleDL</v>
      </c>
      <c r="B31732" s="65" t="s">
        <v>4039</v>
      </c>
    </row>
    <row r="31733" spans="1:2" x14ac:dyDescent="0.25">
      <c r="A31733" s="64" t="str">
        <f>HYPERLINK("http://www.twitter.com/lorraine_nic", "lorraine_nic")</f>
        <v>lorraine_nic</v>
      </c>
      <c r="B31733" s="65"/>
    </row>
    <row r="31734" spans="1:2" x14ac:dyDescent="0.25">
      <c r="A31734" s="64" t="str">
        <f>HYPERLINK("http://www.twitter.com/calebwegener", "calebwegener")</f>
        <v>calebwegener</v>
      </c>
      <c r="B31734" s="65"/>
    </row>
    <row r="31735" spans="1:2" x14ac:dyDescent="0.25">
      <c r="A31735" s="64" t="str">
        <f>HYPERLINK("http://www.twitter.com/MHRABooks", "MHRABooks")</f>
        <v>MHRABooks</v>
      </c>
      <c r="B31735" s="65" t="s">
        <v>12621</v>
      </c>
    </row>
    <row r="31736" spans="1:2" x14ac:dyDescent="0.25">
      <c r="A31736" s="64" t="str">
        <f>HYPERLINK("http://www.twitter.com/Suitedlibrarian", "Suitedlibrarian")</f>
        <v>Suitedlibrarian</v>
      </c>
      <c r="B31736" s="65" t="s">
        <v>12622</v>
      </c>
    </row>
    <row r="31737" spans="1:2" x14ac:dyDescent="0.25">
      <c r="A31737" s="64" t="str">
        <f>HYPERLINK("http://www.twitter.com/RachelJMcG", "RachelJMcG")</f>
        <v>RachelJMcG</v>
      </c>
      <c r="B31737" s="65" t="s">
        <v>12623</v>
      </c>
    </row>
    <row r="31738" spans="1:2" x14ac:dyDescent="0.25">
      <c r="A31738" s="64" t="str">
        <f>HYPERLINK("http://www.twitter.com/tusky33", "tusky33")</f>
        <v>tusky33</v>
      </c>
      <c r="B31738" s="65" t="s">
        <v>12624</v>
      </c>
    </row>
    <row r="31739" spans="1:2" x14ac:dyDescent="0.25">
      <c r="A31739" s="64" t="str">
        <f>HYPERLINK("http://www.twitter.com/SuttonArchives", "SuttonArchives")</f>
        <v>SuttonArchives</v>
      </c>
      <c r="B31739" s="65" t="s">
        <v>12625</v>
      </c>
    </row>
    <row r="31740" spans="1:2" x14ac:dyDescent="0.25">
      <c r="A31740" s="64" t="str">
        <f>HYPERLINK("http://www.twitter.com/ASLibrary", "ASLibrary")</f>
        <v>ASLibrary</v>
      </c>
      <c r="B31740" s="65" t="s">
        <v>12626</v>
      </c>
    </row>
    <row r="31741" spans="1:2" x14ac:dyDescent="0.25">
      <c r="A31741" s="64" t="str">
        <f>HYPERLINK("http://www.twitter.com/Kathryn_James", "Kathryn_James")</f>
        <v>Kathryn_James</v>
      </c>
      <c r="B31741" s="65" t="s">
        <v>1226</v>
      </c>
    </row>
    <row r="31742" spans="1:2" x14ac:dyDescent="0.25">
      <c r="A31742" s="64" t="str">
        <f>HYPERLINK("http://www.twitter.com/spanishguitar85", "spanishguitar85")</f>
        <v>spanishguitar85</v>
      </c>
      <c r="B31742" s="65"/>
    </row>
    <row r="31743" spans="1:2" x14ac:dyDescent="0.25">
      <c r="A31743" s="64" t="str">
        <f>HYPERLINK("http://www.twitter.com/ConspiracyCase", "ConspiracyCase")</f>
        <v>ConspiracyCase</v>
      </c>
      <c r="B31743" s="65" t="s">
        <v>12544</v>
      </c>
    </row>
    <row r="31744" spans="1:2" x14ac:dyDescent="0.25">
      <c r="A31744" s="64" t="str">
        <f>HYPERLINK("http://www.twitter.com/TracyMckay1", "TracyMckay1")</f>
        <v>TracyMckay1</v>
      </c>
      <c r="B31744" s="65" t="s">
        <v>5817</v>
      </c>
    </row>
    <row r="31745" spans="1:2" x14ac:dyDescent="0.25">
      <c r="A31745" s="64" t="str">
        <f>HYPERLINK("http://www.twitter.com/HelenDahlke", "HelenDahlke")</f>
        <v>HelenDahlke</v>
      </c>
      <c r="B31745" s="65"/>
    </row>
    <row r="31746" spans="1:2" x14ac:dyDescent="0.25">
      <c r="A31746" s="64" t="str">
        <f>HYPERLINK("http://www.twitter.com/CILIPPastPres", "CILIPPastPres")</f>
        <v>CILIPPastPres</v>
      </c>
      <c r="B31746" s="65" t="s">
        <v>12627</v>
      </c>
    </row>
    <row r="31747" spans="1:2" x14ac:dyDescent="0.25">
      <c r="A31747" s="64" t="str">
        <f>HYPERLINK("http://www.twitter.com/slotherland", "slotherland")</f>
        <v>slotherland</v>
      </c>
      <c r="B31747" s="65" t="s">
        <v>12628</v>
      </c>
    </row>
    <row r="31748" spans="1:2" x14ac:dyDescent="0.25">
      <c r="A31748" s="64" t="str">
        <f>HYPERLINK("http://www.twitter.com/StHughsLibrary", "StHughsLibrary")</f>
        <v>StHughsLibrary</v>
      </c>
      <c r="B31748" s="65" t="s">
        <v>1189</v>
      </c>
    </row>
    <row r="31749" spans="1:2" x14ac:dyDescent="0.25">
      <c r="A31749" s="64" t="str">
        <f>HYPERLINK("http://www.twitter.com/bodyinlibrary", "bodyinlibrary")</f>
        <v>bodyinlibrary</v>
      </c>
      <c r="B31749" s="65"/>
    </row>
    <row r="31750" spans="1:2" x14ac:dyDescent="0.25">
      <c r="A31750" s="64" t="str">
        <f>HYPERLINK("http://www.twitter.com/danielstoves", "danielstoves")</f>
        <v>danielstoves</v>
      </c>
      <c r="B31750" s="65" t="s">
        <v>11790</v>
      </c>
    </row>
    <row r="31751" spans="1:2" x14ac:dyDescent="0.25">
      <c r="A31751" s="64" t="str">
        <f>HYPERLINK("http://www.twitter.com/derekpatrick74", "derekpatrick74")</f>
        <v>derekpatrick74</v>
      </c>
      <c r="B31751" s="65" t="s">
        <v>138</v>
      </c>
    </row>
    <row r="31752" spans="1:2" x14ac:dyDescent="0.25">
      <c r="A31752" s="64" t="str">
        <f>HYPERLINK("http://www.twitter.com/EGraham000", "EGraham000")</f>
        <v>EGraham000</v>
      </c>
      <c r="B31752" s="65"/>
    </row>
    <row r="31753" spans="1:2" x14ac:dyDescent="0.25">
      <c r="A31753" s="64" t="str">
        <f>HYPERLINK("http://www.twitter.com/scallowegian", "scallowegian")</f>
        <v>scallowegian</v>
      </c>
      <c r="B31753" s="65" t="s">
        <v>138</v>
      </c>
    </row>
    <row r="31754" spans="1:2" x14ac:dyDescent="0.25">
      <c r="A31754" s="64" t="str">
        <f>HYPERLINK("http://www.twitter.com/mahtwitty", "mahtwitty")</f>
        <v>mahtwitty</v>
      </c>
      <c r="B31754" s="65" t="s">
        <v>12629</v>
      </c>
    </row>
    <row r="31755" spans="1:2" x14ac:dyDescent="0.25">
      <c r="A31755" s="64" t="str">
        <f>HYPERLINK("http://www.twitter.com/HeatherRMorris", "HeatherRMorris")</f>
        <v>HeatherRMorris</v>
      </c>
      <c r="B31755" s="65" t="s">
        <v>2788</v>
      </c>
    </row>
    <row r="31756" spans="1:2" x14ac:dyDescent="0.25">
      <c r="A31756" s="64" t="str">
        <f>HYPERLINK("http://www.twitter.com/_joelfe", "_joelfe")</f>
        <v>_joelfe</v>
      </c>
      <c r="B31756" s="65" t="s">
        <v>296</v>
      </c>
    </row>
    <row r="31757" spans="1:2" x14ac:dyDescent="0.25">
      <c r="A31757" s="64" t="str">
        <f>HYPERLINK("http://www.twitter.com/BarhamLibrary", "BarhamLibrary")</f>
        <v>BarhamLibrary</v>
      </c>
      <c r="B31757" s="65" t="s">
        <v>12630</v>
      </c>
    </row>
    <row r="31758" spans="1:2" x14ac:dyDescent="0.25">
      <c r="A31758" s="64" t="str">
        <f>HYPERLINK("http://www.twitter.com/Elena_Sleeman", "Elena_Sleeman")</f>
        <v>Elena_Sleeman</v>
      </c>
      <c r="B31758" s="65" t="s">
        <v>3988</v>
      </c>
    </row>
    <row r="31759" spans="1:2" x14ac:dyDescent="0.25">
      <c r="A31759" s="64" t="str">
        <f>HYPERLINK("http://www.twitter.com/KazzieCotton", "KazzieCotton")</f>
        <v>KazzieCotton</v>
      </c>
      <c r="B31759" s="65" t="s">
        <v>296</v>
      </c>
    </row>
    <row r="31760" spans="1:2" x14ac:dyDescent="0.25">
      <c r="A31760" s="64" t="str">
        <f>HYPERLINK("http://www.twitter.com/MmITScotland", "MmITScotland")</f>
        <v>MmITScotland</v>
      </c>
      <c r="B31760" s="65" t="s">
        <v>517</v>
      </c>
    </row>
    <row r="31761" spans="1:2" x14ac:dyDescent="0.25">
      <c r="A31761" s="64" t="str">
        <f>HYPERLINK("http://www.twitter.com/LGBTHistoryScot", "LGBTHistoryScot")</f>
        <v>LGBTHistoryScot</v>
      </c>
      <c r="B31761" s="65" t="s">
        <v>517</v>
      </c>
    </row>
    <row r="31762" spans="1:2" x14ac:dyDescent="0.25">
      <c r="A31762" s="64" t="str">
        <f>HYPERLINK("http://www.twitter.com/ErinnBatykefer", "ErinnBatykefer")</f>
        <v>ErinnBatykefer</v>
      </c>
      <c r="B31762" s="65" t="s">
        <v>4001</v>
      </c>
    </row>
    <row r="31763" spans="1:2" x14ac:dyDescent="0.25">
      <c r="A31763" s="64" t="str">
        <f>HYPERLINK("http://www.twitter.com/IArtLibraries", "IArtLibraries")</f>
        <v>IArtLibraries</v>
      </c>
      <c r="B31763" s="65" t="s">
        <v>6447</v>
      </c>
    </row>
    <row r="31764" spans="1:2" x14ac:dyDescent="0.25">
      <c r="A31764" s="64" t="str">
        <f>HYPERLINK("http://www.twitter.com/Nicklafford38", "Nicklafford38")</f>
        <v>Nicklafford38</v>
      </c>
      <c r="B31764" s="65"/>
    </row>
    <row r="31765" spans="1:2" x14ac:dyDescent="0.25">
      <c r="A31765" s="64" t="str">
        <f>HYPERLINK("http://www.twitter.com/LizandJacky", "LizandJacky")</f>
        <v>LizandJacky</v>
      </c>
      <c r="B31765" s="65" t="s">
        <v>12631</v>
      </c>
    </row>
    <row r="31766" spans="1:2" x14ac:dyDescent="0.25">
      <c r="A31766" s="64" t="str">
        <f>HYPERLINK("http://www.twitter.com/Plussearch", "Plussearch")</f>
        <v>Plussearch</v>
      </c>
      <c r="B31766" s="65" t="s">
        <v>33</v>
      </c>
    </row>
    <row r="31767" spans="1:2" x14ac:dyDescent="0.25">
      <c r="A31767" s="64" t="str">
        <f>HYPERLINK("http://www.twitter.com/HeritageWSHC", "HeritageWSHC")</f>
        <v>HeritageWSHC</v>
      </c>
      <c r="B31767" s="65" t="s">
        <v>12572</v>
      </c>
    </row>
    <row r="31768" spans="1:2" x14ac:dyDescent="0.25">
      <c r="A31768" s="64" t="str">
        <f>HYPERLINK("http://www.twitter.com/JaneFLawrenson", "JaneFLawrenson")</f>
        <v>JaneFLawrenson</v>
      </c>
      <c r="B31768" s="65" t="s">
        <v>808</v>
      </c>
    </row>
    <row r="31769" spans="1:2" x14ac:dyDescent="0.25">
      <c r="A31769" s="64" t="str">
        <f>HYPERLINK("http://www.twitter.com/holidayspyNI", "holidayspyNI")</f>
        <v>holidayspyNI</v>
      </c>
      <c r="B31769" s="65" t="s">
        <v>12632</v>
      </c>
    </row>
    <row r="31770" spans="1:2" x14ac:dyDescent="0.25">
      <c r="A31770" s="64" t="str">
        <f>HYPERLINK("http://www.twitter.com/MrJonMcKay", "MrJonMcKay")</f>
        <v>MrJonMcKay</v>
      </c>
      <c r="B31770" s="65" t="s">
        <v>24</v>
      </c>
    </row>
    <row r="31771" spans="1:2" x14ac:dyDescent="0.25">
      <c r="A31771" s="64" t="str">
        <f>HYPERLINK("http://www.twitter.com/CranLibrary", "CranLibrary")</f>
        <v>CranLibrary</v>
      </c>
      <c r="B31771" s="65" t="s">
        <v>12633</v>
      </c>
    </row>
    <row r="31772" spans="1:2" x14ac:dyDescent="0.25">
      <c r="A31772" s="64" t="str">
        <f>HYPERLINK("http://www.twitter.com/MizElainious", "MizElainious")</f>
        <v>MizElainious</v>
      </c>
      <c r="B31772" s="65" t="s">
        <v>20</v>
      </c>
    </row>
    <row r="31773" spans="1:2" x14ac:dyDescent="0.25">
      <c r="A31773" s="64" t="str">
        <f>HYPERLINK("http://www.twitter.com/janibbott", "janibbott")</f>
        <v>janibbott</v>
      </c>
      <c r="B31773" s="65" t="s">
        <v>296</v>
      </c>
    </row>
    <row r="31774" spans="1:2" x14ac:dyDescent="0.25">
      <c r="A31774" s="64" t="str">
        <f>HYPERLINK("http://www.twitter.com/kitaqitawob", "kitaqitawob")</f>
        <v>kitaqitawob</v>
      </c>
      <c r="B31774" s="65" t="s">
        <v>5071</v>
      </c>
    </row>
    <row r="31775" spans="1:2" x14ac:dyDescent="0.25">
      <c r="A31775" s="64" t="str">
        <f>HYPERLINK("http://www.twitter.com/voxedez", "voxedez")</f>
        <v>voxedez</v>
      </c>
      <c r="B31775" s="65"/>
    </row>
    <row r="31776" spans="1:2" x14ac:dyDescent="0.25">
      <c r="A31776" s="64" t="str">
        <f>HYPERLINK("http://www.twitter.com/DemcoInteriors", "DemcoInteriors")</f>
        <v>DemcoInteriors</v>
      </c>
      <c r="B31776" s="65" t="s">
        <v>6946</v>
      </c>
    </row>
    <row r="31777" spans="1:2" x14ac:dyDescent="0.25">
      <c r="A31777" s="64" t="str">
        <f>HYPERLINK("http://www.twitter.com/LibBreakfast", "LibBreakfast")</f>
        <v>LibBreakfast</v>
      </c>
      <c r="B31777" s="65" t="s">
        <v>12634</v>
      </c>
    </row>
    <row r="31778" spans="1:2" x14ac:dyDescent="0.25">
      <c r="A31778" s="64" t="str">
        <f>HYPERLINK("http://www.twitter.com/Yvesthecat", "Yvesthecat")</f>
        <v>Yvesthecat</v>
      </c>
      <c r="B31778" s="65"/>
    </row>
    <row r="31779" spans="1:2" x14ac:dyDescent="0.25">
      <c r="A31779" s="64" t="str">
        <f>HYPERLINK("http://www.twitter.com/LibWig", "LibWig")</f>
        <v>LibWig</v>
      </c>
      <c r="B31779" s="65" t="s">
        <v>36</v>
      </c>
    </row>
    <row r="31780" spans="1:2" x14ac:dyDescent="0.25">
      <c r="A31780" s="64" t="str">
        <f>HYPERLINK("http://www.twitter.com/RobKRead", "RobKRead")</f>
        <v>RobKRead</v>
      </c>
      <c r="B31780" s="65" t="s">
        <v>9976</v>
      </c>
    </row>
    <row r="31781" spans="1:2" x14ac:dyDescent="0.25">
      <c r="A31781" s="64" t="str">
        <f>HYPERLINK("http://www.twitter.com/twothys89", "twothys89")</f>
        <v>twothys89</v>
      </c>
      <c r="B31781" s="65"/>
    </row>
    <row r="31782" spans="1:2" x14ac:dyDescent="0.25">
      <c r="A31782" s="64" t="str">
        <f>HYPERLINK("http://www.twitter.com/rachelchicken", "rachelchicken")</f>
        <v>rachelchicken</v>
      </c>
      <c r="B31782" s="65" t="s">
        <v>487</v>
      </c>
    </row>
    <row r="31783" spans="1:2" x14ac:dyDescent="0.25">
      <c r="A31783" s="64" t="str">
        <f>HYPERLINK("http://www.twitter.com/slmunks", "slmunks")</f>
        <v>slmunks</v>
      </c>
      <c r="B31783" s="65" t="s">
        <v>12635</v>
      </c>
    </row>
    <row r="31784" spans="1:2" x14ac:dyDescent="0.25">
      <c r="A31784" s="64" t="str">
        <f>HYPERLINK("http://www.twitter.com/DavidPetersen8", "DavidPetersen8")</f>
        <v>DavidPetersen8</v>
      </c>
      <c r="B31784" s="65"/>
    </row>
    <row r="31785" spans="1:2" x14ac:dyDescent="0.25">
      <c r="A31785" s="64" t="str">
        <f>HYPERLINK("http://www.twitter.com/LoveScotLibs", "LoveScotLibs")</f>
        <v>LoveScotLibs</v>
      </c>
      <c r="B31785" s="65" t="s">
        <v>4840</v>
      </c>
    </row>
    <row r="31786" spans="1:2" x14ac:dyDescent="0.25">
      <c r="A31786" s="64" t="str">
        <f>HYPERLINK("http://www.twitter.com/liliasfraser", "liliasfraser")</f>
        <v>liliasfraser</v>
      </c>
      <c r="B31786" s="65" t="s">
        <v>517</v>
      </c>
    </row>
    <row r="31787" spans="1:2" x14ac:dyDescent="0.25">
      <c r="A31787" s="64" t="str">
        <f>HYPERLINK("http://www.twitter.com/RCPPublishing", "RCPPublishing")</f>
        <v>RCPPublishing</v>
      </c>
      <c r="B31787" s="65" t="s">
        <v>12636</v>
      </c>
    </row>
    <row r="31788" spans="1:2" x14ac:dyDescent="0.25">
      <c r="A31788" s="64" t="str">
        <f>HYPERLINK("http://www.twitter.com/CraigHorne1", "CraigHorne1")</f>
        <v>CraigHorne1</v>
      </c>
      <c r="B31788" s="65" t="s">
        <v>20</v>
      </c>
    </row>
    <row r="31789" spans="1:2" x14ac:dyDescent="0.25">
      <c r="A31789" s="64" t="str">
        <f>HYPERLINK("http://www.twitter.com/pinkyandnobrain", "pinkyandnobrain")</f>
        <v>pinkyandnobrain</v>
      </c>
      <c r="B31789" s="65" t="s">
        <v>12637</v>
      </c>
    </row>
    <row r="31790" spans="1:2" x14ac:dyDescent="0.25">
      <c r="A31790" s="64" t="str">
        <f>HYPERLINK("http://www.twitter.com/Dinosaurmusic", "Dinosaurmusic")</f>
        <v>Dinosaurmusic</v>
      </c>
      <c r="B31790" s="65" t="s">
        <v>12638</v>
      </c>
    </row>
    <row r="31791" spans="1:2" x14ac:dyDescent="0.25">
      <c r="A31791" s="64" t="str">
        <f>HYPERLINK("http://www.twitter.com/colon_three", "colon_three")</f>
        <v>colon_three</v>
      </c>
      <c r="B31791" s="65" t="s">
        <v>6455</v>
      </c>
    </row>
    <row r="31792" spans="1:2" x14ac:dyDescent="0.25">
      <c r="A31792" s="64" t="str">
        <f>HYPERLINK("http://www.twitter.com/rajdarbar725", "rajdarbar725")</f>
        <v>rajdarbar725</v>
      </c>
      <c r="B31792" s="65" t="s">
        <v>12639</v>
      </c>
    </row>
    <row r="31793" spans="1:2" x14ac:dyDescent="0.25">
      <c r="A31793" s="64" t="str">
        <f>HYPERLINK("http://www.twitter.com/MaryHazelUpton", "MaryHazelUpton")</f>
        <v>MaryHazelUpton</v>
      </c>
      <c r="B31793" s="65"/>
    </row>
    <row r="31794" spans="1:2" x14ac:dyDescent="0.25">
      <c r="A31794" s="64" t="str">
        <f>HYPERLINK("http://www.twitter.com/theotherkirsty", "theotherkirsty")</f>
        <v>theotherkirsty</v>
      </c>
      <c r="B31794" s="65" t="s">
        <v>12640</v>
      </c>
    </row>
    <row r="31795" spans="1:2" x14ac:dyDescent="0.25">
      <c r="A31795" s="64" t="str">
        <f>HYPERLINK("http://www.twitter.com/orkneyrd", "orkneyrd")</f>
        <v>orkneyrd</v>
      </c>
      <c r="B31795" s="65" t="s">
        <v>4580</v>
      </c>
    </row>
    <row r="31796" spans="1:2" x14ac:dyDescent="0.25">
      <c r="A31796" s="64" t="str">
        <f>HYPERLINK("http://www.twitter.com/fishermanfletty", "fishermanfletty")</f>
        <v>fishermanfletty</v>
      </c>
      <c r="B31796" s="65" t="s">
        <v>12029</v>
      </c>
    </row>
    <row r="31797" spans="1:2" x14ac:dyDescent="0.25">
      <c r="A31797" s="64" t="str">
        <f>HYPERLINK("http://www.twitter.com/Edinholacc", "Edinholacc")</f>
        <v>Edinholacc</v>
      </c>
      <c r="B31797" s="65" t="s">
        <v>24</v>
      </c>
    </row>
    <row r="31798" spans="1:2" x14ac:dyDescent="0.25">
      <c r="A31798" s="64" t="str">
        <f>HYPERLINK("http://www.twitter.com/lizcarlyle", "lizcarlyle")</f>
        <v>lizcarlyle</v>
      </c>
      <c r="B31798" s="65" t="s">
        <v>7510</v>
      </c>
    </row>
    <row r="31799" spans="1:2" x14ac:dyDescent="0.25">
      <c r="A31799" s="64" t="str">
        <f>HYPERLINK("http://www.twitter.com/awilcox69", "awilcox69")</f>
        <v>awilcox69</v>
      </c>
      <c r="B31799" s="65" t="s">
        <v>12641</v>
      </c>
    </row>
    <row r="31800" spans="1:2" x14ac:dyDescent="0.25">
      <c r="A31800" s="64" t="str">
        <f>HYPERLINK("http://www.twitter.com/BenPeggie", "BenPeggie")</f>
        <v>BenPeggie</v>
      </c>
      <c r="B31800" s="65"/>
    </row>
    <row r="31801" spans="1:2" x14ac:dyDescent="0.25">
      <c r="A31801" s="64" t="str">
        <f>HYPERLINK("http://www.twitter.com/DiscoverKelpies", "DiscoverKelpies")</f>
        <v>DiscoverKelpies</v>
      </c>
      <c r="B31801" s="65" t="s">
        <v>67</v>
      </c>
    </row>
    <row r="31802" spans="1:2" x14ac:dyDescent="0.25">
      <c r="A31802" s="64" t="str">
        <f>HYPERLINK("http://www.twitter.com/sawyer_jojo", "sawyer_jojo")</f>
        <v>sawyer_jojo</v>
      </c>
      <c r="B31802" s="65"/>
    </row>
    <row r="31803" spans="1:2" x14ac:dyDescent="0.25">
      <c r="A31803" s="64" t="str">
        <f>HYPERLINK("http://www.twitter.com/boreenbroadcast", "boreenbroadcast")</f>
        <v>boreenbroadcast</v>
      </c>
      <c r="B31803" s="65" t="s">
        <v>3842</v>
      </c>
    </row>
    <row r="31804" spans="1:2" x14ac:dyDescent="0.25">
      <c r="A31804" s="64" t="str">
        <f>HYPERLINK("http://www.twitter.com/formy6", "formy6")</f>
        <v>formy6</v>
      </c>
      <c r="B31804" s="65"/>
    </row>
    <row r="31805" spans="1:2" x14ac:dyDescent="0.25">
      <c r="A31805" s="64" t="str">
        <f>HYPERLINK("http://www.twitter.com/lochvue", "lochvue")</f>
        <v>lochvue</v>
      </c>
      <c r="B31805" s="65" t="s">
        <v>12642</v>
      </c>
    </row>
    <row r="31806" spans="1:2" x14ac:dyDescent="0.25">
      <c r="A31806" s="64" t="str">
        <f>HYPERLINK("http://www.twitter.com/RecycleFife", "RecycleFife")</f>
        <v>RecycleFife</v>
      </c>
      <c r="B31806" s="65" t="s">
        <v>12643</v>
      </c>
    </row>
    <row r="31807" spans="1:2" x14ac:dyDescent="0.25">
      <c r="A31807" s="64" t="str">
        <f>HYPERLINK("http://www.twitter.com/MCPLMO", "MCPLMO")</f>
        <v>MCPLMO</v>
      </c>
      <c r="B31807" s="65" t="s">
        <v>12644</v>
      </c>
    </row>
    <row r="31808" spans="1:2" x14ac:dyDescent="0.25">
      <c r="A31808" s="64" t="str">
        <f>HYPERLINK("http://www.twitter.com/marilynmilligan", "marilynmilligan")</f>
        <v>marilynmilligan</v>
      </c>
      <c r="B31808" s="65" t="s">
        <v>517</v>
      </c>
    </row>
    <row r="31809" spans="1:2" x14ac:dyDescent="0.25">
      <c r="A31809" s="64" t="str">
        <f>HYPERLINK("http://www.twitter.com/Val_Campbell", "Val_Campbell")</f>
        <v>Val_Campbell</v>
      </c>
      <c r="B31809" s="65" t="s">
        <v>517</v>
      </c>
    </row>
    <row r="31810" spans="1:2" x14ac:dyDescent="0.25">
      <c r="A31810" s="64" t="str">
        <f>HYPERLINK("http://www.twitter.com/PYLOM2012", "PYLOM2012")</f>
        <v>PYLOM2012</v>
      </c>
      <c r="B31810" s="65" t="s">
        <v>296</v>
      </c>
    </row>
    <row r="31811" spans="1:2" x14ac:dyDescent="0.25">
      <c r="A31811" s="64" t="str">
        <f>HYPERLINK("http://www.twitter.com/abbybarker", "abbybarker")</f>
        <v>abbybarker</v>
      </c>
      <c r="B31811" s="65" t="s">
        <v>12645</v>
      </c>
    </row>
    <row r="31812" spans="1:2" x14ac:dyDescent="0.25">
      <c r="A31812" s="64" t="str">
        <f>HYPERLINK("http://www.twitter.com/Brian_Bhoy", "Brian_Bhoy")</f>
        <v>Brian_Bhoy</v>
      </c>
      <c r="B31812" s="65" t="s">
        <v>8162</v>
      </c>
    </row>
    <row r="31813" spans="1:2" x14ac:dyDescent="0.25">
      <c r="A31813" s="64" t="str">
        <f>HYPERLINK("http://www.twitter.com/cazzer606", "cazzer606")</f>
        <v>cazzer606</v>
      </c>
      <c r="B31813" s="65" t="s">
        <v>12646</v>
      </c>
    </row>
    <row r="31814" spans="1:2" x14ac:dyDescent="0.25">
      <c r="A31814" s="64" t="str">
        <f>HYPERLINK("http://www.twitter.com/wshlibrary", "wshlibrary")</f>
        <v>wshlibrary</v>
      </c>
      <c r="B31814" s="65" t="s">
        <v>2548</v>
      </c>
    </row>
    <row r="31815" spans="1:2" x14ac:dyDescent="0.25">
      <c r="A31815" s="64" t="str">
        <f>HYPERLINK("http://www.twitter.com/IanmacMacDonald", "IanmacMacDonald")</f>
        <v>IanmacMacDonald</v>
      </c>
      <c r="B31815" s="65"/>
    </row>
    <row r="31816" spans="1:2" x14ac:dyDescent="0.25">
      <c r="A31816" s="64" t="str">
        <f>HYPERLINK("http://www.twitter.com/krimpers", "krimpers")</f>
        <v>krimpers</v>
      </c>
      <c r="B31816" s="65"/>
    </row>
    <row r="31817" spans="1:2" x14ac:dyDescent="0.25">
      <c r="A31817" s="64" t="str">
        <f>HYPERLINK("http://www.twitter.com/stocktonlibrary", "stocktonlibrary")</f>
        <v>stocktonlibrary</v>
      </c>
      <c r="B31817" s="65" t="s">
        <v>349</v>
      </c>
    </row>
    <row r="31818" spans="1:2" x14ac:dyDescent="0.25">
      <c r="A31818" s="64" t="str">
        <f>HYPERLINK("http://www.twitter.com/camdenlib", "camdenlib")</f>
        <v>camdenlib</v>
      </c>
      <c r="B31818" s="65" t="s">
        <v>12647</v>
      </c>
    </row>
    <row r="31819" spans="1:2" x14ac:dyDescent="0.25">
      <c r="A31819" s="64" t="str">
        <f>HYPERLINK("http://www.twitter.com/jimmussell", "jimmussell")</f>
        <v>jimmussell</v>
      </c>
      <c r="B31819" s="65" t="s">
        <v>296</v>
      </c>
    </row>
    <row r="31820" spans="1:2" x14ac:dyDescent="0.25">
      <c r="A31820" s="64" t="str">
        <f>HYPERLINK("http://www.twitter.com/yesnylp", "yesnylp")</f>
        <v>yesnylp</v>
      </c>
      <c r="B31820" s="65"/>
    </row>
    <row r="31821" spans="1:2" x14ac:dyDescent="0.25">
      <c r="A31821" s="64" t="str">
        <f>HYPERLINK("http://www.twitter.com/ClochSolicitors", "ClochSolicitors")</f>
        <v>ClochSolicitors</v>
      </c>
      <c r="B31821" s="65" t="s">
        <v>138</v>
      </c>
    </row>
    <row r="31822" spans="1:2" x14ac:dyDescent="0.25">
      <c r="A31822" s="64" t="str">
        <f>HYPERLINK("http://www.twitter.com/willywillder", "willywillder")</f>
        <v>willywillder</v>
      </c>
      <c r="B31822" s="65" t="s">
        <v>180</v>
      </c>
    </row>
    <row r="31823" spans="1:2" x14ac:dyDescent="0.25">
      <c r="A31823" s="64" t="str">
        <f>HYPERLINK("http://www.twitter.com/Lucanoresturant", "Lucanoresturant")</f>
        <v>Lucanoresturant</v>
      </c>
      <c r="B31823" s="65" t="s">
        <v>8162</v>
      </c>
    </row>
    <row r="31824" spans="1:2" x14ac:dyDescent="0.25">
      <c r="A31824" s="64" t="str">
        <f>HYPERLINK("http://www.twitter.com/ChildBookEvents", "ChildBookEvents")</f>
        <v>ChildBookEvents</v>
      </c>
      <c r="B31824" s="65" t="s">
        <v>12648</v>
      </c>
    </row>
    <row r="31825" spans="1:2" x14ac:dyDescent="0.25">
      <c r="A31825" s="64" t="str">
        <f>HYPERLINK("http://www.twitter.com/IMightBeLiam", "IMightBeLiam")</f>
        <v>IMightBeLiam</v>
      </c>
      <c r="B31825" s="65" t="s">
        <v>12649</v>
      </c>
    </row>
    <row r="31826" spans="1:2" x14ac:dyDescent="0.25">
      <c r="A31826" s="64" t="str">
        <f>HYPERLINK("http://www.twitter.com/Sultanabee", "Sultanabee")</f>
        <v>Sultanabee</v>
      </c>
      <c r="B31826" s="65"/>
    </row>
    <row r="31827" spans="1:2" x14ac:dyDescent="0.25">
      <c r="A31827" s="64" t="str">
        <f>HYPERLINK("http://www.twitter.com/sarahln", "sarahln")</f>
        <v>sarahln</v>
      </c>
      <c r="B31827" s="65"/>
    </row>
    <row r="31828" spans="1:2" x14ac:dyDescent="0.25">
      <c r="A31828" s="64" t="str">
        <f>HYPERLINK("http://www.twitter.com/donjacobsuk", "donjacobsuk")</f>
        <v>donjacobsuk</v>
      </c>
      <c r="B31828" s="65" t="s">
        <v>12650</v>
      </c>
    </row>
    <row r="31829" spans="1:2" x14ac:dyDescent="0.25">
      <c r="A31829" s="64" t="str">
        <f>HYPERLINK("http://www.twitter.com/postie30", "postie30")</f>
        <v>postie30</v>
      </c>
      <c r="B31829" s="65"/>
    </row>
    <row r="31830" spans="1:2" x14ac:dyDescent="0.25">
      <c r="A31830" s="64" t="str">
        <f>HYPERLINK("http://www.twitter.com/Walsall_WACC", "Walsall_WACC")</f>
        <v>Walsall_WACC</v>
      </c>
      <c r="B31830" s="65" t="s">
        <v>12651</v>
      </c>
    </row>
    <row r="31831" spans="1:2" x14ac:dyDescent="0.25">
      <c r="A31831" s="64" t="str">
        <f>HYPERLINK("http://www.twitter.com/Librarydotcolm", "Librarydotcolm")</f>
        <v>Librarydotcolm</v>
      </c>
      <c r="B31831" s="65" t="s">
        <v>8799</v>
      </c>
    </row>
    <row r="31832" spans="1:2" x14ac:dyDescent="0.25">
      <c r="A31832" s="64" t="str">
        <f>HYPERLINK("http://www.twitter.com/KIngsparkgirl", "KIngsparkgirl")</f>
        <v>KIngsparkgirl</v>
      </c>
      <c r="B31832" s="65"/>
    </row>
    <row r="31833" spans="1:2" x14ac:dyDescent="0.25">
      <c r="A31833" s="64" t="str">
        <f>HYPERLINK("http://www.twitter.com/YoungScot", "YoungScot")</f>
        <v>YoungScot</v>
      </c>
      <c r="B31833" s="65" t="s">
        <v>517</v>
      </c>
    </row>
    <row r="31834" spans="1:2" x14ac:dyDescent="0.25">
      <c r="A31834" s="64" t="str">
        <f>HYPERLINK("http://www.twitter.com/playbythebook", "playbythebook")</f>
        <v>playbythebook</v>
      </c>
      <c r="B31834" s="65" t="s">
        <v>296</v>
      </c>
    </row>
    <row r="31835" spans="1:2" x14ac:dyDescent="0.25">
      <c r="A31835" s="64" t="str">
        <f>HYPERLINK("http://www.twitter.com/jeanaleslie", "jeanaleslie")</f>
        <v>jeanaleslie</v>
      </c>
      <c r="B31835" s="65"/>
    </row>
    <row r="31836" spans="1:2" x14ac:dyDescent="0.25">
      <c r="A31836" s="64" t="str">
        <f>HYPERLINK("http://www.twitter.com/Hayleyjgreen1", "Hayleyjgreen1")</f>
        <v>Hayleyjgreen1</v>
      </c>
      <c r="B31836" s="65"/>
    </row>
    <row r="31837" spans="1:2" x14ac:dyDescent="0.25">
      <c r="A31837" s="64" t="str">
        <f>HYPERLINK("http://www.twitter.com/SusanMcIver1", "SusanMcIver1")</f>
        <v>SusanMcIver1</v>
      </c>
      <c r="B31837" s="65"/>
    </row>
    <row r="31838" spans="1:2" x14ac:dyDescent="0.25">
      <c r="A31838" s="64" t="str">
        <f>HYPERLINK("http://www.twitter.com/janettewright", "janettewright")</f>
        <v>janettewright</v>
      </c>
      <c r="B31838" s="65" t="s">
        <v>12652</v>
      </c>
    </row>
    <row r="31839" spans="1:2" x14ac:dyDescent="0.25">
      <c r="A31839" s="64" t="str">
        <f>HYPERLINK("http://www.twitter.com/Jamesey2009", "Jamesey2009")</f>
        <v>Jamesey2009</v>
      </c>
      <c r="B31839" s="65"/>
    </row>
    <row r="31840" spans="1:2" x14ac:dyDescent="0.25">
      <c r="A31840" s="64" t="str">
        <f>HYPERLINK("http://www.twitter.com/Connor_Burgher", "Connor_Burgher")</f>
        <v>Connor_Burgher</v>
      </c>
      <c r="B31840" s="65" t="s">
        <v>12653</v>
      </c>
    </row>
    <row r="31841" spans="1:2" x14ac:dyDescent="0.25">
      <c r="A31841" s="64" t="str">
        <f>HYPERLINK("http://www.twitter.com/SlaterDebbie", "SlaterDebbie")</f>
        <v>SlaterDebbie</v>
      </c>
      <c r="B31841" s="65" t="s">
        <v>12654</v>
      </c>
    </row>
    <row r="31842" spans="1:2" x14ac:dyDescent="0.25">
      <c r="A31842" s="64" t="str">
        <f>HYPERLINK("http://www.twitter.com/hayden25tdenise", "hayden25tdenise")</f>
        <v>hayden25tdenise</v>
      </c>
      <c r="B31842" s="65" t="s">
        <v>3778</v>
      </c>
    </row>
    <row r="31843" spans="1:2" x14ac:dyDescent="0.25">
      <c r="A31843" s="64" t="str">
        <f>HYPERLINK("http://www.twitter.com/Laurencaithness", "Laurencaithness")</f>
        <v>Laurencaithness</v>
      </c>
      <c r="B31843" s="65" t="s">
        <v>12655</v>
      </c>
    </row>
    <row r="31844" spans="1:2" x14ac:dyDescent="0.25">
      <c r="A31844" s="64" t="str">
        <f>HYPERLINK("http://www.twitter.com/slawit", "slawit")</f>
        <v>slawit</v>
      </c>
      <c r="B31844" s="65"/>
    </row>
    <row r="31845" spans="1:2" x14ac:dyDescent="0.25">
      <c r="A31845" s="64" t="str">
        <f>HYPERLINK("http://www.twitter.com/CompetenzaTrans", "CompetenzaTrans")</f>
        <v>CompetenzaTrans</v>
      </c>
      <c r="B31845" s="65" t="s">
        <v>6211</v>
      </c>
    </row>
    <row r="31846" spans="1:2" x14ac:dyDescent="0.25">
      <c r="A31846" s="64" t="str">
        <f>HYPERLINK("http://www.twitter.com/TheMissusC", "TheMissusC")</f>
        <v>TheMissusC</v>
      </c>
      <c r="B31846" s="65"/>
    </row>
    <row r="31847" spans="1:2" x14ac:dyDescent="0.25">
      <c r="A31847" s="64" t="str">
        <f>HYPERLINK("http://www.twitter.com/Nadz59", "Nadz59")</f>
        <v>Nadz59</v>
      </c>
      <c r="B31847" s="65" t="s">
        <v>12656</v>
      </c>
    </row>
    <row r="31848" spans="1:2" x14ac:dyDescent="0.25">
      <c r="A31848" s="64" t="str">
        <f>HYPERLINK("http://www.twitter.com/pawangourkhede5", "pawangourkhede5")</f>
        <v>pawangourkhede5</v>
      </c>
      <c r="B31848" s="65" t="s">
        <v>12657</v>
      </c>
    </row>
    <row r="31849" spans="1:2" x14ac:dyDescent="0.25">
      <c r="A31849" s="64" t="str">
        <f>HYPERLINK("http://www.twitter.com/creamorkney", "creamorkney")</f>
        <v>creamorkney</v>
      </c>
      <c r="B31849" s="65" t="s">
        <v>4668</v>
      </c>
    </row>
    <row r="31850" spans="1:2" x14ac:dyDescent="0.25">
      <c r="A31850" s="64" t="str">
        <f>HYPERLINK("http://www.twitter.com/Burns_Night", "Burns_Night")</f>
        <v>Burns_Night</v>
      </c>
      <c r="B31850" s="65" t="s">
        <v>138</v>
      </c>
    </row>
    <row r="31851" spans="1:2" x14ac:dyDescent="0.25">
      <c r="A31851" s="64" t="str">
        <f>HYPERLINK("http://www.twitter.com/SarahLeslie84", "SarahLeslie84")</f>
        <v>SarahLeslie84</v>
      </c>
      <c r="B31851" s="65" t="s">
        <v>20</v>
      </c>
    </row>
    <row r="31852" spans="1:2" x14ac:dyDescent="0.25">
      <c r="A31852" s="64" t="str">
        <f>HYPERLINK("http://www.twitter.com/Face2phaseTVMOD", "Face2phaseTVMOD")</f>
        <v>Face2phaseTVMOD</v>
      </c>
      <c r="B31852" s="65" t="s">
        <v>12658</v>
      </c>
    </row>
    <row r="31853" spans="1:2" x14ac:dyDescent="0.25">
      <c r="A31853" s="64" t="str">
        <f>HYPERLINK("http://www.twitter.com/pastoffences", "pastoffences")</f>
        <v>pastoffences</v>
      </c>
      <c r="B31853" s="65" t="s">
        <v>12659</v>
      </c>
    </row>
    <row r="31854" spans="1:2" x14ac:dyDescent="0.25">
      <c r="A31854" s="64" t="str">
        <f>HYPERLINK("http://www.twitter.com/nearlylegal", "nearlylegal")</f>
        <v>nearlylegal</v>
      </c>
      <c r="B31854" s="65" t="s">
        <v>36</v>
      </c>
    </row>
    <row r="31855" spans="1:2" x14ac:dyDescent="0.25">
      <c r="A31855" s="64" t="str">
        <f>HYPERLINK("http://www.twitter.com/Noelgoodboo", "Noelgoodboo")</f>
        <v>Noelgoodboo</v>
      </c>
      <c r="B31855" s="65" t="s">
        <v>12660</v>
      </c>
    </row>
    <row r="31856" spans="1:2" x14ac:dyDescent="0.25">
      <c r="A31856" s="64" t="str">
        <f>HYPERLINK("http://www.twitter.com/simonthoumire", "simonthoumire")</f>
        <v>simonthoumire</v>
      </c>
      <c r="B31856" s="65" t="s">
        <v>138</v>
      </c>
    </row>
    <row r="31857" spans="1:2" x14ac:dyDescent="0.25">
      <c r="A31857" s="64" t="str">
        <f>HYPERLINK("http://www.twitter.com/mdoness", "mdoness")</f>
        <v>mdoness</v>
      </c>
      <c r="B31857" s="65" t="s">
        <v>12661</v>
      </c>
    </row>
    <row r="31858" spans="1:2" x14ac:dyDescent="0.25">
      <c r="A31858" s="64" t="str">
        <f>HYPERLINK("http://www.twitter.com/anneboleyn68", "anneboleyn68")</f>
        <v>anneboleyn68</v>
      </c>
      <c r="B31858" s="65"/>
    </row>
    <row r="31859" spans="1:2" x14ac:dyDescent="0.25">
      <c r="A31859" s="64" t="str">
        <f>HYPERLINK("http://www.twitter.com/dungqvphumble", "dungqvphumble")</f>
        <v>dungqvphumble</v>
      </c>
      <c r="B31859" s="65"/>
    </row>
    <row r="31860" spans="1:2" x14ac:dyDescent="0.25">
      <c r="A31860" s="64" t="str">
        <f>HYPERLINK("http://www.twitter.com/XodusLibrary", "XodusLibrary")</f>
        <v>XodusLibrary</v>
      </c>
      <c r="B31860" s="65"/>
    </row>
    <row r="31861" spans="1:2" x14ac:dyDescent="0.25">
      <c r="A31861" s="64" t="str">
        <f>HYPERLINK("http://www.twitter.com/SkagwayBelle", "SkagwayBelle")</f>
        <v>SkagwayBelle</v>
      </c>
      <c r="B31861" s="65"/>
    </row>
    <row r="31862" spans="1:2" x14ac:dyDescent="0.25">
      <c r="A31862" s="64" t="str">
        <f>HYPERLINK("http://www.twitter.com/emilycathg", "emilycathg")</f>
        <v>emilycathg</v>
      </c>
      <c r="B31862" s="65" t="s">
        <v>318</v>
      </c>
    </row>
    <row r="31863" spans="1:2" x14ac:dyDescent="0.25">
      <c r="A31863" s="64" t="str">
        <f>HYPERLINK("http://www.twitter.com/LouIrvine", "LouIrvine")</f>
        <v>LouIrvine</v>
      </c>
      <c r="B31863" s="65" t="s">
        <v>4519</v>
      </c>
    </row>
    <row r="31864" spans="1:2" x14ac:dyDescent="0.25">
      <c r="A31864" s="64" t="str">
        <f>HYPERLINK("http://www.twitter.com/Karenmca", "Karenmca")</f>
        <v>Karenmca</v>
      </c>
      <c r="B31864" s="65" t="s">
        <v>74</v>
      </c>
    </row>
    <row r="31865" spans="1:2" x14ac:dyDescent="0.25">
      <c r="A31865" s="64" t="str">
        <f>HYPERLINK("http://www.twitter.com/KirstenNic", "KirstenNic")</f>
        <v>KirstenNic</v>
      </c>
      <c r="B31865" s="65" t="s">
        <v>20</v>
      </c>
    </row>
    <row r="31866" spans="1:2" x14ac:dyDescent="0.25">
      <c r="A31866" s="64" t="str">
        <f>HYPERLINK("http://www.twitter.com/neilgordon26", "neilgordon26")</f>
        <v>neilgordon26</v>
      </c>
      <c r="B31866" s="65"/>
    </row>
    <row r="31867" spans="1:2" x14ac:dyDescent="0.25">
      <c r="A31867" s="64" t="str">
        <f>HYPERLINK("http://www.twitter.com/Afnnrtoi", "Afnnrtoi")</f>
        <v>Afnnrtoi</v>
      </c>
      <c r="B31867" s="65"/>
    </row>
    <row r="31868" spans="1:2" x14ac:dyDescent="0.25">
      <c r="A31868" s="64" t="str">
        <f>HYPERLINK("http://www.twitter.com/Mr_Bricolage", "Mr_Bricolage")</f>
        <v>Mr_Bricolage</v>
      </c>
      <c r="B31868" s="65" t="s">
        <v>12662</v>
      </c>
    </row>
    <row r="31869" spans="1:2" x14ac:dyDescent="0.25">
      <c r="A31869" s="64" t="str">
        <f>HYPERLINK("http://www.twitter.com/kariithipatrick", "kariithipatrick")</f>
        <v>kariithipatrick</v>
      </c>
      <c r="B31869" s="65" t="s">
        <v>12663</v>
      </c>
    </row>
    <row r="31870" spans="1:2" x14ac:dyDescent="0.25">
      <c r="A31870" s="64" t="str">
        <f>HYPERLINK("http://www.twitter.com/FrancesSnee", "FrancesSnee")</f>
        <v>FrancesSnee</v>
      </c>
      <c r="B31870" s="65" t="s">
        <v>138</v>
      </c>
    </row>
    <row r="31871" spans="1:2" x14ac:dyDescent="0.25">
      <c r="A31871" s="64" t="str">
        <f>HYPERLINK("http://www.twitter.com/jeb011", "jeb011")</f>
        <v>jeb011</v>
      </c>
      <c r="B31871" s="65"/>
    </row>
    <row r="31872" spans="1:2" x14ac:dyDescent="0.25">
      <c r="A31872" s="64" t="str">
        <f>HYPERLINK("http://www.twitter.com/Bibliodome", "Bibliodome")</f>
        <v>Bibliodome</v>
      </c>
      <c r="B31872" s="65" t="s">
        <v>8204</v>
      </c>
    </row>
    <row r="31873" spans="1:2" x14ac:dyDescent="0.25">
      <c r="A31873" s="64" t="str">
        <f>HYPERLINK("http://www.twitter.com/NYDNBooks", "NYDNBooks")</f>
        <v>NYDNBooks</v>
      </c>
      <c r="B31873" s="65" t="s">
        <v>5819</v>
      </c>
    </row>
    <row r="31874" spans="1:2" x14ac:dyDescent="0.25">
      <c r="A31874" s="64" t="str">
        <f>HYPERLINK("http://www.twitter.com/stualb67", "stualb67")</f>
        <v>stualb67</v>
      </c>
      <c r="B31874" s="65" t="s">
        <v>1195</v>
      </c>
    </row>
    <row r="31875" spans="1:2" x14ac:dyDescent="0.25">
      <c r="A31875" s="64" t="str">
        <f>HYPERLINK("http://www.twitter.com/Sigyn", "Sigyn")</f>
        <v>Sigyn</v>
      </c>
      <c r="B31875" s="65" t="s">
        <v>4057</v>
      </c>
    </row>
    <row r="31876" spans="1:2" x14ac:dyDescent="0.25">
      <c r="A31876" s="64" t="str">
        <f>HYPERLINK("http://www.twitter.com/davidclover", "davidclover")</f>
        <v>davidclover</v>
      </c>
      <c r="B31876" s="65" t="s">
        <v>110</v>
      </c>
    </row>
    <row r="31877" spans="1:2" x14ac:dyDescent="0.25">
      <c r="A31877" s="64" t="str">
        <f>HYPERLINK("http://www.twitter.com/gjfaux", "gjfaux")</f>
        <v>gjfaux</v>
      </c>
      <c r="B31877" s="65" t="s">
        <v>12038</v>
      </c>
    </row>
    <row r="31878" spans="1:2" x14ac:dyDescent="0.25">
      <c r="A31878" s="64" t="str">
        <f>HYPERLINK("http://www.twitter.com/adarling575", "adarling575")</f>
        <v>adarling575</v>
      </c>
      <c r="B31878" s="65" t="s">
        <v>36</v>
      </c>
    </row>
    <row r="31879" spans="1:2" x14ac:dyDescent="0.25">
      <c r="A31879" s="64" t="str">
        <f>HYPERLINK("http://www.twitter.com/loula_mont", "loula_mont")</f>
        <v>loula_mont</v>
      </c>
      <c r="B31879" s="65" t="s">
        <v>9122</v>
      </c>
    </row>
    <row r="31880" spans="1:2" x14ac:dyDescent="0.25">
      <c r="A31880" s="64" t="str">
        <f>HYPERLINK("http://www.twitter.com/HLDennisauthor", "HLDennisauthor")</f>
        <v>HLDennisauthor</v>
      </c>
      <c r="B31880" s="65" t="s">
        <v>5965</v>
      </c>
    </row>
    <row r="31881" spans="1:2" x14ac:dyDescent="0.25">
      <c r="A31881" s="64" t="str">
        <f>HYPERLINK("http://www.twitter.com/RuthSinger", "RuthSinger")</f>
        <v>RuthSinger</v>
      </c>
      <c r="B31881" s="65" t="s">
        <v>7304</v>
      </c>
    </row>
    <row r="31882" spans="1:2" x14ac:dyDescent="0.25">
      <c r="A31882" s="64" t="str">
        <f>HYPERLINK("http://www.twitter.com/Hrossey", "Hrossey")</f>
        <v>Hrossey</v>
      </c>
      <c r="B31882" s="65" t="s">
        <v>20</v>
      </c>
    </row>
    <row r="31883" spans="1:2" x14ac:dyDescent="0.25">
      <c r="A31883" s="64" t="str">
        <f>HYPERLINK("http://www.twitter.com/TheReferencDesk", "TheReferencDesk")</f>
        <v>TheReferencDesk</v>
      </c>
      <c r="B31883" s="65" t="s">
        <v>12068</v>
      </c>
    </row>
    <row r="31884" spans="1:2" x14ac:dyDescent="0.25">
      <c r="A31884" s="64" t="str">
        <f>HYPERLINK("http://www.twitter.com/librarysolution", "librarysolution")</f>
        <v>librarysolution</v>
      </c>
      <c r="B31884" s="65"/>
    </row>
    <row r="31885" spans="1:2" x14ac:dyDescent="0.25">
      <c r="A31885" s="64" t="str">
        <f>HYPERLINK("http://www.twitter.com/nicholasfrost", "nicholasfrost")</f>
        <v>nicholasfrost</v>
      </c>
      <c r="B31885" s="65" t="s">
        <v>36</v>
      </c>
    </row>
    <row r="31886" spans="1:2" x14ac:dyDescent="0.25">
      <c r="A31886" s="64" t="str">
        <f>HYPERLINK("http://www.twitter.com/thefaculties", "thefaculties")</f>
        <v>thefaculties</v>
      </c>
      <c r="B31886" s="65" t="s">
        <v>10024</v>
      </c>
    </row>
    <row r="31887" spans="1:2" x14ac:dyDescent="0.25">
      <c r="A31887" s="64" t="str">
        <f>HYPERLINK("http://www.twitter.com/neilmcintosh76", "neilmcintosh76")</f>
        <v>neilmcintosh76</v>
      </c>
      <c r="B31887" s="65" t="s">
        <v>12664</v>
      </c>
    </row>
    <row r="31888" spans="1:2" x14ac:dyDescent="0.25">
      <c r="A31888" s="64" t="str">
        <f>HYPERLINK("http://www.twitter.com/udl_theses", "udl_theses")</f>
        <v>udl_theses</v>
      </c>
      <c r="B31888" s="65" t="s">
        <v>12665</v>
      </c>
    </row>
    <row r="31889" spans="1:2" x14ac:dyDescent="0.25">
      <c r="A31889" s="64" t="str">
        <f>HYPERLINK("http://www.twitter.com/Gauldronsgirl", "Gauldronsgirl")</f>
        <v>Gauldronsgirl</v>
      </c>
      <c r="B31889" s="65"/>
    </row>
    <row r="31890" spans="1:2" x14ac:dyDescent="0.25">
      <c r="A31890" s="64" t="str">
        <f>HYPERLINK("http://www.twitter.com/mollymitten42", "mollymitten42")</f>
        <v>mollymitten42</v>
      </c>
      <c r="B31890" s="65"/>
    </row>
    <row r="31891" spans="1:2" x14ac:dyDescent="0.25">
      <c r="A31891" s="64" t="str">
        <f>HYPERLINK("http://www.twitter.com/keithd27", "keithd27")</f>
        <v>keithd27</v>
      </c>
      <c r="B31891" s="65" t="s">
        <v>8872</v>
      </c>
    </row>
    <row r="31892" spans="1:2" x14ac:dyDescent="0.25">
      <c r="A31892" s="64" t="str">
        <f>HYPERLINK("http://www.twitter.com/TxImaging", "TxImaging")</f>
        <v>TxImaging</v>
      </c>
      <c r="B31892" s="65" t="s">
        <v>296</v>
      </c>
    </row>
    <row r="31893" spans="1:2" x14ac:dyDescent="0.25">
      <c r="A31893" s="64" t="str">
        <f>HYPERLINK("http://www.twitter.com/JCallear1", "JCallear1")</f>
        <v>JCallear1</v>
      </c>
      <c r="B31893" s="65"/>
    </row>
    <row r="31894" spans="1:2" x14ac:dyDescent="0.25">
      <c r="A31894" s="64" t="str">
        <f>HYPERLINK("http://www.twitter.com/VMWhitworth", "VMWhitworth")</f>
        <v>VMWhitworth</v>
      </c>
      <c r="B31894" s="65" t="s">
        <v>5336</v>
      </c>
    </row>
    <row r="31895" spans="1:2" x14ac:dyDescent="0.25">
      <c r="A31895" s="64" t="str">
        <f>HYPERLINK("http://www.twitter.com/BoamJen", "BoamJen")</f>
        <v>BoamJen</v>
      </c>
      <c r="B31895" s="65"/>
    </row>
    <row r="31896" spans="1:2" x14ac:dyDescent="0.25">
      <c r="A31896" s="64" t="str">
        <f>HYPERLINK("http://www.twitter.com/KirstyMTough", "KirstyMTough")</f>
        <v>KirstyMTough</v>
      </c>
      <c r="B31896" s="65" t="s">
        <v>24</v>
      </c>
    </row>
    <row r="31897" spans="1:2" x14ac:dyDescent="0.25">
      <c r="A31897" s="64" t="str">
        <f>HYPERLINK("http://www.twitter.com/corranmusk", "corranmusk")</f>
        <v>corranmusk</v>
      </c>
      <c r="B31897" s="65" t="s">
        <v>808</v>
      </c>
    </row>
    <row r="31898" spans="1:2" x14ac:dyDescent="0.25">
      <c r="A31898" s="64" t="str">
        <f>HYPERLINK("http://www.twitter.com/michelegilmour", "michelegilmour")</f>
        <v>michelegilmour</v>
      </c>
      <c r="B31898" s="65" t="s">
        <v>12666</v>
      </c>
    </row>
    <row r="31899" spans="1:2" x14ac:dyDescent="0.25">
      <c r="A31899" s="64" t="str">
        <f>HYPERLINK("http://www.twitter.com/DKA_EU", "DKA_EU")</f>
        <v>DKA_EU</v>
      </c>
      <c r="B31899" s="65"/>
    </row>
    <row r="31900" spans="1:2" x14ac:dyDescent="0.25">
      <c r="A31900" s="64" t="str">
        <f>HYPERLINK("http://www.twitter.com/asandstrum", "asandstrum")</f>
        <v>asandstrum</v>
      </c>
      <c r="B31900" s="65"/>
    </row>
    <row r="31901" spans="1:2" x14ac:dyDescent="0.25">
      <c r="A31901" s="64" t="str">
        <f>HYPERLINK("http://www.twitter.com/thenailbunny", "thenailbunny")</f>
        <v>thenailbunny</v>
      </c>
      <c r="B31901" s="65" t="s">
        <v>9755</v>
      </c>
    </row>
    <row r="31902" spans="1:2" x14ac:dyDescent="0.25">
      <c r="A31902" s="64" t="str">
        <f>HYPERLINK("http://www.twitter.com/BenjaminPesci", "BenjaminPesci")</f>
        <v>BenjaminPesci</v>
      </c>
      <c r="B31902" s="65"/>
    </row>
    <row r="31903" spans="1:2" x14ac:dyDescent="0.25">
      <c r="A31903" s="64" t="str">
        <f>HYPERLINK("http://www.twitter.com/heleddnest", "heleddnest")</f>
        <v>heleddnest</v>
      </c>
      <c r="B31903" s="65" t="s">
        <v>9165</v>
      </c>
    </row>
    <row r="31904" spans="1:2" x14ac:dyDescent="0.25">
      <c r="A31904" s="64" t="str">
        <f>HYPERLINK("http://www.twitter.com/WinningWorkBook", "WinningWorkBook")</f>
        <v>WinningWorkBook</v>
      </c>
      <c r="B31904" s="65" t="s">
        <v>296</v>
      </c>
    </row>
    <row r="31905" spans="1:2" x14ac:dyDescent="0.25">
      <c r="A31905" s="64" t="str">
        <f>HYPERLINK("http://www.twitter.com/grannieannie00", "grannieannie00")</f>
        <v>grannieannie00</v>
      </c>
      <c r="B31905" s="65" t="s">
        <v>3656</v>
      </c>
    </row>
    <row r="31906" spans="1:2" x14ac:dyDescent="0.25">
      <c r="A31906" s="64" t="str">
        <f>HYPERLINK("http://www.twitter.com/HeleneBeauclerc", "HeleneBeauclerc")</f>
        <v>HeleneBeauclerc</v>
      </c>
      <c r="B31906" s="65"/>
    </row>
    <row r="31907" spans="1:2" x14ac:dyDescent="0.25">
      <c r="A31907" s="64" t="str">
        <f>HYPERLINK("http://www.twitter.com/DonostiaW1", "DonostiaW1")</f>
        <v>DonostiaW1</v>
      </c>
      <c r="B31907" s="65" t="s">
        <v>36</v>
      </c>
    </row>
    <row r="31908" spans="1:2" x14ac:dyDescent="0.25">
      <c r="A31908" s="64" t="str">
        <f>HYPERLINK("http://www.twitter.com/aforkful", "aforkful")</f>
        <v>aforkful</v>
      </c>
      <c r="B31908" s="65" t="s">
        <v>12667</v>
      </c>
    </row>
    <row r="31909" spans="1:2" x14ac:dyDescent="0.25">
      <c r="A31909" s="64" t="str">
        <f>HYPERLINK("http://www.twitter.com/peerie_moot", "peerie_moot")</f>
        <v>peerie_moot</v>
      </c>
      <c r="B31909" s="65" t="s">
        <v>12668</v>
      </c>
    </row>
    <row r="31910" spans="1:2" x14ac:dyDescent="0.25">
      <c r="A31910" s="64" t="str">
        <f>HYPERLINK("http://www.twitter.com/ShelterNI", "ShelterNI")</f>
        <v>ShelterNI</v>
      </c>
      <c r="B31910" s="65" t="s">
        <v>2595</v>
      </c>
    </row>
    <row r="31911" spans="1:2" x14ac:dyDescent="0.25">
      <c r="A31911" s="64" t="str">
        <f>HYPERLINK("http://www.twitter.com/abigailchantal", "abigailchantal")</f>
        <v>abigailchantal</v>
      </c>
      <c r="B31911" s="65" t="s">
        <v>36</v>
      </c>
    </row>
    <row r="31912" spans="1:2" x14ac:dyDescent="0.25">
      <c r="A31912" s="64" t="str">
        <f>HYPERLINK("http://www.twitter.com/simonmcarthur", "simonmcarthur")</f>
        <v>simonmcarthur</v>
      </c>
      <c r="B31912" s="65" t="s">
        <v>4247</v>
      </c>
    </row>
    <row r="31913" spans="1:2" x14ac:dyDescent="0.25">
      <c r="A31913" s="64" t="str">
        <f>HYPERLINK("http://www.twitter.com/BalvinSingh", "BalvinSingh")</f>
        <v>BalvinSingh</v>
      </c>
      <c r="B31913" s="65"/>
    </row>
    <row r="31914" spans="1:2" x14ac:dyDescent="0.25">
      <c r="A31914" s="64" t="str">
        <f>HYPERLINK("http://www.twitter.com/NotCalledTim", "NotCalledTim")</f>
        <v>NotCalledTim</v>
      </c>
      <c r="B31914" s="65" t="s">
        <v>296</v>
      </c>
    </row>
    <row r="31915" spans="1:2" x14ac:dyDescent="0.25">
      <c r="A31915" s="64" t="str">
        <f>HYPERLINK("http://www.twitter.com/panchoballard", "panchoballard")</f>
        <v>panchoballard</v>
      </c>
      <c r="B31915" s="65" t="s">
        <v>12669</v>
      </c>
    </row>
    <row r="31916" spans="1:2" x14ac:dyDescent="0.25">
      <c r="A31916" s="64" t="str">
        <f>HYPERLINK("http://www.twitter.com/DD_Mao", "DD_Mao")</f>
        <v>DD_Mao</v>
      </c>
      <c r="B31916" s="65"/>
    </row>
    <row r="31917" spans="1:2" x14ac:dyDescent="0.25">
      <c r="A31917" s="64" t="str">
        <f>HYPERLINK("http://www.twitter.com/MissLPigglett", "MissLPigglett")</f>
        <v>MissLPigglett</v>
      </c>
      <c r="B31917" s="65"/>
    </row>
    <row r="31918" spans="1:2" x14ac:dyDescent="0.25">
      <c r="A31918" s="64" t="str">
        <f>HYPERLINK("http://www.twitter.com/fezmorante", "fezmorante")</f>
        <v>fezmorante</v>
      </c>
      <c r="B31918" s="65" t="s">
        <v>4250</v>
      </c>
    </row>
    <row r="31919" spans="1:2" x14ac:dyDescent="0.25">
      <c r="A31919" s="64" t="str">
        <f>HYPERLINK("http://www.twitter.com/Love_Libraries", "Love_Libraries")</f>
        <v>Love_Libraries</v>
      </c>
      <c r="B31919" s="65" t="s">
        <v>36</v>
      </c>
    </row>
    <row r="31920" spans="1:2" x14ac:dyDescent="0.25">
      <c r="A31920" s="64" t="str">
        <f>HYPERLINK("http://www.twitter.com/eeeaaaggg", "eeeaaaggg")</f>
        <v>eeeaaaggg</v>
      </c>
      <c r="B31920" s="65" t="s">
        <v>36</v>
      </c>
    </row>
    <row r="31921" spans="1:2" x14ac:dyDescent="0.25">
      <c r="A31921" s="64" t="str">
        <f>HYPERLINK("http://www.twitter.com/themanium", "themanium")</f>
        <v>themanium</v>
      </c>
      <c r="B31921" s="65" t="s">
        <v>10987</v>
      </c>
    </row>
    <row r="31922" spans="1:2" x14ac:dyDescent="0.25">
      <c r="A31922" s="64" t="str">
        <f>HYPERLINK("http://www.twitter.com/KelloggsUK", "KelloggsUK")</f>
        <v>KelloggsUK</v>
      </c>
      <c r="B31922" s="65" t="s">
        <v>12670</v>
      </c>
    </row>
    <row r="31923" spans="1:2" x14ac:dyDescent="0.25">
      <c r="A31923" s="64" t="str">
        <f>HYPERLINK("http://www.twitter.com/AmhamLibrary", "AmhamLibrary")</f>
        <v>AmhamLibrary</v>
      </c>
      <c r="B31923" s="65" t="s">
        <v>12671</v>
      </c>
    </row>
    <row r="31924" spans="1:2" x14ac:dyDescent="0.25">
      <c r="A31924" s="64" t="str">
        <f>HYPERLINK("http://www.twitter.com/kpannette", "kpannette")</f>
        <v>kpannette</v>
      </c>
      <c r="B31924" s="65"/>
    </row>
    <row r="31925" spans="1:2" x14ac:dyDescent="0.25">
      <c r="A31925" s="64" t="str">
        <f>HYPERLINK("http://www.twitter.com/ArdenCity", "ArdenCity")</f>
        <v>ArdenCity</v>
      </c>
      <c r="B31925" s="65" t="s">
        <v>12672</v>
      </c>
    </row>
    <row r="31926" spans="1:2" x14ac:dyDescent="0.25">
      <c r="A31926" s="64" t="str">
        <f>HYPERLINK("http://www.twitter.com/bathswashhouses", "bathswashhouses")</f>
        <v>bathswashhouses</v>
      </c>
      <c r="B31926" s="65" t="s">
        <v>296</v>
      </c>
    </row>
    <row r="31927" spans="1:2" x14ac:dyDescent="0.25">
      <c r="A31927" s="64" t="str">
        <f>HYPERLINK("http://www.twitter.com/andrewjtn", "andrewjtn")</f>
        <v>andrewjtn</v>
      </c>
      <c r="B31927" s="65" t="s">
        <v>487</v>
      </c>
    </row>
    <row r="31928" spans="1:2" x14ac:dyDescent="0.25">
      <c r="A31928" s="64" t="str">
        <f>HYPERLINK("http://www.twitter.com/Mike_England_", "Mike_England_")</f>
        <v>Mike_England_</v>
      </c>
      <c r="B31928" s="65" t="s">
        <v>12673</v>
      </c>
    </row>
    <row r="31929" spans="1:2" x14ac:dyDescent="0.25">
      <c r="A31929" s="64" t="str">
        <f>HYPERLINK("http://www.twitter.com/gordonjmcdonald", "gordonjmcdonald")</f>
        <v>gordonjmcdonald</v>
      </c>
      <c r="B31929" s="65" t="s">
        <v>7085</v>
      </c>
    </row>
    <row r="31930" spans="1:2" x14ac:dyDescent="0.25">
      <c r="A31930" s="64" t="str">
        <f>HYPERLINK("http://www.twitter.com/oravik", "oravik")</f>
        <v>oravik</v>
      </c>
      <c r="B31930" s="65" t="s">
        <v>20</v>
      </c>
    </row>
    <row r="31931" spans="1:2" x14ac:dyDescent="0.25">
      <c r="A31931" s="64" t="str">
        <f>HYPERLINK("http://www.twitter.com/wishawcross", "wishawcross")</f>
        <v>wishawcross</v>
      </c>
      <c r="B31931" s="65"/>
    </row>
    <row r="31932" spans="1:2" x14ac:dyDescent="0.25">
      <c r="A31932" s="64" t="str">
        <f>HYPERLINK("http://www.twitter.com/coolasmince", "coolasmince")</f>
        <v>coolasmince</v>
      </c>
      <c r="B31932" s="65" t="s">
        <v>24</v>
      </c>
    </row>
    <row r="31933" spans="1:2" x14ac:dyDescent="0.25">
      <c r="A31933" s="64" t="str">
        <f>HYPERLINK("http://www.twitter.com/SonnyRoss", "SonnyRoss")</f>
        <v>SonnyRoss</v>
      </c>
      <c r="B31933" s="65"/>
    </row>
    <row r="31934" spans="1:2" x14ac:dyDescent="0.25">
      <c r="A31934" s="64" t="str">
        <f>HYPERLINK("http://www.twitter.com/Lillika", "Lillika")</f>
        <v>Lillika</v>
      </c>
      <c r="B31934" s="65" t="s">
        <v>517</v>
      </c>
    </row>
    <row r="31935" spans="1:2" x14ac:dyDescent="0.25">
      <c r="A31935" s="64" t="str">
        <f>HYPERLINK("http://www.twitter.com/CathHanley", "CathHanley")</f>
        <v>CathHanley</v>
      </c>
      <c r="B31935" s="65" t="s">
        <v>12674</v>
      </c>
    </row>
    <row r="31936" spans="1:2" x14ac:dyDescent="0.25">
      <c r="A31936" s="64" t="str">
        <f>HYPERLINK("http://www.twitter.com/SRoss2422", "SRoss2422")</f>
        <v>SRoss2422</v>
      </c>
      <c r="B31936" s="65" t="s">
        <v>24</v>
      </c>
    </row>
    <row r="31937" spans="1:2" x14ac:dyDescent="0.25">
      <c r="A31937" s="64" t="str">
        <f>HYPERLINK("http://www.twitter.com/sally_rattray", "sally_rattray")</f>
        <v>sally_rattray</v>
      </c>
      <c r="B31937" s="65" t="s">
        <v>24</v>
      </c>
    </row>
    <row r="31938" spans="1:2" x14ac:dyDescent="0.25">
      <c r="A31938" s="64" t="str">
        <f>HYPERLINK("http://www.twitter.com/PhyllisSinclair", "PhyllisSinclair")</f>
        <v>PhyllisSinclair</v>
      </c>
      <c r="B31938" s="65"/>
    </row>
    <row r="31939" spans="1:2" x14ac:dyDescent="0.25">
      <c r="A31939" s="64" t="str">
        <f>HYPERLINK("http://www.twitter.com/Treesiepops", "Treesiepops")</f>
        <v>Treesiepops</v>
      </c>
      <c r="B31939" s="65" t="s">
        <v>36</v>
      </c>
    </row>
    <row r="31940" spans="1:2" x14ac:dyDescent="0.25">
      <c r="A31940" s="64" t="str">
        <f>HYPERLINK("http://www.twitter.com/PomonaUK", "PomonaUK")</f>
        <v>PomonaUK</v>
      </c>
      <c r="B31940" s="65" t="s">
        <v>517</v>
      </c>
    </row>
    <row r="31941" spans="1:2" x14ac:dyDescent="0.25">
      <c r="A31941" s="64" t="str">
        <f>HYPERLINK("http://www.twitter.com/jonsmalldon", "jonsmalldon")</f>
        <v>jonsmalldon</v>
      </c>
      <c r="B31941" s="65" t="s">
        <v>3543</v>
      </c>
    </row>
    <row r="31942" spans="1:2" x14ac:dyDescent="0.25">
      <c r="A31942" s="64" t="str">
        <f>HYPERLINK("http://www.twitter.com/FrancesJPearce", "FrancesJPearce")</f>
        <v>FrancesJPearce</v>
      </c>
      <c r="B31942" s="65"/>
    </row>
    <row r="31943" spans="1:2" x14ac:dyDescent="0.25">
      <c r="A31943" s="64" t="str">
        <f>HYPERLINK("http://www.twitter.com/misssouthfood", "misssouthfood")</f>
        <v>misssouthfood</v>
      </c>
      <c r="B31943" s="65" t="s">
        <v>12675</v>
      </c>
    </row>
    <row r="31944" spans="1:2" x14ac:dyDescent="0.25">
      <c r="A31944" s="64" t="str">
        <f>HYPERLINK("http://www.twitter.com/Talonbooks", "Talonbooks")</f>
        <v>Talonbooks</v>
      </c>
      <c r="B31944" s="65" t="s">
        <v>4981</v>
      </c>
    </row>
    <row r="31945" spans="1:2" x14ac:dyDescent="0.25">
      <c r="A31945" s="64" t="str">
        <f>HYPERLINK("http://www.twitter.com/soosiefandango", "soosiefandango")</f>
        <v>soosiefandango</v>
      </c>
      <c r="B31945" s="65" t="s">
        <v>5667</v>
      </c>
    </row>
    <row r="31946" spans="1:2" x14ac:dyDescent="0.25">
      <c r="A31946" s="64" t="str">
        <f>HYPERLINK("http://www.twitter.com/UrbanTwitcher", "UrbanTwitcher")</f>
        <v>UrbanTwitcher</v>
      </c>
      <c r="B31946" s="65"/>
    </row>
    <row r="31947" spans="1:2" x14ac:dyDescent="0.25">
      <c r="A31947" s="64" t="str">
        <f>HYPERLINK("http://www.twitter.com/megsmegs82", "megsmegs82")</f>
        <v>megsmegs82</v>
      </c>
      <c r="B31947" s="65" t="s">
        <v>24</v>
      </c>
    </row>
    <row r="31948" spans="1:2" x14ac:dyDescent="0.25">
      <c r="A31948" s="64" t="str">
        <f>HYPERLINK("http://www.twitter.com/kellymhall", "kellymhall")</f>
        <v>kellymhall</v>
      </c>
      <c r="B31948" s="65" t="s">
        <v>10965</v>
      </c>
    </row>
    <row r="31949" spans="1:2" x14ac:dyDescent="0.25">
      <c r="A31949" s="64" t="str">
        <f>HYPERLINK("http://www.twitter.com/saphy76", "saphy76")</f>
        <v>saphy76</v>
      </c>
      <c r="B31949" s="65" t="s">
        <v>12676</v>
      </c>
    </row>
    <row r="31950" spans="1:2" x14ac:dyDescent="0.25">
      <c r="A31950" s="64" t="str">
        <f>HYPERLINK("http://www.twitter.com/felixthehat", "felixthehat")</f>
        <v>felixthehat</v>
      </c>
      <c r="B31950" s="65" t="s">
        <v>2102</v>
      </c>
    </row>
    <row r="31951" spans="1:2" x14ac:dyDescent="0.25">
      <c r="A31951" s="64" t="str">
        <f>HYPERLINK("http://www.twitter.com/josephlee", "josephlee")</f>
        <v>josephlee</v>
      </c>
      <c r="B31951" s="65" t="s">
        <v>36</v>
      </c>
    </row>
    <row r="31952" spans="1:2" x14ac:dyDescent="0.25">
      <c r="A31952" s="64" t="str">
        <f>HYPERLINK("http://www.twitter.com/_RichardBenson", "_RichardBenson")</f>
        <v>_RichardBenson</v>
      </c>
      <c r="B31952" s="65" t="s">
        <v>12677</v>
      </c>
    </row>
    <row r="31953" spans="1:2" x14ac:dyDescent="0.25">
      <c r="A31953" s="64" t="str">
        <f>HYPERLINK("http://www.twitter.com/thefourthcraw", "thefourthcraw")</f>
        <v>thefourthcraw</v>
      </c>
      <c r="B31953" s="65" t="s">
        <v>36</v>
      </c>
    </row>
    <row r="31954" spans="1:2" x14ac:dyDescent="0.25">
      <c r="A31954" s="64" t="str">
        <f>HYPERLINK("http://www.twitter.com/rougvie77", "rougvie77")</f>
        <v>rougvie77</v>
      </c>
      <c r="B31954" s="65" t="s">
        <v>487</v>
      </c>
    </row>
    <row r="31955" spans="1:2" x14ac:dyDescent="0.25">
      <c r="A31955" s="64" t="str">
        <f>HYPERLINK("http://www.twitter.com/KaKatGumdrops", "KaKatGumdrops")</f>
        <v>KaKatGumdrops</v>
      </c>
      <c r="B31955" s="65"/>
    </row>
    <row r="31956" spans="1:2" x14ac:dyDescent="0.25">
      <c r="A31956" s="64" t="str">
        <f>HYPERLINK("http://www.twitter.com/macca7760", "macca7760")</f>
        <v>macca7760</v>
      </c>
      <c r="B31956" s="65" t="s">
        <v>11230</v>
      </c>
    </row>
    <row r="31957" spans="1:2" x14ac:dyDescent="0.25">
      <c r="A31957" s="64" t="str">
        <f>HYPERLINK("http://www.twitter.com/orkadano", "orkadano")</f>
        <v>orkadano</v>
      </c>
      <c r="B31957" s="65" t="s">
        <v>20</v>
      </c>
    </row>
    <row r="31958" spans="1:2" x14ac:dyDescent="0.25">
      <c r="A31958" s="64" t="str">
        <f>HYPERLINK("http://www.twitter.com/penmanbob", "penmanbob")</f>
        <v>penmanbob</v>
      </c>
      <c r="B31958" s="65"/>
    </row>
    <row r="31959" spans="1:2" x14ac:dyDescent="0.25">
      <c r="A31959" s="64" t="str">
        <f>HYPERLINK("http://www.twitter.com/080137", "080137")</f>
        <v>080137</v>
      </c>
      <c r="B31959" s="65" t="s">
        <v>6629</v>
      </c>
    </row>
    <row r="31960" spans="1:2" x14ac:dyDescent="0.25">
      <c r="A31960" s="64" t="str">
        <f>HYPERLINK("http://www.twitter.com/CrazyGolfMuseum", "CrazyGolfMuseum")</f>
        <v>CrazyGolfMuseum</v>
      </c>
      <c r="B31960" s="65"/>
    </row>
    <row r="31961" spans="1:2" x14ac:dyDescent="0.25">
      <c r="A31961" s="64" t="str">
        <f>HYPERLINK("http://www.twitter.com/rakmail", "rakmail")</f>
        <v>rakmail</v>
      </c>
      <c r="B31961" s="65"/>
    </row>
    <row r="31962" spans="1:2" x14ac:dyDescent="0.25">
      <c r="A31962" s="64" t="str">
        <f>HYPERLINK("http://www.twitter.com/pengedad", "pengedad")</f>
        <v>pengedad</v>
      </c>
      <c r="B31962" s="65" t="s">
        <v>36</v>
      </c>
    </row>
    <row r="31963" spans="1:2" x14ac:dyDescent="0.25">
      <c r="A31963" s="64" t="str">
        <f>HYPERLINK("http://www.twitter.com/kell8888bell", "kell8888bell")</f>
        <v>kell8888bell</v>
      </c>
      <c r="B31963" s="65" t="s">
        <v>12678</v>
      </c>
    </row>
    <row r="31964" spans="1:2" x14ac:dyDescent="0.25">
      <c r="A31964" s="64" t="str">
        <f>HYPERLINK("http://www.twitter.com/maisiel", "maisiel")</f>
        <v>maisiel</v>
      </c>
      <c r="B31964" s="65"/>
    </row>
    <row r="31965" spans="1:2" x14ac:dyDescent="0.25">
      <c r="A31965" s="64" t="str">
        <f>HYPERLINK("http://www.twitter.com/childlibrary", "childlibrary")</f>
        <v>childlibrary</v>
      </c>
      <c r="B31965" s="65" t="s">
        <v>4720</v>
      </c>
    </row>
    <row r="31966" spans="1:2" x14ac:dyDescent="0.25">
      <c r="A31966" s="64" t="str">
        <f>HYPERLINK("http://www.twitter.com/floatsupstream", "floatsupstream")</f>
        <v>floatsupstream</v>
      </c>
      <c r="B31966" s="65" t="s">
        <v>10024</v>
      </c>
    </row>
    <row r="31967" spans="1:2" x14ac:dyDescent="0.25">
      <c r="A31967" s="64" t="str">
        <f>HYPERLINK("http://www.twitter.com/FestofMuseums", "FestofMuseums")</f>
        <v>FestofMuseums</v>
      </c>
      <c r="B31967" s="65" t="s">
        <v>517</v>
      </c>
    </row>
    <row r="31968" spans="1:2" x14ac:dyDescent="0.25">
      <c r="A31968" s="64" t="str">
        <f>HYPERLINK("http://www.twitter.com/egelliott", "egelliott")</f>
        <v>egelliott</v>
      </c>
      <c r="B31968" s="65"/>
    </row>
    <row r="31969" spans="1:2" x14ac:dyDescent="0.25">
      <c r="A31969" s="64" t="str">
        <f>HYPERLINK("http://www.twitter.com/TamsinTweeting", "TamsinTweeting")</f>
        <v>TamsinTweeting</v>
      </c>
      <c r="B31969" s="65" t="s">
        <v>12679</v>
      </c>
    </row>
    <row r="31970" spans="1:2" x14ac:dyDescent="0.25">
      <c r="A31970" s="64" t="str">
        <f>HYPERLINK("http://www.twitter.com/leegardner", "leegardner")</f>
        <v>leegardner</v>
      </c>
      <c r="B31970" s="65"/>
    </row>
    <row r="31971" spans="1:2" x14ac:dyDescent="0.25">
      <c r="A31971" s="64" t="str">
        <f>HYPERLINK("http://www.twitter.com/RachBroadbent", "RachBroadbent")</f>
        <v>RachBroadbent</v>
      </c>
      <c r="B31971" s="65" t="s">
        <v>310</v>
      </c>
    </row>
    <row r="31972" spans="1:2" x14ac:dyDescent="0.25">
      <c r="A31972" s="64" t="str">
        <f>HYPERLINK("http://www.twitter.com/tzenni", "tzenni")</f>
        <v>tzenni</v>
      </c>
      <c r="B31972" s="65" t="s">
        <v>487</v>
      </c>
    </row>
    <row r="31973" spans="1:2" x14ac:dyDescent="0.25">
      <c r="A31973" s="64" t="str">
        <f>HYPERLINK("http://www.twitter.com/CraigieSamantha", "CraigieSamantha")</f>
        <v>CraigieSamantha</v>
      </c>
      <c r="B31973" s="65"/>
    </row>
    <row r="31974" spans="1:2" x14ac:dyDescent="0.25">
      <c r="A31974" s="64" t="str">
        <f>HYPERLINK("http://www.twitter.com/ideastores", "ideastores")</f>
        <v>ideastores</v>
      </c>
      <c r="B31974" s="65" t="s">
        <v>340</v>
      </c>
    </row>
    <row r="31975" spans="1:2" x14ac:dyDescent="0.25">
      <c r="A31975" s="64" t="str">
        <f>HYPERLINK("http://www.twitter.com/hendo1", "hendo1")</f>
        <v>hendo1</v>
      </c>
      <c r="B31975" s="65"/>
    </row>
    <row r="31976" spans="1:2" x14ac:dyDescent="0.25">
      <c r="A31976" s="64" t="str">
        <f>HYPERLINK("http://www.twitter.com/chwaberacuk", "chwaberacuk")</f>
        <v>chwaberacuk</v>
      </c>
      <c r="B31976" s="65"/>
    </row>
    <row r="31977" spans="1:2" x14ac:dyDescent="0.25">
      <c r="A31977" s="64" t="str">
        <f>HYPERLINK("http://www.twitter.com/librariesweek", "librariesweek")</f>
        <v>librariesweek</v>
      </c>
      <c r="B31977" s="65" t="s">
        <v>12680</v>
      </c>
    </row>
    <row r="31978" spans="1:2" x14ac:dyDescent="0.25">
      <c r="A31978" s="64" t="str">
        <f>HYPERLINK("http://www.twitter.com/Liza30900", "Liza30900")</f>
        <v>Liza30900</v>
      </c>
      <c r="B31978" s="65" t="s">
        <v>5442</v>
      </c>
    </row>
    <row r="31979" spans="1:2" x14ac:dyDescent="0.25">
      <c r="A31979" s="64" t="str">
        <f>HYPERLINK("http://www.twitter.com/sarah_eevvaa", "sarah_eevvaa")</f>
        <v>sarah_eevvaa</v>
      </c>
      <c r="B31979" s="65" t="s">
        <v>12681</v>
      </c>
    </row>
    <row r="31980" spans="1:2" x14ac:dyDescent="0.25">
      <c r="A31980" s="64" t="str">
        <f>HYPERLINK("http://www.twitter.com/marktaylor1965", "marktaylor1965")</f>
        <v>marktaylor1965</v>
      </c>
      <c r="B31980" s="65" t="s">
        <v>12682</v>
      </c>
    </row>
    <row r="31981" spans="1:2" x14ac:dyDescent="0.25">
      <c r="A31981" s="64" t="str">
        <f>HYPERLINK("http://www.twitter.com/KYTassie", "KYTassie")</f>
        <v>KYTassie</v>
      </c>
      <c r="B31981" s="65"/>
    </row>
    <row r="31982" spans="1:2" x14ac:dyDescent="0.25">
      <c r="A31982" s="64" t="str">
        <f>HYPERLINK("http://www.twitter.com/JanGeerling", "JanGeerling")</f>
        <v>JanGeerling</v>
      </c>
      <c r="B31982" s="65" t="s">
        <v>12683</v>
      </c>
    </row>
    <row r="31983" spans="1:2" x14ac:dyDescent="0.25">
      <c r="A31983" s="64" t="str">
        <f>HYPERLINK("http://www.twitter.com/INGASAGA", "INGASAGA")</f>
        <v>INGASAGA</v>
      </c>
      <c r="B31983" s="65" t="s">
        <v>4519</v>
      </c>
    </row>
    <row r="31984" spans="1:2" x14ac:dyDescent="0.25">
      <c r="A31984" s="64" t="str">
        <f>HYPERLINK("http://www.twitter.com/BlackwellsGogar", "BlackwellsGogar")</f>
        <v>BlackwellsGogar</v>
      </c>
      <c r="B31984" s="65" t="s">
        <v>24</v>
      </c>
    </row>
    <row r="31985" spans="1:2" x14ac:dyDescent="0.25">
      <c r="A31985" s="64" t="str">
        <f>HYPERLINK("http://www.twitter.com/nocturneshadows", "nocturneshadows")</f>
        <v>nocturneshadows</v>
      </c>
      <c r="B31985" s="65" t="s">
        <v>12684</v>
      </c>
    </row>
    <row r="31986" spans="1:2" x14ac:dyDescent="0.25">
      <c r="A31986" s="64" t="str">
        <f>HYPERLINK("http://www.twitter.com/MoreHavoc", "MoreHavoc")</f>
        <v>MoreHavoc</v>
      </c>
      <c r="B31986" s="65" t="s">
        <v>12685</v>
      </c>
    </row>
    <row r="31987" spans="1:2" x14ac:dyDescent="0.25">
      <c r="A31987" s="64" t="str">
        <f>HYPERLINK("http://www.twitter.com/hayleyjgreen", "hayleyjgreen")</f>
        <v>hayleyjgreen</v>
      </c>
      <c r="B31987" s="65"/>
    </row>
    <row r="31988" spans="1:2" x14ac:dyDescent="0.25">
      <c r="A31988" s="64" t="str">
        <f>HYPERLINK("http://www.twitter.com/davidtmanderson", "davidtmanderson")</f>
        <v>davidtmanderson</v>
      </c>
      <c r="B31988" s="65" t="s">
        <v>543</v>
      </c>
    </row>
    <row r="31989" spans="1:2" x14ac:dyDescent="0.25">
      <c r="A31989" s="64" t="str">
        <f>HYPERLINK("http://www.twitter.com/Corporal_Kleg", "Corporal_Kleg")</f>
        <v>Corporal_Kleg</v>
      </c>
      <c r="B31989" s="65"/>
    </row>
    <row r="31990" spans="1:2" x14ac:dyDescent="0.25">
      <c r="A31990" s="64" t="str">
        <f>HYPERLINK("http://www.twitter.com/Georgecath", "Georgecath")</f>
        <v>Georgecath</v>
      </c>
      <c r="B31990" s="65"/>
    </row>
    <row r="31991" spans="1:2" x14ac:dyDescent="0.25">
      <c r="A31991" s="64" t="str">
        <f>HYPERLINK("http://www.twitter.com/jennimuir0606", "jennimuir0606")</f>
        <v>jennimuir0606</v>
      </c>
      <c r="B31991" s="65"/>
    </row>
    <row r="31992" spans="1:2" x14ac:dyDescent="0.25">
      <c r="A31992" s="64" t="str">
        <f>HYPERLINK("http://www.twitter.com/hughmross", "hughmross")</f>
        <v>hughmross</v>
      </c>
      <c r="B31992" s="65"/>
    </row>
    <row r="31993" spans="1:2" x14ac:dyDescent="0.25">
      <c r="A31993" s="64" t="str">
        <f>HYPERLINK("http://www.twitter.com/JoeyTait1", "JoeyTait1")</f>
        <v>JoeyTait1</v>
      </c>
      <c r="B31993" s="65"/>
    </row>
    <row r="31994" spans="1:2" x14ac:dyDescent="0.25">
      <c r="A31994" s="64" t="str">
        <f>HYPERLINK("http://www.twitter.com/Saor_Alba1314", "Saor_Alba1314")</f>
        <v>Saor_Alba1314</v>
      </c>
      <c r="B31994" s="65" t="s">
        <v>12686</v>
      </c>
    </row>
    <row r="31995" spans="1:2" x14ac:dyDescent="0.25">
      <c r="A31995" s="64" t="str">
        <f>HYPERLINK("http://www.twitter.com/melblibrary", "melblibrary")</f>
        <v>melblibrary</v>
      </c>
      <c r="B31995" s="65" t="s">
        <v>3978</v>
      </c>
    </row>
    <row r="31996" spans="1:2" x14ac:dyDescent="0.25">
      <c r="A31996" s="64" t="str">
        <f>HYPERLINK("http://www.twitter.com/KNorquoy", "KNorquoy")</f>
        <v>KNorquoy</v>
      </c>
      <c r="B31996" s="65" t="s">
        <v>12687</v>
      </c>
    </row>
    <row r="31997" spans="1:2" x14ac:dyDescent="0.25">
      <c r="A31997" s="64" t="str">
        <f>HYPERLINK("http://www.twitter.com/Executive_Chef", "Executive_Chef")</f>
        <v>Executive_Chef</v>
      </c>
      <c r="B31997" s="65" t="s">
        <v>4229</v>
      </c>
    </row>
    <row r="31998" spans="1:2" x14ac:dyDescent="0.25">
      <c r="A31998" s="64" t="str">
        <f>HYPERLINK("http://www.twitter.com/Kristophalos", "Kristophalos")</f>
        <v>Kristophalos</v>
      </c>
      <c r="B31998" s="65"/>
    </row>
    <row r="31999" spans="1:2" x14ac:dyDescent="0.25">
      <c r="A31999" s="64" t="str">
        <f>HYPERLINK("http://www.twitter.com/tomasen87", "tomasen87")</f>
        <v>tomasen87</v>
      </c>
      <c r="B31999" s="65"/>
    </row>
    <row r="32000" spans="1:2" x14ac:dyDescent="0.25">
      <c r="A32000" s="64" t="str">
        <f>HYPERLINK("http://www.twitter.com/Mally4293", "Mally4293")</f>
        <v>Mally4293</v>
      </c>
      <c r="B32000" s="65"/>
    </row>
    <row r="32001" spans="1:2" x14ac:dyDescent="0.25">
      <c r="A32001" s="64" t="str">
        <f>HYPERLINK("http://www.twitter.com/Paracelsus1966", "Paracelsus1966")</f>
        <v>Paracelsus1966</v>
      </c>
      <c r="B32001" s="65" t="s">
        <v>24</v>
      </c>
    </row>
    <row r="32002" spans="1:2" x14ac:dyDescent="0.25">
      <c r="A32002" s="64" t="str">
        <f>HYPERLINK("http://www.twitter.com/WeNeedLibraries", "WeNeedLibraries")</f>
        <v>WeNeedLibraries</v>
      </c>
      <c r="B32002" s="65" t="s">
        <v>1490</v>
      </c>
    </row>
    <row r="32003" spans="1:2" x14ac:dyDescent="0.25">
      <c r="A32003" s="64" t="str">
        <f>HYPERLINK("http://www.twitter.com/valhalla12", "valhalla12")</f>
        <v>valhalla12</v>
      </c>
      <c r="B32003" s="65"/>
    </row>
    <row r="32004" spans="1:2" x14ac:dyDescent="0.25">
      <c r="A32004" s="64" t="str">
        <f>HYPERLINK("http://www.twitter.com/ElearningL", "ElearningL")</f>
        <v>ElearningL</v>
      </c>
      <c r="B32004" s="65"/>
    </row>
    <row r="32005" spans="1:2" x14ac:dyDescent="0.25">
      <c r="A32005" s="64" t="str">
        <f>HYPERLINK("http://www.twitter.com/LizzieBicket", "LizzieBicket")</f>
        <v>LizzieBicket</v>
      </c>
      <c r="B32005" s="65"/>
    </row>
    <row r="32006" spans="1:2" x14ac:dyDescent="0.25">
      <c r="A32006" s="64" t="str">
        <f>HYPERLINK("http://www.twitter.com/BillMatheson", "BillMatheson")</f>
        <v>BillMatheson</v>
      </c>
      <c r="B32006" s="65" t="s">
        <v>12688</v>
      </c>
    </row>
    <row r="32007" spans="1:2" x14ac:dyDescent="0.25">
      <c r="A32007" s="64" t="str">
        <f>HYPERLINK("http://www.twitter.com/HiddenAberdeen", "HiddenAberdeen")</f>
        <v>HiddenAberdeen</v>
      </c>
      <c r="B32007" s="65" t="s">
        <v>808</v>
      </c>
    </row>
    <row r="32008" spans="1:2" x14ac:dyDescent="0.25">
      <c r="A32008" s="64" t="str">
        <f>HYPERLINK("http://www.twitter.com/LexusScotland", "LexusScotland")</f>
        <v>LexusScotland</v>
      </c>
      <c r="B32008" s="65" t="s">
        <v>24</v>
      </c>
    </row>
    <row r="32009" spans="1:2" x14ac:dyDescent="0.25">
      <c r="A32009" s="64" t="str">
        <f>HYPERLINK("http://www.twitter.com/inksters", "inksters")</f>
        <v>inksters</v>
      </c>
      <c r="B32009" s="65" t="s">
        <v>12689</v>
      </c>
    </row>
    <row r="32010" spans="1:2" x14ac:dyDescent="0.25">
      <c r="A32010" s="64" t="str">
        <f>HYPERLINK("http://www.twitter.com/BrianInkster", "BrianInkster")</f>
        <v>BrianInkster</v>
      </c>
      <c r="B32010" s="65" t="s">
        <v>12690</v>
      </c>
    </row>
    <row r="32011" spans="1:2" x14ac:dyDescent="0.25">
      <c r="A32011" s="64" t="str">
        <f>HYPERLINK("http://www.twitter.com/QuantumTelford", "QuantumTelford")</f>
        <v>QuantumTelford</v>
      </c>
      <c r="B32011" s="65" t="s">
        <v>4499</v>
      </c>
    </row>
    <row r="32012" spans="1:2" x14ac:dyDescent="0.25">
      <c r="A32012" s="64" t="str">
        <f>HYPERLINK("http://www.twitter.com/HarrogateFest", "HarrogateFest")</f>
        <v>HarrogateFest</v>
      </c>
      <c r="B32012" s="65" t="s">
        <v>2093</v>
      </c>
    </row>
    <row r="32013" spans="1:2" x14ac:dyDescent="0.25">
      <c r="A32013" s="64" t="str">
        <f>HYPERLINK("http://www.twitter.com/patty2456", "patty2456")</f>
        <v>patty2456</v>
      </c>
      <c r="B32013" s="65" t="s">
        <v>517</v>
      </c>
    </row>
    <row r="32014" spans="1:2" x14ac:dyDescent="0.25">
      <c r="A32014" s="64" t="str">
        <f>HYPERLINK("http://www.twitter.com/flissc", "flissc")</f>
        <v>flissc</v>
      </c>
      <c r="B32014" s="65" t="s">
        <v>203</v>
      </c>
    </row>
    <row r="32015" spans="1:2" x14ac:dyDescent="0.25">
      <c r="A32015" s="64" t="str">
        <f>HYPERLINK("http://www.twitter.com/betbott", "betbott")</f>
        <v>betbott</v>
      </c>
      <c r="B32015" s="65" t="s">
        <v>24</v>
      </c>
    </row>
    <row r="32016" spans="1:2" x14ac:dyDescent="0.25">
      <c r="A32016" s="64" t="str">
        <f>HYPERLINK("http://www.twitter.com/BibblanSarah", "BibblanSarah")</f>
        <v>BibblanSarah</v>
      </c>
      <c r="B32016" s="65" t="s">
        <v>8510</v>
      </c>
    </row>
    <row r="32017" spans="1:2" x14ac:dyDescent="0.25">
      <c r="A32017" s="64" t="str">
        <f>HYPERLINK("http://www.twitter.com/ANF_16", "ANF_16")</f>
        <v>ANF_16</v>
      </c>
      <c r="B32017" s="65"/>
    </row>
    <row r="32018" spans="1:2" x14ac:dyDescent="0.25">
      <c r="A32018" s="64" t="str">
        <f>HYPERLINK("http://www.twitter.com/PaperOfRecord", "PaperOfRecord")</f>
        <v>PaperOfRecord</v>
      </c>
      <c r="B32018" s="65" t="s">
        <v>3799</v>
      </c>
    </row>
    <row r="32019" spans="1:2" x14ac:dyDescent="0.25">
      <c r="A32019" s="64" t="str">
        <f>HYPERLINK("http://www.twitter.com/LoveLaneCupcake", "LoveLaneCupcake")</f>
        <v>LoveLaneCupcake</v>
      </c>
      <c r="B32019" s="65" t="s">
        <v>12691</v>
      </c>
    </row>
    <row r="32020" spans="1:2" x14ac:dyDescent="0.25">
      <c r="A32020" s="64" t="str">
        <f>HYPERLINK("http://www.twitter.com/evansgaz", "evansgaz")</f>
        <v>evansgaz</v>
      </c>
      <c r="B32020" s="65" t="s">
        <v>514</v>
      </c>
    </row>
    <row r="32021" spans="1:2" x14ac:dyDescent="0.25">
      <c r="A32021" s="64" t="str">
        <f>HYPERLINK("http://www.twitter.com/fadeproofgirl", "fadeproofgirl")</f>
        <v>fadeproofgirl</v>
      </c>
      <c r="B32021" s="65"/>
    </row>
    <row r="32022" spans="1:2" x14ac:dyDescent="0.25">
      <c r="A32022" s="64" t="str">
        <f>HYPERLINK("http://www.twitter.com/GreenSofe", "GreenSofe")</f>
        <v>GreenSofe</v>
      </c>
      <c r="B32022" s="65" t="s">
        <v>4409</v>
      </c>
    </row>
    <row r="32023" spans="1:2" x14ac:dyDescent="0.25">
      <c r="A32023" s="64" t="str">
        <f>HYPERLINK("http://www.twitter.com/FoxedQuarterly", "FoxedQuarterly")</f>
        <v>FoxedQuarterly</v>
      </c>
      <c r="B32023" s="65" t="s">
        <v>110</v>
      </c>
    </row>
    <row r="32024" spans="1:2" x14ac:dyDescent="0.25">
      <c r="A32024" s="64" t="str">
        <f>HYPERLINK("http://www.twitter.com/MatthewSadler", "MatthewSadler")</f>
        <v>MatthewSadler</v>
      </c>
      <c r="B32024" s="65" t="s">
        <v>3978</v>
      </c>
    </row>
    <row r="32025" spans="1:2" x14ac:dyDescent="0.25">
      <c r="A32025" s="64" t="str">
        <f>HYPERLINK("http://www.twitter.com/AuthorKSchipper", "AuthorKSchipper")</f>
        <v>AuthorKSchipper</v>
      </c>
      <c r="B32025" s="65" t="s">
        <v>3979</v>
      </c>
    </row>
    <row r="32026" spans="1:2" x14ac:dyDescent="0.25">
      <c r="A32026" s="64" t="str">
        <f>HYPERLINK("http://www.twitter.com/SydneyYourSay", "SydneyYourSay")</f>
        <v>SydneyYourSay</v>
      </c>
      <c r="B32026" s="65" t="s">
        <v>5528</v>
      </c>
    </row>
    <row r="32027" spans="1:2" x14ac:dyDescent="0.25">
      <c r="A32027" s="64" t="str">
        <f>HYPERLINK("http://www.twitter.com/archifau", "archifau")</f>
        <v>archifau</v>
      </c>
      <c r="B32027" s="65"/>
    </row>
    <row r="32028" spans="1:2" x14ac:dyDescent="0.25">
      <c r="A32028" s="64" t="str">
        <f>HYPERLINK("http://www.twitter.com/RossWatson_", "RossWatson_")</f>
        <v>RossWatson_</v>
      </c>
      <c r="B32028" s="65" t="s">
        <v>517</v>
      </c>
    </row>
    <row r="32029" spans="1:2" x14ac:dyDescent="0.25">
      <c r="A32029" s="64" t="str">
        <f>HYPERLINK("http://www.twitter.com/GemmaBuchan", "GemmaBuchan")</f>
        <v>GemmaBuchan</v>
      </c>
      <c r="B32029" s="65" t="s">
        <v>20</v>
      </c>
    </row>
    <row r="32030" spans="1:2" x14ac:dyDescent="0.25">
      <c r="A32030" s="64" t="str">
        <f>HYPERLINK("http://www.twitter.com/jrdouglasesq", "jrdouglasesq")</f>
        <v>jrdouglasesq</v>
      </c>
      <c r="B32030" s="65" t="s">
        <v>318</v>
      </c>
    </row>
    <row r="32031" spans="1:2" x14ac:dyDescent="0.25">
      <c r="A32031" s="64" t="str">
        <f>HYPERLINK("http://www.twitter.com/GrayOrlando", "GrayOrlando")</f>
        <v>GrayOrlando</v>
      </c>
      <c r="B32031" s="65" t="s">
        <v>296</v>
      </c>
    </row>
    <row r="32032" spans="1:2" x14ac:dyDescent="0.25">
      <c r="A32032" s="64" t="str">
        <f>HYPERLINK("http://www.twitter.com/MoiOfRa", "MoiOfRa")</f>
        <v>MoiOfRa</v>
      </c>
      <c r="B32032" s="65" t="s">
        <v>12692</v>
      </c>
    </row>
    <row r="32033" spans="1:2" x14ac:dyDescent="0.25">
      <c r="A32033" s="64" t="str">
        <f>HYPERLINK("http://www.twitter.com/tbradman", "tbradman")</f>
        <v>tbradman</v>
      </c>
      <c r="B32033" s="65" t="s">
        <v>36</v>
      </c>
    </row>
    <row r="32034" spans="1:2" x14ac:dyDescent="0.25">
      <c r="A32034" s="64" t="str">
        <f>HYPERLINK("http://www.twitter.com/PaulTov", "PaulTov")</f>
        <v>PaulTov</v>
      </c>
      <c r="B32034" s="65" t="s">
        <v>639</v>
      </c>
    </row>
    <row r="32035" spans="1:2" x14ac:dyDescent="0.25">
      <c r="A32035" s="64" t="str">
        <f>HYPERLINK("http://www.twitter.com/MargotBee", "MargotBee")</f>
        <v>MargotBee</v>
      </c>
      <c r="B32035" s="65" t="s">
        <v>4317</v>
      </c>
    </row>
    <row r="32036" spans="1:2" x14ac:dyDescent="0.25">
      <c r="A32036" s="64" t="str">
        <f>HYPERLINK("http://www.twitter.com/LindseyFraser", "LindseyFraser")</f>
        <v>LindseyFraser</v>
      </c>
      <c r="B32036" s="65"/>
    </row>
    <row r="32037" spans="1:2" x14ac:dyDescent="0.25">
      <c r="A32037" s="64" t="str">
        <f>HYPERLINK("http://www.twitter.com/JillLamo", "JillLamo")</f>
        <v>JillLamo</v>
      </c>
      <c r="B32037" s="65"/>
    </row>
    <row r="32038" spans="1:2" x14ac:dyDescent="0.25">
      <c r="A32038" s="64" t="str">
        <f>HYPERLINK("http://www.twitter.com/LaSardonica", "LaSardonica")</f>
        <v>LaSardonica</v>
      </c>
      <c r="B32038" s="65" t="s">
        <v>24</v>
      </c>
    </row>
    <row r="32039" spans="1:2" x14ac:dyDescent="0.25">
      <c r="A32039" s="64" t="str">
        <f>HYPERLINK("http://www.twitter.com/ScottishLibrari", "ScottishLibrari")</f>
        <v>ScottishLibrari</v>
      </c>
      <c r="B32039" s="65"/>
    </row>
    <row r="32040" spans="1:2" x14ac:dyDescent="0.25">
      <c r="A32040" s="64" t="str">
        <f>HYPERLINK("http://www.twitter.com/Sherb13", "Sherb13")</f>
        <v>Sherb13</v>
      </c>
      <c r="B32040" s="65" t="s">
        <v>11346</v>
      </c>
    </row>
    <row r="32041" spans="1:2" x14ac:dyDescent="0.25">
      <c r="A32041" s="64" t="str">
        <f>HYPERLINK("http://www.twitter.com/moorag", "moorag")</f>
        <v>moorag</v>
      </c>
      <c r="B32041" s="65" t="s">
        <v>36</v>
      </c>
    </row>
    <row r="32042" spans="1:2" x14ac:dyDescent="0.25">
      <c r="A32042" s="64" t="str">
        <f>HYPERLINK("http://www.twitter.com/ChicaWonder", "ChicaWonder")</f>
        <v>ChicaWonder</v>
      </c>
      <c r="B32042" s="65" t="s">
        <v>36</v>
      </c>
    </row>
    <row r="32043" spans="1:2" x14ac:dyDescent="0.25">
      <c r="A32043" s="64" t="str">
        <f>HYPERLINK("http://www.twitter.com/VikingConf", "VikingConf")</f>
        <v>VikingConf</v>
      </c>
      <c r="B32043" s="65" t="s">
        <v>5428</v>
      </c>
    </row>
    <row r="32044" spans="1:2" x14ac:dyDescent="0.25">
      <c r="A32044" s="64" t="str">
        <f>HYPERLINK("http://www.twitter.com/craftresearch", "craftresearch")</f>
        <v>craftresearch</v>
      </c>
      <c r="B32044" s="65" t="s">
        <v>1201</v>
      </c>
    </row>
    <row r="32045" spans="1:2" x14ac:dyDescent="0.25">
      <c r="A32045" s="64" t="str">
        <f>HYPERLINK("http://www.twitter.com/Bibliobairn", "Bibliobairn")</f>
        <v>Bibliobairn</v>
      </c>
      <c r="B32045" s="65"/>
    </row>
    <row r="32046" spans="1:2" x14ac:dyDescent="0.25">
      <c r="A32046" s="64" t="str">
        <f>HYPERLINK("http://www.twitter.com/madstoy", "madstoy")</f>
        <v>madstoy</v>
      </c>
      <c r="B32046" s="65" t="s">
        <v>514</v>
      </c>
    </row>
    <row r="32047" spans="1:2" x14ac:dyDescent="0.25">
      <c r="A32047" s="64" t="str">
        <f>HYPERLINK("http://www.twitter.com/Walthamfrank", "Walthamfrank")</f>
        <v>Walthamfrank</v>
      </c>
      <c r="B32047" s="65"/>
    </row>
    <row r="32048" spans="1:2" x14ac:dyDescent="0.25">
      <c r="A32048" s="64" t="str">
        <f>HYPERLINK("http://www.twitter.com/UHLibrary", "UHLibrary")</f>
        <v>UHLibrary</v>
      </c>
      <c r="B32048" s="65" t="s">
        <v>12693</v>
      </c>
    </row>
    <row r="32049" spans="1:2" x14ac:dyDescent="0.25">
      <c r="A32049" s="64" t="str">
        <f>HYPERLINK("http://www.twitter.com/SollasBooks", "SollasBooks")</f>
        <v>SollasBooks</v>
      </c>
      <c r="B32049" s="65" t="s">
        <v>4608</v>
      </c>
    </row>
    <row r="32050" spans="1:2" x14ac:dyDescent="0.25">
      <c r="A32050" s="64" t="str">
        <f>HYPERLINK("http://www.twitter.com/EwanScott1903", "EwanScott1903")</f>
        <v>EwanScott1903</v>
      </c>
      <c r="B32050" s="65" t="s">
        <v>808</v>
      </c>
    </row>
    <row r="32051" spans="1:2" x14ac:dyDescent="0.25">
      <c r="A32051" s="64" t="str">
        <f>HYPERLINK("http://www.twitter.com/jjdiscovery", "jjdiscovery")</f>
        <v>jjdiscovery</v>
      </c>
      <c r="B32051" s="65"/>
    </row>
    <row r="32052" spans="1:2" x14ac:dyDescent="0.25">
      <c r="A32052" s="64" t="str">
        <f>HYPERLINK("http://www.twitter.com/ScottishHistory", "ScottishHistory")</f>
        <v>ScottishHistory</v>
      </c>
      <c r="B32052" s="65" t="s">
        <v>9666</v>
      </c>
    </row>
    <row r="32053" spans="1:2" x14ac:dyDescent="0.25">
      <c r="A32053" s="64" t="str">
        <f>HYPERLINK("http://www.twitter.com/JohnRossScott", "JohnRossScott")</f>
        <v>JohnRossScott</v>
      </c>
      <c r="B32053" s="65" t="s">
        <v>4227</v>
      </c>
    </row>
    <row r="32054" spans="1:2" x14ac:dyDescent="0.25">
      <c r="A32054" s="64" t="str">
        <f>HYPERLINK("http://www.twitter.com/caverstraete", "caverstraete")</f>
        <v>caverstraete</v>
      </c>
      <c r="B32054" s="65" t="s">
        <v>12694</v>
      </c>
    </row>
    <row r="32055" spans="1:2" x14ac:dyDescent="0.25">
      <c r="A32055" s="64" t="str">
        <f>HYPERLINK("http://www.twitter.com/nick_ilott", "nick_ilott")</f>
        <v>nick_ilott</v>
      </c>
      <c r="B32055" s="65"/>
    </row>
    <row r="32056" spans="1:2" x14ac:dyDescent="0.25">
      <c r="A32056" s="64" t="str">
        <f>HYPERLINK("http://www.twitter.com/shellylib", "shellylib")</f>
        <v>shellylib</v>
      </c>
      <c r="B32056" s="65" t="s">
        <v>517</v>
      </c>
    </row>
    <row r="32057" spans="1:2" x14ac:dyDescent="0.25">
      <c r="A32057" s="64" t="str">
        <f>HYPERLINK("http://www.twitter.com/Lordhoratio", "Lordhoratio")</f>
        <v>Lordhoratio</v>
      </c>
      <c r="B32057" s="65" t="s">
        <v>12695</v>
      </c>
    </row>
    <row r="32058" spans="1:2" x14ac:dyDescent="0.25">
      <c r="A32058" s="64" t="str">
        <f>HYPERLINK("http://www.twitter.com/a_bit_broken", "a_bit_broken")</f>
        <v>a_bit_broken</v>
      </c>
      <c r="B32058" s="65" t="s">
        <v>8078</v>
      </c>
    </row>
    <row r="32059" spans="1:2" x14ac:dyDescent="0.25">
      <c r="A32059" s="64" t="str">
        <f>HYPERLINK("http://www.twitter.com/klgecosse", "klgecosse")</f>
        <v>klgecosse</v>
      </c>
      <c r="B32059" s="65"/>
    </row>
    <row r="32060" spans="1:2" x14ac:dyDescent="0.25">
      <c r="A32060" s="64" t="str">
        <f>HYPERLINK("http://www.twitter.com/MagnieShearer", "MagnieShearer")</f>
        <v>MagnieShearer</v>
      </c>
      <c r="B32060" s="65" t="s">
        <v>12696</v>
      </c>
    </row>
    <row r="32061" spans="1:2" x14ac:dyDescent="0.25">
      <c r="A32061" s="64" t="str">
        <f>HYPERLINK("http://www.twitter.com/redskyatnight", "redskyatnight")</f>
        <v>redskyatnight</v>
      </c>
      <c r="B32061" s="65" t="s">
        <v>1377</v>
      </c>
    </row>
    <row r="32062" spans="1:2" x14ac:dyDescent="0.25">
      <c r="A32062" s="64" t="str">
        <f>HYPERLINK("http://www.twitter.com/pauldegregorio", "pauldegregorio")</f>
        <v>pauldegregorio</v>
      </c>
      <c r="B32062" s="65" t="s">
        <v>36</v>
      </c>
    </row>
    <row r="32063" spans="1:2" x14ac:dyDescent="0.25">
      <c r="A32063" s="64" t="str">
        <f>HYPERLINK("http://www.twitter.com/rshelswell", "rshelswell")</f>
        <v>rshelswell</v>
      </c>
      <c r="B32063" s="65" t="s">
        <v>3483</v>
      </c>
    </row>
    <row r="32064" spans="1:2" x14ac:dyDescent="0.25">
      <c r="A32064" s="64" t="str">
        <f>HYPERLINK("http://www.twitter.com/henderscath", "henderscath")</f>
        <v>henderscath</v>
      </c>
      <c r="B32064" s="65" t="s">
        <v>487</v>
      </c>
    </row>
    <row r="32065" spans="1:2" x14ac:dyDescent="0.25">
      <c r="A32065" s="64" t="str">
        <f>HYPERLINK("http://www.twitter.com/daffydowndilly", "daffydowndilly")</f>
        <v>daffydowndilly</v>
      </c>
      <c r="B32065" s="65" t="s">
        <v>5366</v>
      </c>
    </row>
    <row r="32066" spans="1:2" x14ac:dyDescent="0.25">
      <c r="A32066" s="64" t="str">
        <f>HYPERLINK("http://www.twitter.com/MacSpeakers", "MacSpeakers")</f>
        <v>MacSpeakers</v>
      </c>
      <c r="B32066" s="65" t="s">
        <v>4867</v>
      </c>
    </row>
    <row r="32067" spans="1:2" x14ac:dyDescent="0.25">
      <c r="A32067" s="64" t="str">
        <f>HYPERLINK("http://www.twitter.com/debsym62", "debsym62")</f>
        <v>debsym62</v>
      </c>
      <c r="B32067" s="65"/>
    </row>
    <row r="32068" spans="1:2" x14ac:dyDescent="0.25">
      <c r="A32068" s="64" t="str">
        <f>HYPERLINK("http://www.twitter.com/tobhan", "tobhan")</f>
        <v>tobhan</v>
      </c>
      <c r="B32068" s="65" t="s">
        <v>74</v>
      </c>
    </row>
    <row r="32069" spans="1:2" x14ac:dyDescent="0.25">
      <c r="A32069" s="64" t="str">
        <f>HYPERLINK("http://www.twitter.com/sjmcdowell", "sjmcdowell")</f>
        <v>sjmcdowell</v>
      </c>
      <c r="B32069" s="65" t="s">
        <v>12697</v>
      </c>
    </row>
    <row r="32070" spans="1:2" x14ac:dyDescent="0.25">
      <c r="A32070" s="64" t="str">
        <f>HYPERLINK("http://www.twitter.com/CathyShay", "CathyShay")</f>
        <v>CathyShay</v>
      </c>
      <c r="B32070" s="65" t="s">
        <v>12698</v>
      </c>
    </row>
    <row r="32071" spans="1:2" x14ac:dyDescent="0.25">
      <c r="A32071" s="64" t="str">
        <f>HYPERLINK("http://www.twitter.com/neiljshepherd", "neiljshepherd")</f>
        <v>neiljshepherd</v>
      </c>
      <c r="B32071" s="65"/>
    </row>
    <row r="32072" spans="1:2" x14ac:dyDescent="0.25">
      <c r="A32072" s="64" t="str">
        <f>HYPERLINK("http://www.twitter.com/corylus", "corylus")</f>
        <v>corylus</v>
      </c>
      <c r="B32072" s="65" t="s">
        <v>1295</v>
      </c>
    </row>
    <row r="32073" spans="1:2" x14ac:dyDescent="0.25">
      <c r="A32073" s="64" t="str">
        <f>HYPERLINK("http://www.twitter.com/mrsbarcl", "mrsbarcl")</f>
        <v>mrsbarcl</v>
      </c>
      <c r="B32073" s="65" t="s">
        <v>12573</v>
      </c>
    </row>
    <row r="32074" spans="1:2" x14ac:dyDescent="0.25">
      <c r="A32074" s="64" t="str">
        <f>HYPERLINK("http://www.twitter.com/sinclairpirie", "sinclairpirie")</f>
        <v>sinclairpirie</v>
      </c>
      <c r="B32074" s="65" t="s">
        <v>12699</v>
      </c>
    </row>
    <row r="32075" spans="1:2" x14ac:dyDescent="0.25">
      <c r="A32075" s="64" t="str">
        <f>HYPERLINK("http://www.twitter.com/MadeleineRooney", "MadeleineRooney")</f>
        <v>MadeleineRooney</v>
      </c>
      <c r="B32075" s="65"/>
    </row>
    <row r="32076" spans="1:2" x14ac:dyDescent="0.25">
      <c r="A32076" s="64" t="str">
        <f>HYPERLINK("http://www.twitter.com/sca_net", "sca_net")</f>
        <v>sca_net</v>
      </c>
      <c r="B32076" s="65" t="s">
        <v>517</v>
      </c>
    </row>
    <row r="32077" spans="1:2" x14ac:dyDescent="0.25">
      <c r="A32077" s="64" t="str">
        <f>HYPERLINK("http://www.twitter.com/elavaarkisto", "elavaarkisto")</f>
        <v>elavaarkisto</v>
      </c>
      <c r="B32077" s="65" t="s">
        <v>4152</v>
      </c>
    </row>
    <row r="32078" spans="1:2" x14ac:dyDescent="0.25">
      <c r="A32078" s="64" t="str">
        <f>HYPERLINK("http://www.twitter.com/KAMAKevinPrice", "KAMAKevinPrice")</f>
        <v>KAMAKevinPrice</v>
      </c>
      <c r="B32078" s="65" t="s">
        <v>1511</v>
      </c>
    </row>
    <row r="32079" spans="1:2" x14ac:dyDescent="0.25">
      <c r="A32079" s="64" t="str">
        <f>HYPERLINK("http://www.twitter.com/Tyrall", "Tyrall")</f>
        <v>Tyrall</v>
      </c>
      <c r="B32079" s="65" t="s">
        <v>688</v>
      </c>
    </row>
    <row r="32080" spans="1:2" x14ac:dyDescent="0.25">
      <c r="A32080" s="64" t="str">
        <f>HYPERLINK("http://www.twitter.com/junglejames_42", "junglejames_42")</f>
        <v>junglejames_42</v>
      </c>
      <c r="B32080" s="65" t="s">
        <v>12700</v>
      </c>
    </row>
    <row r="32081" spans="1:2" x14ac:dyDescent="0.25">
      <c r="A32081" s="64" t="str">
        <f>HYPERLINK("http://www.twitter.com/GJLyon", "GJLyon")</f>
        <v>GJLyon</v>
      </c>
      <c r="B32081" s="65" t="s">
        <v>808</v>
      </c>
    </row>
    <row r="32082" spans="1:2" x14ac:dyDescent="0.25">
      <c r="A32082" s="64" t="str">
        <f>HYPERLINK("http://www.twitter.com/CuriousMindsNW", "CuriousMindsNW")</f>
        <v>CuriousMindsNW</v>
      </c>
      <c r="B32082" s="65" t="s">
        <v>4288</v>
      </c>
    </row>
    <row r="32083" spans="1:2" x14ac:dyDescent="0.25">
      <c r="A32083" s="64" t="str">
        <f>HYPERLINK("http://www.twitter.com/suchoir", "suchoir")</f>
        <v>suchoir</v>
      </c>
      <c r="B32083" s="65" t="s">
        <v>4092</v>
      </c>
    </row>
    <row r="32084" spans="1:2" x14ac:dyDescent="0.25">
      <c r="A32084" s="64" t="str">
        <f>HYPERLINK("http://www.twitter.com/RSLBio", "RSLBio")</f>
        <v>RSLBio</v>
      </c>
      <c r="B32084" s="65" t="s">
        <v>12701</v>
      </c>
    </row>
    <row r="32085" spans="1:2" x14ac:dyDescent="0.25">
      <c r="A32085" s="64" t="str">
        <f>HYPERLINK("http://www.twitter.com/bibbliosaur", "bibbliosaur")</f>
        <v>bibbliosaur</v>
      </c>
      <c r="B32085" s="65" t="s">
        <v>12702</v>
      </c>
    </row>
    <row r="32086" spans="1:2" x14ac:dyDescent="0.25">
      <c r="A32086" s="64" t="str">
        <f>HYPERLINK("http://www.twitter.com/Ruthlibrarian", "Ruthlibrarian")</f>
        <v>Ruthlibrarian</v>
      </c>
      <c r="B32086" s="65" t="s">
        <v>12703</v>
      </c>
    </row>
    <row r="32087" spans="1:2" x14ac:dyDescent="0.25">
      <c r="A32087" s="64" t="str">
        <f>HYPERLINK("http://www.twitter.com/HeatherCHart", "HeatherCHart")</f>
        <v>HeatherCHart</v>
      </c>
      <c r="B32087" s="65" t="s">
        <v>12704</v>
      </c>
    </row>
    <row r="32088" spans="1:2" x14ac:dyDescent="0.25">
      <c r="A32088" s="64" t="str">
        <f>HYPERLINK("http://www.twitter.com/nickysian", "nickysian")</f>
        <v>nickysian</v>
      </c>
      <c r="B32088" s="65" t="s">
        <v>12705</v>
      </c>
    </row>
    <row r="32089" spans="1:2" x14ac:dyDescent="0.25">
      <c r="A32089" s="64" t="str">
        <f>HYPERLINK("http://www.twitter.com/TinainBrighton", "TinainBrighton")</f>
        <v>TinainBrighton</v>
      </c>
      <c r="B32089" s="65" t="s">
        <v>12706</v>
      </c>
    </row>
    <row r="32090" spans="1:2" x14ac:dyDescent="0.25">
      <c r="A32090" s="64" t="str">
        <f>HYPERLINK("http://www.twitter.com/Robinho_80", "Robinho_80")</f>
        <v>Robinho_80</v>
      </c>
      <c r="B32090" s="65"/>
    </row>
    <row r="32091" spans="1:2" x14ac:dyDescent="0.25">
      <c r="A32091" s="64" t="str">
        <f>HYPERLINK("http://www.twitter.com/MercifulBod", "MercifulBod")</f>
        <v>MercifulBod</v>
      </c>
      <c r="B32091" s="65"/>
    </row>
    <row r="32092" spans="1:2" x14ac:dyDescent="0.25">
      <c r="A32092" s="64" t="str">
        <f>HYPERLINK("http://www.twitter.com/laurenpaterson8", "laurenpaterson8")</f>
        <v>laurenpaterson8</v>
      </c>
      <c r="B32092" s="65" t="s">
        <v>138</v>
      </c>
    </row>
    <row r="32093" spans="1:2" x14ac:dyDescent="0.25">
      <c r="A32093" s="64" t="str">
        <f>HYPERLINK("http://www.twitter.com/green_mac", "green_mac")</f>
        <v>green_mac</v>
      </c>
      <c r="B32093" s="65" t="s">
        <v>1542</v>
      </c>
    </row>
    <row r="32094" spans="1:2" x14ac:dyDescent="0.25">
      <c r="A32094" s="64" t="str">
        <f>HYPERLINK("http://www.twitter.com/TheQuietScot", "TheQuietScot")</f>
        <v>TheQuietScot</v>
      </c>
      <c r="B32094" s="65" t="s">
        <v>4111</v>
      </c>
    </row>
    <row r="32095" spans="1:2" x14ac:dyDescent="0.25">
      <c r="A32095" s="64" t="str">
        <f>HYPERLINK("http://www.twitter.com/mmeluna", "mmeluna")</f>
        <v>mmeluna</v>
      </c>
      <c r="B32095" s="65" t="s">
        <v>517</v>
      </c>
    </row>
    <row r="32096" spans="1:2" x14ac:dyDescent="0.25">
      <c r="A32096" s="64" t="str">
        <f>HYPERLINK("http://www.twitter.com/rudeasHECK", "rudeasHECK")</f>
        <v>rudeasHECK</v>
      </c>
      <c r="B32096" s="65"/>
    </row>
    <row r="32097" spans="1:2" x14ac:dyDescent="0.25">
      <c r="A32097" s="64" t="str">
        <f>HYPERLINK("http://www.twitter.com/ShetMovingImage", "ShetMovingImage")</f>
        <v>ShetMovingImage</v>
      </c>
      <c r="B32097" s="65" t="s">
        <v>4797</v>
      </c>
    </row>
    <row r="32098" spans="1:2" x14ac:dyDescent="0.25">
      <c r="A32098" s="64" t="str">
        <f>HYPERLINK("http://www.twitter.com/esmor1", "esmor1")</f>
        <v>esmor1</v>
      </c>
      <c r="B32098" s="65"/>
    </row>
    <row r="32099" spans="1:2" x14ac:dyDescent="0.25">
      <c r="A32099" s="64" t="str">
        <f>HYPERLINK("http://www.twitter.com/LBagley22", "LBagley22")</f>
        <v>LBagley22</v>
      </c>
      <c r="B32099" s="65"/>
    </row>
    <row r="32100" spans="1:2" x14ac:dyDescent="0.25">
      <c r="A32100" s="64" t="str">
        <f>HYPERLINK("http://www.twitter.com/AmyRogers14", "AmyRogers14")</f>
        <v>AmyRogers14</v>
      </c>
      <c r="B32100" s="65"/>
    </row>
    <row r="32101" spans="1:2" x14ac:dyDescent="0.25">
      <c r="A32101" s="64" t="str">
        <f>HYPERLINK("http://www.twitter.com/WelshRhiBit", "WelshRhiBit")</f>
        <v>WelshRhiBit</v>
      </c>
      <c r="B32101" s="65"/>
    </row>
    <row r="32102" spans="1:2" x14ac:dyDescent="0.25">
      <c r="A32102" s="64" t="str">
        <f>HYPERLINK("http://www.twitter.com/CharlieGS7", "CharlieGS7")</f>
        <v>CharlieGS7</v>
      </c>
      <c r="B32102" s="65" t="s">
        <v>12707</v>
      </c>
    </row>
    <row r="32103" spans="1:2" x14ac:dyDescent="0.25">
      <c r="A32103" s="64" t="str">
        <f>HYPERLINK("http://www.twitter.com/RFAstin", "RFAstin")</f>
        <v>RFAstin</v>
      </c>
      <c r="B32103" s="65" t="s">
        <v>36</v>
      </c>
    </row>
    <row r="32104" spans="1:2" x14ac:dyDescent="0.25">
      <c r="A32104" s="64" t="str">
        <f>HYPERLINK("http://www.twitter.com/tykkiDuw", "tykkiDuw")</f>
        <v>tykkiDuw</v>
      </c>
      <c r="B32104" s="65" t="s">
        <v>12708</v>
      </c>
    </row>
    <row r="32105" spans="1:2" x14ac:dyDescent="0.25">
      <c r="A32105" s="64" t="str">
        <f>HYPERLINK("http://www.twitter.com/archivecourtney", "archivecourtney")</f>
        <v>archivecourtney</v>
      </c>
      <c r="B32105" s="65"/>
    </row>
    <row r="32106" spans="1:2" x14ac:dyDescent="0.25">
      <c r="A32106" s="64" t="str">
        <f>HYPERLINK("http://www.twitter.com/MattTantony", "MattTantony")</f>
        <v>MattTantony</v>
      </c>
      <c r="B32106" s="65" t="s">
        <v>36</v>
      </c>
    </row>
    <row r="32107" spans="1:2" x14ac:dyDescent="0.25">
      <c r="A32107" s="64" t="str">
        <f>HYPERLINK("http://www.twitter.com/Heddler", "Heddler")</f>
        <v>Heddler</v>
      </c>
      <c r="B32107" s="65" t="s">
        <v>9703</v>
      </c>
    </row>
    <row r="32108" spans="1:2" x14ac:dyDescent="0.25">
      <c r="A32108" s="64" t="str">
        <f>HYPERLINK("http://www.twitter.com/CraigMaggie", "CraigMaggie")</f>
        <v>CraigMaggie</v>
      </c>
      <c r="B32108" s="65" t="s">
        <v>517</v>
      </c>
    </row>
    <row r="32109" spans="1:2" x14ac:dyDescent="0.25">
      <c r="A32109" s="64" t="str">
        <f>HYPERLINK("http://www.twitter.com/butro01", "butro01")</f>
        <v>butro01</v>
      </c>
      <c r="B32109" s="65"/>
    </row>
    <row r="32110" spans="1:2" x14ac:dyDescent="0.25">
      <c r="A32110" s="64" t="str">
        <f>HYPERLINK("http://www.twitter.com/historybuff45", "historybuff45")</f>
        <v>historybuff45</v>
      </c>
      <c r="B32110" s="65"/>
    </row>
    <row r="32111" spans="1:2" x14ac:dyDescent="0.25">
      <c r="A32111" s="64" t="str">
        <f>HYPERLINK("http://www.twitter.com/catspyjamas123", "catspyjamas123")</f>
        <v>catspyjamas123</v>
      </c>
      <c r="B32111" s="65" t="s">
        <v>11886</v>
      </c>
    </row>
    <row r="32112" spans="1:2" x14ac:dyDescent="0.25">
      <c r="A32112" s="64" t="str">
        <f>HYPERLINK("http://www.twitter.com/AlbaLipkinCC", "AlbaLipkinCC")</f>
        <v>AlbaLipkinCC</v>
      </c>
      <c r="B32112" s="65" t="s">
        <v>5078</v>
      </c>
    </row>
    <row r="32113" spans="1:2" x14ac:dyDescent="0.25">
      <c r="A32113" s="64" t="str">
        <f>HYPERLINK("http://www.twitter.com/JimmyLove84", "JimmyLove84")</f>
        <v>JimmyLove84</v>
      </c>
      <c r="B32113" s="65" t="s">
        <v>1218</v>
      </c>
    </row>
    <row r="32114" spans="1:2" x14ac:dyDescent="0.25">
      <c r="A32114" s="64" t="str">
        <f>HYPERLINK("http://www.twitter.com/AiDemlerBIMO", "AiDemlerBIMO")</f>
        <v>AiDemlerBIMO</v>
      </c>
      <c r="B32114" s="65"/>
    </row>
    <row r="32115" spans="1:2" x14ac:dyDescent="0.25">
      <c r="A32115" s="64" t="str">
        <f>HYPERLINK("http://www.twitter.com/kierstenkrum", "kierstenkrum")</f>
        <v>kierstenkrum</v>
      </c>
      <c r="B32115" s="65" t="s">
        <v>3797</v>
      </c>
    </row>
    <row r="32116" spans="1:2" x14ac:dyDescent="0.25">
      <c r="A32116" s="64" t="str">
        <f>HYPERLINK("http://www.twitter.com/tomaszhoskins", "tomaszhoskins")</f>
        <v>tomaszhoskins</v>
      </c>
      <c r="B32116" s="65" t="s">
        <v>36</v>
      </c>
    </row>
    <row r="32117" spans="1:2" x14ac:dyDescent="0.25">
      <c r="A32117" s="64" t="str">
        <f>HYPERLINK("http://www.twitter.com/award_books", "award_books")</f>
        <v>award_books</v>
      </c>
      <c r="B32117" s="65" t="s">
        <v>273</v>
      </c>
    </row>
    <row r="32118" spans="1:2" x14ac:dyDescent="0.25">
      <c r="A32118" s="64" t="str">
        <f>HYPERLINK("http://www.twitter.com/WRSLAI", "WRSLAI")</f>
        <v>WRSLAI</v>
      </c>
      <c r="B32118" s="65" t="s">
        <v>12709</v>
      </c>
    </row>
    <row r="32119" spans="1:2" x14ac:dyDescent="0.25">
      <c r="A32119" s="64" t="str">
        <f>HYPERLINK("http://www.twitter.com/lottiesmammy", "lottiesmammy")</f>
        <v>lottiesmammy</v>
      </c>
      <c r="B32119" s="65"/>
    </row>
    <row r="32120" spans="1:2" x14ac:dyDescent="0.25">
      <c r="A32120" s="64" t="str">
        <f>HYPERLINK("http://www.twitter.com/MDBorthwick", "MDBorthwick")</f>
        <v>MDBorthwick</v>
      </c>
      <c r="B32120" s="65" t="s">
        <v>24</v>
      </c>
    </row>
    <row r="32121" spans="1:2" x14ac:dyDescent="0.25">
      <c r="A32121" s="64" t="str">
        <f>HYPERLINK("http://www.twitter.com/LisaWeezer", "LisaWeezer")</f>
        <v>LisaWeezer</v>
      </c>
      <c r="B32121" s="65" t="s">
        <v>4366</v>
      </c>
    </row>
    <row r="32122" spans="1:2" x14ac:dyDescent="0.25">
      <c r="A32122" s="64" t="str">
        <f>HYPERLINK("http://www.twitter.com/davidlovell", "davidlovell")</f>
        <v>davidlovell</v>
      </c>
      <c r="B32122" s="65" t="s">
        <v>12710</v>
      </c>
    </row>
    <row r="32123" spans="1:2" x14ac:dyDescent="0.25">
      <c r="A32123" s="64" t="str">
        <f>HYPERLINK("http://www.twitter.com/Lucyaughney", "Lucyaughney")</f>
        <v>Lucyaughney</v>
      </c>
      <c r="B32123" s="65" t="s">
        <v>8845</v>
      </c>
    </row>
    <row r="32124" spans="1:2" x14ac:dyDescent="0.25">
      <c r="A32124" s="64" t="str">
        <f>HYPERLINK("http://www.twitter.com/MyAltPC", "MyAltPC")</f>
        <v>MyAltPC</v>
      </c>
      <c r="B32124" s="65" t="s">
        <v>5667</v>
      </c>
    </row>
    <row r="32125" spans="1:2" x14ac:dyDescent="0.25">
      <c r="A32125" s="64" t="str">
        <f>HYPERLINK("http://www.twitter.com/BrittHarcus", "BrittHarcus")</f>
        <v>BrittHarcus</v>
      </c>
      <c r="B32125" s="65" t="s">
        <v>12711</v>
      </c>
    </row>
    <row r="32126" spans="1:2" x14ac:dyDescent="0.25">
      <c r="A32126" s="64" t="str">
        <f>HYPERLINK("http://www.twitter.com/adamchristianco", "adamchristianco")</f>
        <v>adamchristianco</v>
      </c>
      <c r="B32126" s="65" t="s">
        <v>5071</v>
      </c>
    </row>
    <row r="32127" spans="1:2" x14ac:dyDescent="0.25">
      <c r="A32127" s="64" t="str">
        <f>HYPERLINK("http://www.twitter.com/alexstobart", "alexstobart")</f>
        <v>alexstobart</v>
      </c>
      <c r="B32127" s="65" t="s">
        <v>24</v>
      </c>
    </row>
    <row r="32128" spans="1:2" x14ac:dyDescent="0.25">
      <c r="A32128" s="64" t="str">
        <f>HYPERLINK("http://www.twitter.com/dianasymons", "dianasymons")</f>
        <v>dianasymons</v>
      </c>
      <c r="B32128" s="65" t="s">
        <v>12712</v>
      </c>
    </row>
    <row r="32129" spans="1:2" x14ac:dyDescent="0.25">
      <c r="A32129" s="64" t="str">
        <f>HYPERLINK("http://www.twitter.com/FindItGirl", "FindItGirl")</f>
        <v>FindItGirl</v>
      </c>
      <c r="B32129" s="65"/>
    </row>
    <row r="32130" spans="1:2" x14ac:dyDescent="0.25">
      <c r="A32130" s="64" t="str">
        <f>HYPERLINK("http://www.twitter.com/rekesha", "rekesha")</f>
        <v>rekesha</v>
      </c>
      <c r="B32130" s="65" t="s">
        <v>12713</v>
      </c>
    </row>
    <row r="32131" spans="1:2" x14ac:dyDescent="0.25">
      <c r="A32131" s="64" t="str">
        <f>HYPERLINK("http://www.twitter.com/iamthewrongboy", "iamthewrongboy")</f>
        <v>iamthewrongboy</v>
      </c>
      <c r="B32131" s="65" t="s">
        <v>24</v>
      </c>
    </row>
    <row r="32132" spans="1:2" x14ac:dyDescent="0.25">
      <c r="A32132" s="64" t="str">
        <f>HYPERLINK("http://www.twitter.com/JenHadfield1", "JenHadfield1")</f>
        <v>JenHadfield1</v>
      </c>
      <c r="B32132" s="65"/>
    </row>
    <row r="32133" spans="1:2" x14ac:dyDescent="0.25">
      <c r="A32133" s="64" t="str">
        <f>HYPERLINK("http://www.twitter.com/LenardRigelROIY", "LenardRigelROIY")</f>
        <v>LenardRigelROIY</v>
      </c>
      <c r="B32133" s="65" t="s">
        <v>12714</v>
      </c>
    </row>
    <row r="32134" spans="1:2" x14ac:dyDescent="0.25">
      <c r="A32134" s="64" t="str">
        <f>HYPERLINK("http://www.twitter.com/kristinmoore2", "kristinmoore2")</f>
        <v>kristinmoore2</v>
      </c>
      <c r="B32134" s="65" t="s">
        <v>12715</v>
      </c>
    </row>
    <row r="32135" spans="1:2" x14ac:dyDescent="0.25">
      <c r="A32135" s="64" t="str">
        <f>HYPERLINK("http://www.twitter.com/pigsonthewing", "pigsonthewing")</f>
        <v>pigsonthewing</v>
      </c>
      <c r="B32135" s="65" t="s">
        <v>926</v>
      </c>
    </row>
    <row r="32136" spans="1:2" x14ac:dyDescent="0.25">
      <c r="A32136" s="64" t="str">
        <f>HYPERLINK("http://www.twitter.com/ukwhoswho", "ukwhoswho")</f>
        <v>ukwhoswho</v>
      </c>
      <c r="B32136" s="65" t="s">
        <v>12</v>
      </c>
    </row>
    <row r="32137" spans="1:2" x14ac:dyDescent="0.25">
      <c r="A32137" s="64" t="str">
        <f>HYPERLINK("http://www.twitter.com/Greengeenie", "Greengeenie")</f>
        <v>Greengeenie</v>
      </c>
      <c r="B32137" s="65" t="s">
        <v>24</v>
      </c>
    </row>
    <row r="32138" spans="1:2" x14ac:dyDescent="0.25">
      <c r="A32138" s="64" t="str">
        <f>HYPERLINK("http://www.twitter.com/lynncorrigan", "lynncorrigan")</f>
        <v>lynncorrigan</v>
      </c>
      <c r="B32138" s="65" t="s">
        <v>24</v>
      </c>
    </row>
    <row r="32139" spans="1:2" x14ac:dyDescent="0.25">
      <c r="A32139" s="64" t="str">
        <f>HYPERLINK("http://www.twitter.com/ClassifiedOwl", "ClassifiedOwl")</f>
        <v>ClassifiedOwl</v>
      </c>
      <c r="B32139" s="65"/>
    </row>
    <row r="32140" spans="1:2" x14ac:dyDescent="0.25">
      <c r="A32140" s="64" t="str">
        <f>HYPERLINK("http://www.twitter.com/BanyonCircle", "BanyonCircle")</f>
        <v>BanyonCircle</v>
      </c>
      <c r="B32140" s="65" t="s">
        <v>12716</v>
      </c>
    </row>
    <row r="32141" spans="1:2" x14ac:dyDescent="0.25">
      <c r="A32141" s="64" t="str">
        <f>HYPERLINK("http://www.twitter.com/stunninglysingl", "stunninglysingl")</f>
        <v>stunninglysingl</v>
      </c>
      <c r="B32141" s="65"/>
    </row>
    <row r="32142" spans="1:2" x14ac:dyDescent="0.25">
      <c r="A32142" s="64" t="str">
        <f>HYPERLINK("http://www.twitter.com/Charlotte_Davis", "Charlotte_Davis")</f>
        <v>Charlotte_Davis</v>
      </c>
      <c r="B32142" s="65"/>
    </row>
    <row r="32143" spans="1:2" x14ac:dyDescent="0.25">
      <c r="A32143" s="64" t="str">
        <f>HYPERLINK("http://www.twitter.com/BubbleBogle", "BubbleBogle")</f>
        <v>BubbleBogle</v>
      </c>
      <c r="B32143" s="65" t="s">
        <v>12717</v>
      </c>
    </row>
    <row r="32144" spans="1:2" x14ac:dyDescent="0.25">
      <c r="A32144" s="64" t="str">
        <f>HYPERLINK("http://www.twitter.com/suemackay2", "suemackay2")</f>
        <v>suemackay2</v>
      </c>
      <c r="B32144" s="65" t="s">
        <v>10996</v>
      </c>
    </row>
    <row r="32145" spans="1:2" x14ac:dyDescent="0.25">
      <c r="A32145" s="64" t="str">
        <f>HYPERLINK("http://www.twitter.com/books4u", "books4u")</f>
        <v>books4u</v>
      </c>
      <c r="B32145" s="65"/>
    </row>
    <row r="32146" spans="1:2" x14ac:dyDescent="0.25">
      <c r="A32146" s="64" t="str">
        <f>HYPERLINK("http://www.twitter.com/veronicawannabe", "veronicawannabe")</f>
        <v>veronicawannabe</v>
      </c>
      <c r="B32146" s="65"/>
    </row>
    <row r="32147" spans="1:2" x14ac:dyDescent="0.25">
      <c r="A32147" s="64" t="str">
        <f>HYPERLINK("http://www.twitter.com/stephenjfyfe", "stephenjfyfe")</f>
        <v>stephenjfyfe</v>
      </c>
      <c r="B32147" s="65" t="s">
        <v>12718</v>
      </c>
    </row>
    <row r="32148" spans="1:2" x14ac:dyDescent="0.25">
      <c r="A32148" s="64" t="str">
        <f>HYPERLINK("http://www.twitter.com/DiabetesScot", "DiabetesScot")</f>
        <v>DiabetesScot</v>
      </c>
      <c r="B32148" s="65" t="s">
        <v>74</v>
      </c>
    </row>
    <row r="32149" spans="1:2" x14ac:dyDescent="0.25">
      <c r="A32149" s="64" t="str">
        <f>HYPERLINK("http://www.twitter.com/JCJudson", "JCJudson")</f>
        <v>JCJudson</v>
      </c>
      <c r="B32149" s="65" t="s">
        <v>517</v>
      </c>
    </row>
    <row r="32150" spans="1:2" x14ac:dyDescent="0.25">
      <c r="A32150" s="64" t="str">
        <f>HYPERLINK("http://www.twitter.com/davidjhaines", "davidjhaines")</f>
        <v>davidjhaines</v>
      </c>
      <c r="B32150" s="65" t="s">
        <v>4147</v>
      </c>
    </row>
    <row r="32151" spans="1:2" x14ac:dyDescent="0.25">
      <c r="A32151" s="64" t="str">
        <f>HYPERLINK("http://www.twitter.com/missoulalibrary", "missoulalibrary")</f>
        <v>missoulalibrary</v>
      </c>
      <c r="B32151" s="65" t="s">
        <v>12719</v>
      </c>
    </row>
    <row r="32152" spans="1:2" x14ac:dyDescent="0.25">
      <c r="A32152" s="64" t="str">
        <f>HYPERLINK("http://www.twitter.com/deargentcaller", "deargentcaller")</f>
        <v>deargentcaller</v>
      </c>
      <c r="B32152" s="65" t="s">
        <v>1490</v>
      </c>
    </row>
    <row r="32153" spans="1:2" x14ac:dyDescent="0.25">
      <c r="A32153" s="64" t="str">
        <f>HYPERLINK("http://www.twitter.com/one_mrs_k", "one_mrs_k")</f>
        <v>one_mrs_k</v>
      </c>
      <c r="B32153" s="65" t="s">
        <v>517</v>
      </c>
    </row>
    <row r="32154" spans="1:2" x14ac:dyDescent="0.25">
      <c r="A32154" s="64" t="str">
        <f>HYPERLINK("http://www.twitter.com/L8katie", "L8katie")</f>
        <v>L8katie</v>
      </c>
      <c r="B32154" s="65" t="s">
        <v>12720</v>
      </c>
    </row>
    <row r="32155" spans="1:2" x14ac:dyDescent="0.25">
      <c r="A32155" s="64" t="str">
        <f>HYPERLINK("http://www.twitter.com/TheXFactorUK", "TheXFactorUK")</f>
        <v>TheXFactorUK</v>
      </c>
      <c r="B32155" s="65" t="s">
        <v>36</v>
      </c>
    </row>
    <row r="32156" spans="1:2" x14ac:dyDescent="0.25">
      <c r="A32156" s="64" t="str">
        <f>HYPERLINK("http://www.twitter.com/KnittyMcSprag", "KnittyMcSprag")</f>
        <v>KnittyMcSprag</v>
      </c>
      <c r="B32156" s="65" t="s">
        <v>448</v>
      </c>
    </row>
    <row r="32157" spans="1:2" x14ac:dyDescent="0.25">
      <c r="A32157" s="64" t="str">
        <f>HYPERLINK("http://www.twitter.com/CorylusNut", "CorylusNut")</f>
        <v>CorylusNut</v>
      </c>
      <c r="B32157" s="65" t="s">
        <v>12721</v>
      </c>
    </row>
    <row r="32158" spans="1:2" x14ac:dyDescent="0.25">
      <c r="A32158" s="64" t="str">
        <f>HYPERLINK("http://www.twitter.com/Ghop56", "Ghop56")</f>
        <v>Ghop56</v>
      </c>
      <c r="B32158" s="65" t="s">
        <v>3400</v>
      </c>
    </row>
    <row r="32159" spans="1:2" x14ac:dyDescent="0.25">
      <c r="A32159" s="64" t="str">
        <f>HYPERLINK("http://www.twitter.com/Silly_Moo_Cow", "Silly_Moo_Cow")</f>
        <v>Silly_Moo_Cow</v>
      </c>
      <c r="B32159" s="65" t="s">
        <v>12722</v>
      </c>
    </row>
    <row r="32160" spans="1:2" x14ac:dyDescent="0.25">
      <c r="A32160" s="64" t="str">
        <f>HYPERLINK("http://www.twitter.com/ChrisBrosnahan", "ChrisBrosnahan")</f>
        <v>ChrisBrosnahan</v>
      </c>
      <c r="B32160" s="65" t="s">
        <v>36</v>
      </c>
    </row>
    <row r="32161" spans="1:2" x14ac:dyDescent="0.25">
      <c r="A32161" s="64" t="str">
        <f>HYPERLINK("http://www.twitter.com/quarsan", "quarsan")</f>
        <v>quarsan</v>
      </c>
      <c r="B32161" s="65" t="s">
        <v>12723</v>
      </c>
    </row>
    <row r="32162" spans="1:2" x14ac:dyDescent="0.25">
      <c r="A32162" s="64" t="str">
        <f>HYPERLINK("http://www.twitter.com/thespacepal", "thespacepal")</f>
        <v>thespacepal</v>
      </c>
      <c r="B32162" s="65" t="s">
        <v>12724</v>
      </c>
    </row>
    <row r="32163" spans="1:2" x14ac:dyDescent="0.25">
      <c r="A32163" s="64" t="str">
        <f>HYPERLINK("http://www.twitter.com/heliumcell", "heliumcell")</f>
        <v>heliumcell</v>
      </c>
      <c r="B32163" s="65" t="s">
        <v>4632</v>
      </c>
    </row>
    <row r="32164" spans="1:2" x14ac:dyDescent="0.25">
      <c r="A32164" s="64" t="str">
        <f>HYPERLINK("http://www.twitter.com/_ALCOP", "_ALCOP")</f>
        <v>_ALCOP</v>
      </c>
      <c r="B32164" s="65" t="s">
        <v>3797</v>
      </c>
    </row>
    <row r="32165" spans="1:2" x14ac:dyDescent="0.25">
      <c r="A32165" s="64" t="str">
        <f>HYPERLINK("http://www.twitter.com/Gleebooks", "Gleebooks")</f>
        <v>Gleebooks</v>
      </c>
      <c r="B32165" s="65" t="s">
        <v>12725</v>
      </c>
    </row>
    <row r="32166" spans="1:2" x14ac:dyDescent="0.25">
      <c r="A32166" s="64" t="str">
        <f>HYPERLINK("http://www.twitter.com/mdgreaney", "mdgreaney")</f>
        <v>mdgreaney</v>
      </c>
      <c r="B32166" s="65" t="s">
        <v>1295</v>
      </c>
    </row>
    <row r="32167" spans="1:2" x14ac:dyDescent="0.25">
      <c r="A32167" s="64" t="str">
        <f>HYPERLINK("http://www.twitter.com/Violet_notes", "Violet_notes")</f>
        <v>Violet_notes</v>
      </c>
      <c r="B32167" s="65" t="s">
        <v>4656</v>
      </c>
    </row>
    <row r="32168" spans="1:2" x14ac:dyDescent="0.25">
      <c r="A32168" s="64" t="str">
        <f>HYPERLINK("http://www.twitter.com/RMorenocr", "RMorenocr")</f>
        <v>RMorenocr</v>
      </c>
      <c r="B32168" s="65"/>
    </row>
    <row r="32169" spans="1:2" x14ac:dyDescent="0.25">
      <c r="A32169" s="64" t="str">
        <f>HYPERLINK("http://www.twitter.com/Mwmyn", "Mwmyn")</f>
        <v>Mwmyn</v>
      </c>
      <c r="B32169" s="65" t="s">
        <v>296</v>
      </c>
    </row>
    <row r="32170" spans="1:2" x14ac:dyDescent="0.25">
      <c r="A32170" s="64" t="str">
        <f>HYPERLINK("http://www.twitter.com/flip66", "flip66")</f>
        <v>flip66</v>
      </c>
      <c r="B32170" s="65" t="s">
        <v>4436</v>
      </c>
    </row>
    <row r="32171" spans="1:2" x14ac:dyDescent="0.25">
      <c r="A32171" s="64" t="str">
        <f>HYPERLINK("http://www.twitter.com/AEGeniusesKids", "AEGeniusesKids")</f>
        <v>AEGeniusesKids</v>
      </c>
      <c r="B32171" s="65" t="s">
        <v>4310</v>
      </c>
    </row>
    <row r="32172" spans="1:2" x14ac:dyDescent="0.25">
      <c r="A32172" s="64" t="str">
        <f>HYPERLINK("http://www.twitter.com/cambridgelib", "cambridgelib")</f>
        <v>cambridgelib</v>
      </c>
      <c r="B32172" s="65"/>
    </row>
    <row r="32173" spans="1:2" x14ac:dyDescent="0.25">
      <c r="A32173" s="64" t="str">
        <f>HYPERLINK("http://www.twitter.com/CDHullinger", "CDHullinger")</f>
        <v>CDHullinger</v>
      </c>
      <c r="B32173" s="65" t="s">
        <v>4076</v>
      </c>
    </row>
    <row r="32174" spans="1:2" x14ac:dyDescent="0.25">
      <c r="A32174" s="64" t="str">
        <f>HYPERLINK("http://www.twitter.com/dstan99", "dstan99")</f>
        <v>dstan99</v>
      </c>
      <c r="B32174" s="65" t="s">
        <v>7836</v>
      </c>
    </row>
    <row r="32175" spans="1:2" x14ac:dyDescent="0.25">
      <c r="A32175" s="64" t="str">
        <f>HYPERLINK("http://www.twitter.com/GrampBookAward", "GrampBookAward")</f>
        <v>GrampBookAward</v>
      </c>
      <c r="B32175" s="65" t="s">
        <v>12726</v>
      </c>
    </row>
    <row r="32176" spans="1:2" x14ac:dyDescent="0.25">
      <c r="A32176" s="64" t="str">
        <f>HYPERLINK("http://www.twitter.com/La_Zisa", "La_Zisa")</f>
        <v>La_Zisa</v>
      </c>
      <c r="B32176" s="65" t="s">
        <v>12727</v>
      </c>
    </row>
    <row r="32177" spans="1:2" x14ac:dyDescent="0.25">
      <c r="A32177" s="64" t="str">
        <f>HYPERLINK("http://www.twitter.com/dturner", "dturner")</f>
        <v>dturner</v>
      </c>
      <c r="B32177" s="65"/>
    </row>
    <row r="32178" spans="1:2" x14ac:dyDescent="0.25">
      <c r="A32178" s="64" t="str">
        <f>HYPERLINK("http://www.twitter.com/EarlyScotland", "EarlyScotland")</f>
        <v>EarlyScotland</v>
      </c>
      <c r="B32178" s="65" t="s">
        <v>296</v>
      </c>
    </row>
    <row r="32179" spans="1:2" x14ac:dyDescent="0.25">
      <c r="A32179" s="64" t="str">
        <f>HYPERLINK("http://www.twitter.com/farrellspence", "farrellspence")</f>
        <v>farrellspence</v>
      </c>
      <c r="B32179" s="65" t="s">
        <v>5110</v>
      </c>
    </row>
    <row r="32180" spans="1:2" x14ac:dyDescent="0.25">
      <c r="A32180" s="64" t="str">
        <f>HYPERLINK("http://www.twitter.com/CraftyGardenHoe", "CraftyGardenHoe")</f>
        <v>CraftyGardenHoe</v>
      </c>
      <c r="B32180" s="65" t="s">
        <v>36</v>
      </c>
    </row>
    <row r="32181" spans="1:2" x14ac:dyDescent="0.25">
      <c r="A32181" s="64" t="str">
        <f>HYPERLINK("http://www.twitter.com/DoctorMakeuwell", "DoctorMakeuwell")</f>
        <v>DoctorMakeuwell</v>
      </c>
      <c r="B32181" s="65" t="s">
        <v>12728</v>
      </c>
    </row>
    <row r="32182" spans="1:2" x14ac:dyDescent="0.25">
      <c r="A32182" s="64" t="str">
        <f>HYPERLINK("http://www.twitter.com/Rosalind12", "Rosalind12")</f>
        <v>Rosalind12</v>
      </c>
      <c r="B32182" s="65" t="s">
        <v>12729</v>
      </c>
    </row>
    <row r="32183" spans="1:2" x14ac:dyDescent="0.25">
      <c r="A32183" s="64" t="str">
        <f>HYPERLINK("http://www.twitter.com/skyecm", "skyecm")</f>
        <v>skyecm</v>
      </c>
      <c r="B32183" s="65"/>
    </row>
    <row r="32184" spans="1:2" x14ac:dyDescent="0.25">
      <c r="A32184" s="64" t="str">
        <f>HYPERLINK("http://www.twitter.com/iDesignOrkney", "iDesignOrkney")</f>
        <v>iDesignOrkney</v>
      </c>
      <c r="B32184" s="65"/>
    </row>
    <row r="32185" spans="1:2" x14ac:dyDescent="0.25">
      <c r="A32185" s="64" t="str">
        <f>HYPERLINK("http://www.twitter.com/cathellis13", "cathellis13")</f>
        <v>cathellis13</v>
      </c>
      <c r="B32185" s="65" t="s">
        <v>12730</v>
      </c>
    </row>
    <row r="32186" spans="1:2" x14ac:dyDescent="0.25">
      <c r="A32186" s="64" t="str">
        <f>HYPERLINK("http://www.twitter.com/catrionaprice", "catrionaprice")</f>
        <v>catrionaprice</v>
      </c>
      <c r="B32186" s="65" t="s">
        <v>138</v>
      </c>
    </row>
    <row r="32187" spans="1:2" x14ac:dyDescent="0.25">
      <c r="A32187" s="64" t="str">
        <f>HYPERLINK("http://www.twitter.com/oldnick103", "oldnick103")</f>
        <v>oldnick103</v>
      </c>
      <c r="B32187" s="65" t="s">
        <v>12731</v>
      </c>
    </row>
    <row r="32188" spans="1:2" x14ac:dyDescent="0.25">
      <c r="A32188" s="64" t="str">
        <f>HYPERLINK("http://www.twitter.com/MiddleClassHB", "MiddleClassHB")</f>
        <v>MiddleClassHB</v>
      </c>
      <c r="B32188" s="65" t="s">
        <v>6469</v>
      </c>
    </row>
    <row r="32189" spans="1:2" x14ac:dyDescent="0.25">
      <c r="A32189" s="64" t="str">
        <f>HYPERLINK("http://www.twitter.com/graphicscotland", "graphicscotland")</f>
        <v>graphicscotland</v>
      </c>
      <c r="B32189" s="65" t="s">
        <v>517</v>
      </c>
    </row>
    <row r="32190" spans="1:2" x14ac:dyDescent="0.25">
      <c r="A32190" s="64" t="str">
        <f>HYPERLINK("http://www.twitter.com/dwlt", "dwlt")</f>
        <v>dwlt</v>
      </c>
      <c r="B32190" s="65" t="s">
        <v>24</v>
      </c>
    </row>
    <row r="32191" spans="1:2" x14ac:dyDescent="0.25">
      <c r="A32191" s="64" t="str">
        <f>HYPERLINK("http://www.twitter.com/RichardBloch", "RichardBloch")</f>
        <v>RichardBloch</v>
      </c>
      <c r="B32191" s="65" t="s">
        <v>36</v>
      </c>
    </row>
    <row r="32192" spans="1:2" x14ac:dyDescent="0.25">
      <c r="A32192" s="64" t="str">
        <f>HYPERLINK("http://www.twitter.com/steveandhens", "steveandhens")</f>
        <v>steveandhens</v>
      </c>
      <c r="B32192" s="65" t="s">
        <v>5501</v>
      </c>
    </row>
    <row r="32193" spans="1:2" x14ac:dyDescent="0.25">
      <c r="A32193" s="64" t="str">
        <f>HYPERLINK("http://www.twitter.com/DonaldMSimpson", "DonaldMSimpson")</f>
        <v>DonaldMSimpson</v>
      </c>
      <c r="B32193" s="65"/>
    </row>
    <row r="32194" spans="1:2" x14ac:dyDescent="0.25">
      <c r="A32194" s="64" t="str">
        <f>HYPERLINK("http://www.twitter.com/AbbeyskyImages", "AbbeyskyImages")</f>
        <v>AbbeyskyImages</v>
      </c>
      <c r="B32194" s="65" t="s">
        <v>1885</v>
      </c>
    </row>
    <row r="32195" spans="1:2" x14ac:dyDescent="0.25">
      <c r="A32195" s="64" t="str">
        <f>HYPERLINK("http://www.twitter.com/guinnyG", "guinnyG")</f>
        <v>guinnyG</v>
      </c>
      <c r="B32195" s="65" t="s">
        <v>1482</v>
      </c>
    </row>
    <row r="32196" spans="1:2" x14ac:dyDescent="0.25">
      <c r="A32196" s="64" t="str">
        <f>HYPERLINK("http://www.twitter.com/Spuddo7", "Spuddo7")</f>
        <v>Spuddo7</v>
      </c>
      <c r="B32196" s="65"/>
    </row>
    <row r="32197" spans="1:2" x14ac:dyDescent="0.25">
      <c r="A32197" s="64" t="str">
        <f>HYPERLINK("http://www.twitter.com/Schillerwood", "Schillerwood")</f>
        <v>Schillerwood</v>
      </c>
      <c r="B32197" s="65" t="s">
        <v>36</v>
      </c>
    </row>
    <row r="32198" spans="1:2" x14ac:dyDescent="0.25">
      <c r="A32198" s="64" t="str">
        <f>HYPERLINK("http://www.twitter.com/ARAScot", "ARAScot")</f>
        <v>ARAScot</v>
      </c>
      <c r="B32198" s="65" t="s">
        <v>517</v>
      </c>
    </row>
    <row r="32199" spans="1:2" x14ac:dyDescent="0.25">
      <c r="A32199" s="64" t="str">
        <f>HYPERLINK("http://www.twitter.com/Rachachelle", "Rachachelle")</f>
        <v>Rachachelle</v>
      </c>
      <c r="B32199" s="65" t="s">
        <v>5008</v>
      </c>
    </row>
    <row r="32200" spans="1:2" x14ac:dyDescent="0.25">
      <c r="A32200" s="64" t="str">
        <f>HYPERLINK("http://www.twitter.com/alia_aenor", "alia_aenor")</f>
        <v>alia_aenor</v>
      </c>
      <c r="B32200" s="65" t="s">
        <v>296</v>
      </c>
    </row>
    <row r="32201" spans="1:2" x14ac:dyDescent="0.25">
      <c r="A32201" s="64" t="str">
        <f>HYPERLINK("http://www.twitter.com/stuartmclean", "stuartmclean")</f>
        <v>stuartmclean</v>
      </c>
      <c r="B32201" s="65" t="s">
        <v>5049</v>
      </c>
    </row>
    <row r="32202" spans="1:2" x14ac:dyDescent="0.25">
      <c r="A32202" s="64" t="str">
        <f>HYPERLINK("http://www.twitter.com/stuartbarnes", "stuartbarnes")</f>
        <v>stuartbarnes</v>
      </c>
      <c r="B32202" s="65" t="s">
        <v>12732</v>
      </c>
    </row>
    <row r="32203" spans="1:2" x14ac:dyDescent="0.25">
      <c r="A32203" s="64" t="str">
        <f>HYPERLINK("http://www.twitter.com/LauraOutterside", "LauraOutterside")</f>
        <v>LauraOutterside</v>
      </c>
      <c r="B32203" s="65" t="s">
        <v>477</v>
      </c>
    </row>
    <row r="32204" spans="1:2" x14ac:dyDescent="0.25">
      <c r="A32204" s="64" t="str">
        <f>HYPERLINK("http://www.twitter.com/bruised_fruit_", "bruised_fruit_")</f>
        <v>bruised_fruit_</v>
      </c>
      <c r="B32204" s="65" t="s">
        <v>138</v>
      </c>
    </row>
    <row r="32205" spans="1:2" x14ac:dyDescent="0.25">
      <c r="A32205" s="64" t="str">
        <f>HYPERLINK("http://www.twitter.com/kynagourley", "kynagourley")</f>
        <v>kynagourley</v>
      </c>
      <c r="B32205" s="65"/>
    </row>
    <row r="32206" spans="1:2" x14ac:dyDescent="0.25">
      <c r="A32206" s="64" t="str">
        <f>HYPERLINK("http://www.twitter.com/ianlovelandUK", "ianlovelandUK")</f>
        <v>ianlovelandUK</v>
      </c>
      <c r="B32206" s="65"/>
    </row>
    <row r="32207" spans="1:2" x14ac:dyDescent="0.25">
      <c r="A32207" s="64" t="str">
        <f>HYPERLINK("http://www.twitter.com/reb_dj", "reb_dj")</f>
        <v>reb_dj</v>
      </c>
      <c r="B32207" s="65" t="s">
        <v>613</v>
      </c>
    </row>
    <row r="32208" spans="1:2" x14ac:dyDescent="0.25">
      <c r="A32208" s="64" t="str">
        <f>HYPERLINK("http://www.twitter.com/NomioNomio", "NomioNomio")</f>
        <v>NomioNomio</v>
      </c>
      <c r="B32208" s="65" t="s">
        <v>296</v>
      </c>
    </row>
    <row r="32209" spans="1:2" x14ac:dyDescent="0.25">
      <c r="A32209" s="64" t="str">
        <f>HYPERLINK("http://www.twitter.com/yfchiou", "yfchiou")</f>
        <v>yfchiou</v>
      </c>
      <c r="B32209" s="65"/>
    </row>
    <row r="32210" spans="1:2" x14ac:dyDescent="0.25">
      <c r="A32210" s="64" t="str">
        <f>HYPERLINK("http://www.twitter.com/kanikanok", "kanikanok")</f>
        <v>kanikanok</v>
      </c>
      <c r="B32210" s="65" t="s">
        <v>642</v>
      </c>
    </row>
    <row r="32211" spans="1:2" x14ac:dyDescent="0.25">
      <c r="A32211" s="64" t="str">
        <f>HYPERLINK("http://www.twitter.com/poolsatitiwat", "poolsatitiwat")</f>
        <v>poolsatitiwat</v>
      </c>
      <c r="B32211" s="65"/>
    </row>
    <row r="32212" spans="1:2" x14ac:dyDescent="0.25">
      <c r="A32212" s="64" t="str">
        <f>HYPERLINK("http://www.twitter.com/penambelang", "penambelang")</f>
        <v>penambelang</v>
      </c>
      <c r="B32212" s="65"/>
    </row>
    <row r="32213" spans="1:2" x14ac:dyDescent="0.25">
      <c r="A32213" s="64" t="str">
        <f>HYPERLINK("http://www.twitter.com/NickyHilton1", "NickyHilton1")</f>
        <v>NickyHilton1</v>
      </c>
      <c r="B32213" s="65" t="s">
        <v>36</v>
      </c>
    </row>
    <row r="32214" spans="1:2" x14ac:dyDescent="0.25">
      <c r="A32214" s="64" t="str">
        <f>HYPERLINK("http://www.twitter.com/joanne_ruff", "joanne_ruff")</f>
        <v>joanne_ruff</v>
      </c>
      <c r="B32214" s="65" t="s">
        <v>4877</v>
      </c>
    </row>
    <row r="32215" spans="1:2" x14ac:dyDescent="0.25">
      <c r="A32215" s="64" t="str">
        <f>HYPERLINK("http://www.twitter.com/sharonofthebont", "sharonofthebont")</f>
        <v>sharonofthebont</v>
      </c>
      <c r="B32215" s="65" t="s">
        <v>284</v>
      </c>
    </row>
    <row r="32216" spans="1:2" x14ac:dyDescent="0.25">
      <c r="A32216" s="64" t="str">
        <f>HYPERLINK("http://www.twitter.com/HannahPopsy", "HannahPopsy")</f>
        <v>HannahPopsy</v>
      </c>
      <c r="B32216" s="65" t="s">
        <v>110</v>
      </c>
    </row>
    <row r="32217" spans="1:2" x14ac:dyDescent="0.25">
      <c r="A32217" s="64" t="str">
        <f>HYPERLINK("http://www.twitter.com/g_a_henderson", "g_a_henderson")</f>
        <v>g_a_henderson</v>
      </c>
      <c r="B32217" s="65"/>
    </row>
    <row r="32218" spans="1:2" x14ac:dyDescent="0.25">
      <c r="A32218" s="64" t="str">
        <f>HYPERLINK("http://www.twitter.com/Damienseaman", "Damienseaman")</f>
        <v>Damienseaman</v>
      </c>
      <c r="B32218" s="65" t="s">
        <v>310</v>
      </c>
    </row>
    <row r="32219" spans="1:2" x14ac:dyDescent="0.25">
      <c r="A32219" s="64" t="str">
        <f>HYPERLINK("http://www.twitter.com/tudor_geek", "tudor_geek")</f>
        <v>tudor_geek</v>
      </c>
      <c r="B32219" s="65" t="s">
        <v>2007</v>
      </c>
    </row>
    <row r="32220" spans="1:2" x14ac:dyDescent="0.25">
      <c r="A32220" s="64" t="str">
        <f>HYPERLINK("http://www.twitter.com/awbeg", "awbeg")</f>
        <v>awbeg</v>
      </c>
      <c r="B32220" s="65" t="s">
        <v>12733</v>
      </c>
    </row>
    <row r="32221" spans="1:2" x14ac:dyDescent="0.25">
      <c r="A32221" s="64" t="str">
        <f>HYPERLINK("http://www.twitter.com/eireannmor", "eireannmor")</f>
        <v>eireannmor</v>
      </c>
      <c r="B32221" s="65" t="s">
        <v>12734</v>
      </c>
    </row>
    <row r="32222" spans="1:2" x14ac:dyDescent="0.25">
      <c r="A32222" s="64" t="str">
        <f>HYPERLINK("http://www.twitter.com/EHChalus", "EHChalus")</f>
        <v>EHChalus</v>
      </c>
      <c r="B32222" s="65" t="s">
        <v>12735</v>
      </c>
    </row>
    <row r="32223" spans="1:2" x14ac:dyDescent="0.25">
      <c r="A32223" s="64" t="str">
        <f>HYPERLINK("http://www.twitter.com/leannemgriff", "leannemgriff")</f>
        <v>leannemgriff</v>
      </c>
      <c r="B32223" s="65" t="s">
        <v>12736</v>
      </c>
    </row>
    <row r="32224" spans="1:2" x14ac:dyDescent="0.25">
      <c r="A32224" s="64" t="str">
        <f>HYPERLINK("http://www.twitter.com/AwkwardProse", "AwkwardProse")</f>
        <v>AwkwardProse</v>
      </c>
      <c r="B32224" s="65" t="s">
        <v>12737</v>
      </c>
    </row>
    <row r="32225" spans="1:2" x14ac:dyDescent="0.25">
      <c r="A32225" s="64" t="str">
        <f>HYPERLINK("http://www.twitter.com/bpoolholidays", "bpoolholidays")</f>
        <v>bpoolholidays</v>
      </c>
      <c r="B32225" s="65" t="s">
        <v>12738</v>
      </c>
    </row>
    <row r="32226" spans="1:2" x14ac:dyDescent="0.25">
      <c r="A32226" s="64" t="str">
        <f>HYPERLINK("http://www.twitter.com/philodid", "philodid")</f>
        <v>philodid</v>
      </c>
      <c r="B32226" s="65" t="s">
        <v>12739</v>
      </c>
    </row>
    <row r="32227" spans="1:2" x14ac:dyDescent="0.25">
      <c r="A32227" s="64" t="str">
        <f>HYPERLINK("http://www.twitter.com/GillDeCosemo", "GillDeCosemo")</f>
        <v>GillDeCosemo</v>
      </c>
      <c r="B32227" s="65" t="s">
        <v>12740</v>
      </c>
    </row>
    <row r="32228" spans="1:2" x14ac:dyDescent="0.25">
      <c r="A32228" s="64" t="str">
        <f>HYPERLINK("http://www.twitter.com/BigLors", "BigLors")</f>
        <v>BigLors</v>
      </c>
      <c r="B32228" s="65" t="s">
        <v>2007</v>
      </c>
    </row>
    <row r="32229" spans="1:2" x14ac:dyDescent="0.25">
      <c r="A32229" s="64" t="str">
        <f>HYPERLINK("http://www.twitter.com/WYorksArchivist", "WYorksArchivist")</f>
        <v>WYorksArchivist</v>
      </c>
      <c r="B32229" s="65"/>
    </row>
    <row r="32230" spans="1:2" x14ac:dyDescent="0.25">
      <c r="A32230" s="64" t="str">
        <f>HYPERLINK("http://www.twitter.com/ms_malice", "ms_malice")</f>
        <v>ms_malice</v>
      </c>
      <c r="B32230" s="65"/>
    </row>
    <row r="32231" spans="1:2" x14ac:dyDescent="0.25">
      <c r="A32231" s="64" t="str">
        <f>HYPERLINK("http://www.twitter.com/LottieMcFadden", "LottieMcFadden")</f>
        <v>LottieMcFadden</v>
      </c>
      <c r="B32231" s="65" t="s">
        <v>248</v>
      </c>
    </row>
    <row r="32232" spans="1:2" x14ac:dyDescent="0.25">
      <c r="A32232" s="64" t="str">
        <f>HYPERLINK("http://www.twitter.com/captain_whippet", "captain_whippet")</f>
        <v>captain_whippet</v>
      </c>
      <c r="B32232" s="65"/>
    </row>
    <row r="32233" spans="1:2" x14ac:dyDescent="0.25">
      <c r="A32233" s="64" t="str">
        <f>HYPERLINK("http://www.twitter.com/Mr_Meany", "Mr_Meany")</f>
        <v>Mr_Meany</v>
      </c>
      <c r="B32233" s="65"/>
    </row>
    <row r="32234" spans="1:2" x14ac:dyDescent="0.25">
      <c r="A32234" s="64" t="str">
        <f>HYPERLINK("http://www.twitter.com/SFionaT", "SFionaT")</f>
        <v>SFionaT</v>
      </c>
      <c r="B32234" s="65" t="s">
        <v>1537</v>
      </c>
    </row>
    <row r="32235" spans="1:2" x14ac:dyDescent="0.25">
      <c r="A32235" s="64" t="str">
        <f>HYPERLINK("http://www.twitter.com/mycuriositywins", "mycuriositywins")</f>
        <v>mycuriositywins</v>
      </c>
      <c r="B32235" s="65"/>
    </row>
    <row r="32236" spans="1:2" x14ac:dyDescent="0.25">
      <c r="A32236" s="64" t="str">
        <f>HYPERLINK("http://www.twitter.com/rachelsbickley", "rachelsbickley")</f>
        <v>rachelsbickley</v>
      </c>
      <c r="B32236" s="65" t="s">
        <v>1479</v>
      </c>
    </row>
    <row r="32237" spans="1:2" x14ac:dyDescent="0.25">
      <c r="A32237" s="64" t="str">
        <f>HYPERLINK("http://www.twitter.com/lifeofwhimsy", "lifeofwhimsy")</f>
        <v>lifeofwhimsy</v>
      </c>
      <c r="B32237" s="65" t="s">
        <v>12741</v>
      </c>
    </row>
    <row r="32238" spans="1:2" x14ac:dyDescent="0.25">
      <c r="A32238" s="64" t="str">
        <f>HYPERLINK("http://www.twitter.com/RuthCowan2", "RuthCowan2")</f>
        <v>RuthCowan2</v>
      </c>
      <c r="B32238" s="65"/>
    </row>
    <row r="32239" spans="1:2" x14ac:dyDescent="0.25">
      <c r="A32239" s="64" t="str">
        <f>HYPERLINK("http://www.twitter.com/CartoonsofOld", "CartoonsofOld")</f>
        <v>CartoonsofOld</v>
      </c>
      <c r="B32239" s="65" t="s">
        <v>12696</v>
      </c>
    </row>
    <row r="32240" spans="1:2" x14ac:dyDescent="0.25">
      <c r="A32240" s="64" t="str">
        <f>HYPERLINK("http://www.twitter.com/HighlandL4ss", "HighlandL4ss")</f>
        <v>HighlandL4ss</v>
      </c>
      <c r="B32240" s="65" t="s">
        <v>20</v>
      </c>
    </row>
    <row r="32241" spans="1:2" x14ac:dyDescent="0.25">
      <c r="A32241" s="64" t="str">
        <f>HYPERLINK("http://www.twitter.com/sjclague", "sjclague")</f>
        <v>sjclague</v>
      </c>
      <c r="B32241" s="65"/>
    </row>
    <row r="32242" spans="1:2" x14ac:dyDescent="0.25">
      <c r="A32242" s="64" t="str">
        <f>HYPERLINK("http://www.twitter.com/titianred", "titianred")</f>
        <v>titianred</v>
      </c>
      <c r="B32242" s="65" t="s">
        <v>5203</v>
      </c>
    </row>
    <row r="32243" spans="1:2" x14ac:dyDescent="0.25">
      <c r="A32243" s="64" t="str">
        <f>HYPERLINK("http://www.twitter.com/uncleteffs", "uncleteffs")</f>
        <v>uncleteffs</v>
      </c>
      <c r="B32243" s="65" t="s">
        <v>12742</v>
      </c>
    </row>
    <row r="32244" spans="1:2" x14ac:dyDescent="0.25">
      <c r="A32244" s="64" t="str">
        <f>HYPERLINK("http://www.twitter.com/PRJournoHannahD", "PRJournoHannahD")</f>
        <v>PRJournoHannahD</v>
      </c>
      <c r="B32244" s="65" t="s">
        <v>12743</v>
      </c>
    </row>
    <row r="32245" spans="1:2" x14ac:dyDescent="0.25">
      <c r="A32245" s="64" t="str">
        <f>HYPERLINK("http://www.twitter.com/conversiontales", "conversiontales")</f>
        <v>conversiontales</v>
      </c>
      <c r="B32245" s="65" t="s">
        <v>12744</v>
      </c>
    </row>
    <row r="32246" spans="1:2" x14ac:dyDescent="0.25">
      <c r="A32246" s="64" t="str">
        <f>HYPERLINK("http://www.twitter.com/verylightblue", "verylightblue")</f>
        <v>verylightblue</v>
      </c>
      <c r="B32246" s="65"/>
    </row>
    <row r="32247" spans="1:2" x14ac:dyDescent="0.25">
      <c r="A32247" s="64" t="str">
        <f>HYPERLINK("http://www.twitter.com/tutnurso", "tutnurso")</f>
        <v>tutnurso</v>
      </c>
      <c r="B32247" s="65" t="s">
        <v>10953</v>
      </c>
    </row>
    <row r="32248" spans="1:2" x14ac:dyDescent="0.25">
      <c r="A32248" s="64" t="str">
        <f>HYPERLINK("http://www.twitter.com/KateSmith76", "KateSmith76")</f>
        <v>KateSmith76</v>
      </c>
      <c r="B32248" s="65" t="s">
        <v>1218</v>
      </c>
    </row>
    <row r="32249" spans="1:2" x14ac:dyDescent="0.25">
      <c r="A32249" s="64" t="str">
        <f>HYPERLINK("http://www.twitter.com/Ken_Gibb", "Ken_Gibb")</f>
        <v>Ken_Gibb</v>
      </c>
      <c r="B32249" s="65" t="s">
        <v>36</v>
      </c>
    </row>
    <row r="32250" spans="1:2" x14ac:dyDescent="0.25">
      <c r="A32250" s="64" t="str">
        <f>HYPERLINK("http://www.twitter.com/Tigipud", "Tigipud")</f>
        <v>Tigipud</v>
      </c>
      <c r="B32250" s="65" t="s">
        <v>1980</v>
      </c>
    </row>
    <row r="32251" spans="1:2" x14ac:dyDescent="0.25">
      <c r="A32251" s="64" t="str">
        <f>HYPERLINK("http://www.twitter.com/GeekyVenusComm", "GeekyVenusComm")</f>
        <v>GeekyVenusComm</v>
      </c>
      <c r="B32251" s="65" t="s">
        <v>4634</v>
      </c>
    </row>
    <row r="32252" spans="1:2" x14ac:dyDescent="0.25">
      <c r="A32252" s="64" t="str">
        <f>HYPERLINK("http://www.twitter.com/kitschyanna", "kitschyanna")</f>
        <v>kitschyanna</v>
      </c>
      <c r="B32252" s="65"/>
    </row>
    <row r="32253" spans="1:2" x14ac:dyDescent="0.25">
      <c r="A32253" s="64" t="str">
        <f>HYPERLINK("http://www.twitter.com/pippaalice", "pippaalice")</f>
        <v>pippaalice</v>
      </c>
      <c r="B32253" s="65" t="s">
        <v>36</v>
      </c>
    </row>
    <row r="32254" spans="1:2" x14ac:dyDescent="0.25">
      <c r="A32254" s="64" t="str">
        <f>HYPERLINK("http://www.twitter.com/northumbriana", "northumbriana")</f>
        <v>northumbriana</v>
      </c>
      <c r="B32254" s="65" t="s">
        <v>12745</v>
      </c>
    </row>
    <row r="32255" spans="1:2" x14ac:dyDescent="0.25">
      <c r="A32255" s="64" t="str">
        <f>HYPERLINK("http://www.twitter.com/SueGreaney", "SueGreaney")</f>
        <v>SueGreaney</v>
      </c>
      <c r="B32255" s="65" t="s">
        <v>1295</v>
      </c>
    </row>
    <row r="32256" spans="1:2" x14ac:dyDescent="0.25">
      <c r="A32256" s="64" t="str">
        <f>HYPERLINK("http://www.twitter.com/DnGjournalist", "DnGjournalist")</f>
        <v>DnGjournalist</v>
      </c>
      <c r="B32256" s="65" t="s">
        <v>12746</v>
      </c>
    </row>
    <row r="32257" spans="1:2" x14ac:dyDescent="0.25">
      <c r="A32257" s="64" t="str">
        <f>HYPERLINK("http://www.twitter.com/dotsmy", "dotsmy")</f>
        <v>dotsmy</v>
      </c>
      <c r="B32257" s="65" t="s">
        <v>7716</v>
      </c>
    </row>
    <row r="32258" spans="1:2" x14ac:dyDescent="0.25">
      <c r="A32258" s="64" t="str">
        <f>HYPERLINK("http://www.twitter.com/FlorenceGrove", "FlorenceGrove")</f>
        <v>FlorenceGrove</v>
      </c>
      <c r="B32258" s="65" t="s">
        <v>12747</v>
      </c>
    </row>
    <row r="32259" spans="1:2" x14ac:dyDescent="0.25">
      <c r="A32259" s="64" t="str">
        <f>HYPERLINK("http://www.twitter.com/CaveDryer", "CaveDryer")</f>
        <v>CaveDryer</v>
      </c>
      <c r="B32259" s="65" t="s">
        <v>12748</v>
      </c>
    </row>
    <row r="32260" spans="1:2" x14ac:dyDescent="0.25">
      <c r="A32260" s="64" t="str">
        <f>HYPERLINK("http://www.twitter.com/bigtitch", "bigtitch")</f>
        <v>bigtitch</v>
      </c>
      <c r="B32260" s="65" t="s">
        <v>296</v>
      </c>
    </row>
    <row r="32261" spans="1:2" x14ac:dyDescent="0.25">
      <c r="A32261" s="64" t="str">
        <f>HYPERLINK("http://www.twitter.com/SOASArchives", "SOASArchives")</f>
        <v>SOASArchives</v>
      </c>
      <c r="B32261" s="65" t="s">
        <v>4830</v>
      </c>
    </row>
    <row r="32262" spans="1:2" x14ac:dyDescent="0.25">
      <c r="A32262" s="64" t="str">
        <f>HYPERLINK("http://www.twitter.com/SwireArchives", "SwireArchives")</f>
        <v>SwireArchives</v>
      </c>
      <c r="B32262" s="65" t="s">
        <v>36</v>
      </c>
    </row>
    <row r="32263" spans="1:2" x14ac:dyDescent="0.25">
      <c r="A32263" s="64" t="str">
        <f>HYPERLINK("http://www.twitter.com/MysteriousAliWz", "MysteriousAliWz")</f>
        <v>MysteriousAliWz</v>
      </c>
      <c r="B32263" s="65" t="s">
        <v>4936</v>
      </c>
    </row>
    <row r="32264" spans="1:2" x14ac:dyDescent="0.25">
      <c r="A32264" s="64" t="str">
        <f>HYPERLINK("http://www.twitter.com/mrnathannelson", "mrnathannelson")</f>
        <v>mrnathannelson</v>
      </c>
      <c r="B32264" s="65" t="s">
        <v>296</v>
      </c>
    </row>
    <row r="32265" spans="1:2" x14ac:dyDescent="0.25">
      <c r="A32265" s="64" t="str">
        <f>HYPERLINK("http://www.twitter.com/FelicityAH", "FelicityAH")</f>
        <v>FelicityAH</v>
      </c>
      <c r="B32265" s="65" t="s">
        <v>12749</v>
      </c>
    </row>
    <row r="32266" spans="1:2" x14ac:dyDescent="0.25">
      <c r="A32266" s="64" t="str">
        <f>HYPERLINK("http://www.twitter.com/EmmakJackson", "EmmakJackson")</f>
        <v>EmmakJackson</v>
      </c>
      <c r="B32266" s="65" t="s">
        <v>36</v>
      </c>
    </row>
    <row r="32267" spans="1:2" x14ac:dyDescent="0.25">
      <c r="A32267" s="64" t="str">
        <f>HYPERLINK("http://www.twitter.com/StanleyOdd", "StanleyOdd")</f>
        <v>StanleyOdd</v>
      </c>
      <c r="B32267" s="65" t="s">
        <v>24</v>
      </c>
    </row>
    <row r="32268" spans="1:2" x14ac:dyDescent="0.25">
      <c r="A32268" s="64" t="str">
        <f>HYPERLINK("http://www.twitter.com/profanityswan", "profanityswan")</f>
        <v>profanityswan</v>
      </c>
      <c r="B32268" s="65" t="s">
        <v>12750</v>
      </c>
    </row>
    <row r="32269" spans="1:2" x14ac:dyDescent="0.25">
      <c r="A32269" s="64" t="str">
        <f>HYPERLINK("http://www.twitter.com/speedina", "speedina")</f>
        <v>speedina</v>
      </c>
      <c r="B32269" s="65" t="s">
        <v>12751</v>
      </c>
    </row>
    <row r="32270" spans="1:2" x14ac:dyDescent="0.25">
      <c r="A32270" s="64" t="str">
        <f>HYPERLINK("http://www.twitter.com/mariemarie0", "mariemarie0")</f>
        <v>mariemarie0</v>
      </c>
      <c r="B32270" s="65" t="s">
        <v>12752</v>
      </c>
    </row>
    <row r="32271" spans="1:2" x14ac:dyDescent="0.25">
      <c r="A32271" s="64" t="str">
        <f>HYPERLINK("http://www.twitter.com/baby_burrd", "baby_burrd")</f>
        <v>baby_burrd</v>
      </c>
      <c r="B32271" s="65" t="s">
        <v>8574</v>
      </c>
    </row>
    <row r="32272" spans="1:2" x14ac:dyDescent="0.25">
      <c r="A32272" s="64" t="str">
        <f>HYPERLINK("http://www.twitter.com/TasterSessions", "TasterSessions")</f>
        <v>TasterSessions</v>
      </c>
      <c r="B32272" s="65"/>
    </row>
    <row r="32273" spans="1:2" x14ac:dyDescent="0.25">
      <c r="A32273" s="64" t="str">
        <f>HYPERLINK("http://www.twitter.com/themightyholm", "themightyholm")</f>
        <v>themightyholm</v>
      </c>
      <c r="B32273" s="65"/>
    </row>
    <row r="32274" spans="1:2" x14ac:dyDescent="0.25">
      <c r="A32274" s="64" t="str">
        <f>HYPERLINK("http://www.twitter.com/cdundas", "cdundas")</f>
        <v>cdundas</v>
      </c>
      <c r="B32274" s="65" t="s">
        <v>487</v>
      </c>
    </row>
    <row r="32275" spans="1:2" x14ac:dyDescent="0.25">
      <c r="A32275" s="64" t="str">
        <f>HYPERLINK("http://www.twitter.com/sjjn_ca", "sjjn_ca")</f>
        <v>sjjn_ca</v>
      </c>
      <c r="B32275" s="65" t="s">
        <v>12753</v>
      </c>
    </row>
    <row r="32276" spans="1:2" x14ac:dyDescent="0.25">
      <c r="A32276" s="64" t="str">
        <f>HYPERLINK("http://www.twitter.com/alistaircoleman", "alistaircoleman")</f>
        <v>alistaircoleman</v>
      </c>
      <c r="B32276" s="65" t="s">
        <v>12754</v>
      </c>
    </row>
    <row r="32277" spans="1:2" x14ac:dyDescent="0.25">
      <c r="A32277" s="64" t="str">
        <f>HYPERLINK("http://www.twitter.com/NickyAdkins", "NickyAdkins")</f>
        <v>NickyAdkins</v>
      </c>
      <c r="B32277" s="65" t="s">
        <v>12755</v>
      </c>
    </row>
    <row r="32278" spans="1:2" x14ac:dyDescent="0.25">
      <c r="A32278" s="64" t="str">
        <f>HYPERLINK("http://www.twitter.com/weegjs", "weegjs")</f>
        <v>weegjs</v>
      </c>
      <c r="B32278" s="65" t="s">
        <v>508</v>
      </c>
    </row>
    <row r="32279" spans="1:2" x14ac:dyDescent="0.25">
      <c r="A32279" s="64" t="str">
        <f>HYPERLINK("http://www.twitter.com/immortale_ishan", "immortale_ishan")</f>
        <v>immortale_ishan</v>
      </c>
      <c r="B32279" s="65" t="s">
        <v>12756</v>
      </c>
    </row>
    <row r="32280" spans="1:2" x14ac:dyDescent="0.25">
      <c r="A32280" s="64" t="str">
        <f>HYPERLINK("http://www.twitter.com/liltoffee", "liltoffee")</f>
        <v>liltoffee</v>
      </c>
      <c r="B32280" s="65" t="s">
        <v>12757</v>
      </c>
    </row>
    <row r="32281" spans="1:2" x14ac:dyDescent="0.25">
      <c r="A32281" s="64" t="str">
        <f>HYPERLINK("http://www.twitter.com/mad1000woman", "mad1000woman")</f>
        <v>mad1000woman</v>
      </c>
      <c r="B32281" s="65"/>
    </row>
    <row r="32282" spans="1:2" x14ac:dyDescent="0.25">
      <c r="A32282" s="64" t="str">
        <f>HYPERLINK("http://www.twitter.com/ilovescotland", "ilovescotland")</f>
        <v>ilovescotland</v>
      </c>
      <c r="B32282" s="65" t="s">
        <v>318</v>
      </c>
    </row>
    <row r="32283" spans="1:2" x14ac:dyDescent="0.25">
      <c r="A32283" s="64" t="str">
        <f>HYPERLINK("http://www.twitter.com/UoYLibrary", "UoYLibrary")</f>
        <v>UoYLibrary</v>
      </c>
      <c r="B32283" s="65" t="s">
        <v>257</v>
      </c>
    </row>
    <row r="32284" spans="1:2" x14ac:dyDescent="0.25">
      <c r="A32284" s="64" t="str">
        <f>HYPERLINK("http://www.twitter.com/TrishaJayne1167", "TrishaJayne1167")</f>
        <v>TrishaJayne1167</v>
      </c>
      <c r="B32284" s="65"/>
    </row>
    <row r="32285" spans="1:2" x14ac:dyDescent="0.25">
      <c r="A32285" s="64" t="str">
        <f>HYPERLINK("http://www.twitter.com/NicolaSturgeon", "NicolaSturgeon")</f>
        <v>NicolaSturgeon</v>
      </c>
      <c r="B32285" s="65" t="s">
        <v>318</v>
      </c>
    </row>
    <row r="32286" spans="1:2" x14ac:dyDescent="0.25">
      <c r="A32286" s="64" t="str">
        <f>HYPERLINK("http://www.twitter.com/barneyally", "barneyally")</f>
        <v>barneyally</v>
      </c>
      <c r="B32286" s="65" t="s">
        <v>12758</v>
      </c>
    </row>
    <row r="32287" spans="1:2" x14ac:dyDescent="0.25">
      <c r="A32287" s="64" t="str">
        <f>HYPERLINK("http://www.twitter.com/sarmat82", "sarmat82")</f>
        <v>sarmat82</v>
      </c>
      <c r="B32287" s="65" t="s">
        <v>2951</v>
      </c>
    </row>
    <row r="32288" spans="1:2" x14ac:dyDescent="0.25">
      <c r="A32288" s="64" t="str">
        <f>HYPERLINK("http://www.twitter.com/GudeCause", "GudeCause")</f>
        <v>GudeCause</v>
      </c>
      <c r="B32288" s="65" t="s">
        <v>487</v>
      </c>
    </row>
    <row r="32289" spans="1:2" x14ac:dyDescent="0.25">
      <c r="A32289" s="64" t="str">
        <f>HYPERLINK("http://www.twitter.com/hmuir", "hmuir")</f>
        <v>hmuir</v>
      </c>
      <c r="B32289" s="65" t="s">
        <v>67</v>
      </c>
    </row>
    <row r="32290" spans="1:2" x14ac:dyDescent="0.25">
      <c r="A32290" s="64" t="str">
        <f>HYPERLINK("http://www.twitter.com/HughesPeg", "HughesPeg")</f>
        <v>HughesPeg</v>
      </c>
      <c r="B32290" s="65" t="s">
        <v>12759</v>
      </c>
    </row>
    <row r="32291" spans="1:2" x14ac:dyDescent="0.25">
      <c r="A32291" s="64" t="str">
        <f>HYPERLINK("http://www.twitter.com/Ardachybc", "Ardachybc")</f>
        <v>Ardachybc</v>
      </c>
      <c r="B32291" s="65" t="s">
        <v>6731</v>
      </c>
    </row>
    <row r="32292" spans="1:2" x14ac:dyDescent="0.25">
      <c r="A32292" s="64" t="str">
        <f>HYPERLINK("http://www.twitter.com/Budthepuppy", "Budthepuppy")</f>
        <v>Budthepuppy</v>
      </c>
      <c r="B32292" s="65" t="s">
        <v>5918</v>
      </c>
    </row>
    <row r="32293" spans="1:2" x14ac:dyDescent="0.25">
      <c r="A32293" s="64" t="str">
        <f>HYPERLINK("http://www.twitter.com/KirsteenStewart", "KirsteenStewart")</f>
        <v>KirsteenStewart</v>
      </c>
      <c r="B32293" s="65" t="s">
        <v>517</v>
      </c>
    </row>
    <row r="32294" spans="1:2" x14ac:dyDescent="0.25">
      <c r="A32294" s="64" t="str">
        <f>HYPERLINK("http://www.twitter.com/weldonkees", "weldonkees")</f>
        <v>weldonkees</v>
      </c>
      <c r="B32294" s="65"/>
    </row>
    <row r="32295" spans="1:2" x14ac:dyDescent="0.25">
      <c r="A32295" s="64" t="str">
        <f>HYPERLINK("http://www.twitter.com/helen189", "helen189")</f>
        <v>helen189</v>
      </c>
      <c r="B32295" s="65" t="s">
        <v>12760</v>
      </c>
    </row>
    <row r="32296" spans="1:2" x14ac:dyDescent="0.25">
      <c r="A32296" s="64" t="str">
        <f>HYPERLINK("http://www.twitter.com/fabmissc", "fabmissc")</f>
        <v>fabmissc</v>
      </c>
      <c r="B32296" s="65" t="s">
        <v>12761</v>
      </c>
    </row>
    <row r="32297" spans="1:2" x14ac:dyDescent="0.25">
      <c r="A32297" s="64" t="str">
        <f>HYPERLINK("http://www.twitter.com/CeriLD", "CeriLD")</f>
        <v>CeriLD</v>
      </c>
      <c r="B32297" s="65" t="s">
        <v>2725</v>
      </c>
    </row>
    <row r="32298" spans="1:2" x14ac:dyDescent="0.25">
      <c r="A32298" s="64" t="str">
        <f>HYPERLINK("http://www.twitter.com/AndrewRilstone", "AndrewRilstone")</f>
        <v>AndrewRilstone</v>
      </c>
      <c r="B32298" s="65" t="s">
        <v>12762</v>
      </c>
    </row>
    <row r="32299" spans="1:2" x14ac:dyDescent="0.25">
      <c r="A32299" s="64" t="str">
        <f>HYPERLINK("http://www.twitter.com/stephenbooth", "stephenbooth")</f>
        <v>stephenbooth</v>
      </c>
      <c r="B32299" s="65" t="s">
        <v>9749</v>
      </c>
    </row>
    <row r="32300" spans="1:2" x14ac:dyDescent="0.25">
      <c r="A32300" s="64" t="str">
        <f>HYPERLINK("http://www.twitter.com/chisholm_alex", "chisholm_alex")</f>
        <v>chisholm_alex</v>
      </c>
      <c r="B32300" s="65" t="s">
        <v>12763</v>
      </c>
    </row>
    <row r="32301" spans="1:2" x14ac:dyDescent="0.25">
      <c r="A32301" s="64" t="str">
        <f>HYPERLINK("http://www.twitter.com/JoneHermes", "JoneHermes")</f>
        <v>JoneHermes</v>
      </c>
      <c r="B32301" s="65" t="s">
        <v>12764</v>
      </c>
    </row>
    <row r="32302" spans="1:2" x14ac:dyDescent="0.25">
      <c r="A32302" s="64" t="str">
        <f>HYPERLINK("http://www.twitter.com/tyglet", "tyglet")</f>
        <v>tyglet</v>
      </c>
      <c r="B32302" s="65" t="s">
        <v>296</v>
      </c>
    </row>
    <row r="32303" spans="1:2" x14ac:dyDescent="0.25">
      <c r="A32303" s="64" t="str">
        <f>HYPERLINK("http://www.twitter.com/ErinAvalin", "ErinAvalin")</f>
        <v>ErinAvalin</v>
      </c>
      <c r="B32303" s="65" t="s">
        <v>12765</v>
      </c>
    </row>
    <row r="32304" spans="1:2" x14ac:dyDescent="0.25">
      <c r="A32304" s="64" t="str">
        <f>HYPERLINK("http://www.twitter.com/TashaAJ", "TashaAJ")</f>
        <v>TashaAJ</v>
      </c>
      <c r="B32304" s="65" t="s">
        <v>12766</v>
      </c>
    </row>
    <row r="32305" spans="1:2" x14ac:dyDescent="0.25">
      <c r="A32305" s="64" t="str">
        <f>HYPERLINK("http://www.twitter.com/benpmtunstall", "benpmtunstall")</f>
        <v>benpmtunstall</v>
      </c>
      <c r="B32305" s="65" t="s">
        <v>36</v>
      </c>
    </row>
    <row r="32306" spans="1:2" x14ac:dyDescent="0.25">
      <c r="A32306" s="64" t="str">
        <f>HYPERLINK("http://www.twitter.com/davelee", "davelee")</f>
        <v>davelee</v>
      </c>
      <c r="B32306" s="65" t="s">
        <v>3921</v>
      </c>
    </row>
    <row r="32307" spans="1:2" x14ac:dyDescent="0.25">
      <c r="A32307" s="64" t="str">
        <f>HYPERLINK("http://www.twitter.com/Trevliby", "Trevliby")</f>
        <v>Trevliby</v>
      </c>
      <c r="B32307" s="65" t="s">
        <v>1146</v>
      </c>
    </row>
    <row r="32308" spans="1:2" x14ac:dyDescent="0.25">
      <c r="A32308" s="64" t="str">
        <f>HYPERLINK("http://www.twitter.com/ParrieMorgan", "ParrieMorgan")</f>
        <v>ParrieMorgan</v>
      </c>
      <c r="B32308" s="65" t="s">
        <v>12767</v>
      </c>
    </row>
    <row r="32309" spans="1:2" x14ac:dyDescent="0.25">
      <c r="A32309" s="64" t="str">
        <f>HYPERLINK("http://www.twitter.com/EdinReporter", "EdinReporter")</f>
        <v>EdinReporter</v>
      </c>
      <c r="B32309" s="65" t="s">
        <v>24</v>
      </c>
    </row>
    <row r="32310" spans="1:2" x14ac:dyDescent="0.25">
      <c r="A32310" s="64" t="str">
        <f>HYPERLINK("http://www.twitter.com/_AnneBell", "_AnneBell")</f>
        <v>_AnneBell</v>
      </c>
      <c r="B32310" s="65" t="s">
        <v>1218</v>
      </c>
    </row>
    <row r="32311" spans="1:2" x14ac:dyDescent="0.25">
      <c r="A32311" s="64" t="str">
        <f>HYPERLINK("http://www.twitter.com/GuildfordBooks", "GuildfordBooks")</f>
        <v>GuildfordBooks</v>
      </c>
      <c r="B32311" s="65" t="s">
        <v>1553</v>
      </c>
    </row>
    <row r="32312" spans="1:2" x14ac:dyDescent="0.25">
      <c r="A32312" s="64" t="str">
        <f>HYPERLINK("http://www.twitter.com/Merillo", "Merillo")</f>
        <v>Merillo</v>
      </c>
      <c r="B32312" s="65" t="s">
        <v>24</v>
      </c>
    </row>
    <row r="32313" spans="1:2" x14ac:dyDescent="0.25">
      <c r="A32313" s="64" t="str">
        <f>HYPERLINK("http://www.twitter.com/TeddyWoodhouse", "TeddyWoodhouse")</f>
        <v>TeddyWoodhouse</v>
      </c>
      <c r="B32313" s="65" t="s">
        <v>3785</v>
      </c>
    </row>
    <row r="32314" spans="1:2" x14ac:dyDescent="0.25">
      <c r="A32314" s="64" t="str">
        <f>HYPERLINK("http://www.twitter.com/oaklings", "oaklings")</f>
        <v>oaklings</v>
      </c>
      <c r="B32314" s="65"/>
    </row>
    <row r="32315" spans="1:2" x14ac:dyDescent="0.25">
      <c r="A32315" s="64" t="str">
        <f>HYPERLINK("http://www.twitter.com/anna_esmith", "anna_esmith")</f>
        <v>anna_esmith</v>
      </c>
      <c r="B32315" s="65" t="s">
        <v>12768</v>
      </c>
    </row>
    <row r="32316" spans="1:2" x14ac:dyDescent="0.25">
      <c r="A32316" s="64" t="str">
        <f>HYPERLINK("http://www.twitter.com/pamelacope71", "pamelacope71")</f>
        <v>pamelacope71</v>
      </c>
      <c r="B32316" s="65" t="s">
        <v>5366</v>
      </c>
    </row>
    <row r="32317" spans="1:2" x14ac:dyDescent="0.25">
      <c r="A32317" s="64" t="str">
        <f>HYPERLINK("http://www.twitter.com/JustinGriggs", "JustinGriggs")</f>
        <v>JustinGriggs</v>
      </c>
      <c r="B32317" s="65" t="s">
        <v>12769</v>
      </c>
    </row>
    <row r="32318" spans="1:2" x14ac:dyDescent="0.25">
      <c r="A32318" s="64" t="str">
        <f>HYPERLINK("http://www.twitter.com/Rosie_Lake", "Rosie_Lake")</f>
        <v>Rosie_Lake</v>
      </c>
      <c r="B32318" s="65" t="s">
        <v>505</v>
      </c>
    </row>
    <row r="32319" spans="1:2" x14ac:dyDescent="0.25">
      <c r="A32319" s="64" t="str">
        <f>HYPERLINK("http://www.twitter.com/CriticalSteph", "CriticalSteph")</f>
        <v>CriticalSteph</v>
      </c>
      <c r="B32319" s="65" t="s">
        <v>12770</v>
      </c>
    </row>
    <row r="32320" spans="1:2" x14ac:dyDescent="0.25">
      <c r="A32320" s="64" t="str">
        <f>HYPERLINK("http://www.twitter.com/antlerboy", "antlerboy")</f>
        <v>antlerboy</v>
      </c>
      <c r="B32320" s="65" t="s">
        <v>36</v>
      </c>
    </row>
    <row r="32321" spans="1:2" x14ac:dyDescent="0.25">
      <c r="A32321" s="64" t="str">
        <f>HYPERLINK("http://www.twitter.com/KRutledge68", "KRutledge68")</f>
        <v>KRutledge68</v>
      </c>
      <c r="B32321" s="65" t="s">
        <v>12771</v>
      </c>
    </row>
    <row r="32322" spans="1:2" x14ac:dyDescent="0.25">
      <c r="A32322" s="64" t="str">
        <f>HYPERLINK("http://www.twitter.com/DreamEnchanted", "DreamEnchanted")</f>
        <v>DreamEnchanted</v>
      </c>
      <c r="B32322" s="65" t="s">
        <v>318</v>
      </c>
    </row>
    <row r="32323" spans="1:2" x14ac:dyDescent="0.25">
      <c r="A32323" s="64" t="str">
        <f>HYPERLINK("http://www.twitter.com/paul1536", "paul1536")</f>
        <v>paul1536</v>
      </c>
      <c r="B32323" s="65"/>
    </row>
    <row r="32324" spans="1:2" x14ac:dyDescent="0.25">
      <c r="A32324" s="64" t="str">
        <f>HYPERLINK("http://www.twitter.com/Liz02Books", "Liz02Books")</f>
        <v>Liz02Books</v>
      </c>
      <c r="B32324" s="65" t="s">
        <v>4098</v>
      </c>
    </row>
    <row r="32325" spans="1:2" x14ac:dyDescent="0.25">
      <c r="A32325" s="64" t="str">
        <f>HYPERLINK("http://www.twitter.com/Bunnethustler", "Bunnethustler")</f>
        <v>Bunnethustler</v>
      </c>
      <c r="B32325" s="65"/>
    </row>
    <row r="32326" spans="1:2" x14ac:dyDescent="0.25">
      <c r="A32326" s="64" t="str">
        <f>HYPERLINK("http://www.twitter.com/kellyph", "kellyph")</f>
        <v>kellyph</v>
      </c>
      <c r="B32326" s="65"/>
    </row>
    <row r="32327" spans="1:2" x14ac:dyDescent="0.25">
      <c r="A32327" s="64" t="str">
        <f>HYPERLINK("http://www.twitter.com/glennjimin", "glennjimin")</f>
        <v>glennjimin</v>
      </c>
      <c r="B32327" s="65" t="s">
        <v>12772</v>
      </c>
    </row>
    <row r="32328" spans="1:2" x14ac:dyDescent="0.25">
      <c r="A32328" s="64" t="str">
        <f>HYPERLINK("http://www.twitter.com/emmarosamund", "emmarosamund")</f>
        <v>emmarosamund</v>
      </c>
      <c r="B32328" s="65" t="s">
        <v>296</v>
      </c>
    </row>
    <row r="32329" spans="1:2" x14ac:dyDescent="0.25">
      <c r="A32329" s="64" t="str">
        <f>HYPERLINK("http://www.twitter.com/trishmfallon", "trishmfallon")</f>
        <v>trishmfallon</v>
      </c>
      <c r="B32329" s="65"/>
    </row>
    <row r="32330" spans="1:2" x14ac:dyDescent="0.25">
      <c r="A32330" s="64" t="str">
        <f>HYPERLINK("http://www.twitter.com/vsopfables", "vsopfables")</f>
        <v>vsopfables</v>
      </c>
      <c r="B32330" s="65" t="s">
        <v>296</v>
      </c>
    </row>
    <row r="32331" spans="1:2" x14ac:dyDescent="0.25">
      <c r="A32331" s="64" t="str">
        <f>HYPERLINK("http://www.twitter.com/sandrajohnson54", "sandrajohnson54")</f>
        <v>sandrajohnson54</v>
      </c>
      <c r="B32331" s="65" t="s">
        <v>273</v>
      </c>
    </row>
    <row r="32332" spans="1:2" x14ac:dyDescent="0.25">
      <c r="A32332" s="64" t="str">
        <f>HYPERLINK("http://www.twitter.com/JBB_and_Books", "JBB_and_Books")</f>
        <v>JBB_and_Books</v>
      </c>
      <c r="B32332" s="65"/>
    </row>
    <row r="32333" spans="1:2" x14ac:dyDescent="0.25">
      <c r="A32333" s="64" t="str">
        <f>HYPERLINK("http://www.twitter.com/amgamble", "amgamble")</f>
        <v>amgamble</v>
      </c>
      <c r="B32333" s="65" t="s">
        <v>12773</v>
      </c>
    </row>
    <row r="32334" spans="1:2" x14ac:dyDescent="0.25">
      <c r="A32334" s="64" t="str">
        <f>HYPERLINK("http://www.twitter.com/JAWSwally", "JAWSwally")</f>
        <v>JAWSwally</v>
      </c>
      <c r="B32334" s="65" t="s">
        <v>24</v>
      </c>
    </row>
    <row r="32335" spans="1:2" x14ac:dyDescent="0.25">
      <c r="A32335" s="64" t="str">
        <f>HYPERLINK("http://www.twitter.com/Corrymella", "Corrymella")</f>
        <v>Corrymella</v>
      </c>
      <c r="B32335" s="65" t="s">
        <v>6968</v>
      </c>
    </row>
    <row r="32336" spans="1:2" x14ac:dyDescent="0.25">
      <c r="A32336" s="64" t="str">
        <f>HYPERLINK("http://www.twitter.com/jessamycarlson", "jessamycarlson")</f>
        <v>jessamycarlson</v>
      </c>
      <c r="B32336" s="65" t="s">
        <v>5774</v>
      </c>
    </row>
    <row r="32337" spans="1:2" x14ac:dyDescent="0.25">
      <c r="A32337" s="64" t="str">
        <f>HYPERLINK("http://www.twitter.com/stefarchivist", "stefarchivist")</f>
        <v>stefarchivist</v>
      </c>
      <c r="B32337" s="65" t="s">
        <v>4501</v>
      </c>
    </row>
    <row r="32338" spans="1:2" x14ac:dyDescent="0.25">
      <c r="A32338" s="64" t="str">
        <f>HYPERLINK("http://www.twitter.com/HappyMouffetard", "HappyMouffetard")</f>
        <v>HappyMouffetard</v>
      </c>
      <c r="B32338" s="65" t="s">
        <v>456</v>
      </c>
    </row>
    <row r="32339" spans="1:2" x14ac:dyDescent="0.25">
      <c r="A32339" s="64" t="str">
        <f>HYPERLINK("http://www.twitter.com/x_raych", "x_raych")</f>
        <v>x_raych</v>
      </c>
      <c r="B32339" s="65"/>
    </row>
    <row r="32340" spans="1:2" x14ac:dyDescent="0.25">
      <c r="A32340" s="64" t="str">
        <f>HYPERLINK("http://www.twitter.com/emm78", "emm78")</f>
        <v>emm78</v>
      </c>
      <c r="B32340" s="65" t="s">
        <v>9686</v>
      </c>
    </row>
    <row r="32341" spans="1:2" x14ac:dyDescent="0.25">
      <c r="A32341" s="64" t="str">
        <f>HYPERLINK("http://www.twitter.com/MairiBlack", "MairiBlack")</f>
        <v>MairiBlack</v>
      </c>
      <c r="B32341" s="65"/>
    </row>
    <row r="32342" spans="1:2" x14ac:dyDescent="0.25">
      <c r="A32342" s="64" t="str">
        <f>HYPERLINK("http://www.twitter.com/woodwickmouse", "woodwickmouse")</f>
        <v>woodwickmouse</v>
      </c>
      <c r="B32342" s="65" t="s">
        <v>12774</v>
      </c>
    </row>
    <row r="32343" spans="1:2" x14ac:dyDescent="0.25">
      <c r="A32343" s="64" t="str">
        <f>HYPERLINK("http://www.twitter.com/malcolmpm", "malcolmpm")</f>
        <v>malcolmpm</v>
      </c>
      <c r="B32343" s="65" t="s">
        <v>12775</v>
      </c>
    </row>
    <row r="32344" spans="1:2" x14ac:dyDescent="0.25">
      <c r="A32344" s="64" t="str">
        <f>HYPERLINK("http://www.twitter.com/Grotticia", "Grotticia")</f>
        <v>Grotticia</v>
      </c>
      <c r="B32344" s="65" t="s">
        <v>12776</v>
      </c>
    </row>
    <row r="32345" spans="1:2" x14ac:dyDescent="0.25">
      <c r="A32345" s="64" t="str">
        <f>HYPERLINK("http://www.twitter.com/ragbonehair", "ragbonehair")</f>
        <v>ragbonehair</v>
      </c>
      <c r="B32345" s="65" t="s">
        <v>138</v>
      </c>
    </row>
    <row r="32346" spans="1:2" x14ac:dyDescent="0.25">
      <c r="A32346" s="64" t="str">
        <f>HYPERLINK("http://www.twitter.com/nttnghmptrysrs", "nttnghmptrysrs")</f>
        <v>nttnghmptrysrs</v>
      </c>
      <c r="B32346" s="65" t="s">
        <v>1046</v>
      </c>
    </row>
    <row r="32347" spans="1:2" x14ac:dyDescent="0.25">
      <c r="A32347" s="64" t="str">
        <f>HYPERLINK("http://www.twitter.com/lucytweet1", "lucytweet1")</f>
        <v>lucytweet1</v>
      </c>
      <c r="B32347" s="65" t="s">
        <v>138</v>
      </c>
    </row>
    <row r="32348" spans="1:2" x14ac:dyDescent="0.25">
      <c r="A32348" s="64" t="str">
        <f>HYPERLINK("http://www.twitter.com/club_modellbau", "club_modellbau")</f>
        <v>club_modellbau</v>
      </c>
      <c r="B32348" s="65" t="s">
        <v>12777</v>
      </c>
    </row>
    <row r="32349" spans="1:2" x14ac:dyDescent="0.25">
      <c r="A32349" s="64" t="str">
        <f>HYPERLINK("http://www.twitter.com/NotThatLaura", "NotThatLaura")</f>
        <v>NotThatLaura</v>
      </c>
      <c r="B32349" s="65" t="s">
        <v>12778</v>
      </c>
    </row>
    <row r="32350" spans="1:2" x14ac:dyDescent="0.25">
      <c r="A32350" s="64" t="str">
        <f>HYPERLINK("http://www.twitter.com/smartcrass", "smartcrass")</f>
        <v>smartcrass</v>
      </c>
      <c r="B32350" s="65" t="s">
        <v>12779</v>
      </c>
    </row>
    <row r="32351" spans="1:2" x14ac:dyDescent="0.25">
      <c r="A32351" s="64" t="str">
        <f>HYPERLINK("http://www.twitter.com/cxb4218", "cxb4218")</f>
        <v>cxb4218</v>
      </c>
      <c r="B32351" s="65"/>
    </row>
    <row r="32352" spans="1:2" x14ac:dyDescent="0.25">
      <c r="A32352" s="64" t="str">
        <f>HYPERLINK("http://www.twitter.com/booknerd81", "booknerd81")</f>
        <v>booknerd81</v>
      </c>
      <c r="B32352" s="65"/>
    </row>
    <row r="32353" spans="1:2" x14ac:dyDescent="0.25">
      <c r="A32353" s="64" t="str">
        <f>HYPERLINK("http://www.twitter.com/DurhamPLNH", "DurhamPLNH")</f>
        <v>DurhamPLNH</v>
      </c>
      <c r="B32353" s="65" t="s">
        <v>12780</v>
      </c>
    </row>
    <row r="32354" spans="1:2" x14ac:dyDescent="0.25">
      <c r="A32354" s="64" t="str">
        <f>HYPERLINK("http://www.twitter.com/FruitTreeMentor", "FruitTreeMentor")</f>
        <v>FruitTreeMentor</v>
      </c>
      <c r="B32354" s="65" t="s">
        <v>517</v>
      </c>
    </row>
    <row r="32355" spans="1:2" x14ac:dyDescent="0.25">
      <c r="A32355" s="64" t="str">
        <f>HYPERLINK("http://www.twitter.com/smrwilkinson", "smrwilkinson")</f>
        <v>smrwilkinson</v>
      </c>
      <c r="B32355" s="65"/>
    </row>
    <row r="32356" spans="1:2" x14ac:dyDescent="0.25">
      <c r="A32356" s="64" t="str">
        <f>HYPERLINK("http://www.twitter.com/HorsleyLibrary", "HorsleyLibrary")</f>
        <v>HorsleyLibrary</v>
      </c>
      <c r="B32356" s="65" t="s">
        <v>1414</v>
      </c>
    </row>
    <row r="32357" spans="1:2" x14ac:dyDescent="0.25">
      <c r="A32357" s="64" t="str">
        <f>HYPERLINK("http://www.twitter.com/UltraAnsie", "UltraAnsie")</f>
        <v>UltraAnsie</v>
      </c>
      <c r="B32357" s="65"/>
    </row>
    <row r="32358" spans="1:2" x14ac:dyDescent="0.25">
      <c r="A32358" s="64" t="str">
        <f>HYPERLINK("http://www.twitter.com/katiewithan_ie", "katiewithan_ie")</f>
        <v>katiewithan_ie</v>
      </c>
      <c r="B32358" s="65" t="s">
        <v>74</v>
      </c>
    </row>
    <row r="32359" spans="1:2" x14ac:dyDescent="0.25">
      <c r="A32359" s="64" t="str">
        <f>HYPERLINK("http://www.twitter.com/MEIRKENAN", "MEIRKENAN")</f>
        <v>MEIRKENAN</v>
      </c>
      <c r="B32359" s="65" t="s">
        <v>12781</v>
      </c>
    </row>
    <row r="32360" spans="1:2" x14ac:dyDescent="0.25">
      <c r="A32360" s="64" t="str">
        <f>HYPERLINK("http://www.twitter.com/imprintfest", "imprintfest")</f>
        <v>imprintfest</v>
      </c>
      <c r="B32360" s="65" t="s">
        <v>12782</v>
      </c>
    </row>
    <row r="32361" spans="1:2" x14ac:dyDescent="0.25">
      <c r="A32361" s="64" t="str">
        <f>HYPERLINK("http://www.twitter.com/meglindsley", "meglindsley")</f>
        <v>meglindsley</v>
      </c>
      <c r="B32361" s="65"/>
    </row>
    <row r="32362" spans="1:2" x14ac:dyDescent="0.25">
      <c r="A32362" s="64" t="str">
        <f>HYPERLINK("http://www.twitter.com/FingerTipIsland", "FingerTipIsland")</f>
        <v>FingerTipIsland</v>
      </c>
      <c r="B32362" s="65"/>
    </row>
    <row r="32363" spans="1:2" x14ac:dyDescent="0.25">
      <c r="A32363" s="64" t="str">
        <f>HYPERLINK("http://www.twitter.com/ilovecaledonia", "ilovecaledonia")</f>
        <v>ilovecaledonia</v>
      </c>
      <c r="B32363" s="65" t="s">
        <v>4533</v>
      </c>
    </row>
    <row r="32364" spans="1:2" x14ac:dyDescent="0.25">
      <c r="A32364" s="64" t="str">
        <f>HYPERLINK("http://www.twitter.com/proudweeker", "proudweeker")</f>
        <v>proudweeker</v>
      </c>
      <c r="B32364" s="65"/>
    </row>
    <row r="32365" spans="1:2" x14ac:dyDescent="0.25">
      <c r="A32365" s="64" t="str">
        <f>HYPERLINK("http://www.twitter.com/thequeenoftoast", "thequeenoftoast")</f>
        <v>thequeenoftoast</v>
      </c>
      <c r="B32365" s="65" t="s">
        <v>33</v>
      </c>
    </row>
    <row r="32366" spans="1:2" x14ac:dyDescent="0.25">
      <c r="A32366" s="64" t="str">
        <f>HYPERLINK("http://www.twitter.com/Aneidin", "Aneidin")</f>
        <v>Aneidin</v>
      </c>
      <c r="B32366" s="65" t="s">
        <v>12783</v>
      </c>
    </row>
    <row r="32367" spans="1:2" x14ac:dyDescent="0.25">
      <c r="A32367" s="64" t="str">
        <f>HYPERLINK("http://www.twitter.com/dustshoveller", "dustshoveller")</f>
        <v>dustshoveller</v>
      </c>
      <c r="B32367" s="65" t="s">
        <v>788</v>
      </c>
    </row>
    <row r="32368" spans="1:2" x14ac:dyDescent="0.25">
      <c r="A32368" s="64" t="str">
        <f>HYPERLINK("http://www.twitter.com/petermt", "petermt")</f>
        <v>petermt</v>
      </c>
      <c r="B32368" s="65" t="s">
        <v>581</v>
      </c>
    </row>
    <row r="32369" spans="1:2" x14ac:dyDescent="0.25">
      <c r="A32369" s="64" t="str">
        <f>HYPERLINK("http://www.twitter.com/beccihutchins", "beccihutchins")</f>
        <v>beccihutchins</v>
      </c>
      <c r="B32369" s="65" t="s">
        <v>1180</v>
      </c>
    </row>
    <row r="32370" spans="1:2" x14ac:dyDescent="0.25">
      <c r="A32370" s="64" t="str">
        <f>HYPERLINK("http://www.twitter.com/lambertond", "lambertond")</f>
        <v>lambertond</v>
      </c>
      <c r="B32370" s="65" t="s">
        <v>36</v>
      </c>
    </row>
    <row r="32371" spans="1:2" x14ac:dyDescent="0.25">
      <c r="A32371" s="64" t="str">
        <f>HYPERLINK("http://www.twitter.com/Ancilla_", "Ancilla_")</f>
        <v>Ancilla_</v>
      </c>
      <c r="B32371" s="65" t="s">
        <v>12784</v>
      </c>
    </row>
    <row r="32372" spans="1:2" x14ac:dyDescent="0.25">
      <c r="A32372" s="64" t="str">
        <f>HYPERLINK("http://www.twitter.com/loumoar", "loumoar")</f>
        <v>loumoar</v>
      </c>
      <c r="B32372" s="65"/>
    </row>
    <row r="32373" spans="1:2" x14ac:dyDescent="0.25">
      <c r="A32373" s="64" t="str">
        <f>HYPERLINK("http://www.twitter.com/CarolineLD", "CarolineLD")</f>
        <v>CarolineLD</v>
      </c>
      <c r="B32373" s="65" t="s">
        <v>12785</v>
      </c>
    </row>
    <row r="32374" spans="1:2" x14ac:dyDescent="0.25">
      <c r="A32374" s="64" t="str">
        <f>HYPERLINK("http://www.twitter.com/galleygirls", "galleygirls")</f>
        <v>galleygirls</v>
      </c>
      <c r="B32374" s="65" t="s">
        <v>2471</v>
      </c>
    </row>
    <row r="32375" spans="1:2" x14ac:dyDescent="0.25">
      <c r="A32375" s="64" t="str">
        <f>HYPERLINK("http://www.twitter.com/nicolaw29", "nicolaw29")</f>
        <v>nicolaw29</v>
      </c>
      <c r="B32375" s="65"/>
    </row>
    <row r="32376" spans="1:2" x14ac:dyDescent="0.25">
      <c r="A32376" s="64" t="str">
        <f>HYPERLINK("http://www.twitter.com/RibenaRat", "RibenaRat")</f>
        <v>RibenaRat</v>
      </c>
      <c r="B32376" s="65" t="s">
        <v>1592</v>
      </c>
    </row>
    <row r="32377" spans="1:2" x14ac:dyDescent="0.25">
      <c r="A32377" s="64" t="str">
        <f>HYPERLINK("http://www.twitter.com/Johners51", "Johners51")</f>
        <v>Johners51</v>
      </c>
      <c r="B32377" s="65" t="s">
        <v>12786</v>
      </c>
    </row>
    <row r="32378" spans="1:2" x14ac:dyDescent="0.25">
      <c r="A32378" s="64" t="str">
        <f>HYPERLINK("http://www.twitter.com/peterhay", "peterhay")</f>
        <v>peterhay</v>
      </c>
      <c r="B32378" s="65" t="s">
        <v>36</v>
      </c>
    </row>
    <row r="32379" spans="1:2" x14ac:dyDescent="0.25">
      <c r="A32379" s="64" t="str">
        <f>HYPERLINK("http://www.twitter.com/IreneB9", "IreneB9")</f>
        <v>IreneB9</v>
      </c>
      <c r="B32379" s="65" t="s">
        <v>1295</v>
      </c>
    </row>
    <row r="32380" spans="1:2" x14ac:dyDescent="0.25">
      <c r="A32380" s="64" t="str">
        <f>HYPERLINK("http://www.twitter.com/RobertCorkEsq", "RobertCorkEsq")</f>
        <v>RobertCorkEsq</v>
      </c>
      <c r="B32380" s="65" t="s">
        <v>12787</v>
      </c>
    </row>
    <row r="32381" spans="1:2" x14ac:dyDescent="0.25">
      <c r="A32381" s="64" t="str">
        <f>HYPERLINK("http://www.twitter.com/LissyLawHuds", "LissyLawHuds")</f>
        <v>LissyLawHuds</v>
      </c>
      <c r="B32381" s="65" t="s">
        <v>158</v>
      </c>
    </row>
    <row r="32382" spans="1:2" x14ac:dyDescent="0.25">
      <c r="A32382" s="64" t="str">
        <f>HYPERLINK("http://www.twitter.com/martinsmac", "martinsmac")</f>
        <v>martinsmac</v>
      </c>
      <c r="B32382" s="65"/>
    </row>
    <row r="32383" spans="1:2" x14ac:dyDescent="0.25">
      <c r="A32383" s="64" t="str">
        <f>HYPERLINK("http://www.twitter.com/hackneyhaz", "hackneyhaz")</f>
        <v>hackneyhaz</v>
      </c>
      <c r="B32383" s="65" t="s">
        <v>12788</v>
      </c>
    </row>
    <row r="32384" spans="1:2" x14ac:dyDescent="0.25">
      <c r="A32384" s="64" t="str">
        <f>HYPERLINK("http://www.twitter.com/Edwirinia", "Edwirinia")</f>
        <v>Edwirinia</v>
      </c>
      <c r="B32384" s="65" t="s">
        <v>4237</v>
      </c>
    </row>
    <row r="32385" spans="1:2" x14ac:dyDescent="0.25">
      <c r="A32385" s="64" t="str">
        <f>HYPERLINK("http://www.twitter.com/sharonu", "sharonu")</f>
        <v>sharonu</v>
      </c>
      <c r="B32385" s="65" t="s">
        <v>12789</v>
      </c>
    </row>
    <row r="32386" spans="1:2" x14ac:dyDescent="0.25">
      <c r="A32386" s="64" t="str">
        <f>HYPERLINK("http://www.twitter.com/JonathanNDexter", "JonathanNDexter")</f>
        <v>JonathanNDexter</v>
      </c>
      <c r="B32386" s="65" t="s">
        <v>1226</v>
      </c>
    </row>
    <row r="32387" spans="1:2" x14ac:dyDescent="0.25">
      <c r="A32387" s="64" t="str">
        <f>HYPERLINK("http://www.twitter.com/yentalk", "yentalk")</f>
        <v>yentalk</v>
      </c>
      <c r="B32387" s="65"/>
    </row>
    <row r="32388" spans="1:2" x14ac:dyDescent="0.25">
      <c r="A32388" s="64" t="str">
        <f>HYPERLINK("http://www.twitter.com/afeath22", "afeath22")</f>
        <v>afeath22</v>
      </c>
      <c r="B32388" s="65" t="s">
        <v>12790</v>
      </c>
    </row>
    <row r="32389" spans="1:2" x14ac:dyDescent="0.25">
      <c r="A32389" s="64" t="str">
        <f>HYPERLINK("http://www.twitter.com/Sazbottle", "Sazbottle")</f>
        <v>Sazbottle</v>
      </c>
      <c r="B32389" s="65" t="s">
        <v>12791</v>
      </c>
    </row>
    <row r="32390" spans="1:2" x14ac:dyDescent="0.25">
      <c r="A32390" s="64" t="str">
        <f>HYPERLINK("http://www.twitter.com/Childrens_Lives", "Childrens_Lives")</f>
        <v>Childrens_Lives</v>
      </c>
      <c r="B32390" s="65" t="s">
        <v>12792</v>
      </c>
    </row>
    <row r="32391" spans="1:2" x14ac:dyDescent="0.25">
      <c r="A32391" s="64" t="str">
        <f>HYPERLINK("http://www.twitter.com/GiantRatSumatra", "GiantRatSumatra")</f>
        <v>GiantRatSumatra</v>
      </c>
      <c r="B32391" s="65" t="s">
        <v>12793</v>
      </c>
    </row>
    <row r="32392" spans="1:2" x14ac:dyDescent="0.25">
      <c r="A32392" s="64" t="str">
        <f>HYPERLINK("http://www.twitter.com/dunc2812", "dunc2812")</f>
        <v>dunc2812</v>
      </c>
      <c r="B32392" s="65"/>
    </row>
    <row r="32393" spans="1:2" x14ac:dyDescent="0.25">
      <c r="A32393" s="64" t="str">
        <f>HYPERLINK("http://www.twitter.com/karnag", "karnag")</f>
        <v>karnag</v>
      </c>
      <c r="B32393" s="65" t="s">
        <v>517</v>
      </c>
    </row>
    <row r="32394" spans="1:2" x14ac:dyDescent="0.25">
      <c r="A32394" s="64" t="str">
        <f>HYPERLINK("http://www.twitter.com/ClockworkFaery", "ClockworkFaery")</f>
        <v>ClockworkFaery</v>
      </c>
      <c r="B32394" s="65" t="s">
        <v>2687</v>
      </c>
    </row>
    <row r="32395" spans="1:2" x14ac:dyDescent="0.25">
      <c r="A32395" s="64" t="str">
        <f>HYPERLINK("http://www.twitter.com/LeeLeecraigie", "LeeLeecraigie")</f>
        <v>LeeLeecraigie</v>
      </c>
      <c r="B32395" s="65"/>
    </row>
    <row r="32396" spans="1:2" x14ac:dyDescent="0.25">
      <c r="A32396" s="64" t="str">
        <f>HYPERLINK("http://www.twitter.com/RusudanAsatiani", "RusudanAsatiani")</f>
        <v>RusudanAsatiani</v>
      </c>
      <c r="B32396" s="65" t="s">
        <v>12794</v>
      </c>
    </row>
    <row r="32397" spans="1:2" x14ac:dyDescent="0.25">
      <c r="A32397" s="64" t="str">
        <f>HYPERLINK("http://www.twitter.com/Memo_Hima", "Memo_Hima")</f>
        <v>Memo_Hima</v>
      </c>
      <c r="B32397" s="65" t="s">
        <v>3978</v>
      </c>
    </row>
    <row r="32398" spans="1:2" x14ac:dyDescent="0.25">
      <c r="A32398" s="64" t="str">
        <f>HYPERLINK("http://www.twitter.com/HDLibraries", "HDLibraries")</f>
        <v>HDLibraries</v>
      </c>
      <c r="B32398" s="65" t="s">
        <v>12795</v>
      </c>
    </row>
    <row r="32399" spans="1:2" x14ac:dyDescent="0.25">
      <c r="A32399" s="64" t="str">
        <f>HYPERLINK("http://www.twitter.com/NewsandChron", "NewsandChron")</f>
        <v>NewsandChron</v>
      </c>
      <c r="B32399" s="65" t="s">
        <v>12796</v>
      </c>
    </row>
    <row r="32400" spans="1:2" x14ac:dyDescent="0.25">
      <c r="A32400" s="64" t="str">
        <f>HYPERLINK("http://www.twitter.com/Bakers102", "Bakers102")</f>
        <v>Bakers102</v>
      </c>
      <c r="B32400" s="65" t="s">
        <v>12797</v>
      </c>
    </row>
    <row r="32401" spans="1:2" x14ac:dyDescent="0.25">
      <c r="A32401" s="64" t="str">
        <f>HYPERLINK("http://www.twitter.com/carrie_ness", "carrie_ness")</f>
        <v>carrie_ness</v>
      </c>
      <c r="B32401" s="65" t="s">
        <v>6190</v>
      </c>
    </row>
    <row r="32402" spans="1:2" x14ac:dyDescent="0.25">
      <c r="A32402" s="64" t="str">
        <f>HYPERLINK("http://www.twitter.com/Toyznthehood", "Toyznthehood")</f>
        <v>Toyznthehood</v>
      </c>
      <c r="B32402" s="65" t="s">
        <v>526</v>
      </c>
    </row>
    <row r="32403" spans="1:2" x14ac:dyDescent="0.25">
      <c r="A32403" s="64" t="str">
        <f>HYPERLINK("http://www.twitter.com/kevinsomething", "kevinsomething")</f>
        <v>kevinsomething</v>
      </c>
      <c r="B32403" s="65"/>
    </row>
    <row r="32404" spans="1:2" x14ac:dyDescent="0.25">
      <c r="A32404" s="64" t="str">
        <f>HYPERLINK("http://www.twitter.com/maz41", "maz41")</f>
        <v>maz41</v>
      </c>
      <c r="B32404" s="65"/>
    </row>
    <row r="32405" spans="1:2" x14ac:dyDescent="0.25">
      <c r="A32405" s="64" t="str">
        <f>HYPERLINK("http://www.twitter.com/bigsylou", "bigsylou")</f>
        <v>bigsylou</v>
      </c>
      <c r="B32405" s="65"/>
    </row>
    <row r="32406" spans="1:2" x14ac:dyDescent="0.25">
      <c r="A32406" s="64" t="str">
        <f>HYPERLINK("http://www.twitter.com/flowersclaire", "flowersclaire")</f>
        <v>flowersclaire</v>
      </c>
      <c r="B32406" s="65" t="s">
        <v>180</v>
      </c>
    </row>
    <row r="32407" spans="1:2" x14ac:dyDescent="0.25">
      <c r="A32407" s="64" t="str">
        <f>HYPERLINK("http://www.twitter.com/Librarywitch", "Librarywitch")</f>
        <v>Librarywitch</v>
      </c>
      <c r="B32407" s="65" t="s">
        <v>12798</v>
      </c>
    </row>
    <row r="32408" spans="1:2" x14ac:dyDescent="0.25">
      <c r="A32408" s="64" t="str">
        <f>HYPERLINK("http://www.twitter.com/ITMADublin", "ITMADublin")</f>
        <v>ITMADublin</v>
      </c>
      <c r="B32408" s="65" t="s">
        <v>12799</v>
      </c>
    </row>
    <row r="32409" spans="1:2" x14ac:dyDescent="0.25">
      <c r="A32409" s="64" t="str">
        <f>HYPERLINK("http://www.twitter.com/AmandaFlaker", "AmandaFlaker")</f>
        <v>AmandaFlaker</v>
      </c>
      <c r="B32409" s="65" t="s">
        <v>12800</v>
      </c>
    </row>
    <row r="32410" spans="1:2" x14ac:dyDescent="0.25">
      <c r="A32410" s="64" t="str">
        <f>HYPERLINK("http://www.twitter.com/GJNimmo", "GJNimmo")</f>
        <v>GJNimmo</v>
      </c>
      <c r="B32410" s="65" t="s">
        <v>296</v>
      </c>
    </row>
    <row r="32411" spans="1:2" x14ac:dyDescent="0.25">
      <c r="A32411" s="64" t="str">
        <f>HYPERLINK("http://www.twitter.com/Paperscanners", "Paperscanners")</f>
        <v>Paperscanners</v>
      </c>
      <c r="B32411" s="65" t="s">
        <v>593</v>
      </c>
    </row>
    <row r="32412" spans="1:2" x14ac:dyDescent="0.25">
      <c r="A32412" s="64" t="str">
        <f>HYPERLINK("http://www.twitter.com/SpeakUpMan", "SpeakUpMan")</f>
        <v>SpeakUpMan</v>
      </c>
      <c r="B32412" s="65" t="s">
        <v>12801</v>
      </c>
    </row>
    <row r="32413" spans="1:2" x14ac:dyDescent="0.25">
      <c r="A32413" s="64" t="str">
        <f>HYPERLINK("http://www.twitter.com/MusicPALIreland", "MusicPALIreland")</f>
        <v>MusicPALIreland</v>
      </c>
      <c r="B32413" s="65" t="s">
        <v>4062</v>
      </c>
    </row>
    <row r="32414" spans="1:2" x14ac:dyDescent="0.25">
      <c r="A32414" s="64" t="str">
        <f>HYPERLINK("http://www.twitter.com/mhna22", "mhna22")</f>
        <v>mhna22</v>
      </c>
      <c r="B32414" s="65" t="s">
        <v>12802</v>
      </c>
    </row>
    <row r="32415" spans="1:2" x14ac:dyDescent="0.25">
      <c r="A32415" s="64" t="str">
        <f>HYPERLINK("http://www.twitter.com/Adibabluebell", "Adibabluebell")</f>
        <v>Adibabluebell</v>
      </c>
      <c r="B32415" s="65" t="s">
        <v>4414</v>
      </c>
    </row>
    <row r="32416" spans="1:2" x14ac:dyDescent="0.25">
      <c r="A32416" s="64" t="str">
        <f>HYPERLINK("http://www.twitter.com/minnowpress", "minnowpress")</f>
        <v>minnowpress</v>
      </c>
      <c r="B32416" s="65" t="s">
        <v>1490</v>
      </c>
    </row>
    <row r="32417" spans="1:2" x14ac:dyDescent="0.25">
      <c r="A32417" s="64" t="str">
        <f>HYPERLINK("http://www.twitter.com/KathHudson2010", "KathHudson2010")</f>
        <v>KathHudson2010</v>
      </c>
      <c r="B32417" s="65" t="s">
        <v>1218</v>
      </c>
    </row>
    <row r="32418" spans="1:2" x14ac:dyDescent="0.25">
      <c r="A32418" s="64" t="str">
        <f>HYPERLINK("http://www.twitter.com/barbaratretio", "barbaratretio")</f>
        <v>barbaratretio</v>
      </c>
      <c r="B32418" s="65"/>
    </row>
    <row r="32419" spans="1:2" x14ac:dyDescent="0.25">
      <c r="A32419" s="64" t="str">
        <f>HYPERLINK("http://www.twitter.com/LucyLuCarroll", "LucyLuCarroll")</f>
        <v>LucyLuCarroll</v>
      </c>
      <c r="B32419" s="65" t="s">
        <v>138</v>
      </c>
    </row>
    <row r="32420" spans="1:2" x14ac:dyDescent="0.25">
      <c r="A32420" s="64" t="str">
        <f>HYPERLINK("http://www.twitter.com/WHSLionsLibrary", "WHSLionsLibrary")</f>
        <v>WHSLionsLibrary</v>
      </c>
      <c r="B32420" s="65" t="s">
        <v>12803</v>
      </c>
    </row>
    <row r="32421" spans="1:2" x14ac:dyDescent="0.25">
      <c r="A32421" s="64" t="str">
        <f>HYPERLINK("http://www.twitter.com/grenouilleml", "grenouilleml")</f>
        <v>grenouilleml</v>
      </c>
      <c r="B32421" s="65" t="s">
        <v>12804</v>
      </c>
    </row>
    <row r="32422" spans="1:2" x14ac:dyDescent="0.25">
      <c r="A32422" s="64" t="str">
        <f>HYPERLINK("http://www.twitter.com/suechris", "suechris")</f>
        <v>suechris</v>
      </c>
      <c r="B32422" s="65"/>
    </row>
    <row r="32423" spans="1:2" x14ac:dyDescent="0.25">
      <c r="A32423" s="64" t="str">
        <f>HYPERLINK("http://www.twitter.com/edward_jewell", "edward_jewell")</f>
        <v>edward_jewell</v>
      </c>
      <c r="B32423" s="65" t="s">
        <v>1195</v>
      </c>
    </row>
    <row r="32424" spans="1:2" x14ac:dyDescent="0.25">
      <c r="A32424" s="64" t="str">
        <f>HYPERLINK("http://www.twitter.com/junglereds", "junglereds")</f>
        <v>junglereds</v>
      </c>
      <c r="B32424" s="65" t="s">
        <v>4039</v>
      </c>
    </row>
    <row r="32425" spans="1:2" x14ac:dyDescent="0.25">
      <c r="A32425" s="64" t="str">
        <f>HYPERLINK("http://www.twitter.com/Valskelton", "Valskelton")</f>
        <v>Valskelton</v>
      </c>
      <c r="B32425" s="65" t="s">
        <v>198</v>
      </c>
    </row>
    <row r="32426" spans="1:2" x14ac:dyDescent="0.25">
      <c r="A32426" s="64" t="str">
        <f>HYPERLINK("http://www.twitter.com/LariDonWriter", "LariDonWriter")</f>
        <v>LariDonWriter</v>
      </c>
      <c r="B32426" s="65" t="s">
        <v>487</v>
      </c>
    </row>
    <row r="32427" spans="1:2" x14ac:dyDescent="0.25">
      <c r="A32427" s="64" t="str">
        <f>HYPERLINK("http://www.twitter.com/mrs_trellis1", "mrs_trellis1")</f>
        <v>mrs_trellis1</v>
      </c>
      <c r="B32427" s="65" t="s">
        <v>2134</v>
      </c>
    </row>
    <row r="32428" spans="1:2" x14ac:dyDescent="0.25">
      <c r="A32428" s="64" t="str">
        <f>HYPERLINK("http://www.twitter.com/_JvO_", "_JvO_")</f>
        <v>_JvO_</v>
      </c>
      <c r="B32428" s="65" t="s">
        <v>3894</v>
      </c>
    </row>
    <row r="32429" spans="1:2" x14ac:dyDescent="0.25">
      <c r="A32429" s="64" t="str">
        <f>HYPERLINK("http://www.twitter.com/IwasGobby", "IwasGobby")</f>
        <v>IwasGobby</v>
      </c>
      <c r="B32429" s="65" t="s">
        <v>12805</v>
      </c>
    </row>
    <row r="32430" spans="1:2" x14ac:dyDescent="0.25">
      <c r="A32430" s="64" t="str">
        <f>HYPERLINK("http://www.twitter.com/AngelaPateman", "AngelaPateman")</f>
        <v>AngelaPateman</v>
      </c>
      <c r="B32430" s="65" t="s">
        <v>296</v>
      </c>
    </row>
    <row r="32431" spans="1:2" x14ac:dyDescent="0.25">
      <c r="A32431" s="64" t="str">
        <f>HYPERLINK("http://www.twitter.com/Deludedb", "Deludedb")</f>
        <v>Deludedb</v>
      </c>
      <c r="B32431" s="65"/>
    </row>
    <row r="32432" spans="1:2" x14ac:dyDescent="0.25">
      <c r="A32432" s="64" t="str">
        <f>HYPERLINK("http://www.twitter.com/andreamaven", "andreamaven")</f>
        <v>andreamaven</v>
      </c>
      <c r="B32432" s="65" t="s">
        <v>36</v>
      </c>
    </row>
    <row r="32433" spans="1:2" x14ac:dyDescent="0.25">
      <c r="A32433" s="64" t="str">
        <f>HYPERLINK("http://www.twitter.com/bonkers4books", "bonkers4books")</f>
        <v>bonkers4books</v>
      </c>
      <c r="B32433" s="65" t="s">
        <v>1490</v>
      </c>
    </row>
    <row r="32434" spans="1:2" x14ac:dyDescent="0.25">
      <c r="A32434" s="64" t="str">
        <f>HYPERLINK("http://www.twitter.com/tss502", "tss502")</f>
        <v>tss502</v>
      </c>
      <c r="B32434" s="65" t="s">
        <v>1218</v>
      </c>
    </row>
    <row r="32435" spans="1:2" x14ac:dyDescent="0.25">
      <c r="A32435" s="64" t="str">
        <f>HYPERLINK("http://www.twitter.com/_unhurt_", "_unhurt_")</f>
        <v>_unhurt_</v>
      </c>
      <c r="B32435" s="65" t="s">
        <v>12806</v>
      </c>
    </row>
    <row r="32436" spans="1:2" x14ac:dyDescent="0.25">
      <c r="A32436" s="64" t="str">
        <f>HYPERLINK("http://www.twitter.com/Katie_JH", "Katie_JH")</f>
        <v>Katie_JH</v>
      </c>
      <c r="B32436" s="65" t="s">
        <v>1046</v>
      </c>
    </row>
    <row r="32437" spans="1:2" x14ac:dyDescent="0.25">
      <c r="A32437" s="64" t="str">
        <f>HYPERLINK("http://www.twitter.com/phyllisashburn", "phyllisashburn")</f>
        <v>phyllisashburn</v>
      </c>
      <c r="B32437" s="65" t="s">
        <v>12807</v>
      </c>
    </row>
    <row r="32438" spans="1:2" x14ac:dyDescent="0.25">
      <c r="A32438" s="64" t="str">
        <f>HYPERLINK("http://www.twitter.com/timothycbaker", "timothycbaker")</f>
        <v>timothycbaker</v>
      </c>
      <c r="B32438" s="65" t="s">
        <v>808</v>
      </c>
    </row>
    <row r="32439" spans="1:2" x14ac:dyDescent="0.25">
      <c r="A32439" s="64" t="str">
        <f>HYPERLINK("http://www.twitter.com/ButeLibrary", "ButeLibrary")</f>
        <v>ButeLibrary</v>
      </c>
      <c r="B32439" s="65" t="s">
        <v>427</v>
      </c>
    </row>
    <row r="32440" spans="1:2" x14ac:dyDescent="0.25">
      <c r="A32440" s="64" t="str">
        <f>HYPERLINK("http://www.twitter.com/colinb_nd", "colinb_nd")</f>
        <v>colinb_nd</v>
      </c>
      <c r="B32440" s="65" t="s">
        <v>1218</v>
      </c>
    </row>
    <row r="32441" spans="1:2" x14ac:dyDescent="0.25">
      <c r="A32441" s="64" t="str">
        <f>HYPERLINK("http://www.twitter.com/calonyction", "calonyction")</f>
        <v>calonyction</v>
      </c>
      <c r="B32441" s="65" t="s">
        <v>12808</v>
      </c>
    </row>
    <row r="32442" spans="1:2" x14ac:dyDescent="0.25">
      <c r="A32442" s="64" t="str">
        <f>HYPERLINK("http://www.twitter.com/Macker84", "Macker84")</f>
        <v>Macker84</v>
      </c>
      <c r="B32442" s="65"/>
    </row>
    <row r="32443" spans="1:2" x14ac:dyDescent="0.25">
      <c r="A32443" s="64" t="str">
        <f>HYPERLINK("http://www.twitter.com/hull_libraries", "hull_libraries")</f>
        <v>hull_libraries</v>
      </c>
      <c r="B32443" s="65" t="s">
        <v>85</v>
      </c>
    </row>
    <row r="32444" spans="1:2" x14ac:dyDescent="0.25">
      <c r="A32444" s="64" t="str">
        <f>HYPERLINK("http://www.twitter.com/IBBYUK", "IBBYUK")</f>
        <v>IBBYUK</v>
      </c>
      <c r="B32444" s="65" t="s">
        <v>296</v>
      </c>
    </row>
    <row r="32445" spans="1:2" x14ac:dyDescent="0.25">
      <c r="A32445" s="64" t="str">
        <f>HYPERLINK("http://www.twitter.com/problem_chimp", "problem_chimp")</f>
        <v>problem_chimp</v>
      </c>
      <c r="B32445" s="65" t="s">
        <v>12809</v>
      </c>
    </row>
    <row r="32446" spans="1:2" x14ac:dyDescent="0.25">
      <c r="A32446" s="64" t="str">
        <f>HYPERLINK("http://www.twitter.com/carloscacj", "carloscacj")</f>
        <v>carloscacj</v>
      </c>
      <c r="B32446" s="65"/>
    </row>
    <row r="32447" spans="1:2" x14ac:dyDescent="0.25">
      <c r="A32447" s="64" t="str">
        <f>HYPERLINK("http://www.twitter.com/bestdeadends", "bestdeadends")</f>
        <v>bestdeadends</v>
      </c>
      <c r="B32447" s="65" t="s">
        <v>12810</v>
      </c>
    </row>
    <row r="32448" spans="1:2" x14ac:dyDescent="0.25">
      <c r="A32448" s="64" t="str">
        <f>HYPERLINK("http://www.twitter.com/antigonegirl500", "antigonegirl500")</f>
        <v>antigonegirl500</v>
      </c>
      <c r="B32448" s="65" t="s">
        <v>12811</v>
      </c>
    </row>
    <row r="32449" spans="1:2" x14ac:dyDescent="0.25">
      <c r="A32449" s="64" t="str">
        <f>HYPERLINK("http://www.twitter.com/GiovanniFindgir", "GiovanniFindgir")</f>
        <v>GiovanniFindgir</v>
      </c>
      <c r="B32449" s="65"/>
    </row>
    <row r="32450" spans="1:2" x14ac:dyDescent="0.25">
      <c r="A32450" s="64" t="str">
        <f>HYPERLINK("http://www.twitter.com/BloodyScotland", "BloodyScotland")</f>
        <v>BloodyScotland</v>
      </c>
      <c r="B32450" s="65" t="s">
        <v>3875</v>
      </c>
    </row>
    <row r="32451" spans="1:2" x14ac:dyDescent="0.25">
      <c r="A32451" s="64" t="str">
        <f>HYPERLINK("http://www.twitter.com/sophialangmead", "sophialangmead")</f>
        <v>sophialangmead</v>
      </c>
      <c r="B32451" s="65" t="s">
        <v>36</v>
      </c>
    </row>
    <row r="32452" spans="1:2" x14ac:dyDescent="0.25">
      <c r="A32452" s="64" t="str">
        <f>HYPERLINK("http://www.twitter.com/OxfordTheses", "OxfordTheses")</f>
        <v>OxfordTheses</v>
      </c>
      <c r="B32452" s="65" t="s">
        <v>505</v>
      </c>
    </row>
    <row r="32453" spans="1:2" x14ac:dyDescent="0.25">
      <c r="A32453" s="64" t="str">
        <f>HYPERLINK("http://www.twitter.com/MagPegCom", "MagPegCom")</f>
        <v>MagPegCom</v>
      </c>
      <c r="B32453" s="65"/>
    </row>
    <row r="32454" spans="1:2" x14ac:dyDescent="0.25">
      <c r="A32454" s="64" t="str">
        <f>HYPERLINK("http://www.twitter.com/ERShields", "ERShields")</f>
        <v>ERShields</v>
      </c>
      <c r="B32454" s="65"/>
    </row>
    <row r="32455" spans="1:2" x14ac:dyDescent="0.25">
      <c r="A32455" s="64" t="str">
        <f>HYPERLINK("http://www.twitter.com/MoversforMoms", "MoversforMoms")</f>
        <v>MoversforMoms</v>
      </c>
      <c r="B32455" s="65" t="s">
        <v>4039</v>
      </c>
    </row>
    <row r="32456" spans="1:2" x14ac:dyDescent="0.25">
      <c r="A32456" s="64" t="str">
        <f>HYPERLINK("http://www.twitter.com/HungryShippo", "HungryShippo")</f>
        <v>HungryShippo</v>
      </c>
      <c r="B32456" s="65"/>
    </row>
    <row r="32457" spans="1:2" x14ac:dyDescent="0.25">
      <c r="A32457" s="64" t="str">
        <f>HYPERLINK("http://www.twitter.com/FionaMusk", "FionaMusk")</f>
        <v>FionaMusk</v>
      </c>
      <c r="B32457" s="65" t="s">
        <v>808</v>
      </c>
    </row>
    <row r="32458" spans="1:2" x14ac:dyDescent="0.25">
      <c r="A32458" s="64" t="str">
        <f>HYPERLINK("http://www.twitter.com/dmndkng", "dmndkng")</f>
        <v>dmndkng</v>
      </c>
      <c r="B32458" s="65" t="s">
        <v>2805</v>
      </c>
    </row>
    <row r="32459" spans="1:2" x14ac:dyDescent="0.25">
      <c r="A32459" s="64" t="str">
        <f>HYPERLINK("http://www.twitter.com/libraryhaiku", "libraryhaiku")</f>
        <v>libraryhaiku</v>
      </c>
      <c r="B32459" s="65" t="s">
        <v>4678</v>
      </c>
    </row>
    <row r="32460" spans="1:2" x14ac:dyDescent="0.25">
      <c r="A32460" s="64" t="str">
        <f>HYPERLINK("http://www.twitter.com/AmyJHurst", "AmyJHurst")</f>
        <v>AmyJHurst</v>
      </c>
      <c r="B32460" s="65"/>
    </row>
    <row r="32461" spans="1:2" x14ac:dyDescent="0.25">
      <c r="A32461" s="64" t="str">
        <f>HYPERLINK("http://www.twitter.com/Kildonan2013", "Kildonan2013")</f>
        <v>Kildonan2013</v>
      </c>
      <c r="B32461" s="65" t="s">
        <v>6772</v>
      </c>
    </row>
    <row r="32462" spans="1:2" x14ac:dyDescent="0.25">
      <c r="A32462" s="64" t="str">
        <f>HYPERLINK("http://www.twitter.com/OriginalFaddy", "OriginalFaddy")</f>
        <v>OriginalFaddy</v>
      </c>
      <c r="B32462" s="65" t="s">
        <v>12812</v>
      </c>
    </row>
    <row r="32463" spans="1:2" x14ac:dyDescent="0.25">
      <c r="A32463" s="64" t="str">
        <f>HYPERLINK("http://www.twitter.com/trustnewart", "trustnewart")</f>
        <v>trustnewart</v>
      </c>
      <c r="B32463" s="65" t="s">
        <v>296</v>
      </c>
    </row>
    <row r="32464" spans="1:2" x14ac:dyDescent="0.25">
      <c r="A32464" s="64" t="str">
        <f>HYPERLINK("http://www.twitter.com/1954easy", "1954easy")</f>
        <v>1954easy</v>
      </c>
      <c r="B32464" s="65"/>
    </row>
    <row r="32465" spans="1:2" x14ac:dyDescent="0.25">
      <c r="A32465" s="64" t="str">
        <f>HYPERLINK("http://www.twitter.com/chaestrathie", "chaestrathie")</f>
        <v>chaestrathie</v>
      </c>
      <c r="B32465" s="65"/>
    </row>
    <row r="32466" spans="1:2" x14ac:dyDescent="0.25">
      <c r="A32466" s="64" t="str">
        <f>HYPERLINK("http://www.twitter.com/JohnDolanArt", "JohnDolanArt")</f>
        <v>JohnDolanArt</v>
      </c>
      <c r="B32466" s="65" t="s">
        <v>24</v>
      </c>
    </row>
    <row r="32467" spans="1:2" x14ac:dyDescent="0.25">
      <c r="A32467" s="64" t="str">
        <f>HYPERLINK("http://www.twitter.com/GresswellUK", "GresswellUK")</f>
        <v>GresswellUK</v>
      </c>
      <c r="B32467" s="65" t="s">
        <v>70</v>
      </c>
    </row>
    <row r="32468" spans="1:2" x14ac:dyDescent="0.25">
      <c r="A32468" s="64" t="str">
        <f>HYPERLINK("http://www.twitter.com/TheMrsQ", "TheMrsQ")</f>
        <v>TheMrsQ</v>
      </c>
      <c r="B32468" s="65" t="s">
        <v>5366</v>
      </c>
    </row>
    <row r="32469" spans="1:2" x14ac:dyDescent="0.25">
      <c r="A32469" s="64" t="str">
        <f>HYPERLINK("http://www.twitter.com/NBKTruth", "NBKTruth")</f>
        <v>NBKTruth</v>
      </c>
      <c r="B32469" s="65"/>
    </row>
    <row r="32470" spans="1:2" x14ac:dyDescent="0.25">
      <c r="A32470" s="64" t="str">
        <f>HYPERLINK("http://www.twitter.com/_gmh_", "_gmh_")</f>
        <v>_gmh_</v>
      </c>
      <c r="B32470" s="65" t="s">
        <v>36</v>
      </c>
    </row>
    <row r="32471" spans="1:2" x14ac:dyDescent="0.25">
      <c r="A32471" s="64" t="str">
        <f>HYPERLINK("http://www.twitter.com/ukgenealogynet", "ukgenealogynet")</f>
        <v>ukgenealogynet</v>
      </c>
      <c r="B32471" s="65" t="s">
        <v>70</v>
      </c>
    </row>
    <row r="32472" spans="1:2" x14ac:dyDescent="0.25">
      <c r="A32472" s="64" t="str">
        <f>HYPERLINK("http://www.twitter.com/litandphil", "litandphil")</f>
        <v>litandphil</v>
      </c>
      <c r="B32472" s="65" t="s">
        <v>169</v>
      </c>
    </row>
    <row r="32473" spans="1:2" x14ac:dyDescent="0.25">
      <c r="A32473" s="64" t="str">
        <f>HYPERLINK("http://www.twitter.com/AnniePomeroy", "AnniePomeroy")</f>
        <v>AnniePomeroy</v>
      </c>
      <c r="B32473" s="65" t="s">
        <v>12813</v>
      </c>
    </row>
    <row r="32474" spans="1:2" x14ac:dyDescent="0.25">
      <c r="A32474" s="64" t="str">
        <f>HYPERLINK("http://www.twitter.com/OuchLibrarian", "OuchLibrarian")</f>
        <v>OuchLibrarian</v>
      </c>
      <c r="B32474" s="65" t="s">
        <v>4366</v>
      </c>
    </row>
    <row r="32475" spans="1:2" x14ac:dyDescent="0.25">
      <c r="A32475" s="64" t="str">
        <f>HYPERLINK("http://www.twitter.com/lordb1111", "lordb1111")</f>
        <v>lordb1111</v>
      </c>
      <c r="B32475" s="65" t="s">
        <v>7448</v>
      </c>
    </row>
    <row r="32476" spans="1:2" x14ac:dyDescent="0.25">
      <c r="A32476" s="64" t="str">
        <f>HYPERLINK("http://www.twitter.com/RachelHales1", "RachelHales1")</f>
        <v>RachelHales1</v>
      </c>
      <c r="B32476" s="65" t="s">
        <v>10902</v>
      </c>
    </row>
    <row r="32477" spans="1:2" x14ac:dyDescent="0.25">
      <c r="A32477" s="64" t="str">
        <f>HYPERLINK("http://www.twitter.com/Falconsnest_iom", "Falconsnest_iom")</f>
        <v>Falconsnest_iom</v>
      </c>
      <c r="B32477" s="65" t="s">
        <v>12814</v>
      </c>
    </row>
    <row r="32478" spans="1:2" x14ac:dyDescent="0.25">
      <c r="A32478" s="64" t="str">
        <f>HYPERLINK("http://www.twitter.com/Emily__Mason", "Emily__Mason")</f>
        <v>Emily__Mason</v>
      </c>
      <c r="B32478" s="65" t="s">
        <v>5166</v>
      </c>
    </row>
    <row r="32479" spans="1:2" x14ac:dyDescent="0.25">
      <c r="A32479" s="64" t="str">
        <f>HYPERLINK("http://www.twitter.com/Sharrij658", "Sharrij658")</f>
        <v>Sharrij658</v>
      </c>
      <c r="B32479" s="65" t="s">
        <v>3905</v>
      </c>
    </row>
    <row r="32480" spans="1:2" x14ac:dyDescent="0.25">
      <c r="A32480" s="64" t="str">
        <f>HYPERLINK("http://www.twitter.com/Tansy_sMum", "Tansy_sMum")</f>
        <v>Tansy_sMum</v>
      </c>
      <c r="B32480" s="65"/>
    </row>
    <row r="32481" spans="1:2" x14ac:dyDescent="0.25">
      <c r="A32481" s="64" t="str">
        <f>HYPERLINK("http://www.twitter.com/anniegray202", "anniegray202")</f>
        <v>anniegray202</v>
      </c>
      <c r="B32481" s="65" t="s">
        <v>12413</v>
      </c>
    </row>
    <row r="32482" spans="1:2" x14ac:dyDescent="0.25">
      <c r="A32482" s="64" t="str">
        <f>HYPERLINK("http://www.twitter.com/nicklebygirl", "nicklebygirl")</f>
        <v>nicklebygirl</v>
      </c>
      <c r="B32482" s="65" t="s">
        <v>296</v>
      </c>
    </row>
    <row r="32483" spans="1:2" x14ac:dyDescent="0.25">
      <c r="A32483" s="64" t="str">
        <f>HYPERLINK("http://www.twitter.com/sallyosborn", "sallyosborn")</f>
        <v>sallyosborn</v>
      </c>
      <c r="B32483" s="65" t="s">
        <v>12815</v>
      </c>
    </row>
    <row r="32484" spans="1:2" x14ac:dyDescent="0.25">
      <c r="A32484" s="64" t="str">
        <f>HYPERLINK("http://www.twitter.com/pgchamberlin", "pgchamberlin")</f>
        <v>pgchamberlin</v>
      </c>
      <c r="B32484" s="65" t="s">
        <v>36</v>
      </c>
    </row>
    <row r="32485" spans="1:2" x14ac:dyDescent="0.25">
      <c r="A32485" s="64" t="str">
        <f>HYPERLINK("http://www.twitter.com/robinbogg", "robinbogg")</f>
        <v>robinbogg</v>
      </c>
      <c r="B32485" s="65" t="s">
        <v>12816</v>
      </c>
    </row>
    <row r="32486" spans="1:2" x14ac:dyDescent="0.25">
      <c r="A32486" s="64" t="str">
        <f>HYPERLINK("http://www.twitter.com/EDINBURGHSTUDY", "EDINBURGHSTUDY")</f>
        <v>EDINBURGHSTUDY</v>
      </c>
      <c r="B32486" s="65" t="s">
        <v>24</v>
      </c>
    </row>
    <row r="32487" spans="1:2" x14ac:dyDescent="0.25">
      <c r="A32487" s="64" t="str">
        <f>HYPERLINK("http://www.twitter.com/MrsW4", "MrsW4")</f>
        <v>MrsW4</v>
      </c>
      <c r="B32487" s="65" t="s">
        <v>12817</v>
      </c>
    </row>
    <row r="32488" spans="1:2" x14ac:dyDescent="0.25">
      <c r="A32488" s="64" t="str">
        <f>HYPERLINK("http://www.twitter.com/TheUKRED", "TheUKRED")</f>
        <v>TheUKRED</v>
      </c>
      <c r="B32488" s="65" t="s">
        <v>64</v>
      </c>
    </row>
    <row r="32489" spans="1:2" x14ac:dyDescent="0.25">
      <c r="A32489" s="64" t="str">
        <f>HYPERLINK("http://www.twitter.com/Wolfseule", "Wolfseule")</f>
        <v>Wolfseule</v>
      </c>
      <c r="B32489" s="65" t="s">
        <v>5049</v>
      </c>
    </row>
    <row r="32490" spans="1:2" x14ac:dyDescent="0.25">
      <c r="A32490" s="64" t="str">
        <f>HYPERLINK("http://www.twitter.com/UnionLearning", "UnionLearning")</f>
        <v>UnionLearning</v>
      </c>
      <c r="B32490" s="65" t="s">
        <v>517</v>
      </c>
    </row>
    <row r="32491" spans="1:2" x14ac:dyDescent="0.25">
      <c r="A32491" s="64" t="str">
        <f>HYPERLINK("http://www.twitter.com/WaterstonesTCR", "WaterstonesTCR")</f>
        <v>WaterstonesTCR</v>
      </c>
      <c r="B32491" s="65" t="s">
        <v>12818</v>
      </c>
    </row>
    <row r="32492" spans="1:2" x14ac:dyDescent="0.25">
      <c r="A32492" s="64" t="str">
        <f>HYPERLINK("http://www.twitter.com/kari_di", "kari_di")</f>
        <v>kari_di</v>
      </c>
      <c r="B32492" s="65" t="s">
        <v>24</v>
      </c>
    </row>
    <row r="32493" spans="1:2" x14ac:dyDescent="0.25">
      <c r="A32493" s="64" t="str">
        <f>HYPERLINK("http://www.twitter.com/gacairns", "gacairns")</f>
        <v>gacairns</v>
      </c>
      <c r="B32493" s="65"/>
    </row>
    <row r="32494" spans="1:2" x14ac:dyDescent="0.25">
      <c r="A32494" s="64" t="str">
        <f>HYPERLINK("http://www.twitter.com/hdotkennedy", "hdotkennedy")</f>
        <v>hdotkennedy</v>
      </c>
      <c r="B32494" s="65" t="s">
        <v>4501</v>
      </c>
    </row>
    <row r="32495" spans="1:2" x14ac:dyDescent="0.25">
      <c r="A32495" s="64" t="str">
        <f>HYPERLINK("http://www.twitter.com/MxEmmaBen", "MxEmmaBen")</f>
        <v>MxEmmaBen</v>
      </c>
      <c r="B32495" s="65"/>
    </row>
    <row r="32496" spans="1:2" x14ac:dyDescent="0.25">
      <c r="A32496" s="64" t="str">
        <f>HYPERLINK("http://www.twitter.com/AncestralStorie", "AncestralStorie")</f>
        <v>AncestralStorie</v>
      </c>
      <c r="B32496" s="65" t="s">
        <v>7677</v>
      </c>
    </row>
    <row r="32497" spans="1:2" x14ac:dyDescent="0.25">
      <c r="A32497" s="64" t="str">
        <f>HYPERLINK("http://www.twitter.com/Omar_Gamal_85", "Omar_Gamal_85")</f>
        <v>Omar_Gamal_85</v>
      </c>
      <c r="B32497" s="65" t="s">
        <v>12819</v>
      </c>
    </row>
    <row r="32498" spans="1:2" x14ac:dyDescent="0.25">
      <c r="A32498" s="64" t="str">
        <f>HYPERLINK("http://www.twitter.com/Tomokox70", "Tomokox70")</f>
        <v>Tomokox70</v>
      </c>
      <c r="B32498" s="65" t="s">
        <v>12820</v>
      </c>
    </row>
    <row r="32499" spans="1:2" x14ac:dyDescent="0.25">
      <c r="A32499" s="64" t="str">
        <f>HYPERLINK("http://www.twitter.com/MediaLink01", "MediaLink01")</f>
        <v>MediaLink01</v>
      </c>
      <c r="B32499" s="65" t="s">
        <v>296</v>
      </c>
    </row>
    <row r="32500" spans="1:2" x14ac:dyDescent="0.25">
      <c r="A32500" s="64" t="str">
        <f>HYPERLINK("http://www.twitter.com/UKParlArchives", "UKParlArchives")</f>
        <v>UKParlArchives</v>
      </c>
      <c r="B32500" s="65" t="s">
        <v>12821</v>
      </c>
    </row>
    <row r="32501" spans="1:2" x14ac:dyDescent="0.25">
      <c r="A32501" s="64" t="str">
        <f>HYPERLINK("http://www.twitter.com/WendyMcN", "WendyMcN")</f>
        <v>WendyMcN</v>
      </c>
      <c r="B32501" s="65"/>
    </row>
    <row r="32502" spans="1:2" x14ac:dyDescent="0.25">
      <c r="A32502" s="64" t="str">
        <f>HYPERLINK("http://www.twitter.com/gregbepper", "gregbepper")</f>
        <v>gregbepper</v>
      </c>
      <c r="B32502" s="65" t="s">
        <v>12822</v>
      </c>
    </row>
    <row r="32503" spans="1:2" x14ac:dyDescent="0.25">
      <c r="A32503" s="64" t="str">
        <f>HYPERLINK("http://www.twitter.com/Glasgow_Badges", "Glasgow_Badges")</f>
        <v>Glasgow_Badges</v>
      </c>
      <c r="B32503" s="65" t="s">
        <v>138</v>
      </c>
    </row>
    <row r="32504" spans="1:2" x14ac:dyDescent="0.25">
      <c r="A32504" s="64" t="str">
        <f>HYPERLINK("http://www.twitter.com/ToonLibraries", "ToonLibraries")</f>
        <v>ToonLibraries</v>
      </c>
      <c r="B32504" s="65" t="s">
        <v>96</v>
      </c>
    </row>
    <row r="32505" spans="1:2" x14ac:dyDescent="0.25">
      <c r="A32505" s="64" t="str">
        <f>HYPERLINK("http://www.twitter.com/toiletrollart", "toiletrollart")</f>
        <v>toiletrollart</v>
      </c>
      <c r="B32505" s="65" t="s">
        <v>1479</v>
      </c>
    </row>
    <row r="32506" spans="1:2" x14ac:dyDescent="0.25">
      <c r="A32506" s="64" t="str">
        <f>HYPERLINK("http://www.twitter.com/deJayaGalloway", "deJayaGalloway")</f>
        <v>deJayaGalloway</v>
      </c>
      <c r="B32506" s="65" t="s">
        <v>12823</v>
      </c>
    </row>
    <row r="32507" spans="1:2" x14ac:dyDescent="0.25">
      <c r="A32507" s="64" t="str">
        <f>HYPERLINK("http://www.twitter.com/stilgherrian", "stilgherrian")</f>
        <v>stilgherrian</v>
      </c>
      <c r="B32507" s="65" t="s">
        <v>12824</v>
      </c>
    </row>
    <row r="32508" spans="1:2" x14ac:dyDescent="0.25">
      <c r="A32508" s="64" t="str">
        <f>HYPERLINK("http://www.twitter.com/Mary_Shelley", "Mary_Shelley")</f>
        <v>Mary_Shelley</v>
      </c>
      <c r="B32508" s="65" t="s">
        <v>3988</v>
      </c>
    </row>
    <row r="32509" spans="1:2" x14ac:dyDescent="0.25">
      <c r="A32509" s="64" t="str">
        <f>HYPERLINK("http://www.twitter.com/Leabhair_S", "Leabhair_S")</f>
        <v>Leabhair_S</v>
      </c>
      <c r="B32509" s="65" t="s">
        <v>12825</v>
      </c>
    </row>
    <row r="32510" spans="1:2" x14ac:dyDescent="0.25">
      <c r="A32510" s="64" t="str">
        <f>HYPERLINK("http://www.twitter.com/monkeysjumper", "monkeysjumper")</f>
        <v>monkeysjumper</v>
      </c>
      <c r="B32510" s="65" t="s">
        <v>12826</v>
      </c>
    </row>
    <row r="32511" spans="1:2" x14ac:dyDescent="0.25">
      <c r="A32511" s="64" t="str">
        <f>HYPERLINK("http://www.twitter.com/sallyknight7", "sallyknight7")</f>
        <v>sallyknight7</v>
      </c>
      <c r="B32511" s="65" t="s">
        <v>11566</v>
      </c>
    </row>
    <row r="32512" spans="1:2" x14ac:dyDescent="0.25">
      <c r="A32512" s="64" t="str">
        <f>HYPERLINK("http://www.twitter.com/CameronFOIADP", "CameronFOIADP")</f>
        <v>CameronFOIADP</v>
      </c>
      <c r="B32512" s="65"/>
    </row>
    <row r="32513" spans="1:2" x14ac:dyDescent="0.25">
      <c r="A32513" s="64" t="str">
        <f>HYPERLINK("http://www.twitter.com/CliveIceland", "CliveIceland")</f>
        <v>CliveIceland</v>
      </c>
      <c r="B32513" s="65" t="s">
        <v>310</v>
      </c>
    </row>
    <row r="32514" spans="1:2" x14ac:dyDescent="0.25">
      <c r="A32514" s="64" t="str">
        <f>HYPERLINK("http://www.twitter.com/Chewbanana", "Chewbanana")</f>
        <v>Chewbanana</v>
      </c>
      <c r="B32514" s="65" t="s">
        <v>4537</v>
      </c>
    </row>
    <row r="32515" spans="1:2" x14ac:dyDescent="0.25">
      <c r="A32515" s="64" t="str">
        <f>HYPERLINK("http://www.twitter.com/EddMcCracken", "EddMcCracken")</f>
        <v>EddMcCracken</v>
      </c>
      <c r="B32515" s="65" t="s">
        <v>24</v>
      </c>
    </row>
    <row r="32516" spans="1:2" x14ac:dyDescent="0.25">
      <c r="A32516" s="64" t="str">
        <f>HYPERLINK("http://www.twitter.com/DoncBookAward", "DoncBookAward")</f>
        <v>DoncBookAward</v>
      </c>
      <c r="B32516" s="65" t="s">
        <v>5943</v>
      </c>
    </row>
    <row r="32517" spans="1:2" x14ac:dyDescent="0.25">
      <c r="A32517" s="64" t="str">
        <f>HYPERLINK("http://www.twitter.com/laviniasinclair", "laviniasinclair")</f>
        <v>laviniasinclair</v>
      </c>
      <c r="B32517" s="65" t="s">
        <v>20</v>
      </c>
    </row>
    <row r="32518" spans="1:2" x14ac:dyDescent="0.25">
      <c r="A32518" s="64" t="str">
        <f>HYPERLINK("http://www.twitter.com/jainw", "jainw")</f>
        <v>jainw</v>
      </c>
      <c r="B32518" s="65" t="s">
        <v>4464</v>
      </c>
    </row>
    <row r="32519" spans="1:2" x14ac:dyDescent="0.25">
      <c r="A32519" s="64" t="str">
        <f>HYPERLINK("http://www.twitter.com/CrazyColinMagic", "CrazyColinMagic")</f>
        <v>CrazyColinMagic</v>
      </c>
      <c r="B32519" s="65" t="s">
        <v>3781</v>
      </c>
    </row>
    <row r="32520" spans="1:2" x14ac:dyDescent="0.25">
      <c r="A32520" s="64" t="str">
        <f>HYPERLINK("http://www.twitter.com/rmeynell", "rmeynell")</f>
        <v>rmeynell</v>
      </c>
      <c r="B32520" s="65"/>
    </row>
    <row r="32521" spans="1:2" x14ac:dyDescent="0.25">
      <c r="A32521" s="64" t="str">
        <f>HYPERLINK("http://www.twitter.com/NeilGrayMP", "NeilGrayMP")</f>
        <v>NeilGrayMP</v>
      </c>
      <c r="B32521" s="65"/>
    </row>
    <row r="32522" spans="1:2" x14ac:dyDescent="0.25">
      <c r="A32522" s="64" t="str">
        <f>HYPERLINK("http://www.twitter.com/Millforamorgue", "Millforamorgue")</f>
        <v>Millforamorgue</v>
      </c>
      <c r="B32522" s="65" t="s">
        <v>1482</v>
      </c>
    </row>
    <row r="32523" spans="1:2" x14ac:dyDescent="0.25">
      <c r="A32523" s="64" t="str">
        <f>HYPERLINK("http://www.twitter.com/66usual", "66usual")</f>
        <v>66usual</v>
      </c>
      <c r="B32523" s="65" t="s">
        <v>9623</v>
      </c>
    </row>
    <row r="32524" spans="1:2" x14ac:dyDescent="0.25">
      <c r="A32524" s="64" t="str">
        <f>HYPERLINK("http://www.twitter.com/JuneYoung3", "JuneYoung3")</f>
        <v>JuneYoung3</v>
      </c>
      <c r="B32524" s="65"/>
    </row>
    <row r="32525" spans="1:2" x14ac:dyDescent="0.25">
      <c r="A32525" s="64" t="str">
        <f>HYPERLINK("http://www.twitter.com/sianrosanna", "sianrosanna")</f>
        <v>sianrosanna</v>
      </c>
      <c r="B32525" s="65"/>
    </row>
    <row r="32526" spans="1:2" x14ac:dyDescent="0.25">
      <c r="A32526" s="64" t="str">
        <f>HYPERLINK("http://www.twitter.com/DawnJoghnston", "DawnJoghnston")</f>
        <v>DawnJoghnston</v>
      </c>
      <c r="B32526" s="65"/>
    </row>
    <row r="32527" spans="1:2" x14ac:dyDescent="0.25">
      <c r="A32527" s="64" t="str">
        <f>HYPERLINK("http://www.twitter.com/FionaRenfrew", "FionaRenfrew")</f>
        <v>FionaRenfrew</v>
      </c>
      <c r="B32527" s="65"/>
    </row>
    <row r="32528" spans="1:2" x14ac:dyDescent="0.25">
      <c r="A32528" s="64" t="str">
        <f>HYPERLINK("http://www.twitter.com/EricaTheatre", "EricaTheatre")</f>
        <v>EricaTheatre</v>
      </c>
      <c r="B32528" s="65" t="s">
        <v>70</v>
      </c>
    </row>
    <row r="32529" spans="1:2" x14ac:dyDescent="0.25">
      <c r="A32529" s="64" t="str">
        <f>HYPERLINK("http://www.twitter.com/macvie", "macvie")</f>
        <v>macvie</v>
      </c>
      <c r="B32529" s="65" t="s">
        <v>12827</v>
      </c>
    </row>
    <row r="32530" spans="1:2" x14ac:dyDescent="0.25">
      <c r="A32530" s="64" t="str">
        <f>HYPERLINK("http://www.twitter.com/seamusryan1", "seamusryan1")</f>
        <v>seamusryan1</v>
      </c>
      <c r="B32530" s="65" t="s">
        <v>8845</v>
      </c>
    </row>
    <row r="32531" spans="1:2" x14ac:dyDescent="0.25">
      <c r="A32531" s="64" t="str">
        <f>HYPERLINK("http://www.twitter.com/jenniwaugh", "jenniwaugh")</f>
        <v>jenniwaugh</v>
      </c>
      <c r="B32531" s="65" t="s">
        <v>12828</v>
      </c>
    </row>
    <row r="32532" spans="1:2" x14ac:dyDescent="0.25">
      <c r="A32532" s="64" t="str">
        <f>HYPERLINK("http://www.twitter.com/MayoLibrary", "MayoLibrary")</f>
        <v>MayoLibrary</v>
      </c>
      <c r="B32532" s="65" t="s">
        <v>12829</v>
      </c>
    </row>
    <row r="32533" spans="1:2" x14ac:dyDescent="0.25">
      <c r="A32533" s="64" t="str">
        <f>HYPERLINK("http://www.twitter.com/lauraarchives", "lauraarchives")</f>
        <v>lauraarchives</v>
      </c>
      <c r="B32533" s="65" t="s">
        <v>10916</v>
      </c>
    </row>
    <row r="32534" spans="1:2" x14ac:dyDescent="0.25">
      <c r="A32534" s="64" t="str">
        <f>HYPERLINK("http://www.twitter.com/cmsdistrict7", "cmsdistrict7")</f>
        <v>cmsdistrict7</v>
      </c>
      <c r="B32534" s="65"/>
    </row>
    <row r="32535" spans="1:2" x14ac:dyDescent="0.25">
      <c r="A32535" s="64" t="str">
        <f>HYPERLINK("http://www.twitter.com/ssearcey", "ssearcey")</f>
        <v>ssearcey</v>
      </c>
      <c r="B32535" s="65" t="s">
        <v>12830</v>
      </c>
    </row>
    <row r="32536" spans="1:2" x14ac:dyDescent="0.25">
      <c r="A32536" s="64" t="str">
        <f>HYPERLINK("http://www.twitter.com/HumbersPreserve", "HumbersPreserve")</f>
        <v>HumbersPreserve</v>
      </c>
      <c r="B32536" s="65" t="s">
        <v>12831</v>
      </c>
    </row>
    <row r="32537" spans="1:2" x14ac:dyDescent="0.25">
      <c r="A32537" s="64" t="str">
        <f>HYPERLINK("http://www.twitter.com/WilsWilson888", "WilsWilson888")</f>
        <v>WilsWilson888</v>
      </c>
      <c r="B32537" s="65"/>
    </row>
    <row r="32538" spans="1:2" x14ac:dyDescent="0.25">
      <c r="A32538" s="64" t="str">
        <f>HYPERLINK("http://www.twitter.com/jenniferbazar", "jenniferbazar")</f>
        <v>jenniferbazar</v>
      </c>
      <c r="B32538" s="65" t="s">
        <v>4678</v>
      </c>
    </row>
    <row r="32539" spans="1:2" x14ac:dyDescent="0.25">
      <c r="A32539" s="64" t="str">
        <f>HYPERLINK("http://www.twitter.com/dpiskulic", "dpiskulic")</f>
        <v>dpiskulic</v>
      </c>
      <c r="B32539" s="65" t="s">
        <v>4039</v>
      </c>
    </row>
    <row r="32540" spans="1:2" x14ac:dyDescent="0.25">
      <c r="A32540" s="64" t="str">
        <f>HYPERLINK("http://www.twitter.com/peskydancingkat", "peskydancingkat")</f>
        <v>peskydancingkat</v>
      </c>
      <c r="B32540" s="65" t="s">
        <v>12832</v>
      </c>
    </row>
    <row r="32541" spans="1:2" x14ac:dyDescent="0.25">
      <c r="A32541" s="64" t="str">
        <f>HYPERLINK("http://www.twitter.com/tishingtonplunk", "tishingtonplunk")</f>
        <v>tishingtonplunk</v>
      </c>
      <c r="B32541" s="65" t="s">
        <v>3785</v>
      </c>
    </row>
    <row r="32542" spans="1:2" x14ac:dyDescent="0.25">
      <c r="A32542" s="64" t="str">
        <f>HYPERLINK("http://www.twitter.com/isthisbioart", "isthisbioart")</f>
        <v>isthisbioart</v>
      </c>
      <c r="B32542" s="65"/>
    </row>
    <row r="32543" spans="1:2" x14ac:dyDescent="0.25">
      <c r="A32543" s="64" t="str">
        <f>HYPERLINK("http://www.twitter.com/iaehd", "iaehd")</f>
        <v>iaehd</v>
      </c>
      <c r="B32543" s="65"/>
    </row>
    <row r="32544" spans="1:2" x14ac:dyDescent="0.25">
      <c r="A32544" s="64" t="str">
        <f>HYPERLINK("http://www.twitter.com/DrTurkeymonster", "DrTurkeymonster")</f>
        <v>DrTurkeymonster</v>
      </c>
      <c r="B32544" s="65" t="s">
        <v>3785</v>
      </c>
    </row>
    <row r="32545" spans="1:2" x14ac:dyDescent="0.25">
      <c r="A32545" s="64" t="str">
        <f>HYPERLINK("http://www.twitter.com/culturepundits", "culturepundits")</f>
        <v>culturepundits</v>
      </c>
      <c r="B32545" s="65" t="s">
        <v>4145</v>
      </c>
    </row>
    <row r="32546" spans="1:2" x14ac:dyDescent="0.25">
      <c r="A32546" s="64" t="str">
        <f>HYPERLINK("http://www.twitter.com/megsinnott", "megsinnott")</f>
        <v>megsinnott</v>
      </c>
      <c r="B32546" s="65"/>
    </row>
    <row r="32547" spans="1:2" x14ac:dyDescent="0.25">
      <c r="A32547" s="64" t="str">
        <f>HYPERLINK("http://www.twitter.com/ulster_fry", "ulster_fry")</f>
        <v>ulster_fry</v>
      </c>
      <c r="B32547" s="65" t="s">
        <v>12833</v>
      </c>
    </row>
    <row r="32548" spans="1:2" x14ac:dyDescent="0.25">
      <c r="A32548" s="64" t="str">
        <f>HYPERLINK("http://www.twitter.com/BeauregardKnits", "BeauregardKnits")</f>
        <v>BeauregardKnits</v>
      </c>
      <c r="B32548" s="65" t="s">
        <v>7157</v>
      </c>
    </row>
    <row r="32549" spans="1:2" x14ac:dyDescent="0.25">
      <c r="A32549" s="64" t="str">
        <f>HYPERLINK("http://www.twitter.com/jaxmacb", "jaxmacb")</f>
        <v>jaxmacb</v>
      </c>
      <c r="B32549" s="65" t="s">
        <v>24</v>
      </c>
    </row>
    <row r="32550" spans="1:2" x14ac:dyDescent="0.25">
      <c r="A32550" s="64" t="str">
        <f>HYPERLINK("http://www.twitter.com/tim_ogrady", "tim_ogrady")</f>
        <v>tim_ogrady</v>
      </c>
      <c r="B32550" s="65" t="s">
        <v>12834</v>
      </c>
    </row>
    <row r="32551" spans="1:2" x14ac:dyDescent="0.25">
      <c r="A32551" s="64" t="str">
        <f>HYPERLINK("http://www.twitter.com/rogerlwhite", "rogerlwhite")</f>
        <v>rogerlwhite</v>
      </c>
      <c r="B32551" s="65" t="s">
        <v>569</v>
      </c>
    </row>
    <row r="32552" spans="1:2" x14ac:dyDescent="0.25">
      <c r="A32552" s="64" t="str">
        <f>HYPERLINK("http://www.twitter.com/m3kx", "m3kx")</f>
        <v>m3kx</v>
      </c>
      <c r="B32552" s="65" t="s">
        <v>4324</v>
      </c>
    </row>
    <row r="32553" spans="1:2" x14ac:dyDescent="0.25">
      <c r="A32553" s="64" t="str">
        <f>HYPERLINK("http://www.twitter.com/bookspeedKatie", "bookspeedKatie")</f>
        <v>bookspeedKatie</v>
      </c>
      <c r="B32553" s="65"/>
    </row>
    <row r="32554" spans="1:2" x14ac:dyDescent="0.25">
      <c r="A32554" s="64" t="str">
        <f>HYPERLINK("http://www.twitter.com/jodieohdoh", "jodieohdoh")</f>
        <v>jodieohdoh</v>
      </c>
      <c r="B32554" s="65"/>
    </row>
    <row r="32555" spans="1:2" x14ac:dyDescent="0.25">
      <c r="A32555" s="64" t="str">
        <f>HYPERLINK("http://www.twitter.com/EcosseMorris", "EcosseMorris")</f>
        <v>EcosseMorris</v>
      </c>
      <c r="B32555" s="65"/>
    </row>
    <row r="32556" spans="1:2" x14ac:dyDescent="0.25">
      <c r="A32556" s="64" t="str">
        <f>HYPERLINK("http://www.twitter.com/karlmeyer", "karlmeyer")</f>
        <v>karlmeyer</v>
      </c>
      <c r="B32556" s="65" t="s">
        <v>788</v>
      </c>
    </row>
    <row r="32557" spans="1:2" x14ac:dyDescent="0.25">
      <c r="A32557" s="64" t="str">
        <f>HYPERLINK("http://www.twitter.com/nicolagauld", "nicolagauld")</f>
        <v>nicolagauld</v>
      </c>
      <c r="B32557" s="65" t="s">
        <v>12835</v>
      </c>
    </row>
    <row r="32558" spans="1:2" x14ac:dyDescent="0.25">
      <c r="A32558" s="64" t="str">
        <f>HYPERLINK("http://www.twitter.com/CallHerAlaska", "CallHerAlaska")</f>
        <v>CallHerAlaska</v>
      </c>
      <c r="B32558" s="65" t="s">
        <v>12836</v>
      </c>
    </row>
    <row r="32559" spans="1:2" x14ac:dyDescent="0.25">
      <c r="A32559" s="64" t="str">
        <f>HYPERLINK("http://www.twitter.com/slinkyswimmer", "slinkyswimmer")</f>
        <v>slinkyswimmer</v>
      </c>
      <c r="B32559" s="65" t="s">
        <v>12837</v>
      </c>
    </row>
    <row r="32560" spans="1:2" x14ac:dyDescent="0.25">
      <c r="A32560" s="64" t="str">
        <f>HYPERLINK("http://www.twitter.com/IndianaHannah", "IndianaHannah")</f>
        <v>IndianaHannah</v>
      </c>
      <c r="B32560" s="65" t="s">
        <v>517</v>
      </c>
    </row>
    <row r="32561" spans="1:2" x14ac:dyDescent="0.25">
      <c r="A32561" s="64" t="str">
        <f>HYPERLINK("http://www.twitter.com/misswizzie", "misswizzie")</f>
        <v>misswizzie</v>
      </c>
      <c r="B32561" s="65" t="s">
        <v>2093</v>
      </c>
    </row>
    <row r="32562" spans="1:2" x14ac:dyDescent="0.25">
      <c r="A32562" s="64" t="str">
        <f>HYPERLINK("http://www.twitter.com/DeniseOSF", "DeniseOSF")</f>
        <v>DeniseOSF</v>
      </c>
      <c r="B32562" s="65" t="s">
        <v>4193</v>
      </c>
    </row>
    <row r="32563" spans="1:2" x14ac:dyDescent="0.25">
      <c r="A32563" s="64" t="str">
        <f>HYPERLINK("http://www.twitter.com/Abbiee_louiseee", "Abbiee_louiseee")</f>
        <v>Abbiee_louiseee</v>
      </c>
      <c r="B32563" s="65" t="s">
        <v>2595</v>
      </c>
    </row>
    <row r="32564" spans="1:2" x14ac:dyDescent="0.25">
      <c r="A32564" s="64" t="str">
        <f>HYPERLINK("http://www.twitter.com/morag_lindsay", "morag_lindsay")</f>
        <v>morag_lindsay</v>
      </c>
      <c r="B32564" s="65"/>
    </row>
    <row r="32565" spans="1:2" x14ac:dyDescent="0.25">
      <c r="A32565" s="64" t="str">
        <f>HYPERLINK("http://www.twitter.com/Macrobert", "Macrobert")</f>
        <v>Macrobert</v>
      </c>
      <c r="B32565" s="65" t="s">
        <v>3875</v>
      </c>
    </row>
    <row r="32566" spans="1:2" x14ac:dyDescent="0.25">
      <c r="A32566" s="64" t="str">
        <f>HYPERLINK("http://www.twitter.com/jonnynobooks", "jonnynobooks")</f>
        <v>jonnynobooks</v>
      </c>
      <c r="B32566" s="65"/>
    </row>
    <row r="32567" spans="1:2" x14ac:dyDescent="0.25">
      <c r="A32567" s="64" t="str">
        <f>HYPERLINK("http://www.twitter.com/katwhen", "katwhen")</f>
        <v>katwhen</v>
      </c>
      <c r="B32567" s="65" t="s">
        <v>70</v>
      </c>
    </row>
    <row r="32568" spans="1:2" x14ac:dyDescent="0.25">
      <c r="A32568" s="64" t="str">
        <f>HYPERLINK("http://www.twitter.com/Pindy", "Pindy")</f>
        <v>Pindy</v>
      </c>
      <c r="B32568" s="65" t="s">
        <v>4275</v>
      </c>
    </row>
    <row r="32569" spans="1:2" x14ac:dyDescent="0.25">
      <c r="A32569" s="64" t="str">
        <f>HYPERLINK("http://www.twitter.com/emmaking01", "emmaking01")</f>
        <v>emmaking01</v>
      </c>
      <c r="B32569" s="65" t="s">
        <v>4528</v>
      </c>
    </row>
    <row r="32570" spans="1:2" x14ac:dyDescent="0.25">
      <c r="A32570" s="64" t="str">
        <f>HYPERLINK("http://www.twitter.com/RossMc11", "RossMc11")</f>
        <v>RossMc11</v>
      </c>
      <c r="B32570" s="65" t="s">
        <v>138</v>
      </c>
    </row>
    <row r="32571" spans="1:2" x14ac:dyDescent="0.25">
      <c r="A32571" s="64" t="str">
        <f>HYPERLINK("http://www.twitter.com/caseymoonwatton", "caseymoonwatton")</f>
        <v>caseymoonwatton</v>
      </c>
      <c r="B32571" s="65" t="s">
        <v>3817</v>
      </c>
    </row>
    <row r="32572" spans="1:2" x14ac:dyDescent="0.25">
      <c r="A32572" s="64" t="str">
        <f>HYPERLINK("http://www.twitter.com/hazchem", "hazchem")</f>
        <v>hazchem</v>
      </c>
      <c r="B32572" s="65" t="s">
        <v>10606</v>
      </c>
    </row>
    <row r="32573" spans="1:2" x14ac:dyDescent="0.25">
      <c r="A32573" s="64" t="str">
        <f>HYPERLINK("http://www.twitter.com/ClumsyBeardy", "ClumsyBeardy")</f>
        <v>ClumsyBeardy</v>
      </c>
      <c r="B32573" s="65" t="s">
        <v>24</v>
      </c>
    </row>
    <row r="32574" spans="1:2" x14ac:dyDescent="0.25">
      <c r="A32574" s="64" t="str">
        <f>HYPERLINK("http://www.twitter.com/mainstreethare", "mainstreethare")</f>
        <v>mainstreethare</v>
      </c>
      <c r="B32574" s="65" t="s">
        <v>12838</v>
      </c>
    </row>
    <row r="32575" spans="1:2" x14ac:dyDescent="0.25">
      <c r="A32575" s="64" t="str">
        <f>HYPERLINK("http://www.twitter.com/_MattShaw", "_MattShaw")</f>
        <v>_MattShaw</v>
      </c>
      <c r="B32575" s="65" t="s">
        <v>12839</v>
      </c>
    </row>
    <row r="32576" spans="1:2" x14ac:dyDescent="0.25">
      <c r="A32576" s="64" t="str">
        <f>HYPERLINK("http://www.twitter.com/gwilymjjames", "gwilymjjames")</f>
        <v>gwilymjjames</v>
      </c>
      <c r="B32576" s="65" t="s">
        <v>3781</v>
      </c>
    </row>
    <row r="32577" spans="1:2" x14ac:dyDescent="0.25">
      <c r="A32577" s="64" t="str">
        <f>HYPERLINK("http://www.twitter.com/Yelofnitram", "Yelofnitram")</f>
        <v>Yelofnitram</v>
      </c>
      <c r="B32577" s="65" t="s">
        <v>296</v>
      </c>
    </row>
    <row r="32578" spans="1:2" x14ac:dyDescent="0.25">
      <c r="A32578" s="64" t="str">
        <f>HYPERLINK("http://www.twitter.com/arky72", "arky72")</f>
        <v>arky72</v>
      </c>
      <c r="B32578" s="65" t="s">
        <v>1490</v>
      </c>
    </row>
    <row r="32579" spans="1:2" x14ac:dyDescent="0.25">
      <c r="A32579" s="64" t="str">
        <f>HYPERLINK("http://www.twitter.com/RochdalelibCCB", "RochdalelibCCB")</f>
        <v>RochdalelibCCB</v>
      </c>
      <c r="B32579" s="65" t="s">
        <v>1669</v>
      </c>
    </row>
    <row r="32580" spans="1:2" x14ac:dyDescent="0.25">
      <c r="A32580" s="64" t="str">
        <f>HYPERLINK("http://www.twitter.com/pasteyh2g2", "pasteyh2g2")</f>
        <v>pasteyh2g2</v>
      </c>
      <c r="B32580" s="65" t="s">
        <v>33</v>
      </c>
    </row>
    <row r="32581" spans="1:2" x14ac:dyDescent="0.25">
      <c r="A32581" s="64" t="str">
        <f>HYPERLINK("http://www.twitter.com/valmcdermid", "valmcdermid")</f>
        <v>valmcdermid</v>
      </c>
      <c r="B32581" s="65"/>
    </row>
    <row r="32582" spans="1:2" x14ac:dyDescent="0.25">
      <c r="A32582" s="64" t="str">
        <f>HYPERLINK("http://www.twitter.com/knilib", "knilib")</f>
        <v>knilib</v>
      </c>
      <c r="B32582" s="65"/>
    </row>
    <row r="32583" spans="1:2" x14ac:dyDescent="0.25">
      <c r="A32583" s="64" t="str">
        <f>HYPERLINK("http://www.twitter.com/micronap", "micronap")</f>
        <v>micronap</v>
      </c>
      <c r="B32583" s="65"/>
    </row>
    <row r="32584" spans="1:2" x14ac:dyDescent="0.25">
      <c r="A32584" s="64" t="str">
        <f>HYPERLINK("http://www.twitter.com/cmotion", "cmotion")</f>
        <v>cmotion</v>
      </c>
      <c r="B32584" s="65"/>
    </row>
    <row r="32585" spans="1:2" x14ac:dyDescent="0.25">
      <c r="A32585" s="64" t="str">
        <f>HYPERLINK("http://www.twitter.com/chumleyandpepys", "chumleyandpepys")</f>
        <v>chumleyandpepys</v>
      </c>
      <c r="B32585" s="65" t="s">
        <v>12840</v>
      </c>
    </row>
    <row r="32586" spans="1:2" x14ac:dyDescent="0.25">
      <c r="A32586" s="64" t="str">
        <f>HYPERLINK("http://www.twitter.com/ikea4abz", "ikea4abz")</f>
        <v>ikea4abz</v>
      </c>
      <c r="B32586" s="65" t="s">
        <v>569</v>
      </c>
    </row>
    <row r="32587" spans="1:2" x14ac:dyDescent="0.25">
      <c r="A32587" s="64" t="str">
        <f>HYPERLINK("http://www.twitter.com/huntytowers", "huntytowers")</f>
        <v>huntytowers</v>
      </c>
      <c r="B32587" s="65" t="s">
        <v>318</v>
      </c>
    </row>
    <row r="32588" spans="1:2" x14ac:dyDescent="0.25">
      <c r="A32588" s="64" t="str">
        <f>HYPERLINK("http://www.twitter.com/MansionHouseEd", "MansionHouseEd")</f>
        <v>MansionHouseEd</v>
      </c>
      <c r="B32588" s="65" t="s">
        <v>12841</v>
      </c>
    </row>
    <row r="32589" spans="1:2" x14ac:dyDescent="0.25">
      <c r="A32589" s="64" t="str">
        <f>HYPERLINK("http://www.twitter.com/FrugalLibrarian", "FrugalLibrarian")</f>
        <v>FrugalLibrarian</v>
      </c>
      <c r="B32589" s="65"/>
    </row>
    <row r="32590" spans="1:2" x14ac:dyDescent="0.25">
      <c r="A32590" s="64" t="str">
        <f>HYPERLINK("http://www.twitter.com/tribagushp", "tribagushp")</f>
        <v>tribagushp</v>
      </c>
      <c r="B32590" s="65" t="s">
        <v>12842</v>
      </c>
    </row>
    <row r="32591" spans="1:2" x14ac:dyDescent="0.25">
      <c r="A32591" s="64" t="str">
        <f>HYPERLINK("http://www.twitter.com/VirAcademy", "VirAcademy")</f>
        <v>VirAcademy</v>
      </c>
      <c r="B32591" s="65" t="s">
        <v>12843</v>
      </c>
    </row>
    <row r="32592" spans="1:2" x14ac:dyDescent="0.25">
      <c r="A32592" s="64" t="str">
        <f>HYPERLINK("http://www.twitter.com/jiffer45", "jiffer45")</f>
        <v>jiffer45</v>
      </c>
      <c r="B32592" s="65" t="s">
        <v>12844</v>
      </c>
    </row>
    <row r="32593" spans="1:2" x14ac:dyDescent="0.25">
      <c r="A32593" s="64" t="str">
        <f>HYPERLINK("http://www.twitter.com/daydreamer_jan", "daydreamer_jan")</f>
        <v>daydreamer_jan</v>
      </c>
      <c r="B32593" s="65" t="s">
        <v>808</v>
      </c>
    </row>
    <row r="32594" spans="1:2" x14ac:dyDescent="0.25">
      <c r="A32594" s="64" t="str">
        <f>HYPERLINK("http://www.twitter.com/BHLibraries", "BHLibraries")</f>
        <v>BHLibraries</v>
      </c>
      <c r="B32594" s="65" t="s">
        <v>183</v>
      </c>
    </row>
    <row r="32595" spans="1:2" x14ac:dyDescent="0.25">
      <c r="A32595" s="64" t="str">
        <f>HYPERLINK("http://www.twitter.com/timlibrarian", "timlibrarian")</f>
        <v>timlibrarian</v>
      </c>
      <c r="B32595" s="65" t="s">
        <v>12845</v>
      </c>
    </row>
    <row r="32596" spans="1:2" x14ac:dyDescent="0.25">
      <c r="A32596" s="64" t="str">
        <f>HYPERLINK("http://www.twitter.com/FluffLeBoeuf", "FluffLeBoeuf")</f>
        <v>FluffLeBoeuf</v>
      </c>
      <c r="B32596" s="65"/>
    </row>
    <row r="32597" spans="1:2" x14ac:dyDescent="0.25">
      <c r="A32597" s="64" t="str">
        <f>HYPERLINK("http://www.twitter.com/SafeComUK", "SafeComUK")</f>
        <v>SafeComUK</v>
      </c>
      <c r="B32597" s="65" t="s">
        <v>7447</v>
      </c>
    </row>
    <row r="32598" spans="1:2" x14ac:dyDescent="0.25">
      <c r="A32598" s="64" t="str">
        <f>HYPERLINK("http://www.twitter.com/readitinbooks", "readitinbooks")</f>
        <v>readitinbooks</v>
      </c>
      <c r="B32598" s="65" t="s">
        <v>2913</v>
      </c>
    </row>
    <row r="32599" spans="1:2" x14ac:dyDescent="0.25">
      <c r="A32599" s="64" t="str">
        <f>HYPERLINK("http://www.twitter.com/hamadashehata1", "hamadashehata1")</f>
        <v>hamadashehata1</v>
      </c>
      <c r="B32599" s="65" t="s">
        <v>12846</v>
      </c>
    </row>
    <row r="32600" spans="1:2" x14ac:dyDescent="0.25">
      <c r="A32600" s="64" t="str">
        <f>HYPERLINK("http://www.twitter.com/Taigh_C", "Taigh_C")</f>
        <v>Taigh_C</v>
      </c>
      <c r="B32600" s="65" t="s">
        <v>12847</v>
      </c>
    </row>
    <row r="32601" spans="1:2" x14ac:dyDescent="0.25">
      <c r="A32601" s="64" t="str">
        <f>HYPERLINK("http://www.twitter.com/nobarcode", "nobarcode")</f>
        <v>nobarcode</v>
      </c>
      <c r="B32601" s="65" t="s">
        <v>8707</v>
      </c>
    </row>
    <row r="32602" spans="1:2" x14ac:dyDescent="0.25">
      <c r="A32602" s="64" t="str">
        <f>HYPERLINK("http://www.twitter.com/Simcapandy1", "Simcapandy1")</f>
        <v>Simcapandy1</v>
      </c>
      <c r="B32602" s="65"/>
    </row>
    <row r="32603" spans="1:2" x14ac:dyDescent="0.25">
      <c r="A32603" s="64" t="str">
        <f>HYPERLINK("http://www.twitter.com/Zorrah", "Zorrah")</f>
        <v>Zorrah</v>
      </c>
      <c r="B32603" s="65" t="s">
        <v>12848</v>
      </c>
    </row>
    <row r="32604" spans="1:2" x14ac:dyDescent="0.25">
      <c r="A32604" s="64" t="str">
        <f>HYPERLINK("http://www.twitter.com/witlibraries", "witlibraries")</f>
        <v>witlibraries</v>
      </c>
      <c r="B32604" s="65"/>
    </row>
    <row r="32605" spans="1:2" x14ac:dyDescent="0.25">
      <c r="A32605" s="64" t="str">
        <f>HYPERLINK("http://www.twitter.com/mhairi_m", "mhairi_m")</f>
        <v>mhairi_m</v>
      </c>
      <c r="B32605" s="65" t="s">
        <v>12849</v>
      </c>
    </row>
    <row r="32606" spans="1:2" x14ac:dyDescent="0.25">
      <c r="A32606" s="64" t="str">
        <f>HYPERLINK("http://www.twitter.com/BestLibrarianJP", "BestLibrarianJP")</f>
        <v>BestLibrarianJP</v>
      </c>
      <c r="B32606" s="65"/>
    </row>
    <row r="32607" spans="1:2" x14ac:dyDescent="0.25">
      <c r="A32607" s="64" t="str">
        <f>HYPERLINK("http://www.twitter.com/jonathanwakeham", "jonathanwakeham")</f>
        <v>jonathanwakeham</v>
      </c>
      <c r="B32607" s="65" t="s">
        <v>4862</v>
      </c>
    </row>
    <row r="32608" spans="1:2" x14ac:dyDescent="0.25">
      <c r="A32608" s="64" t="str">
        <f>HYPERLINK("http://www.twitter.com/libmcg", "libmcg")</f>
        <v>libmcg</v>
      </c>
      <c r="B32608" s="65"/>
    </row>
    <row r="32609" spans="1:2" x14ac:dyDescent="0.25">
      <c r="A32609" s="64" t="str">
        <f>HYPERLINK("http://www.twitter.com/WelshLibraries", "WelshLibraries")</f>
        <v>WelshLibraries</v>
      </c>
      <c r="B32609" s="65" t="s">
        <v>883</v>
      </c>
    </row>
    <row r="32610" spans="1:2" x14ac:dyDescent="0.25">
      <c r="A32610" s="64" t="str">
        <f>HYPERLINK("http://www.twitter.com/Dtechdirect", "Dtechdirect")</f>
        <v>Dtechdirect</v>
      </c>
      <c r="B32610" s="65" t="s">
        <v>296</v>
      </c>
    </row>
    <row r="32611" spans="1:2" x14ac:dyDescent="0.25">
      <c r="A32611" s="64" t="str">
        <f>HYPERLINK("http://www.twitter.com/atko1978", "atko1978")</f>
        <v>atko1978</v>
      </c>
      <c r="B32611" s="65" t="s">
        <v>7479</v>
      </c>
    </row>
    <row r="32612" spans="1:2" x14ac:dyDescent="0.25">
      <c r="A32612" s="64" t="str">
        <f>HYPERLINK("http://www.twitter.com/sphamilton", "sphamilton")</f>
        <v>sphamilton</v>
      </c>
      <c r="B32612" s="65" t="s">
        <v>12850</v>
      </c>
    </row>
    <row r="32613" spans="1:2" x14ac:dyDescent="0.25">
      <c r="A32613" s="64" t="str">
        <f>HYPERLINK("http://www.twitter.com/CathyMacphail", "CathyMacphail")</f>
        <v>CathyMacphail</v>
      </c>
      <c r="B32613" s="65" t="s">
        <v>613</v>
      </c>
    </row>
    <row r="32614" spans="1:2" x14ac:dyDescent="0.25">
      <c r="A32614" s="64" t="str">
        <f>HYPERLINK("http://www.twitter.com/thoughtcat", "thoughtcat")</f>
        <v>thoughtcat</v>
      </c>
      <c r="B32614" s="65" t="s">
        <v>7630</v>
      </c>
    </row>
    <row r="32615" spans="1:2" x14ac:dyDescent="0.25">
      <c r="A32615" s="64" t="str">
        <f>HYPERLINK("http://www.twitter.com/pertwee4", "pertwee4")</f>
        <v>pertwee4</v>
      </c>
      <c r="B32615" s="65" t="s">
        <v>10696</v>
      </c>
    </row>
    <row r="32616" spans="1:2" x14ac:dyDescent="0.25">
      <c r="A32616" s="64" t="str">
        <f>HYPERLINK("http://www.twitter.com/HornseyCupcake", "HornseyCupcake")</f>
        <v>HornseyCupcake</v>
      </c>
      <c r="B32616" s="65" t="s">
        <v>12851</v>
      </c>
    </row>
    <row r="32617" spans="1:2" x14ac:dyDescent="0.25">
      <c r="A32617" s="64" t="str">
        <f>HYPERLINK("http://www.twitter.com/ColorsOutside", "ColorsOutside")</f>
        <v>ColorsOutside</v>
      </c>
      <c r="B32617" s="65" t="s">
        <v>4692</v>
      </c>
    </row>
    <row r="32618" spans="1:2" x14ac:dyDescent="0.25">
      <c r="A32618" s="64" t="str">
        <f>HYPERLINK("http://www.twitter.com/Quadrivium_UK", "Quadrivium_UK")</f>
        <v>Quadrivium_UK</v>
      </c>
      <c r="B32618" s="65" t="s">
        <v>296</v>
      </c>
    </row>
    <row r="32619" spans="1:2" x14ac:dyDescent="0.25">
      <c r="A32619" s="64" t="str">
        <f>HYPERLINK("http://www.twitter.com/donalde", "donalde")</f>
        <v>donalde</v>
      </c>
      <c r="B32619" s="65" t="s">
        <v>12852</v>
      </c>
    </row>
    <row r="32620" spans="1:2" x14ac:dyDescent="0.25">
      <c r="A32620" s="64" t="str">
        <f>HYPERLINK("http://www.twitter.com/orwellian_trash", "orwellian_trash")</f>
        <v>orwellian_trash</v>
      </c>
      <c r="B32620" s="65" t="s">
        <v>12853</v>
      </c>
    </row>
    <row r="32621" spans="1:2" x14ac:dyDescent="0.25">
      <c r="A32621" s="64" t="str">
        <f>HYPERLINK("http://www.twitter.com/ColzMurphy22", "ColzMurphy22")</f>
        <v>ColzMurphy22</v>
      </c>
      <c r="B32621" s="65" t="s">
        <v>7072</v>
      </c>
    </row>
    <row r="32622" spans="1:2" x14ac:dyDescent="0.25">
      <c r="A32622" s="64" t="str">
        <f>HYPERLINK("http://www.twitter.com/Enrich_Pro_Pub", "Enrich_Pro_Pub")</f>
        <v>Enrich_Pro_Pub</v>
      </c>
      <c r="B32622" s="65" t="s">
        <v>12854</v>
      </c>
    </row>
    <row r="32623" spans="1:2" x14ac:dyDescent="0.25">
      <c r="A32623" s="64" t="str">
        <f>HYPERLINK("http://www.twitter.com/bibliobore", "bibliobore")</f>
        <v>bibliobore</v>
      </c>
      <c r="B32623" s="65"/>
    </row>
    <row r="32624" spans="1:2" x14ac:dyDescent="0.25">
      <c r="A32624" s="64" t="str">
        <f>HYPERLINK("http://www.twitter.com/curiouscraig42", "curiouscraig42")</f>
        <v>curiouscraig42</v>
      </c>
      <c r="B32624" s="65"/>
    </row>
    <row r="32625" spans="1:2" x14ac:dyDescent="0.25">
      <c r="A32625" s="64" t="str">
        <f>HYPERLINK("http://www.twitter.com/JosieBrownCA", "JosieBrownCA")</f>
        <v>JosieBrownCA</v>
      </c>
      <c r="B32625" s="65" t="s">
        <v>3921</v>
      </c>
    </row>
    <row r="32626" spans="1:2" x14ac:dyDescent="0.25">
      <c r="A32626" s="64" t="str">
        <f>HYPERLINK("http://www.twitter.com/Lindsay22w", "Lindsay22w")</f>
        <v>Lindsay22w</v>
      </c>
      <c r="B32626" s="65" t="s">
        <v>180</v>
      </c>
    </row>
    <row r="32627" spans="1:2" x14ac:dyDescent="0.25">
      <c r="A32627" s="64" t="str">
        <f>HYPERLINK("http://www.twitter.com/blabheinn", "blabheinn")</f>
        <v>blabheinn</v>
      </c>
      <c r="B32627" s="65"/>
    </row>
    <row r="32628" spans="1:2" x14ac:dyDescent="0.25">
      <c r="A32628" s="64" t="str">
        <f>HYPERLINK("http://www.twitter.com/mickland78", "mickland78")</f>
        <v>mickland78</v>
      </c>
      <c r="B32628" s="65" t="s">
        <v>2595</v>
      </c>
    </row>
    <row r="32629" spans="1:2" x14ac:dyDescent="0.25">
      <c r="A32629" s="64" t="str">
        <f>HYPERLINK("http://www.twitter.com/Mima_w", "Mima_w")</f>
        <v>Mima_w</v>
      </c>
      <c r="B32629" s="65" t="s">
        <v>4145</v>
      </c>
    </row>
    <row r="32630" spans="1:2" x14ac:dyDescent="0.25">
      <c r="A32630" s="64" t="str">
        <f>HYPERLINK("http://www.twitter.com/kelticrosephoto", "kelticrosephoto")</f>
        <v>kelticrosephoto</v>
      </c>
      <c r="B32630" s="65" t="s">
        <v>12855</v>
      </c>
    </row>
    <row r="32631" spans="1:2" x14ac:dyDescent="0.25">
      <c r="A32631" s="64" t="str">
        <f>HYPERLINK("http://www.twitter.com/TheLondonLib", "TheLondonLib")</f>
        <v>TheLondonLib</v>
      </c>
      <c r="B32631" s="65" t="s">
        <v>50</v>
      </c>
    </row>
    <row r="32632" spans="1:2" x14ac:dyDescent="0.25">
      <c r="A32632" s="64" t="str">
        <f>HYPERLINK("http://www.twitter.com/EatDrinkLoveTas", "EatDrinkLoveTas")</f>
        <v>EatDrinkLoveTas</v>
      </c>
      <c r="B32632" s="65" t="s">
        <v>7130</v>
      </c>
    </row>
    <row r="32633" spans="1:2" x14ac:dyDescent="0.25">
      <c r="A32633" s="64" t="str">
        <f>HYPERLINK("http://www.twitter.com/KirstyRegan", "KirstyRegan")</f>
        <v>KirstyRegan</v>
      </c>
      <c r="B32633" s="65" t="s">
        <v>517</v>
      </c>
    </row>
    <row r="32634" spans="1:2" x14ac:dyDescent="0.25">
      <c r="A32634" s="64" t="str">
        <f>HYPERLINK("http://www.twitter.com/newsdirect", "newsdirect")</f>
        <v>newsdirect</v>
      </c>
      <c r="B32634" s="65" t="s">
        <v>24</v>
      </c>
    </row>
    <row r="32635" spans="1:2" x14ac:dyDescent="0.25">
      <c r="A32635" s="64" t="str">
        <f>HYPERLINK("http://www.twitter.com/Kirsty_CSk", "Kirsty_CSk")</f>
        <v>Kirsty_CSk</v>
      </c>
      <c r="B32635" s="65" t="s">
        <v>601</v>
      </c>
    </row>
    <row r="32636" spans="1:2" x14ac:dyDescent="0.25">
      <c r="A32636" s="64" t="str">
        <f>HYPERLINK("http://www.twitter.com/idearoadshow", "idearoadshow")</f>
        <v>idearoadshow</v>
      </c>
      <c r="B32636" s="65" t="s">
        <v>3797</v>
      </c>
    </row>
    <row r="32637" spans="1:2" x14ac:dyDescent="0.25">
      <c r="A32637" s="64" t="str">
        <f>HYPERLINK("http://www.twitter.com/WhitwellStores", "WhitwellStores")</f>
        <v>WhitwellStores</v>
      </c>
      <c r="B32637" s="65" t="s">
        <v>12856</v>
      </c>
    </row>
    <row r="32638" spans="1:2" x14ac:dyDescent="0.25">
      <c r="A32638" s="64" t="str">
        <f>HYPERLINK("http://www.twitter.com/jayniballantine", "jayniballantine")</f>
        <v>jayniballantine</v>
      </c>
      <c r="B32638" s="65" t="s">
        <v>12857</v>
      </c>
    </row>
    <row r="32639" spans="1:2" x14ac:dyDescent="0.25">
      <c r="A32639" s="64" t="str">
        <f>HYPERLINK("http://www.twitter.com/itsjo_", "itsjo_")</f>
        <v>itsjo_</v>
      </c>
      <c r="B32639" s="65" t="s">
        <v>12858</v>
      </c>
    </row>
    <row r="32640" spans="1:2" x14ac:dyDescent="0.25">
      <c r="A32640" s="64" t="str">
        <f>HYPERLINK("http://www.twitter.com/jimmymandrill", "jimmymandrill")</f>
        <v>jimmymandrill</v>
      </c>
      <c r="B32640" s="65" t="s">
        <v>12859</v>
      </c>
    </row>
    <row r="32641" spans="1:2" x14ac:dyDescent="0.25">
      <c r="A32641" s="64" t="str">
        <f>HYPERLINK("http://www.twitter.com/eiohel", "eiohel")</f>
        <v>eiohel</v>
      </c>
      <c r="B32641" s="65" t="s">
        <v>5307</v>
      </c>
    </row>
    <row r="32642" spans="1:2" x14ac:dyDescent="0.25">
      <c r="A32642" s="64" t="str">
        <f>HYPERLINK("http://www.twitter.com/cybrum", "cybrum")</f>
        <v>cybrum</v>
      </c>
      <c r="B32642" s="65" t="s">
        <v>12860</v>
      </c>
    </row>
    <row r="32643" spans="1:2" x14ac:dyDescent="0.25">
      <c r="A32643" s="64" t="str">
        <f>HYPERLINK("http://www.twitter.com/davidawinter", "davidawinter")</f>
        <v>davidawinter</v>
      </c>
      <c r="B32643" s="65" t="s">
        <v>110</v>
      </c>
    </row>
    <row r="32644" spans="1:2" x14ac:dyDescent="0.25">
      <c r="A32644" s="64" t="str">
        <f>HYPERLINK("http://www.twitter.com/NellFrizzell", "NellFrizzell")</f>
        <v>NellFrizzell</v>
      </c>
      <c r="B32644" s="65" t="s">
        <v>36</v>
      </c>
    </row>
    <row r="32645" spans="1:2" x14ac:dyDescent="0.25">
      <c r="A32645" s="64" t="str">
        <f>HYPERLINK("http://www.twitter.com/holby83", "holby83")</f>
        <v>holby83</v>
      </c>
      <c r="B32645" s="65" t="s">
        <v>926</v>
      </c>
    </row>
    <row r="32646" spans="1:2" x14ac:dyDescent="0.25">
      <c r="A32646" s="64" t="str">
        <f>HYPERLINK("http://www.twitter.com/graemehunter", "graemehunter")</f>
        <v>graemehunter</v>
      </c>
      <c r="B32646" s="65" t="s">
        <v>12</v>
      </c>
    </row>
    <row r="32647" spans="1:2" x14ac:dyDescent="0.25">
      <c r="A32647" s="64" t="str">
        <f>HYPERLINK("http://www.twitter.com/Melwyk", "Melwyk")</f>
        <v>Melwyk</v>
      </c>
      <c r="B32647" s="65" t="s">
        <v>12861</v>
      </c>
    </row>
    <row r="32648" spans="1:2" x14ac:dyDescent="0.25">
      <c r="A32648" s="64" t="str">
        <f>HYPERLINK("http://www.twitter.com/DrAbrasax", "DrAbrasax")</f>
        <v>DrAbrasax</v>
      </c>
      <c r="B32648" s="65" t="s">
        <v>36</v>
      </c>
    </row>
    <row r="32649" spans="1:2" x14ac:dyDescent="0.25">
      <c r="A32649" s="64" t="str">
        <f>HYPERLINK("http://www.twitter.com/Rangtang", "Rangtang")</f>
        <v>Rangtang</v>
      </c>
      <c r="B32649" s="65" t="s">
        <v>222</v>
      </c>
    </row>
    <row r="32650" spans="1:2" x14ac:dyDescent="0.25">
      <c r="A32650" s="64" t="str">
        <f>HYPERLINK("http://www.twitter.com/OliverRobert", "OliverRobert")</f>
        <v>OliverRobert</v>
      </c>
      <c r="B32650" s="65" t="s">
        <v>36</v>
      </c>
    </row>
    <row r="32651" spans="1:2" x14ac:dyDescent="0.25">
      <c r="A32651" s="64" t="str">
        <f>HYPERLINK("http://www.twitter.com/tall_rich", "tall_rich")</f>
        <v>tall_rich</v>
      </c>
      <c r="B32651" s="65" t="s">
        <v>10595</v>
      </c>
    </row>
    <row r="32652" spans="1:2" x14ac:dyDescent="0.25">
      <c r="A32652" s="64" t="str">
        <f>HYPERLINK("http://www.twitter.com/GingergalWales", "GingergalWales")</f>
        <v>GingergalWales</v>
      </c>
      <c r="B32652" s="65" t="s">
        <v>1218</v>
      </c>
    </row>
    <row r="32653" spans="1:2" x14ac:dyDescent="0.25">
      <c r="A32653" s="64" t="str">
        <f>HYPERLINK("http://www.twitter.com/ninjabiscuitMC", "ninjabiscuitMC")</f>
        <v>ninjabiscuitMC</v>
      </c>
      <c r="B32653" s="65" t="s">
        <v>138</v>
      </c>
    </row>
    <row r="32654" spans="1:2" x14ac:dyDescent="0.25">
      <c r="A32654" s="64" t="str">
        <f>HYPERLINK("http://www.twitter.com/Hollingtonn", "Hollingtonn")</f>
        <v>Hollingtonn</v>
      </c>
      <c r="B32654" s="65" t="s">
        <v>3317</v>
      </c>
    </row>
    <row r="32655" spans="1:2" x14ac:dyDescent="0.25">
      <c r="A32655" s="64" t="str">
        <f>HYPERLINK("http://www.twitter.com/Inspire_Sally", "Inspire_Sally")</f>
        <v>Inspire_Sally</v>
      </c>
      <c r="B32655" s="65" t="s">
        <v>1328</v>
      </c>
    </row>
    <row r="32656" spans="1:2" x14ac:dyDescent="0.25">
      <c r="A32656" s="64" t="str">
        <f>HYPERLINK("http://www.twitter.com/GSL4Life", "GSL4Life")</f>
        <v>GSL4Life</v>
      </c>
      <c r="B32656" s="65" t="s">
        <v>12862</v>
      </c>
    </row>
    <row r="32657" spans="1:2" x14ac:dyDescent="0.25">
      <c r="A32657" s="64" t="str">
        <f>HYPERLINK("http://www.twitter.com/HDParker", "HDParker")</f>
        <v>HDParker</v>
      </c>
      <c r="B32657" s="65" t="s">
        <v>12863</v>
      </c>
    </row>
    <row r="32658" spans="1:2" x14ac:dyDescent="0.25">
      <c r="A32658" s="64" t="str">
        <f>HYPERLINK("http://www.twitter.com/EnglishKirsty", "EnglishKirsty")</f>
        <v>EnglishKirsty</v>
      </c>
      <c r="B32658" s="65" t="s">
        <v>4062</v>
      </c>
    </row>
    <row r="32659" spans="1:2" x14ac:dyDescent="0.25">
      <c r="A32659" s="64" t="str">
        <f>HYPERLINK("http://www.twitter.com/beardsells", "beardsells")</f>
        <v>beardsells</v>
      </c>
      <c r="B32659" s="65" t="s">
        <v>36</v>
      </c>
    </row>
    <row r="32660" spans="1:2" x14ac:dyDescent="0.25">
      <c r="A32660" s="64" t="str">
        <f>HYPERLINK("http://www.twitter.com/paulcgallagher", "paulcgallagher")</f>
        <v>paulcgallagher</v>
      </c>
      <c r="B32660" s="65" t="s">
        <v>138</v>
      </c>
    </row>
    <row r="32661" spans="1:2" x14ac:dyDescent="0.25">
      <c r="A32661" s="64" t="str">
        <f>HYPERLINK("http://www.twitter.com/TallulahBass", "TallulahBass")</f>
        <v>TallulahBass</v>
      </c>
      <c r="B32661" s="65"/>
    </row>
    <row r="32662" spans="1:2" x14ac:dyDescent="0.25">
      <c r="A32662" s="64" t="str">
        <f>HYPERLINK("http://www.twitter.com/heideland", "heideland")</f>
        <v>heideland</v>
      </c>
      <c r="B32662" s="65" t="s">
        <v>12864</v>
      </c>
    </row>
    <row r="32663" spans="1:2" x14ac:dyDescent="0.25">
      <c r="A32663" s="64" t="str">
        <f>HYPERLINK("http://www.twitter.com/Darklecat", "Darklecat")</f>
        <v>Darklecat</v>
      </c>
      <c r="B32663" s="65" t="s">
        <v>1218</v>
      </c>
    </row>
    <row r="32664" spans="1:2" x14ac:dyDescent="0.25">
      <c r="A32664" s="64" t="str">
        <f>HYPERLINK("http://www.twitter.com/toopunktofunk", "toopunktofunk")</f>
        <v>toopunktofunk</v>
      </c>
      <c r="B32664" s="65" t="s">
        <v>1218</v>
      </c>
    </row>
    <row r="32665" spans="1:2" x14ac:dyDescent="0.25">
      <c r="A32665" s="64" t="str">
        <f>HYPERLINK("http://www.twitter.com/PooleLibraries", "PooleLibraries")</f>
        <v>PooleLibraries</v>
      </c>
      <c r="B32665" s="65" t="s">
        <v>680</v>
      </c>
    </row>
    <row r="32666" spans="1:2" x14ac:dyDescent="0.25">
      <c r="A32666" s="64" t="str">
        <f>HYPERLINK("http://www.twitter.com/HelmsDana", "HelmsDana")</f>
        <v>HelmsDana</v>
      </c>
      <c r="B32666" s="65" t="s">
        <v>5678</v>
      </c>
    </row>
    <row r="32667" spans="1:2" x14ac:dyDescent="0.25">
      <c r="A32667" s="64" t="str">
        <f>HYPERLINK("http://www.twitter.com/roannedods", "roannedods")</f>
        <v>roannedods</v>
      </c>
      <c r="B32667" s="65" t="s">
        <v>6974</v>
      </c>
    </row>
    <row r="32668" spans="1:2" x14ac:dyDescent="0.25">
      <c r="A32668" s="64" t="str">
        <f>HYPERLINK("http://www.twitter.com/SeanieMac24", "SeanieMac24")</f>
        <v>SeanieMac24</v>
      </c>
      <c r="B32668" s="65" t="s">
        <v>138</v>
      </c>
    </row>
    <row r="32669" spans="1:2" x14ac:dyDescent="0.25">
      <c r="A32669" s="64" t="str">
        <f>HYPERLINK("http://www.twitter.com/LlyfrGwyneddLib", "LlyfrGwyneddLib")</f>
        <v>LlyfrGwyneddLib</v>
      </c>
      <c r="B32669" s="65" t="s">
        <v>1025</v>
      </c>
    </row>
    <row r="32670" spans="1:2" x14ac:dyDescent="0.25">
      <c r="A32670" s="64" t="str">
        <f>HYPERLINK("http://www.twitter.com/Kku_JeanBarry", "Kku_JeanBarry")</f>
        <v>Kku_JeanBarry</v>
      </c>
      <c r="B32670" s="65"/>
    </row>
    <row r="32671" spans="1:2" x14ac:dyDescent="0.25">
      <c r="A32671" s="64" t="str">
        <f>HYPERLINK("http://www.twitter.com/Gushle", "Gushle")</f>
        <v>Gushle</v>
      </c>
      <c r="B32671" s="65"/>
    </row>
    <row r="32672" spans="1:2" x14ac:dyDescent="0.25">
      <c r="A32672" s="64" t="str">
        <f>HYPERLINK("http://www.twitter.com/Cambridge_Uni", "Cambridge_Uni")</f>
        <v>Cambridge_Uni</v>
      </c>
      <c r="B32672" s="65" t="s">
        <v>508</v>
      </c>
    </row>
    <row r="32673" spans="1:2" x14ac:dyDescent="0.25">
      <c r="A32673" s="64" t="str">
        <f>HYPERLINK("http://www.twitter.com/roadstopower", "roadstopower")</f>
        <v>roadstopower</v>
      </c>
      <c r="B32673" s="65" t="s">
        <v>6826</v>
      </c>
    </row>
    <row r="32674" spans="1:2" x14ac:dyDescent="0.25">
      <c r="A32674" s="64" t="str">
        <f>HYPERLINK("http://www.twitter.com/ConradMurkitt", "ConradMurkitt")</f>
        <v>ConradMurkitt</v>
      </c>
      <c r="B32674" s="65" t="s">
        <v>12865</v>
      </c>
    </row>
    <row r="32675" spans="1:2" x14ac:dyDescent="0.25">
      <c r="A32675" s="64" t="str">
        <f>HYPERLINK("http://www.twitter.com/michaelstobo", "michaelstobo")</f>
        <v>michaelstobo</v>
      </c>
      <c r="B32675" s="65" t="s">
        <v>12469</v>
      </c>
    </row>
    <row r="32676" spans="1:2" x14ac:dyDescent="0.25">
      <c r="A32676" s="64" t="str">
        <f>HYPERLINK("http://www.twitter.com/catherinestead", "catherinestead")</f>
        <v>catherinestead</v>
      </c>
      <c r="B32676" s="65" t="s">
        <v>296</v>
      </c>
    </row>
    <row r="32677" spans="1:2" x14ac:dyDescent="0.25">
      <c r="A32677" s="64" t="str">
        <f>HYPERLINK("http://www.twitter.com/aimeescotton", "aimeescotton")</f>
        <v>aimeescotton</v>
      </c>
      <c r="B32677" s="65" t="s">
        <v>12866</v>
      </c>
    </row>
    <row r="32678" spans="1:2" x14ac:dyDescent="0.25">
      <c r="A32678" s="64" t="str">
        <f>HYPERLINK("http://www.twitter.com/strombolius", "strombolius")</f>
        <v>strombolius</v>
      </c>
      <c r="B32678" s="65" t="s">
        <v>12867</v>
      </c>
    </row>
    <row r="32679" spans="1:2" x14ac:dyDescent="0.25">
      <c r="A32679" s="64" t="str">
        <f>HYPERLINK("http://www.twitter.com/jadufton", "jadufton")</f>
        <v>jadufton</v>
      </c>
      <c r="B32679" s="65" t="s">
        <v>12868</v>
      </c>
    </row>
    <row r="32680" spans="1:2" x14ac:dyDescent="0.25">
      <c r="A32680" s="64" t="str">
        <f>HYPERLINK("http://www.twitter.com/Natbat", "Natbat")</f>
        <v>Natbat</v>
      </c>
      <c r="B32680" s="65" t="s">
        <v>3921</v>
      </c>
    </row>
    <row r="32681" spans="1:2" x14ac:dyDescent="0.25">
      <c r="A32681" s="64" t="str">
        <f>HYPERLINK("http://www.twitter.com/Mrs_Figaro", "Mrs_Figaro")</f>
        <v>Mrs_Figaro</v>
      </c>
      <c r="B32681" s="65" t="s">
        <v>110</v>
      </c>
    </row>
    <row r="32682" spans="1:2" x14ac:dyDescent="0.25">
      <c r="A32682" s="64" t="str">
        <f>HYPERLINK("http://www.twitter.com/megnog", "megnog")</f>
        <v>megnog</v>
      </c>
      <c r="B32682" s="65" t="s">
        <v>3643</v>
      </c>
    </row>
    <row r="32683" spans="1:2" x14ac:dyDescent="0.25">
      <c r="A32683" s="64" t="str">
        <f>HYPERLINK("http://www.twitter.com/ilicco", "ilicco")</f>
        <v>ilicco</v>
      </c>
      <c r="B32683" s="65" t="s">
        <v>36</v>
      </c>
    </row>
    <row r="32684" spans="1:2" x14ac:dyDescent="0.25">
      <c r="A32684" s="64" t="str">
        <f>HYPERLINK("http://www.twitter.com/jon_pratty", "jon_pratty")</f>
        <v>jon_pratty</v>
      </c>
      <c r="B32684" s="65" t="s">
        <v>2489</v>
      </c>
    </row>
    <row r="32685" spans="1:2" x14ac:dyDescent="0.25">
      <c r="A32685" s="64" t="str">
        <f>HYPERLINK("http://www.twitter.com/alpower", "alpower")</f>
        <v>alpower</v>
      </c>
      <c r="B32685" s="65" t="s">
        <v>12869</v>
      </c>
    </row>
    <row r="32686" spans="1:2" x14ac:dyDescent="0.25">
      <c r="A32686" s="64" t="str">
        <f>HYPERLINK("http://www.twitter.com/linda769", "linda769")</f>
        <v>linda769</v>
      </c>
      <c r="B32686" s="65" t="s">
        <v>1765</v>
      </c>
    </row>
    <row r="32687" spans="1:2" x14ac:dyDescent="0.25">
      <c r="A32687" s="64" t="str">
        <f>HYPERLINK("http://www.twitter.com/tassie_gal", "tassie_gal")</f>
        <v>tassie_gal</v>
      </c>
      <c r="B32687" s="65" t="s">
        <v>12870</v>
      </c>
    </row>
    <row r="32688" spans="1:2" x14ac:dyDescent="0.25">
      <c r="A32688" s="64" t="str">
        <f>HYPERLINK("http://www.twitter.com/welshjournals", "welshjournals")</f>
        <v>welshjournals</v>
      </c>
      <c r="B32688" s="65" t="s">
        <v>12871</v>
      </c>
    </row>
    <row r="32689" spans="1:2" x14ac:dyDescent="0.25">
      <c r="A32689" s="64" t="str">
        <f>HYPERLINK("http://www.twitter.com/gspurves", "gspurves")</f>
        <v>gspurves</v>
      </c>
      <c r="B32689" s="65" t="s">
        <v>4237</v>
      </c>
    </row>
    <row r="32690" spans="1:2" x14ac:dyDescent="0.25">
      <c r="A32690" s="64" t="str">
        <f>HYPERLINK("http://www.twitter.com/JuJuMitchelle", "JuJuMitchelle")</f>
        <v>JuJuMitchelle</v>
      </c>
      <c r="B32690" s="65"/>
    </row>
    <row r="32691" spans="1:2" x14ac:dyDescent="0.25">
      <c r="A32691" s="64" t="str">
        <f>HYPERLINK("http://www.twitter.com/marycmorr", "marycmorr")</f>
        <v>marycmorr</v>
      </c>
      <c r="B32691" s="65" t="s">
        <v>5961</v>
      </c>
    </row>
    <row r="32692" spans="1:2" x14ac:dyDescent="0.25">
      <c r="A32692" s="64" t="str">
        <f>HYPERLINK("http://www.twitter.com/simonjbains", "simonjbains")</f>
        <v>simonjbains</v>
      </c>
      <c r="B32692" s="65" t="s">
        <v>4693</v>
      </c>
    </row>
    <row r="32693" spans="1:2" x14ac:dyDescent="0.25">
      <c r="A32693" s="64" t="str">
        <f>HYPERLINK("http://www.twitter.com/HazelPip", "HazelPip")</f>
        <v>HazelPip</v>
      </c>
      <c r="B32693" s="65" t="s">
        <v>36</v>
      </c>
    </row>
    <row r="32694" spans="1:2" x14ac:dyDescent="0.25">
      <c r="A32694" s="64" t="str">
        <f>HYPERLINK("http://www.twitter.com/SuffolkLibrary", "SuffolkLibrary")</f>
        <v>SuffolkLibrary</v>
      </c>
      <c r="B32694" s="65" t="s">
        <v>235</v>
      </c>
    </row>
    <row r="32695" spans="1:2" x14ac:dyDescent="0.25">
      <c r="A32695" s="64" t="str">
        <f>HYPERLINK("http://www.twitter.com/stellaharris2", "stellaharris2")</f>
        <v>stellaharris2</v>
      </c>
      <c r="B32695" s="65" t="s">
        <v>12872</v>
      </c>
    </row>
    <row r="32696" spans="1:2" x14ac:dyDescent="0.25">
      <c r="A32696" s="64" t="str">
        <f>HYPERLINK("http://www.twitter.com/rachelcoldicutt", "rachelcoldicutt")</f>
        <v>rachelcoldicutt</v>
      </c>
      <c r="B32696" s="65"/>
    </row>
    <row r="32697" spans="1:2" x14ac:dyDescent="0.25">
      <c r="A32697" s="64" t="str">
        <f>HYPERLINK("http://www.twitter.com/Codicologist", "Codicologist")</f>
        <v>Codicologist</v>
      </c>
      <c r="B32697" s="65" t="s">
        <v>318</v>
      </c>
    </row>
    <row r="32698" spans="1:2" x14ac:dyDescent="0.25">
      <c r="A32698" s="64" t="str">
        <f>HYPERLINK("http://www.twitter.com/eReaderKing", "eReaderKing")</f>
        <v>eReaderKing</v>
      </c>
      <c r="B32698" s="65" t="s">
        <v>12873</v>
      </c>
    </row>
    <row r="32699" spans="1:2" x14ac:dyDescent="0.25">
      <c r="A32699" s="64" t="str">
        <f>HYPERLINK("http://www.twitter.com/IcarusPhaethon", "IcarusPhaethon")</f>
        <v>IcarusPhaethon</v>
      </c>
      <c r="B32699" s="65"/>
    </row>
    <row r="32700" spans="1:2" x14ac:dyDescent="0.25">
      <c r="A32700" s="64" t="str">
        <f>HYPERLINK("http://www.twitter.com/s3239824", "s3239824")</f>
        <v>s3239824</v>
      </c>
      <c r="B32700" s="65"/>
    </row>
    <row r="32701" spans="1:2" x14ac:dyDescent="0.25">
      <c r="A32701" s="64" t="str">
        <f>HYPERLINK("http://www.twitter.com/Books4uu", "Books4uu")</f>
        <v>Books4uu</v>
      </c>
      <c r="B32701" s="65"/>
    </row>
    <row r="32702" spans="1:2" x14ac:dyDescent="0.25">
      <c r="A32702" s="64" t="str">
        <f>HYPERLINK("http://www.twitter.com/feministcliche", "feministcliche")</f>
        <v>feministcliche</v>
      </c>
      <c r="B32702" s="65"/>
    </row>
    <row r="32703" spans="1:2" x14ac:dyDescent="0.25">
      <c r="A32703" s="64" t="str">
        <f>HYPERLINK("http://www.twitter.com/CCCLibrary", "CCCLibrary")</f>
        <v>CCCLibrary</v>
      </c>
      <c r="B32703" s="65" t="s">
        <v>12874</v>
      </c>
    </row>
    <row r="32704" spans="1:2" x14ac:dyDescent="0.25">
      <c r="A32704" s="64" t="str">
        <f>HYPERLINK("http://www.twitter.com/CultureMmag", "CultureMmag")</f>
        <v>CultureMmag</v>
      </c>
      <c r="B32704" s="65" t="s">
        <v>12875</v>
      </c>
    </row>
    <row r="32705" spans="1:2" x14ac:dyDescent="0.25">
      <c r="A32705" s="64" t="str">
        <f>HYPERLINK("http://www.twitter.com/ToffOccupation", "ToffOccupation")</f>
        <v>ToffOccupation</v>
      </c>
      <c r="B32705" s="65" t="s">
        <v>12876</v>
      </c>
    </row>
    <row r="32706" spans="1:2" x14ac:dyDescent="0.25">
      <c r="A32706" s="64" t="str">
        <f>HYPERLINK("http://www.twitter.com/LibrarianRach", "LibrarianRach")</f>
        <v>LibrarianRach</v>
      </c>
      <c r="B32706" s="65" t="s">
        <v>296</v>
      </c>
    </row>
    <row r="32707" spans="1:2" x14ac:dyDescent="0.25">
      <c r="A32707" s="64" t="str">
        <f>HYPERLINK("http://www.twitter.com/Lynnt123", "Lynnt123")</f>
        <v>Lynnt123</v>
      </c>
      <c r="B32707" s="65" t="s">
        <v>180</v>
      </c>
    </row>
    <row r="32708" spans="1:2" x14ac:dyDescent="0.25">
      <c r="A32708" s="64" t="str">
        <f>HYPERLINK("http://www.twitter.com/deanblb", "deanblb")</f>
        <v>deanblb</v>
      </c>
      <c r="B32708" s="65"/>
    </row>
    <row r="32709" spans="1:2" x14ac:dyDescent="0.25">
      <c r="A32709" s="64" t="str">
        <f>HYPERLINK("http://www.twitter.com/SusanDoha", "SusanDoha")</f>
        <v>SusanDoha</v>
      </c>
      <c r="B32709" s="65" t="s">
        <v>296</v>
      </c>
    </row>
    <row r="32710" spans="1:2" x14ac:dyDescent="0.25">
      <c r="A32710" s="64" t="str">
        <f>HYPERLINK("http://www.twitter.com/heronheronheron", "heronheronheron")</f>
        <v>heronheronheron</v>
      </c>
      <c r="B32710" s="65"/>
    </row>
    <row r="32711" spans="1:2" x14ac:dyDescent="0.25">
      <c r="A32711" s="64" t="str">
        <f>HYPERLINK("http://www.twitter.com/emmurdoch", "emmurdoch")</f>
        <v>emmurdoch</v>
      </c>
      <c r="B32711" s="65" t="s">
        <v>12877</v>
      </c>
    </row>
    <row r="32712" spans="1:2" x14ac:dyDescent="0.25">
      <c r="A32712" s="64" t="str">
        <f>HYPERLINK("http://www.twitter.com/QuizzerRooney", "QuizzerRooney")</f>
        <v>QuizzerRooney</v>
      </c>
      <c r="B32712" s="65" t="s">
        <v>5212</v>
      </c>
    </row>
    <row r="32713" spans="1:2" x14ac:dyDescent="0.25">
      <c r="A32713" s="64" t="str">
        <f>HYPERLINK("http://www.twitter.com/librarydreamer", "librarydreamer")</f>
        <v>librarydreamer</v>
      </c>
      <c r="B32713" s="65" t="s">
        <v>12878</v>
      </c>
    </row>
    <row r="32714" spans="1:2" x14ac:dyDescent="0.25">
      <c r="A32714" s="64" t="str">
        <f>HYPERLINK("http://www.twitter.com/laughinglibby", "laughinglibby")</f>
        <v>laughinglibby</v>
      </c>
      <c r="B32714" s="65" t="s">
        <v>12879</v>
      </c>
    </row>
    <row r="32715" spans="1:2" x14ac:dyDescent="0.25">
      <c r="A32715" s="64" t="str">
        <f>HYPERLINK("http://www.twitter.com/RuthieBeth", "RuthieBeth")</f>
        <v>RuthieBeth</v>
      </c>
      <c r="B32715" s="65" t="s">
        <v>138</v>
      </c>
    </row>
    <row r="32716" spans="1:2" x14ac:dyDescent="0.25">
      <c r="A32716" s="64" t="str">
        <f>HYPERLINK("http://www.twitter.com/jowhit", "jowhit")</f>
        <v>jowhit</v>
      </c>
      <c r="B32716" s="65" t="s">
        <v>4288</v>
      </c>
    </row>
    <row r="32717" spans="1:2" x14ac:dyDescent="0.25">
      <c r="A32717" s="64" t="str">
        <f>HYPERLINK("http://www.twitter.com/kendra_lacy", "kendra_lacy")</f>
        <v>kendra_lacy</v>
      </c>
      <c r="B32717" s="65" t="s">
        <v>12880</v>
      </c>
    </row>
    <row r="32718" spans="1:2" x14ac:dyDescent="0.25">
      <c r="A32718" s="64" t="str">
        <f>HYPERLINK("http://www.twitter.com/abz14", "abz14")</f>
        <v>abz14</v>
      </c>
      <c r="B32718" s="65"/>
    </row>
    <row r="32719" spans="1:2" x14ac:dyDescent="0.25">
      <c r="A32719" s="64" t="str">
        <f>HYPERLINK("http://www.twitter.com/bracknell_lib", "bracknell_lib")</f>
        <v>bracknell_lib</v>
      </c>
      <c r="B32719" s="65" t="s">
        <v>1166</v>
      </c>
    </row>
    <row r="32720" spans="1:2" x14ac:dyDescent="0.25">
      <c r="A32720" s="64" t="str">
        <f>HYPERLINK("http://www.twitter.com/Catirifire", "Catirifire")</f>
        <v>Catirifire</v>
      </c>
      <c r="B32720" s="65"/>
    </row>
    <row r="32721" spans="1:2" x14ac:dyDescent="0.25">
      <c r="A32721" s="64" t="str">
        <f>HYPERLINK("http://www.twitter.com/fatmonica", "fatmonica")</f>
        <v>fatmonica</v>
      </c>
      <c r="B32721" s="65" t="s">
        <v>296</v>
      </c>
    </row>
    <row r="32722" spans="1:2" x14ac:dyDescent="0.25">
      <c r="A32722" s="64" t="str">
        <f>HYPERLINK("http://www.twitter.com/RuthJosif", "RuthJosif")</f>
        <v>RuthJosif</v>
      </c>
      <c r="B32722" s="65" t="s">
        <v>12881</v>
      </c>
    </row>
    <row r="32723" spans="1:2" x14ac:dyDescent="0.25">
      <c r="A32723" s="64" t="str">
        <f>HYPERLINK("http://www.twitter.com/lyubj", "lyubj")</f>
        <v>lyubj</v>
      </c>
      <c r="B32723" s="65" t="s">
        <v>12882</v>
      </c>
    </row>
    <row r="32724" spans="1:2" x14ac:dyDescent="0.25">
      <c r="A32724" s="64" t="str">
        <f>HYPERLINK("http://www.twitter.com/canakatydid", "canakatydid")</f>
        <v>canakatydid</v>
      </c>
      <c r="B32724" s="65" t="s">
        <v>3778</v>
      </c>
    </row>
    <row r="32725" spans="1:2" x14ac:dyDescent="0.25">
      <c r="A32725" s="64" t="str">
        <f>HYPERLINK("http://www.twitter.com/gfpoke", "gfpoke")</f>
        <v>gfpoke</v>
      </c>
      <c r="B32725" s="65" t="s">
        <v>20</v>
      </c>
    </row>
    <row r="32726" spans="1:2" x14ac:dyDescent="0.25">
      <c r="A32726" s="64" t="str">
        <f>HYPERLINK("http://www.twitter.com/CThorpe83", "CThorpe83")</f>
        <v>CThorpe83</v>
      </c>
      <c r="B32726" s="65" t="s">
        <v>36</v>
      </c>
    </row>
    <row r="32727" spans="1:2" x14ac:dyDescent="0.25">
      <c r="A32727" s="64" t="str">
        <f>HYPERLINK("http://www.twitter.com/PoorInspector", "PoorInspector")</f>
        <v>PoorInspector</v>
      </c>
      <c r="B32727" s="65" t="s">
        <v>12883</v>
      </c>
    </row>
    <row r="32728" spans="1:2" x14ac:dyDescent="0.25">
      <c r="A32728" s="64" t="str">
        <f>HYPERLINK("http://www.twitter.com/Lizharding2", "Lizharding2")</f>
        <v>Lizharding2</v>
      </c>
      <c r="B32728" s="65"/>
    </row>
    <row r="32729" spans="1:2" x14ac:dyDescent="0.25">
      <c r="A32729" s="64" t="str">
        <f>HYPERLINK("http://www.twitter.com/Erwins_Feline", "Erwins_Feline")</f>
        <v>Erwins_Feline</v>
      </c>
      <c r="B32729" s="65" t="s">
        <v>4928</v>
      </c>
    </row>
    <row r="32730" spans="1:2" x14ac:dyDescent="0.25">
      <c r="A32730" s="64" t="str">
        <f>HYPERLINK("http://www.twitter.com/StoutLibrary", "StoutLibrary")</f>
        <v>StoutLibrary</v>
      </c>
      <c r="B32730" s="65" t="s">
        <v>12884</v>
      </c>
    </row>
    <row r="32731" spans="1:2" x14ac:dyDescent="0.25">
      <c r="A32731" s="64" t="str">
        <f>HYPERLINK("http://www.twitter.com/JulieMarwick1", "JulieMarwick1")</f>
        <v>JulieMarwick1</v>
      </c>
      <c r="B32731" s="65"/>
    </row>
    <row r="32732" spans="1:2" x14ac:dyDescent="0.25">
      <c r="A32732" s="64" t="str">
        <f>HYPERLINK("http://www.twitter.com/IntLibIntl", "IntLibIntl")</f>
        <v>IntLibIntl</v>
      </c>
      <c r="B32732" s="65" t="s">
        <v>110</v>
      </c>
    </row>
    <row r="32733" spans="1:2" x14ac:dyDescent="0.25">
      <c r="A32733" s="64" t="str">
        <f>HYPERLINK("http://www.twitter.com/lirazelf", "lirazelf")</f>
        <v>lirazelf</v>
      </c>
      <c r="B32733" s="65" t="s">
        <v>12578</v>
      </c>
    </row>
    <row r="32734" spans="1:2" x14ac:dyDescent="0.25">
      <c r="A32734" s="64" t="str">
        <f>HYPERLINK("http://www.twitter.com/gaillyk", "gaillyk")</f>
        <v>gaillyk</v>
      </c>
      <c r="B32734" s="65" t="s">
        <v>6667</v>
      </c>
    </row>
    <row r="32735" spans="1:2" x14ac:dyDescent="0.25">
      <c r="A32735" s="64" t="str">
        <f>HYPERLINK("http://www.twitter.com/Juniperwren", "Juniperwren")</f>
        <v>Juniperwren</v>
      </c>
      <c r="B32735" s="65" t="s">
        <v>1810</v>
      </c>
    </row>
    <row r="32736" spans="1:2" x14ac:dyDescent="0.25">
      <c r="A32736" s="64" t="str">
        <f>HYPERLINK("http://www.twitter.com/redlibrary", "redlibrary")</f>
        <v>redlibrary</v>
      </c>
      <c r="B32736" s="65" t="s">
        <v>12885</v>
      </c>
    </row>
    <row r="32737" spans="1:2" x14ac:dyDescent="0.25">
      <c r="A32737" s="64" t="str">
        <f>HYPERLINK("http://www.twitter.com/MisterCG", "MisterCG")</f>
        <v>MisterCG</v>
      </c>
      <c r="B32737" s="65" t="s">
        <v>12886</v>
      </c>
    </row>
    <row r="32738" spans="1:2" x14ac:dyDescent="0.25">
      <c r="A32738" s="64" t="str">
        <f>HYPERLINK("http://www.twitter.com/uomlib_tim", "uomlib_tim")</f>
        <v>uomlib_tim</v>
      </c>
      <c r="B32738" s="65" t="s">
        <v>4693</v>
      </c>
    </row>
    <row r="32739" spans="1:2" x14ac:dyDescent="0.25">
      <c r="A32739" s="64" t="str">
        <f>HYPERLINK("http://www.twitter.com/WeeRascal", "WeeRascal")</f>
        <v>WeeRascal</v>
      </c>
      <c r="B32739" s="65" t="s">
        <v>12887</v>
      </c>
    </row>
    <row r="32740" spans="1:2" x14ac:dyDescent="0.25">
      <c r="A32740" s="64" t="str">
        <f>HYPERLINK("http://www.twitter.com/Budge99", "Budge99")</f>
        <v>Budge99</v>
      </c>
      <c r="B32740" s="65" t="s">
        <v>517</v>
      </c>
    </row>
    <row r="32741" spans="1:2" x14ac:dyDescent="0.25">
      <c r="A32741" s="64" t="str">
        <f>HYPERLINK("http://www.twitter.com/museumofwriting", "museumofwriting")</f>
        <v>museumofwriting</v>
      </c>
      <c r="B32741" s="65"/>
    </row>
    <row r="32742" spans="1:2" x14ac:dyDescent="0.25">
      <c r="A32742" s="64" t="str">
        <f>HYPERLINK("http://www.twitter.com/juliusthombooks", "juliusthombooks")</f>
        <v>juliusthombooks</v>
      </c>
      <c r="B32742" s="65" t="s">
        <v>12888</v>
      </c>
    </row>
    <row r="32743" spans="1:2" x14ac:dyDescent="0.25">
      <c r="A32743" s="64" t="str">
        <f>HYPERLINK("http://www.twitter.com/joanna_lawson", "joanna_lawson")</f>
        <v>joanna_lawson</v>
      </c>
      <c r="B32743" s="65"/>
    </row>
    <row r="32744" spans="1:2" x14ac:dyDescent="0.25">
      <c r="A32744" s="64" t="str">
        <f>HYPERLINK("http://www.twitter.com/starrygeo", "starrygeo")</f>
        <v>starrygeo</v>
      </c>
      <c r="B32744" s="65"/>
    </row>
    <row r="32745" spans="1:2" x14ac:dyDescent="0.25">
      <c r="A32745" s="64" t="str">
        <f>HYPERLINK("http://www.twitter.com/helensonner", "helensonner")</f>
        <v>helensonner</v>
      </c>
      <c r="B32745" s="65" t="s">
        <v>5567</v>
      </c>
    </row>
    <row r="32746" spans="1:2" x14ac:dyDescent="0.25">
      <c r="A32746" s="64" t="str">
        <f>HYPERLINK("http://www.twitter.com/AsswipeBooJones", "AsswipeBooJones")</f>
        <v>AsswipeBooJones</v>
      </c>
      <c r="B32746" s="65"/>
    </row>
    <row r="32747" spans="1:2" x14ac:dyDescent="0.25">
      <c r="A32747" s="64" t="str">
        <f>HYPERLINK("http://www.twitter.com/iainjedczaroi4", "iainjedczaroi4")</f>
        <v>iainjedczaroi4</v>
      </c>
      <c r="B32747" s="65" t="s">
        <v>12889</v>
      </c>
    </row>
    <row r="32748" spans="1:2" x14ac:dyDescent="0.25">
      <c r="A32748" s="64" t="str">
        <f>HYPERLINK("http://www.twitter.com/janetedavis", "janetedavis")</f>
        <v>janetedavis</v>
      </c>
      <c r="B32748" s="65" t="s">
        <v>296</v>
      </c>
    </row>
    <row r="32749" spans="1:2" x14ac:dyDescent="0.25">
      <c r="A32749" s="64" t="str">
        <f>HYPERLINK("http://www.twitter.com/Saint_Magnus", "Saint_Magnus")</f>
        <v>Saint_Magnus</v>
      </c>
      <c r="B32749" s="65" t="s">
        <v>4580</v>
      </c>
    </row>
    <row r="32750" spans="1:2" x14ac:dyDescent="0.25">
      <c r="A32750" s="64" t="str">
        <f>HYPERLINK("http://www.twitter.com/CllrGillRenwick", "CllrGillRenwick")</f>
        <v>CllrGillRenwick</v>
      </c>
      <c r="B32750" s="65" t="s">
        <v>6550</v>
      </c>
    </row>
    <row r="32751" spans="1:2" x14ac:dyDescent="0.25">
      <c r="A32751" s="64" t="str">
        <f>HYPERLINK("http://www.twitter.com/KarinaForrest", "KarinaForrest")</f>
        <v>KarinaForrest</v>
      </c>
      <c r="B32751" s="65" t="s">
        <v>12337</v>
      </c>
    </row>
    <row r="32752" spans="1:2" x14ac:dyDescent="0.25">
      <c r="A32752" s="64" t="str">
        <f>HYPERLINK("http://www.twitter.com/raliel", "raliel")</f>
        <v>raliel</v>
      </c>
      <c r="B32752" s="65" t="s">
        <v>10169</v>
      </c>
    </row>
    <row r="32753" spans="1:2" x14ac:dyDescent="0.25">
      <c r="A32753" s="64" t="str">
        <f>HYPERLINK("http://www.twitter.com/NotSoPerfctLife", "NotSoPerfctLife")</f>
        <v>NotSoPerfctLife</v>
      </c>
      <c r="B32753" s="65" t="s">
        <v>12890</v>
      </c>
    </row>
    <row r="32754" spans="1:2" x14ac:dyDescent="0.25">
      <c r="A32754" s="64" t="str">
        <f>HYPERLINK("http://www.twitter.com/Davecannell", "Davecannell")</f>
        <v>Davecannell</v>
      </c>
      <c r="B32754" s="65" t="s">
        <v>2007</v>
      </c>
    </row>
    <row r="32755" spans="1:2" x14ac:dyDescent="0.25">
      <c r="A32755" s="64" t="str">
        <f>HYPERLINK("http://www.twitter.com/artsyhonker", "artsyhonker")</f>
        <v>artsyhonker</v>
      </c>
      <c r="B32755" s="65"/>
    </row>
    <row r="32756" spans="1:2" x14ac:dyDescent="0.25">
      <c r="A32756" s="64" t="str">
        <f>HYPERLINK("http://www.twitter.com/AdeTinniswood", "AdeTinniswood")</f>
        <v>AdeTinniswood</v>
      </c>
      <c r="B32756" s="65" t="s">
        <v>1098</v>
      </c>
    </row>
    <row r="32757" spans="1:2" x14ac:dyDescent="0.25">
      <c r="A32757" s="64" t="str">
        <f>HYPERLINK("http://www.twitter.com/Zardoz67", "Zardoz67")</f>
        <v>Zardoz67</v>
      </c>
      <c r="B32757" s="65" t="s">
        <v>12891</v>
      </c>
    </row>
    <row r="32758" spans="1:2" x14ac:dyDescent="0.25">
      <c r="A32758" s="64" t="str">
        <f>HYPERLINK("http://www.twitter.com/TitanBooks", "TitanBooks")</f>
        <v>TitanBooks</v>
      </c>
      <c r="B32758" s="65" t="s">
        <v>36</v>
      </c>
    </row>
    <row r="32759" spans="1:2" x14ac:dyDescent="0.25">
      <c r="A32759" s="64" t="str">
        <f>HYPERLINK("http://www.twitter.com/ateeseurope", "ateeseurope")</f>
        <v>ateeseurope</v>
      </c>
      <c r="B32759" s="65" t="s">
        <v>12892</v>
      </c>
    </row>
    <row r="32760" spans="1:2" x14ac:dyDescent="0.25">
      <c r="A32760" s="64" t="str">
        <f>HYPERLINK("http://www.twitter.com/ailsacoverdale", "ailsacoverdale")</f>
        <v>ailsacoverdale</v>
      </c>
      <c r="B32760" s="65" t="s">
        <v>361</v>
      </c>
    </row>
    <row r="32761" spans="1:2" x14ac:dyDescent="0.25">
      <c r="A32761" s="64" t="str">
        <f>HYPERLINK("http://www.twitter.com/SwanIslePress", "SwanIslePress")</f>
        <v>SwanIslePress</v>
      </c>
      <c r="B32761" s="65" t="s">
        <v>4329</v>
      </c>
    </row>
    <row r="32762" spans="1:2" x14ac:dyDescent="0.25">
      <c r="A32762" s="64" t="str">
        <f>HYPERLINK("http://www.twitter.com/librarystrats", "librarystrats")</f>
        <v>librarystrats</v>
      </c>
      <c r="B32762" s="65" t="s">
        <v>3829</v>
      </c>
    </row>
    <row r="32763" spans="1:2" x14ac:dyDescent="0.25">
      <c r="A32763" s="64" t="str">
        <f>HYPERLINK("http://www.twitter.com/BWBooks", "BWBooks")</f>
        <v>BWBooks</v>
      </c>
      <c r="B32763" s="65" t="s">
        <v>12893</v>
      </c>
    </row>
    <row r="32764" spans="1:2" x14ac:dyDescent="0.25">
      <c r="A32764" s="64" t="str">
        <f>HYPERLINK("http://www.twitter.com/TouchWoodEd", "TouchWoodEd")</f>
        <v>TouchWoodEd</v>
      </c>
      <c r="B32764" s="65" t="s">
        <v>4184</v>
      </c>
    </row>
    <row r="32765" spans="1:2" x14ac:dyDescent="0.25">
      <c r="A32765" s="64" t="str">
        <f>HYPERLINK("http://www.twitter.com/libraryworld1", "libraryworld1")</f>
        <v>libraryworld1</v>
      </c>
      <c r="B32765" s="65"/>
    </row>
    <row r="32766" spans="1:2" x14ac:dyDescent="0.25">
      <c r="A32766" s="64" t="str">
        <f>HYPERLINK("http://www.twitter.com/Lynnclark41", "Lynnclark41")</f>
        <v>Lynnclark41</v>
      </c>
      <c r="B32766" s="65"/>
    </row>
    <row r="32767" spans="1:2" x14ac:dyDescent="0.25">
      <c r="A32767" s="64" t="str">
        <f>HYPERLINK("http://www.twitter.com/10engines", "10engines")</f>
        <v>10engines</v>
      </c>
      <c r="B32767" s="65" t="s">
        <v>12894</v>
      </c>
    </row>
    <row r="32768" spans="1:2" x14ac:dyDescent="0.25">
      <c r="A32768" s="64" t="str">
        <f>HYPERLINK("http://www.twitter.com/furnessfolk", "furnessfolk")</f>
        <v>furnessfolk</v>
      </c>
      <c r="B32768" s="65" t="s">
        <v>12895</v>
      </c>
    </row>
    <row r="32769" spans="1:2" x14ac:dyDescent="0.25">
      <c r="A32769" s="64" t="str">
        <f>HYPERLINK("http://www.twitter.com/progresopub", "progresopub")</f>
        <v>progresopub</v>
      </c>
      <c r="B32769" s="65" t="s">
        <v>4039</v>
      </c>
    </row>
    <row r="32770" spans="1:2" x14ac:dyDescent="0.25">
      <c r="A32770" s="64" t="str">
        <f>HYPERLINK("http://www.twitter.com/DazCoates57", "DazCoates57")</f>
        <v>DazCoates57</v>
      </c>
      <c r="B32770" s="65" t="s">
        <v>8155</v>
      </c>
    </row>
    <row r="32771" spans="1:2" x14ac:dyDescent="0.25">
      <c r="A32771" s="64" t="str">
        <f>HYPERLINK("http://www.twitter.com/jeaninness1", "jeaninness1")</f>
        <v>jeaninness1</v>
      </c>
      <c r="B32771" s="65" t="s">
        <v>5027</v>
      </c>
    </row>
    <row r="32772" spans="1:2" x14ac:dyDescent="0.25">
      <c r="A32772" s="64" t="str">
        <f>HYPERLINK("http://www.twitter.com/alastairmolloy", "alastairmolloy")</f>
        <v>alastairmolloy</v>
      </c>
      <c r="B32772" s="65"/>
    </row>
    <row r="32773" spans="1:2" x14ac:dyDescent="0.25">
      <c r="A32773" s="64" t="str">
        <f>HYPERLINK("http://www.twitter.com/rosie_ann_leigh", "rosie_ann_leigh")</f>
        <v>rosie_ann_leigh</v>
      </c>
      <c r="B32773" s="65" t="s">
        <v>9533</v>
      </c>
    </row>
    <row r="32774" spans="1:2" x14ac:dyDescent="0.25">
      <c r="A32774" s="64" t="str">
        <f>HYPERLINK("http://www.twitter.com/paulkgray", "paulkgray")</f>
        <v>paulkgray</v>
      </c>
      <c r="B32774" s="65" t="s">
        <v>12896</v>
      </c>
    </row>
    <row r="32775" spans="1:2" x14ac:dyDescent="0.25">
      <c r="A32775" s="64" t="str">
        <f>HYPERLINK("http://www.twitter.com/Scot_Stories", "Scot_Stories")</f>
        <v>Scot_Stories</v>
      </c>
      <c r="B32775" s="65" t="s">
        <v>487</v>
      </c>
    </row>
    <row r="32776" spans="1:2" x14ac:dyDescent="0.25">
      <c r="A32776" s="64" t="str">
        <f>HYPERLINK("http://www.twitter.com/standrewpress", "standrewpress")</f>
        <v>standrewpress</v>
      </c>
      <c r="B32776" s="65" t="s">
        <v>24</v>
      </c>
    </row>
    <row r="32777" spans="1:2" x14ac:dyDescent="0.25">
      <c r="A32777" s="64" t="str">
        <f>HYPERLINK("http://www.twitter.com/SngwrtngGuitrst", "SngwrtngGuitrst")</f>
        <v>SngwrtngGuitrst</v>
      </c>
      <c r="B32777" s="65"/>
    </row>
    <row r="32778" spans="1:2" x14ac:dyDescent="0.25">
      <c r="A32778" s="64" t="str">
        <f>HYPERLINK("http://www.twitter.com/deborahmou", "deborahmou")</f>
        <v>deborahmou</v>
      </c>
      <c r="B32778" s="65" t="s">
        <v>7679</v>
      </c>
    </row>
    <row r="32779" spans="1:2" x14ac:dyDescent="0.25">
      <c r="A32779" s="64" t="str">
        <f>HYPERLINK("http://www.twitter.com/D_Crutchfield", "D_Crutchfield")</f>
        <v>D_Crutchfield</v>
      </c>
      <c r="B32779" s="65" t="s">
        <v>110</v>
      </c>
    </row>
    <row r="32780" spans="1:2" x14ac:dyDescent="0.25">
      <c r="A32780" s="64" t="str">
        <f>HYPERLINK("http://www.twitter.com/kimhburns", "kimhburns")</f>
        <v>kimhburns</v>
      </c>
      <c r="B32780" s="65" t="s">
        <v>4227</v>
      </c>
    </row>
    <row r="32781" spans="1:2" x14ac:dyDescent="0.25">
      <c r="A32781" s="64" t="str">
        <f>HYPERLINK("http://www.twitter.com/portiacait", "portiacait")</f>
        <v>portiacait</v>
      </c>
      <c r="B32781" s="65" t="s">
        <v>12897</v>
      </c>
    </row>
    <row r="32782" spans="1:2" x14ac:dyDescent="0.25">
      <c r="A32782" s="64" t="str">
        <f>HYPERLINK("http://www.twitter.com/M_A_K_News", "M_A_K_News")</f>
        <v>M_A_K_News</v>
      </c>
      <c r="B32782" s="65" t="s">
        <v>4404</v>
      </c>
    </row>
    <row r="32783" spans="1:2" x14ac:dyDescent="0.25">
      <c r="A32783" s="64" t="str">
        <f>HYPERLINK("http://www.twitter.com/donowt", "donowt")</f>
        <v>donowt</v>
      </c>
      <c r="B32783" s="65" t="s">
        <v>12898</v>
      </c>
    </row>
    <row r="32784" spans="1:2" x14ac:dyDescent="0.25">
      <c r="A32784" s="64" t="str">
        <f>HYPERLINK("http://www.twitter.com/OneworldNews", "OneworldNews")</f>
        <v>OneworldNews</v>
      </c>
      <c r="B32784" s="65" t="s">
        <v>12899</v>
      </c>
    </row>
    <row r="32785" spans="1:2" x14ac:dyDescent="0.25">
      <c r="A32785" s="64" t="str">
        <f>HYPERLINK("http://www.twitter.com/jsmla54", "jsmla54")</f>
        <v>jsmla54</v>
      </c>
      <c r="B32785" s="65"/>
    </row>
    <row r="32786" spans="1:2" x14ac:dyDescent="0.25">
      <c r="A32786" s="64" t="str">
        <f>HYPERLINK("http://www.twitter.com/dentynell", "dentynell")</f>
        <v>dentynell</v>
      </c>
      <c r="B32786" s="65"/>
    </row>
    <row r="32787" spans="1:2" x14ac:dyDescent="0.25">
      <c r="A32787" s="64" t="str">
        <f>HYPERLINK("http://www.twitter.com/ChristineFears", "ChristineFears")</f>
        <v>ChristineFears</v>
      </c>
      <c r="B32787" s="65" t="s">
        <v>477</v>
      </c>
    </row>
    <row r="32788" spans="1:2" x14ac:dyDescent="0.25">
      <c r="A32788" s="64" t="str">
        <f>HYPERLINK("http://www.twitter.com/drearyagent", "drearyagent")</f>
        <v>drearyagent</v>
      </c>
      <c r="B32788" s="65" t="s">
        <v>12900</v>
      </c>
    </row>
    <row r="32789" spans="1:2" x14ac:dyDescent="0.25">
      <c r="A32789" s="64" t="str">
        <f>HYPERLINK("http://www.twitter.com/thefrolick", "thefrolick")</f>
        <v>thefrolick</v>
      </c>
      <c r="B32789" s="65" t="s">
        <v>110</v>
      </c>
    </row>
    <row r="32790" spans="1:2" x14ac:dyDescent="0.25">
      <c r="A32790" s="64" t="str">
        <f>HYPERLINK("http://www.twitter.com/R_McCormack", "R_McCormack")</f>
        <v>R_McCormack</v>
      </c>
      <c r="B32790" s="65" t="s">
        <v>12901</v>
      </c>
    </row>
    <row r="32791" spans="1:2" x14ac:dyDescent="0.25">
      <c r="A32791" s="64" t="str">
        <f>HYPERLINK("http://www.twitter.com/sarahemilyduff", "sarahemilyduff")</f>
        <v>sarahemilyduff</v>
      </c>
      <c r="B32791" s="65" t="s">
        <v>4570</v>
      </c>
    </row>
    <row r="32792" spans="1:2" x14ac:dyDescent="0.25">
      <c r="A32792" s="64" t="str">
        <f>HYPERLINK("http://www.twitter.com/AlanTaylorPaint", "AlanTaylorPaint")</f>
        <v>AlanTaylorPaint</v>
      </c>
      <c r="B32792" s="65" t="s">
        <v>12902</v>
      </c>
    </row>
    <row r="32793" spans="1:2" x14ac:dyDescent="0.25">
      <c r="A32793" s="64" t="str">
        <f>HYPERLINK("http://www.twitter.com/jo_ruth_wilson", "jo_ruth_wilson")</f>
        <v>jo_ruth_wilson</v>
      </c>
      <c r="B32793" s="65" t="s">
        <v>36</v>
      </c>
    </row>
    <row r="32794" spans="1:2" x14ac:dyDescent="0.25">
      <c r="A32794" s="64" t="str">
        <f>HYPERLINK("http://www.twitter.com/DavilaAnn", "DavilaAnn")</f>
        <v>DavilaAnn</v>
      </c>
      <c r="B32794" s="65" t="s">
        <v>12903</v>
      </c>
    </row>
    <row r="32795" spans="1:2" x14ac:dyDescent="0.25">
      <c r="A32795" s="64" t="str">
        <f>HYPERLINK("http://www.twitter.com/McQueryan", "McQueryan")</f>
        <v>McQueryan</v>
      </c>
      <c r="B32795" s="65"/>
    </row>
    <row r="32796" spans="1:2" x14ac:dyDescent="0.25">
      <c r="A32796" s="64" t="str">
        <f>HYPERLINK("http://www.twitter.com/brianjaffa", "brianjaffa")</f>
        <v>brianjaffa</v>
      </c>
      <c r="B32796" s="65" t="s">
        <v>12904</v>
      </c>
    </row>
    <row r="32797" spans="1:2" x14ac:dyDescent="0.25">
      <c r="A32797" s="64" t="str">
        <f>HYPERLINK("http://www.twitter.com/KellyQHicks", "KellyQHicks")</f>
        <v>KellyQHicks</v>
      </c>
      <c r="B32797" s="65" t="s">
        <v>12905</v>
      </c>
    </row>
    <row r="32798" spans="1:2" x14ac:dyDescent="0.25">
      <c r="A32798" s="64" t="str">
        <f>HYPERLINK("http://www.twitter.com/GrimwoodAssoc", "GrimwoodAssoc")</f>
        <v>GrimwoodAssoc</v>
      </c>
      <c r="B32798" s="65" t="s">
        <v>296</v>
      </c>
    </row>
    <row r="32799" spans="1:2" x14ac:dyDescent="0.25">
      <c r="A32799" s="64" t="str">
        <f>HYPERLINK("http://www.twitter.com/spikermatte", "spikermatte")</f>
        <v>spikermatte</v>
      </c>
      <c r="B32799" s="65" t="s">
        <v>4274</v>
      </c>
    </row>
    <row r="32800" spans="1:2" x14ac:dyDescent="0.25">
      <c r="A32800" s="64" t="str">
        <f>HYPERLINK("http://www.twitter.com/librarygirlsks", "librarygirlsks")</f>
        <v>librarygirlsks</v>
      </c>
      <c r="B32800" s="65" t="s">
        <v>12906</v>
      </c>
    </row>
    <row r="32801" spans="1:2" x14ac:dyDescent="0.25">
      <c r="A32801" s="64" t="str">
        <f>HYPERLINK("http://www.twitter.com/Private_House", "Private_House")</f>
        <v>Private_House</v>
      </c>
      <c r="B32801" s="65" t="s">
        <v>12907</v>
      </c>
    </row>
    <row r="32802" spans="1:2" x14ac:dyDescent="0.25">
      <c r="A32802" s="64" t="str">
        <f>HYPERLINK("http://www.twitter.com/emma_taylor36", "emma_taylor36")</f>
        <v>emma_taylor36</v>
      </c>
      <c r="B32802" s="65"/>
    </row>
    <row r="32803" spans="1:2" x14ac:dyDescent="0.25">
      <c r="A32803" s="64" t="str">
        <f>HYPERLINK("http://www.twitter.com/ALshrahi", "ALshrahi")</f>
        <v>ALshrahi</v>
      </c>
      <c r="B32803" s="65"/>
    </row>
    <row r="32804" spans="1:2" x14ac:dyDescent="0.25">
      <c r="A32804" s="64" t="str">
        <f>HYPERLINK("http://www.twitter.com/PaulGorman79", "PaulGorman79")</f>
        <v>PaulGorman79</v>
      </c>
      <c r="B32804" s="65" t="s">
        <v>24</v>
      </c>
    </row>
    <row r="32805" spans="1:2" x14ac:dyDescent="0.25">
      <c r="A32805" s="64" t="str">
        <f>HYPERLINK("http://www.twitter.com/MackayElaine", "MackayElaine")</f>
        <v>MackayElaine</v>
      </c>
      <c r="B32805" s="65" t="s">
        <v>12908</v>
      </c>
    </row>
    <row r="32806" spans="1:2" x14ac:dyDescent="0.25">
      <c r="A32806" s="64" t="str">
        <f>HYPERLINK("http://www.twitter.com/vodka660", "vodka660")</f>
        <v>vodka660</v>
      </c>
      <c r="B32806" s="65" t="s">
        <v>4985</v>
      </c>
    </row>
    <row r="32807" spans="1:2" x14ac:dyDescent="0.25">
      <c r="A32807" s="64" t="str">
        <f>HYPERLINK("http://www.twitter.com/libcynicat", "libcynicat")</f>
        <v>libcynicat</v>
      </c>
      <c r="B32807" s="65"/>
    </row>
    <row r="32808" spans="1:2" x14ac:dyDescent="0.25">
      <c r="A32808" s="64" t="str">
        <f>HYPERLINK("http://www.twitter.com/returntobristol", "returntobristol")</f>
        <v>returntobristol</v>
      </c>
      <c r="B32808" s="65" t="s">
        <v>1873</v>
      </c>
    </row>
    <row r="32809" spans="1:2" x14ac:dyDescent="0.25">
      <c r="A32809" s="64" t="str">
        <f>HYPERLINK("http://www.twitter.com/coops456", "coops456")</f>
        <v>coops456</v>
      </c>
      <c r="B32809" s="65" t="s">
        <v>296</v>
      </c>
    </row>
    <row r="32810" spans="1:2" x14ac:dyDescent="0.25">
      <c r="A32810" s="64" t="str">
        <f>HYPERLINK("http://www.twitter.com/HelsHT", "HelsHT")</f>
        <v>HelsHT</v>
      </c>
      <c r="B32810" s="65" t="s">
        <v>12909</v>
      </c>
    </row>
    <row r="32811" spans="1:2" x14ac:dyDescent="0.25">
      <c r="A32811" s="64" t="str">
        <f>HYPERLINK("http://www.twitter.com/snixonion", "snixonion")</f>
        <v>snixonion</v>
      </c>
      <c r="B32811" s="65" t="s">
        <v>511</v>
      </c>
    </row>
    <row r="32812" spans="1:2" x14ac:dyDescent="0.25">
      <c r="A32812" s="64" t="str">
        <f>HYPERLINK("http://www.twitter.com/ladylozreena", "ladylozreena")</f>
        <v>ladylozreena</v>
      </c>
      <c r="B32812" s="65"/>
    </row>
    <row r="32813" spans="1:2" x14ac:dyDescent="0.25">
      <c r="A32813" s="64" t="str">
        <f>HYPERLINK("http://www.twitter.com/GrumpyOldViking", "GrumpyOldViking")</f>
        <v>GrumpyOldViking</v>
      </c>
      <c r="B32813" s="65" t="s">
        <v>20</v>
      </c>
    </row>
    <row r="32814" spans="1:2" x14ac:dyDescent="0.25">
      <c r="A32814" s="64" t="str">
        <f>HYPERLINK("http://www.twitter.com/Uni_Coursework", "Uni_Coursework")</f>
        <v>Uni_Coursework</v>
      </c>
      <c r="B32814" s="65" t="s">
        <v>296</v>
      </c>
    </row>
    <row r="32815" spans="1:2" x14ac:dyDescent="0.25">
      <c r="A32815" s="64" t="str">
        <f>HYPERLINK("http://www.twitter.com/WiscoLibrarian", "WiscoLibrarian")</f>
        <v>WiscoLibrarian</v>
      </c>
      <c r="B32815" s="65" t="s">
        <v>12910</v>
      </c>
    </row>
    <row r="32816" spans="1:2" x14ac:dyDescent="0.25">
      <c r="A32816" s="64" t="str">
        <f>HYPERLINK("http://www.twitter.com/eleni2008", "eleni2008")</f>
        <v>eleni2008</v>
      </c>
      <c r="B32816" s="65" t="s">
        <v>569</v>
      </c>
    </row>
    <row r="32817" spans="1:2" x14ac:dyDescent="0.25">
      <c r="A32817" s="64" t="str">
        <f>HYPERLINK("http://www.twitter.com/rocknrollhamstr", "rocknrollhamstr")</f>
        <v>rocknrollhamstr</v>
      </c>
      <c r="B32817" s="65"/>
    </row>
    <row r="32818" spans="1:2" x14ac:dyDescent="0.25">
      <c r="A32818" s="64" t="str">
        <f>HYPERLINK("http://www.twitter.com/OICSportLeisure", "OICSportLeisure")</f>
        <v>OICSportLeisure</v>
      </c>
      <c r="B32818" s="65" t="s">
        <v>5667</v>
      </c>
    </row>
    <row r="32819" spans="1:2" x14ac:dyDescent="0.25">
      <c r="A32819" s="64" t="str">
        <f>HYPERLINK("http://www.twitter.com/StdntSchlBks", "StdntSchlBks")</f>
        <v>StdntSchlBks</v>
      </c>
      <c r="B32819" s="65"/>
    </row>
    <row r="32820" spans="1:2" x14ac:dyDescent="0.25">
      <c r="A32820" s="64" t="str">
        <f>HYPERLINK("http://www.twitter.com/Blackwellsta", "Blackwellsta")</f>
        <v>Blackwellsta</v>
      </c>
      <c r="B32820" s="65" t="s">
        <v>4049</v>
      </c>
    </row>
    <row r="32821" spans="1:2" x14ac:dyDescent="0.25">
      <c r="A32821" s="64" t="str">
        <f>HYPERLINK("http://www.twitter.com/DebsFurness", "DebsFurness")</f>
        <v>DebsFurness</v>
      </c>
      <c r="B32821" s="65" t="s">
        <v>12911</v>
      </c>
    </row>
    <row r="32822" spans="1:2" x14ac:dyDescent="0.25">
      <c r="A32822" s="64" t="str">
        <f>HYPERLINK("http://www.twitter.com/ilkjournal", "ilkjournal")</f>
        <v>ilkjournal</v>
      </c>
      <c r="B32822" s="65"/>
    </row>
    <row r="32823" spans="1:2" x14ac:dyDescent="0.25">
      <c r="A32823" s="64" t="str">
        <f>HYPERLINK("http://www.twitter.com/felixculpa1", "felixculpa1")</f>
        <v>felixculpa1</v>
      </c>
      <c r="B32823" s="65"/>
    </row>
    <row r="32824" spans="1:2" x14ac:dyDescent="0.25">
      <c r="A32824" s="64" t="str">
        <f>HYPERLINK("http://www.twitter.com/SpodoKomodo", "SpodoKomodo")</f>
        <v>SpodoKomodo</v>
      </c>
      <c r="B32824" s="65" t="s">
        <v>36</v>
      </c>
    </row>
    <row r="32825" spans="1:2" x14ac:dyDescent="0.25">
      <c r="A32825" s="64" t="str">
        <f>HYPERLINK("http://www.twitter.com/DonaldGraham78", "DonaldGraham78")</f>
        <v>DonaldGraham78</v>
      </c>
      <c r="B32825" s="65" t="s">
        <v>12912</v>
      </c>
    </row>
    <row r="32826" spans="1:2" x14ac:dyDescent="0.25">
      <c r="A32826" s="64" t="str">
        <f>HYPERLINK("http://www.twitter.com/sunshinesshop", "sunshinesshop")</f>
        <v>sunshinesshop</v>
      </c>
      <c r="B32826" s="65"/>
    </row>
    <row r="32827" spans="1:2" x14ac:dyDescent="0.25">
      <c r="A32827" s="64" t="str">
        <f>HYPERLINK("http://www.twitter.com/Jektislcp", "Jektislcp")</f>
        <v>Jektislcp</v>
      </c>
      <c r="B32827" s="65"/>
    </row>
    <row r="32828" spans="1:2" x14ac:dyDescent="0.25">
      <c r="A32828" s="64" t="str">
        <f>HYPERLINK("http://www.twitter.com/Lynne160", "Lynne160")</f>
        <v>Lynne160</v>
      </c>
      <c r="B32828" s="65"/>
    </row>
    <row r="32829" spans="1:2" x14ac:dyDescent="0.25">
      <c r="A32829" s="64" t="str">
        <f>HYPERLINK("http://www.twitter.com/JamesMAllan", "JamesMAllan")</f>
        <v>JamesMAllan</v>
      </c>
      <c r="B32829" s="65" t="s">
        <v>12</v>
      </c>
    </row>
    <row r="32830" spans="1:2" x14ac:dyDescent="0.25">
      <c r="A32830" s="64" t="str">
        <f>HYPERLINK("http://www.twitter.com/flacksanks", "flacksanks")</f>
        <v>flacksanks</v>
      </c>
      <c r="B32830" s="65" t="s">
        <v>4463</v>
      </c>
    </row>
    <row r="32831" spans="1:2" x14ac:dyDescent="0.25">
      <c r="A32831" s="64" t="str">
        <f>HYPERLINK("http://www.twitter.com/AWElearning", "AWElearning")</f>
        <v>AWElearning</v>
      </c>
      <c r="B32831" s="65" t="s">
        <v>12913</v>
      </c>
    </row>
    <row r="32832" spans="1:2" x14ac:dyDescent="0.25">
      <c r="A32832" s="64" t="str">
        <f>HYPERLINK("http://www.twitter.com/librariesbwd", "librariesbwd")</f>
        <v>librariesbwd</v>
      </c>
      <c r="B32832" s="65" t="s">
        <v>2096</v>
      </c>
    </row>
    <row r="32833" spans="1:2" x14ac:dyDescent="0.25">
      <c r="A32833" s="64" t="str">
        <f>HYPERLINK("http://www.twitter.com/books32", "books32")</f>
        <v>books32</v>
      </c>
      <c r="B32833" s="65"/>
    </row>
    <row r="32834" spans="1:2" x14ac:dyDescent="0.25">
      <c r="A32834" s="64" t="str">
        <f>HYPERLINK("http://www.twitter.com/carowrit", "carowrit")</f>
        <v>carowrit</v>
      </c>
      <c r="B32834" s="65" t="s">
        <v>11297</v>
      </c>
    </row>
    <row r="32835" spans="1:2" x14ac:dyDescent="0.25">
      <c r="A32835" s="64" t="str">
        <f>HYPERLINK("http://www.twitter.com/Summer481", "Summer481")</f>
        <v>Summer481</v>
      </c>
      <c r="B32835" s="65"/>
    </row>
    <row r="32836" spans="1:2" x14ac:dyDescent="0.25">
      <c r="A32836" s="64" t="str">
        <f>HYPERLINK("http://www.twitter.com/Sam_Harris", "Sam_Harris")</f>
        <v>Sam_Harris</v>
      </c>
      <c r="B32836" s="65" t="s">
        <v>3875</v>
      </c>
    </row>
    <row r="32837" spans="1:2" x14ac:dyDescent="0.25">
      <c r="A32837" s="64" t="str">
        <f>HYPERLINK("http://www.twitter.com/FrancescaReason", "FrancescaReason")</f>
        <v>FrancescaReason</v>
      </c>
      <c r="B32837" s="65" t="s">
        <v>12914</v>
      </c>
    </row>
    <row r="32838" spans="1:2" x14ac:dyDescent="0.25">
      <c r="A32838" s="64" t="str">
        <f>HYPERLINK("http://www.twitter.com/merman1978", "merman1978")</f>
        <v>merman1978</v>
      </c>
      <c r="B32838" s="65"/>
    </row>
    <row r="32839" spans="1:2" x14ac:dyDescent="0.25">
      <c r="A32839" s="64" t="str">
        <f>HYPERLINK("http://www.twitter.com/StayOrkney", "StayOrkney")</f>
        <v>StayOrkney</v>
      </c>
      <c r="B32839" s="65"/>
    </row>
    <row r="32840" spans="1:2" x14ac:dyDescent="0.25">
      <c r="A32840" s="64" t="str">
        <f>HYPERLINK("http://www.twitter.com/dianajwright", "dianajwright")</f>
        <v>dianajwright</v>
      </c>
      <c r="B32840" s="65"/>
    </row>
    <row r="32841" spans="1:2" x14ac:dyDescent="0.25">
      <c r="A32841" s="64" t="str">
        <f>HYPERLINK("http://www.twitter.com/MurrayBeithProp", "MurrayBeithProp")</f>
        <v>MurrayBeithProp</v>
      </c>
      <c r="B32841" s="65" t="s">
        <v>24</v>
      </c>
    </row>
    <row r="32842" spans="1:2" x14ac:dyDescent="0.25">
      <c r="A32842" s="64" t="str">
        <f>HYPERLINK("http://www.twitter.com/Marco__V", "Marco__V")</f>
        <v>Marco__V</v>
      </c>
      <c r="B32842" s="65" t="s">
        <v>2007</v>
      </c>
    </row>
    <row r="32843" spans="1:2" x14ac:dyDescent="0.25">
      <c r="A32843" s="64" t="str">
        <f>HYPERLINK("http://www.twitter.com/thevma", "thevma")</f>
        <v>thevma</v>
      </c>
      <c r="B32843" s="65" t="s">
        <v>310</v>
      </c>
    </row>
    <row r="32844" spans="1:2" x14ac:dyDescent="0.25">
      <c r="A32844" s="64" t="str">
        <f>HYPERLINK("http://www.twitter.com/equaliser", "equaliser")</f>
        <v>equaliser</v>
      </c>
      <c r="B32844" s="65" t="s">
        <v>8337</v>
      </c>
    </row>
    <row r="32845" spans="1:2" x14ac:dyDescent="0.25">
      <c r="A32845" s="64" t="str">
        <f>HYPERLINK("http://www.twitter.com/CovTM", "CovTM")</f>
        <v>CovTM</v>
      </c>
      <c r="B32845" s="65" t="s">
        <v>8337</v>
      </c>
    </row>
    <row r="32846" spans="1:2" x14ac:dyDescent="0.25">
      <c r="A32846" s="64" t="str">
        <f>HYPERLINK("http://www.twitter.com/fillhaze", "fillhaze")</f>
        <v>fillhaze</v>
      </c>
      <c r="B32846" s="65" t="s">
        <v>8288</v>
      </c>
    </row>
    <row r="32847" spans="1:2" x14ac:dyDescent="0.25">
      <c r="A32847" s="64" t="str">
        <f>HYPERLINK("http://www.twitter.com/coolrobyn7", "coolrobyn7")</f>
        <v>coolrobyn7</v>
      </c>
      <c r="B32847" s="65" t="s">
        <v>12915</v>
      </c>
    </row>
    <row r="32848" spans="1:2" x14ac:dyDescent="0.25">
      <c r="A32848" s="64" t="str">
        <f>HYPERLINK("http://www.twitter.com/willmcgrew", "willmcgrew")</f>
        <v>willmcgrew</v>
      </c>
      <c r="B32848" s="65" t="s">
        <v>4237</v>
      </c>
    </row>
    <row r="32849" spans="1:2" x14ac:dyDescent="0.25">
      <c r="A32849" s="64" t="str">
        <f>HYPERLINK("http://www.twitter.com/jillybeanlib", "jillybeanlib")</f>
        <v>jillybeanlib</v>
      </c>
      <c r="B32849" s="65" t="s">
        <v>6149</v>
      </c>
    </row>
    <row r="32850" spans="1:2" x14ac:dyDescent="0.25">
      <c r="A32850" s="64" t="str">
        <f>HYPERLINK("http://www.twitter.com/library_info", "library_info")</f>
        <v>library_info</v>
      </c>
      <c r="B32850" s="65"/>
    </row>
    <row r="32851" spans="1:2" x14ac:dyDescent="0.25">
      <c r="A32851" s="64" t="str">
        <f>HYPERLINK("http://www.twitter.com/shuckle", "shuckle")</f>
        <v>shuckle</v>
      </c>
      <c r="B32851" s="65" t="s">
        <v>12916</v>
      </c>
    </row>
    <row r="32852" spans="1:2" x14ac:dyDescent="0.25">
      <c r="A32852" s="64" t="str">
        <f>HYPERLINK("http://www.twitter.com/Sftwtweets", "Sftwtweets")</f>
        <v>Sftwtweets</v>
      </c>
      <c r="B32852" s="65" t="s">
        <v>310</v>
      </c>
    </row>
    <row r="32853" spans="1:2" x14ac:dyDescent="0.25">
      <c r="A32853" s="64" t="str">
        <f>HYPERLINK("http://www.twitter.com/dogearedlib", "dogearedlib")</f>
        <v>dogearedlib</v>
      </c>
      <c r="B32853" s="65" t="s">
        <v>12917</v>
      </c>
    </row>
    <row r="32854" spans="1:2" x14ac:dyDescent="0.25">
      <c r="A32854" s="64" t="str">
        <f>HYPERLINK("http://www.twitter.com/_PhilTurner_", "_PhilTurner_")</f>
        <v>_PhilTurner_</v>
      </c>
      <c r="B32854" s="65" t="s">
        <v>24</v>
      </c>
    </row>
    <row r="32855" spans="1:2" x14ac:dyDescent="0.25">
      <c r="A32855" s="64" t="str">
        <f>HYPERLINK("http://www.twitter.com/FitzHelen", "FitzHelen")</f>
        <v>FitzHelen</v>
      </c>
      <c r="B32855" s="65" t="s">
        <v>138</v>
      </c>
    </row>
    <row r="32856" spans="1:2" x14ac:dyDescent="0.25">
      <c r="A32856" s="64" t="str">
        <f>HYPERLINK("http://www.twitter.com/theresaswayne", "theresaswayne")</f>
        <v>theresaswayne</v>
      </c>
      <c r="B32856" s="65" t="s">
        <v>517</v>
      </c>
    </row>
    <row r="32857" spans="1:2" x14ac:dyDescent="0.25">
      <c r="A32857" s="64" t="str">
        <f>HYPERLINK("http://www.twitter.com/DDerraven", "DDerraven")</f>
        <v>DDerraven</v>
      </c>
      <c r="B32857" s="65" t="s">
        <v>12918</v>
      </c>
    </row>
    <row r="32858" spans="1:2" x14ac:dyDescent="0.25">
      <c r="A32858" s="64" t="str">
        <f>HYPERLINK("http://www.twitter.com/biblioluke", "biblioluke")</f>
        <v>biblioluke</v>
      </c>
      <c r="B32858" s="65" t="s">
        <v>361</v>
      </c>
    </row>
    <row r="32859" spans="1:2" x14ac:dyDescent="0.25">
      <c r="A32859" s="64" t="str">
        <f>HYPERLINK("http://www.twitter.com/dubcilib", "dubcilib")</f>
        <v>dubcilib</v>
      </c>
      <c r="B32859" s="65" t="s">
        <v>3760</v>
      </c>
    </row>
    <row r="32860" spans="1:2" x14ac:dyDescent="0.25">
      <c r="A32860" s="64" t="str">
        <f>HYPERLINK("http://www.twitter.com/bbccomedy", "bbccomedy")</f>
        <v>bbccomedy</v>
      </c>
      <c r="B32860" s="65" t="s">
        <v>110</v>
      </c>
    </row>
    <row r="32861" spans="1:2" x14ac:dyDescent="0.25">
      <c r="A32861" s="64" t="str">
        <f>HYPERLINK("http://www.twitter.com/ppsstacy", "ppsstacy")</f>
        <v>ppsstacy</v>
      </c>
      <c r="B32861" s="65"/>
    </row>
    <row r="32862" spans="1:2" x14ac:dyDescent="0.25">
      <c r="A32862" s="64" t="str">
        <f>HYPERLINK("http://www.twitter.com/lazyarcher", "lazyarcher")</f>
        <v>lazyarcher</v>
      </c>
      <c r="B32862" s="65" t="s">
        <v>2303</v>
      </c>
    </row>
    <row r="32863" spans="1:2" x14ac:dyDescent="0.25">
      <c r="A32863" s="64" t="str">
        <f>HYPERLINK("http://www.twitter.com/britishbearsuk", "britishbearsuk")</f>
        <v>britishbearsuk</v>
      </c>
      <c r="B32863" s="65" t="s">
        <v>12919</v>
      </c>
    </row>
    <row r="32864" spans="1:2" x14ac:dyDescent="0.25">
      <c r="A32864" s="64" t="str">
        <f>HYPERLINK("http://www.twitter.com/greatdestinati", "greatdestinati")</f>
        <v>greatdestinati</v>
      </c>
      <c r="B32864" s="65" t="s">
        <v>12920</v>
      </c>
    </row>
    <row r="32865" spans="1:2" x14ac:dyDescent="0.25">
      <c r="A32865" s="64" t="str">
        <f>HYPERLINK("http://www.twitter.com/SandraSpence1", "SandraSpence1")</f>
        <v>SandraSpence1</v>
      </c>
      <c r="B32865" s="65"/>
    </row>
    <row r="32866" spans="1:2" x14ac:dyDescent="0.25">
      <c r="A32866" s="64" t="str">
        <f>HYPERLINK("http://www.twitter.com/S_Cook2013", "S_Cook2013")</f>
        <v>S_Cook2013</v>
      </c>
      <c r="B32866" s="65" t="s">
        <v>1221</v>
      </c>
    </row>
    <row r="32867" spans="1:2" x14ac:dyDescent="0.25">
      <c r="A32867" s="64" t="str">
        <f>HYPERLINK("http://www.twitter.com/AnnaNotKarenina", "AnnaNotKarenina")</f>
        <v>AnnaNotKarenina</v>
      </c>
      <c r="B32867" s="65" t="s">
        <v>12921</v>
      </c>
    </row>
    <row r="32868" spans="1:2" x14ac:dyDescent="0.25">
      <c r="A32868" s="64" t="str">
        <f>HYPERLINK("http://www.twitter.com/prior_b", "prior_b")</f>
        <v>prior_b</v>
      </c>
      <c r="B32868" s="65"/>
    </row>
    <row r="32869" spans="1:2" x14ac:dyDescent="0.25">
      <c r="A32869" s="64" t="str">
        <f>HYPERLINK("http://www.twitter.com/simonvarwell", "simonvarwell")</f>
        <v>simonvarwell</v>
      </c>
      <c r="B32869" s="65" t="s">
        <v>4447</v>
      </c>
    </row>
    <row r="32870" spans="1:2" x14ac:dyDescent="0.25">
      <c r="A32870" s="64" t="str">
        <f>HYPERLINK("http://www.twitter.com/Universal_book", "Universal_book")</f>
        <v>Universal_book</v>
      </c>
      <c r="B32870" s="65" t="s">
        <v>12922</v>
      </c>
    </row>
    <row r="32871" spans="1:2" x14ac:dyDescent="0.25">
      <c r="A32871" s="64" t="str">
        <f>HYPERLINK("http://www.twitter.com/DoddFranks2990F", "DoddFranks2990F")</f>
        <v>DoddFranks2990F</v>
      </c>
      <c r="B32871" s="65"/>
    </row>
    <row r="32872" spans="1:2" x14ac:dyDescent="0.25">
      <c r="A32872" s="64" t="str">
        <f>HYPERLINK("http://www.twitter.com/LigeiaMcLachlan", "LigeiaMcLachlan")</f>
        <v>LigeiaMcLachlan</v>
      </c>
      <c r="B32872" s="65"/>
    </row>
    <row r="32873" spans="1:2" x14ac:dyDescent="0.25">
      <c r="A32873" s="64" t="str">
        <f>HYPERLINK("http://www.twitter.com/ailiemacdonald", "ailiemacdonald")</f>
        <v>ailiemacdonald</v>
      </c>
      <c r="B32873" s="65"/>
    </row>
    <row r="32874" spans="1:2" x14ac:dyDescent="0.25">
      <c r="A32874" s="64" t="str">
        <f>HYPERLINK("http://www.twitter.com/hpooljohnriddle", "hpooljohnriddle")</f>
        <v>hpooljohnriddle</v>
      </c>
      <c r="B32874" s="65" t="s">
        <v>12923</v>
      </c>
    </row>
    <row r="32875" spans="1:2" x14ac:dyDescent="0.25">
      <c r="A32875" s="64" t="str">
        <f>HYPERLINK("http://www.twitter.com/FrancisSchendel", "FrancisSchendel")</f>
        <v>FrancisSchendel</v>
      </c>
      <c r="B32875" s="65"/>
    </row>
    <row r="32876" spans="1:2" x14ac:dyDescent="0.25">
      <c r="A32876" s="64" t="str">
        <f>HYPERLINK("http://www.twitter.com/SammoisaPunkRkR", "SammoisaPunkRkR")</f>
        <v>SammoisaPunkRkR</v>
      </c>
      <c r="B32876" s="65" t="s">
        <v>3149</v>
      </c>
    </row>
    <row r="32877" spans="1:2" x14ac:dyDescent="0.25">
      <c r="A32877" s="64" t="str">
        <f>HYPERLINK("http://www.twitter.com/Gearzerino", "Gearzerino")</f>
        <v>Gearzerino</v>
      </c>
      <c r="B32877" s="65" t="s">
        <v>9648</v>
      </c>
    </row>
    <row r="32878" spans="1:2" x14ac:dyDescent="0.25">
      <c r="A32878" s="64" t="str">
        <f>HYPERLINK("http://www.twitter.com/SandwellArchive", "SandwellArchive")</f>
        <v>SandwellArchive</v>
      </c>
      <c r="B32878" s="65" t="s">
        <v>12924</v>
      </c>
    </row>
    <row r="32879" spans="1:2" x14ac:dyDescent="0.25">
      <c r="A32879" s="64" t="str">
        <f>HYPERLINK("http://www.twitter.com/feefeemcd", "feefeemcd")</f>
        <v>feefeemcd</v>
      </c>
      <c r="B32879" s="65"/>
    </row>
    <row r="32880" spans="1:2" x14ac:dyDescent="0.25">
      <c r="A32880" s="64" t="str">
        <f>HYPERLINK("http://www.twitter.com/WolvesArchives", "WolvesArchives")</f>
        <v>WolvesArchives</v>
      </c>
      <c r="B32880" s="65" t="s">
        <v>12925</v>
      </c>
    </row>
    <row r="32881" spans="1:2" x14ac:dyDescent="0.25">
      <c r="A32881" s="64" t="str">
        <f>HYPERLINK("http://www.twitter.com/augustwillow", "augustwillow")</f>
        <v>augustwillow</v>
      </c>
      <c r="B32881" s="65" t="s">
        <v>526</v>
      </c>
    </row>
    <row r="32882" spans="1:2" x14ac:dyDescent="0.25">
      <c r="A32882" s="64" t="str">
        <f>HYPERLINK("http://www.twitter.com/itshawis", "itshawis")</f>
        <v>itshawis</v>
      </c>
      <c r="B32882" s="65" t="s">
        <v>138</v>
      </c>
    </row>
    <row r="32883" spans="1:2" x14ac:dyDescent="0.25">
      <c r="A32883" s="64" t="str">
        <f>HYPERLINK("http://www.twitter.com/kategrigsby", "kategrigsby")</f>
        <v>kategrigsby</v>
      </c>
      <c r="B32883" s="65" t="s">
        <v>4234</v>
      </c>
    </row>
    <row r="32884" spans="1:2" x14ac:dyDescent="0.25">
      <c r="A32884" s="64" t="str">
        <f>HYPERLINK("http://www.twitter.com/jensgardyn", "jensgardyn")</f>
        <v>jensgardyn</v>
      </c>
      <c r="B32884" s="65" t="s">
        <v>12926</v>
      </c>
    </row>
    <row r="32885" spans="1:2" x14ac:dyDescent="0.25">
      <c r="A32885" s="64" t="str">
        <f>HYPERLINK("http://www.twitter.com/michaelmoody84", "michaelmoody84")</f>
        <v>michaelmoody84</v>
      </c>
      <c r="B32885" s="65"/>
    </row>
    <row r="32886" spans="1:2" x14ac:dyDescent="0.25">
      <c r="A32886" s="64" t="str">
        <f>HYPERLINK("http://www.twitter.com/PennyRobertson", "PennyRobertson")</f>
        <v>PennyRobertson</v>
      </c>
      <c r="B32886" s="65" t="s">
        <v>517</v>
      </c>
    </row>
    <row r="32887" spans="1:2" x14ac:dyDescent="0.25">
      <c r="A32887" s="64" t="str">
        <f>HYPERLINK("http://www.twitter.com/TeamLibrarian", "TeamLibrarian")</f>
        <v>TeamLibrarian</v>
      </c>
      <c r="B32887" s="65" t="s">
        <v>12927</v>
      </c>
    </row>
    <row r="32888" spans="1:2" x14ac:dyDescent="0.25">
      <c r="A32888" s="64" t="str">
        <f>HYPERLINK("http://www.twitter.com/ejhendo", "ejhendo")</f>
        <v>ejhendo</v>
      </c>
      <c r="B32888" s="65"/>
    </row>
    <row r="32889" spans="1:2" x14ac:dyDescent="0.25">
      <c r="A32889" s="64" t="str">
        <f>HYPERLINK("http://www.twitter.com/Jendel007", "Jendel007")</f>
        <v>Jendel007</v>
      </c>
      <c r="B32889" s="65"/>
    </row>
    <row r="32890" spans="1:2" x14ac:dyDescent="0.25">
      <c r="A32890" s="64" t="str">
        <f>HYPERLINK("http://www.twitter.com/rlwling", "rlwling")</f>
        <v>rlwling</v>
      </c>
      <c r="B32890" s="65" t="s">
        <v>12928</v>
      </c>
    </row>
    <row r="32891" spans="1:2" x14ac:dyDescent="0.25">
      <c r="A32891" s="64" t="str">
        <f>HYPERLINK("http://www.twitter.com/PicturestoShare", "PicturestoShare")</f>
        <v>PicturestoShare</v>
      </c>
      <c r="B32891" s="65" t="s">
        <v>456</v>
      </c>
    </row>
    <row r="32892" spans="1:2" x14ac:dyDescent="0.25">
      <c r="A32892" s="64" t="str">
        <f>HYPERLINK("http://www.twitter.com/ScotsArchives", "ScotsArchives")</f>
        <v>ScotsArchives</v>
      </c>
      <c r="B32892" s="65" t="s">
        <v>517</v>
      </c>
    </row>
    <row r="32893" spans="1:2" x14ac:dyDescent="0.25">
      <c r="A32893" s="64" t="str">
        <f>HYPERLINK("http://www.twitter.com/Starrybluesky", "Starrybluesky")</f>
        <v>Starrybluesky</v>
      </c>
      <c r="B32893" s="65" t="s">
        <v>11399</v>
      </c>
    </row>
    <row r="32894" spans="1:2" x14ac:dyDescent="0.25">
      <c r="A32894" s="64" t="str">
        <f>HYPERLINK("http://www.twitter.com/nicaonghais", "nicaonghais")</f>
        <v>nicaonghais</v>
      </c>
      <c r="B32894" s="65" t="s">
        <v>2007</v>
      </c>
    </row>
    <row r="32895" spans="1:2" x14ac:dyDescent="0.25">
      <c r="A32895" s="64" t="str">
        <f>HYPERLINK("http://www.twitter.com/forsyth246", "forsyth246")</f>
        <v>forsyth246</v>
      </c>
      <c r="B32895" s="65" t="s">
        <v>808</v>
      </c>
    </row>
    <row r="32896" spans="1:2" x14ac:dyDescent="0.25">
      <c r="A32896" s="64" t="str">
        <f>HYPERLINK("http://www.twitter.com/SirKenelmDigby", "SirKenelmDigby")</f>
        <v>SirKenelmDigby</v>
      </c>
      <c r="B32896" s="65" t="s">
        <v>12929</v>
      </c>
    </row>
    <row r="32897" spans="1:2" x14ac:dyDescent="0.25">
      <c r="A32897" s="64" t="str">
        <f>HYPERLINK("http://www.twitter.com/BruceEdwinWood", "BruceEdwinWood")</f>
        <v>BruceEdwinWood</v>
      </c>
      <c r="B32897" s="65" t="s">
        <v>4501</v>
      </c>
    </row>
    <row r="32898" spans="1:2" x14ac:dyDescent="0.25">
      <c r="A32898" s="64" t="str">
        <f>HYPERLINK("http://www.twitter.com/ClairePascoe", "ClairePascoe")</f>
        <v>ClairePascoe</v>
      </c>
      <c r="B32898" s="65" t="s">
        <v>180</v>
      </c>
    </row>
    <row r="32899" spans="1:2" x14ac:dyDescent="0.25">
      <c r="A32899" s="64" t="str">
        <f>HYPERLINK("http://www.twitter.com/sewhipfolkie", "sewhipfolkie")</f>
        <v>sewhipfolkie</v>
      </c>
      <c r="B32899" s="65" t="s">
        <v>12930</v>
      </c>
    </row>
    <row r="32900" spans="1:2" x14ac:dyDescent="0.25">
      <c r="A32900" s="64" t="str">
        <f>HYPERLINK("http://www.twitter.com/smartacow", "smartacow")</f>
        <v>smartacow</v>
      </c>
      <c r="B32900" s="65" t="s">
        <v>296</v>
      </c>
    </row>
    <row r="32901" spans="1:2" x14ac:dyDescent="0.25">
      <c r="A32901" s="64" t="str">
        <f>HYPERLINK("http://www.twitter.com/dakegra", "dakegra")</f>
        <v>dakegra</v>
      </c>
      <c r="B32901" s="65" t="s">
        <v>3512</v>
      </c>
    </row>
    <row r="32902" spans="1:2" x14ac:dyDescent="0.25">
      <c r="A32902" s="64" t="str">
        <f>HYPERLINK("http://www.twitter.com/Byblos14", "Byblos14")</f>
        <v>Byblos14</v>
      </c>
      <c r="B32902" s="65" t="s">
        <v>4041</v>
      </c>
    </row>
    <row r="32903" spans="1:2" x14ac:dyDescent="0.25">
      <c r="A32903" s="64" t="str">
        <f>HYPERLINK("http://www.twitter.com/RhiannonEOwen", "RhiannonEOwen")</f>
        <v>RhiannonEOwen</v>
      </c>
      <c r="B32903" s="65"/>
    </row>
    <row r="32904" spans="1:2" x14ac:dyDescent="0.25">
      <c r="A32904" s="64" t="str">
        <f>HYPERLINK("http://www.twitter.com/AnnaTatherine", "AnnaTatherine")</f>
        <v>AnnaTatherine</v>
      </c>
      <c r="B32904" s="65" t="s">
        <v>508</v>
      </c>
    </row>
    <row r="32905" spans="1:2" x14ac:dyDescent="0.25">
      <c r="A32905" s="64" t="str">
        <f>HYPERLINK("http://www.twitter.com/Te13bear", "Te13bear")</f>
        <v>Te13bear</v>
      </c>
      <c r="B32905" s="65" t="s">
        <v>8800</v>
      </c>
    </row>
    <row r="32906" spans="1:2" x14ac:dyDescent="0.25">
      <c r="A32906" s="64" t="str">
        <f>HYPERLINK("http://www.twitter.com/WeeBletherer", "WeeBletherer")</f>
        <v>WeeBletherer</v>
      </c>
      <c r="B32906" s="65" t="s">
        <v>24</v>
      </c>
    </row>
    <row r="32907" spans="1:2" x14ac:dyDescent="0.25">
      <c r="A32907" s="64" t="str">
        <f>HYPERLINK("http://www.twitter.com/Simoniser", "Simoniser")</f>
        <v>Simoniser</v>
      </c>
      <c r="B32907" s="65"/>
    </row>
    <row r="32908" spans="1:2" x14ac:dyDescent="0.25">
      <c r="A32908" s="64" t="str">
        <f>HYPERLINK("http://www.twitter.com/eatatbalfours", "eatatbalfours")</f>
        <v>eatatbalfours</v>
      </c>
      <c r="B32908" s="65" t="s">
        <v>11700</v>
      </c>
    </row>
    <row r="32909" spans="1:2" x14ac:dyDescent="0.25">
      <c r="A32909" s="64" t="str">
        <f>HYPERLINK("http://www.twitter.com/KateWesterlund", "KateWesterlund")</f>
        <v>KateWesterlund</v>
      </c>
      <c r="B32909" s="65"/>
    </row>
    <row r="32910" spans="1:2" x14ac:dyDescent="0.25">
      <c r="A32910" s="64" t="str">
        <f>HYPERLINK("http://www.twitter.com/mimferris", "mimferris")</f>
        <v>mimferris</v>
      </c>
      <c r="B32910" s="65" t="s">
        <v>12931</v>
      </c>
    </row>
    <row r="32911" spans="1:2" x14ac:dyDescent="0.25">
      <c r="A32911" s="64" t="str">
        <f>HYPERLINK("http://www.twitter.com/ajove1", "ajove1")</f>
        <v>ajove1</v>
      </c>
      <c r="B32911" s="65"/>
    </row>
    <row r="32912" spans="1:2" x14ac:dyDescent="0.25">
      <c r="A32912" s="64" t="str">
        <f>HYPERLINK("http://www.twitter.com/kintailb", "kintailb")</f>
        <v>kintailb</v>
      </c>
      <c r="B32912" s="65"/>
    </row>
    <row r="32913" spans="1:2" x14ac:dyDescent="0.25">
      <c r="A32913" s="64" t="str">
        <f>HYPERLINK("http://www.twitter.com/gareth2point0", "gareth2point0")</f>
        <v>gareth2point0</v>
      </c>
      <c r="B32913" s="65" t="s">
        <v>788</v>
      </c>
    </row>
    <row r="32914" spans="1:2" x14ac:dyDescent="0.25">
      <c r="A32914" s="64" t="str">
        <f>HYPERLINK("http://www.twitter.com/donnalove45", "donnalove45")</f>
        <v>donnalove45</v>
      </c>
      <c r="B32914" s="65" t="s">
        <v>12932</v>
      </c>
    </row>
    <row r="32915" spans="1:2" x14ac:dyDescent="0.25">
      <c r="A32915" s="64" t="str">
        <f>HYPERLINK("http://www.twitter.com/Cameronzip", "Cameronzip")</f>
        <v>Cameronzip</v>
      </c>
      <c r="B32915" s="65" t="s">
        <v>12933</v>
      </c>
    </row>
    <row r="32916" spans="1:2" x14ac:dyDescent="0.25">
      <c r="A32916" s="64" t="str">
        <f>HYPERLINK("http://www.twitter.com/KerryMichie", "KerryMichie")</f>
        <v>KerryMichie</v>
      </c>
      <c r="B32916" s="65" t="s">
        <v>12934</v>
      </c>
    </row>
    <row r="32917" spans="1:2" x14ac:dyDescent="0.25">
      <c r="A32917" s="64" t="str">
        <f>HYPERLINK("http://www.twitter.com/StMagnusAngela", "StMagnusAngela")</f>
        <v>StMagnusAngela</v>
      </c>
      <c r="B32917" s="65" t="s">
        <v>4519</v>
      </c>
    </row>
    <row r="32918" spans="1:2" x14ac:dyDescent="0.25">
      <c r="A32918" s="64" t="str">
        <f>HYPERLINK("http://www.twitter.com/glasgowjane", "glasgowjane")</f>
        <v>glasgowjane</v>
      </c>
      <c r="B32918" s="65" t="s">
        <v>517</v>
      </c>
    </row>
    <row r="32919" spans="1:2" x14ac:dyDescent="0.25">
      <c r="A32919" s="64" t="str">
        <f>HYPERLINK("http://www.twitter.com/Doroobubss98", "Doroobubss98")</f>
        <v>Doroobubss98</v>
      </c>
      <c r="B32919" s="65" t="s">
        <v>517</v>
      </c>
    </row>
    <row r="32920" spans="1:2" x14ac:dyDescent="0.25">
      <c r="A32920" s="64" t="str">
        <f>HYPERLINK("http://www.twitter.com/markclouston", "markclouston")</f>
        <v>markclouston</v>
      </c>
      <c r="B32920" s="65" t="s">
        <v>4227</v>
      </c>
    </row>
    <row r="32921" spans="1:2" x14ac:dyDescent="0.25">
      <c r="A32921" s="64" t="str">
        <f>HYPERLINK("http://www.twitter.com/BIG4LakeMac", "BIG4LakeMac")</f>
        <v>BIG4LakeMac</v>
      </c>
      <c r="B32921" s="65" t="s">
        <v>12935</v>
      </c>
    </row>
    <row r="32922" spans="1:2" x14ac:dyDescent="0.25">
      <c r="A32922" s="64" t="str">
        <f>HYPERLINK("http://www.twitter.com/dorotheainrome", "dorotheainrome")</f>
        <v>dorotheainrome</v>
      </c>
      <c r="B32922" s="65"/>
    </row>
    <row r="32923" spans="1:2" x14ac:dyDescent="0.25">
      <c r="A32923" s="64" t="str">
        <f>HYPERLINK("http://www.twitter.com/BookFringe", "BookFringe")</f>
        <v>BookFringe</v>
      </c>
      <c r="B32923" s="65" t="s">
        <v>487</v>
      </c>
    </row>
    <row r="32924" spans="1:2" x14ac:dyDescent="0.25">
      <c r="A32924" s="64" t="str">
        <f>HYPERLINK("http://www.twitter.com/AngelTranslator", "AngelTranslator")</f>
        <v>AngelTranslator</v>
      </c>
      <c r="B32924" s="65" t="s">
        <v>20</v>
      </c>
    </row>
    <row r="32925" spans="1:2" x14ac:dyDescent="0.25">
      <c r="A32925" s="64" t="str">
        <f>HYPERLINK("http://www.twitter.com/Ness_Battery", "Ness_Battery")</f>
        <v>Ness_Battery</v>
      </c>
      <c r="B32925" s="65" t="s">
        <v>8360</v>
      </c>
    </row>
    <row r="32926" spans="1:2" x14ac:dyDescent="0.25">
      <c r="A32926" s="64" t="str">
        <f>HYPERLINK("http://www.twitter.com/dotrural", "dotrural")</f>
        <v>dotrural</v>
      </c>
      <c r="B32926" s="65" t="s">
        <v>12936</v>
      </c>
    </row>
    <row r="32927" spans="1:2" x14ac:dyDescent="0.25">
      <c r="A32927" s="64" t="str">
        <f>HYPERLINK("http://www.twitter.com/ScottishPenguin", "ScottishPenguin")</f>
        <v>ScottishPenguin</v>
      </c>
      <c r="B32927" s="65" t="s">
        <v>318</v>
      </c>
    </row>
    <row r="32928" spans="1:2" x14ac:dyDescent="0.25">
      <c r="A32928" s="64" t="str">
        <f>HYPERLINK("http://www.twitter.com/weebesom", "weebesom")</f>
        <v>weebesom</v>
      </c>
      <c r="B32928" s="65"/>
    </row>
    <row r="32929" spans="1:2" x14ac:dyDescent="0.25">
      <c r="A32929" s="64" t="str">
        <f>HYPERLINK("http://www.twitter.com/katyhackney", "katyhackney")</f>
        <v>katyhackney</v>
      </c>
      <c r="B32929" s="65" t="s">
        <v>3633</v>
      </c>
    </row>
    <row r="32930" spans="1:2" x14ac:dyDescent="0.25">
      <c r="A32930" s="64" t="str">
        <f>HYPERLINK("http://www.twitter.com/cplrc", "cplrc")</f>
        <v>cplrc</v>
      </c>
      <c r="B32930" s="65" t="s">
        <v>4292</v>
      </c>
    </row>
    <row r="32931" spans="1:2" x14ac:dyDescent="0.25">
      <c r="A32931" s="64" t="str">
        <f>HYPERLINK("http://www.twitter.com/MsTick68", "MsTick68")</f>
        <v>MsTick68</v>
      </c>
      <c r="B32931" s="65" t="s">
        <v>12937</v>
      </c>
    </row>
    <row r="32932" spans="1:2" x14ac:dyDescent="0.25">
      <c r="A32932" s="64" t="str">
        <f>HYPERLINK("http://www.twitter.com/thisrocks", "thisrocks")</f>
        <v>thisrocks</v>
      </c>
      <c r="B32932" s="65" t="s">
        <v>12938</v>
      </c>
    </row>
    <row r="32933" spans="1:2" x14ac:dyDescent="0.25">
      <c r="A32933" s="64" t="str">
        <f>HYPERLINK("http://www.twitter.com/InsigniaSftware", "InsigniaSftware")</f>
        <v>InsigniaSftware</v>
      </c>
      <c r="B32933" s="65" t="s">
        <v>9367</v>
      </c>
    </row>
    <row r="32934" spans="1:2" x14ac:dyDescent="0.25">
      <c r="A32934" s="64" t="str">
        <f>HYPERLINK("http://www.twitter.com/MLMMC", "MLMMC")</f>
        <v>MLMMC</v>
      </c>
      <c r="B32934" s="65"/>
    </row>
    <row r="32935" spans="1:2" x14ac:dyDescent="0.25">
      <c r="A32935" s="64" t="str">
        <f>HYPERLINK("http://www.twitter.com/imsarcastic", "imsarcastic")</f>
        <v>imsarcastic</v>
      </c>
      <c r="B32935" s="65" t="s">
        <v>5341</v>
      </c>
    </row>
    <row r="32936" spans="1:2" x14ac:dyDescent="0.25">
      <c r="A32936" s="64" t="str">
        <f>HYPERLINK("http://www.twitter.com/TupeleDorgu", "TupeleDorgu")</f>
        <v>TupeleDorgu</v>
      </c>
      <c r="B32936" s="65" t="s">
        <v>8489</v>
      </c>
    </row>
    <row r="32937" spans="1:2" x14ac:dyDescent="0.25">
      <c r="A32937" s="64" t="str">
        <f>HYPERLINK("http://www.twitter.com/sylviawrath88", "sylviawrath88")</f>
        <v>sylviawrath88</v>
      </c>
      <c r="B32937" s="65" t="s">
        <v>2595</v>
      </c>
    </row>
    <row r="32938" spans="1:2" x14ac:dyDescent="0.25">
      <c r="A32938" s="64" t="str">
        <f>HYPERLINK("http://www.twitter.com/JonS1950", "JonS1950")</f>
        <v>JonS1950</v>
      </c>
      <c r="B32938" s="65" t="s">
        <v>70</v>
      </c>
    </row>
    <row r="32939" spans="1:2" x14ac:dyDescent="0.25">
      <c r="A32939" s="64" t="str">
        <f>HYPERLINK("http://www.twitter.com/HullUniBookshop", "HullUniBookshop")</f>
        <v>HullUniBookshop</v>
      </c>
      <c r="B32939" s="65" t="s">
        <v>12939</v>
      </c>
    </row>
    <row r="32940" spans="1:2" x14ac:dyDescent="0.25">
      <c r="A32940" s="64" t="str">
        <f>HYPERLINK("http://www.twitter.com/BenCoodeAdams", "BenCoodeAdams")</f>
        <v>BenCoodeAdams</v>
      </c>
      <c r="B32940" s="65" t="s">
        <v>12940</v>
      </c>
    </row>
    <row r="32941" spans="1:2" x14ac:dyDescent="0.25">
      <c r="A32941" s="64" t="str">
        <f>HYPERLINK("http://www.twitter.com/DianeKelday", "DianeKelday")</f>
        <v>DianeKelday</v>
      </c>
      <c r="B32941" s="65" t="s">
        <v>20</v>
      </c>
    </row>
    <row r="32942" spans="1:2" x14ac:dyDescent="0.25">
      <c r="A32942" s="64" t="str">
        <f>HYPERLINK("http://www.twitter.com/NLSlearn", "NLSlearn")</f>
        <v>NLSlearn</v>
      </c>
      <c r="B32942" s="65" t="s">
        <v>24</v>
      </c>
    </row>
    <row r="32943" spans="1:2" x14ac:dyDescent="0.25">
      <c r="A32943" s="64" t="str">
        <f>HYPERLINK("http://www.twitter.com/librarylass62", "librarylass62")</f>
        <v>librarylass62</v>
      </c>
      <c r="B32943" s="65" t="s">
        <v>12941</v>
      </c>
    </row>
    <row r="32944" spans="1:2" x14ac:dyDescent="0.25">
      <c r="A32944" s="64" t="str">
        <f>HYPERLINK("http://www.twitter.com/LibrariesNL", "LibrariesNL")</f>
        <v>LibrariesNL</v>
      </c>
      <c r="B32944" s="65" t="s">
        <v>3668</v>
      </c>
    </row>
    <row r="32945" spans="1:2" x14ac:dyDescent="0.25">
      <c r="A32945" s="64" t="str">
        <f>HYPERLINK("http://www.twitter.com/RuthHunterLib", "RuthHunterLib")</f>
        <v>RuthHunterLib</v>
      </c>
      <c r="B32945" s="65" t="s">
        <v>1417</v>
      </c>
    </row>
    <row r="32946" spans="1:2" x14ac:dyDescent="0.25">
      <c r="A32946" s="64" t="str">
        <f>HYPERLINK("http://www.twitter.com/AVWoman", "AVWoman")</f>
        <v>AVWoman</v>
      </c>
      <c r="B32946" s="65" t="s">
        <v>12942</v>
      </c>
    </row>
    <row r="32947" spans="1:2" x14ac:dyDescent="0.25">
      <c r="A32947" s="64" t="str">
        <f>HYPERLINK("http://www.twitter.com/danslee", "danslee")</f>
        <v>danslee</v>
      </c>
      <c r="B32947" s="65" t="s">
        <v>10668</v>
      </c>
    </row>
    <row r="32948" spans="1:2" x14ac:dyDescent="0.25">
      <c r="A32948" s="64" t="str">
        <f>HYPERLINK("http://www.twitter.com/dgee11", "dgee11")</f>
        <v>dgee11</v>
      </c>
      <c r="B32948" s="65" t="s">
        <v>12943</v>
      </c>
    </row>
    <row r="32949" spans="1:2" x14ac:dyDescent="0.25">
      <c r="A32949" s="64" t="str">
        <f>HYPERLINK("http://www.twitter.com/sloshfan", "sloshfan")</f>
        <v>sloshfan</v>
      </c>
      <c r="B32949" s="65" t="s">
        <v>487</v>
      </c>
    </row>
    <row r="32950" spans="1:2" x14ac:dyDescent="0.25">
      <c r="A32950" s="64" t="str">
        <f>HYPERLINK("http://www.twitter.com/SueHillRec", "SueHillRec")</f>
        <v>SueHillRec</v>
      </c>
      <c r="B32950" s="65" t="s">
        <v>36</v>
      </c>
    </row>
    <row r="32951" spans="1:2" x14ac:dyDescent="0.25">
      <c r="A32951" s="64" t="str">
        <f>HYPERLINK("http://www.twitter.com/AnimatedMedical", "AnimatedMedical")</f>
        <v>AnimatedMedical</v>
      </c>
      <c r="B32951" s="65" t="s">
        <v>12944</v>
      </c>
    </row>
    <row r="32952" spans="1:2" x14ac:dyDescent="0.25">
      <c r="A32952" s="64" t="str">
        <f>HYPERLINK("http://www.twitter.com/rjnicolson", "rjnicolson")</f>
        <v>rjnicolson</v>
      </c>
      <c r="B32952" s="65" t="s">
        <v>8177</v>
      </c>
    </row>
    <row r="32953" spans="1:2" x14ac:dyDescent="0.25">
      <c r="A32953" s="64" t="str">
        <f>HYPERLINK("http://www.twitter.com/Action4Archives", "Action4Archives")</f>
        <v>Action4Archives</v>
      </c>
      <c r="B32953" s="65"/>
    </row>
    <row r="32954" spans="1:2" x14ac:dyDescent="0.25">
      <c r="A32954" s="64" t="str">
        <f>HYPERLINK("http://www.twitter.com/meromac", "meromac")</f>
        <v>meromac</v>
      </c>
      <c r="B32954" s="65"/>
    </row>
    <row r="32955" spans="1:2" x14ac:dyDescent="0.25">
      <c r="A32955" s="64" t="str">
        <f>HYPERLINK("http://www.twitter.com/kampoengilmu", "kampoengilmu")</f>
        <v>kampoengilmu</v>
      </c>
      <c r="B32955" s="65" t="s">
        <v>12945</v>
      </c>
    </row>
    <row r="32956" spans="1:2" x14ac:dyDescent="0.25">
      <c r="A32956" s="64" t="str">
        <f>HYPERLINK("http://www.twitter.com/JustinSomper", "JustinSomper")</f>
        <v>JustinSomper</v>
      </c>
      <c r="B32956" s="65" t="s">
        <v>12946</v>
      </c>
    </row>
    <row r="32957" spans="1:2" x14ac:dyDescent="0.25">
      <c r="A32957" s="64" t="str">
        <f>HYPERLINK("http://www.twitter.com/MsAlliance", "MsAlliance")</f>
        <v>MsAlliance</v>
      </c>
      <c r="B32957" s="65" t="s">
        <v>12947</v>
      </c>
    </row>
    <row r="32958" spans="1:2" x14ac:dyDescent="0.25">
      <c r="A32958" s="64" t="str">
        <f>HYPERLINK("http://www.twitter.com/karenraynor", "karenraynor")</f>
        <v>karenraynor</v>
      </c>
      <c r="B32958" s="65" t="s">
        <v>5976</v>
      </c>
    </row>
    <row r="32959" spans="1:2" x14ac:dyDescent="0.25">
      <c r="A32959" s="64" t="str">
        <f>HYPERLINK("http://www.twitter.com/CareerG2day", "CareerG2day")</f>
        <v>CareerG2day</v>
      </c>
      <c r="B32959" s="65" t="s">
        <v>12948</v>
      </c>
    </row>
    <row r="32960" spans="1:2" x14ac:dyDescent="0.25">
      <c r="A32960" s="64" t="str">
        <f>HYPERLINK("http://www.twitter.com/JanManimoi", "JanManimoi")</f>
        <v>JanManimoi</v>
      </c>
      <c r="B32960" s="65" t="s">
        <v>4695</v>
      </c>
    </row>
    <row r="32961" spans="1:2" x14ac:dyDescent="0.25">
      <c r="A32961" s="64" t="str">
        <f>HYPERLINK("http://www.twitter.com/MarstellarM", "MarstellarM")</f>
        <v>MarstellarM</v>
      </c>
      <c r="B32961" s="65" t="s">
        <v>3199</v>
      </c>
    </row>
    <row r="32962" spans="1:2" x14ac:dyDescent="0.25">
      <c r="A32962" s="64" t="str">
        <f>HYPERLINK("http://www.twitter.com/_tarakennedy", "_tarakennedy")</f>
        <v>_tarakennedy</v>
      </c>
      <c r="B32962" s="65" t="s">
        <v>5773</v>
      </c>
    </row>
    <row r="32963" spans="1:2" x14ac:dyDescent="0.25">
      <c r="A32963" s="64" t="str">
        <f>HYPERLINK("http://www.twitter.com/malkoid", "malkoid")</f>
        <v>malkoid</v>
      </c>
      <c r="B32963" s="65" t="s">
        <v>487</v>
      </c>
    </row>
    <row r="32964" spans="1:2" x14ac:dyDescent="0.25">
      <c r="A32964" s="64" t="str">
        <f>HYPERLINK("http://www.twitter.com/MoraghPitt", "MoraghPitt")</f>
        <v>MoraghPitt</v>
      </c>
      <c r="B32964" s="65" t="s">
        <v>12949</v>
      </c>
    </row>
    <row r="32965" spans="1:2" x14ac:dyDescent="0.25">
      <c r="A32965" s="64" t="str">
        <f>HYPERLINK("http://www.twitter.com/IMF_Trujillo", "IMF_Trujillo")</f>
        <v>IMF_Trujillo</v>
      </c>
      <c r="B32965" s="65"/>
    </row>
    <row r="32966" spans="1:2" x14ac:dyDescent="0.25">
      <c r="A32966" s="64" t="str">
        <f>HYPERLINK("http://www.twitter.com/IAFS_EU", "IAFS_EU")</f>
        <v>IAFS_EU</v>
      </c>
      <c r="B32966" s="65" t="s">
        <v>4085</v>
      </c>
    </row>
    <row r="32967" spans="1:2" x14ac:dyDescent="0.25">
      <c r="A32967" s="64" t="str">
        <f>HYPERLINK("http://www.twitter.com/brycemain", "brycemain")</f>
        <v>brycemain</v>
      </c>
      <c r="B32967" s="65" t="s">
        <v>296</v>
      </c>
    </row>
    <row r="32968" spans="1:2" x14ac:dyDescent="0.25">
      <c r="A32968" s="64" t="str">
        <f>HYPERLINK("http://www.twitter.com/expliKATive", "expliKATive")</f>
        <v>expliKATive</v>
      </c>
      <c r="B32968" s="65"/>
    </row>
    <row r="32969" spans="1:2" x14ac:dyDescent="0.25">
      <c r="A32969" s="64" t="str">
        <f>HYPERLINK("http://www.twitter.com/VerdiMurray", "VerdiMurray")</f>
        <v>VerdiMurray</v>
      </c>
      <c r="B32969" s="65"/>
    </row>
    <row r="32970" spans="1:2" x14ac:dyDescent="0.25">
      <c r="A32970" s="64" t="str">
        <f>HYPERLINK("http://www.twitter.com/emalcolmson", "emalcolmson")</f>
        <v>emalcolmson</v>
      </c>
      <c r="B32970" s="65" t="s">
        <v>138</v>
      </c>
    </row>
    <row r="32971" spans="1:2" x14ac:dyDescent="0.25">
      <c r="A32971" s="64" t="str">
        <f>HYPERLINK("http://www.twitter.com/Vagabondvoices", "Vagabondvoices")</f>
        <v>Vagabondvoices</v>
      </c>
      <c r="B32971" s="65" t="s">
        <v>138</v>
      </c>
    </row>
    <row r="32972" spans="1:2" x14ac:dyDescent="0.25">
      <c r="A32972" s="64" t="str">
        <f>HYPERLINK("http://www.twitter.com/TextBookRebind", "TextBookRebind")</f>
        <v>TextBookRebind</v>
      </c>
      <c r="B32972" s="65" t="s">
        <v>12950</v>
      </c>
    </row>
    <row r="32973" spans="1:2" x14ac:dyDescent="0.25">
      <c r="A32973" s="64" t="str">
        <f>HYPERLINK("http://www.twitter.com/AuthorBrice", "AuthorBrice")</f>
        <v>AuthorBrice</v>
      </c>
      <c r="B32973" s="65" t="s">
        <v>12951</v>
      </c>
    </row>
    <row r="32974" spans="1:2" x14ac:dyDescent="0.25">
      <c r="A32974" s="64" t="str">
        <f>HYPERLINK("http://www.twitter.com/jill204", "jill204")</f>
        <v>jill204</v>
      </c>
      <c r="B32974" s="65" t="s">
        <v>9863</v>
      </c>
    </row>
    <row r="32975" spans="1:2" x14ac:dyDescent="0.25">
      <c r="A32975" s="64" t="str">
        <f>HYPERLINK("http://www.twitter.com/VeridianDigiLib", "VeridianDigiLib")</f>
        <v>VeridianDigiLib</v>
      </c>
      <c r="B32975" s="65" t="s">
        <v>7602</v>
      </c>
    </row>
    <row r="32976" spans="1:2" x14ac:dyDescent="0.25">
      <c r="A32976" s="64" t="str">
        <f>HYPERLINK("http://www.twitter.com/patsyconvery", "patsyconvery")</f>
        <v>patsyconvery</v>
      </c>
      <c r="B32976" s="65"/>
    </row>
    <row r="32977" spans="1:2" x14ac:dyDescent="0.25">
      <c r="A32977" s="64" t="str">
        <f>HYPERLINK("http://www.twitter.com/AgentSal", "AgentSal")</f>
        <v>AgentSal</v>
      </c>
      <c r="B32977" s="65" t="s">
        <v>3817</v>
      </c>
    </row>
    <row r="32978" spans="1:2" x14ac:dyDescent="0.25">
      <c r="A32978" s="64" t="str">
        <f>HYPERLINK("http://www.twitter.com/readingspines", "readingspines")</f>
        <v>readingspines</v>
      </c>
      <c r="B32978" s="65" t="s">
        <v>3030</v>
      </c>
    </row>
    <row r="32979" spans="1:2" x14ac:dyDescent="0.25">
      <c r="A32979" s="64" t="str">
        <f>HYPERLINK("http://www.twitter.com/JoineeAnun", "JoineeAnun")</f>
        <v>JoineeAnun</v>
      </c>
      <c r="B32979" s="65"/>
    </row>
    <row r="32980" spans="1:2" x14ac:dyDescent="0.25">
      <c r="A32980" s="64" t="str">
        <f>HYPERLINK("http://www.twitter.com/LucyWoodley", "LucyWoodley")</f>
        <v>LucyWoodley</v>
      </c>
      <c r="B32980" s="65"/>
    </row>
    <row r="32981" spans="1:2" x14ac:dyDescent="0.25">
      <c r="A32981" s="64" t="str">
        <f>HYPERLINK("http://www.twitter.com/NicolaStratton", "NicolaStratton")</f>
        <v>NicolaStratton</v>
      </c>
      <c r="B32981" s="65" t="s">
        <v>487</v>
      </c>
    </row>
    <row r="32982" spans="1:2" x14ac:dyDescent="0.25">
      <c r="A32982" s="64" t="str">
        <f>HYPERLINK("http://www.twitter.com/orkneyjar", "orkneyjar")</f>
        <v>orkneyjar</v>
      </c>
      <c r="B32982" s="65" t="s">
        <v>12952</v>
      </c>
    </row>
    <row r="32983" spans="1:2" x14ac:dyDescent="0.25">
      <c r="A32983" s="64" t="str">
        <f>HYPERLINK("http://www.twitter.com/BertieBlue", "BertieBlue")</f>
        <v>BertieBlue</v>
      </c>
      <c r="B32983" s="65" t="s">
        <v>4237</v>
      </c>
    </row>
    <row r="32984" spans="1:2" x14ac:dyDescent="0.25">
      <c r="A32984" s="64" t="str">
        <f>HYPERLINK("http://www.twitter.com/pinkgerbera1", "pinkgerbera1")</f>
        <v>pinkgerbera1</v>
      </c>
      <c r="B32984" s="65" t="s">
        <v>5490</v>
      </c>
    </row>
    <row r="32985" spans="1:2" x14ac:dyDescent="0.25">
      <c r="A32985" s="64" t="str">
        <f>HYPERLINK("http://www.twitter.com/RaeEarl", "RaeEarl")</f>
        <v>RaeEarl</v>
      </c>
      <c r="B32985" s="65"/>
    </row>
    <row r="32986" spans="1:2" x14ac:dyDescent="0.25">
      <c r="A32986" s="64" t="str">
        <f>HYPERLINK("http://www.twitter.com/knellr", "knellr")</f>
        <v>knellr</v>
      </c>
      <c r="B32986" s="65" t="s">
        <v>4040</v>
      </c>
    </row>
    <row r="32987" spans="1:2" x14ac:dyDescent="0.25">
      <c r="A32987" s="64" t="str">
        <f>HYPERLINK("http://www.twitter.com/mimibones", "mimibones")</f>
        <v>mimibones</v>
      </c>
      <c r="B32987" s="65"/>
    </row>
    <row r="32988" spans="1:2" x14ac:dyDescent="0.25">
      <c r="A32988" s="64" t="str">
        <f>HYPERLINK("http://www.twitter.com/CameoCinema", "CameoCinema")</f>
        <v>CameoCinema</v>
      </c>
      <c r="B32988" s="65" t="s">
        <v>24</v>
      </c>
    </row>
    <row r="32989" spans="1:2" x14ac:dyDescent="0.25">
      <c r="A32989" s="64" t="str">
        <f>HYPERLINK("http://www.twitter.com/La_Lynne", "La_Lynne")</f>
        <v>La_Lynne</v>
      </c>
      <c r="B32989" s="65" t="s">
        <v>12953</v>
      </c>
    </row>
    <row r="32990" spans="1:2" x14ac:dyDescent="0.25">
      <c r="A32990" s="64" t="str">
        <f>HYPERLINK("http://www.twitter.com/Goonflower", "Goonflower")</f>
        <v>Goonflower</v>
      </c>
      <c r="B32990" s="65" t="s">
        <v>12954</v>
      </c>
    </row>
    <row r="32991" spans="1:2" x14ac:dyDescent="0.25">
      <c r="A32991" s="64" t="str">
        <f>HYPERLINK("http://www.twitter.com/knittingtrex", "knittingtrex")</f>
        <v>knittingtrex</v>
      </c>
      <c r="B32991" s="65" t="s">
        <v>12955</v>
      </c>
    </row>
    <row r="32992" spans="1:2" x14ac:dyDescent="0.25">
      <c r="A32992" s="64" t="str">
        <f>HYPERLINK("http://www.twitter.com/clairemims", "clairemims")</f>
        <v>clairemims</v>
      </c>
      <c r="B32992" s="65" t="s">
        <v>5339</v>
      </c>
    </row>
    <row r="32993" spans="1:2" x14ac:dyDescent="0.25">
      <c r="A32993" s="64" t="str">
        <f>HYPERLINK("http://www.twitter.com/SarahDay555", "SarahDay555")</f>
        <v>SarahDay555</v>
      </c>
      <c r="B32993" s="65" t="s">
        <v>4289</v>
      </c>
    </row>
    <row r="32994" spans="1:2" x14ac:dyDescent="0.25">
      <c r="A32994" s="64" t="str">
        <f>HYPERLINK("http://www.twitter.com/dwcorne", "dwcorne")</f>
        <v>dwcorne</v>
      </c>
      <c r="B32994" s="65" t="s">
        <v>12956</v>
      </c>
    </row>
    <row r="32995" spans="1:2" x14ac:dyDescent="0.25">
      <c r="A32995" s="64" t="str">
        <f>HYPERLINK("http://www.twitter.com/annelidworm", "annelidworm")</f>
        <v>annelidworm</v>
      </c>
      <c r="B32995" s="65" t="s">
        <v>232</v>
      </c>
    </row>
    <row r="32996" spans="1:2" x14ac:dyDescent="0.25">
      <c r="A32996" s="64" t="str">
        <f>HYPERLINK("http://www.twitter.com/hazelmay8", "hazelmay8")</f>
        <v>hazelmay8</v>
      </c>
      <c r="B32996" s="65" t="s">
        <v>36</v>
      </c>
    </row>
    <row r="32997" spans="1:2" x14ac:dyDescent="0.25">
      <c r="A32997" s="64" t="str">
        <f>HYPERLINK("http://www.twitter.com/DaveJames78", "DaveJames78")</f>
        <v>DaveJames78</v>
      </c>
      <c r="B32997" s="65" t="s">
        <v>12957</v>
      </c>
    </row>
    <row r="32998" spans="1:2" x14ac:dyDescent="0.25">
      <c r="A32998" s="64" t="str">
        <f>HYPERLINK("http://www.twitter.com/eleanormharris", "eleanormharris")</f>
        <v>eleanormharris</v>
      </c>
      <c r="B32998" s="65" t="s">
        <v>487</v>
      </c>
    </row>
    <row r="32999" spans="1:2" x14ac:dyDescent="0.25">
      <c r="A32999" s="64" t="str">
        <f>HYPERLINK("http://www.twitter.com/iainwallace", "iainwallace")</f>
        <v>iainwallace</v>
      </c>
      <c r="B32999" s="65" t="s">
        <v>3995</v>
      </c>
    </row>
    <row r="33000" spans="1:2" x14ac:dyDescent="0.25">
      <c r="A33000" s="64" t="str">
        <f>HYPERLINK("http://www.twitter.com/StevenHeywood", "StevenHeywood")</f>
        <v>StevenHeywood</v>
      </c>
      <c r="B33000" s="65" t="s">
        <v>12958</v>
      </c>
    </row>
    <row r="33001" spans="1:2" x14ac:dyDescent="0.25">
      <c r="A33001" s="64" t="str">
        <f>HYPERLINK("http://www.twitter.com/sandsharp", "sandsharp")</f>
        <v>sandsharp</v>
      </c>
      <c r="B33001" s="65" t="s">
        <v>12959</v>
      </c>
    </row>
    <row r="33002" spans="1:2" x14ac:dyDescent="0.25">
      <c r="A33002" s="64" t="str">
        <f>HYPERLINK("http://www.twitter.com/CILIP_LSG", "CILIP_LSG")</f>
        <v>CILIP_LSG</v>
      </c>
      <c r="B33002" s="65" t="s">
        <v>296</v>
      </c>
    </row>
    <row r="33003" spans="1:2" x14ac:dyDescent="0.25">
      <c r="A33003" s="64" t="str">
        <f>HYPERLINK("http://www.twitter.com/mymumdom", "mymumdom")</f>
        <v>mymumdom</v>
      </c>
      <c r="B33003" s="65" t="s">
        <v>12960</v>
      </c>
    </row>
    <row r="33004" spans="1:2" x14ac:dyDescent="0.25">
      <c r="A33004" s="64" t="str">
        <f>HYPERLINK("http://www.twitter.com/charlotterach", "charlotterach")</f>
        <v>charlotterach</v>
      </c>
      <c r="B33004" s="65" t="s">
        <v>110</v>
      </c>
    </row>
    <row r="33005" spans="1:2" x14ac:dyDescent="0.25">
      <c r="A33005" s="64" t="str">
        <f>HYPERLINK("http://www.twitter.com/nickilah", "nickilah")</f>
        <v>nickilah</v>
      </c>
      <c r="B33005" s="65" t="s">
        <v>12961</v>
      </c>
    </row>
    <row r="33006" spans="1:2" x14ac:dyDescent="0.25">
      <c r="A33006" s="64" t="str">
        <f>HYPERLINK("http://www.twitter.com/pjokitalo", "pjokitalo")</f>
        <v>pjokitalo</v>
      </c>
      <c r="B33006" s="65" t="s">
        <v>12962</v>
      </c>
    </row>
    <row r="33007" spans="1:2" x14ac:dyDescent="0.25">
      <c r="A33007" s="64" t="str">
        <f>HYPERLINK("http://www.twitter.com/HollyJazz", "HollyJazz")</f>
        <v>HollyJazz</v>
      </c>
      <c r="B33007" s="65" t="s">
        <v>12963</v>
      </c>
    </row>
    <row r="33008" spans="1:2" x14ac:dyDescent="0.25">
      <c r="A33008" s="64" t="str">
        <f>HYPERLINK("http://www.twitter.com/Jennyjetharris", "Jennyjetharris")</f>
        <v>Jennyjetharris</v>
      </c>
      <c r="B33008" s="65" t="s">
        <v>1402</v>
      </c>
    </row>
    <row r="33009" spans="1:2" x14ac:dyDescent="0.25">
      <c r="A33009" s="64" t="str">
        <f>HYPERLINK("http://www.twitter.com/nwlunison", "nwlunison")</f>
        <v>nwlunison</v>
      </c>
      <c r="B33009" s="65" t="s">
        <v>12964</v>
      </c>
    </row>
    <row r="33010" spans="1:2" x14ac:dyDescent="0.25">
      <c r="A33010" s="64" t="str">
        <f>HYPERLINK("http://www.twitter.com/andreacurley71", "andreacurley71")</f>
        <v>andreacurley71</v>
      </c>
      <c r="B33010" s="65" t="s">
        <v>6902</v>
      </c>
    </row>
    <row r="33011" spans="1:2" x14ac:dyDescent="0.25">
      <c r="A33011" s="64" t="str">
        <f>HYPERLINK("http://www.twitter.com/FinchleyDisco", "FinchleyDisco")</f>
        <v>FinchleyDisco</v>
      </c>
      <c r="B33011" s="65"/>
    </row>
    <row r="33012" spans="1:2" x14ac:dyDescent="0.25">
      <c r="A33012" s="64" t="str">
        <f>HYPERLINK("http://www.twitter.com/mo_musing", "mo_musing")</f>
        <v>mo_musing</v>
      </c>
      <c r="B33012" s="65" t="s">
        <v>12965</v>
      </c>
    </row>
    <row r="33013" spans="1:2" x14ac:dyDescent="0.25">
      <c r="A33013" s="64" t="str">
        <f>HYPERLINK("http://www.twitter.com/TorfaenLibrary", "TorfaenLibrary")</f>
        <v>TorfaenLibrary</v>
      </c>
      <c r="B33013" s="65" t="s">
        <v>749</v>
      </c>
    </row>
    <row r="33014" spans="1:2" x14ac:dyDescent="0.25">
      <c r="A33014" s="64" t="str">
        <f>HYPERLINK("http://www.twitter.com/carlychats", "carlychats")</f>
        <v>carlychats</v>
      </c>
      <c r="B33014" s="65" t="s">
        <v>36</v>
      </c>
    </row>
    <row r="33015" spans="1:2" x14ac:dyDescent="0.25">
      <c r="A33015" s="64" t="str">
        <f>HYPERLINK("http://www.twitter.com/maraqued", "maraqued")</f>
        <v>maraqued</v>
      </c>
      <c r="B33015" s="65" t="s">
        <v>138</v>
      </c>
    </row>
    <row r="33016" spans="1:2" x14ac:dyDescent="0.25">
      <c r="A33016" s="64" t="str">
        <f>HYPERLINK("http://www.twitter.com/Leslibn", "Leslibn")</f>
        <v>Leslibn</v>
      </c>
      <c r="B33016" s="65" t="s">
        <v>456</v>
      </c>
    </row>
    <row r="33017" spans="1:2" x14ac:dyDescent="0.25">
      <c r="A33017" s="64" t="str">
        <f>HYPERLINK("http://www.twitter.com/Corporate_Bull", "Corporate_Bull")</f>
        <v>Corporate_Bull</v>
      </c>
      <c r="B33017" s="65"/>
    </row>
    <row r="33018" spans="1:2" x14ac:dyDescent="0.25">
      <c r="A33018" s="64" t="str">
        <f>HYPERLINK("http://www.twitter.com/ChazBrenchley", "ChazBrenchley")</f>
        <v>ChazBrenchley</v>
      </c>
      <c r="B33018" s="65" t="s">
        <v>8438</v>
      </c>
    </row>
    <row r="33019" spans="1:2" x14ac:dyDescent="0.25">
      <c r="A33019" s="64" t="str">
        <f>HYPERLINK("http://www.twitter.com/heyprofbow", "heyprofbow")</f>
        <v>heyprofbow</v>
      </c>
      <c r="B33019" s="65"/>
    </row>
    <row r="33020" spans="1:2" x14ac:dyDescent="0.25">
      <c r="A33020" s="64" t="str">
        <f>HYPERLINK("http://www.twitter.com/jenKblom", "jenKblom")</f>
        <v>jenKblom</v>
      </c>
      <c r="B33020" s="65" t="s">
        <v>12966</v>
      </c>
    </row>
    <row r="33021" spans="1:2" x14ac:dyDescent="0.25">
      <c r="A33021" s="64" t="str">
        <f>HYPERLINK("http://www.twitter.com/Rupertswarbrick", "Rupertswarbrick")</f>
        <v>Rupertswarbrick</v>
      </c>
      <c r="B33021" s="65" t="s">
        <v>12967</v>
      </c>
    </row>
    <row r="33022" spans="1:2" x14ac:dyDescent="0.25">
      <c r="A33022" s="64" t="str">
        <f>HYPERLINK("http://www.twitter.com/dmcgloin11", "dmcgloin11")</f>
        <v>dmcgloin11</v>
      </c>
      <c r="B33022" s="65" t="s">
        <v>12968</v>
      </c>
    </row>
    <row r="33023" spans="1:2" x14ac:dyDescent="0.25">
      <c r="A33023" s="64" t="str">
        <f>HYPERLINK("http://www.twitter.com/vikkileanelson", "vikkileanelson")</f>
        <v>vikkileanelson</v>
      </c>
      <c r="B33023" s="65" t="s">
        <v>2213</v>
      </c>
    </row>
    <row r="33024" spans="1:2" x14ac:dyDescent="0.25">
      <c r="A33024" s="64" t="str">
        <f>HYPERLINK("http://www.twitter.com/montydobbie", "montydobbie")</f>
        <v>montydobbie</v>
      </c>
      <c r="B33024" s="65" t="s">
        <v>1598</v>
      </c>
    </row>
    <row r="33025" spans="1:2" x14ac:dyDescent="0.25">
      <c r="A33025" s="64" t="str">
        <f>HYPERLINK("http://www.twitter.com/HGmakes", "HGmakes")</f>
        <v>HGmakes</v>
      </c>
      <c r="B33025" s="65" t="s">
        <v>1873</v>
      </c>
    </row>
    <row r="33026" spans="1:2" x14ac:dyDescent="0.25">
      <c r="A33026" s="64" t="str">
        <f>HYPERLINK("http://www.twitter.com/DarinBurghes", "DarinBurghes")</f>
        <v>DarinBurghes</v>
      </c>
      <c r="B33026" s="65" t="s">
        <v>12969</v>
      </c>
    </row>
    <row r="33027" spans="1:2" x14ac:dyDescent="0.25">
      <c r="A33027" s="64" t="str">
        <f>HYPERLINK("http://www.twitter.com/mo_holkar", "mo_holkar")</f>
        <v>mo_holkar</v>
      </c>
      <c r="B33027" s="65" t="s">
        <v>1598</v>
      </c>
    </row>
    <row r="33028" spans="1:2" x14ac:dyDescent="0.25">
      <c r="A33028" s="64" t="str">
        <f>HYPERLINK("http://www.twitter.com/pun_ping", "pun_ping")</f>
        <v>pun_ping</v>
      </c>
      <c r="B33028" s="65" t="s">
        <v>12970</v>
      </c>
    </row>
    <row r="33029" spans="1:2" x14ac:dyDescent="0.25">
      <c r="A33029" s="64" t="str">
        <f>HYPERLINK("http://www.twitter.com/itsmatthewj", "itsmatthewj")</f>
        <v>itsmatthewj</v>
      </c>
      <c r="B33029" s="65" t="s">
        <v>5691</v>
      </c>
    </row>
    <row r="33030" spans="1:2" x14ac:dyDescent="0.25">
      <c r="A33030" s="64" t="str">
        <f>HYPERLINK("http://www.twitter.com/lemurph", "lemurph")</f>
        <v>lemurph</v>
      </c>
      <c r="B33030" s="65" t="s">
        <v>3994</v>
      </c>
    </row>
    <row r="33031" spans="1:2" x14ac:dyDescent="0.25">
      <c r="A33031" s="64" t="str">
        <f>HYPERLINK("http://www.twitter.com/croonerclassics", "croonerclassics")</f>
        <v>croonerclassics</v>
      </c>
      <c r="B33031" s="65" t="s">
        <v>24</v>
      </c>
    </row>
    <row r="33032" spans="1:2" x14ac:dyDescent="0.25">
      <c r="A33032" s="64" t="str">
        <f>HYPERLINK("http://www.twitter.com/aidancowan", "aidancowan")</f>
        <v>aidancowan</v>
      </c>
      <c r="B33032" s="65" t="s">
        <v>8752</v>
      </c>
    </row>
    <row r="33033" spans="1:2" x14ac:dyDescent="0.25">
      <c r="A33033" s="64" t="str">
        <f>HYPERLINK("http://www.twitter.com/AlexBarford", "AlexBarford")</f>
        <v>AlexBarford</v>
      </c>
      <c r="B33033" s="65"/>
    </row>
    <row r="33034" spans="1:2" x14ac:dyDescent="0.25">
      <c r="A33034" s="64" t="str">
        <f>HYPERLINK("http://www.twitter.com/JillyBarclay", "JillyBarclay")</f>
        <v>JillyBarclay</v>
      </c>
      <c r="B33034" s="65" t="s">
        <v>12971</v>
      </c>
    </row>
    <row r="33035" spans="1:2" x14ac:dyDescent="0.25">
      <c r="A33035" s="64" t="str">
        <f>HYPERLINK("http://www.twitter.com/Martyleopard", "Martyleopard")</f>
        <v>Martyleopard</v>
      </c>
      <c r="B33035" s="65" t="s">
        <v>12893</v>
      </c>
    </row>
    <row r="33036" spans="1:2" x14ac:dyDescent="0.25">
      <c r="A33036" s="64" t="str">
        <f>HYPERLINK("http://www.twitter.com/rufous", "rufous")</f>
        <v>rufous</v>
      </c>
      <c r="B33036" s="65" t="s">
        <v>12972</v>
      </c>
    </row>
    <row r="33037" spans="1:2" x14ac:dyDescent="0.25">
      <c r="A33037" s="64" t="str">
        <f>HYPERLINK("http://www.twitter.com/ian_c_elliott", "ian_c_elliott")</f>
        <v>ian_c_elliott</v>
      </c>
      <c r="B33037" s="65" t="s">
        <v>24</v>
      </c>
    </row>
    <row r="33038" spans="1:2" x14ac:dyDescent="0.25">
      <c r="A33038" s="64" t="str">
        <f>HYPERLINK("http://www.twitter.com/bobandmit", "bobandmit")</f>
        <v>bobandmit</v>
      </c>
      <c r="B33038" s="65"/>
    </row>
    <row r="33039" spans="1:2" x14ac:dyDescent="0.25">
      <c r="A33039" s="64" t="str">
        <f>HYPERLINK("http://www.twitter.com/ClintJEdwards", "ClintJEdwards")</f>
        <v>ClintJEdwards</v>
      </c>
      <c r="B33039" s="65" t="s">
        <v>4500</v>
      </c>
    </row>
    <row r="33040" spans="1:2" x14ac:dyDescent="0.25">
      <c r="A33040" s="64" t="str">
        <f>HYPERLINK("http://www.twitter.com/samoore", "samoore")</f>
        <v>samoore</v>
      </c>
      <c r="B33040" s="65"/>
    </row>
    <row r="33041" spans="1:2" x14ac:dyDescent="0.25">
      <c r="A33041" s="64" t="str">
        <f>HYPERLINK("http://www.twitter.com/budsmam", "budsmam")</f>
        <v>budsmam</v>
      </c>
      <c r="B33041" s="65" t="s">
        <v>12973</v>
      </c>
    </row>
    <row r="33042" spans="1:2" x14ac:dyDescent="0.25">
      <c r="A33042" s="64" t="str">
        <f>HYPERLINK("http://www.twitter.com/Chariot_on_Fire", "Chariot_on_Fire")</f>
        <v>Chariot_on_Fire</v>
      </c>
      <c r="B33042" s="65"/>
    </row>
    <row r="33043" spans="1:2" x14ac:dyDescent="0.25">
      <c r="A33043" s="64" t="str">
        <f>HYPERLINK("http://www.twitter.com/DrHolly", "DrHolly")</f>
        <v>DrHolly</v>
      </c>
      <c r="B33043" s="65" t="s">
        <v>4992</v>
      </c>
    </row>
    <row r="33044" spans="1:2" x14ac:dyDescent="0.25">
      <c r="A33044" s="64" t="str">
        <f>HYPERLINK("http://www.twitter.com/vermiciousknits", "vermiciousknits")</f>
        <v>vermiciousknits</v>
      </c>
      <c r="B33044" s="65" t="s">
        <v>12974</v>
      </c>
    </row>
    <row r="33045" spans="1:2" x14ac:dyDescent="0.25">
      <c r="A33045" s="64" t="str">
        <f>HYPERLINK("http://www.twitter.com/DoddFrank2993", "DoddFrank2993")</f>
        <v>DoddFrank2993</v>
      </c>
      <c r="B33045" s="65"/>
    </row>
    <row r="33046" spans="1:2" x14ac:dyDescent="0.25">
      <c r="A33046" s="64" t="str">
        <f>HYPERLINK("http://www.twitter.com/pukeko54", "pukeko54")</f>
        <v>pukeko54</v>
      </c>
      <c r="B33046" s="65" t="s">
        <v>296</v>
      </c>
    </row>
    <row r="33047" spans="1:2" x14ac:dyDescent="0.25">
      <c r="A33047" s="64" t="str">
        <f>HYPERLINK("http://www.twitter.com/librarian57", "librarian57")</f>
        <v>librarian57</v>
      </c>
      <c r="B33047" s="65" t="s">
        <v>1876</v>
      </c>
    </row>
    <row r="33048" spans="1:2" x14ac:dyDescent="0.25">
      <c r="A33048" s="64" t="str">
        <f>HYPERLINK("http://www.twitter.com/CycleBookFooty", "CycleBookFooty")</f>
        <v>CycleBookFooty</v>
      </c>
      <c r="B33048" s="65" t="s">
        <v>24</v>
      </c>
    </row>
    <row r="33049" spans="1:2" x14ac:dyDescent="0.25">
      <c r="A33049" s="64" t="str">
        <f>HYPERLINK("http://www.twitter.com/lexdyer", "lexdyer")</f>
        <v>lexdyer</v>
      </c>
      <c r="B33049" s="65" t="s">
        <v>12975</v>
      </c>
    </row>
    <row r="33050" spans="1:2" x14ac:dyDescent="0.25">
      <c r="A33050" s="64" t="str">
        <f>HYPERLINK("http://www.twitter.com/_Liz_T", "_Liz_T")</f>
        <v>_Liz_T</v>
      </c>
      <c r="B33050" s="65" t="s">
        <v>10030</v>
      </c>
    </row>
    <row r="33051" spans="1:2" x14ac:dyDescent="0.25">
      <c r="A33051" s="64" t="str">
        <f>HYPERLINK("http://www.twitter.com/MrEBourne", "MrEBourne")</f>
        <v>MrEBourne</v>
      </c>
      <c r="B33051" s="65" t="s">
        <v>3779</v>
      </c>
    </row>
    <row r="33052" spans="1:2" x14ac:dyDescent="0.25">
      <c r="A33052" s="64" t="str">
        <f>HYPERLINK("http://www.twitter.com/garrymck", "garrymck")</f>
        <v>garrymck</v>
      </c>
      <c r="B33052" s="65" t="s">
        <v>4273</v>
      </c>
    </row>
    <row r="33053" spans="1:2" x14ac:dyDescent="0.25">
      <c r="A33053" s="64" t="str">
        <f>HYPERLINK("http://www.twitter.com/MattDupuy", "MattDupuy")</f>
        <v>MattDupuy</v>
      </c>
      <c r="B33053" s="65" t="s">
        <v>1490</v>
      </c>
    </row>
    <row r="33054" spans="1:2" x14ac:dyDescent="0.25">
      <c r="A33054" s="64" t="str">
        <f>HYPERLINK("http://www.twitter.com/jamesclay", "jamesclay")</f>
        <v>jamesclay</v>
      </c>
      <c r="B33054" s="65" t="s">
        <v>5468</v>
      </c>
    </row>
    <row r="33055" spans="1:2" x14ac:dyDescent="0.25">
      <c r="A33055" s="64" t="str">
        <f>HYPERLINK("http://www.twitter.com/shepline", "shepline")</f>
        <v>shepline</v>
      </c>
      <c r="B33055" s="65" t="s">
        <v>5490</v>
      </c>
    </row>
    <row r="33056" spans="1:2" x14ac:dyDescent="0.25">
      <c r="A33056" s="64" t="str">
        <f>HYPERLINK("http://www.twitter.com/ilovewestleeds", "ilovewestleeds")</f>
        <v>ilovewestleeds</v>
      </c>
      <c r="B33056" s="65" t="s">
        <v>12976</v>
      </c>
    </row>
    <row r="33057" spans="1:2" x14ac:dyDescent="0.25">
      <c r="A33057" s="64" t="str">
        <f>HYPERLINK("http://www.twitter.com/alice_emily", "alice_emily")</f>
        <v>alice_emily</v>
      </c>
      <c r="B33057" s="65" t="s">
        <v>2805</v>
      </c>
    </row>
    <row r="33058" spans="1:2" x14ac:dyDescent="0.25">
      <c r="A33058" s="64" t="str">
        <f>HYPERLINK("http://www.twitter.com/Lori_Newdick", "Lori_Newdick")</f>
        <v>Lori_Newdick</v>
      </c>
      <c r="B33058" s="65" t="s">
        <v>12977</v>
      </c>
    </row>
    <row r="33059" spans="1:2" x14ac:dyDescent="0.25">
      <c r="A33059" s="64" t="str">
        <f>HYPERLINK("http://www.twitter.com/onweightloss", "onweightloss")</f>
        <v>onweightloss</v>
      </c>
      <c r="B33059" s="65" t="s">
        <v>3988</v>
      </c>
    </row>
    <row r="33060" spans="1:2" x14ac:dyDescent="0.25">
      <c r="A33060" s="64" t="str">
        <f>HYPERLINK("http://www.twitter.com/laurennicoll_", "laurennicoll_")</f>
        <v>laurennicoll_</v>
      </c>
      <c r="B33060" s="65"/>
    </row>
    <row r="33061" spans="1:2" x14ac:dyDescent="0.25">
      <c r="A33061" s="64" t="str">
        <f>HYPERLINK("http://www.twitter.com/stickymitts", "stickymitts")</f>
        <v>stickymitts</v>
      </c>
      <c r="B33061" s="65" t="s">
        <v>12978</v>
      </c>
    </row>
    <row r="33062" spans="1:2" x14ac:dyDescent="0.25">
      <c r="A33062" s="64" t="str">
        <f>HYPERLINK("http://www.twitter.com/FantasticGB2015", "FantasticGB2015")</f>
        <v>FantasticGB2015</v>
      </c>
      <c r="B33062" s="65" t="s">
        <v>5360</v>
      </c>
    </row>
    <row r="33063" spans="1:2" x14ac:dyDescent="0.25">
      <c r="A33063" s="64" t="str">
        <f>HYPERLINK("http://www.twitter.com/Toshho", "Toshho")</f>
        <v>Toshho</v>
      </c>
      <c r="B33063" s="65" t="s">
        <v>2289</v>
      </c>
    </row>
    <row r="33064" spans="1:2" x14ac:dyDescent="0.25">
      <c r="A33064" s="64" t="str">
        <f>HYPERLINK("http://www.twitter.com/BookAnalyst", "BookAnalyst")</f>
        <v>BookAnalyst</v>
      </c>
      <c r="B33064" s="65" t="s">
        <v>788</v>
      </c>
    </row>
    <row r="33065" spans="1:2" x14ac:dyDescent="0.25">
      <c r="A33065" s="64" t="str">
        <f>HYPERLINK("http://www.twitter.com/Smartbijou", "Smartbijou")</f>
        <v>Smartbijou</v>
      </c>
      <c r="B33065" s="65" t="s">
        <v>5045</v>
      </c>
    </row>
    <row r="33066" spans="1:2" x14ac:dyDescent="0.25">
      <c r="A33066" s="64" t="str">
        <f>HYPERLINK("http://www.twitter.com/nowinthelibrary", "nowinthelibrary")</f>
        <v>nowinthelibrary</v>
      </c>
      <c r="B33066" s="65"/>
    </row>
    <row r="33067" spans="1:2" x14ac:dyDescent="0.25">
      <c r="A33067" s="64" t="str">
        <f>HYPERLINK("http://www.twitter.com/wannabecat", "wannabecat")</f>
        <v>wannabecat</v>
      </c>
      <c r="B33067" s="65" t="s">
        <v>5770</v>
      </c>
    </row>
    <row r="33068" spans="1:2" x14ac:dyDescent="0.25">
      <c r="A33068" s="64" t="str">
        <f>HYPERLINK("http://www.twitter.com/TheRRMargate", "TheRRMargate")</f>
        <v>TheRRMargate</v>
      </c>
      <c r="B33068" s="65" t="s">
        <v>12979</v>
      </c>
    </row>
    <row r="33069" spans="1:2" x14ac:dyDescent="0.25">
      <c r="A33069" s="64" t="str">
        <f>HYPERLINK("http://www.twitter.com/DeborahJaneOrr", "DeborahJaneOrr")</f>
        <v>DeborahJaneOrr</v>
      </c>
      <c r="B33069" s="65" t="s">
        <v>12980</v>
      </c>
    </row>
    <row r="33070" spans="1:2" x14ac:dyDescent="0.25">
      <c r="A33070" s="64" t="str">
        <f>HYPERLINK("http://www.twitter.com/thestrongarms", "thestrongarms")</f>
        <v>thestrongarms</v>
      </c>
      <c r="B33070" s="65" t="s">
        <v>24</v>
      </c>
    </row>
    <row r="33071" spans="1:2" x14ac:dyDescent="0.25">
      <c r="A33071" s="64" t="str">
        <f>HYPERLINK("http://www.twitter.com/FionaWard1", "FionaWard1")</f>
        <v>FionaWard1</v>
      </c>
      <c r="B33071" s="65" t="s">
        <v>12981</v>
      </c>
    </row>
    <row r="33072" spans="1:2" x14ac:dyDescent="0.25">
      <c r="A33072" s="64" t="str">
        <f>HYPERLINK("http://www.twitter.com/scarymummy", "scarymummy")</f>
        <v>scarymummy</v>
      </c>
      <c r="B33072" s="65" t="s">
        <v>5989</v>
      </c>
    </row>
    <row r="33073" spans="1:2" x14ac:dyDescent="0.25">
      <c r="A33073" s="64" t="str">
        <f>HYPERLINK("http://www.twitter.com/scsrowe", "scsrowe")</f>
        <v>scsrowe</v>
      </c>
      <c r="B33073" s="65" t="s">
        <v>6162</v>
      </c>
    </row>
    <row r="33074" spans="1:2" x14ac:dyDescent="0.25">
      <c r="A33074" s="64" t="str">
        <f>HYPERLINK("http://www.twitter.com/Rhapsody42", "Rhapsody42")</f>
        <v>Rhapsody42</v>
      </c>
      <c r="B33074" s="65" t="s">
        <v>1490</v>
      </c>
    </row>
    <row r="33075" spans="1:2" x14ac:dyDescent="0.25">
      <c r="A33075" s="64" t="str">
        <f>HYPERLINK("http://www.twitter.com/RobinsonS", "RobinsonS")</f>
        <v>RobinsonS</v>
      </c>
      <c r="B33075" s="65" t="s">
        <v>12982</v>
      </c>
    </row>
    <row r="33076" spans="1:2" x14ac:dyDescent="0.25">
      <c r="A33076" s="64" t="str">
        <f>HYPERLINK("http://www.twitter.com/janieface1", "janieface1")</f>
        <v>janieface1</v>
      </c>
      <c r="B33076" s="65" t="s">
        <v>12983</v>
      </c>
    </row>
    <row r="33077" spans="1:2" x14ac:dyDescent="0.25">
      <c r="A33077" s="64" t="str">
        <f>HYPERLINK("http://www.twitter.com/helenahawthorn", "helenahawthorn")</f>
        <v>helenahawthorn</v>
      </c>
      <c r="B33077" s="65"/>
    </row>
    <row r="33078" spans="1:2" x14ac:dyDescent="0.25">
      <c r="A33078" s="64" t="str">
        <f>HYPERLINK("http://www.twitter.com/stemcd", "stemcd")</f>
        <v>stemcd</v>
      </c>
      <c r="B33078" s="65" t="s">
        <v>3779</v>
      </c>
    </row>
    <row r="33079" spans="1:2" x14ac:dyDescent="0.25">
      <c r="A33079" s="64" t="str">
        <f>HYPERLINK("http://www.twitter.com/NTSCanada", "NTSCanada")</f>
        <v>NTSCanada</v>
      </c>
      <c r="B33079" s="65" t="s">
        <v>3948</v>
      </c>
    </row>
    <row r="33080" spans="1:2" x14ac:dyDescent="0.25">
      <c r="A33080" s="64" t="str">
        <f>HYPERLINK("http://www.twitter.com/andyheald", "andyheald")</f>
        <v>andyheald</v>
      </c>
      <c r="B33080" s="65" t="s">
        <v>487</v>
      </c>
    </row>
    <row r="33081" spans="1:2" x14ac:dyDescent="0.25">
      <c r="A33081" s="64" t="str">
        <f>HYPERLINK("http://www.twitter.com/srnsw", "srnsw")</f>
        <v>srnsw</v>
      </c>
      <c r="B33081" s="65" t="s">
        <v>3817</v>
      </c>
    </row>
    <row r="33082" spans="1:2" x14ac:dyDescent="0.25">
      <c r="A33082" s="64" t="str">
        <f>HYPERLINK("http://www.twitter.com/Tim_Dill_2703", "Tim_Dill_2703")</f>
        <v>Tim_Dill_2703</v>
      </c>
      <c r="B33082" s="65" t="s">
        <v>12984</v>
      </c>
    </row>
    <row r="33083" spans="1:2" x14ac:dyDescent="0.25">
      <c r="A33083" s="64" t="str">
        <f>HYPERLINK("http://www.twitter.com/whassigo", "whassigo")</f>
        <v>whassigo</v>
      </c>
      <c r="B33083" s="65" t="s">
        <v>20</v>
      </c>
    </row>
    <row r="33084" spans="1:2" x14ac:dyDescent="0.25">
      <c r="A33084" s="64" t="str">
        <f>HYPERLINK("http://www.twitter.com/ShimmyAli", "ShimmyAli")</f>
        <v>ShimmyAli</v>
      </c>
      <c r="B33084" s="65" t="s">
        <v>12985</v>
      </c>
    </row>
    <row r="33085" spans="1:2" x14ac:dyDescent="0.25">
      <c r="A33085" s="64" t="str">
        <f>HYPERLINK("http://www.twitter.com/Charnoski", "Charnoski")</f>
        <v>Charnoski</v>
      </c>
      <c r="B33085" s="65" t="s">
        <v>517</v>
      </c>
    </row>
    <row r="33086" spans="1:2" x14ac:dyDescent="0.25">
      <c r="A33086" s="64" t="str">
        <f>HYPERLINK("http://www.twitter.com/orcadian2011", "orcadian2011")</f>
        <v>orcadian2011</v>
      </c>
      <c r="B33086" s="65"/>
    </row>
    <row r="33087" spans="1:2" x14ac:dyDescent="0.25">
      <c r="A33087" s="64" t="str">
        <f>HYPERLINK("http://www.twitter.com/jemimap08", "jemimap08")</f>
        <v>jemimap08</v>
      </c>
      <c r="B33087" s="65" t="s">
        <v>4094</v>
      </c>
    </row>
    <row r="33088" spans="1:2" x14ac:dyDescent="0.25">
      <c r="A33088" s="64" t="str">
        <f>HYPERLINK("http://www.twitter.com/kaz7973", "kaz7973")</f>
        <v>kaz7973</v>
      </c>
      <c r="B33088" s="65"/>
    </row>
    <row r="33089" spans="1:2" x14ac:dyDescent="0.25">
      <c r="A33089" s="64" t="str">
        <f>HYPERLINK("http://www.twitter.com/RuthAndrews", "RuthAndrews")</f>
        <v>RuthAndrews</v>
      </c>
      <c r="B33089" s="65" t="s">
        <v>9298</v>
      </c>
    </row>
    <row r="33090" spans="1:2" x14ac:dyDescent="0.25">
      <c r="A33090" s="64" t="str">
        <f>HYPERLINK("http://www.twitter.com/al_osaur", "al_osaur")</f>
        <v>al_osaur</v>
      </c>
      <c r="B33090" s="65" t="s">
        <v>9533</v>
      </c>
    </row>
    <row r="33091" spans="1:2" x14ac:dyDescent="0.25">
      <c r="A33091" s="64" t="str">
        <f>HYPERLINK("http://www.twitter.com/TheCommsBase", "TheCommsBase")</f>
        <v>TheCommsBase</v>
      </c>
      <c r="B33091" s="65"/>
    </row>
    <row r="33092" spans="1:2" x14ac:dyDescent="0.25">
      <c r="A33092" s="64" t="str">
        <f>HYPERLINK("http://www.twitter.com/WomanOnTheBoard", "WomanOnTheBoard")</f>
        <v>WomanOnTheBoard</v>
      </c>
      <c r="B33092" s="65"/>
    </row>
    <row r="33093" spans="1:2" x14ac:dyDescent="0.25">
      <c r="A33093" s="64" t="str">
        <f>HYPERLINK("http://www.twitter.com/Leischa", "Leischa")</f>
        <v>Leischa</v>
      </c>
      <c r="B33093" s="65" t="s">
        <v>5453</v>
      </c>
    </row>
    <row r="33094" spans="1:2" x14ac:dyDescent="0.25">
      <c r="A33094" s="64" t="str">
        <f>HYPERLINK("http://www.twitter.com/BoyGraniteFalls", "BoyGraniteFalls")</f>
        <v>BoyGraniteFalls</v>
      </c>
      <c r="B33094" s="65" t="s">
        <v>4972</v>
      </c>
    </row>
    <row r="33095" spans="1:2" x14ac:dyDescent="0.25">
      <c r="A33095" s="64" t="str">
        <f>HYPERLINK("http://www.twitter.com/marob23", "marob23")</f>
        <v>marob23</v>
      </c>
      <c r="B33095" s="65" t="s">
        <v>24</v>
      </c>
    </row>
    <row r="33096" spans="1:2" x14ac:dyDescent="0.25">
      <c r="A33096" s="64" t="str">
        <f>HYPERLINK("http://www.twitter.com/jessraddis", "jessraddis")</f>
        <v>jessraddis</v>
      </c>
      <c r="B33096" s="65" t="s">
        <v>5745</v>
      </c>
    </row>
    <row r="33097" spans="1:2" x14ac:dyDescent="0.25">
      <c r="A33097" s="64" t="str">
        <f>HYPERLINK("http://www.twitter.com/Gavtheoldhippy", "Gavtheoldhippy")</f>
        <v>Gavtheoldhippy</v>
      </c>
      <c r="B33097" s="65" t="s">
        <v>2492</v>
      </c>
    </row>
    <row r="33098" spans="1:2" x14ac:dyDescent="0.25">
      <c r="A33098" s="64" t="str">
        <f>HYPERLINK("http://www.twitter.com/wiley9000", "wiley9000")</f>
        <v>wiley9000</v>
      </c>
      <c r="B33098" s="65" t="s">
        <v>12986</v>
      </c>
    </row>
    <row r="33099" spans="1:2" x14ac:dyDescent="0.25">
      <c r="A33099" s="64" t="str">
        <f>HYPERLINK("http://www.twitter.com/MerryGlennie", "MerryGlennie")</f>
        <v>MerryGlennie</v>
      </c>
      <c r="B33099" s="65"/>
    </row>
    <row r="33100" spans="1:2" x14ac:dyDescent="0.25">
      <c r="A33100" s="64" t="str">
        <f>HYPERLINK("http://www.twitter.com/Scotswap", "Scotswap")</f>
        <v>Scotswap</v>
      </c>
      <c r="B33100" s="65" t="s">
        <v>6279</v>
      </c>
    </row>
    <row r="33101" spans="1:2" x14ac:dyDescent="0.25">
      <c r="A33101" s="64" t="str">
        <f>HYPERLINK("http://www.twitter.com/K8ABell", "K8ABell")</f>
        <v>K8ABell</v>
      </c>
      <c r="B33101" s="65" t="s">
        <v>5934</v>
      </c>
    </row>
    <row r="33102" spans="1:2" x14ac:dyDescent="0.25">
      <c r="A33102" s="64" t="str">
        <f>HYPERLINK("http://www.twitter.com/dev_2014", "dev_2014")</f>
        <v>dev_2014</v>
      </c>
      <c r="B33102" s="65" t="s">
        <v>517</v>
      </c>
    </row>
    <row r="33103" spans="1:2" x14ac:dyDescent="0.25">
      <c r="A33103" s="64" t="str">
        <f>HYPERLINK("http://www.twitter.com/spiky7", "spiky7")</f>
        <v>spiky7</v>
      </c>
      <c r="B33103" s="65" t="s">
        <v>6101</v>
      </c>
    </row>
    <row r="33104" spans="1:2" x14ac:dyDescent="0.25">
      <c r="A33104" s="64" t="str">
        <f>HYPERLINK("http://www.twitter.com/ellyob", "ellyob")</f>
        <v>ellyob</v>
      </c>
      <c r="B33104" s="65" t="s">
        <v>36</v>
      </c>
    </row>
    <row r="33105" spans="1:2" x14ac:dyDescent="0.25">
      <c r="A33105" s="64" t="str">
        <f>HYPERLINK("http://www.twitter.com/Discovermore", "Discovermore")</f>
        <v>Discovermore</v>
      </c>
      <c r="B33105" s="65" t="s">
        <v>284</v>
      </c>
    </row>
    <row r="33106" spans="1:2" x14ac:dyDescent="0.25">
      <c r="A33106" s="64" t="str">
        <f>HYPERLINK("http://www.twitter.com/melindahaunton", "melindahaunton")</f>
        <v>melindahaunton</v>
      </c>
      <c r="B33106" s="65" t="s">
        <v>36</v>
      </c>
    </row>
    <row r="33107" spans="1:2" x14ac:dyDescent="0.25">
      <c r="A33107" s="64" t="str">
        <f>HYPERLINK("http://www.twitter.com/tunifishi", "tunifishi")</f>
        <v>tunifishi</v>
      </c>
      <c r="B33107" s="65"/>
    </row>
    <row r="33108" spans="1:2" x14ac:dyDescent="0.25">
      <c r="A33108" s="64" t="str">
        <f>HYPERLINK("http://www.twitter.com/rmholdsworth", "rmholdsworth")</f>
        <v>rmholdsworth</v>
      </c>
      <c r="B33108" s="65" t="s">
        <v>2638</v>
      </c>
    </row>
    <row r="33109" spans="1:2" x14ac:dyDescent="0.25">
      <c r="A33109" s="64" t="str">
        <f>HYPERLINK("http://www.twitter.com/dizzykicks", "dizzykicks")</f>
        <v>dizzykicks</v>
      </c>
      <c r="B33109" s="65" t="s">
        <v>2564</v>
      </c>
    </row>
    <row r="33110" spans="1:2" x14ac:dyDescent="0.25">
      <c r="A33110" s="64" t="str">
        <f>HYPERLINK("http://www.twitter.com/cathegi", "cathegi")</f>
        <v>cathegi</v>
      </c>
      <c r="B33110" s="65" t="s">
        <v>9486</v>
      </c>
    </row>
    <row r="33111" spans="1:2" x14ac:dyDescent="0.25">
      <c r="A33111" s="64" t="str">
        <f>HYPERLINK("http://www.twitter.com/kickyfeats", "kickyfeats")</f>
        <v>kickyfeats</v>
      </c>
      <c r="B33111" s="65" t="s">
        <v>12987</v>
      </c>
    </row>
    <row r="33112" spans="1:2" x14ac:dyDescent="0.25">
      <c r="A33112" s="64" t="str">
        <f>HYPERLINK("http://www.twitter.com/wrapperrhymes", "wrapperrhymes")</f>
        <v>wrapperrhymes</v>
      </c>
      <c r="B33112" s="65" t="s">
        <v>296</v>
      </c>
    </row>
    <row r="33113" spans="1:2" x14ac:dyDescent="0.25">
      <c r="A33113" s="64" t="str">
        <f>HYPERLINK("http://www.twitter.com/clogmuso", "clogmuso")</f>
        <v>clogmuso</v>
      </c>
      <c r="B33113" s="65" t="s">
        <v>12988</v>
      </c>
    </row>
    <row r="33114" spans="1:2" x14ac:dyDescent="0.25">
      <c r="A33114" s="64" t="str">
        <f>HYPERLINK("http://www.twitter.com/OldBankCygnet", "OldBankCygnet")</f>
        <v>OldBankCygnet</v>
      </c>
      <c r="B33114" s="65" t="s">
        <v>12989</v>
      </c>
    </row>
    <row r="33115" spans="1:2" x14ac:dyDescent="0.25">
      <c r="A33115" s="64" t="str">
        <f>HYPERLINK("http://www.twitter.com/Schmolik", "Schmolik")</f>
        <v>Schmolik</v>
      </c>
      <c r="B33115" s="65" t="s">
        <v>5774</v>
      </c>
    </row>
    <row r="33116" spans="1:2" x14ac:dyDescent="0.25">
      <c r="A33116" s="64" t="str">
        <f>HYPERLINK("http://www.twitter.com/tomallan", "tomallan")</f>
        <v>tomallan</v>
      </c>
      <c r="B33116" s="65" t="s">
        <v>24</v>
      </c>
    </row>
    <row r="33117" spans="1:2" x14ac:dyDescent="0.25">
      <c r="A33117" s="64" t="str">
        <f>HYPERLINK("http://www.twitter.com/MonicaPDX", "MonicaPDX")</f>
        <v>MonicaPDX</v>
      </c>
      <c r="B33117" s="65" t="s">
        <v>3872</v>
      </c>
    </row>
    <row r="33118" spans="1:2" x14ac:dyDescent="0.25">
      <c r="A33118" s="64" t="str">
        <f>HYPERLINK("http://www.twitter.com/SwimmingJenny", "SwimmingJenny")</f>
        <v>SwimmingJenny</v>
      </c>
      <c r="B33118" s="65" t="s">
        <v>2030</v>
      </c>
    </row>
    <row r="33119" spans="1:2" x14ac:dyDescent="0.25">
      <c r="A33119" s="64" t="str">
        <f>HYPERLINK("http://www.twitter.com/Jadesfire2808", "Jadesfire2808")</f>
        <v>Jadesfire2808</v>
      </c>
      <c r="B33119" s="65" t="s">
        <v>505</v>
      </c>
    </row>
    <row r="33120" spans="1:2" x14ac:dyDescent="0.25">
      <c r="A33120" s="64" t="str">
        <f>HYPERLINK("http://www.twitter.com/DiscoverFilm", "DiscoverFilm")</f>
        <v>DiscoverFilm</v>
      </c>
      <c r="B33120" s="65"/>
    </row>
    <row r="33121" spans="1:2" x14ac:dyDescent="0.25">
      <c r="A33121" s="64" t="str">
        <f>HYPERLINK("http://www.twitter.com/Ackit", "Ackit")</f>
        <v>Ackit</v>
      </c>
      <c r="B33121" s="65" t="s">
        <v>926</v>
      </c>
    </row>
    <row r="33122" spans="1:2" x14ac:dyDescent="0.25">
      <c r="A33122" s="64" t="str">
        <f>HYPERLINK("http://www.twitter.com/sarahsparrow", "sarahsparrow")</f>
        <v>sarahsparrow</v>
      </c>
      <c r="B33122" s="65" t="s">
        <v>3948</v>
      </c>
    </row>
    <row r="33123" spans="1:2" x14ac:dyDescent="0.25">
      <c r="A33123" s="64" t="str">
        <f>HYPERLINK("http://www.twitter.com/timstratton", "timstratton")</f>
        <v>timstratton</v>
      </c>
      <c r="B33123" s="65" t="s">
        <v>12990</v>
      </c>
    </row>
    <row r="33124" spans="1:2" x14ac:dyDescent="0.25">
      <c r="A33124" s="64" t="str">
        <f>HYPERLINK("http://www.twitter.com/storeewryter", "storeewryter")</f>
        <v>storeewryter</v>
      </c>
      <c r="B33124" s="65" t="s">
        <v>10916</v>
      </c>
    </row>
    <row r="33125" spans="1:2" x14ac:dyDescent="0.25">
      <c r="A33125" s="64" t="str">
        <f>HYPERLINK("http://www.twitter.com/newbooksmag", "newbooksmag")</f>
        <v>newbooksmag</v>
      </c>
      <c r="B33125" s="65" t="s">
        <v>296</v>
      </c>
    </row>
    <row r="33126" spans="1:2" x14ac:dyDescent="0.25">
      <c r="A33126" s="64" t="str">
        <f>HYPERLINK("http://www.twitter.com/eacodega", "eacodega")</f>
        <v>eacodega</v>
      </c>
      <c r="B33126" s="65"/>
    </row>
    <row r="33127" spans="1:2" x14ac:dyDescent="0.25">
      <c r="A33127" s="64" t="str">
        <f>HYPERLINK("http://www.twitter.com/PSP__Ltd", "PSP__Ltd")</f>
        <v>PSP__Ltd</v>
      </c>
      <c r="B33127" s="65" t="s">
        <v>9027</v>
      </c>
    </row>
    <row r="33128" spans="1:2" x14ac:dyDescent="0.25">
      <c r="A33128" s="64" t="str">
        <f>HYPERLINK("http://www.twitter.com/jenny_sinclair", "jenny_sinclair")</f>
        <v>jenny_sinclair</v>
      </c>
      <c r="B33128" s="65" t="s">
        <v>6492</v>
      </c>
    </row>
    <row r="33129" spans="1:2" x14ac:dyDescent="0.25">
      <c r="A33129" s="64" t="str">
        <f>HYPERLINK("http://www.twitter.com/slithy_toves", "slithy_toves")</f>
        <v>slithy_toves</v>
      </c>
      <c r="B33129" s="65" t="s">
        <v>4145</v>
      </c>
    </row>
    <row r="33130" spans="1:2" x14ac:dyDescent="0.25">
      <c r="A33130" s="64" t="str">
        <f>HYPERLINK("http://www.twitter.com/hedgehogofdoom", "hedgehogofdoom")</f>
        <v>hedgehogofdoom</v>
      </c>
      <c r="B33130" s="65"/>
    </row>
    <row r="33131" spans="1:2" x14ac:dyDescent="0.25">
      <c r="A33131" s="64" t="str">
        <f>HYPERLINK("http://www.twitter.com/pixeldiva", "pixeldiva")</f>
        <v>pixeldiva</v>
      </c>
      <c r="B33131" s="65" t="s">
        <v>12991</v>
      </c>
    </row>
    <row r="33132" spans="1:2" x14ac:dyDescent="0.25">
      <c r="A33132" s="64" t="str">
        <f>HYPERLINK("http://www.twitter.com/eclectech", "eclectech")</f>
        <v>eclectech</v>
      </c>
      <c r="B33132" s="65" t="s">
        <v>517</v>
      </c>
    </row>
    <row r="33133" spans="1:2" x14ac:dyDescent="0.25">
      <c r="A33133" s="64" t="str">
        <f>HYPERLINK("http://www.twitter.com/robt225", "robt225")</f>
        <v>robt225</v>
      </c>
      <c r="B33133" s="65" t="s">
        <v>296</v>
      </c>
    </row>
    <row r="33134" spans="1:2" x14ac:dyDescent="0.25">
      <c r="A33134" s="64" t="str">
        <f>HYPERLINK("http://www.twitter.com/adventuresofboz", "adventuresofboz")</f>
        <v>adventuresofboz</v>
      </c>
      <c r="B33134" s="65" t="s">
        <v>110</v>
      </c>
    </row>
    <row r="33135" spans="1:2" x14ac:dyDescent="0.25">
      <c r="A33135" s="64" t="str">
        <f>HYPERLINK("http://www.twitter.com/JonnyB", "JonnyB")</f>
        <v>JonnyB</v>
      </c>
      <c r="B33135" s="65" t="s">
        <v>1908</v>
      </c>
    </row>
    <row r="33136" spans="1:2" x14ac:dyDescent="0.25">
      <c r="A33136" s="64" t="str">
        <f>HYPERLINK("http://www.twitter.com/MynCotterill", "MynCotterill")</f>
        <v>MynCotterill</v>
      </c>
      <c r="B33136" s="65" t="s">
        <v>6294</v>
      </c>
    </row>
    <row r="33137" spans="1:2" x14ac:dyDescent="0.25">
      <c r="A33137" s="64" t="str">
        <f>HYPERLINK("http://www.twitter.com/Kateviola", "Kateviola")</f>
        <v>Kateviola</v>
      </c>
      <c r="B33137" s="65" t="s">
        <v>6294</v>
      </c>
    </row>
    <row r="33138" spans="1:2" x14ac:dyDescent="0.25">
      <c r="A33138" s="64" t="str">
        <f>HYPERLINK("http://www.twitter.com/misswhiplash", "misswhiplash")</f>
        <v>misswhiplash</v>
      </c>
      <c r="B33138" s="65" t="s">
        <v>12992</v>
      </c>
    </row>
    <row r="33139" spans="1:2" x14ac:dyDescent="0.25">
      <c r="A33139" s="64" t="str">
        <f>HYPERLINK("http://www.twitter.com/Elfondo", "Elfondo")</f>
        <v>Elfondo</v>
      </c>
      <c r="B33139" s="65" t="s">
        <v>448</v>
      </c>
    </row>
    <row r="33140" spans="1:2" x14ac:dyDescent="0.25">
      <c r="A33140" s="64" t="str">
        <f>HYPERLINK("http://www.twitter.com/OCPLTN", "OCPLTN")</f>
        <v>OCPLTN</v>
      </c>
      <c r="B33140" s="65"/>
    </row>
    <row r="33141" spans="1:2" x14ac:dyDescent="0.25">
      <c r="A33141" s="64" t="str">
        <f>HYPERLINK("http://www.twitter.com/ivettekury", "ivettekury")</f>
        <v>ivettekury</v>
      </c>
      <c r="B33141" s="65" t="s">
        <v>12993</v>
      </c>
    </row>
    <row r="33142" spans="1:2" x14ac:dyDescent="0.25">
      <c r="A33142" s="64" t="str">
        <f>HYPERLINK("http://www.twitter.com/KirstyYarr", "KirstyYarr")</f>
        <v>KirstyYarr</v>
      </c>
      <c r="B33142" s="65" t="s">
        <v>12994</v>
      </c>
    </row>
    <row r="33143" spans="1:2" x14ac:dyDescent="0.25">
      <c r="A33143" s="64" t="str">
        <f>HYPERLINK("http://www.twitter.com/HorzaEdeo", "HorzaEdeo")</f>
        <v>HorzaEdeo</v>
      </c>
      <c r="B33143" s="65" t="s">
        <v>526</v>
      </c>
    </row>
    <row r="33144" spans="1:2" x14ac:dyDescent="0.25">
      <c r="A33144" s="64" t="str">
        <f>HYPERLINK("http://www.twitter.com/JYHSLibrary", "JYHSLibrary")</f>
        <v>JYHSLibrary</v>
      </c>
      <c r="B33144" s="65" t="s">
        <v>2227</v>
      </c>
    </row>
    <row r="33145" spans="1:2" x14ac:dyDescent="0.25">
      <c r="A33145" s="64" t="str">
        <f>HYPERLINK("http://www.twitter.com/stmagnus", "stmagnus")</f>
        <v>stmagnus</v>
      </c>
      <c r="B33145" s="65" t="s">
        <v>4519</v>
      </c>
    </row>
    <row r="33146" spans="1:2" x14ac:dyDescent="0.25">
      <c r="A33146" s="64" t="str">
        <f>HYPERLINK("http://www.twitter.com/books_4_library", "books_4_library")</f>
        <v>books_4_library</v>
      </c>
      <c r="B33146" s="65"/>
    </row>
    <row r="33147" spans="1:2" x14ac:dyDescent="0.25">
      <c r="A33147" s="64" t="str">
        <f>HYPERLINK("http://www.twitter.com/tonygilt", "tonygilt")</f>
        <v>tonygilt</v>
      </c>
      <c r="B33147" s="65"/>
    </row>
    <row r="33148" spans="1:2" x14ac:dyDescent="0.25">
      <c r="A33148" s="64" t="str">
        <f>HYPERLINK("http://www.twitter.com/Nickbister", "Nickbister")</f>
        <v>Nickbister</v>
      </c>
      <c r="B33148" s="65"/>
    </row>
    <row r="33149" spans="1:2" x14ac:dyDescent="0.25">
      <c r="A33149" s="64" t="str">
        <f>HYPERLINK("http://www.twitter.com/Nomadinamerica", "Nomadinamerica")</f>
        <v>Nomadinamerica</v>
      </c>
      <c r="B33149" s="65" t="s">
        <v>12995</v>
      </c>
    </row>
    <row r="33150" spans="1:2" x14ac:dyDescent="0.25">
      <c r="A33150" s="64" t="str">
        <f>HYPERLINK("http://www.twitter.com/futureRain", "futureRain")</f>
        <v>futureRain</v>
      </c>
      <c r="B33150" s="65" t="s">
        <v>7327</v>
      </c>
    </row>
    <row r="33151" spans="1:2" x14ac:dyDescent="0.25">
      <c r="A33151" s="64" t="str">
        <f>HYPERLINK("http://www.twitter.com/henningkoch", "henningkoch")</f>
        <v>henningkoch</v>
      </c>
      <c r="B33151" s="65" t="s">
        <v>12996</v>
      </c>
    </row>
    <row r="33152" spans="1:2" x14ac:dyDescent="0.25">
      <c r="A33152" s="64" t="str">
        <f>HYPERLINK("http://www.twitter.com/Novafey", "Novafey")</f>
        <v>Novafey</v>
      </c>
      <c r="B33152" s="65" t="s">
        <v>12997</v>
      </c>
    </row>
    <row r="33153" spans="1:2" x14ac:dyDescent="0.25">
      <c r="A33153" s="64" t="str">
        <f>HYPERLINK("http://www.twitter.com/weeelephant", "weeelephant")</f>
        <v>weeelephant</v>
      </c>
      <c r="B33153" s="65" t="s">
        <v>517</v>
      </c>
    </row>
    <row r="33154" spans="1:2" x14ac:dyDescent="0.25">
      <c r="A33154" s="64" t="str">
        <f>HYPERLINK("http://www.twitter.com/Miller_Stewart", "Miller_Stewart")</f>
        <v>Miller_Stewart</v>
      </c>
      <c r="B33154" s="65" t="s">
        <v>517</v>
      </c>
    </row>
    <row r="33155" spans="1:2" x14ac:dyDescent="0.25">
      <c r="A33155" s="64" t="str">
        <f>HYPERLINK("http://www.twitter.com/inkwell55", "inkwell55")</f>
        <v>inkwell55</v>
      </c>
      <c r="B33155" s="65" t="s">
        <v>6962</v>
      </c>
    </row>
    <row r="33156" spans="1:2" x14ac:dyDescent="0.25">
      <c r="A33156" s="64" t="str">
        <f>HYPERLINK("http://www.twitter.com/notrandomhouse", "notrandomhouse")</f>
        <v>notrandomhouse</v>
      </c>
      <c r="B33156" s="65"/>
    </row>
    <row r="33157" spans="1:2" x14ac:dyDescent="0.25">
      <c r="A33157" s="64" t="str">
        <f>HYPERLINK("http://www.twitter.com/fabalatte", "fabalatte")</f>
        <v>fabalatte</v>
      </c>
      <c r="B33157" s="65" t="s">
        <v>12998</v>
      </c>
    </row>
    <row r="33158" spans="1:2" x14ac:dyDescent="0.25">
      <c r="A33158" s="64" t="str">
        <f>HYPERLINK("http://www.twitter.com/MrFoulides", "MrFoulides")</f>
        <v>MrFoulides</v>
      </c>
      <c r="B33158" s="65"/>
    </row>
    <row r="33159" spans="1:2" x14ac:dyDescent="0.25">
      <c r="A33159" s="64" t="str">
        <f>HYPERLINK("http://www.twitter.com/twinklekerry", "twinklekerry")</f>
        <v>twinklekerry</v>
      </c>
      <c r="B33159" s="65" t="s">
        <v>4409</v>
      </c>
    </row>
    <row r="33160" spans="1:2" x14ac:dyDescent="0.25">
      <c r="A33160" s="64" t="str">
        <f>HYPERLINK("http://www.twitter.com/HelenLBeaman", "HelenLBeaman")</f>
        <v>HelenLBeaman</v>
      </c>
      <c r="B33160" s="65"/>
    </row>
    <row r="33161" spans="1:2" x14ac:dyDescent="0.25">
      <c r="A33161" s="64" t="str">
        <f>HYPERLINK("http://www.twitter.com/scots_perth", "scots_perth")</f>
        <v>scots_perth</v>
      </c>
      <c r="B33161" s="65" t="s">
        <v>12999</v>
      </c>
    </row>
    <row r="33162" spans="1:2" x14ac:dyDescent="0.25">
      <c r="A33162" s="64" t="str">
        <f>HYPERLINK("http://www.twitter.com/l_e_a_k_e_y", "l_e_a_k_e_y")</f>
        <v>l_e_a_k_e_y</v>
      </c>
      <c r="B33162" s="65" t="s">
        <v>2041</v>
      </c>
    </row>
    <row r="33163" spans="1:2" x14ac:dyDescent="0.25">
      <c r="A33163" s="64" t="str">
        <f>HYPERLINK("http://www.twitter.com/helennanmenzies", "helennanmenzies")</f>
        <v>helennanmenzies</v>
      </c>
      <c r="B33163" s="65" t="s">
        <v>13000</v>
      </c>
    </row>
    <row r="33164" spans="1:2" x14ac:dyDescent="0.25">
      <c r="A33164" s="64" t="str">
        <f>HYPERLINK("http://www.twitter.com/BusyOaT", "BusyOaT")</f>
        <v>BusyOaT</v>
      </c>
      <c r="B33164" s="65" t="s">
        <v>7582</v>
      </c>
    </row>
    <row r="33165" spans="1:2" x14ac:dyDescent="0.25">
      <c r="A33165" s="64" t="str">
        <f>HYPERLINK("http://www.twitter.com/MidlandThorn", "MidlandThorn")</f>
        <v>MidlandThorn</v>
      </c>
      <c r="B33165" s="65" t="s">
        <v>3966</v>
      </c>
    </row>
    <row r="33166" spans="1:2" x14ac:dyDescent="0.25">
      <c r="A33166" s="64" t="str">
        <f>HYPERLINK("http://www.twitter.com/TrubbellAtMill", "TrubbellAtMill")</f>
        <v>TrubbellAtMill</v>
      </c>
      <c r="B33166" s="65" t="s">
        <v>4273</v>
      </c>
    </row>
    <row r="33167" spans="1:2" x14ac:dyDescent="0.25">
      <c r="A33167" s="64" t="str">
        <f>HYPERLINK("http://www.twitter.com/TheEliselise", "TheEliselise")</f>
        <v>TheEliselise</v>
      </c>
      <c r="B33167" s="65" t="s">
        <v>13001</v>
      </c>
    </row>
    <row r="33168" spans="1:2" x14ac:dyDescent="0.25">
      <c r="A33168" s="64" t="str">
        <f>HYPERLINK("http://www.twitter.com/GuardianTeach", "GuardianTeach")</f>
        <v>GuardianTeach</v>
      </c>
      <c r="B33168" s="65" t="s">
        <v>13002</v>
      </c>
    </row>
    <row r="33169" spans="1:2" x14ac:dyDescent="0.25">
      <c r="A33169" s="64" t="str">
        <f>HYPERLINK("http://www.twitter.com/miriamvaswani", "miriamvaswani")</f>
        <v>miriamvaswani</v>
      </c>
      <c r="B33169" s="65" t="s">
        <v>477</v>
      </c>
    </row>
    <row r="33170" spans="1:2" x14ac:dyDescent="0.25">
      <c r="A33170" s="64" t="str">
        <f>HYPERLINK("http://www.twitter.com/ScotBookAwards", "ScotBookAwards")</f>
        <v>ScotBookAwards</v>
      </c>
      <c r="B33170" s="65" t="s">
        <v>517</v>
      </c>
    </row>
    <row r="33171" spans="1:2" x14ac:dyDescent="0.25">
      <c r="A33171" s="64" t="str">
        <f>HYPERLINK("http://www.twitter.com/gwenny78", "gwenny78")</f>
        <v>gwenny78</v>
      </c>
      <c r="B33171" s="65"/>
    </row>
    <row r="33172" spans="1:2" x14ac:dyDescent="0.25">
      <c r="A33172" s="64" t="str">
        <f>HYPERLINK("http://www.twitter.com/jpmdaly", "jpmdaly")</f>
        <v>jpmdaly</v>
      </c>
      <c r="B33172" s="65" t="s">
        <v>33</v>
      </c>
    </row>
    <row r="33173" spans="1:2" x14ac:dyDescent="0.25">
      <c r="A33173" s="64" t="str">
        <f>HYPERLINK("http://www.twitter.com/Lettrice62", "Lettrice62")</f>
        <v>Lettrice62</v>
      </c>
      <c r="B33173" s="65"/>
    </row>
    <row r="33174" spans="1:2" x14ac:dyDescent="0.25">
      <c r="A33174" s="64" t="str">
        <f>HYPERLINK("http://www.twitter.com/HacklyFracture", "HacklyFracture")</f>
        <v>HacklyFracture</v>
      </c>
      <c r="B33174" s="65"/>
    </row>
    <row r="33175" spans="1:2" x14ac:dyDescent="0.25">
      <c r="A33175" s="64" t="str">
        <f>HYPERLINK("http://www.twitter.com/mangaAnimeComi", "mangaAnimeComi")</f>
        <v>mangaAnimeComi</v>
      </c>
      <c r="B33175" s="65"/>
    </row>
    <row r="33176" spans="1:2" x14ac:dyDescent="0.25">
      <c r="A33176" s="64" t="str">
        <f>HYPERLINK("http://www.twitter.com/MixedMediaMaria", "MixedMediaMaria")</f>
        <v>MixedMediaMaria</v>
      </c>
      <c r="B33176" s="65" t="s">
        <v>7185</v>
      </c>
    </row>
    <row r="33177" spans="1:2" x14ac:dyDescent="0.25">
      <c r="A33177" s="64" t="str">
        <f>HYPERLINK("http://www.twitter.com/HopesayLibrary", "HopesayLibrary")</f>
        <v>HopesayLibrary</v>
      </c>
      <c r="B33177" s="65"/>
    </row>
    <row r="33178" spans="1:2" x14ac:dyDescent="0.25">
      <c r="A33178" s="64" t="str">
        <f>HYPERLINK("http://www.twitter.com/janeMB_paints", "janeMB_paints")</f>
        <v>janeMB_paints</v>
      </c>
      <c r="B33178" s="65"/>
    </row>
    <row r="33179" spans="1:2" x14ac:dyDescent="0.25">
      <c r="A33179" s="64" t="str">
        <f>HYPERLINK("http://www.twitter.com/Best_reads", "Best_reads")</f>
        <v>Best_reads</v>
      </c>
      <c r="B33179" s="65"/>
    </row>
    <row r="33180" spans="1:2" x14ac:dyDescent="0.25">
      <c r="A33180" s="64" t="str">
        <f>HYPERLINK("http://www.twitter.com/cynical64", "cynical64")</f>
        <v>cynical64</v>
      </c>
      <c r="B33180" s="65"/>
    </row>
    <row r="33181" spans="1:2" x14ac:dyDescent="0.25">
      <c r="A33181" s="64" t="str">
        <f>HYPERLINK("http://www.twitter.com/geowriter", "geowriter")</f>
        <v>geowriter</v>
      </c>
      <c r="B33181" s="65" t="s">
        <v>36</v>
      </c>
    </row>
    <row r="33182" spans="1:2" x14ac:dyDescent="0.25">
      <c r="A33182" s="64" t="str">
        <f>HYPERLINK("http://www.twitter.com/StephTimms01", "StephTimms01")</f>
        <v>StephTimms01</v>
      </c>
      <c r="B33182" s="65"/>
    </row>
    <row r="33183" spans="1:2" x14ac:dyDescent="0.25">
      <c r="A33183" s="64" t="str">
        <f>HYPERLINK("http://www.twitter.com/Belles_Ma", "Belles_Ma")</f>
        <v>Belles_Ma</v>
      </c>
      <c r="B33183" s="65" t="s">
        <v>24</v>
      </c>
    </row>
    <row r="33184" spans="1:2" x14ac:dyDescent="0.25">
      <c r="A33184" s="64" t="str">
        <f>HYPERLINK("http://www.twitter.com/EricUrco", "EricUrco")</f>
        <v>EricUrco</v>
      </c>
      <c r="B33184" s="65"/>
    </row>
    <row r="33185" spans="1:2" x14ac:dyDescent="0.25">
      <c r="A33185" s="64" t="str">
        <f>HYPERLINK("http://www.twitter.com/kitbailey", "kitbailey")</f>
        <v>kitbailey</v>
      </c>
      <c r="B33185" s="65" t="s">
        <v>1377</v>
      </c>
    </row>
    <row r="33186" spans="1:2" x14ac:dyDescent="0.25">
      <c r="A33186" s="64" t="str">
        <f>HYPERLINK("http://www.twitter.com/BrunoRosie", "BrunoRosie")</f>
        <v>BrunoRosie</v>
      </c>
      <c r="B33186" s="65"/>
    </row>
    <row r="33187" spans="1:2" x14ac:dyDescent="0.25">
      <c r="A33187" s="64" t="str">
        <f>HYPERLINK("http://www.twitter.com/MaryLConsonni", "MaryLConsonni")</f>
        <v>MaryLConsonni</v>
      </c>
      <c r="B33187" s="65" t="s">
        <v>13003</v>
      </c>
    </row>
    <row r="33188" spans="1:2" x14ac:dyDescent="0.25">
      <c r="A33188" s="64" t="str">
        <f>HYPERLINK("http://www.twitter.com/GarethCrichton", "GarethCrichton")</f>
        <v>GarethCrichton</v>
      </c>
      <c r="B33188" s="65"/>
    </row>
    <row r="33189" spans="1:2" x14ac:dyDescent="0.25">
      <c r="A33189" s="64" t="str">
        <f>HYPERLINK("http://www.twitter.com/Lucy_Librarian", "Lucy_Librarian")</f>
        <v>Lucy_Librarian</v>
      </c>
      <c r="B33189" s="65" t="s">
        <v>1635</v>
      </c>
    </row>
    <row r="33190" spans="1:2" x14ac:dyDescent="0.25">
      <c r="A33190" s="64" t="str">
        <f>HYPERLINK("http://www.twitter.com/mcecycorzo", "mcecycorzo")</f>
        <v>mcecycorzo</v>
      </c>
      <c r="B33190" s="65"/>
    </row>
    <row r="33191" spans="1:2" x14ac:dyDescent="0.25">
      <c r="A33191" s="64" t="str">
        <f>HYPERLINK("http://www.twitter.com/Gaming_Is_Epic", "Gaming_Is_Epic")</f>
        <v>Gaming_Is_Epic</v>
      </c>
      <c r="B33191" s="65" t="s">
        <v>10177</v>
      </c>
    </row>
    <row r="33192" spans="1:2" x14ac:dyDescent="0.25">
      <c r="A33192" s="64" t="str">
        <f>HYPERLINK("http://www.twitter.com/DonnaColliar", "DonnaColliar")</f>
        <v>DonnaColliar</v>
      </c>
      <c r="B33192" s="65" t="s">
        <v>1264</v>
      </c>
    </row>
    <row r="33193" spans="1:2" x14ac:dyDescent="0.25">
      <c r="A33193" s="64" t="str">
        <f>HYPERLINK("http://www.twitter.com/JohnCothes", "JohnCothes")</f>
        <v>JohnCothes</v>
      </c>
      <c r="B33193" s="65" t="s">
        <v>13004</v>
      </c>
    </row>
    <row r="33194" spans="1:2" x14ac:dyDescent="0.25">
      <c r="A33194" s="64" t="str">
        <f>HYPERLINK("http://www.twitter.com/LucidDreamerDD", "LucidDreamerDD")</f>
        <v>LucidDreamerDD</v>
      </c>
      <c r="B33194" s="65" t="s">
        <v>8026</v>
      </c>
    </row>
    <row r="33195" spans="1:2" x14ac:dyDescent="0.25">
      <c r="A33195" s="64" t="str">
        <f>HYPERLINK("http://www.twitter.com/AnnCleeves", "AnnCleeves")</f>
        <v>AnnCleeves</v>
      </c>
      <c r="B33195" s="65" t="s">
        <v>296</v>
      </c>
    </row>
    <row r="33196" spans="1:2" x14ac:dyDescent="0.25">
      <c r="A33196" s="64" t="str">
        <f>HYPERLINK("http://www.twitter.com/flajol", "flajol")</f>
        <v>flajol</v>
      </c>
      <c r="B33196" s="65"/>
    </row>
    <row r="33197" spans="1:2" x14ac:dyDescent="0.25">
      <c r="A33197" s="64" t="str">
        <f>HYPERLINK("http://www.twitter.com/dizzyizzyb", "dizzyizzyb")</f>
        <v>dizzyizzyb</v>
      </c>
      <c r="B33197" s="65"/>
    </row>
    <row r="33198" spans="1:2" x14ac:dyDescent="0.25">
      <c r="A33198" s="64" t="str">
        <f>HYPERLINK("http://www.twitter.com/SalisburySally", "SalisburySally")</f>
        <v>SalisburySally</v>
      </c>
      <c r="B33198" s="65"/>
    </row>
    <row r="33199" spans="1:2" x14ac:dyDescent="0.25">
      <c r="A33199" s="64" t="str">
        <f>HYPERLINK("http://www.twitter.com/sarahcchilds", "sarahcchilds")</f>
        <v>sarahcchilds</v>
      </c>
      <c r="B33199" s="65"/>
    </row>
    <row r="33200" spans="1:2" x14ac:dyDescent="0.25">
      <c r="A33200" s="64" t="str">
        <f>HYPERLINK("http://www.twitter.com/ShadowBrok3r", "ShadowBrok3r")</f>
        <v>ShadowBrok3r</v>
      </c>
      <c r="B33200" s="65" t="s">
        <v>13005</v>
      </c>
    </row>
    <row r="33201" spans="1:2" x14ac:dyDescent="0.25">
      <c r="A33201" s="64" t="str">
        <f>HYPERLINK("http://www.twitter.com/SheilaMcIntosh", "SheilaMcIntosh")</f>
        <v>SheilaMcIntosh</v>
      </c>
      <c r="B33201" s="65" t="s">
        <v>13006</v>
      </c>
    </row>
    <row r="33202" spans="1:2" x14ac:dyDescent="0.25">
      <c r="A33202" s="64" t="str">
        <f>HYPERLINK("http://www.twitter.com/CinebookLtd", "CinebookLtd")</f>
        <v>CinebookLtd</v>
      </c>
      <c r="B33202" s="65" t="s">
        <v>10352</v>
      </c>
    </row>
    <row r="33203" spans="1:2" x14ac:dyDescent="0.25">
      <c r="A33203" s="64" t="str">
        <f>HYPERLINK("http://www.twitter.com/dyddgu", "dyddgu")</f>
        <v>dyddgu</v>
      </c>
      <c r="B33203" s="65" t="s">
        <v>505</v>
      </c>
    </row>
    <row r="33204" spans="1:2" x14ac:dyDescent="0.25">
      <c r="A33204" s="64" t="str">
        <f>HYPERLINK("http://www.twitter.com/philwoodford", "philwoodford")</f>
        <v>philwoodford</v>
      </c>
      <c r="B33204" s="65" t="s">
        <v>477</v>
      </c>
    </row>
    <row r="33205" spans="1:2" x14ac:dyDescent="0.25">
      <c r="A33205" s="64" t="str">
        <f>HYPERLINK("http://www.twitter.com/Nessie_Land", "Nessie_Land")</f>
        <v>Nessie_Land</v>
      </c>
      <c r="B33205" s="65" t="s">
        <v>70</v>
      </c>
    </row>
    <row r="33206" spans="1:2" x14ac:dyDescent="0.25">
      <c r="A33206" s="64" t="str">
        <f>HYPERLINK("http://www.twitter.com/katiemary__", "katiemary__")</f>
        <v>katiemary__</v>
      </c>
      <c r="B33206" s="65" t="s">
        <v>517</v>
      </c>
    </row>
    <row r="33207" spans="1:2" x14ac:dyDescent="0.25">
      <c r="A33207" s="64" t="str">
        <f>HYPERLINK("http://www.twitter.com/angieickle1", "angieickle1")</f>
        <v>angieickle1</v>
      </c>
      <c r="B33207" s="65"/>
    </row>
    <row r="33208" spans="1:2" x14ac:dyDescent="0.25">
      <c r="A33208" s="64" t="str">
        <f>HYPERLINK("http://www.twitter.com/HelenJGC", "HelenJGC")</f>
        <v>HelenJGC</v>
      </c>
      <c r="B33208" s="65" t="s">
        <v>700</v>
      </c>
    </row>
    <row r="33209" spans="1:2" x14ac:dyDescent="0.25">
      <c r="A33209" s="64" t="str">
        <f>HYPERLINK("http://www.twitter.com/DumGalLibraries", "DumGalLibraries")</f>
        <v>DumGalLibraries</v>
      </c>
      <c r="B33209" s="65" t="s">
        <v>1455</v>
      </c>
    </row>
    <row r="33210" spans="1:2" x14ac:dyDescent="0.25">
      <c r="A33210" s="64" t="str">
        <f>HYPERLINK("http://www.twitter.com/Ruth374", "Ruth374")</f>
        <v>Ruth374</v>
      </c>
      <c r="B33210" s="65" t="s">
        <v>24</v>
      </c>
    </row>
    <row r="33211" spans="1:2" x14ac:dyDescent="0.25">
      <c r="A33211" s="64" t="str">
        <f>HYPERLINK("http://www.twitter.com/bifnaked", "bifnaked")</f>
        <v>bifnaked</v>
      </c>
      <c r="B33211" s="65" t="s">
        <v>13007</v>
      </c>
    </row>
    <row r="33212" spans="1:2" x14ac:dyDescent="0.25">
      <c r="A33212" s="64" t="str">
        <f>HYPERLINK("http://www.twitter.com/LornaCGillies", "LornaCGillies")</f>
        <v>LornaCGillies</v>
      </c>
      <c r="B33212" s="65" t="s">
        <v>2007</v>
      </c>
    </row>
    <row r="33213" spans="1:2" x14ac:dyDescent="0.25">
      <c r="A33213" s="64" t="str">
        <f>HYPERLINK("http://www.twitter.com/paulgahan", "paulgahan")</f>
        <v>paulgahan</v>
      </c>
      <c r="B33213" s="65" t="s">
        <v>13008</v>
      </c>
    </row>
    <row r="33214" spans="1:2" x14ac:dyDescent="0.25">
      <c r="A33214" s="64" t="str">
        <f>HYPERLINK("http://www.twitter.com/stepanouk", "stepanouk")</f>
        <v>stepanouk</v>
      </c>
      <c r="B33214" s="65"/>
    </row>
    <row r="33215" spans="1:2" x14ac:dyDescent="0.25">
      <c r="A33215" s="64" t="str">
        <f>HYPERLINK("http://www.twitter.com/FitFactorKids", "FitFactorKids")</f>
        <v>FitFactorKids</v>
      </c>
      <c r="B33215" s="65" t="s">
        <v>5602</v>
      </c>
    </row>
    <row r="33216" spans="1:2" x14ac:dyDescent="0.25">
      <c r="A33216" s="64" t="str">
        <f>HYPERLINK("http://www.twitter.com/scotsman", "scotsman")</f>
        <v>scotsman</v>
      </c>
      <c r="B33216" s="65" t="s">
        <v>24</v>
      </c>
    </row>
    <row r="33217" spans="1:2" x14ac:dyDescent="0.25">
      <c r="A33217" s="64" t="str">
        <f>HYPERLINK("http://www.twitter.com/Monkeyukelele", "Monkeyukelele")</f>
        <v>Monkeyukelele</v>
      </c>
      <c r="B33217" s="65"/>
    </row>
    <row r="33218" spans="1:2" x14ac:dyDescent="0.25">
      <c r="A33218" s="64" t="str">
        <f>HYPERLINK("http://www.twitter.com/short_straw", "short_straw")</f>
        <v>short_straw</v>
      </c>
      <c r="B33218" s="65" t="s">
        <v>12155</v>
      </c>
    </row>
    <row r="33219" spans="1:2" x14ac:dyDescent="0.25">
      <c r="A33219" s="64" t="str">
        <f>HYPERLINK("http://www.twitter.com/agathachristie", "agathachristie")</f>
        <v>agathachristie</v>
      </c>
      <c r="B33219" s="65" t="s">
        <v>13009</v>
      </c>
    </row>
    <row r="33220" spans="1:2" x14ac:dyDescent="0.25">
      <c r="A33220" s="64" t="str">
        <f>HYPERLINK("http://www.twitter.com/nataliafay", "nataliafay")</f>
        <v>nataliafay</v>
      </c>
      <c r="B33220" s="65" t="s">
        <v>36</v>
      </c>
    </row>
    <row r="33221" spans="1:2" x14ac:dyDescent="0.25">
      <c r="A33221" s="64" t="str">
        <f>HYPERLINK("http://www.twitter.com/mauvedeity", "mauvedeity")</f>
        <v>mauvedeity</v>
      </c>
      <c r="B33221" s="65" t="s">
        <v>13010</v>
      </c>
    </row>
    <row r="33222" spans="1:2" x14ac:dyDescent="0.25">
      <c r="A33222" s="64" t="str">
        <f>HYPERLINK("http://www.twitter.com/shruthisharath", "shruthisharath")</f>
        <v>shruthisharath</v>
      </c>
      <c r="B33222" s="65" t="s">
        <v>9196</v>
      </c>
    </row>
    <row r="33223" spans="1:2" x14ac:dyDescent="0.25">
      <c r="A33223" s="64" t="str">
        <f>HYPERLINK("http://www.twitter.com/susanpearsonart", "susanpearsonart")</f>
        <v>susanpearsonart</v>
      </c>
      <c r="B33223" s="65" t="s">
        <v>4674</v>
      </c>
    </row>
    <row r="33224" spans="1:2" x14ac:dyDescent="0.25">
      <c r="A33224" s="64" t="str">
        <f>HYPERLINK("http://www.twitter.com/WroLibrary", "WroLibrary")</f>
        <v>WroLibrary</v>
      </c>
      <c r="B33224" s="65" t="s">
        <v>1490</v>
      </c>
    </row>
    <row r="33225" spans="1:2" x14ac:dyDescent="0.25">
      <c r="A33225" s="64" t="str">
        <f>HYPERLINK("http://www.twitter.com/HilaryPetrie", "HilaryPetrie")</f>
        <v>HilaryPetrie</v>
      </c>
      <c r="B33225" s="65"/>
    </row>
    <row r="33226" spans="1:2" x14ac:dyDescent="0.25">
      <c r="A33226" s="64" t="str">
        <f>HYPERLINK("http://www.twitter.com/Nicola_Beer", "Nicola_Beer")</f>
        <v>Nicola_Beer</v>
      </c>
      <c r="B33226" s="65" t="s">
        <v>505</v>
      </c>
    </row>
    <row r="33227" spans="1:2" x14ac:dyDescent="0.25">
      <c r="A33227" s="64" t="str">
        <f>HYPERLINK("http://www.twitter.com/caltexautostar", "caltexautostar")</f>
        <v>caltexautostar</v>
      </c>
      <c r="B33227" s="65" t="s">
        <v>5412</v>
      </c>
    </row>
    <row r="33228" spans="1:2" x14ac:dyDescent="0.25">
      <c r="A33228" s="64" t="str">
        <f>HYPERLINK("http://www.twitter.com/snarstar", "snarstar")</f>
        <v>snarstar</v>
      </c>
      <c r="B33228" s="65" t="s">
        <v>448</v>
      </c>
    </row>
    <row r="33229" spans="1:2" x14ac:dyDescent="0.25">
      <c r="A33229" s="64" t="str">
        <f>HYPERLINK("http://www.twitter.com/nengah90", "nengah90")</f>
        <v>nengah90</v>
      </c>
      <c r="B33229" s="65" t="s">
        <v>13011</v>
      </c>
    </row>
    <row r="33230" spans="1:2" x14ac:dyDescent="0.25">
      <c r="A33230" s="64" t="str">
        <f>HYPERLINK("http://www.twitter.com/bcbg57", "bcbg57")</f>
        <v>bcbg57</v>
      </c>
      <c r="B33230" s="65"/>
    </row>
    <row r="33231" spans="1:2" x14ac:dyDescent="0.25">
      <c r="A33231" s="64" t="str">
        <f>HYPERLINK("http://www.twitter.com/shapskt", "shapskt")</f>
        <v>shapskt</v>
      </c>
      <c r="B33231" s="65"/>
    </row>
    <row r="33232" spans="1:2" x14ac:dyDescent="0.25">
      <c r="A33232" s="64" t="str">
        <f>HYPERLINK("http://www.twitter.com/thehodgo", "thehodgo")</f>
        <v>thehodgo</v>
      </c>
      <c r="B33232" s="65"/>
    </row>
    <row r="33233" spans="1:2" x14ac:dyDescent="0.25">
      <c r="A33233" s="64" t="str">
        <f>HYPERLINK("http://www.twitter.com/TAMLS", "TAMLS")</f>
        <v>TAMLS</v>
      </c>
      <c r="B33233" s="65" t="s">
        <v>3979</v>
      </c>
    </row>
    <row r="33234" spans="1:2" x14ac:dyDescent="0.25">
      <c r="A33234" s="64" t="str">
        <f>HYPERLINK("http://www.twitter.com/fbkitchen", "fbkitchen")</f>
        <v>fbkitchen</v>
      </c>
      <c r="B33234" s="65" t="s">
        <v>13012</v>
      </c>
    </row>
    <row r="33235" spans="1:2" x14ac:dyDescent="0.25">
      <c r="A33235" s="64" t="str">
        <f>HYPERLINK("http://www.twitter.com/ballicatter", "ballicatter")</f>
        <v>ballicatter</v>
      </c>
      <c r="B33235" s="65"/>
    </row>
    <row r="33236" spans="1:2" x14ac:dyDescent="0.25">
      <c r="A33236" s="64" t="str">
        <f>HYPERLINK("http://www.twitter.com/Chrissie383", "Chrissie383")</f>
        <v>Chrissie383</v>
      </c>
      <c r="B33236" s="65"/>
    </row>
    <row r="33237" spans="1:2" x14ac:dyDescent="0.25">
      <c r="A33237" s="64" t="str">
        <f>HYPERLINK("http://www.twitter.com/PENIreland", "PENIreland")</f>
        <v>PENIreland</v>
      </c>
      <c r="B33237" s="65" t="s">
        <v>3760</v>
      </c>
    </row>
    <row r="33238" spans="1:2" x14ac:dyDescent="0.25">
      <c r="A33238" s="64" t="str">
        <f>HYPERLINK("http://www.twitter.com/thetaoofken", "thetaoofken")</f>
        <v>thetaoofken</v>
      </c>
      <c r="B33238" s="65" t="s">
        <v>5540</v>
      </c>
    </row>
    <row r="33239" spans="1:2" x14ac:dyDescent="0.25">
      <c r="A33239" s="64" t="str">
        <f>HYPERLINK("http://www.twitter.com/Jesus1085", "Jesus1085")</f>
        <v>Jesus1085</v>
      </c>
      <c r="B33239" s="65"/>
    </row>
    <row r="33240" spans="1:2" x14ac:dyDescent="0.25">
      <c r="A33240" s="64" t="str">
        <f>HYPERLINK("http://www.twitter.com/IngeThomson", "IngeThomson")</f>
        <v>IngeThomson</v>
      </c>
      <c r="B33240" s="65" t="s">
        <v>9729</v>
      </c>
    </row>
    <row r="33241" spans="1:2" x14ac:dyDescent="0.25">
      <c r="A33241" s="64" t="str">
        <f>HYPERLINK("http://www.twitter.com/BDOPublicSector", "BDOPublicSector")</f>
        <v>BDOPublicSector</v>
      </c>
      <c r="B33241" s="65" t="s">
        <v>477</v>
      </c>
    </row>
    <row r="33242" spans="1:2" x14ac:dyDescent="0.25">
      <c r="A33242" s="64" t="str">
        <f>HYPERLINK("http://www.twitter.com/mairhig", "mairhig")</f>
        <v>mairhig</v>
      </c>
      <c r="B33242" s="65" t="s">
        <v>24</v>
      </c>
    </row>
    <row r="33243" spans="1:2" x14ac:dyDescent="0.25">
      <c r="A33243" s="64" t="str">
        <f>HYPERLINK("http://www.twitter.com/peterwalker99", "peterwalker99")</f>
        <v>peterwalker99</v>
      </c>
      <c r="B33243" s="65" t="s">
        <v>110</v>
      </c>
    </row>
    <row r="33244" spans="1:2" x14ac:dyDescent="0.25">
      <c r="A33244" s="64" t="str">
        <f>HYPERLINK("http://www.twitter.com/bespectakate", "bespectakate")</f>
        <v>bespectakate</v>
      </c>
      <c r="B33244" s="65"/>
    </row>
    <row r="33245" spans="1:2" x14ac:dyDescent="0.25">
      <c r="A33245" s="64" t="str">
        <f>HYPERLINK("http://www.twitter.com/bzzjosie", "bzzjosie")</f>
        <v>bzzjosie</v>
      </c>
      <c r="B33245" s="65" t="s">
        <v>4040</v>
      </c>
    </row>
    <row r="33246" spans="1:2" x14ac:dyDescent="0.25">
      <c r="A33246" s="64" t="str">
        <f>HYPERLINK("http://www.twitter.com/auntyemily", "auntyemily")</f>
        <v>auntyemily</v>
      </c>
      <c r="B33246" s="65" t="s">
        <v>24</v>
      </c>
    </row>
    <row r="33247" spans="1:2" x14ac:dyDescent="0.25">
      <c r="A33247" s="64" t="str">
        <f>HYPERLINK("http://www.twitter.com/TheNatFantastic", "TheNatFantastic")</f>
        <v>TheNatFantastic</v>
      </c>
      <c r="B33247" s="65" t="s">
        <v>1980</v>
      </c>
    </row>
    <row r="33248" spans="1:2" x14ac:dyDescent="0.25">
      <c r="A33248" s="64" t="str">
        <f>HYPERLINK("http://www.twitter.com/celebgoodnews", "celebgoodnews")</f>
        <v>celebgoodnews</v>
      </c>
      <c r="B33248" s="65"/>
    </row>
    <row r="33249" spans="1:2" x14ac:dyDescent="0.25">
      <c r="A33249" s="64" t="str">
        <f>HYPERLINK("http://www.twitter.com/BadgerMutt", "BadgerMutt")</f>
        <v>BadgerMutt</v>
      </c>
      <c r="B33249" s="65" t="s">
        <v>138</v>
      </c>
    </row>
    <row r="33250" spans="1:2" x14ac:dyDescent="0.25">
      <c r="A33250" s="64" t="str">
        <f>HYPERLINK("http://www.twitter.com/JackieHarrison", "JackieHarrison")</f>
        <v>JackieHarrison</v>
      </c>
      <c r="B33250" s="65" t="s">
        <v>3762</v>
      </c>
    </row>
    <row r="33251" spans="1:2" x14ac:dyDescent="0.25">
      <c r="A33251" s="64" t="str">
        <f>HYPERLINK("http://www.twitter.com/barrismmxj5", "barrismmxj5")</f>
        <v>barrismmxj5</v>
      </c>
      <c r="B33251" s="65"/>
    </row>
    <row r="33252" spans="1:2" x14ac:dyDescent="0.25">
      <c r="A33252" s="64" t="str">
        <f>HYPERLINK("http://www.twitter.com/wildsidejam", "wildsidejam")</f>
        <v>wildsidejam</v>
      </c>
      <c r="B33252" s="65"/>
    </row>
    <row r="33253" spans="1:2" x14ac:dyDescent="0.25">
      <c r="A33253" s="64" t="str">
        <f>HYPERLINK("http://www.twitter.com/Showcases1", "Showcases1")</f>
        <v>Showcases1</v>
      </c>
      <c r="B33253" s="65" t="s">
        <v>13013</v>
      </c>
    </row>
    <row r="33254" spans="1:2" x14ac:dyDescent="0.25">
      <c r="A33254" s="64" t="str">
        <f>HYPERLINK("http://www.twitter.com/AliceEManning", "AliceEManning")</f>
        <v>AliceEManning</v>
      </c>
      <c r="B33254" s="65" t="s">
        <v>13014</v>
      </c>
    </row>
    <row r="33255" spans="1:2" x14ac:dyDescent="0.25">
      <c r="A33255" s="64" t="str">
        <f>HYPERLINK("http://www.twitter.com/rkinnear", "rkinnear")</f>
        <v>rkinnear</v>
      </c>
      <c r="B33255" s="65"/>
    </row>
    <row r="33256" spans="1:2" x14ac:dyDescent="0.25">
      <c r="A33256" s="64" t="str">
        <f>HYPERLINK("http://www.twitter.com/katehewitt1", "katehewitt1")</f>
        <v>katehewitt1</v>
      </c>
      <c r="B33256" s="65" t="s">
        <v>883</v>
      </c>
    </row>
    <row r="33257" spans="1:2" x14ac:dyDescent="0.25">
      <c r="A33257" s="64" t="str">
        <f>HYPERLINK("http://www.twitter.com/cariad13", "cariad13")</f>
        <v>cariad13</v>
      </c>
      <c r="B33257" s="65"/>
    </row>
    <row r="33258" spans="1:2" x14ac:dyDescent="0.25">
      <c r="A33258" s="64" t="str">
        <f>HYPERLINK("http://www.twitter.com/Wilson438", "Wilson438")</f>
        <v>Wilson438</v>
      </c>
      <c r="B33258" s="65"/>
    </row>
    <row r="33259" spans="1:2" x14ac:dyDescent="0.25">
      <c r="A33259" s="64" t="str">
        <f>HYPERLINK("http://www.twitter.com/MNLibraryFriend", "MNLibraryFriend")</f>
        <v>MNLibraryFriend</v>
      </c>
      <c r="B33259" s="65" t="s">
        <v>4093</v>
      </c>
    </row>
    <row r="33260" spans="1:2" x14ac:dyDescent="0.25">
      <c r="A33260" s="64" t="str">
        <f>HYPERLINK("http://www.twitter.com/svenmorris", "svenmorris")</f>
        <v>svenmorris</v>
      </c>
      <c r="B33260" s="65" t="s">
        <v>13015</v>
      </c>
    </row>
    <row r="33261" spans="1:2" x14ac:dyDescent="0.25">
      <c r="A33261" s="64" t="str">
        <f>HYPERLINK("http://www.twitter.com/quotergal", "quotergal")</f>
        <v>quotergal</v>
      </c>
      <c r="B33261" s="65" t="s">
        <v>10026</v>
      </c>
    </row>
    <row r="33262" spans="1:2" x14ac:dyDescent="0.25">
      <c r="A33262" s="64" t="str">
        <f>HYPERLINK("http://www.twitter.com/JHWhiteLibrary", "JHWhiteLibrary")</f>
        <v>JHWhiteLibrary</v>
      </c>
      <c r="B33262" s="65" t="s">
        <v>13016</v>
      </c>
    </row>
    <row r="33263" spans="1:2" x14ac:dyDescent="0.25">
      <c r="A33263" s="64" t="str">
        <f>HYPERLINK("http://www.twitter.com/JTPLtweet", "JTPLtweet")</f>
        <v>JTPLtweet</v>
      </c>
      <c r="B33263" s="65" t="s">
        <v>13017</v>
      </c>
    </row>
    <row r="33264" spans="1:2" x14ac:dyDescent="0.25">
      <c r="A33264" s="64" t="str">
        <f>HYPERLINK("http://www.twitter.com/KrisDrever", "KrisDrever")</f>
        <v>KrisDrever</v>
      </c>
      <c r="B33264" s="65" t="s">
        <v>115</v>
      </c>
    </row>
    <row r="33265" spans="1:2" x14ac:dyDescent="0.25">
      <c r="A33265" s="64" t="str">
        <f>HYPERLINK("http://www.twitter.com/benfromlondon", "benfromlondon")</f>
        <v>benfromlondon</v>
      </c>
      <c r="B33265" s="65" t="s">
        <v>36</v>
      </c>
    </row>
    <row r="33266" spans="1:2" x14ac:dyDescent="0.25">
      <c r="A33266" s="64" t="str">
        <f>HYPERLINK("http://www.twitter.com/Bookbug_SBT", "Bookbug_SBT")</f>
        <v>Bookbug_SBT</v>
      </c>
      <c r="B33266" s="65" t="s">
        <v>517</v>
      </c>
    </row>
    <row r="33267" spans="1:2" x14ac:dyDescent="0.25">
      <c r="A33267" s="64" t="str">
        <f>HYPERLINK("http://www.twitter.com/orkneycom", "orkneycom")</f>
        <v>orkneycom</v>
      </c>
      <c r="B33267" s="65" t="s">
        <v>20</v>
      </c>
    </row>
    <row r="33268" spans="1:2" x14ac:dyDescent="0.25">
      <c r="A33268" s="64" t="str">
        <f>HYPERLINK("http://www.twitter.com/ibheritage", "ibheritage")</f>
        <v>ibheritage</v>
      </c>
      <c r="B33268" s="65" t="s">
        <v>13018</v>
      </c>
    </row>
    <row r="33269" spans="1:2" x14ac:dyDescent="0.25">
      <c r="A33269" s="64" t="str">
        <f>HYPERLINK("http://www.twitter.com/planet_clare", "planet_clare")</f>
        <v>planet_clare</v>
      </c>
      <c r="B33269" s="65" t="s">
        <v>13019</v>
      </c>
    </row>
    <row r="33270" spans="1:2" x14ac:dyDescent="0.25">
      <c r="A33270" s="64" t="str">
        <f>HYPERLINK("http://www.twitter.com/DaveFeatures", "DaveFeatures")</f>
        <v>DaveFeatures</v>
      </c>
      <c r="B33270" s="65" t="s">
        <v>5423</v>
      </c>
    </row>
    <row r="33271" spans="1:2" x14ac:dyDescent="0.25">
      <c r="A33271" s="64" t="str">
        <f>HYPERLINK("http://www.twitter.com/__ShirMcC__", "__ShirMcC__")</f>
        <v>__ShirMcC__</v>
      </c>
      <c r="B33271" s="65" t="s">
        <v>3662</v>
      </c>
    </row>
    <row r="33272" spans="1:2" x14ac:dyDescent="0.25">
      <c r="A33272" s="64" t="str">
        <f>HYPERLINK("http://www.twitter.com/pebblethedog", "pebblethedog")</f>
        <v>pebblethedog</v>
      </c>
      <c r="B33272" s="65" t="s">
        <v>6328</v>
      </c>
    </row>
    <row r="33273" spans="1:2" x14ac:dyDescent="0.25">
      <c r="A33273" s="64" t="str">
        <f>HYPERLINK("http://www.twitter.com/GillianLeeSmith", "GillianLeeSmith")</f>
        <v>GillianLeeSmith</v>
      </c>
      <c r="B33273" s="65" t="s">
        <v>13020</v>
      </c>
    </row>
    <row r="33274" spans="1:2" x14ac:dyDescent="0.25">
      <c r="A33274" s="64" t="str">
        <f>HYPERLINK("http://www.twitter.com/BTOI_Holkham", "BTOI_Holkham")</f>
        <v>BTOI_Holkham</v>
      </c>
      <c r="B33274" s="65" t="s">
        <v>13021</v>
      </c>
    </row>
    <row r="33275" spans="1:2" x14ac:dyDescent="0.25">
      <c r="A33275" s="64" t="str">
        <f>HYPERLINK("http://www.twitter.com/urbaneprofessor", "urbaneprofessor")</f>
        <v>urbaneprofessor</v>
      </c>
      <c r="B33275" s="65" t="s">
        <v>24</v>
      </c>
    </row>
    <row r="33276" spans="1:2" x14ac:dyDescent="0.25">
      <c r="A33276" s="64" t="str">
        <f>HYPERLINK("http://www.twitter.com/WendyPMassey", "WendyPMassey")</f>
        <v>WendyPMassey</v>
      </c>
      <c r="B33276" s="65" t="s">
        <v>8896</v>
      </c>
    </row>
    <row r="33277" spans="1:2" x14ac:dyDescent="0.25">
      <c r="A33277" s="64" t="str">
        <f>HYPERLINK("http://www.twitter.com/sreejithapv", "sreejithapv")</f>
        <v>sreejithapv</v>
      </c>
      <c r="B33277" s="65"/>
    </row>
    <row r="33278" spans="1:2" x14ac:dyDescent="0.25">
      <c r="A33278" s="64" t="str">
        <f>HYPERLINK("http://www.twitter.com/bellahardy", "bellahardy")</f>
        <v>bellahardy</v>
      </c>
      <c r="B33278" s="65" t="s">
        <v>13022</v>
      </c>
    </row>
    <row r="33279" spans="1:2" x14ac:dyDescent="0.25">
      <c r="A33279" s="64" t="str">
        <f>HYPERLINK("http://www.twitter.com/ArchHist", "ArchHist")</f>
        <v>ArchHist</v>
      </c>
      <c r="B33279" s="65" t="s">
        <v>13023</v>
      </c>
    </row>
    <row r="33280" spans="1:2" x14ac:dyDescent="0.25">
      <c r="A33280" s="64" t="str">
        <f>HYPERLINK("http://www.twitter.com/Grindrod", "Grindrod")</f>
        <v>Grindrod</v>
      </c>
      <c r="B33280" s="65" t="s">
        <v>13024</v>
      </c>
    </row>
    <row r="33281" spans="1:2" x14ac:dyDescent="0.25">
      <c r="A33281" s="64" t="str">
        <f>HYPERLINK("http://www.twitter.com/51to41", "51to41")</f>
        <v>51to41</v>
      </c>
      <c r="B33281" s="65" t="s">
        <v>4117</v>
      </c>
    </row>
    <row r="33282" spans="1:2" x14ac:dyDescent="0.25">
      <c r="A33282" s="64" t="str">
        <f>HYPERLINK("http://www.twitter.com/diglitinfo", "diglitinfo")</f>
        <v>diglitinfo</v>
      </c>
      <c r="B33282" s="65"/>
    </row>
    <row r="33283" spans="1:2" x14ac:dyDescent="0.25">
      <c r="A33283" s="64" t="str">
        <f>HYPERLINK("http://www.twitter.com/helenkeenlyside", "helenkeenlyside")</f>
        <v>helenkeenlyside</v>
      </c>
      <c r="B33283" s="65" t="s">
        <v>24</v>
      </c>
    </row>
    <row r="33284" spans="1:2" x14ac:dyDescent="0.25">
      <c r="A33284" s="64" t="str">
        <f>HYPERLINK("http://www.twitter.com/LBD_foto", "LBD_foto")</f>
        <v>LBD_foto</v>
      </c>
      <c r="B33284" s="65" t="s">
        <v>5939</v>
      </c>
    </row>
    <row r="33285" spans="1:2" x14ac:dyDescent="0.25">
      <c r="A33285" s="64" t="str">
        <f>HYPERLINK("http://www.twitter.com/MadeleineAllen", "MadeleineAllen")</f>
        <v>MadeleineAllen</v>
      </c>
      <c r="B33285" s="65" t="s">
        <v>13025</v>
      </c>
    </row>
    <row r="33286" spans="1:2" x14ac:dyDescent="0.25">
      <c r="A33286" s="64" t="str">
        <f>HYPERLINK("http://www.twitter.com/OldCanute", "OldCanute")</f>
        <v>OldCanute</v>
      </c>
      <c r="B33286" s="65" t="s">
        <v>13026</v>
      </c>
    </row>
    <row r="33287" spans="1:2" x14ac:dyDescent="0.25">
      <c r="A33287" s="64" t="str">
        <f>HYPERLINK("http://www.twitter.com/ItsNatstar", "ItsNatstar")</f>
        <v>ItsNatstar</v>
      </c>
      <c r="B33287" s="65" t="s">
        <v>13027</v>
      </c>
    </row>
    <row r="33288" spans="1:2" x14ac:dyDescent="0.25">
      <c r="A33288" s="64" t="str">
        <f>HYPERLINK("http://www.twitter.com/SwearyMess", "SwearyMess")</f>
        <v>SwearyMess</v>
      </c>
      <c r="B33288" s="65" t="s">
        <v>235</v>
      </c>
    </row>
    <row r="33289" spans="1:2" x14ac:dyDescent="0.25">
      <c r="A33289" s="64" t="str">
        <f>HYPERLINK("http://www.twitter.com/redrobbo13", "redrobbo13")</f>
        <v>redrobbo13</v>
      </c>
      <c r="B33289" s="65" t="s">
        <v>13028</v>
      </c>
    </row>
    <row r="33290" spans="1:2" x14ac:dyDescent="0.25">
      <c r="A33290" s="64" t="str">
        <f>HYPERLINK("http://www.twitter.com/smclennan", "smclennan")</f>
        <v>smclennan</v>
      </c>
      <c r="B33290" s="65" t="s">
        <v>13029</v>
      </c>
    </row>
    <row r="33291" spans="1:2" x14ac:dyDescent="0.25">
      <c r="A33291" s="64" t="str">
        <f>HYPERLINK("http://www.twitter.com/stephennation1", "stephennation1")</f>
        <v>stephennation1</v>
      </c>
      <c r="B33291" s="65" t="s">
        <v>13030</v>
      </c>
    </row>
    <row r="33292" spans="1:2" x14ac:dyDescent="0.25">
      <c r="A33292" s="64" t="str">
        <f>HYPERLINK("http://www.twitter.com/jcem", "jcem")</f>
        <v>jcem</v>
      </c>
      <c r="B33292" s="65" t="s">
        <v>13031</v>
      </c>
    </row>
    <row r="33293" spans="1:2" x14ac:dyDescent="0.25">
      <c r="A33293" s="64" t="str">
        <f>HYPERLINK("http://www.twitter.com/LeKechers", "LeKechers")</f>
        <v>LeKechers</v>
      </c>
      <c r="B33293" s="65" t="s">
        <v>36</v>
      </c>
    </row>
    <row r="33294" spans="1:2" x14ac:dyDescent="0.25">
      <c r="A33294" s="64" t="str">
        <f>HYPERLINK("http://www.twitter.com/headcovers", "headcovers")</f>
        <v>headcovers</v>
      </c>
      <c r="B33294" s="65" t="s">
        <v>13032</v>
      </c>
    </row>
    <row r="33295" spans="1:2" x14ac:dyDescent="0.25">
      <c r="A33295" s="64" t="str">
        <f>HYPERLINK("http://www.twitter.com/librarygirlknit", "librarygirlknit")</f>
        <v>librarygirlknit</v>
      </c>
      <c r="B33295" s="65" t="s">
        <v>2369</v>
      </c>
    </row>
    <row r="33296" spans="1:2" x14ac:dyDescent="0.25">
      <c r="A33296" s="64" t="str">
        <f>HYPERLINK("http://www.twitter.com/GeorgeEBlack", "GeorgeEBlack")</f>
        <v>GeorgeEBlack</v>
      </c>
      <c r="B33296" s="65" t="s">
        <v>5423</v>
      </c>
    </row>
    <row r="33297" spans="1:2" x14ac:dyDescent="0.25">
      <c r="A33297" s="64" t="str">
        <f>HYPERLINK("http://www.twitter.com/kimamck", "kimamck")</f>
        <v>kimamck</v>
      </c>
      <c r="B33297" s="65"/>
    </row>
    <row r="33298" spans="1:2" x14ac:dyDescent="0.25">
      <c r="A33298" s="64" t="str">
        <f>HYPERLINK("http://www.twitter.com/RSLonLib", "RSLonLib")</f>
        <v>RSLonLib</v>
      </c>
      <c r="B33298" s="65"/>
    </row>
    <row r="33299" spans="1:2" x14ac:dyDescent="0.25">
      <c r="A33299" s="64" t="str">
        <f>HYPERLINK("http://www.twitter.com/dreamcharm", "dreamcharm")</f>
        <v>dreamcharm</v>
      </c>
      <c r="B33299" s="65" t="s">
        <v>13033</v>
      </c>
    </row>
    <row r="33300" spans="1:2" x14ac:dyDescent="0.25">
      <c r="A33300" s="64" t="str">
        <f>HYPERLINK("http://www.twitter.com/WitchBrain", "WitchBrain")</f>
        <v>WitchBrain</v>
      </c>
      <c r="B33300" s="65" t="s">
        <v>1873</v>
      </c>
    </row>
    <row r="33301" spans="1:2" x14ac:dyDescent="0.25">
      <c r="A33301" s="64" t="str">
        <f>HYPERLINK("http://www.twitter.com/louisejpowney", "louisejpowney")</f>
        <v>louisejpowney</v>
      </c>
      <c r="B33301" s="65" t="s">
        <v>13034</v>
      </c>
    </row>
    <row r="33302" spans="1:2" x14ac:dyDescent="0.25">
      <c r="A33302" s="64" t="str">
        <f>HYPERLINK("http://www.twitter.com/Benfelen", "Benfelen")</f>
        <v>Benfelen</v>
      </c>
      <c r="B33302" s="65" t="s">
        <v>496</v>
      </c>
    </row>
    <row r="33303" spans="1:2" x14ac:dyDescent="0.25">
      <c r="A33303" s="64" t="str">
        <f>HYPERLINK("http://www.twitter.com/Incognito_UK", "Incognito_UK")</f>
        <v>Incognito_UK</v>
      </c>
      <c r="B33303" s="65" t="s">
        <v>13035</v>
      </c>
    </row>
    <row r="33304" spans="1:2" x14ac:dyDescent="0.25">
      <c r="A33304" s="64" t="str">
        <f>HYPERLINK("http://www.twitter.com/Jaimundo_ESX", "Jaimundo_ESX")</f>
        <v>Jaimundo_ESX</v>
      </c>
      <c r="B33304" s="65" t="s">
        <v>6171</v>
      </c>
    </row>
    <row r="33305" spans="1:2" x14ac:dyDescent="0.25">
      <c r="A33305" s="64" t="str">
        <f>HYPERLINK("http://www.twitter.com/o_ello", "o_ello")</f>
        <v>o_ello</v>
      </c>
      <c r="B33305" s="65" t="s">
        <v>11424</v>
      </c>
    </row>
    <row r="33306" spans="1:2" x14ac:dyDescent="0.25">
      <c r="A33306" s="64" t="str">
        <f>HYPERLINK("http://www.twitter.com/jillmparsons", "jillmparsons")</f>
        <v>jillmparsons</v>
      </c>
      <c r="B33306" s="65"/>
    </row>
    <row r="33307" spans="1:2" x14ac:dyDescent="0.25">
      <c r="A33307" s="64" t="str">
        <f>HYPERLINK("http://www.twitter.com/MenschTheWench", "MenschTheWench")</f>
        <v>MenschTheWench</v>
      </c>
      <c r="B33307" s="65" t="s">
        <v>13036</v>
      </c>
    </row>
    <row r="33308" spans="1:2" x14ac:dyDescent="0.25">
      <c r="A33308" s="64" t="str">
        <f>HYPERLINK("http://www.twitter.com/aligoldsworthy", "aligoldsworthy")</f>
        <v>aligoldsworthy</v>
      </c>
      <c r="B33308" s="65" t="s">
        <v>13037</v>
      </c>
    </row>
    <row r="33309" spans="1:2" x14ac:dyDescent="0.25">
      <c r="A33309" s="64" t="str">
        <f>HYPERLINK("http://www.twitter.com/wills2901", "wills2901")</f>
        <v>wills2901</v>
      </c>
      <c r="B33309" s="65" t="s">
        <v>5468</v>
      </c>
    </row>
    <row r="33310" spans="1:2" x14ac:dyDescent="0.25">
      <c r="A33310" s="64" t="str">
        <f>HYPERLINK("http://www.twitter.com/Musquat", "Musquat")</f>
        <v>Musquat</v>
      </c>
      <c r="B33310" s="65" t="s">
        <v>13038</v>
      </c>
    </row>
    <row r="33311" spans="1:2" x14ac:dyDescent="0.25">
      <c r="A33311" s="64" t="str">
        <f>HYPERLINK("http://www.twitter.com/lewis9990", "lewis9990")</f>
        <v>lewis9990</v>
      </c>
      <c r="B33311" s="65" t="s">
        <v>318</v>
      </c>
    </row>
    <row r="33312" spans="1:2" x14ac:dyDescent="0.25">
      <c r="A33312" s="64" t="str">
        <f>HYPERLINK("http://www.twitter.com/RMcCourty", "RMcCourty")</f>
        <v>RMcCourty</v>
      </c>
      <c r="B33312" s="65" t="s">
        <v>13039</v>
      </c>
    </row>
    <row r="33313" spans="1:2" x14ac:dyDescent="0.25">
      <c r="A33313" s="64" t="str">
        <f>HYPERLINK("http://www.twitter.com/seaohna", "seaohna")</f>
        <v>seaohna</v>
      </c>
      <c r="B33313" s="65" t="s">
        <v>517</v>
      </c>
    </row>
    <row r="33314" spans="1:2" x14ac:dyDescent="0.25">
      <c r="A33314" s="64" t="str">
        <f>HYPERLINK("http://www.twitter.com/velivingston", "velivingston")</f>
        <v>velivingston</v>
      </c>
      <c r="B33314" s="65" t="s">
        <v>13040</v>
      </c>
    </row>
    <row r="33315" spans="1:2" x14ac:dyDescent="0.25">
      <c r="A33315" s="64" t="str">
        <f>HYPERLINK("http://www.twitter.com/lynnybinbin", "lynnybinbin")</f>
        <v>lynnybinbin</v>
      </c>
      <c r="B33315" s="65" t="s">
        <v>13041</v>
      </c>
    </row>
    <row r="33316" spans="1:2" x14ac:dyDescent="0.25">
      <c r="A33316" s="64" t="str">
        <f>HYPERLINK("http://www.twitter.com/haggardmum", "haggardmum")</f>
        <v>haggardmum</v>
      </c>
      <c r="B33316" s="65"/>
    </row>
    <row r="33317" spans="1:2" x14ac:dyDescent="0.25">
      <c r="A33317" s="64" t="str">
        <f>HYPERLINK("http://www.twitter.com/Kit_OL", "Kit_OL")</f>
        <v>Kit_OL</v>
      </c>
      <c r="B33317" s="65" t="s">
        <v>3974</v>
      </c>
    </row>
    <row r="33318" spans="1:2" x14ac:dyDescent="0.25">
      <c r="A33318" s="64" t="str">
        <f>HYPERLINK("http://www.twitter.com/Freeek04", "Freeek04")</f>
        <v>Freeek04</v>
      </c>
      <c r="B33318" s="65"/>
    </row>
    <row r="33319" spans="1:2" x14ac:dyDescent="0.25">
      <c r="A33319" s="64" t="str">
        <f>HYPERLINK("http://www.twitter.com/vidi_ru", "vidi_ru")</f>
        <v>vidi_ru</v>
      </c>
      <c r="B33319" s="65"/>
    </row>
    <row r="33320" spans="1:2" x14ac:dyDescent="0.25">
      <c r="A33320" s="64" t="str">
        <f>HYPERLINK("http://www.twitter.com/joycetempleton", "joycetempleton")</f>
        <v>joycetempleton</v>
      </c>
      <c r="B33320" s="65" t="s">
        <v>517</v>
      </c>
    </row>
    <row r="33321" spans="1:2" x14ac:dyDescent="0.25">
      <c r="A33321" s="64" t="str">
        <f>HYPERLINK("http://www.twitter.com/usernametaken10", "usernametaken10")</f>
        <v>usernametaken10</v>
      </c>
      <c r="B33321" s="65" t="s">
        <v>4095</v>
      </c>
    </row>
    <row r="33322" spans="1:2" x14ac:dyDescent="0.25">
      <c r="A33322" s="64" t="str">
        <f>HYPERLINK("http://www.twitter.com/carolbergin", "carolbergin")</f>
        <v>carolbergin</v>
      </c>
      <c r="B33322" s="65" t="s">
        <v>7260</v>
      </c>
    </row>
    <row r="33323" spans="1:2" x14ac:dyDescent="0.25">
      <c r="A33323" s="64" t="str">
        <f>HYPERLINK("http://www.twitter.com/LibTwitArmy", "LibTwitArmy")</f>
        <v>LibTwitArmy</v>
      </c>
      <c r="B33323" s="65" t="s">
        <v>7574</v>
      </c>
    </row>
    <row r="33324" spans="1:2" x14ac:dyDescent="0.25">
      <c r="A33324" s="64" t="str">
        <f>HYPERLINK("http://www.twitter.com/rosiehartzell", "rosiehartzell")</f>
        <v>rosiehartzell</v>
      </c>
      <c r="B33324" s="65" t="s">
        <v>24</v>
      </c>
    </row>
    <row r="33325" spans="1:2" x14ac:dyDescent="0.25">
      <c r="A33325" s="64" t="str">
        <f>HYPERLINK("http://www.twitter.com/orcadesmarine", "orcadesmarine")</f>
        <v>orcadesmarine</v>
      </c>
      <c r="B33325" s="65"/>
    </row>
    <row r="33326" spans="1:2" x14ac:dyDescent="0.25">
      <c r="A33326" s="64" t="str">
        <f>HYPERLINK("http://www.twitter.com/anitashteiner", "anitashteiner")</f>
        <v>anitashteiner</v>
      </c>
      <c r="B33326" s="65" t="s">
        <v>13042</v>
      </c>
    </row>
    <row r="33327" spans="1:2" x14ac:dyDescent="0.25">
      <c r="A33327" s="64" t="str">
        <f>HYPERLINK("http://www.twitter.com/maryfelliott", "maryfelliott")</f>
        <v>maryfelliott</v>
      </c>
      <c r="B33327" s="65" t="s">
        <v>13043</v>
      </c>
    </row>
    <row r="33328" spans="1:2" x14ac:dyDescent="0.25">
      <c r="A33328" s="64" t="str">
        <f>HYPERLINK("http://www.twitter.com/joylud", "joylud")</f>
        <v>joylud</v>
      </c>
      <c r="B33328" s="65" t="s">
        <v>1490</v>
      </c>
    </row>
    <row r="33329" spans="1:2" x14ac:dyDescent="0.25">
      <c r="A33329" s="64" t="str">
        <f>HYPERLINK("http://www.twitter.com/ColinStout", "ColinStout")</f>
        <v>ColinStout</v>
      </c>
      <c r="B33329" s="65" t="s">
        <v>36</v>
      </c>
    </row>
    <row r="33330" spans="1:2" x14ac:dyDescent="0.25">
      <c r="A33330" s="64" t="str">
        <f>HYPERLINK("http://www.twitter.com/marieloua", "marieloua")</f>
        <v>marieloua</v>
      </c>
      <c r="B33330" s="65" t="s">
        <v>13044</v>
      </c>
    </row>
    <row r="33331" spans="1:2" x14ac:dyDescent="0.25">
      <c r="A33331" s="64" t="str">
        <f>HYPERLINK("http://www.twitter.com/HelenLovesBooks", "HelenLovesBooks")</f>
        <v>HelenLovesBooks</v>
      </c>
      <c r="B33331" s="65" t="s">
        <v>13045</v>
      </c>
    </row>
    <row r="33332" spans="1:2" x14ac:dyDescent="0.25">
      <c r="A33332" s="64" t="str">
        <f>HYPERLINK("http://www.twitter.com/bcs0378", "bcs0378")</f>
        <v>bcs0378</v>
      </c>
      <c r="B33332" s="65" t="s">
        <v>13046</v>
      </c>
    </row>
    <row r="33333" spans="1:2" x14ac:dyDescent="0.25">
      <c r="A33333" s="64" t="str">
        <f>HYPERLINK("http://www.twitter.com/mattpoland", "mattpoland")</f>
        <v>mattpoland</v>
      </c>
      <c r="B33333" s="65" t="s">
        <v>5156</v>
      </c>
    </row>
    <row r="33334" spans="1:2" x14ac:dyDescent="0.25">
      <c r="A33334" s="64" t="str">
        <f>HYPERLINK("http://www.twitter.com/SarahKinsella", "SarahKinsella")</f>
        <v>SarahKinsella</v>
      </c>
      <c r="B33334" s="65"/>
    </row>
    <row r="33335" spans="1:2" x14ac:dyDescent="0.25">
      <c r="A33335" s="64" t="str">
        <f>HYPERLINK("http://www.twitter.com/abmassie", "abmassie")</f>
        <v>abmassie</v>
      </c>
      <c r="B33335" s="65"/>
    </row>
    <row r="33336" spans="1:2" x14ac:dyDescent="0.25">
      <c r="A33336" s="64" t="str">
        <f>HYPERLINK("http://www.twitter.com/KingConstance", "KingConstance")</f>
        <v>KingConstance</v>
      </c>
      <c r="B33336" s="65" t="s">
        <v>13047</v>
      </c>
    </row>
    <row r="33337" spans="1:2" x14ac:dyDescent="0.25">
      <c r="A33337" s="64" t="str">
        <f>HYPERLINK("http://www.twitter.com/WandaOpalinska", "WandaOpalinska")</f>
        <v>WandaOpalinska</v>
      </c>
      <c r="B33337" s="65"/>
    </row>
    <row r="33338" spans="1:2" x14ac:dyDescent="0.25">
      <c r="A33338" s="64" t="str">
        <f>HYPERLINK("http://www.twitter.com/Pen319", "Pen319")</f>
        <v>Pen319</v>
      </c>
      <c r="B33338" s="65" t="s">
        <v>1876</v>
      </c>
    </row>
    <row r="33339" spans="1:2" x14ac:dyDescent="0.25">
      <c r="A33339" s="64" t="str">
        <f>HYPERLINK("http://www.twitter.com/fmowat", "fmowat")</f>
        <v>fmowat</v>
      </c>
      <c r="B33339" s="65" t="s">
        <v>13048</v>
      </c>
    </row>
    <row r="33340" spans="1:2" x14ac:dyDescent="0.25">
      <c r="A33340" s="64" t="str">
        <f>HYPERLINK("http://www.twitter.com/Lizzy_the_D", "Lizzy_the_D")</f>
        <v>Lizzy_the_D</v>
      </c>
      <c r="B33340" s="65"/>
    </row>
    <row r="33341" spans="1:2" x14ac:dyDescent="0.25">
      <c r="A33341" s="64" t="str">
        <f>HYPERLINK("http://www.twitter.com/VenetiaDy", "VenetiaDy")</f>
        <v>VenetiaDy</v>
      </c>
      <c r="B33341" s="65" t="s">
        <v>13049</v>
      </c>
    </row>
    <row r="33342" spans="1:2" x14ac:dyDescent="0.25">
      <c r="A33342" s="64" t="str">
        <f>HYPERLINK("http://www.twitter.com/dhlbrown", "dhlbrown")</f>
        <v>dhlbrown</v>
      </c>
      <c r="B33342" s="65" t="s">
        <v>5006</v>
      </c>
    </row>
    <row r="33343" spans="1:2" x14ac:dyDescent="0.25">
      <c r="A33343" s="64" t="str">
        <f>HYPERLINK("http://www.twitter.com/Karman_Girl", "Karman_Girl")</f>
        <v>Karman_Girl</v>
      </c>
      <c r="B33343" s="65" t="s">
        <v>13050</v>
      </c>
    </row>
    <row r="33344" spans="1:2" x14ac:dyDescent="0.25">
      <c r="A33344" s="64" t="str">
        <f>HYPERLINK("http://www.twitter.com/oakgrovelibrary", "oakgrovelibrary")</f>
        <v>oakgrovelibrary</v>
      </c>
      <c r="B33344" s="65" t="s">
        <v>13051</v>
      </c>
    </row>
    <row r="33345" spans="1:2" x14ac:dyDescent="0.25">
      <c r="A33345" s="64" t="str">
        <f>HYPERLINK("http://www.twitter.com/HighlandCamper", "HighlandCamper")</f>
        <v>HighlandCamper</v>
      </c>
      <c r="B33345" s="65" t="s">
        <v>4050</v>
      </c>
    </row>
    <row r="33346" spans="1:2" x14ac:dyDescent="0.25">
      <c r="A33346" s="64" t="str">
        <f>HYPERLINK("http://www.twitter.com/ebookwoman", "ebookwoman")</f>
        <v>ebookwoman</v>
      </c>
      <c r="B33346" s="65" t="s">
        <v>110</v>
      </c>
    </row>
    <row r="33347" spans="1:2" x14ac:dyDescent="0.25">
      <c r="A33347" s="64" t="str">
        <f>HYPERLINK("http://www.twitter.com/crom74", "crom74")</f>
        <v>crom74</v>
      </c>
      <c r="B33347" s="65" t="s">
        <v>13052</v>
      </c>
    </row>
    <row r="33348" spans="1:2" x14ac:dyDescent="0.25">
      <c r="A33348" s="64" t="str">
        <f>HYPERLINK("http://www.twitter.com/Mr_Shakespeare", "Mr_Shakespeare")</f>
        <v>Mr_Shakespeare</v>
      </c>
      <c r="B33348" s="65" t="s">
        <v>7029</v>
      </c>
    </row>
    <row r="33349" spans="1:2" x14ac:dyDescent="0.25">
      <c r="A33349" s="64" t="str">
        <f>HYPERLINK("http://www.twitter.com/aimeeheuz", "aimeeheuz")</f>
        <v>aimeeheuz</v>
      </c>
      <c r="B33349" s="65" t="s">
        <v>110</v>
      </c>
    </row>
    <row r="33350" spans="1:2" x14ac:dyDescent="0.25">
      <c r="A33350" s="64" t="str">
        <f>HYPERLINK("http://www.twitter.com/14cmb", "14cmb")</f>
        <v>14cmb</v>
      </c>
      <c r="B33350" s="65" t="s">
        <v>8513</v>
      </c>
    </row>
    <row r="33351" spans="1:2" x14ac:dyDescent="0.25">
      <c r="A33351" s="64" t="str">
        <f>HYPERLINK("http://www.twitter.com/lockwoodwriter", "lockwoodwriter")</f>
        <v>lockwoodwriter</v>
      </c>
      <c r="B33351" s="65" t="s">
        <v>13053</v>
      </c>
    </row>
    <row r="33352" spans="1:2" x14ac:dyDescent="0.25">
      <c r="A33352" s="64" t="str">
        <f>HYPERLINK("http://www.twitter.com/debswillis", "debswillis")</f>
        <v>debswillis</v>
      </c>
      <c r="B33352" s="65" t="s">
        <v>871</v>
      </c>
    </row>
    <row r="33353" spans="1:2" x14ac:dyDescent="0.25">
      <c r="A33353" s="64" t="str">
        <f>HYPERLINK("http://www.twitter.com/norfolkbookworm", "norfolkbookworm")</f>
        <v>norfolkbookworm</v>
      </c>
      <c r="B33353" s="65"/>
    </row>
    <row r="33354" spans="1:2" x14ac:dyDescent="0.25">
      <c r="A33354" s="64" t="str">
        <f>HYPERLINK("http://www.twitter.com/BarkyMag", "BarkyMag")</f>
        <v>BarkyMag</v>
      </c>
      <c r="B33354" s="65" t="s">
        <v>624</v>
      </c>
    </row>
    <row r="33355" spans="1:2" x14ac:dyDescent="0.25">
      <c r="A33355" s="64" t="str">
        <f>HYPERLINK("http://www.twitter.com/ConstansFidei", "ConstansFidei")</f>
        <v>ConstansFidei</v>
      </c>
      <c r="B33355" s="65" t="s">
        <v>13054</v>
      </c>
    </row>
    <row r="33356" spans="1:2" x14ac:dyDescent="0.25">
      <c r="A33356" s="64" t="str">
        <f>HYPERLINK("http://www.twitter.com/DigitalLisaa", "DigitalLisaa")</f>
        <v>DigitalLisaa</v>
      </c>
      <c r="B33356" s="65" t="s">
        <v>13055</v>
      </c>
    </row>
    <row r="33357" spans="1:2" x14ac:dyDescent="0.25">
      <c r="A33357" s="64" t="str">
        <f>HYPERLINK("http://www.twitter.com/locksylou", "locksylou")</f>
        <v>locksylou</v>
      </c>
      <c r="B33357" s="65"/>
    </row>
    <row r="33358" spans="1:2" x14ac:dyDescent="0.25">
      <c r="A33358" s="64" t="str">
        <f>HYPERLINK("http://www.twitter.com/abzbyrne", "abzbyrne")</f>
        <v>abzbyrne</v>
      </c>
      <c r="B33358" s="65" t="s">
        <v>36</v>
      </c>
    </row>
    <row r="33359" spans="1:2" x14ac:dyDescent="0.25">
      <c r="A33359" s="64" t="str">
        <f>HYPERLINK("http://www.twitter.com/caitlinmoran", "caitlinmoran")</f>
        <v>caitlinmoran</v>
      </c>
      <c r="B33359" s="65"/>
    </row>
    <row r="33360" spans="1:2" x14ac:dyDescent="0.25">
      <c r="A33360" s="64" t="str">
        <f>HYPERLINK("http://www.twitter.com/kateflett", "kateflett")</f>
        <v>kateflett</v>
      </c>
      <c r="B33360" s="65" t="s">
        <v>13056</v>
      </c>
    </row>
    <row r="33361" spans="1:2" x14ac:dyDescent="0.25">
      <c r="A33361" s="64" t="str">
        <f>HYPERLINK("http://www.twitter.com/missclarefowler", "missclarefowler")</f>
        <v>missclarefowler</v>
      </c>
      <c r="B33361" s="65" t="s">
        <v>2007</v>
      </c>
    </row>
    <row r="33362" spans="1:2" x14ac:dyDescent="0.25">
      <c r="A33362" s="64" t="str">
        <f>HYPERLINK("http://www.twitter.com/Tea_Operated", "Tea_Operated")</f>
        <v>Tea_Operated</v>
      </c>
      <c r="B33362" s="65" t="s">
        <v>4969</v>
      </c>
    </row>
    <row r="33363" spans="1:2" x14ac:dyDescent="0.25">
      <c r="A33363" s="64" t="str">
        <f>HYPERLINK("http://www.twitter.com/nixybooboo", "nixybooboo")</f>
        <v>nixybooboo</v>
      </c>
      <c r="B33363" s="65" t="s">
        <v>13057</v>
      </c>
    </row>
    <row r="33364" spans="1:2" x14ac:dyDescent="0.25">
      <c r="A33364" s="64" t="str">
        <f>HYPERLINK("http://www.twitter.com/Library_Pals", "Library_Pals")</f>
        <v>Library_Pals</v>
      </c>
      <c r="B33364" s="65" t="s">
        <v>13058</v>
      </c>
    </row>
    <row r="33365" spans="1:2" x14ac:dyDescent="0.25">
      <c r="A33365" s="64" t="str">
        <f>HYPERLINK("http://www.twitter.com/GillMcGavin", "GillMcGavin")</f>
        <v>GillMcGavin</v>
      </c>
      <c r="B33365" s="65"/>
    </row>
    <row r="33366" spans="1:2" x14ac:dyDescent="0.25">
      <c r="A33366" s="64" t="str">
        <f>HYPERLINK("http://www.twitter.com/Kathryn296", "Kathryn296")</f>
        <v>Kathryn296</v>
      </c>
      <c r="B33366" s="65"/>
    </row>
    <row r="33367" spans="1:2" x14ac:dyDescent="0.25">
      <c r="A33367" s="64" t="str">
        <f>HYPERLINK("http://www.twitter.com/YorkLibrariesUK", "YorkLibrariesUK")</f>
        <v>YorkLibrariesUK</v>
      </c>
      <c r="B33367" s="65" t="s">
        <v>346</v>
      </c>
    </row>
    <row r="33368" spans="1:2" x14ac:dyDescent="0.25">
      <c r="A33368" s="64" t="str">
        <f>HYPERLINK("http://www.twitter.com/CarolePTurner", "CarolePTurner")</f>
        <v>CarolePTurner</v>
      </c>
      <c r="B33368" s="65"/>
    </row>
    <row r="33369" spans="1:2" x14ac:dyDescent="0.25">
      <c r="A33369" s="64" t="str">
        <f>HYPERLINK("http://www.twitter.com/Soyturista", "Soyturista")</f>
        <v>Soyturista</v>
      </c>
      <c r="B33369" s="65" t="s">
        <v>36</v>
      </c>
    </row>
    <row r="33370" spans="1:2" x14ac:dyDescent="0.25">
      <c r="A33370" s="64" t="str">
        <f>HYPERLINK("http://www.twitter.com/avrilcurrie", "avrilcurrie")</f>
        <v>avrilcurrie</v>
      </c>
      <c r="B33370" s="65" t="s">
        <v>13059</v>
      </c>
    </row>
    <row r="33371" spans="1:2" x14ac:dyDescent="0.25">
      <c r="A33371" s="64" t="str">
        <f>HYPERLINK("http://www.twitter.com/melanieharper", "melanieharper")</f>
        <v>melanieharper</v>
      </c>
      <c r="B33371" s="65" t="s">
        <v>13060</v>
      </c>
    </row>
    <row r="33372" spans="1:2" x14ac:dyDescent="0.25">
      <c r="A33372" s="64" t="str">
        <f>HYPERLINK("http://www.twitter.com/kirstymacholly", "kirstymacholly")</f>
        <v>kirstymacholly</v>
      </c>
      <c r="B33372" s="65" t="s">
        <v>4969</v>
      </c>
    </row>
    <row r="33373" spans="1:2" x14ac:dyDescent="0.25">
      <c r="A33373" s="64" t="str">
        <f>HYPERLINK("http://www.twitter.com/SutherlandGill", "SutherlandGill")</f>
        <v>SutherlandGill</v>
      </c>
      <c r="B33373" s="65" t="s">
        <v>13061</v>
      </c>
    </row>
    <row r="33374" spans="1:2" x14ac:dyDescent="0.25">
      <c r="A33374" s="64" t="str">
        <f>HYPERLINK("http://www.twitter.com/anniebeanie", "anniebeanie")</f>
        <v>anniebeanie</v>
      </c>
      <c r="B33374" s="65" t="s">
        <v>4479</v>
      </c>
    </row>
    <row r="33375" spans="1:2" x14ac:dyDescent="0.25">
      <c r="A33375" s="64" t="str">
        <f>HYPERLINK("http://www.twitter.com/sarahmanfredi", "sarahmanfredi")</f>
        <v>sarahmanfredi</v>
      </c>
      <c r="B33375" s="65"/>
    </row>
    <row r="33376" spans="1:2" x14ac:dyDescent="0.25">
      <c r="A33376" s="64" t="str">
        <f>HYPERLINK("http://www.twitter.com/TroisVerres", "TroisVerres")</f>
        <v>TroisVerres</v>
      </c>
      <c r="B33376" s="65" t="s">
        <v>2805</v>
      </c>
    </row>
    <row r="33377" spans="1:2" x14ac:dyDescent="0.25">
      <c r="A33377" s="64" t="str">
        <f>HYPERLINK("http://www.twitter.com/deborahddnntt", "deborahddnntt")</f>
        <v>deborahddnntt</v>
      </c>
      <c r="B33377" s="65"/>
    </row>
    <row r="33378" spans="1:2" x14ac:dyDescent="0.25">
      <c r="A33378" s="64" t="str">
        <f>HYPERLINK("http://www.twitter.com/mrsanecdote", "mrsanecdote")</f>
        <v>mrsanecdote</v>
      </c>
      <c r="B33378" s="65" t="s">
        <v>1295</v>
      </c>
    </row>
    <row r="33379" spans="1:2" x14ac:dyDescent="0.25">
      <c r="A33379" s="64" t="str">
        <f>HYPERLINK("http://www.twitter.com/BelgianWaffling", "BelgianWaffling")</f>
        <v>BelgianWaffling</v>
      </c>
      <c r="B33379" s="65" t="s">
        <v>4829</v>
      </c>
    </row>
    <row r="33380" spans="1:2" x14ac:dyDescent="0.25">
      <c r="A33380" s="64" t="str">
        <f>HYPERLINK("http://www.twitter.com/karrie_anne", "karrie_anne")</f>
        <v>karrie_anne</v>
      </c>
      <c r="B33380" s="65" t="s">
        <v>1598</v>
      </c>
    </row>
    <row r="33381" spans="1:2" x14ac:dyDescent="0.25">
      <c r="A33381" s="64" t="str">
        <f>HYPERLINK("http://www.twitter.com/kmpharwood", "kmpharwood")</f>
        <v>kmpharwood</v>
      </c>
      <c r="B33381" s="65" t="s">
        <v>36</v>
      </c>
    </row>
    <row r="33382" spans="1:2" x14ac:dyDescent="0.25">
      <c r="A33382" s="64" t="str">
        <f>HYPERLINK("http://www.twitter.com/katieharwar", "katieharwar")</f>
        <v>katieharwar</v>
      </c>
      <c r="B33382" s="65" t="s">
        <v>3678</v>
      </c>
    </row>
    <row r="33383" spans="1:2" x14ac:dyDescent="0.25">
      <c r="A33383" s="64" t="str">
        <f>HYPERLINK("http://www.twitter.com/chickensmrs", "chickensmrs")</f>
        <v>chickensmrs</v>
      </c>
      <c r="B33383" s="65"/>
    </row>
    <row r="33384" spans="1:2" x14ac:dyDescent="0.25">
      <c r="A33384" s="64" t="str">
        <f>HYPERLINK("http://www.twitter.com/MSnuffleupagus", "MSnuffleupagus")</f>
        <v>MSnuffleupagus</v>
      </c>
      <c r="B33384" s="65" t="s">
        <v>13062</v>
      </c>
    </row>
    <row r="33385" spans="1:2" x14ac:dyDescent="0.25">
      <c r="A33385" s="64" t="str">
        <f>HYPERLINK("http://www.twitter.com/aimi82", "aimi82")</f>
        <v>aimi82</v>
      </c>
      <c r="B33385" s="65"/>
    </row>
    <row r="33386" spans="1:2" x14ac:dyDescent="0.25">
      <c r="A33386" s="64" t="str">
        <f>HYPERLINK("http://www.twitter.com/Semakaleng", "Semakaleng")</f>
        <v>Semakaleng</v>
      </c>
      <c r="B33386" s="65" t="s">
        <v>3633</v>
      </c>
    </row>
    <row r="33387" spans="1:2" x14ac:dyDescent="0.25">
      <c r="A33387" s="64" t="str">
        <f>HYPERLINK("http://www.twitter.com/sabele26", "sabele26")</f>
        <v>sabele26</v>
      </c>
      <c r="B33387" s="65" t="s">
        <v>13063</v>
      </c>
    </row>
    <row r="33388" spans="1:2" x14ac:dyDescent="0.25">
      <c r="A33388" s="64" t="str">
        <f>HYPERLINK("http://www.twitter.com/oliviaandrea", "oliviaandrea")</f>
        <v>oliviaandrea</v>
      </c>
      <c r="B33388" s="65"/>
    </row>
    <row r="33389" spans="1:2" x14ac:dyDescent="0.25">
      <c r="A33389" s="64" t="str">
        <f>HYPERLINK("http://www.twitter.com/Joooooleeee", "Joooooleeee")</f>
        <v>Joooooleeee</v>
      </c>
      <c r="B33389" s="65" t="s">
        <v>4394</v>
      </c>
    </row>
    <row r="33390" spans="1:2" x14ac:dyDescent="0.25">
      <c r="A33390" s="64" t="str">
        <f>HYPERLINK("http://www.twitter.com/thelastnameleft", "thelastnameleft")</f>
        <v>thelastnameleft</v>
      </c>
      <c r="B33390" s="65" t="s">
        <v>13064</v>
      </c>
    </row>
    <row r="33391" spans="1:2" x14ac:dyDescent="0.25">
      <c r="A33391" s="64" t="str">
        <f>HYPERLINK("http://www.twitter.com/ManjiriKC", "ManjiriKC")</f>
        <v>ManjiriKC</v>
      </c>
      <c r="B33391" s="65" t="s">
        <v>36</v>
      </c>
    </row>
    <row r="33392" spans="1:2" x14ac:dyDescent="0.25">
      <c r="A33392" s="64" t="str">
        <f>HYPERLINK("http://www.twitter.com/deililly", "deililly")</f>
        <v>deililly</v>
      </c>
      <c r="B33392" s="65" t="s">
        <v>13065</v>
      </c>
    </row>
    <row r="33393" spans="1:2" x14ac:dyDescent="0.25">
      <c r="A33393" s="64" t="str">
        <f>HYPERLINK("http://www.twitter.com/MargateHarbour", "MargateHarbour")</f>
        <v>MargateHarbour</v>
      </c>
      <c r="B33393" s="65" t="s">
        <v>10719</v>
      </c>
    </row>
    <row r="33394" spans="1:2" x14ac:dyDescent="0.25">
      <c r="A33394" s="64" t="str">
        <f>HYPERLINK("http://www.twitter.com/Cromerty", "Cromerty")</f>
        <v>Cromerty</v>
      </c>
      <c r="B33394" s="65" t="s">
        <v>70</v>
      </c>
    </row>
    <row r="33395" spans="1:2" x14ac:dyDescent="0.25">
      <c r="A33395" s="64" t="str">
        <f>HYPERLINK("http://www.twitter.com/Bond007Girl", "Bond007Girl")</f>
        <v>Bond007Girl</v>
      </c>
      <c r="B33395" s="65" t="s">
        <v>2007</v>
      </c>
    </row>
    <row r="33396" spans="1:2" x14ac:dyDescent="0.25">
      <c r="A33396" s="64" t="str">
        <f>HYPERLINK("http://www.twitter.com/ElizCro", "ElizCro")</f>
        <v>ElizCro</v>
      </c>
      <c r="B33396" s="65" t="s">
        <v>7348</v>
      </c>
    </row>
    <row r="33397" spans="1:2" x14ac:dyDescent="0.25">
      <c r="A33397" s="64" t="str">
        <f>HYPERLINK("http://www.twitter.com/ValkyrieSmudge", "ValkyrieSmudge")</f>
        <v>ValkyrieSmudge</v>
      </c>
      <c r="B33397" s="65" t="s">
        <v>296</v>
      </c>
    </row>
    <row r="33398" spans="1:2" x14ac:dyDescent="0.25">
      <c r="A33398" s="64" t="str">
        <f>HYPERLINK("http://www.twitter.com/carylhart1", "carylhart1")</f>
        <v>carylhart1</v>
      </c>
      <c r="B33398" s="65" t="s">
        <v>13066</v>
      </c>
    </row>
    <row r="33399" spans="1:2" x14ac:dyDescent="0.25">
      <c r="A33399" s="64" t="str">
        <f>HYPERLINK("http://www.twitter.com/orkneyinnertown", "orkneyinnertown")</f>
        <v>orkneyinnertown</v>
      </c>
      <c r="B33399" s="65" t="s">
        <v>13067</v>
      </c>
    </row>
    <row r="33400" spans="1:2" x14ac:dyDescent="0.25">
      <c r="A33400" s="64" t="str">
        <f>HYPERLINK("http://www.twitter.com/SlimJimSim", "SlimJimSim")</f>
        <v>SlimJimSim</v>
      </c>
      <c r="B33400" s="65"/>
    </row>
    <row r="33401" spans="1:2" x14ac:dyDescent="0.25">
      <c r="A33401" s="64" t="str">
        <f>HYPERLINK("http://www.twitter.com/EHULearnService", "EHULearnService")</f>
        <v>EHULearnService</v>
      </c>
      <c r="B33401" s="65" t="s">
        <v>705</v>
      </c>
    </row>
    <row r="33402" spans="1:2" x14ac:dyDescent="0.25">
      <c r="A33402" s="64" t="str">
        <f>HYPERLINK("http://www.twitter.com/mbarron5", "mbarron5")</f>
        <v>mbarron5</v>
      </c>
      <c r="B33402" s="65"/>
    </row>
    <row r="33403" spans="1:2" x14ac:dyDescent="0.25">
      <c r="A33403" s="64" t="str">
        <f>HYPERLINK("http://www.twitter.com/pecki23", "pecki23")</f>
        <v>pecki23</v>
      </c>
      <c r="B33403" s="65" t="s">
        <v>13068</v>
      </c>
    </row>
    <row r="33404" spans="1:2" x14ac:dyDescent="0.25">
      <c r="A33404" s="64" t="str">
        <f>HYPERLINK("http://www.twitter.com/sianyprice", "sianyprice")</f>
        <v>sianyprice</v>
      </c>
      <c r="B33404" s="65" t="s">
        <v>1226</v>
      </c>
    </row>
    <row r="33405" spans="1:2" x14ac:dyDescent="0.25">
      <c r="A33405" s="64" t="str">
        <f>HYPERLINK("http://www.twitter.com/sallybtipper", "sallybtipper")</f>
        <v>sallybtipper</v>
      </c>
      <c r="B33405" s="65" t="s">
        <v>3819</v>
      </c>
    </row>
    <row r="33406" spans="1:2" x14ac:dyDescent="0.25">
      <c r="A33406" s="64" t="str">
        <f>HYPERLINK("http://www.twitter.com/OisinTheDeer", "OisinTheDeer")</f>
        <v>OisinTheDeer</v>
      </c>
      <c r="B33406" s="65" t="s">
        <v>4139</v>
      </c>
    </row>
    <row r="33407" spans="1:2" x14ac:dyDescent="0.25">
      <c r="A33407" s="64" t="str">
        <f>HYPERLINK("http://www.twitter.com/pmonies", "pmonies")</f>
        <v>pmonies</v>
      </c>
      <c r="B33407" s="65" t="s">
        <v>8370</v>
      </c>
    </row>
    <row r="33408" spans="1:2" x14ac:dyDescent="0.25">
      <c r="A33408" s="64" t="str">
        <f>HYPERLINK("http://www.twitter.com/Kuicker", "Kuicker")</f>
        <v>Kuicker</v>
      </c>
      <c r="B33408" s="65"/>
    </row>
    <row r="33409" spans="1:2" x14ac:dyDescent="0.25">
      <c r="A33409" s="64" t="str">
        <f>HYPERLINK("http://www.twitter.com/fforchwen_too", "fforchwen_too")</f>
        <v>fforchwen_too</v>
      </c>
      <c r="B33409" s="65" t="s">
        <v>13069</v>
      </c>
    </row>
    <row r="33410" spans="1:2" x14ac:dyDescent="0.25">
      <c r="A33410" s="64" t="str">
        <f>HYPERLINK("http://www.twitter.com/fionafantastico", "fionafantastico")</f>
        <v>fionafantastico</v>
      </c>
      <c r="B33410" s="65" t="s">
        <v>4840</v>
      </c>
    </row>
    <row r="33411" spans="1:2" x14ac:dyDescent="0.25">
      <c r="A33411" s="64" t="str">
        <f>HYPERLINK("http://www.twitter.com/MrAdamBeresford", "MrAdamBeresford")</f>
        <v>MrAdamBeresford</v>
      </c>
      <c r="B33411" s="65" t="s">
        <v>13070</v>
      </c>
    </row>
    <row r="33412" spans="1:2" x14ac:dyDescent="0.25">
      <c r="A33412" s="64" t="str">
        <f>HYPERLINK("http://www.twitter.com/Bettyimpact", "Bettyimpact")</f>
        <v>Bettyimpact</v>
      </c>
      <c r="B33412" s="65" t="s">
        <v>13071</v>
      </c>
    </row>
    <row r="33413" spans="1:2" x14ac:dyDescent="0.25">
      <c r="A33413" s="64" t="str">
        <f>HYPERLINK("http://www.twitter.com/_Minilyn_", "_Minilyn_")</f>
        <v>_Minilyn_</v>
      </c>
      <c r="B33413" s="65"/>
    </row>
    <row r="33414" spans="1:2" x14ac:dyDescent="0.25">
      <c r="A33414" s="64" t="str">
        <f>HYPERLINK("http://www.twitter.com/KB_Shampain", "KB_Shampain")</f>
        <v>KB_Shampain</v>
      </c>
      <c r="B33414" s="65" t="s">
        <v>13072</v>
      </c>
    </row>
    <row r="33415" spans="1:2" x14ac:dyDescent="0.25">
      <c r="A33415" s="64" t="str">
        <f>HYPERLINK("http://www.twitter.com/brenstorm", "brenstorm")</f>
        <v>brenstorm</v>
      </c>
      <c r="B33415" s="65" t="s">
        <v>13073</v>
      </c>
    </row>
    <row r="33416" spans="1:2" x14ac:dyDescent="0.25">
      <c r="A33416" s="64" t="str">
        <f>HYPERLINK("http://www.twitter.com/JohnAMaclean", "JohnAMaclean")</f>
        <v>JohnAMaclean</v>
      </c>
      <c r="B33416" s="65"/>
    </row>
    <row r="33417" spans="1:2" x14ac:dyDescent="0.25">
      <c r="A33417" s="64" t="str">
        <f>HYPERLINK("http://www.twitter.com/cymrugirl76", "cymrugirl76")</f>
        <v>cymrugirl76</v>
      </c>
      <c r="B33417" s="65" t="s">
        <v>1218</v>
      </c>
    </row>
    <row r="33418" spans="1:2" x14ac:dyDescent="0.25">
      <c r="A33418" s="64" t="str">
        <f>HYPERLINK("http://www.twitter.com/RMGCat", "RMGCat")</f>
        <v>RMGCat</v>
      </c>
      <c r="B33418" s="65" t="s">
        <v>36</v>
      </c>
    </row>
    <row r="33419" spans="1:2" x14ac:dyDescent="0.25">
      <c r="A33419" s="64" t="str">
        <f>HYPERLINK("http://www.twitter.com/BeatrixHellcock", "BeatrixHellcock")</f>
        <v>BeatrixHellcock</v>
      </c>
      <c r="B33419" s="65"/>
    </row>
    <row r="33420" spans="1:2" x14ac:dyDescent="0.25">
      <c r="A33420" s="64" t="str">
        <f>HYPERLINK("http://www.twitter.com/Alithewoozle", "Alithewoozle")</f>
        <v>Alithewoozle</v>
      </c>
      <c r="B33420" s="65"/>
    </row>
    <row r="33421" spans="1:2" x14ac:dyDescent="0.25">
      <c r="A33421" s="64" t="str">
        <f>HYPERLINK("http://www.twitter.com/SeeingMore", "SeeingMore")</f>
        <v>SeeingMore</v>
      </c>
      <c r="B33421" s="65" t="s">
        <v>663</v>
      </c>
    </row>
    <row r="33422" spans="1:2" x14ac:dyDescent="0.25">
      <c r="A33422" s="64" t="str">
        <f>HYPERLINK("http://www.twitter.com/genevieveannu", "genevieveannu")</f>
        <v>genevieveannu</v>
      </c>
      <c r="B33422" s="65" t="s">
        <v>310</v>
      </c>
    </row>
    <row r="33423" spans="1:2" x14ac:dyDescent="0.25">
      <c r="A33423" s="64" t="str">
        <f>HYPERLINK("http://www.twitter.com/mannajon", "mannajon")</f>
        <v>mannajon</v>
      </c>
      <c r="B33423" s="65" t="s">
        <v>24</v>
      </c>
    </row>
    <row r="33424" spans="1:2" x14ac:dyDescent="0.25">
      <c r="A33424" s="64" t="str">
        <f>HYPERLINK("http://www.twitter.com/russbro", "russbro")</f>
        <v>russbro</v>
      </c>
      <c r="B33424" s="65"/>
    </row>
    <row r="33425" spans="1:2" x14ac:dyDescent="0.25">
      <c r="A33425" s="64" t="str">
        <f>HYPERLINK("http://www.twitter.com/LouiseMaskill", "LouiseMaskill")</f>
        <v>LouiseMaskill</v>
      </c>
      <c r="B33425" s="65" t="s">
        <v>7750</v>
      </c>
    </row>
    <row r="33426" spans="1:2" x14ac:dyDescent="0.25">
      <c r="A33426" s="64" t="str">
        <f>HYPERLINK("http://www.twitter.com/kathrynvcurtis", "kathrynvcurtis")</f>
        <v>kathrynvcurtis</v>
      </c>
      <c r="B33426" s="65"/>
    </row>
    <row r="33427" spans="1:2" x14ac:dyDescent="0.25">
      <c r="A33427" s="64" t="str">
        <f>HYPERLINK("http://www.twitter.com/inky_fluff", "inky_fluff")</f>
        <v>inky_fluff</v>
      </c>
      <c r="B33427" s="65" t="s">
        <v>1189</v>
      </c>
    </row>
    <row r="33428" spans="1:2" x14ac:dyDescent="0.25">
      <c r="A33428" s="64" t="str">
        <f>HYPERLINK("http://www.twitter.com/BuntyTrevanion", "BuntyTrevanion")</f>
        <v>BuntyTrevanion</v>
      </c>
      <c r="B33428" s="65"/>
    </row>
    <row r="33429" spans="1:2" x14ac:dyDescent="0.25">
      <c r="A33429" s="64" t="str">
        <f>HYPERLINK("http://www.twitter.com/atahunt", "atahunt")</f>
        <v>atahunt</v>
      </c>
      <c r="B33429" s="65" t="s">
        <v>725</v>
      </c>
    </row>
    <row r="33430" spans="1:2" x14ac:dyDescent="0.25">
      <c r="A33430" s="64" t="str">
        <f>HYPERLINK("http://www.twitter.com/HuntArchitects", "HuntArchitects")</f>
        <v>HuntArchitects</v>
      </c>
      <c r="B33430" s="65" t="s">
        <v>296</v>
      </c>
    </row>
    <row r="33431" spans="1:2" x14ac:dyDescent="0.25">
      <c r="A33431" s="64" t="str">
        <f>HYPERLINK("http://www.twitter.com/lenak59", "lenak59")</f>
        <v>lenak59</v>
      </c>
      <c r="B33431" s="65" t="s">
        <v>4210</v>
      </c>
    </row>
    <row r="33432" spans="1:2" x14ac:dyDescent="0.25">
      <c r="A33432" s="64" t="str">
        <f>HYPERLINK("http://www.twitter.com/AstleyBookFarm", "AstleyBookFarm")</f>
        <v>AstleyBookFarm</v>
      </c>
      <c r="B33432" s="65" t="s">
        <v>1490</v>
      </c>
    </row>
    <row r="33433" spans="1:2" x14ac:dyDescent="0.25">
      <c r="A33433" s="64" t="str">
        <f>HYPERLINK("http://www.twitter.com/edinburghfest", "edinburghfest")</f>
        <v>edinburghfest</v>
      </c>
      <c r="B33433" s="65" t="s">
        <v>487</v>
      </c>
    </row>
    <row r="33434" spans="1:2" x14ac:dyDescent="0.25">
      <c r="A33434" s="64" t="str">
        <f>HYPERLINK("http://www.twitter.com/kirstylogan", "kirstylogan")</f>
        <v>kirstylogan</v>
      </c>
      <c r="B33434" s="65" t="s">
        <v>318</v>
      </c>
    </row>
    <row r="33435" spans="1:2" x14ac:dyDescent="0.25">
      <c r="A33435" s="64" t="str">
        <f>HYPERLINK("http://www.twitter.com/ZuzuEmma", "ZuzuEmma")</f>
        <v>ZuzuEmma</v>
      </c>
      <c r="B33435" s="65" t="s">
        <v>24</v>
      </c>
    </row>
    <row r="33436" spans="1:2" x14ac:dyDescent="0.25">
      <c r="A33436" s="64" t="str">
        <f>HYPERLINK("http://www.twitter.com/ChrisGurr", "ChrisGurr")</f>
        <v>ChrisGurr</v>
      </c>
      <c r="B33436" s="65"/>
    </row>
    <row r="33437" spans="1:2" x14ac:dyDescent="0.25">
      <c r="A33437" s="64" t="str">
        <f>HYPERLINK("http://www.twitter.com/jackseale", "jackseale")</f>
        <v>jackseale</v>
      </c>
      <c r="B33437" s="65" t="s">
        <v>13074</v>
      </c>
    </row>
    <row r="33438" spans="1:2" x14ac:dyDescent="0.25">
      <c r="A33438" s="64" t="str">
        <f>HYPERLINK("http://www.twitter.com/untilnextyear", "untilnextyear")</f>
        <v>untilnextyear</v>
      </c>
      <c r="B33438" s="65" t="s">
        <v>477</v>
      </c>
    </row>
    <row r="33439" spans="1:2" x14ac:dyDescent="0.25">
      <c r="A33439" s="64" t="str">
        <f>HYPERLINK("http://www.twitter.com/elinoroberts", "elinoroberts")</f>
        <v>elinoroberts</v>
      </c>
      <c r="B33439" s="65" t="s">
        <v>361</v>
      </c>
    </row>
    <row r="33440" spans="1:2" x14ac:dyDescent="0.25">
      <c r="A33440" s="64" t="str">
        <f>HYPERLINK("http://www.twitter.com/RedRichRunning", "RedRichRunning")</f>
        <v>RedRichRunning</v>
      </c>
      <c r="B33440" s="65" t="s">
        <v>70</v>
      </c>
    </row>
    <row r="33441" spans="1:2" x14ac:dyDescent="0.25">
      <c r="A33441" s="64" t="str">
        <f>HYPERLINK("http://www.twitter.com/crocusbowl", "crocusbowl")</f>
        <v>crocusbowl</v>
      </c>
      <c r="B33441" s="65"/>
    </row>
    <row r="33442" spans="1:2" x14ac:dyDescent="0.25">
      <c r="A33442" s="64" t="str">
        <f>HYPERLINK("http://www.twitter.com/Wheaterville", "Wheaterville")</f>
        <v>Wheaterville</v>
      </c>
      <c r="B33442" s="65" t="s">
        <v>13075</v>
      </c>
    </row>
    <row r="33443" spans="1:2" x14ac:dyDescent="0.25">
      <c r="A33443" s="64" t="str">
        <f>HYPERLINK("http://www.twitter.com/zulublue8", "zulublue8")</f>
        <v>zulublue8</v>
      </c>
      <c r="B33443" s="65" t="s">
        <v>5104</v>
      </c>
    </row>
    <row r="33444" spans="1:2" x14ac:dyDescent="0.25">
      <c r="A33444" s="64" t="str">
        <f>HYPERLINK("http://www.twitter.com/MargaretAtwood", "MargaretAtwood")</f>
        <v>MargaretAtwood</v>
      </c>
      <c r="B33444" s="65" t="s">
        <v>3778</v>
      </c>
    </row>
    <row r="33445" spans="1:2" x14ac:dyDescent="0.25">
      <c r="A33445" s="64" t="str">
        <f>HYPERLINK("http://www.twitter.com/TheOrwellPrize", "TheOrwellPrize")</f>
        <v>TheOrwellPrize</v>
      </c>
      <c r="B33445" s="65" t="s">
        <v>36</v>
      </c>
    </row>
    <row r="33446" spans="1:2" x14ac:dyDescent="0.25">
      <c r="A33446" s="64" t="str">
        <f>HYPERLINK("http://www.twitter.com/SeeksMusic", "SeeksMusic")</f>
        <v>SeeksMusic</v>
      </c>
      <c r="B33446" s="65" t="s">
        <v>110</v>
      </c>
    </row>
    <row r="33447" spans="1:2" x14ac:dyDescent="0.25">
      <c r="A33447" s="64" t="str">
        <f>HYPERLINK("http://www.twitter.com/IOE_Archives", "IOE_Archives")</f>
        <v>IOE_Archives</v>
      </c>
      <c r="B33447" s="65" t="s">
        <v>110</v>
      </c>
    </row>
    <row r="33448" spans="1:2" x14ac:dyDescent="0.25">
      <c r="A33448" s="64" t="str">
        <f>HYPERLINK("http://www.twitter.com/trixylibrarian", "trixylibrarian")</f>
        <v>trixylibrarian</v>
      </c>
      <c r="B33448" s="65" t="s">
        <v>24</v>
      </c>
    </row>
    <row r="33449" spans="1:2" x14ac:dyDescent="0.25">
      <c r="A33449" s="64" t="str">
        <f>HYPERLINK("http://www.twitter.com/freespeechzoo", "freespeechzoo")</f>
        <v>freespeechzoo</v>
      </c>
      <c r="B33449" s="65" t="s">
        <v>5543</v>
      </c>
    </row>
    <row r="33450" spans="1:2" x14ac:dyDescent="0.25">
      <c r="A33450" s="64" t="str">
        <f>HYPERLINK("http://www.twitter.com/CMRlibrary", "CMRlibrary")</f>
        <v>CMRlibrary</v>
      </c>
      <c r="B33450" s="65"/>
    </row>
    <row r="33451" spans="1:2" x14ac:dyDescent="0.25">
      <c r="A33451" s="64" t="str">
        <f>HYPERLINK("http://www.twitter.com/Brenzett", "Brenzett")</f>
        <v>Brenzett</v>
      </c>
      <c r="B33451" s="65" t="s">
        <v>13076</v>
      </c>
    </row>
    <row r="33452" spans="1:2" x14ac:dyDescent="0.25">
      <c r="A33452" s="64" t="str">
        <f>HYPERLINK("http://www.twitter.com/ColUDebs", "ColUDebs")</f>
        <v>ColUDebs</v>
      </c>
      <c r="B33452" s="65"/>
    </row>
    <row r="33453" spans="1:2" x14ac:dyDescent="0.25">
      <c r="A33453" s="64" t="str">
        <f>HYPERLINK("http://www.twitter.com/indiaknight", "indiaknight")</f>
        <v>indiaknight</v>
      </c>
      <c r="B33453" s="65" t="s">
        <v>4409</v>
      </c>
    </row>
    <row r="33454" spans="1:2" x14ac:dyDescent="0.25">
      <c r="A33454" s="64" t="str">
        <f>HYPERLINK("http://www.twitter.com/CllrDanLewis", "CllrDanLewis")</f>
        <v>CllrDanLewis</v>
      </c>
      <c r="B33454" s="65" t="s">
        <v>5691</v>
      </c>
    </row>
    <row r="33455" spans="1:2" x14ac:dyDescent="0.25">
      <c r="A33455" s="64" t="str">
        <f>HYPERLINK("http://www.twitter.com/Harebell37", "Harebell37")</f>
        <v>Harebell37</v>
      </c>
      <c r="B33455" s="65"/>
    </row>
    <row r="33456" spans="1:2" x14ac:dyDescent="0.25">
      <c r="A33456" s="64" t="str">
        <f>HYPERLINK("http://www.twitter.com/dfpiii", "dfpiii")</f>
        <v>dfpiii</v>
      </c>
      <c r="B33456" s="65" t="s">
        <v>24</v>
      </c>
    </row>
    <row r="33457" spans="1:2" x14ac:dyDescent="0.25">
      <c r="A33457" s="64" t="str">
        <f>HYPERLINK("http://www.twitter.com/whiskykiss_", "whiskykiss_")</f>
        <v>whiskykiss_</v>
      </c>
      <c r="B33457" s="65" t="s">
        <v>517</v>
      </c>
    </row>
    <row r="33458" spans="1:2" x14ac:dyDescent="0.25">
      <c r="A33458" s="64" t="str">
        <f>HYPERLINK("http://www.twitter.com/careerwummin", "careerwummin")</f>
        <v>careerwummin</v>
      </c>
      <c r="B33458" s="65" t="s">
        <v>24</v>
      </c>
    </row>
    <row r="33459" spans="1:2" x14ac:dyDescent="0.25">
      <c r="A33459" s="64" t="str">
        <f>HYPERLINK("http://www.twitter.com/johnstreet21", "johnstreet21")</f>
        <v>johnstreet21</v>
      </c>
      <c r="B33459" s="65"/>
    </row>
    <row r="33460" spans="1:2" x14ac:dyDescent="0.25">
      <c r="A33460" s="64" t="str">
        <f>HYPERLINK("http://www.twitter.com/ArchiveGray", "ArchiveGray")</f>
        <v>ArchiveGray</v>
      </c>
      <c r="B33460" s="65" t="s">
        <v>1295</v>
      </c>
    </row>
    <row r="33461" spans="1:2" x14ac:dyDescent="0.25">
      <c r="A33461" s="64" t="str">
        <f>HYPERLINK("http://www.twitter.com/CILIPRareBooks", "CILIPRareBooks")</f>
        <v>CILIPRareBooks</v>
      </c>
      <c r="B33461" s="65" t="s">
        <v>296</v>
      </c>
    </row>
    <row r="33462" spans="1:2" x14ac:dyDescent="0.25">
      <c r="A33462" s="64" t="str">
        <f>HYPERLINK("http://www.twitter.com/AddlestoneLib", "AddlestoneLib")</f>
        <v>AddlestoneLib</v>
      </c>
      <c r="B33462" s="65" t="s">
        <v>1177</v>
      </c>
    </row>
    <row r="33463" spans="1:2" x14ac:dyDescent="0.25">
      <c r="A33463" s="64" t="str">
        <f>HYPERLINK("http://www.twitter.com/feijoa_nz", "feijoa_nz")</f>
        <v>feijoa_nz</v>
      </c>
      <c r="B33463" s="65" t="s">
        <v>4436</v>
      </c>
    </row>
    <row r="33464" spans="1:2" x14ac:dyDescent="0.25">
      <c r="A33464" s="64" t="str">
        <f>HYPERLINK("http://www.twitter.com/Britannica_UK", "Britannica_UK")</f>
        <v>Britannica_UK</v>
      </c>
      <c r="B33464" s="65" t="s">
        <v>70</v>
      </c>
    </row>
    <row r="33465" spans="1:2" x14ac:dyDescent="0.25">
      <c r="A33465" s="64" t="str">
        <f>HYPERLINK("http://www.twitter.com/CapitaLibraries", "CapitaLibraries")</f>
        <v>CapitaLibraries</v>
      </c>
      <c r="B33465" s="65" t="s">
        <v>13077</v>
      </c>
    </row>
    <row r="33466" spans="1:2" x14ac:dyDescent="0.25">
      <c r="A33466" s="64" t="str">
        <f>HYPERLINK("http://www.twitter.com/AuthorsOnTourUK", "AuthorsOnTourUK")</f>
        <v>AuthorsOnTourUK</v>
      </c>
      <c r="B33466" s="65"/>
    </row>
    <row r="33467" spans="1:2" x14ac:dyDescent="0.25">
      <c r="A33467" s="64" t="str">
        <f>HYPERLINK("http://www.twitter.com/tilly_annie", "tilly_annie")</f>
        <v>tilly_annie</v>
      </c>
      <c r="B33467" s="65"/>
    </row>
    <row r="33468" spans="1:2" x14ac:dyDescent="0.25">
      <c r="A33468" s="64" t="str">
        <f>HYPERLINK("http://www.twitter.com/RawryB", "RawryB")</f>
        <v>RawryB</v>
      </c>
      <c r="B33468" s="65" t="s">
        <v>13078</v>
      </c>
    </row>
    <row r="33469" spans="1:2" x14ac:dyDescent="0.25">
      <c r="A33469" s="64" t="str">
        <f>HYPERLINK("http://www.twitter.com/christina198567", "christina198567")</f>
        <v>christina198567</v>
      </c>
      <c r="B33469" s="65" t="s">
        <v>20</v>
      </c>
    </row>
    <row r="33470" spans="1:2" x14ac:dyDescent="0.25">
      <c r="A33470" s="64" t="str">
        <f>HYPERLINK("http://www.twitter.com/LockhartL", "LockhartL")</f>
        <v>LockhartL</v>
      </c>
      <c r="B33470" s="65" t="s">
        <v>487</v>
      </c>
    </row>
    <row r="33471" spans="1:2" x14ac:dyDescent="0.25">
      <c r="A33471" s="64" t="str">
        <f>HYPERLINK("http://www.twitter.com/Mattyhilda", "Mattyhilda")</f>
        <v>Mattyhilda</v>
      </c>
      <c r="B33471" s="65" t="s">
        <v>5366</v>
      </c>
    </row>
    <row r="33472" spans="1:2" x14ac:dyDescent="0.25">
      <c r="A33472" s="64" t="str">
        <f>HYPERLINK("http://www.twitter.com/mariakhopwood", "mariakhopwood")</f>
        <v>mariakhopwood</v>
      </c>
      <c r="B33472" s="65" t="s">
        <v>1033</v>
      </c>
    </row>
    <row r="33473" spans="1:2" x14ac:dyDescent="0.25">
      <c r="A33473" s="64" t="str">
        <f>HYPERLINK("http://www.twitter.com/LaVitaLibera", "LaVitaLibera")</f>
        <v>LaVitaLibera</v>
      </c>
      <c r="B33473" s="65" t="s">
        <v>10340</v>
      </c>
    </row>
    <row r="33474" spans="1:2" x14ac:dyDescent="0.25">
      <c r="A33474" s="64" t="str">
        <f>HYPERLINK("http://www.twitter.com/benwyatt39", "benwyatt39")</f>
        <v>benwyatt39</v>
      </c>
      <c r="B33474" s="65"/>
    </row>
    <row r="33475" spans="1:2" x14ac:dyDescent="0.25">
      <c r="A33475" s="64" t="str">
        <f>HYPERLINK("http://www.twitter.com/AnnetteW217", "AnnetteW217")</f>
        <v>AnnetteW217</v>
      </c>
      <c r="B33475" s="65" t="s">
        <v>13079</v>
      </c>
    </row>
    <row r="33476" spans="1:2" x14ac:dyDescent="0.25">
      <c r="A33476" s="64" t="str">
        <f>HYPERLINK("http://www.twitter.com/itsandrewmiller", "itsandrewmiller")</f>
        <v>itsandrewmiller</v>
      </c>
      <c r="B33476" s="65"/>
    </row>
    <row r="33477" spans="1:2" x14ac:dyDescent="0.25">
      <c r="A33477" s="64" t="str">
        <f>HYPERLINK("http://www.twitter.com/lmbsaflavin", "lmbsaflavin")</f>
        <v>lmbsaflavin</v>
      </c>
      <c r="B33477" s="65" t="s">
        <v>110</v>
      </c>
    </row>
    <row r="33478" spans="1:2" x14ac:dyDescent="0.25">
      <c r="A33478" s="64" t="str">
        <f>HYPERLINK("http://www.twitter.com/sellitbaby_uk", "sellitbaby_uk")</f>
        <v>sellitbaby_uk</v>
      </c>
      <c r="B33478" s="65"/>
    </row>
    <row r="33479" spans="1:2" x14ac:dyDescent="0.25">
      <c r="A33479" s="64" t="str">
        <f>HYPERLINK("http://www.twitter.com/GMBFellowship", "GMBFellowship")</f>
        <v>GMBFellowship</v>
      </c>
      <c r="B33479" s="65" t="s">
        <v>20</v>
      </c>
    </row>
    <row r="33480" spans="1:2" x14ac:dyDescent="0.25">
      <c r="A33480" s="64" t="str">
        <f>HYPERLINK("http://www.twitter.com/CatsHurricane", "CatsHurricane")</f>
        <v>CatsHurricane</v>
      </c>
      <c r="B33480" s="65" t="s">
        <v>13080</v>
      </c>
    </row>
    <row r="33481" spans="1:2" x14ac:dyDescent="0.25">
      <c r="A33481" s="64" t="str">
        <f>HYPERLINK("http://www.twitter.com/vivdunstan", "vivdunstan")</f>
        <v>vivdunstan</v>
      </c>
      <c r="B33481" s="65" t="s">
        <v>232</v>
      </c>
    </row>
    <row r="33482" spans="1:2" x14ac:dyDescent="0.25">
      <c r="A33482" s="64" t="str">
        <f>HYPERLINK("http://www.twitter.com/DorkingLibrary", "DorkingLibrary")</f>
        <v>DorkingLibrary</v>
      </c>
      <c r="B33482" s="65"/>
    </row>
    <row r="33483" spans="1:2" x14ac:dyDescent="0.25">
      <c r="A33483" s="64" t="str">
        <f>HYPERLINK("http://www.twitter.com/aguyinbrum", "aguyinbrum")</f>
        <v>aguyinbrum</v>
      </c>
      <c r="B33483" s="65" t="s">
        <v>310</v>
      </c>
    </row>
    <row r="33484" spans="1:2" x14ac:dyDescent="0.25">
      <c r="A33484" s="64" t="str">
        <f>HYPERLINK("http://www.twitter.com/chr1staylor", "chr1staylor")</f>
        <v>chr1staylor</v>
      </c>
      <c r="B33484" s="65"/>
    </row>
    <row r="33485" spans="1:2" x14ac:dyDescent="0.25">
      <c r="A33485" s="64" t="str">
        <f>HYPERLINK("http://www.twitter.com/timolloyd", "timolloyd")</f>
        <v>timolloyd</v>
      </c>
      <c r="B33485" s="65" t="s">
        <v>13081</v>
      </c>
    </row>
    <row r="33486" spans="1:2" x14ac:dyDescent="0.25">
      <c r="A33486" s="64" t="str">
        <f>HYPERLINK("http://www.twitter.com/carolanngrant", "carolanngrant")</f>
        <v>carolanngrant</v>
      </c>
      <c r="B33486" s="65" t="s">
        <v>1980</v>
      </c>
    </row>
    <row r="33487" spans="1:2" x14ac:dyDescent="0.25">
      <c r="A33487" s="64" t="str">
        <f>HYPERLINK("http://www.twitter.com/julierainey", "julierainey")</f>
        <v>julierainey</v>
      </c>
      <c r="B33487" s="65" t="s">
        <v>5839</v>
      </c>
    </row>
    <row r="33488" spans="1:2" x14ac:dyDescent="0.25">
      <c r="A33488" s="64" t="str">
        <f>HYPERLINK("http://www.twitter.com/martinicus1973", "martinicus1973")</f>
        <v>martinicus1973</v>
      </c>
      <c r="B33488" s="65" t="s">
        <v>13082</v>
      </c>
    </row>
    <row r="33489" spans="1:2" x14ac:dyDescent="0.25">
      <c r="A33489" s="64" t="str">
        <f>HYPERLINK("http://www.twitter.com/learnlocalfirst", "learnlocalfirst")</f>
        <v>learnlocalfirst</v>
      </c>
      <c r="B33489" s="65" t="s">
        <v>1980</v>
      </c>
    </row>
    <row r="33490" spans="1:2" x14ac:dyDescent="0.25">
      <c r="A33490" s="64" t="str">
        <f>HYPERLINK("http://www.twitter.com/danielratchford", "danielratchford")</f>
        <v>danielratchford</v>
      </c>
      <c r="B33490" s="65" t="s">
        <v>13083</v>
      </c>
    </row>
    <row r="33491" spans="1:2" x14ac:dyDescent="0.25">
      <c r="A33491" s="64" t="str">
        <f>HYPERLINK("http://www.twitter.com/johnbarradell", "johnbarradell")</f>
        <v>johnbarradell</v>
      </c>
      <c r="B33491" s="65" t="s">
        <v>3609</v>
      </c>
    </row>
    <row r="33492" spans="1:2" x14ac:dyDescent="0.25">
      <c r="A33492" s="64" t="str">
        <f>HYPERLINK("http://www.twitter.com/sueinblue", "sueinblue")</f>
        <v>sueinblue</v>
      </c>
      <c r="B33492" s="65" t="s">
        <v>6149</v>
      </c>
    </row>
    <row r="33493" spans="1:2" x14ac:dyDescent="0.25">
      <c r="A33493" s="64" t="str">
        <f>HYPERLINK("http://www.twitter.com/BirlinnBooks", "BirlinnBooks")</f>
        <v>BirlinnBooks</v>
      </c>
      <c r="B33493" s="65" t="s">
        <v>24</v>
      </c>
    </row>
    <row r="33494" spans="1:2" x14ac:dyDescent="0.25">
      <c r="A33494" s="64" t="str">
        <f>HYPERLINK("http://www.twitter.com/syzygyuk", "syzygyuk")</f>
        <v>syzygyuk</v>
      </c>
      <c r="B33494" s="65" t="s">
        <v>13084</v>
      </c>
    </row>
    <row r="33495" spans="1:2" x14ac:dyDescent="0.25">
      <c r="A33495" s="64" t="str">
        <f>HYPERLINK("http://www.twitter.com/tinytawnykitten", "tinytawnykitten")</f>
        <v>tinytawnykitten</v>
      </c>
      <c r="B33495" s="65" t="s">
        <v>3974</v>
      </c>
    </row>
    <row r="33496" spans="1:2" x14ac:dyDescent="0.25">
      <c r="A33496" s="64" t="str">
        <f>HYPERLINK("http://www.twitter.com/MarionKunderan", "MarionKunderan")</f>
        <v>MarionKunderan</v>
      </c>
      <c r="B33496" s="65"/>
    </row>
    <row r="33497" spans="1:2" x14ac:dyDescent="0.25">
      <c r="A33497" s="64" t="str">
        <f>HYPERLINK("http://www.twitter.com/Lutonbookworm", "Lutonbookworm")</f>
        <v>Lutonbookworm</v>
      </c>
      <c r="B33497" s="65" t="s">
        <v>490</v>
      </c>
    </row>
    <row r="33498" spans="1:2" x14ac:dyDescent="0.25">
      <c r="A33498" s="64" t="str">
        <f>HYPERLINK("http://www.twitter.com/destinyaf", "destinyaf")</f>
        <v>destinyaf</v>
      </c>
      <c r="B33498" s="65" t="s">
        <v>7986</v>
      </c>
    </row>
    <row r="33499" spans="1:2" x14ac:dyDescent="0.25">
      <c r="A33499" s="64" t="str">
        <f>HYPERLINK("http://www.twitter.com/3000thefa", "3000thefa")</f>
        <v>3000thefa</v>
      </c>
      <c r="B33499" s="65" t="s">
        <v>13085</v>
      </c>
    </row>
    <row r="33500" spans="1:2" x14ac:dyDescent="0.25">
      <c r="A33500" s="64" t="str">
        <f>HYPERLINK("http://www.twitter.com/tross281", "tross281")</f>
        <v>tross281</v>
      </c>
      <c r="B33500" s="65" t="s">
        <v>487</v>
      </c>
    </row>
    <row r="33501" spans="1:2" x14ac:dyDescent="0.25">
      <c r="A33501" s="64" t="str">
        <f>HYPERLINK("http://www.twitter.com/GlasPrintStudio", "GlasPrintStudio")</f>
        <v>GlasPrintStudio</v>
      </c>
      <c r="B33501" s="65" t="s">
        <v>4019</v>
      </c>
    </row>
    <row r="33502" spans="1:2" x14ac:dyDescent="0.25">
      <c r="A33502" s="64" t="str">
        <f>HYPERLINK("http://www.twitter.com/Regnii", "Regnii")</f>
        <v>Regnii</v>
      </c>
      <c r="B33502" s="65"/>
    </row>
    <row r="33503" spans="1:2" x14ac:dyDescent="0.25">
      <c r="A33503" s="64" t="str">
        <f>HYPERLINK("http://www.twitter.com/atswimone", "atswimone")</f>
        <v>atswimone</v>
      </c>
      <c r="B33503" s="65" t="s">
        <v>3760</v>
      </c>
    </row>
    <row r="33504" spans="1:2" x14ac:dyDescent="0.25">
      <c r="A33504" s="64" t="str">
        <f>HYPERLINK("http://www.twitter.com/tim_osmond", "tim_osmond")</f>
        <v>tim_osmond</v>
      </c>
      <c r="B33504" s="65" t="s">
        <v>5294</v>
      </c>
    </row>
    <row r="33505" spans="1:2" x14ac:dyDescent="0.25">
      <c r="A33505" s="64" t="str">
        <f>HYPERLINK("http://www.twitter.com/ldunkers", "ldunkers")</f>
        <v>ldunkers</v>
      </c>
      <c r="B33505" s="65" t="s">
        <v>11531</v>
      </c>
    </row>
    <row r="33506" spans="1:2" x14ac:dyDescent="0.25">
      <c r="A33506" s="64" t="str">
        <f>HYPERLINK("http://www.twitter.com/alexvtunzelmann", "alexvtunzelmann")</f>
        <v>alexvtunzelmann</v>
      </c>
      <c r="B33506" s="65" t="s">
        <v>36</v>
      </c>
    </row>
    <row r="33507" spans="1:2" x14ac:dyDescent="0.25">
      <c r="A33507" s="64" t="str">
        <f>HYPERLINK("http://www.twitter.com/ThePortionPlate", "ThePortionPlate")</f>
        <v>ThePortionPlate</v>
      </c>
      <c r="B33507" s="65" t="s">
        <v>296</v>
      </c>
    </row>
    <row r="33508" spans="1:2" x14ac:dyDescent="0.25">
      <c r="A33508" s="64" t="str">
        <f>HYPERLINK("http://www.twitter.com/ianinnes", "ianinnes")</f>
        <v>ianinnes</v>
      </c>
      <c r="B33508" s="65" t="s">
        <v>517</v>
      </c>
    </row>
    <row r="33509" spans="1:2" x14ac:dyDescent="0.25">
      <c r="A33509" s="64" t="str">
        <f>HYPERLINK("http://www.twitter.com/FairerThanProse", "FairerThanProse")</f>
        <v>FairerThanProse</v>
      </c>
      <c r="B33509" s="65" t="s">
        <v>13086</v>
      </c>
    </row>
    <row r="33510" spans="1:2" x14ac:dyDescent="0.25">
      <c r="A33510" s="64" t="str">
        <f>HYPERLINK("http://www.twitter.com/LetticeArdley", "LetticeArdley")</f>
        <v>LetticeArdley</v>
      </c>
      <c r="B33510" s="65"/>
    </row>
    <row r="33511" spans="1:2" x14ac:dyDescent="0.25">
      <c r="A33511" s="64" t="str">
        <f>HYPERLINK("http://www.twitter.com/smellymelly40", "smellymelly40")</f>
        <v>smellymelly40</v>
      </c>
      <c r="B33511" s="65" t="s">
        <v>13087</v>
      </c>
    </row>
    <row r="33512" spans="1:2" x14ac:dyDescent="0.25">
      <c r="A33512" s="64" t="str">
        <f>HYPERLINK("http://www.twitter.com/theFullSouter", "theFullSouter")</f>
        <v>theFullSouter</v>
      </c>
      <c r="B33512" s="65" t="s">
        <v>13088</v>
      </c>
    </row>
    <row r="33513" spans="1:2" x14ac:dyDescent="0.25">
      <c r="A33513" s="64" t="str">
        <f>HYPERLINK("http://www.twitter.com/JPCalnan", "JPCalnan")</f>
        <v>JPCalnan</v>
      </c>
      <c r="B33513" s="65" t="s">
        <v>3951</v>
      </c>
    </row>
    <row r="33514" spans="1:2" x14ac:dyDescent="0.25">
      <c r="A33514" s="64" t="str">
        <f>HYPERLINK("http://www.twitter.com/_Seamusmaximus_", "_Seamusmaximus_")</f>
        <v>_Seamusmaximus_</v>
      </c>
      <c r="B33514" s="65" t="s">
        <v>13089</v>
      </c>
    </row>
    <row r="33515" spans="1:2" x14ac:dyDescent="0.25">
      <c r="A33515" s="64" t="str">
        <f>HYPERLINK("http://www.twitter.com/DrMackers", "DrMackers")</f>
        <v>DrMackers</v>
      </c>
      <c r="B33515" s="65"/>
    </row>
    <row r="33516" spans="1:2" x14ac:dyDescent="0.25">
      <c r="A33516" s="64" t="str">
        <f>HYPERLINK("http://www.twitter.com/facesake", "facesake")</f>
        <v>facesake</v>
      </c>
      <c r="B33516" s="65" t="s">
        <v>36</v>
      </c>
    </row>
    <row r="33517" spans="1:2" x14ac:dyDescent="0.25">
      <c r="A33517" s="64" t="str">
        <f>HYPERLINK("http://www.twitter.com/adibloom", "adibloom")</f>
        <v>adibloom</v>
      </c>
      <c r="B33517" s="65" t="s">
        <v>36</v>
      </c>
    </row>
    <row r="33518" spans="1:2" x14ac:dyDescent="0.25">
      <c r="A33518" s="64" t="str">
        <f>HYPERLINK("http://www.twitter.com/stuffydowding", "stuffydowding")</f>
        <v>stuffydowding</v>
      </c>
      <c r="B33518" s="65"/>
    </row>
    <row r="33519" spans="1:2" x14ac:dyDescent="0.25">
      <c r="A33519" s="64" t="str">
        <f>HYPERLINK("http://www.twitter.com/teshelen", "teshelen")</f>
        <v>teshelen</v>
      </c>
      <c r="B33519" s="65" t="s">
        <v>36</v>
      </c>
    </row>
    <row r="33520" spans="1:2" x14ac:dyDescent="0.25">
      <c r="A33520" s="64" t="str">
        <f>HYPERLINK("http://www.twitter.com/rebekahwegener", "rebekahwegener")</f>
        <v>rebekahwegener</v>
      </c>
      <c r="B33520" s="65" t="s">
        <v>4153</v>
      </c>
    </row>
    <row r="33521" spans="1:2" x14ac:dyDescent="0.25">
      <c r="A33521" s="64" t="str">
        <f>HYPERLINK("http://www.twitter.com/archiebland", "archiebland")</f>
        <v>archiebland</v>
      </c>
      <c r="B33521" s="65" t="s">
        <v>36</v>
      </c>
    </row>
    <row r="33522" spans="1:2" x14ac:dyDescent="0.25">
      <c r="A33522" s="64" t="str">
        <f>HYPERLINK("http://www.twitter.com/MrMichaelShaw", "MrMichaelShaw")</f>
        <v>MrMichaelShaw</v>
      </c>
      <c r="B33522" s="65" t="s">
        <v>36</v>
      </c>
    </row>
    <row r="33523" spans="1:2" x14ac:dyDescent="0.25">
      <c r="A33523" s="64" t="str">
        <f>HYPERLINK("http://www.twitter.com/JonnElledge", "JonnElledge")</f>
        <v>JonnElledge</v>
      </c>
      <c r="B33523" s="65" t="s">
        <v>5627</v>
      </c>
    </row>
    <row r="33524" spans="1:2" x14ac:dyDescent="0.25">
      <c r="A33524" s="64" t="str">
        <f>HYPERLINK("http://www.twitter.com/mrs_harket", "mrs_harket")</f>
        <v>mrs_harket</v>
      </c>
      <c r="B33524" s="65" t="s">
        <v>6171</v>
      </c>
    </row>
    <row r="33525" spans="1:2" x14ac:dyDescent="0.25">
      <c r="A33525" s="64" t="str">
        <f>HYPERLINK("http://www.twitter.com/MyrtleBMC", "MyrtleBMC")</f>
        <v>MyrtleBMC</v>
      </c>
      <c r="B33525" s="65" t="s">
        <v>13090</v>
      </c>
    </row>
    <row r="33526" spans="1:2" x14ac:dyDescent="0.25">
      <c r="A33526" s="64" t="str">
        <f>HYPERLINK("http://www.twitter.com/foxjust", "foxjust")</f>
        <v>foxjust</v>
      </c>
      <c r="B33526" s="65" t="s">
        <v>4867</v>
      </c>
    </row>
    <row r="33527" spans="1:2" x14ac:dyDescent="0.25">
      <c r="A33527" s="64" t="str">
        <f>HYPERLINK("http://www.twitter.com/chirgy", "chirgy")</f>
        <v>chirgy</v>
      </c>
      <c r="B33527" s="65" t="s">
        <v>7165</v>
      </c>
    </row>
    <row r="33528" spans="1:2" x14ac:dyDescent="0.25">
      <c r="A33528" s="64" t="str">
        <f>HYPERLINK("http://www.twitter.com/Jo_cake", "Jo_cake")</f>
        <v>Jo_cake</v>
      </c>
      <c r="B33528" s="65" t="s">
        <v>36</v>
      </c>
    </row>
    <row r="33529" spans="1:2" x14ac:dyDescent="0.25">
      <c r="A33529" s="64" t="str">
        <f>HYPERLINK("http://www.twitter.com/theerrorloglady", "theerrorloglady")</f>
        <v>theerrorloglady</v>
      </c>
      <c r="B33529" s="65" t="s">
        <v>12</v>
      </c>
    </row>
    <row r="33530" spans="1:2" x14ac:dyDescent="0.25">
      <c r="A33530" s="64" t="str">
        <f>HYPERLINK("http://www.twitter.com/gomiffy", "gomiffy")</f>
        <v>gomiffy</v>
      </c>
      <c r="B33530" s="65" t="s">
        <v>3817</v>
      </c>
    </row>
    <row r="33531" spans="1:2" x14ac:dyDescent="0.25">
      <c r="A33531" s="64" t="str">
        <f>HYPERLINK("http://www.twitter.com/retrozebra", "retrozebra")</f>
        <v>retrozebra</v>
      </c>
      <c r="B33531" s="65" t="s">
        <v>36</v>
      </c>
    </row>
    <row r="33532" spans="1:2" x14ac:dyDescent="0.25">
      <c r="A33532" s="64" t="str">
        <f>HYPERLINK("http://www.twitter.com/Jilljep", "Jilljep")</f>
        <v>Jilljep</v>
      </c>
      <c r="B33532" s="65" t="s">
        <v>1765</v>
      </c>
    </row>
    <row r="33533" spans="1:2" x14ac:dyDescent="0.25">
      <c r="A33533" s="64" t="str">
        <f>HYPERLINK("http://www.twitter.com/marysnowflake", "marysnowflake")</f>
        <v>marysnowflake</v>
      </c>
      <c r="B33533" s="65" t="s">
        <v>36</v>
      </c>
    </row>
    <row r="33534" spans="1:2" x14ac:dyDescent="0.25">
      <c r="A33534" s="64" t="str">
        <f>HYPERLINK("http://www.twitter.com/OswestryFreegle", "OswestryFreegle")</f>
        <v>OswestryFreegle</v>
      </c>
      <c r="B33534" s="65" t="s">
        <v>697</v>
      </c>
    </row>
    <row r="33535" spans="1:2" x14ac:dyDescent="0.25">
      <c r="A33535" s="64" t="str">
        <f>HYPERLINK("http://www.twitter.com/mrsmac2004", "mrsmac2004")</f>
        <v>mrsmac2004</v>
      </c>
      <c r="B33535" s="65"/>
    </row>
    <row r="33536" spans="1:2" x14ac:dyDescent="0.25">
      <c r="A33536" s="64" t="str">
        <f>HYPERLINK("http://www.twitter.com/juliangough", "juliangough")</f>
        <v>juliangough</v>
      </c>
      <c r="B33536" s="65" t="s">
        <v>5049</v>
      </c>
    </row>
    <row r="33537" spans="1:2" x14ac:dyDescent="0.25">
      <c r="A33537" s="64" t="str">
        <f>HYPERLINK("http://www.twitter.com/PeterKGeoghegan", "PeterKGeoghegan")</f>
        <v>PeterKGeoghegan</v>
      </c>
      <c r="B33537" s="65" t="s">
        <v>13091</v>
      </c>
    </row>
    <row r="33538" spans="1:2" x14ac:dyDescent="0.25">
      <c r="A33538" s="64" t="str">
        <f>HYPERLINK("http://www.twitter.com/urchinette", "urchinette")</f>
        <v>urchinette</v>
      </c>
      <c r="B33538" s="65" t="s">
        <v>4254</v>
      </c>
    </row>
    <row r="33539" spans="1:2" x14ac:dyDescent="0.25">
      <c r="A33539" s="64" t="str">
        <f>HYPERLINK("http://www.twitter.com/skullncrossbuns", "skullncrossbuns")</f>
        <v>skullncrossbuns</v>
      </c>
      <c r="B33539" s="65" t="s">
        <v>5770</v>
      </c>
    </row>
    <row r="33540" spans="1:2" x14ac:dyDescent="0.25">
      <c r="A33540" s="64" t="str">
        <f>HYPERLINK("http://www.twitter.com/merstongallery", "merstongallery")</f>
        <v>merstongallery</v>
      </c>
      <c r="B33540" s="65" t="s">
        <v>13092</v>
      </c>
    </row>
    <row r="33541" spans="1:2" x14ac:dyDescent="0.25">
      <c r="A33541" s="64" t="str">
        <f>HYPERLINK("http://www.twitter.com/ernmalleyscat", "ernmalleyscat")</f>
        <v>ernmalleyscat</v>
      </c>
      <c r="B33541" s="65" t="s">
        <v>13093</v>
      </c>
    </row>
    <row r="33542" spans="1:2" x14ac:dyDescent="0.25">
      <c r="A33542" s="64" t="str">
        <f>HYPERLINK("http://www.twitter.com/rjhoneysett", "rjhoneysett")</f>
        <v>rjhoneysett</v>
      </c>
      <c r="B33542" s="65"/>
    </row>
    <row r="33543" spans="1:2" x14ac:dyDescent="0.25">
      <c r="A33543" s="64" t="str">
        <f>HYPERLINK("http://www.twitter.com/shirlywirly", "shirlywirly")</f>
        <v>shirlywirly</v>
      </c>
      <c r="B33543" s="65" t="s">
        <v>13094</v>
      </c>
    </row>
    <row r="33544" spans="1:2" x14ac:dyDescent="0.25">
      <c r="A33544" s="64" t="str">
        <f>HYPERLINK("http://www.twitter.com/sednan", "sednan")</f>
        <v>sednan</v>
      </c>
      <c r="B33544" s="65" t="s">
        <v>4111</v>
      </c>
    </row>
    <row r="33545" spans="1:2" x14ac:dyDescent="0.25">
      <c r="A33545" s="64" t="str">
        <f>HYPERLINK("http://www.twitter.com/nzdodo", "nzdodo")</f>
        <v>nzdodo</v>
      </c>
      <c r="B33545" s="65" t="s">
        <v>13095</v>
      </c>
    </row>
    <row r="33546" spans="1:2" x14ac:dyDescent="0.25">
      <c r="A33546" s="64" t="str">
        <f>HYPERLINK("http://www.twitter.com/sparklerose", "sparklerose")</f>
        <v>sparklerose</v>
      </c>
      <c r="B33546" s="65" t="s">
        <v>180</v>
      </c>
    </row>
    <row r="33547" spans="1:2" x14ac:dyDescent="0.25">
      <c r="A33547" s="64" t="str">
        <f>HYPERLINK("http://www.twitter.com/saramcthingy", "saramcthingy")</f>
        <v>saramcthingy</v>
      </c>
      <c r="B33547" s="65" t="s">
        <v>4562</v>
      </c>
    </row>
    <row r="33548" spans="1:2" x14ac:dyDescent="0.25">
      <c r="A33548" s="64" t="str">
        <f>HYPERLINK("http://www.twitter.com/rikogalsk", "rikogalsk")</f>
        <v>rikogalsk</v>
      </c>
      <c r="B33548" s="65" t="s">
        <v>36</v>
      </c>
    </row>
    <row r="33549" spans="1:2" x14ac:dyDescent="0.25">
      <c r="A33549" s="64" t="str">
        <f>HYPERLINK("http://www.twitter.com/violetfenn", "violetfenn")</f>
        <v>violetfenn</v>
      </c>
      <c r="B33549" s="65" t="s">
        <v>8479</v>
      </c>
    </row>
    <row r="33550" spans="1:2" x14ac:dyDescent="0.25">
      <c r="A33550" s="64" t="str">
        <f>HYPERLINK("http://www.twitter.com/pw3n", "pw3n")</f>
        <v>pw3n</v>
      </c>
      <c r="B33550" s="65" t="s">
        <v>4451</v>
      </c>
    </row>
    <row r="33551" spans="1:2" x14ac:dyDescent="0.25">
      <c r="A33551" s="64" t="str">
        <f>HYPERLINK("http://www.twitter.com/jannyw", "jannyw")</f>
        <v>jannyw</v>
      </c>
      <c r="B33551" s="65" t="s">
        <v>2518</v>
      </c>
    </row>
    <row r="33552" spans="1:2" x14ac:dyDescent="0.25">
      <c r="A33552" s="64" t="str">
        <f>HYPERLINK("http://www.twitter.com/janeburgoyne", "janeburgoyne")</f>
        <v>janeburgoyne</v>
      </c>
      <c r="B33552" s="65" t="s">
        <v>7165</v>
      </c>
    </row>
    <row r="33553" spans="1:2" x14ac:dyDescent="0.25">
      <c r="A33553" s="64" t="str">
        <f>HYPERLINK("http://www.twitter.com/GingerKnits", "GingerKnits")</f>
        <v>GingerKnits</v>
      </c>
      <c r="B33553" s="65" t="s">
        <v>36</v>
      </c>
    </row>
    <row r="33554" spans="1:2" x14ac:dyDescent="0.25">
      <c r="A33554" s="64" t="str">
        <f>HYPERLINK("http://www.twitter.com/timlusher", "timlusher")</f>
        <v>timlusher</v>
      </c>
      <c r="B33554" s="65" t="s">
        <v>36</v>
      </c>
    </row>
    <row r="33555" spans="1:2" x14ac:dyDescent="0.25">
      <c r="A33555" s="64" t="str">
        <f>HYPERLINK("http://www.twitter.com/FlickColby", "FlickColby")</f>
        <v>FlickColby</v>
      </c>
      <c r="B33555" s="65" t="s">
        <v>3994</v>
      </c>
    </row>
    <row r="33556" spans="1:2" x14ac:dyDescent="0.25">
      <c r="A33556" s="64" t="str">
        <f>HYPERLINK("http://www.twitter.com/plush_allie", "plush_allie")</f>
        <v>plush_allie</v>
      </c>
      <c r="B33556" s="65" t="s">
        <v>13096</v>
      </c>
    </row>
    <row r="33557" spans="1:2" x14ac:dyDescent="0.25">
      <c r="A33557" s="64" t="str">
        <f>HYPERLINK("http://www.twitter.com/stellduffy", "stellduffy")</f>
        <v>stellduffy</v>
      </c>
      <c r="B33557" s="65" t="s">
        <v>36</v>
      </c>
    </row>
    <row r="33558" spans="1:2" x14ac:dyDescent="0.25">
      <c r="A33558" s="64" t="str">
        <f>HYPERLINK("http://www.twitter.com/JonSnurrbart", "JonSnurrbart")</f>
        <v>JonSnurrbart</v>
      </c>
      <c r="B33558" s="65" t="s">
        <v>508</v>
      </c>
    </row>
    <row r="33559" spans="1:2" x14ac:dyDescent="0.25">
      <c r="A33559" s="64" t="str">
        <f>HYPERLINK("http://www.twitter.com/cat_elliott", "cat_elliott")</f>
        <v>cat_elliott</v>
      </c>
      <c r="B33559" s="65" t="s">
        <v>8306</v>
      </c>
    </row>
    <row r="33560" spans="1:2" x14ac:dyDescent="0.25">
      <c r="A33560" s="64" t="str">
        <f>HYPERLINK("http://www.twitter.com/northernPolice", "northernPolice")</f>
        <v>northernPolice</v>
      </c>
      <c r="B33560" s="65" t="s">
        <v>13097</v>
      </c>
    </row>
    <row r="33561" spans="1:2" x14ac:dyDescent="0.25">
      <c r="A33561" s="64" t="str">
        <f>HYPERLINK("http://www.twitter.com/mmchrystal", "mmchrystal")</f>
        <v>mmchrystal</v>
      </c>
      <c r="B33561" s="65"/>
    </row>
    <row r="33562" spans="1:2" x14ac:dyDescent="0.25">
      <c r="A33562" s="64" t="str">
        <f>HYPERLINK("http://www.twitter.com/TippLib", "TippLib")</f>
        <v>TippLib</v>
      </c>
      <c r="B33562" s="65" t="s">
        <v>733</v>
      </c>
    </row>
    <row r="33563" spans="1:2" x14ac:dyDescent="0.25">
      <c r="A33563" s="64" t="str">
        <f>HYPERLINK("http://www.twitter.com/nakedgirlsLDN", "nakedgirlsLDN")</f>
        <v>nakedgirlsLDN</v>
      </c>
      <c r="B33563" s="65" t="s">
        <v>110</v>
      </c>
    </row>
    <row r="33564" spans="1:2" x14ac:dyDescent="0.25">
      <c r="A33564" s="64" t="str">
        <f>HYPERLINK("http://www.twitter.com/42nd_Tweet", "42nd_Tweet")</f>
        <v>42nd_Tweet</v>
      </c>
      <c r="B33564" s="65"/>
    </row>
    <row r="33565" spans="1:2" x14ac:dyDescent="0.25">
      <c r="A33565" s="64" t="str">
        <f>HYPERLINK("http://www.twitter.com/UCMiom", "UCMiom")</f>
        <v>UCMiom</v>
      </c>
      <c r="B33565" s="65" t="s">
        <v>5366</v>
      </c>
    </row>
    <row r="33566" spans="1:2" x14ac:dyDescent="0.25">
      <c r="A33566" s="64" t="str">
        <f>HYPERLINK("http://www.twitter.com/jjmackaw", "jjmackaw")</f>
        <v>jjmackaw</v>
      </c>
      <c r="B33566" s="65"/>
    </row>
    <row r="33567" spans="1:2" x14ac:dyDescent="0.25">
      <c r="A33567" s="64" t="str">
        <f>HYPERLINK("http://www.twitter.com/TwentyTwoPromo", "TwentyTwoPromo")</f>
        <v>TwentyTwoPromo</v>
      </c>
      <c r="B33567" s="65" t="s">
        <v>138</v>
      </c>
    </row>
    <row r="33568" spans="1:2" x14ac:dyDescent="0.25">
      <c r="A33568" s="64" t="str">
        <f>HYPERLINK("http://www.twitter.com/mippy", "mippy")</f>
        <v>mippy</v>
      </c>
      <c r="B33568" s="65" t="s">
        <v>13098</v>
      </c>
    </row>
    <row r="33569" spans="1:2" x14ac:dyDescent="0.25">
      <c r="A33569" s="64" t="str">
        <f>HYPERLINK("http://www.twitter.com/AbbotsfordScott", "AbbotsfordScott")</f>
        <v>AbbotsfordScott</v>
      </c>
      <c r="B33569" s="65" t="s">
        <v>13099</v>
      </c>
    </row>
    <row r="33570" spans="1:2" x14ac:dyDescent="0.25">
      <c r="A33570" s="64" t="str">
        <f>HYPERLINK("http://www.twitter.com/SH08LTD", "SH08LTD")</f>
        <v>SH08LTD</v>
      </c>
      <c r="B33570" s="65" t="s">
        <v>13100</v>
      </c>
    </row>
    <row r="33571" spans="1:2" x14ac:dyDescent="0.25">
      <c r="A33571" s="64" t="str">
        <f>HYPERLINK("http://www.twitter.com/alisonmetcalfe", "alisonmetcalfe")</f>
        <v>alisonmetcalfe</v>
      </c>
      <c r="B33571" s="65"/>
    </row>
    <row r="33572" spans="1:2" x14ac:dyDescent="0.25">
      <c r="A33572" s="64" t="str">
        <f>HYPERLINK("http://www.twitter.com/sandy_owl", "sandy_owl")</f>
        <v>sandy_owl</v>
      </c>
      <c r="B33572" s="65" t="s">
        <v>24</v>
      </c>
    </row>
    <row r="33573" spans="1:2" x14ac:dyDescent="0.25">
      <c r="A33573" s="64" t="str">
        <f>HYPERLINK("http://www.twitter.com/Smiffye", "Smiffye")</f>
        <v>Smiffye</v>
      </c>
      <c r="B33573" s="65" t="s">
        <v>517</v>
      </c>
    </row>
    <row r="33574" spans="1:2" x14ac:dyDescent="0.25">
      <c r="A33574" s="64" t="str">
        <f>HYPERLINK("http://www.twitter.com/FollowingRecord", "FollowingRecord")</f>
        <v>FollowingRecord</v>
      </c>
      <c r="B33574" s="65"/>
    </row>
    <row r="33575" spans="1:2" x14ac:dyDescent="0.25">
      <c r="A33575" s="64" t="str">
        <f>HYPERLINK("http://www.twitter.com/neilmoir", "neilmoir")</f>
        <v>neilmoir</v>
      </c>
      <c r="B33575" s="65" t="s">
        <v>808</v>
      </c>
    </row>
    <row r="33576" spans="1:2" x14ac:dyDescent="0.25">
      <c r="A33576" s="64" t="str">
        <f>HYPERLINK("http://www.twitter.com/JennySarahJones", "JennySarahJones")</f>
        <v>JennySarahJones</v>
      </c>
      <c r="B33576" s="65" t="s">
        <v>1295</v>
      </c>
    </row>
    <row r="33577" spans="1:2" x14ac:dyDescent="0.25">
      <c r="A33577" s="64" t="str">
        <f>HYPERLINK("http://www.twitter.com/nanieof5", "nanieof5")</f>
        <v>nanieof5</v>
      </c>
      <c r="B33577" s="65"/>
    </row>
    <row r="33578" spans="1:2" x14ac:dyDescent="0.25">
      <c r="A33578" s="64" t="str">
        <f>HYPERLINK("http://www.twitter.com/hassanalzaza", "hassanalzaza")</f>
        <v>hassanalzaza</v>
      </c>
      <c r="B33578" s="65" t="s">
        <v>4614</v>
      </c>
    </row>
    <row r="33579" spans="1:2" x14ac:dyDescent="0.25">
      <c r="A33579" s="64" t="str">
        <f>HYPERLINK("http://www.twitter.com/BertramLibs", "BertramLibs")</f>
        <v>BertramLibs</v>
      </c>
      <c r="B33579" s="65" t="s">
        <v>2792</v>
      </c>
    </row>
    <row r="33580" spans="1:2" x14ac:dyDescent="0.25">
      <c r="A33580" s="64" t="str">
        <f>HYPERLINK("http://www.twitter.com/IMRGU", "IMRGU")</f>
        <v>IMRGU</v>
      </c>
      <c r="B33580" s="65" t="s">
        <v>1556</v>
      </c>
    </row>
    <row r="33581" spans="1:2" x14ac:dyDescent="0.25">
      <c r="A33581" s="64" t="str">
        <f>HYPERLINK("http://www.twitter.com/ValveJournal", "ValveJournal")</f>
        <v>ValveJournal</v>
      </c>
      <c r="B33581" s="65" t="s">
        <v>138</v>
      </c>
    </row>
    <row r="33582" spans="1:2" x14ac:dyDescent="0.25">
      <c r="A33582" s="64" t="str">
        <f>HYPERLINK("http://www.twitter.com/OpenStudiosFife", "OpenStudiosFife")</f>
        <v>OpenStudiosFife</v>
      </c>
      <c r="B33582" s="65" t="s">
        <v>13101</v>
      </c>
    </row>
    <row r="33583" spans="1:2" x14ac:dyDescent="0.25">
      <c r="A33583" s="64" t="str">
        <f>HYPERLINK("http://www.twitter.com/BRintoul", "BRintoul")</f>
        <v>BRintoul</v>
      </c>
      <c r="B33583" s="65"/>
    </row>
    <row r="33584" spans="1:2" x14ac:dyDescent="0.25">
      <c r="A33584" s="64" t="str">
        <f>HYPERLINK("http://www.twitter.com/Sangokw17", "Sangokw17")</f>
        <v>Sangokw17</v>
      </c>
      <c r="B33584" s="65" t="s">
        <v>20</v>
      </c>
    </row>
    <row r="33585" spans="1:2" x14ac:dyDescent="0.25">
      <c r="A33585" s="64" t="str">
        <f>HYPERLINK("http://www.twitter.com/FiWard", "FiWard")</f>
        <v>FiWard</v>
      </c>
      <c r="B33585" s="65" t="s">
        <v>13102</v>
      </c>
    </row>
    <row r="33586" spans="1:2" x14ac:dyDescent="0.25">
      <c r="A33586" s="64" t="str">
        <f>HYPERLINK("http://www.twitter.com/RebekahXTaylor", "RebekahXTaylor")</f>
        <v>RebekahXTaylor</v>
      </c>
      <c r="B33586" s="65" t="s">
        <v>5413</v>
      </c>
    </row>
    <row r="33587" spans="1:2" x14ac:dyDescent="0.25">
      <c r="A33587" s="64" t="str">
        <f>HYPERLINK("http://www.twitter.com/stirpublishing", "stirpublishing")</f>
        <v>stirpublishing</v>
      </c>
      <c r="B33587" s="65" t="s">
        <v>3875</v>
      </c>
    </row>
    <row r="33588" spans="1:2" x14ac:dyDescent="0.25">
      <c r="A33588" s="64" t="str">
        <f>HYPERLINK("http://www.twitter.com/Waterstones238", "Waterstones238")</f>
        <v>Waterstones238</v>
      </c>
      <c r="B33588" s="65" t="s">
        <v>13103</v>
      </c>
    </row>
    <row r="33589" spans="1:2" x14ac:dyDescent="0.25">
      <c r="A33589" s="64" t="str">
        <f>HYPERLINK("http://www.twitter.com/emma_cala", "emma_cala")</f>
        <v>emma_cala</v>
      </c>
      <c r="B33589" s="65" t="s">
        <v>5089</v>
      </c>
    </row>
    <row r="33590" spans="1:2" x14ac:dyDescent="0.25">
      <c r="A33590" s="64" t="str">
        <f>HYPERLINK("http://www.twitter.com/bear_faced_lady", "bear_faced_lady")</f>
        <v>bear_faced_lady</v>
      </c>
      <c r="B33590" s="65" t="s">
        <v>1377</v>
      </c>
    </row>
    <row r="33591" spans="1:2" x14ac:dyDescent="0.25">
      <c r="A33591" s="64" t="str">
        <f>HYPERLINK("http://www.twitter.com/meredith_te", "meredith_te")</f>
        <v>meredith_te</v>
      </c>
      <c r="B33591" s="65" t="s">
        <v>5007</v>
      </c>
    </row>
    <row r="33592" spans="1:2" x14ac:dyDescent="0.25">
      <c r="A33592" s="64" t="str">
        <f>HYPERLINK("http://www.twitter.com/the_acres", "the_acres")</f>
        <v>the_acres</v>
      </c>
      <c r="B33592" s="65"/>
    </row>
    <row r="33593" spans="1:2" x14ac:dyDescent="0.25">
      <c r="A33593" s="64" t="str">
        <f>HYPERLINK("http://www.twitter.com/Ninja2612", "Ninja2612")</f>
        <v>Ninja2612</v>
      </c>
      <c r="B33593" s="65"/>
    </row>
    <row r="33594" spans="1:2" x14ac:dyDescent="0.25">
      <c r="A33594" s="64" t="str">
        <f>HYPERLINK("http://www.twitter.com/bessiesfight", "bessiesfight")</f>
        <v>bessiesfight</v>
      </c>
      <c r="B33594" s="65" t="s">
        <v>6147</v>
      </c>
    </row>
    <row r="33595" spans="1:2" x14ac:dyDescent="0.25">
      <c r="A33595" s="64" t="str">
        <f>HYPERLINK("http://www.twitter.com/Ailanto", "Ailanto")</f>
        <v>Ailanto</v>
      </c>
      <c r="B33595" s="65" t="s">
        <v>1980</v>
      </c>
    </row>
    <row r="33596" spans="1:2" x14ac:dyDescent="0.25">
      <c r="A33596" s="64" t="str">
        <f>HYPERLINK("http://www.twitter.com/mthegray", "mthegray")</f>
        <v>mthegray</v>
      </c>
      <c r="B33596" s="65"/>
    </row>
    <row r="33597" spans="1:2" x14ac:dyDescent="0.25">
      <c r="A33597" s="64" t="str">
        <f>HYPERLINK("http://www.twitter.com/colz22", "colz22")</f>
        <v>colz22</v>
      </c>
      <c r="B33597" s="65" t="s">
        <v>36</v>
      </c>
    </row>
    <row r="33598" spans="1:2" x14ac:dyDescent="0.25">
      <c r="A33598" s="64" t="str">
        <f>HYPERLINK("http://www.twitter.com/stevechapman58", "stevechapman58")</f>
        <v>stevechapman58</v>
      </c>
      <c r="B33598" s="65" t="s">
        <v>9941</v>
      </c>
    </row>
    <row r="33599" spans="1:2" x14ac:dyDescent="0.25">
      <c r="A33599" s="64" t="str">
        <f>HYPERLINK("http://www.twitter.com/dawnnell", "dawnnell")</f>
        <v>dawnnell</v>
      </c>
      <c r="B33599" s="65" t="s">
        <v>13104</v>
      </c>
    </row>
    <row r="33600" spans="1:2" x14ac:dyDescent="0.25">
      <c r="A33600" s="64" t="str">
        <f>HYPERLINK("http://www.twitter.com/NewBookWorld", "NewBookWorld")</f>
        <v>NewBookWorld</v>
      </c>
      <c r="B33600" s="65" t="s">
        <v>13105</v>
      </c>
    </row>
    <row r="33601" spans="1:2" x14ac:dyDescent="0.25">
      <c r="A33601" s="64" t="str">
        <f>HYPERLINK("http://www.twitter.com/Baxfail", "Baxfail")</f>
        <v>Baxfail</v>
      </c>
      <c r="B33601" s="65" t="s">
        <v>13106</v>
      </c>
    </row>
    <row r="33602" spans="1:2" x14ac:dyDescent="0.25">
      <c r="A33602" s="64" t="str">
        <f>HYPERLINK("http://www.twitter.com/EndyFig", "EndyFig")</f>
        <v>EndyFig</v>
      </c>
      <c r="B33602" s="65" t="s">
        <v>1218</v>
      </c>
    </row>
    <row r="33603" spans="1:2" x14ac:dyDescent="0.25">
      <c r="A33603" s="64" t="str">
        <f>HYPERLINK("http://www.twitter.com/alison732", "alison732")</f>
        <v>alison732</v>
      </c>
      <c r="B33603" s="65"/>
    </row>
    <row r="33604" spans="1:2" x14ac:dyDescent="0.25">
      <c r="A33604" s="64" t="str">
        <f>HYPERLINK("http://www.twitter.com/korensbt", "korensbt")</f>
        <v>korensbt</v>
      </c>
      <c r="B33604" s="65" t="s">
        <v>24</v>
      </c>
    </row>
    <row r="33605" spans="1:2" x14ac:dyDescent="0.25">
      <c r="A33605" s="64" t="str">
        <f>HYPERLINK("http://www.twitter.com/ushtey", "ushtey")</f>
        <v>ushtey</v>
      </c>
      <c r="B33605" s="65" t="s">
        <v>5366</v>
      </c>
    </row>
    <row r="33606" spans="1:2" x14ac:dyDescent="0.25">
      <c r="A33606" s="64" t="str">
        <f>HYPERLINK("http://www.twitter.com/SdPublishers", "SdPublishers")</f>
        <v>SdPublishers</v>
      </c>
      <c r="B33606" s="65" t="s">
        <v>13105</v>
      </c>
    </row>
    <row r="33607" spans="1:2" x14ac:dyDescent="0.25">
      <c r="A33607" s="64" t="str">
        <f>HYPERLINK("http://www.twitter.com/HindiBooks", "HindiBooks")</f>
        <v>HindiBooks</v>
      </c>
      <c r="B33607" s="65" t="s">
        <v>13107</v>
      </c>
    </row>
    <row r="33608" spans="1:2" x14ac:dyDescent="0.25">
      <c r="A33608" s="64" t="str">
        <f>HYPERLINK("http://www.twitter.com/lettylib", "lettylib")</f>
        <v>lettylib</v>
      </c>
      <c r="B33608" s="65" t="s">
        <v>61</v>
      </c>
    </row>
    <row r="33609" spans="1:2" x14ac:dyDescent="0.25">
      <c r="A33609" s="64" t="str">
        <f>HYPERLINK("http://www.twitter.com/librelibrarian", "librelibrarian")</f>
        <v>librelibrarian</v>
      </c>
      <c r="B33609" s="65" t="s">
        <v>8357</v>
      </c>
    </row>
    <row r="33610" spans="1:2" x14ac:dyDescent="0.25">
      <c r="A33610" s="64" t="str">
        <f>HYPERLINK("http://www.twitter.com/BookClubToday", "BookClubToday")</f>
        <v>BookClubToday</v>
      </c>
      <c r="B33610" s="65" t="s">
        <v>13107</v>
      </c>
    </row>
    <row r="33611" spans="1:2" x14ac:dyDescent="0.25">
      <c r="A33611" s="64" t="str">
        <f>HYPERLINK("http://www.twitter.com/afotheringhame", "afotheringhame")</f>
        <v>afotheringhame</v>
      </c>
      <c r="B33611" s="65" t="s">
        <v>36</v>
      </c>
    </row>
    <row r="33612" spans="1:2" x14ac:dyDescent="0.25">
      <c r="A33612" s="64" t="str">
        <f>HYPERLINK("http://www.twitter.com/OrcadianKendra", "OrcadianKendra")</f>
        <v>OrcadianKendra</v>
      </c>
      <c r="B33612" s="65" t="s">
        <v>3762</v>
      </c>
    </row>
    <row r="33613" spans="1:2" x14ac:dyDescent="0.25">
      <c r="A33613" s="64" t="str">
        <f>HYPERLINK("http://www.twitter.com/redtelephoneuk", "redtelephoneuk")</f>
        <v>redtelephoneuk</v>
      </c>
      <c r="B33613" s="65" t="s">
        <v>2289</v>
      </c>
    </row>
    <row r="33614" spans="1:2" x14ac:dyDescent="0.25">
      <c r="A33614" s="64" t="str">
        <f>HYPERLINK("http://www.twitter.com/GdnChildrensBks", "GdnChildrensBks")</f>
        <v>GdnChildrensBks</v>
      </c>
      <c r="B33614" s="65"/>
    </row>
    <row r="33615" spans="1:2" x14ac:dyDescent="0.25">
      <c r="A33615" s="64" t="str">
        <f>HYPERLINK("http://www.twitter.com/kodiakeb", "kodiakeb")</f>
        <v>kodiakeb</v>
      </c>
      <c r="B33615" s="65" t="s">
        <v>13108</v>
      </c>
    </row>
    <row r="33616" spans="1:2" x14ac:dyDescent="0.25">
      <c r="A33616" s="64" t="str">
        <f>HYPERLINK("http://www.twitter.com/RabTDog", "RabTDog")</f>
        <v>RabTDog</v>
      </c>
      <c r="B33616" s="65" t="s">
        <v>13109</v>
      </c>
    </row>
    <row r="33617" spans="1:2" x14ac:dyDescent="0.25">
      <c r="A33617" s="64" t="str">
        <f>HYPERLINK("http://www.twitter.com/niceglasses", "niceglasses")</f>
        <v>niceglasses</v>
      </c>
      <c r="B33617" s="65" t="s">
        <v>96</v>
      </c>
    </row>
    <row r="33618" spans="1:2" x14ac:dyDescent="0.25">
      <c r="A33618" s="64" t="str">
        <f>HYPERLINK("http://www.twitter.com/RichardGreen9", "RichardGreen9")</f>
        <v>RichardGreen9</v>
      </c>
      <c r="B33618" s="65"/>
    </row>
    <row r="33619" spans="1:2" x14ac:dyDescent="0.25">
      <c r="A33619" s="64" t="str">
        <f>HYPERLINK("http://www.twitter.com/FelicityM", "FelicityM")</f>
        <v>FelicityM</v>
      </c>
      <c r="B33619" s="65" t="s">
        <v>13110</v>
      </c>
    </row>
    <row r="33620" spans="1:2" x14ac:dyDescent="0.25">
      <c r="A33620" s="64" t="str">
        <f>HYPERLINK("http://www.twitter.com/scatnesscarver", "scatnesscarver")</f>
        <v>scatnesscarver</v>
      </c>
      <c r="B33620" s="65" t="s">
        <v>4674</v>
      </c>
    </row>
    <row r="33621" spans="1:2" x14ac:dyDescent="0.25">
      <c r="A33621" s="64" t="str">
        <f>HYPERLINK("http://www.twitter.com/TheBuddster", "TheBuddster")</f>
        <v>TheBuddster</v>
      </c>
      <c r="B33621" s="65" t="s">
        <v>4161</v>
      </c>
    </row>
    <row r="33622" spans="1:2" x14ac:dyDescent="0.25">
      <c r="A33622" s="64" t="str">
        <f>HYPERLINK("http://www.twitter.com/paulfury2702", "paulfury2702")</f>
        <v>paulfury2702</v>
      </c>
      <c r="B33622" s="65" t="s">
        <v>448</v>
      </c>
    </row>
    <row r="33623" spans="1:2" x14ac:dyDescent="0.25">
      <c r="A33623" s="64" t="str">
        <f>HYPERLINK("http://www.twitter.com/AEBMcN", "AEBMcN")</f>
        <v>AEBMcN</v>
      </c>
      <c r="B33623" s="65" t="s">
        <v>33</v>
      </c>
    </row>
    <row r="33624" spans="1:2" x14ac:dyDescent="0.25">
      <c r="A33624" s="64" t="str">
        <f>HYPERLINK("http://www.twitter.com/dspni", "dspni")</f>
        <v>dspni</v>
      </c>
      <c r="B33624" s="65" t="s">
        <v>13111</v>
      </c>
    </row>
    <row r="33625" spans="1:2" x14ac:dyDescent="0.25">
      <c r="A33625" s="64" t="str">
        <f>HYPERLINK("http://www.twitter.com/NellDixon", "NellDixon")</f>
        <v>NellDixon</v>
      </c>
      <c r="B33625" s="65" t="s">
        <v>13112</v>
      </c>
    </row>
    <row r="33626" spans="1:2" x14ac:dyDescent="0.25">
      <c r="A33626" s="64" t="str">
        <f>HYPERLINK("http://www.twitter.com/Pwrightsstudio", "Pwrightsstudio")</f>
        <v>Pwrightsstudio</v>
      </c>
      <c r="B33626" s="65" t="s">
        <v>318</v>
      </c>
    </row>
    <row r="33627" spans="1:2" x14ac:dyDescent="0.25">
      <c r="A33627" s="64" t="str">
        <f>HYPERLINK("http://www.twitter.com/rwhitf", "rwhitf")</f>
        <v>rwhitf</v>
      </c>
      <c r="B33627" s="65" t="s">
        <v>1221</v>
      </c>
    </row>
    <row r="33628" spans="1:2" x14ac:dyDescent="0.25">
      <c r="A33628" s="64" t="str">
        <f>HYPERLINK("http://www.twitter.com/handiprepared", "handiprepared")</f>
        <v>handiprepared</v>
      </c>
      <c r="B33628" s="65" t="s">
        <v>4050</v>
      </c>
    </row>
    <row r="33629" spans="1:2" x14ac:dyDescent="0.25">
      <c r="A33629" s="64" t="str">
        <f>HYPERLINK("http://www.twitter.com/DerangeDescribe", "DerangeDescribe")</f>
        <v>DerangeDescribe</v>
      </c>
      <c r="B33629" s="65"/>
    </row>
    <row r="33630" spans="1:2" x14ac:dyDescent="0.25">
      <c r="A33630" s="64" t="str">
        <f>HYPERLINK("http://www.twitter.com/archivesinfo", "archivesinfo")</f>
        <v>archivesinfo</v>
      </c>
      <c r="B33630" s="65" t="s">
        <v>7754</v>
      </c>
    </row>
    <row r="33631" spans="1:2" x14ac:dyDescent="0.25">
      <c r="A33631" s="64" t="str">
        <f>HYPERLINK("http://www.twitter.com/uwarchives", "uwarchives")</f>
        <v>uwarchives</v>
      </c>
      <c r="B33631" s="65" t="s">
        <v>13113</v>
      </c>
    </row>
    <row r="33632" spans="1:2" x14ac:dyDescent="0.25">
      <c r="A33632" s="64" t="str">
        <f>HYPERLINK("http://www.twitter.com/JFSolem", "JFSolem")</f>
        <v>JFSolem</v>
      </c>
      <c r="B33632" s="65" t="s">
        <v>9486</v>
      </c>
    </row>
    <row r="33633" spans="1:2" x14ac:dyDescent="0.25">
      <c r="A33633" s="64" t="str">
        <f>HYPERLINK("http://www.twitter.com/NotJRssSc", "NotJRssSc")</f>
        <v>NotJRssSc</v>
      </c>
      <c r="B33633" s="65" t="s">
        <v>11811</v>
      </c>
    </row>
    <row r="33634" spans="1:2" x14ac:dyDescent="0.25">
      <c r="A33634" s="64" t="str">
        <f>HYPERLINK("http://www.twitter.com/klingstadt", "klingstadt")</f>
        <v>klingstadt</v>
      </c>
      <c r="B33634" s="65" t="s">
        <v>24</v>
      </c>
    </row>
    <row r="33635" spans="1:2" x14ac:dyDescent="0.25">
      <c r="A33635" s="64" t="str">
        <f>HYPERLINK("http://www.twitter.com/ganglesprocket", "ganglesprocket")</f>
        <v>ganglesprocket</v>
      </c>
      <c r="B33635" s="65"/>
    </row>
    <row r="33636" spans="1:2" x14ac:dyDescent="0.25">
      <c r="A33636" s="64" t="str">
        <f>HYPERLINK("http://www.twitter.com/archivesnext", "archivesnext")</f>
        <v>archivesnext</v>
      </c>
      <c r="B33636" s="65" t="s">
        <v>13114</v>
      </c>
    </row>
    <row r="33637" spans="1:2" x14ac:dyDescent="0.25">
      <c r="A33637" s="64" t="str">
        <f>HYPERLINK("http://www.twitter.com/JacqMoo", "JacqMoo")</f>
        <v>JacqMoo</v>
      </c>
      <c r="B33637" s="65" t="s">
        <v>3978</v>
      </c>
    </row>
    <row r="33638" spans="1:2" x14ac:dyDescent="0.25">
      <c r="A33638" s="64" t="str">
        <f>HYPERLINK("http://www.twitter.com/TinTrunk", "TinTrunk")</f>
        <v>TinTrunk</v>
      </c>
      <c r="B33638" s="65" t="s">
        <v>2717</v>
      </c>
    </row>
    <row r="33639" spans="1:2" x14ac:dyDescent="0.25">
      <c r="A33639" s="64" t="str">
        <f>HYPERLINK("http://www.twitter.com/Jigsawatwork", "Jigsawatwork")</f>
        <v>Jigsawatwork</v>
      </c>
      <c r="B33639" s="65" t="s">
        <v>13115</v>
      </c>
    </row>
    <row r="33640" spans="1:2" x14ac:dyDescent="0.25">
      <c r="A33640" s="64" t="str">
        <f>HYPERLINK("http://www.twitter.com/SJglass", "SJglass")</f>
        <v>SJglass</v>
      </c>
      <c r="B33640" s="65"/>
    </row>
    <row r="33641" spans="1:2" x14ac:dyDescent="0.25">
      <c r="A33641" s="64" t="str">
        <f>HYPERLINK("http://www.twitter.com/aberuni_is", "aberuni_is")</f>
        <v>aberuni_is</v>
      </c>
      <c r="B33641" s="65" t="s">
        <v>868</v>
      </c>
    </row>
    <row r="33642" spans="1:2" x14ac:dyDescent="0.25">
      <c r="A33642" s="64" t="str">
        <f>HYPERLINK("http://www.twitter.com/angelacarritt", "angelacarritt")</f>
        <v>angelacarritt</v>
      </c>
      <c r="B33642" s="65" t="s">
        <v>1490</v>
      </c>
    </row>
    <row r="33643" spans="1:2" x14ac:dyDescent="0.25">
      <c r="A33643" s="64" t="str">
        <f>HYPERLINK("http://www.twitter.com/Cyacsanda", "Cyacsanda")</f>
        <v>Cyacsanda</v>
      </c>
      <c r="B33643" s="65"/>
    </row>
    <row r="33644" spans="1:2" x14ac:dyDescent="0.25">
      <c r="A33644" s="64" t="str">
        <f>HYPERLINK("http://www.twitter.com/NFergie83", "NFergie83")</f>
        <v>NFergie83</v>
      </c>
      <c r="B33644" s="65" t="s">
        <v>569</v>
      </c>
    </row>
    <row r="33645" spans="1:2" x14ac:dyDescent="0.25">
      <c r="A33645" s="64" t="str">
        <f>HYPERLINK("http://www.twitter.com/christinafoleyf", "christinafoleyf")</f>
        <v>christinafoleyf</v>
      </c>
      <c r="B33645" s="65" t="s">
        <v>9063</v>
      </c>
    </row>
    <row r="33646" spans="1:2" x14ac:dyDescent="0.25">
      <c r="A33646" s="64" t="str">
        <f>HYPERLINK("http://www.twitter.com/AlCalUoW23", "AlCalUoW23")</f>
        <v>AlCalUoW23</v>
      </c>
      <c r="B33646" s="65"/>
    </row>
    <row r="33647" spans="1:2" x14ac:dyDescent="0.25">
      <c r="A33647" s="64" t="str">
        <f>HYPERLINK("http://www.twitter.com/MelanieCMaddox", "MelanieCMaddox")</f>
        <v>MelanieCMaddox</v>
      </c>
      <c r="B33647" s="65" t="s">
        <v>7137</v>
      </c>
    </row>
    <row r="33648" spans="1:2" x14ac:dyDescent="0.25">
      <c r="A33648" s="64" t="str">
        <f>HYPERLINK("http://www.twitter.com/asgerdr", "asgerdr")</f>
        <v>asgerdr</v>
      </c>
      <c r="B33648" s="65" t="s">
        <v>13116</v>
      </c>
    </row>
    <row r="33649" spans="1:2" x14ac:dyDescent="0.25">
      <c r="A33649" s="64" t="str">
        <f>HYPERLINK("http://www.twitter.com/EmilyHywel", "EmilyHywel")</f>
        <v>EmilyHywel</v>
      </c>
      <c r="B33649" s="65" t="s">
        <v>3890</v>
      </c>
    </row>
    <row r="33650" spans="1:2" x14ac:dyDescent="0.25">
      <c r="A33650" s="64" t="str">
        <f>HYPERLINK("http://www.twitter.com/lgnu", "lgnu")</f>
        <v>lgnu</v>
      </c>
      <c r="B33650" s="65"/>
    </row>
    <row r="33651" spans="1:2" x14ac:dyDescent="0.25">
      <c r="A33651" s="64" t="str">
        <f>HYPERLINK("http://www.twitter.com/panalbahq", "panalbahq")</f>
        <v>panalbahq</v>
      </c>
      <c r="B33651" s="65" t="s">
        <v>24</v>
      </c>
    </row>
    <row r="33652" spans="1:2" x14ac:dyDescent="0.25">
      <c r="A33652" s="64" t="str">
        <f>HYPERLINK("http://www.twitter.com/Aliharg", "Aliharg")</f>
        <v>Aliharg</v>
      </c>
      <c r="B33652" s="65" t="s">
        <v>4124</v>
      </c>
    </row>
    <row r="33653" spans="1:2" x14ac:dyDescent="0.25">
      <c r="A33653" s="64" t="str">
        <f>HYPERLINK("http://www.twitter.com/Squonkster", "Squonkster")</f>
        <v>Squonkster</v>
      </c>
      <c r="B33653" s="65" t="s">
        <v>3040</v>
      </c>
    </row>
    <row r="33654" spans="1:2" x14ac:dyDescent="0.25">
      <c r="A33654" s="64" t="str">
        <f>HYPERLINK("http://www.twitter.com/lsawiuk", "lsawiuk")</f>
        <v>lsawiuk</v>
      </c>
      <c r="B33654" s="65" t="s">
        <v>74</v>
      </c>
    </row>
    <row r="33655" spans="1:2" x14ac:dyDescent="0.25">
      <c r="A33655" s="64" t="str">
        <f>HYPERLINK("http://www.twitter.com/kathleenoneill", "kathleenoneill")</f>
        <v>kathleenoneill</v>
      </c>
      <c r="B33655" s="65"/>
    </row>
    <row r="33656" spans="1:2" x14ac:dyDescent="0.25">
      <c r="A33656" s="64" t="str">
        <f>HYPERLINK("http://www.twitter.com/Lerwick2011", "Lerwick2011")</f>
        <v>Lerwick2011</v>
      </c>
      <c r="B33656" s="65" t="s">
        <v>10940</v>
      </c>
    </row>
    <row r="33657" spans="1:2" x14ac:dyDescent="0.25">
      <c r="A33657" s="64" t="str">
        <f>HYPERLINK("http://www.twitter.com/LadyPortwrinkle", "LadyPortwrinkle")</f>
        <v>LadyPortwrinkle</v>
      </c>
      <c r="B33657" s="65" t="s">
        <v>13117</v>
      </c>
    </row>
    <row r="33658" spans="1:2" x14ac:dyDescent="0.25">
      <c r="A33658" s="64" t="str">
        <f>HYPERLINK("http://www.twitter.com/harasanotrub", "harasanotrub")</f>
        <v>harasanotrub</v>
      </c>
      <c r="B33658" s="65" t="s">
        <v>788</v>
      </c>
    </row>
    <row r="33659" spans="1:2" x14ac:dyDescent="0.25">
      <c r="A33659" s="64" t="str">
        <f>HYPERLINK("http://www.twitter.com/foamcow", "foamcow")</f>
        <v>foamcow</v>
      </c>
      <c r="B33659" s="65" t="s">
        <v>4854</v>
      </c>
    </row>
    <row r="33660" spans="1:2" x14ac:dyDescent="0.25">
      <c r="A33660" s="64" t="str">
        <f>HYPERLINK("http://www.twitter.com/regordane", "regordane")</f>
        <v>regordane</v>
      </c>
      <c r="B33660" s="65" t="s">
        <v>5006</v>
      </c>
    </row>
    <row r="33661" spans="1:2" x14ac:dyDescent="0.25">
      <c r="A33661" s="64" t="str">
        <f>HYPERLINK("http://www.twitter.com/Jacqkelly", "Jacqkelly")</f>
        <v>Jacqkelly</v>
      </c>
      <c r="B33661" s="65" t="s">
        <v>487</v>
      </c>
    </row>
    <row r="33662" spans="1:2" x14ac:dyDescent="0.25">
      <c r="A33662" s="64" t="str">
        <f>HYPERLINK("http://www.twitter.com/shirleycallow", "shirleycallow")</f>
        <v>shirleycallow</v>
      </c>
      <c r="B33662" s="65" t="s">
        <v>5366</v>
      </c>
    </row>
    <row r="33663" spans="1:2" x14ac:dyDescent="0.25">
      <c r="A33663" s="64" t="str">
        <f>HYPERLINK("http://www.twitter.com/mikeliddle", "mikeliddle")</f>
        <v>mikeliddle</v>
      </c>
      <c r="B33663" s="65" t="s">
        <v>1105</v>
      </c>
    </row>
    <row r="33664" spans="1:2" x14ac:dyDescent="0.25">
      <c r="A33664" s="64" t="str">
        <f>HYPERLINK("http://www.twitter.com/chariscroft", "chariscroft")</f>
        <v>chariscroft</v>
      </c>
      <c r="B33664" s="65" t="s">
        <v>13118</v>
      </c>
    </row>
    <row r="33665" spans="1:2" x14ac:dyDescent="0.25">
      <c r="A33665" s="64" t="str">
        <f>HYPERLINK("http://www.twitter.com/UlverscroftUK", "UlverscroftUK")</f>
        <v>UlverscroftUK</v>
      </c>
      <c r="B33665" s="65" t="s">
        <v>7304</v>
      </c>
    </row>
    <row r="33666" spans="1:2" x14ac:dyDescent="0.25">
      <c r="A33666" s="64" t="str">
        <f>HYPERLINK("http://www.twitter.com/lmrlib", "lmrlib")</f>
        <v>lmrlib</v>
      </c>
      <c r="B33666" s="65" t="s">
        <v>24</v>
      </c>
    </row>
    <row r="33667" spans="1:2" x14ac:dyDescent="0.25">
      <c r="A33667" s="64" t="str">
        <f>HYPERLINK("http://www.twitter.com/pozorvlak", "pozorvlak")</f>
        <v>pozorvlak</v>
      </c>
      <c r="B33667" s="65" t="s">
        <v>24</v>
      </c>
    </row>
    <row r="33668" spans="1:2" x14ac:dyDescent="0.25">
      <c r="A33668" s="64" t="str">
        <f>HYPERLINK("http://www.twitter.com/arusbridge", "arusbridge")</f>
        <v>arusbridge</v>
      </c>
      <c r="B33668" s="65"/>
    </row>
    <row r="33669" spans="1:2" x14ac:dyDescent="0.25">
      <c r="A33669" s="64" t="str">
        <f>HYPERLINK("http://www.twitter.com/is_jon", "is_jon")</f>
        <v>is_jon</v>
      </c>
      <c r="B33669" s="65" t="s">
        <v>7414</v>
      </c>
    </row>
    <row r="33670" spans="1:2" x14ac:dyDescent="0.25">
      <c r="A33670" s="64" t="str">
        <f>HYPERLINK("http://www.twitter.com/ChristinaMcMc", "ChristinaMcMc")</f>
        <v>ChristinaMcMc</v>
      </c>
      <c r="B33670" s="65" t="s">
        <v>13119</v>
      </c>
    </row>
    <row r="33671" spans="1:2" x14ac:dyDescent="0.25">
      <c r="A33671" s="64" t="str">
        <f>HYPERLINK("http://www.twitter.com/pickyorkney", "pickyorkney")</f>
        <v>pickyorkney</v>
      </c>
      <c r="B33671" s="65" t="s">
        <v>5412</v>
      </c>
    </row>
    <row r="33672" spans="1:2" x14ac:dyDescent="0.25">
      <c r="A33672" s="64" t="str">
        <f>HYPERLINK("http://www.twitter.com/redsontour", "redsontour")</f>
        <v>redsontour</v>
      </c>
      <c r="B33672" s="65" t="s">
        <v>6127</v>
      </c>
    </row>
    <row r="33673" spans="1:2" x14ac:dyDescent="0.25">
      <c r="A33673" s="64" t="str">
        <f>HYPERLINK("http://www.twitter.com/SOLTMANY", "SOLTMANY")</f>
        <v>SOLTMANY</v>
      </c>
      <c r="B33673" s="65"/>
    </row>
    <row r="33674" spans="1:2" x14ac:dyDescent="0.25">
      <c r="A33674" s="64" t="str">
        <f>HYPERLINK("http://www.twitter.com/iomeducation", "iomeducation")</f>
        <v>iomeducation</v>
      </c>
      <c r="B33674" s="65" t="s">
        <v>5366</v>
      </c>
    </row>
    <row r="33675" spans="1:2" x14ac:dyDescent="0.25">
      <c r="A33675" s="64" t="str">
        <f>HYPERLINK("http://www.twitter.com/researchinglib", "researchinglib")</f>
        <v>researchinglib</v>
      </c>
      <c r="B33675" s="65"/>
    </row>
    <row r="33676" spans="1:2" x14ac:dyDescent="0.25">
      <c r="A33676" s="64" t="str">
        <f>HYPERLINK("http://www.twitter.com/KarenMemphis", "KarenMemphis")</f>
        <v>KarenMemphis</v>
      </c>
      <c r="B33676" s="65"/>
    </row>
    <row r="33677" spans="1:2" x14ac:dyDescent="0.25">
      <c r="A33677" s="64" t="str">
        <f>HYPERLINK("http://www.twitter.com/jon_mcgregor", "jon_mcgregor")</f>
        <v>jon_mcgregor</v>
      </c>
      <c r="B33677" s="65" t="s">
        <v>13120</v>
      </c>
    </row>
    <row r="33678" spans="1:2" x14ac:dyDescent="0.25">
      <c r="A33678" s="64" t="str">
        <f>HYPERLINK("http://www.twitter.com/Tracy_Kuhn", "Tracy_Kuhn")</f>
        <v>Tracy_Kuhn</v>
      </c>
      <c r="B33678" s="65" t="s">
        <v>346</v>
      </c>
    </row>
    <row r="33679" spans="1:2" x14ac:dyDescent="0.25">
      <c r="A33679" s="64" t="str">
        <f>HYPERLINK("http://www.twitter.com/StevenBettles", "StevenBettles")</f>
        <v>StevenBettles</v>
      </c>
      <c r="B33679" s="65" t="s">
        <v>13121</v>
      </c>
    </row>
    <row r="33680" spans="1:2" x14ac:dyDescent="0.25">
      <c r="A33680" s="64" t="str">
        <f>HYPERLINK("http://www.twitter.com/xx89x", "xx89x")</f>
        <v>xx89x</v>
      </c>
      <c r="B33680" s="65"/>
    </row>
    <row r="33681" spans="1:2" x14ac:dyDescent="0.25">
      <c r="A33681" s="64" t="str">
        <f>HYPERLINK("http://www.twitter.com/Rincpac", "Rincpac")</f>
        <v>Rincpac</v>
      </c>
      <c r="B33681" s="65"/>
    </row>
    <row r="33682" spans="1:2" x14ac:dyDescent="0.25">
      <c r="A33682" s="64" t="str">
        <f>HYPERLINK("http://www.twitter.com/clutterbells", "clutterbells")</f>
        <v>clutterbells</v>
      </c>
      <c r="B33682" s="65" t="s">
        <v>3919</v>
      </c>
    </row>
    <row r="33683" spans="1:2" x14ac:dyDescent="0.25">
      <c r="A33683" s="64" t="str">
        <f>HYPERLINK("http://www.twitter.com/mark217", "mark217")</f>
        <v>mark217</v>
      </c>
      <c r="B33683" s="65" t="s">
        <v>5943</v>
      </c>
    </row>
    <row r="33684" spans="1:2" x14ac:dyDescent="0.25">
      <c r="A33684" s="64" t="str">
        <f>HYPERLINK("http://www.twitter.com/anyresemblance", "anyresemblance")</f>
        <v>anyresemblance</v>
      </c>
      <c r="B33684" s="65" t="s">
        <v>6571</v>
      </c>
    </row>
    <row r="33685" spans="1:2" x14ac:dyDescent="0.25">
      <c r="A33685" s="64" t="str">
        <f>HYPERLINK("http://www.twitter.com/NavajoBirdsong", "NavajoBirdsong")</f>
        <v>NavajoBirdsong</v>
      </c>
      <c r="B33685" s="65" t="s">
        <v>5104</v>
      </c>
    </row>
    <row r="33686" spans="1:2" x14ac:dyDescent="0.25">
      <c r="A33686" s="64" t="str">
        <f>HYPERLINK("http://www.twitter.com/AlisonMooreDesi", "AlisonMooreDesi")</f>
        <v>AlisonMooreDesi</v>
      </c>
      <c r="B33686" s="65" t="s">
        <v>20</v>
      </c>
    </row>
    <row r="33687" spans="1:2" x14ac:dyDescent="0.25">
      <c r="A33687" s="64" t="str">
        <f>HYPERLINK("http://www.twitter.com/IslandWriters", "IslandWriters")</f>
        <v>IslandWriters</v>
      </c>
      <c r="B33687" s="65" t="s">
        <v>13122</v>
      </c>
    </row>
    <row r="33688" spans="1:2" x14ac:dyDescent="0.25">
      <c r="A33688" s="64" t="str">
        <f>HYPERLINK("http://www.twitter.com/bookishwgc", "bookishwgc")</f>
        <v>bookishwgc</v>
      </c>
      <c r="B33688" s="65" t="s">
        <v>598</v>
      </c>
    </row>
    <row r="33689" spans="1:2" x14ac:dyDescent="0.25">
      <c r="A33689" s="64" t="str">
        <f>HYPERLINK("http://www.twitter.com/minetlibrary", "minetlibrary")</f>
        <v>minetlibrary</v>
      </c>
      <c r="B33689" s="65" t="s">
        <v>13123</v>
      </c>
    </row>
    <row r="33690" spans="1:2" x14ac:dyDescent="0.25">
      <c r="A33690" s="64" t="str">
        <f>HYPERLINK("http://www.twitter.com/elmorris24", "elmorris24")</f>
        <v>elmorris24</v>
      </c>
      <c r="B33690" s="65"/>
    </row>
    <row r="33691" spans="1:2" x14ac:dyDescent="0.25">
      <c r="A33691" s="64" t="str">
        <f>HYPERLINK("http://www.twitter.com/kelvinmeadow", "kelvinmeadow")</f>
        <v>kelvinmeadow</v>
      </c>
      <c r="B33691" s="65" t="s">
        <v>138</v>
      </c>
    </row>
    <row r="33692" spans="1:2" x14ac:dyDescent="0.25">
      <c r="A33692" s="64" t="str">
        <f>HYPERLINK("http://www.twitter.com/elmsyrup", "elmsyrup")</f>
        <v>elmsyrup</v>
      </c>
      <c r="B33692" s="65" t="s">
        <v>296</v>
      </c>
    </row>
    <row r="33693" spans="1:2" x14ac:dyDescent="0.25">
      <c r="A33693" s="64" t="str">
        <f>HYPERLINK("http://www.twitter.com/manxlitfest", "manxlitfest")</f>
        <v>manxlitfest</v>
      </c>
      <c r="B33693" s="65" t="s">
        <v>5366</v>
      </c>
    </row>
    <row r="33694" spans="1:2" x14ac:dyDescent="0.25">
      <c r="A33694" s="64" t="str">
        <f>HYPERLINK("http://www.twitter.com/lavinailhahn", "lavinailhahn")</f>
        <v>lavinailhahn</v>
      </c>
      <c r="B33694" s="65"/>
    </row>
    <row r="33695" spans="1:2" x14ac:dyDescent="0.25">
      <c r="A33695" s="64" t="str">
        <f>HYPERLINK("http://www.twitter.com/alexiscaprico", "alexiscaprico")</f>
        <v>alexiscaprico</v>
      </c>
      <c r="B33695" s="65"/>
    </row>
    <row r="33696" spans="1:2" x14ac:dyDescent="0.25">
      <c r="A33696" s="64" t="str">
        <f>HYPERLINK("http://www.twitter.com/coradevine", "coradevine")</f>
        <v>coradevine</v>
      </c>
      <c r="B33696" s="65" t="s">
        <v>13124</v>
      </c>
    </row>
    <row r="33697" spans="1:2" x14ac:dyDescent="0.25">
      <c r="A33697" s="64" t="str">
        <f>HYPERLINK("http://www.twitter.com/zoanthroc", "zoanthroc")</f>
        <v>zoanthroc</v>
      </c>
      <c r="B33697" s="65" t="s">
        <v>13125</v>
      </c>
    </row>
    <row r="33698" spans="1:2" x14ac:dyDescent="0.25">
      <c r="A33698" s="64" t="str">
        <f>HYPERLINK("http://www.twitter.com/pats9d", "pats9d")</f>
        <v>pats9d</v>
      </c>
      <c r="B33698" s="65" t="s">
        <v>3775</v>
      </c>
    </row>
    <row r="33699" spans="1:2" x14ac:dyDescent="0.25">
      <c r="A33699" s="64" t="str">
        <f>HYPERLINK("http://www.twitter.com/joannanadin", "joannanadin")</f>
        <v>joannanadin</v>
      </c>
      <c r="B33699" s="65" t="s">
        <v>3483</v>
      </c>
    </row>
    <row r="33700" spans="1:2" x14ac:dyDescent="0.25">
      <c r="A33700" s="64" t="str">
        <f>HYPERLINK("http://www.twitter.com/margarettzlamph", "margarettzlamph")</f>
        <v>margarettzlamph</v>
      </c>
      <c r="B33700" s="65"/>
    </row>
    <row r="33701" spans="1:2" x14ac:dyDescent="0.25">
      <c r="A33701" s="64" t="str">
        <f>HYPERLINK("http://www.twitter.com/Antipaganda", "Antipaganda")</f>
        <v>Antipaganda</v>
      </c>
      <c r="B33701" s="65" t="s">
        <v>6571</v>
      </c>
    </row>
    <row r="33702" spans="1:2" x14ac:dyDescent="0.25">
      <c r="A33702" s="64" t="str">
        <f>HYPERLINK("http://www.twitter.com/sudyce", "sudyce")</f>
        <v>sudyce</v>
      </c>
      <c r="B33702" s="65" t="s">
        <v>569</v>
      </c>
    </row>
    <row r="33703" spans="1:2" x14ac:dyDescent="0.25">
      <c r="A33703" s="64" t="str">
        <f>HYPERLINK("http://www.twitter.com/AussieGal999", "AussieGal999")</f>
        <v>AussieGal999</v>
      </c>
      <c r="B33703" s="65" t="s">
        <v>3817</v>
      </c>
    </row>
    <row r="33704" spans="1:2" x14ac:dyDescent="0.25">
      <c r="A33704" s="64" t="str">
        <f>HYPERLINK("http://www.twitter.com/WenlockPoetry", "WenlockPoetry")</f>
        <v>WenlockPoetry</v>
      </c>
      <c r="B33704" s="65" t="s">
        <v>13126</v>
      </c>
    </row>
    <row r="33705" spans="1:2" x14ac:dyDescent="0.25">
      <c r="A33705" s="64" t="str">
        <f>HYPERLINK("http://www.twitter.com/AuntieRacism", "AuntieRacism")</f>
        <v>AuntieRacism</v>
      </c>
      <c r="B33705" s="65" t="s">
        <v>296</v>
      </c>
    </row>
    <row r="33706" spans="1:2" x14ac:dyDescent="0.25">
      <c r="A33706" s="64" t="str">
        <f>HYPERLINK("http://www.twitter.com/mairifleet", "mairifleet")</f>
        <v>mairifleet</v>
      </c>
      <c r="B33706" s="65" t="s">
        <v>5104</v>
      </c>
    </row>
    <row r="33707" spans="1:2" x14ac:dyDescent="0.25">
      <c r="A33707" s="64" t="str">
        <f>HYPERLINK("http://www.twitter.com/rjcwalker", "rjcwalker")</f>
        <v>rjcwalker</v>
      </c>
      <c r="B33707" s="65" t="s">
        <v>13127</v>
      </c>
    </row>
    <row r="33708" spans="1:2" x14ac:dyDescent="0.25">
      <c r="A33708" s="64" t="str">
        <f>HYPERLINK("http://www.twitter.com/PerennialAnna", "PerennialAnna")</f>
        <v>PerennialAnna</v>
      </c>
      <c r="B33708" s="65" t="s">
        <v>1908</v>
      </c>
    </row>
    <row r="33709" spans="1:2" x14ac:dyDescent="0.25">
      <c r="A33709" s="64" t="str">
        <f>HYPERLINK("http://www.twitter.com/patrickhadfield", "patrickhadfield")</f>
        <v>patrickhadfield</v>
      </c>
      <c r="B33709" s="65" t="s">
        <v>24</v>
      </c>
    </row>
    <row r="33710" spans="1:2" x14ac:dyDescent="0.25">
      <c r="A33710" s="64" t="str">
        <f>HYPERLINK("http://www.twitter.com/maryld", "maryld")</f>
        <v>maryld</v>
      </c>
      <c r="B33710" s="65" t="s">
        <v>7847</v>
      </c>
    </row>
    <row r="33711" spans="1:2" x14ac:dyDescent="0.25">
      <c r="A33711" s="64" t="str">
        <f>HYPERLINK("http://www.twitter.com/kmcsharry", "kmcsharry")</f>
        <v>kmcsharry</v>
      </c>
      <c r="B33711" s="65" t="s">
        <v>3760</v>
      </c>
    </row>
    <row r="33712" spans="1:2" x14ac:dyDescent="0.25">
      <c r="A33712" s="64" t="str">
        <f>HYPERLINK("http://www.twitter.com/projectCB", "projectCB")</f>
        <v>projectCB</v>
      </c>
      <c r="B33712" s="65" t="s">
        <v>4254</v>
      </c>
    </row>
    <row r="33713" spans="1:2" x14ac:dyDescent="0.25">
      <c r="A33713" s="64" t="str">
        <f>HYPERLINK("http://www.twitter.com/andrew_omarah", "andrew_omarah")</f>
        <v>andrew_omarah</v>
      </c>
      <c r="B33713" s="65"/>
    </row>
    <row r="33714" spans="1:2" x14ac:dyDescent="0.25">
      <c r="A33714" s="64" t="str">
        <f>HYPERLINK("http://www.twitter.com/NZHistory", "NZHistory")</f>
        <v>NZHistory</v>
      </c>
      <c r="B33714" s="65" t="s">
        <v>4436</v>
      </c>
    </row>
    <row r="33715" spans="1:2" x14ac:dyDescent="0.25">
      <c r="A33715" s="64" t="str">
        <f>HYPERLINK("http://www.twitter.com/juliette08", "juliette08")</f>
        <v>juliette08</v>
      </c>
      <c r="B33715" s="65" t="s">
        <v>13128</v>
      </c>
    </row>
    <row r="33716" spans="1:2" x14ac:dyDescent="0.25">
      <c r="A33716" s="64" t="str">
        <f>HYPERLINK("http://www.twitter.com/GretchenManco", "GretchenManco")</f>
        <v>GretchenManco</v>
      </c>
      <c r="B33716" s="65" t="s">
        <v>13129</v>
      </c>
    </row>
    <row r="33717" spans="1:2" x14ac:dyDescent="0.25">
      <c r="A33717" s="64" t="str">
        <f>HYPERLINK("http://www.twitter.com/FranBrimble", "FranBrimble")</f>
        <v>FranBrimble</v>
      </c>
      <c r="B33717" s="65" t="s">
        <v>427</v>
      </c>
    </row>
    <row r="33718" spans="1:2" x14ac:dyDescent="0.25">
      <c r="A33718" s="64" t="str">
        <f>HYPERLINK("http://www.twitter.com/rosemarymaddy", "rosemarymaddy")</f>
        <v>rosemarymaddy</v>
      </c>
      <c r="B33718" s="65" t="s">
        <v>4936</v>
      </c>
    </row>
    <row r="33719" spans="1:2" x14ac:dyDescent="0.25">
      <c r="A33719" s="64" t="str">
        <f>HYPERLINK("http://www.twitter.com/WorldBookNight", "WorldBookNight")</f>
        <v>WorldBookNight</v>
      </c>
      <c r="B33719" s="65" t="s">
        <v>13130</v>
      </c>
    </row>
    <row r="33720" spans="1:2" x14ac:dyDescent="0.25">
      <c r="A33720" s="64" t="str">
        <f>HYPERLINK("http://www.twitter.com/discontentgrad", "discontentgrad")</f>
        <v>discontentgrad</v>
      </c>
      <c r="B33720" s="65"/>
    </row>
    <row r="33721" spans="1:2" x14ac:dyDescent="0.25">
      <c r="A33721" s="64" t="str">
        <f>HYPERLINK("http://www.twitter.com/katymelissa_us", "katymelissa_us")</f>
        <v>katymelissa_us</v>
      </c>
      <c r="B33721" s="65" t="s">
        <v>5071</v>
      </c>
    </row>
    <row r="33722" spans="1:2" x14ac:dyDescent="0.25">
      <c r="A33722" s="64" t="str">
        <f>HYPERLINK("http://www.twitter.com/plantmatter", "plantmatter")</f>
        <v>plantmatter</v>
      </c>
      <c r="B33722" s="65"/>
    </row>
    <row r="33723" spans="1:2" x14ac:dyDescent="0.25">
      <c r="A33723" s="64" t="str">
        <f>HYPERLINK("http://www.twitter.com/GilfedderDesign", "GilfedderDesign")</f>
        <v>GilfedderDesign</v>
      </c>
      <c r="B33723" s="65" t="s">
        <v>13131</v>
      </c>
    </row>
    <row r="33724" spans="1:2" x14ac:dyDescent="0.25">
      <c r="A33724" s="64" t="str">
        <f>HYPERLINK("http://www.twitter.com/thewolfreads", "thewolfreads")</f>
        <v>thewolfreads</v>
      </c>
      <c r="B33724" s="65" t="s">
        <v>13132</v>
      </c>
    </row>
    <row r="33725" spans="1:2" x14ac:dyDescent="0.25">
      <c r="A33725" s="64" t="str">
        <f>HYPERLINK("http://www.twitter.com/bookshop_becky", "bookshop_becky")</f>
        <v>bookshop_becky</v>
      </c>
      <c r="B33725" s="65"/>
    </row>
    <row r="33726" spans="1:2" x14ac:dyDescent="0.25">
      <c r="A33726" s="64" t="str">
        <f>HYPERLINK("http://www.twitter.com/border_rebel", "border_rebel")</f>
        <v>border_rebel</v>
      </c>
      <c r="B33726" s="65" t="s">
        <v>517</v>
      </c>
    </row>
    <row r="33727" spans="1:2" x14ac:dyDescent="0.25">
      <c r="A33727" s="64" t="str">
        <f>HYPERLINK("http://www.twitter.com/meulop", "meulop")</f>
        <v>meulop</v>
      </c>
      <c r="B33727" s="65"/>
    </row>
    <row r="33728" spans="1:2" x14ac:dyDescent="0.25">
      <c r="A33728" s="64" t="str">
        <f>HYPERLINK("http://www.twitter.com/freddierobins", "freddierobins")</f>
        <v>freddierobins</v>
      </c>
      <c r="B33728" s="65" t="s">
        <v>13133</v>
      </c>
    </row>
    <row r="33729" spans="1:2" x14ac:dyDescent="0.25">
      <c r="A33729" s="64" t="str">
        <f>HYPERLINK("http://www.twitter.com/mhairiwild", "mhairiwild")</f>
        <v>mhairiwild</v>
      </c>
      <c r="B33729" s="65" t="s">
        <v>5933</v>
      </c>
    </row>
    <row r="33730" spans="1:2" x14ac:dyDescent="0.25">
      <c r="A33730" s="64" t="str">
        <f>HYPERLINK("http://www.twitter.com/Colin_Gunn", "Colin_Gunn")</f>
        <v>Colin_Gunn</v>
      </c>
      <c r="B33730" s="65"/>
    </row>
    <row r="33731" spans="1:2" x14ac:dyDescent="0.25">
      <c r="A33731" s="64" t="str">
        <f>HYPERLINK("http://www.twitter.com/JaxMiddleton", "JaxMiddleton")</f>
        <v>JaxMiddleton</v>
      </c>
      <c r="B33731" s="65" t="s">
        <v>4681</v>
      </c>
    </row>
    <row r="33732" spans="1:2" x14ac:dyDescent="0.25">
      <c r="A33732" s="64" t="str">
        <f>HYPERLINK("http://www.twitter.com/NorthCornwallNT", "NorthCornwallNT")</f>
        <v>NorthCornwallNT</v>
      </c>
      <c r="B33732" s="65" t="s">
        <v>13134</v>
      </c>
    </row>
    <row r="33733" spans="1:2" x14ac:dyDescent="0.25">
      <c r="A33733" s="64" t="str">
        <f>HYPERLINK("http://www.twitter.com/cmfwood", "cmfwood")</f>
        <v>cmfwood</v>
      </c>
      <c r="B33733" s="65" t="s">
        <v>24</v>
      </c>
    </row>
    <row r="33734" spans="1:2" x14ac:dyDescent="0.25">
      <c r="A33734" s="64" t="str">
        <f>HYPERLINK("http://www.twitter.com/Habuce3", "Habuce3")</f>
        <v>Habuce3</v>
      </c>
      <c r="B33734" s="65"/>
    </row>
    <row r="33735" spans="1:2" x14ac:dyDescent="0.25">
      <c r="A33735" s="64" t="str">
        <f>HYPERLINK("http://www.twitter.com/CityUniLibrary", "CityUniLibrary")</f>
        <v>CityUniLibrary</v>
      </c>
      <c r="B33735" s="65" t="s">
        <v>502</v>
      </c>
    </row>
    <row r="33736" spans="1:2" x14ac:dyDescent="0.25">
      <c r="A33736" s="64" t="str">
        <f>HYPERLINK("http://www.twitter.com/gypcat", "gypcat")</f>
        <v>gypcat</v>
      </c>
      <c r="B33736" s="65" t="s">
        <v>4562</v>
      </c>
    </row>
    <row r="33737" spans="1:2" x14ac:dyDescent="0.25">
      <c r="A33737" s="64" t="str">
        <f>HYPERLINK("http://www.twitter.com/galena_g", "galena_g")</f>
        <v>galena_g</v>
      </c>
      <c r="B33737" s="65" t="s">
        <v>2267</v>
      </c>
    </row>
    <row r="33738" spans="1:2" x14ac:dyDescent="0.25">
      <c r="A33738" s="64" t="str">
        <f>HYPERLINK("http://www.twitter.com/oldenglishblog", "oldenglishblog")</f>
        <v>oldenglishblog</v>
      </c>
      <c r="B33738" s="65"/>
    </row>
    <row r="33739" spans="1:2" x14ac:dyDescent="0.25">
      <c r="A33739" s="64" t="str">
        <f>HYPERLINK("http://www.twitter.com/NorfolkLibs", "NorfolkLibs")</f>
        <v>NorfolkLibs</v>
      </c>
      <c r="B33739" s="65" t="s">
        <v>3672</v>
      </c>
    </row>
    <row r="33740" spans="1:2" x14ac:dyDescent="0.25">
      <c r="A33740" s="64" t="str">
        <f>HYPERLINK("http://www.twitter.com/SarahRNeely", "SarahRNeely")</f>
        <v>SarahRNeely</v>
      </c>
      <c r="B33740" s="65"/>
    </row>
    <row r="33741" spans="1:2" x14ac:dyDescent="0.25">
      <c r="A33741" s="64" t="str">
        <f>HYPERLINK("http://www.twitter.com/Echo_Cafe", "Echo_Cafe")</f>
        <v>Echo_Cafe</v>
      </c>
      <c r="B33741" s="65" t="s">
        <v>517</v>
      </c>
    </row>
    <row r="33742" spans="1:2" x14ac:dyDescent="0.25">
      <c r="A33742" s="64" t="str">
        <f>HYPERLINK("http://www.twitter.com/Adelica", "Adelica")</f>
        <v>Adelica</v>
      </c>
      <c r="B33742" s="65" t="s">
        <v>36</v>
      </c>
    </row>
    <row r="33743" spans="1:2" x14ac:dyDescent="0.25">
      <c r="A33743" s="64" t="str">
        <f>HYPERLINK("http://www.twitter.com/StudentBremner", "StudentBremner")</f>
        <v>StudentBremner</v>
      </c>
      <c r="B33743" s="65"/>
    </row>
    <row r="33744" spans="1:2" x14ac:dyDescent="0.25">
      <c r="A33744" s="64" t="str">
        <f>HYPERLINK("http://www.twitter.com/karnegie", "karnegie")</f>
        <v>karnegie</v>
      </c>
      <c r="B33744" s="65" t="s">
        <v>4716</v>
      </c>
    </row>
    <row r="33745" spans="1:2" x14ac:dyDescent="0.25">
      <c r="A33745" s="64" t="str">
        <f>HYPERLINK("http://www.twitter.com/italoscotgirl", "italoscotgirl")</f>
        <v>italoscotgirl</v>
      </c>
      <c r="B33745" s="65" t="s">
        <v>4834</v>
      </c>
    </row>
    <row r="33746" spans="1:2" x14ac:dyDescent="0.25">
      <c r="A33746" s="64" t="str">
        <f>HYPERLINK("http://www.twitter.com/rebeccasalex", "rebeccasalex")</f>
        <v>rebeccasalex</v>
      </c>
      <c r="B33746" s="65" t="s">
        <v>505</v>
      </c>
    </row>
    <row r="33747" spans="1:2" x14ac:dyDescent="0.25">
      <c r="A33747" s="64" t="str">
        <f>HYPERLINK("http://www.twitter.com/MaryKDoherty", "MaryKDoherty")</f>
        <v>MaryKDoherty</v>
      </c>
      <c r="B33747" s="65" t="s">
        <v>4050</v>
      </c>
    </row>
    <row r="33748" spans="1:2" x14ac:dyDescent="0.25">
      <c r="A33748" s="64" t="str">
        <f>HYPERLINK("http://www.twitter.com/speccollbrad", "speccollbrad")</f>
        <v>speccollbrad</v>
      </c>
      <c r="B33748" s="65" t="s">
        <v>336</v>
      </c>
    </row>
    <row r="33749" spans="1:2" x14ac:dyDescent="0.25">
      <c r="A33749" s="64" t="str">
        <f>HYPERLINK("http://www.twitter.com/katja_dlam", "katja_dlam")</f>
        <v>katja_dlam</v>
      </c>
      <c r="B33749" s="65" t="s">
        <v>13135</v>
      </c>
    </row>
    <row r="33750" spans="1:2" x14ac:dyDescent="0.25">
      <c r="A33750" s="64" t="str">
        <f>HYPERLINK("http://www.twitter.com/brewhouse888", "brewhouse888")</f>
        <v>brewhouse888</v>
      </c>
      <c r="B33750" s="65" t="s">
        <v>13136</v>
      </c>
    </row>
    <row r="33751" spans="1:2" x14ac:dyDescent="0.25">
      <c r="A33751" s="64" t="str">
        <f>HYPERLINK("http://www.twitter.com/HelenLGateley", "HelenLGateley")</f>
        <v>HelenLGateley</v>
      </c>
      <c r="B33751" s="65" t="s">
        <v>13137</v>
      </c>
    </row>
    <row r="33752" spans="1:2" x14ac:dyDescent="0.25">
      <c r="A33752" s="64" t="str">
        <f>HYPERLINK("http://www.twitter.com/kirsteencameron", "kirsteencameron")</f>
        <v>kirsteencameron</v>
      </c>
      <c r="B33752" s="65" t="s">
        <v>24</v>
      </c>
    </row>
    <row r="33753" spans="1:2" x14ac:dyDescent="0.25">
      <c r="A33753" s="64" t="str">
        <f>HYPERLINK("http://www.twitter.com/thevicarswife", "thevicarswife")</f>
        <v>thevicarswife</v>
      </c>
      <c r="B33753" s="65" t="s">
        <v>9991</v>
      </c>
    </row>
    <row r="33754" spans="1:2" x14ac:dyDescent="0.25">
      <c r="A33754" s="64" t="str">
        <f>HYPERLINK("http://www.twitter.com/rod_benson", "rod_benson")</f>
        <v>rod_benson</v>
      </c>
      <c r="B33754" s="65" t="s">
        <v>4237</v>
      </c>
    </row>
    <row r="33755" spans="1:2" x14ac:dyDescent="0.25">
      <c r="A33755" s="64" t="str">
        <f>HYPERLINK("http://www.twitter.com/deafgirly", "deafgirly")</f>
        <v>deafgirly</v>
      </c>
      <c r="B33755" s="65"/>
    </row>
    <row r="33756" spans="1:2" x14ac:dyDescent="0.25">
      <c r="A33756" s="64" t="str">
        <f>HYPERLINK("http://www.twitter.com/Dougwriter", "Dougwriter")</f>
        <v>Dougwriter</v>
      </c>
      <c r="B33756" s="65" t="s">
        <v>10755</v>
      </c>
    </row>
    <row r="33757" spans="1:2" x14ac:dyDescent="0.25">
      <c r="A33757" s="64" t="str">
        <f>HYPERLINK("http://www.twitter.com/BazzaYoung", "BazzaYoung")</f>
        <v>BazzaYoung</v>
      </c>
      <c r="B33757" s="65"/>
    </row>
    <row r="33758" spans="1:2" x14ac:dyDescent="0.25">
      <c r="A33758" s="64" t="str">
        <f>HYPERLINK("http://www.twitter.com/gwenlans", "gwenlans")</f>
        <v>gwenlans</v>
      </c>
      <c r="B33758" s="65" t="s">
        <v>5727</v>
      </c>
    </row>
    <row r="33759" spans="1:2" x14ac:dyDescent="0.25">
      <c r="A33759" s="64" t="str">
        <f>HYPERLINK("http://www.twitter.com/AinsleyAlan", "AinsleyAlan")</f>
        <v>AinsleyAlan</v>
      </c>
      <c r="B33759" s="65" t="s">
        <v>70</v>
      </c>
    </row>
    <row r="33760" spans="1:2" x14ac:dyDescent="0.25">
      <c r="A33760" s="64" t="str">
        <f>HYPERLINK("http://www.twitter.com/jen4444", "jen4444")</f>
        <v>jen4444</v>
      </c>
      <c r="B33760" s="65" t="s">
        <v>138</v>
      </c>
    </row>
    <row r="33761" spans="1:2" x14ac:dyDescent="0.25">
      <c r="A33761" s="64" t="str">
        <f>HYPERLINK("http://www.twitter.com/alisoncwalsh", "alisoncwalsh")</f>
        <v>alisoncwalsh</v>
      </c>
      <c r="B33761" s="65"/>
    </row>
    <row r="33762" spans="1:2" x14ac:dyDescent="0.25">
      <c r="A33762" s="64" t="str">
        <f>HYPERLINK("http://www.twitter.com/HarryGiles", "HarryGiles")</f>
        <v>HarryGiles</v>
      </c>
      <c r="B33762" s="65" t="s">
        <v>13138</v>
      </c>
    </row>
    <row r="33763" spans="1:2" x14ac:dyDescent="0.25">
      <c r="A33763" s="64" t="str">
        <f>HYPERLINK("http://www.twitter.com/suegyford", "suegyford")</f>
        <v>suegyford</v>
      </c>
      <c r="B33763" s="65" t="s">
        <v>24</v>
      </c>
    </row>
    <row r="33764" spans="1:2" x14ac:dyDescent="0.25">
      <c r="A33764" s="64" t="str">
        <f>HYPERLINK("http://www.twitter.com/HillsLibrary", "HillsLibrary")</f>
        <v>HillsLibrary</v>
      </c>
      <c r="B33764" s="65" t="s">
        <v>13139</v>
      </c>
    </row>
    <row r="33765" spans="1:2" x14ac:dyDescent="0.25">
      <c r="A33765" s="64" t="str">
        <f>HYPERLINK("http://www.twitter.com/woodsork", "woodsork")</f>
        <v>woodsork</v>
      </c>
      <c r="B33765" s="65" t="s">
        <v>20</v>
      </c>
    </row>
    <row r="33766" spans="1:2" x14ac:dyDescent="0.25">
      <c r="A33766" s="64" t="str">
        <f>HYPERLINK("http://www.twitter.com/nochintz", "nochintz")</f>
        <v>nochintz</v>
      </c>
      <c r="B33766" s="65" t="s">
        <v>4040</v>
      </c>
    </row>
    <row r="33767" spans="1:2" x14ac:dyDescent="0.25">
      <c r="A33767" s="64" t="str">
        <f>HYPERLINK("http://www.twitter.com/JananasGold", "JananasGold")</f>
        <v>JananasGold</v>
      </c>
      <c r="B33767" s="65"/>
    </row>
    <row r="33768" spans="1:2" x14ac:dyDescent="0.25">
      <c r="A33768" s="64" t="str">
        <f>HYPERLINK("http://www.twitter.com/SteveGibbsPR", "SteveGibbsPR")</f>
        <v>SteveGibbsPR</v>
      </c>
      <c r="B33768" s="65" t="s">
        <v>13140</v>
      </c>
    </row>
    <row r="33769" spans="1:2" x14ac:dyDescent="0.25">
      <c r="A33769" s="64" t="str">
        <f>HYPERLINK("http://www.twitter.com/n_narayan", "n_narayan")</f>
        <v>n_narayan</v>
      </c>
      <c r="B33769" s="65"/>
    </row>
    <row r="33770" spans="1:2" x14ac:dyDescent="0.25">
      <c r="A33770" s="64" t="str">
        <f>HYPERLINK("http://www.twitter.com/Mandymozz", "Mandymozz")</f>
        <v>Mandymozz</v>
      </c>
      <c r="B33770" s="65" t="s">
        <v>13141</v>
      </c>
    </row>
    <row r="33771" spans="1:2" x14ac:dyDescent="0.25">
      <c r="A33771" s="64" t="str">
        <f>HYPERLINK("http://www.twitter.com/springyrice", "springyrice")</f>
        <v>springyrice</v>
      </c>
      <c r="B33771" s="65" t="s">
        <v>5045</v>
      </c>
    </row>
    <row r="33772" spans="1:2" x14ac:dyDescent="0.25">
      <c r="A33772" s="64" t="str">
        <f>HYPERLINK("http://www.twitter.com/fyreflye", "fyreflye")</f>
        <v>fyreflye</v>
      </c>
      <c r="B33772" s="65" t="s">
        <v>2580</v>
      </c>
    </row>
    <row r="33773" spans="1:2" x14ac:dyDescent="0.25">
      <c r="A33773" s="64" t="str">
        <f>HYPERLINK("http://www.twitter.com/MichaelNewbury", "MichaelNewbury")</f>
        <v>MichaelNewbury</v>
      </c>
      <c r="B33773" s="65" t="s">
        <v>5942</v>
      </c>
    </row>
    <row r="33774" spans="1:2" x14ac:dyDescent="0.25">
      <c r="A33774" s="64" t="str">
        <f>HYPERLINK("http://www.twitter.com/Darrencannan", "Darrencannan")</f>
        <v>Darrencannan</v>
      </c>
      <c r="B33774" s="65" t="s">
        <v>13142</v>
      </c>
    </row>
    <row r="33775" spans="1:2" x14ac:dyDescent="0.25">
      <c r="A33775" s="64" t="str">
        <f>HYPERLINK("http://www.twitter.com/pezholio", "pezholio")</f>
        <v>pezholio</v>
      </c>
      <c r="B33775" s="65" t="s">
        <v>13143</v>
      </c>
    </row>
    <row r="33776" spans="1:2" x14ac:dyDescent="0.25">
      <c r="A33776" s="64" t="str">
        <f>HYPERLINK("http://www.twitter.com/Skyba1982", "Skyba1982")</f>
        <v>Skyba1982</v>
      </c>
      <c r="B33776" s="65" t="s">
        <v>13144</v>
      </c>
    </row>
    <row r="33777" spans="1:2" x14ac:dyDescent="0.25">
      <c r="A33777" s="64" t="str">
        <f>HYPERLINK("http://www.twitter.com/dengelha", "dengelha")</f>
        <v>dengelha</v>
      </c>
      <c r="B33777" s="65" t="s">
        <v>4867</v>
      </c>
    </row>
    <row r="33778" spans="1:2" x14ac:dyDescent="0.25">
      <c r="A33778" s="64" t="str">
        <f>HYPERLINK("http://www.twitter.com/manxdan", "manxdan")</f>
        <v>manxdan</v>
      </c>
      <c r="B33778" s="65"/>
    </row>
    <row r="33779" spans="1:2" x14ac:dyDescent="0.25">
      <c r="A33779" s="64" t="str">
        <f>HYPERLINK("http://www.twitter.com/PaulKaneIoM", "PaulKaneIoM")</f>
        <v>PaulKaneIoM</v>
      </c>
      <c r="B33779" s="65" t="s">
        <v>5366</v>
      </c>
    </row>
    <row r="33780" spans="1:2" x14ac:dyDescent="0.25">
      <c r="A33780" s="64" t="str">
        <f>HYPERLINK("http://www.twitter.com/BugJo", "BugJo")</f>
        <v>BugJo</v>
      </c>
      <c r="B33780" s="65" t="s">
        <v>13145</v>
      </c>
    </row>
    <row r="33781" spans="1:2" x14ac:dyDescent="0.25">
      <c r="A33781" s="64" t="str">
        <f>HYPERLINK("http://www.twitter.com/franklyobsessed", "franklyobsessed")</f>
        <v>franklyobsessed</v>
      </c>
      <c r="B33781" s="65"/>
    </row>
    <row r="33782" spans="1:2" x14ac:dyDescent="0.25">
      <c r="A33782" s="64" t="str">
        <f>HYPERLINK("http://www.twitter.com/Nooshk", "Nooshk")</f>
        <v>Nooshk</v>
      </c>
      <c r="B33782" s="65" t="s">
        <v>5203</v>
      </c>
    </row>
    <row r="33783" spans="1:2" x14ac:dyDescent="0.25">
      <c r="A33783" s="64" t="str">
        <f>HYPERLINK("http://www.twitter.com/bjw920", "bjw920")</f>
        <v>bjw920</v>
      </c>
      <c r="B33783" s="65" t="s">
        <v>13146</v>
      </c>
    </row>
    <row r="33784" spans="1:2" x14ac:dyDescent="0.25">
      <c r="A33784" s="64" t="str">
        <f>HYPERLINK("http://www.twitter.com/CraigRobertson_", "CraigRobertson_")</f>
        <v>CraigRobertson_</v>
      </c>
      <c r="B33784" s="65" t="s">
        <v>13147</v>
      </c>
    </row>
    <row r="33785" spans="1:2" x14ac:dyDescent="0.25">
      <c r="A33785" s="64" t="str">
        <f>HYPERLINK("http://www.twitter.com/thecannastory", "thecannastory")</f>
        <v>thecannastory</v>
      </c>
      <c r="B33785" s="65" t="s">
        <v>517</v>
      </c>
    </row>
    <row r="33786" spans="1:2" x14ac:dyDescent="0.25">
      <c r="A33786" s="64" t="str">
        <f>HYPERLINK("http://www.twitter.com/ElinorMTaylor", "ElinorMTaylor")</f>
        <v>ElinorMTaylor</v>
      </c>
      <c r="B33786" s="65" t="s">
        <v>13148</v>
      </c>
    </row>
    <row r="33787" spans="1:2" x14ac:dyDescent="0.25">
      <c r="A33787" s="64" t="str">
        <f>HYPERLINK("http://www.twitter.com/melon_h", "melon_h")</f>
        <v>melon_h</v>
      </c>
      <c r="B33787" s="65" t="s">
        <v>5270</v>
      </c>
    </row>
    <row r="33788" spans="1:2" x14ac:dyDescent="0.25">
      <c r="A33788" s="64" t="str">
        <f>HYPERLINK("http://www.twitter.com/1965LFC", "1965LFC")</f>
        <v>1965LFC</v>
      </c>
      <c r="B33788" s="65"/>
    </row>
    <row r="33789" spans="1:2" x14ac:dyDescent="0.25">
      <c r="A33789" s="64" t="str">
        <f>HYPERLINK("http://www.twitter.com/willheigh", "willheigh")</f>
        <v>willheigh</v>
      </c>
      <c r="B33789" s="65" t="s">
        <v>13149</v>
      </c>
    </row>
    <row r="33790" spans="1:2" x14ac:dyDescent="0.25">
      <c r="A33790" s="64" t="str">
        <f>HYPERLINK("http://www.twitter.com/lizzythebrit", "lizzythebrit")</f>
        <v>lizzythebrit</v>
      </c>
      <c r="B33790" s="65"/>
    </row>
    <row r="33791" spans="1:2" x14ac:dyDescent="0.25">
      <c r="A33791" s="64" t="str">
        <f>HYPERLINK("http://www.twitter.com/ourbookrvws", "ourbookrvws")</f>
        <v>ourbookrvws</v>
      </c>
      <c r="B33791" s="65"/>
    </row>
    <row r="33792" spans="1:2" x14ac:dyDescent="0.25">
      <c r="A33792" s="64" t="str">
        <f>HYPERLINK("http://www.twitter.com/AnIdiotOnline", "AnIdiotOnline")</f>
        <v>AnIdiotOnline</v>
      </c>
      <c r="B33792" s="65"/>
    </row>
    <row r="33793" spans="1:2" x14ac:dyDescent="0.25">
      <c r="A33793" s="64" t="str">
        <f>HYPERLINK("http://www.twitter.com/scogle5499", "scogle5499")</f>
        <v>scogle5499</v>
      </c>
      <c r="B33793" s="65" t="s">
        <v>20</v>
      </c>
    </row>
    <row r="33794" spans="1:2" x14ac:dyDescent="0.25">
      <c r="A33794" s="64" t="str">
        <f>HYPERLINK("http://www.twitter.com/emmastevens", "emmastevens")</f>
        <v>emmastevens</v>
      </c>
      <c r="B33794" s="65" t="s">
        <v>13150</v>
      </c>
    </row>
    <row r="33795" spans="1:2" x14ac:dyDescent="0.25">
      <c r="A33795" s="64" t="str">
        <f>HYPERLINK("http://www.twitter.com/TheBookBarge", "TheBookBarge")</f>
        <v>TheBookBarge</v>
      </c>
      <c r="B33795" s="65" t="s">
        <v>13151</v>
      </c>
    </row>
    <row r="33796" spans="1:2" x14ac:dyDescent="0.25">
      <c r="A33796" s="64" t="str">
        <f>HYPERLINK("http://www.twitter.com/blobbyK", "blobbyK")</f>
        <v>blobbyK</v>
      </c>
      <c r="B33796" s="65"/>
    </row>
    <row r="33797" spans="1:2" x14ac:dyDescent="0.25">
      <c r="A33797" s="64" t="str">
        <f>HYPERLINK("http://www.twitter.com/CommutersTale", "CommutersTale")</f>
        <v>CommutersTale</v>
      </c>
      <c r="B33797" s="65" t="s">
        <v>4043</v>
      </c>
    </row>
    <row r="33798" spans="1:2" x14ac:dyDescent="0.25">
      <c r="A33798" s="64" t="str">
        <f>HYPERLINK("http://www.twitter.com/Sandwickman", "Sandwickman")</f>
        <v>Sandwickman</v>
      </c>
      <c r="B33798" s="65" t="s">
        <v>13152</v>
      </c>
    </row>
    <row r="33799" spans="1:2" x14ac:dyDescent="0.25">
      <c r="A33799" s="64" t="str">
        <f>HYPERLINK("http://www.twitter.com/SCBolek", "SCBolek")</f>
        <v>SCBolek</v>
      </c>
      <c r="B33799" s="65"/>
    </row>
    <row r="33800" spans="1:2" x14ac:dyDescent="0.25">
      <c r="A33800" s="64" t="str">
        <f>HYPERLINK("http://www.twitter.com/andytraining", "andytraining")</f>
        <v>andytraining</v>
      </c>
      <c r="B33800" s="65" t="s">
        <v>70</v>
      </c>
    </row>
    <row r="33801" spans="1:2" x14ac:dyDescent="0.25">
      <c r="A33801" s="64" t="str">
        <f>HYPERLINK("http://www.twitter.com/BarringtonStoke", "BarringtonStoke")</f>
        <v>BarringtonStoke</v>
      </c>
      <c r="B33801" s="65" t="s">
        <v>24</v>
      </c>
    </row>
    <row r="33802" spans="1:2" x14ac:dyDescent="0.25">
      <c r="A33802" s="64" t="str">
        <f>HYPERLINK("http://www.twitter.com/tbroon", "tbroon")</f>
        <v>tbroon</v>
      </c>
      <c r="B33802" s="65"/>
    </row>
    <row r="33803" spans="1:2" x14ac:dyDescent="0.25">
      <c r="A33803" s="64" t="str">
        <f>HYPERLINK("http://www.twitter.com/killearnan", "killearnan")</f>
        <v>killearnan</v>
      </c>
      <c r="B33803" s="65"/>
    </row>
    <row r="33804" spans="1:2" x14ac:dyDescent="0.25">
      <c r="A33804" s="64" t="str">
        <f>HYPERLINK("http://www.twitter.com/JOD45", "JOD45")</f>
        <v>JOD45</v>
      </c>
      <c r="B33804" s="65"/>
    </row>
    <row r="33805" spans="1:2" x14ac:dyDescent="0.25">
      <c r="A33805" s="64" t="str">
        <f>HYPERLINK("http://www.twitter.com/molyden3", "molyden3")</f>
        <v>molyden3</v>
      </c>
      <c r="B33805" s="65" t="s">
        <v>3395</v>
      </c>
    </row>
    <row r="33806" spans="1:2" x14ac:dyDescent="0.25">
      <c r="A33806" s="64" t="str">
        <f>HYPERLINK("http://www.twitter.com/joand7", "joand7")</f>
        <v>joand7</v>
      </c>
      <c r="B33806" s="65" t="s">
        <v>13153</v>
      </c>
    </row>
    <row r="33807" spans="1:2" x14ac:dyDescent="0.25">
      <c r="A33807" s="64" t="str">
        <f>HYPERLINK("http://www.twitter.com/Sarah111well", "Sarah111well")</f>
        <v>Sarah111well</v>
      </c>
      <c r="B33807" s="65" t="s">
        <v>1033</v>
      </c>
    </row>
    <row r="33808" spans="1:2" x14ac:dyDescent="0.25">
      <c r="A33808" s="64" t="str">
        <f>HYPERLINK("http://www.twitter.com/mikehughescq", "mikehughescq")</f>
        <v>mikehughescq</v>
      </c>
      <c r="B33808" s="65" t="s">
        <v>13154</v>
      </c>
    </row>
    <row r="33809" spans="1:2" x14ac:dyDescent="0.25">
      <c r="A33809" s="64" t="str">
        <f>HYPERLINK("http://www.twitter.com/Isilfae", "Isilfae")</f>
        <v>Isilfae</v>
      </c>
      <c r="B33809" s="65" t="s">
        <v>13155</v>
      </c>
    </row>
    <row r="33810" spans="1:2" x14ac:dyDescent="0.25">
      <c r="A33810" s="64" t="str">
        <f>HYPERLINK("http://www.twitter.com/visitorstudies", "visitorstudies")</f>
        <v>visitorstudies</v>
      </c>
      <c r="B33810" s="65"/>
    </row>
    <row r="33811" spans="1:2" x14ac:dyDescent="0.25">
      <c r="A33811" s="64" t="str">
        <f>HYPERLINK("http://www.twitter.com/taralibrara", "taralibrara")</f>
        <v>taralibrara</v>
      </c>
      <c r="B33811" s="65"/>
    </row>
    <row r="33812" spans="1:2" x14ac:dyDescent="0.25">
      <c r="A33812" s="64" t="str">
        <f>HYPERLINK("http://www.twitter.com/deeptwilight", "deeptwilight")</f>
        <v>deeptwilight</v>
      </c>
      <c r="B33812" s="65" t="s">
        <v>4275</v>
      </c>
    </row>
    <row r="33813" spans="1:2" x14ac:dyDescent="0.25">
      <c r="A33813" s="64" t="str">
        <f>HYPERLINK("http://www.twitter.com/stuartdfallon", "stuartdfallon")</f>
        <v>stuartdfallon</v>
      </c>
      <c r="B33813" s="65" t="s">
        <v>487</v>
      </c>
    </row>
    <row r="33814" spans="1:2" x14ac:dyDescent="0.25">
      <c r="A33814" s="64" t="str">
        <f>HYPERLINK("http://www.twitter.com/kelliepie", "kelliepie")</f>
        <v>kelliepie</v>
      </c>
      <c r="B33814" s="65" t="s">
        <v>67</v>
      </c>
    </row>
    <row r="33815" spans="1:2" x14ac:dyDescent="0.25">
      <c r="A33815" s="64" t="str">
        <f>HYPERLINK("http://www.twitter.com/puggy_46", "puggy_46")</f>
        <v>puggy_46</v>
      </c>
      <c r="B33815" s="65"/>
    </row>
    <row r="33816" spans="1:2" x14ac:dyDescent="0.25">
      <c r="A33816" s="64" t="str">
        <f>HYPERLINK("http://www.twitter.com/mattlibrarian", "mattlibrarian")</f>
        <v>mattlibrarian</v>
      </c>
      <c r="B33816" s="65" t="s">
        <v>13156</v>
      </c>
    </row>
    <row r="33817" spans="1:2" x14ac:dyDescent="0.25">
      <c r="A33817" s="64" t="str">
        <f>HYPERLINK("http://www.twitter.com/Dobs80", "Dobs80")</f>
        <v>Dobs80</v>
      </c>
      <c r="B33817" s="65" t="s">
        <v>5762</v>
      </c>
    </row>
    <row r="33818" spans="1:2" x14ac:dyDescent="0.25">
      <c r="A33818" s="64" t="str">
        <f>HYPERLINK("http://www.twitter.com/romandavydov", "romandavydov")</f>
        <v>romandavydov</v>
      </c>
      <c r="B33818" s="65" t="s">
        <v>4039</v>
      </c>
    </row>
    <row r="33819" spans="1:2" x14ac:dyDescent="0.25">
      <c r="A33819" s="64" t="str">
        <f>HYPERLINK("http://www.twitter.com/linde09", "linde09")</f>
        <v>linde09</v>
      </c>
      <c r="B33819" s="65" t="s">
        <v>13157</v>
      </c>
    </row>
    <row r="33820" spans="1:2" x14ac:dyDescent="0.25">
      <c r="A33820" s="64" t="str">
        <f>HYPERLINK("http://www.twitter.com/orcadia", "orcadia")</f>
        <v>orcadia</v>
      </c>
      <c r="B33820" s="65"/>
    </row>
    <row r="33821" spans="1:2" x14ac:dyDescent="0.25">
      <c r="A33821" s="64" t="str">
        <f>HYPERLINK("http://www.twitter.com/cdflibraries", "cdflibraries")</f>
        <v>cdflibraries</v>
      </c>
      <c r="B33821" s="65" t="s">
        <v>254</v>
      </c>
    </row>
    <row r="33822" spans="1:2" x14ac:dyDescent="0.25">
      <c r="A33822" s="64" t="str">
        <f>HYPERLINK("http://www.twitter.com/katesbookblog", "katesbookblog")</f>
        <v>katesbookblog</v>
      </c>
      <c r="B33822" s="65" t="s">
        <v>4681</v>
      </c>
    </row>
    <row r="33823" spans="1:2" x14ac:dyDescent="0.25">
      <c r="A33823" s="64" t="str">
        <f>HYPERLINK("http://www.twitter.com/ChrissyBichan", "ChrissyBichan")</f>
        <v>ChrissyBichan</v>
      </c>
      <c r="B33823" s="65" t="s">
        <v>20</v>
      </c>
    </row>
    <row r="33824" spans="1:2" x14ac:dyDescent="0.25">
      <c r="A33824" s="64" t="str">
        <f>HYPERLINK("http://www.twitter.com/MsDrevier", "MsDrevier")</f>
        <v>MsDrevier</v>
      </c>
      <c r="B33824" s="65"/>
    </row>
    <row r="33825" spans="1:2" x14ac:dyDescent="0.25">
      <c r="A33825" s="64" t="str">
        <f>HYPERLINK("http://www.twitter.com/BrentCulture", "BrentCulture")</f>
        <v>BrentCulture</v>
      </c>
      <c r="B33825" s="65" t="s">
        <v>36</v>
      </c>
    </row>
    <row r="33826" spans="1:2" x14ac:dyDescent="0.25">
      <c r="A33826" s="64" t="str">
        <f>HYPERLINK("http://www.twitter.com/christabel_g", "christabel_g")</f>
        <v>christabel_g</v>
      </c>
      <c r="B33826" s="65" t="s">
        <v>138</v>
      </c>
    </row>
    <row r="33827" spans="1:2" x14ac:dyDescent="0.25">
      <c r="A33827" s="64" t="str">
        <f>HYPERLINK("http://www.twitter.com/fiemberton", "fiemberton")</f>
        <v>fiemberton</v>
      </c>
      <c r="B33827" s="65" t="s">
        <v>5029</v>
      </c>
    </row>
    <row r="33828" spans="1:2" x14ac:dyDescent="0.25">
      <c r="A33828" s="64" t="str">
        <f>HYPERLINK("http://www.twitter.com/Cribbaquoy", "Cribbaquoy")</f>
        <v>Cribbaquoy</v>
      </c>
      <c r="B33828" s="65"/>
    </row>
    <row r="33829" spans="1:2" x14ac:dyDescent="0.25">
      <c r="A33829" s="64" t="str">
        <f>HYPERLINK("http://www.twitter.com/Liverpoollib", "Liverpoollib")</f>
        <v>Liverpoollib</v>
      </c>
      <c r="B33829" s="65" t="s">
        <v>307</v>
      </c>
    </row>
    <row r="33830" spans="1:2" x14ac:dyDescent="0.25">
      <c r="A33830" s="64" t="str">
        <f>HYPERLINK("http://www.twitter.com/nedtrifle", "nedtrifle")</f>
        <v>nedtrifle</v>
      </c>
      <c r="B33830" s="65" t="s">
        <v>6135</v>
      </c>
    </row>
    <row r="33831" spans="1:2" x14ac:dyDescent="0.25">
      <c r="A33831" s="64" t="str">
        <f>HYPERLINK("http://www.twitter.com/lloydkinsella", "lloydkinsella")</f>
        <v>lloydkinsella</v>
      </c>
      <c r="B33831" s="65" t="s">
        <v>296</v>
      </c>
    </row>
    <row r="33832" spans="1:2" x14ac:dyDescent="0.25">
      <c r="A33832" s="64" t="str">
        <f>HYPERLINK("http://www.twitter.com/PopChick77", "PopChick77")</f>
        <v>PopChick77</v>
      </c>
      <c r="B33832" s="65"/>
    </row>
    <row r="33833" spans="1:2" x14ac:dyDescent="0.25">
      <c r="A33833" s="64" t="str">
        <f>HYPERLINK("http://www.twitter.com/nclroblib", "nclroblib")</f>
        <v>nclroblib</v>
      </c>
      <c r="B33833" s="65" t="s">
        <v>361</v>
      </c>
    </row>
    <row r="33834" spans="1:2" x14ac:dyDescent="0.25">
      <c r="A33834" s="64" t="str">
        <f>HYPERLINK("http://www.twitter.com/twitlaz09", "twitlaz09")</f>
        <v>twitlaz09</v>
      </c>
      <c r="B33834" s="65" t="s">
        <v>4136</v>
      </c>
    </row>
    <row r="33835" spans="1:2" x14ac:dyDescent="0.25">
      <c r="A33835" s="64" t="str">
        <f>HYPERLINK("http://www.twitter.com/geni", "geni")</f>
        <v>geni</v>
      </c>
      <c r="B33835" s="65" t="s">
        <v>4193</v>
      </c>
    </row>
    <row r="33836" spans="1:2" x14ac:dyDescent="0.25">
      <c r="A33836" s="64" t="str">
        <f>HYPERLINK("http://www.twitter.com/JaimeFrost", "JaimeFrost")</f>
        <v>JaimeFrost</v>
      </c>
      <c r="B33836" s="65" t="s">
        <v>36</v>
      </c>
    </row>
    <row r="33837" spans="1:2" x14ac:dyDescent="0.25">
      <c r="A33837" s="64" t="str">
        <f>HYPERLINK("http://www.twitter.com/daisymap", "daisymap")</f>
        <v>daisymap</v>
      </c>
      <c r="B33837" s="65" t="s">
        <v>36</v>
      </c>
    </row>
    <row r="33838" spans="1:2" x14ac:dyDescent="0.25">
      <c r="A33838" s="64" t="str">
        <f>HYPERLINK("http://www.twitter.com/pamela_sunshine", "pamela_sunshine")</f>
        <v>pamela_sunshine</v>
      </c>
      <c r="B33838" s="65" t="s">
        <v>13158</v>
      </c>
    </row>
    <row r="33839" spans="1:2" x14ac:dyDescent="0.25">
      <c r="A33839" s="64" t="str">
        <f>HYPERLINK("http://www.twitter.com/Sam_Osman_Books", "Sam_Osman_Books")</f>
        <v>Sam_Osman_Books</v>
      </c>
      <c r="B33839" s="65" t="s">
        <v>13159</v>
      </c>
    </row>
    <row r="33840" spans="1:2" x14ac:dyDescent="0.25">
      <c r="A33840" s="64" t="str">
        <f>HYPERLINK("http://www.twitter.com/dstitch", "dstitch")</f>
        <v>dstitch</v>
      </c>
      <c r="B33840" s="65"/>
    </row>
    <row r="33841" spans="1:2" x14ac:dyDescent="0.25">
      <c r="A33841" s="64" t="str">
        <f>HYPERLINK("http://www.twitter.com/Publishedworld", "Publishedworld")</f>
        <v>Publishedworld</v>
      </c>
      <c r="B33841" s="65" t="s">
        <v>36</v>
      </c>
    </row>
    <row r="33842" spans="1:2" x14ac:dyDescent="0.25">
      <c r="A33842" s="64" t="str">
        <f>HYPERLINK("http://www.twitter.com/PaperHazell", "PaperHazell")</f>
        <v>PaperHazell</v>
      </c>
      <c r="B33842" s="65" t="s">
        <v>13160</v>
      </c>
    </row>
    <row r="33843" spans="1:2" x14ac:dyDescent="0.25">
      <c r="A33843" s="64" t="str">
        <f>HYPERLINK("http://www.twitter.com/Ivahhome", "Ivahhome")</f>
        <v>Ivahhome</v>
      </c>
      <c r="B33843" s="65"/>
    </row>
    <row r="33844" spans="1:2" x14ac:dyDescent="0.25">
      <c r="A33844" s="64" t="str">
        <f>HYPERLINK("http://www.twitter.com/EmmaRitch", "EmmaRitch")</f>
        <v>EmmaRitch</v>
      </c>
      <c r="B33844" s="65" t="s">
        <v>138</v>
      </c>
    </row>
    <row r="33845" spans="1:2" x14ac:dyDescent="0.25">
      <c r="A33845" s="64" t="str">
        <f>HYPERLINK("http://www.twitter.com/uhmclibrary", "uhmclibrary")</f>
        <v>uhmclibrary</v>
      </c>
      <c r="B33845" s="65" t="s">
        <v>3873</v>
      </c>
    </row>
    <row r="33846" spans="1:2" x14ac:dyDescent="0.25">
      <c r="A33846" s="64" t="str">
        <f>HYPERLINK("http://www.twitter.com/NatalieMRendall", "NatalieMRendall")</f>
        <v>NatalieMRendall</v>
      </c>
      <c r="B33846" s="65" t="s">
        <v>4019</v>
      </c>
    </row>
    <row r="33847" spans="1:2" x14ac:dyDescent="0.25">
      <c r="A33847" s="64" t="str">
        <f>HYPERLINK("http://www.twitter.com/Cathsid2", "Cathsid2")</f>
        <v>Cathsid2</v>
      </c>
      <c r="B33847" s="65"/>
    </row>
    <row r="33848" spans="1:2" x14ac:dyDescent="0.25">
      <c r="A33848" s="64" t="str">
        <f>HYPERLINK("http://www.twitter.com/suziedoore", "suziedoore")</f>
        <v>suziedoore</v>
      </c>
      <c r="B33848" s="65" t="s">
        <v>7165</v>
      </c>
    </row>
    <row r="33849" spans="1:2" x14ac:dyDescent="0.25">
      <c r="A33849" s="64" t="str">
        <f>HYPERLINK("http://www.twitter.com/librarymust", "librarymust")</f>
        <v>librarymust</v>
      </c>
      <c r="B33849" s="65" t="s">
        <v>13161</v>
      </c>
    </row>
    <row r="33850" spans="1:2" x14ac:dyDescent="0.25">
      <c r="A33850" s="64" t="str">
        <f>HYPERLINK("http://www.twitter.com/GraceAliceEllen", "GraceAliceEllen")</f>
        <v>GraceAliceEllen</v>
      </c>
      <c r="B33850" s="65"/>
    </row>
    <row r="33851" spans="1:2" x14ac:dyDescent="0.25">
      <c r="A33851" s="64" t="str">
        <f>HYPERLINK("http://www.twitter.com/MrsTrevithick", "MrsTrevithick")</f>
        <v>MrsTrevithick</v>
      </c>
      <c r="B33851" s="65" t="s">
        <v>5045</v>
      </c>
    </row>
    <row r="33852" spans="1:2" x14ac:dyDescent="0.25">
      <c r="A33852" s="64" t="str">
        <f>HYPERLINK("http://www.twitter.com/blkmini01", "blkmini01")</f>
        <v>blkmini01</v>
      </c>
      <c r="B33852" s="65" t="s">
        <v>296</v>
      </c>
    </row>
    <row r="33853" spans="1:2" x14ac:dyDescent="0.25">
      <c r="A33853" s="64" t="str">
        <f>HYPERLINK("http://www.twitter.com/tinaturntables", "tinaturntables")</f>
        <v>tinaturntables</v>
      </c>
      <c r="B33853" s="65" t="s">
        <v>6946</v>
      </c>
    </row>
    <row r="33854" spans="1:2" x14ac:dyDescent="0.25">
      <c r="A33854" s="64" t="str">
        <f>HYPERLINK("http://www.twitter.com/mudiek", "mudiek")</f>
        <v>mudiek</v>
      </c>
      <c r="B33854" s="65" t="s">
        <v>36</v>
      </c>
    </row>
    <row r="33855" spans="1:2" x14ac:dyDescent="0.25">
      <c r="A33855" s="64" t="str">
        <f>HYPERLINK("http://www.twitter.com/DianeYule", "DianeYule")</f>
        <v>DianeYule</v>
      </c>
      <c r="B33855" s="65"/>
    </row>
    <row r="33856" spans="1:2" x14ac:dyDescent="0.25">
      <c r="A33856" s="64" t="str">
        <f>HYPERLINK("http://www.twitter.com/nlwlsn", "nlwlsn")</f>
        <v>nlwlsn</v>
      </c>
      <c r="B33856" s="65" t="s">
        <v>8385</v>
      </c>
    </row>
    <row r="33857" spans="1:2" x14ac:dyDescent="0.25">
      <c r="A33857" s="64" t="str">
        <f>HYPERLINK("http://www.twitter.com/JaniceForsyth", "JaniceForsyth")</f>
        <v>JaniceForsyth</v>
      </c>
      <c r="B33857" s="65" t="s">
        <v>8177</v>
      </c>
    </row>
    <row r="33858" spans="1:2" x14ac:dyDescent="0.25">
      <c r="A33858" s="64" t="str">
        <f>HYPERLINK("http://www.twitter.com/WildAboutWilde_", "WildAboutWilde_")</f>
        <v>WildAboutWilde_</v>
      </c>
      <c r="B33858" s="65"/>
    </row>
    <row r="33859" spans="1:2" x14ac:dyDescent="0.25">
      <c r="A33859" s="64" t="str">
        <f>HYPERLINK("http://www.twitter.com/moverandgroover", "moverandgroover")</f>
        <v>moverandgroover</v>
      </c>
      <c r="B33859" s="65" t="s">
        <v>1098</v>
      </c>
    </row>
    <row r="33860" spans="1:2" x14ac:dyDescent="0.25">
      <c r="A33860" s="64" t="str">
        <f>HYPERLINK("http://www.twitter.com/MathomHouser", "MathomHouser")</f>
        <v>MathomHouser</v>
      </c>
      <c r="B33860" s="65" t="s">
        <v>427</v>
      </c>
    </row>
    <row r="33861" spans="1:2" x14ac:dyDescent="0.25">
      <c r="A33861" s="64" t="str">
        <f>HYPERLINK("http://www.twitter.com/OpusOneDining", "OpusOneDining")</f>
        <v>OpusOneDining</v>
      </c>
      <c r="B33861" s="65" t="s">
        <v>13162</v>
      </c>
    </row>
    <row r="33862" spans="1:2" x14ac:dyDescent="0.25">
      <c r="A33862" s="64" t="str">
        <f>HYPERLINK("http://www.twitter.com/PadPad", "PadPad")</f>
        <v>PadPad</v>
      </c>
      <c r="B33862" s="65" t="s">
        <v>138</v>
      </c>
    </row>
    <row r="33863" spans="1:2" x14ac:dyDescent="0.25">
      <c r="A33863" s="64" t="str">
        <f>HYPERLINK("http://www.twitter.com/politic_animal", "politic_animal")</f>
        <v>politic_animal</v>
      </c>
      <c r="B33863" s="65" t="s">
        <v>36</v>
      </c>
    </row>
    <row r="33864" spans="1:2" x14ac:dyDescent="0.25">
      <c r="A33864" s="64" t="str">
        <f>HYPERLINK("http://www.twitter.com/thoroughlygood", "thoroughlygood")</f>
        <v>thoroughlygood</v>
      </c>
      <c r="B33864" s="65" t="s">
        <v>387</v>
      </c>
    </row>
    <row r="33865" spans="1:2" x14ac:dyDescent="0.25">
      <c r="A33865" s="64" t="str">
        <f>HYPERLINK("http://www.twitter.com/TheakstonsCrime", "TheakstonsCrime")</f>
        <v>TheakstonsCrime</v>
      </c>
      <c r="B33865" s="65" t="s">
        <v>70</v>
      </c>
    </row>
    <row r="33866" spans="1:2" x14ac:dyDescent="0.25">
      <c r="A33866" s="64" t="str">
        <f>HYPERLINK("http://www.twitter.com/agm4", "agm4")</f>
        <v>agm4</v>
      </c>
      <c r="B33866" s="65" t="s">
        <v>13163</v>
      </c>
    </row>
    <row r="33867" spans="1:2" x14ac:dyDescent="0.25">
      <c r="A33867" s="64" t="str">
        <f>HYPERLINK("http://www.twitter.com/ntakeproducts", "ntakeproducts")</f>
        <v>ntakeproducts</v>
      </c>
      <c r="B33867" s="65" t="s">
        <v>13164</v>
      </c>
    </row>
    <row r="33868" spans="1:2" x14ac:dyDescent="0.25">
      <c r="A33868" s="64" t="str">
        <f>HYPERLINK("http://www.twitter.com/KathrynHannan", "KathrynHannan")</f>
        <v>KathrynHannan</v>
      </c>
      <c r="B33868" s="65" t="s">
        <v>36</v>
      </c>
    </row>
    <row r="33869" spans="1:2" x14ac:dyDescent="0.25">
      <c r="A33869" s="64" t="str">
        <f>HYPERLINK("http://www.twitter.com/kegrad", "kegrad")</f>
        <v>kegrad</v>
      </c>
      <c r="B33869" s="65"/>
    </row>
    <row r="33870" spans="1:2" x14ac:dyDescent="0.25">
      <c r="A33870" s="64" t="str">
        <f>HYPERLINK("http://www.twitter.com/VacationScot", "VacationScot")</f>
        <v>VacationScot</v>
      </c>
      <c r="B33870" s="65" t="s">
        <v>4867</v>
      </c>
    </row>
    <row r="33871" spans="1:2" x14ac:dyDescent="0.25">
      <c r="A33871" s="64" t="str">
        <f>HYPERLINK("http://www.twitter.com/slaeurope", "slaeurope")</f>
        <v>slaeurope</v>
      </c>
      <c r="B33871" s="65" t="s">
        <v>4862</v>
      </c>
    </row>
    <row r="33872" spans="1:2" x14ac:dyDescent="0.25">
      <c r="A33872" s="64" t="str">
        <f>HYPERLINK("http://www.twitter.com/Exiled_to_Oban", "Exiled_to_Oban")</f>
        <v>Exiled_to_Oban</v>
      </c>
      <c r="B33872" s="65" t="s">
        <v>13165</v>
      </c>
    </row>
    <row r="33873" spans="1:2" x14ac:dyDescent="0.25">
      <c r="A33873" s="64" t="str">
        <f>HYPERLINK("http://www.twitter.com/Whatsonscotland", "Whatsonscotland")</f>
        <v>Whatsonscotland</v>
      </c>
      <c r="B33873" s="65" t="s">
        <v>13166</v>
      </c>
    </row>
    <row r="33874" spans="1:2" x14ac:dyDescent="0.25">
      <c r="A33874" s="64" t="str">
        <f>HYPERLINK("http://www.twitter.com/kevobain", "kevobain")</f>
        <v>kevobain</v>
      </c>
      <c r="B33874" s="65" t="s">
        <v>20</v>
      </c>
    </row>
    <row r="33875" spans="1:2" x14ac:dyDescent="0.25">
      <c r="A33875" s="64" t="str">
        <f>HYPERLINK("http://www.twitter.com/tusang84", "tusang84")</f>
        <v>tusang84</v>
      </c>
      <c r="B33875" s="65" t="s">
        <v>4327</v>
      </c>
    </row>
    <row r="33876" spans="1:2" x14ac:dyDescent="0.25">
      <c r="A33876" s="64" t="str">
        <f>HYPERLINK("http://www.twitter.com/duckingfabulous", "duckingfabulous")</f>
        <v>duckingfabulous</v>
      </c>
      <c r="B33876" s="65" t="s">
        <v>13167</v>
      </c>
    </row>
    <row r="33877" spans="1:2" x14ac:dyDescent="0.25">
      <c r="A33877" s="64" t="str">
        <f>HYPERLINK("http://www.twitter.com/tjbuckle", "tjbuckle")</f>
        <v>tjbuckle</v>
      </c>
      <c r="B33877" s="65"/>
    </row>
    <row r="33878" spans="1:2" x14ac:dyDescent="0.25">
      <c r="A33878" s="64" t="str">
        <f>HYPERLINK("http://www.twitter.com/ambrosia0807", "ambrosia0807")</f>
        <v>ambrosia0807</v>
      </c>
      <c r="B33878" s="65"/>
    </row>
    <row r="33879" spans="1:2" x14ac:dyDescent="0.25">
      <c r="A33879" s="64" t="str">
        <f>HYPERLINK("http://www.twitter.com/KirkleesLibrary", "KirkleesLibrary")</f>
        <v>KirkleesLibrary</v>
      </c>
      <c r="B33879" s="65" t="s">
        <v>409</v>
      </c>
    </row>
    <row r="33880" spans="1:2" x14ac:dyDescent="0.25">
      <c r="A33880" s="64" t="str">
        <f>HYPERLINK("http://www.twitter.com/LSislands", "LSislands")</f>
        <v>LSislands</v>
      </c>
      <c r="B33880" s="65" t="s">
        <v>70</v>
      </c>
    </row>
    <row r="33881" spans="1:2" x14ac:dyDescent="0.25">
      <c r="A33881" s="64" t="str">
        <f>HYPERLINK("http://www.twitter.com/DuncanFMackay", "DuncanFMackay")</f>
        <v>DuncanFMackay</v>
      </c>
      <c r="B33881" s="65" t="s">
        <v>3040</v>
      </c>
    </row>
    <row r="33882" spans="1:2" x14ac:dyDescent="0.25">
      <c r="A33882" s="64" t="str">
        <f>HYPERLINK("http://www.twitter.com/liz_jolly", "liz_jolly")</f>
        <v>liz_jolly</v>
      </c>
      <c r="B33882" s="65"/>
    </row>
    <row r="33883" spans="1:2" x14ac:dyDescent="0.25">
      <c r="A33883" s="64" t="str">
        <f>HYPERLINK("http://www.twitter.com/cflint03", "cflint03")</f>
        <v>cflint03</v>
      </c>
      <c r="B33883" s="65"/>
    </row>
    <row r="33884" spans="1:2" x14ac:dyDescent="0.25">
      <c r="A33884" s="64" t="str">
        <f>HYPERLINK("http://www.twitter.com/joehealy1971", "joehealy1971")</f>
        <v>joehealy1971</v>
      </c>
      <c r="B33884" s="65"/>
    </row>
    <row r="33885" spans="1:2" x14ac:dyDescent="0.25">
      <c r="A33885" s="64" t="str">
        <f>HYPERLINK("http://www.twitter.com/QuadRoyal", "QuadRoyal")</f>
        <v>QuadRoyal</v>
      </c>
      <c r="B33885" s="65"/>
    </row>
    <row r="33886" spans="1:2" x14ac:dyDescent="0.25">
      <c r="A33886" s="64" t="str">
        <f>HYPERLINK("http://www.twitter.com/danbutcher86", "danbutcher86")</f>
        <v>danbutcher86</v>
      </c>
      <c r="B33886" s="65" t="s">
        <v>13168</v>
      </c>
    </row>
    <row r="33887" spans="1:2" x14ac:dyDescent="0.25">
      <c r="A33887" s="64" t="str">
        <f>HYPERLINK("http://www.twitter.com/fedbybirds", "fedbybirds")</f>
        <v>fedbybirds</v>
      </c>
      <c r="B33887" s="65" t="s">
        <v>36</v>
      </c>
    </row>
    <row r="33888" spans="1:2" x14ac:dyDescent="0.25">
      <c r="A33888" s="64" t="str">
        <f>HYPERLINK("http://www.twitter.com/claireatggbaker", "claireatggbaker")</f>
        <v>claireatggbaker</v>
      </c>
      <c r="B33888" s="65" t="s">
        <v>4854</v>
      </c>
    </row>
    <row r="33889" spans="1:2" x14ac:dyDescent="0.25">
      <c r="A33889" s="64" t="str">
        <f>HYPERLINK("http://www.twitter.com/gbrannanarchive", "gbrannanarchive")</f>
        <v>gbrannanarchive</v>
      </c>
      <c r="B33889" s="65" t="s">
        <v>1537</v>
      </c>
    </row>
    <row r="33890" spans="1:2" x14ac:dyDescent="0.25">
      <c r="A33890" s="64" t="str">
        <f>HYPERLINK("http://www.twitter.com/writerlas", "writerlas")</f>
        <v>writerlas</v>
      </c>
      <c r="B33890" s="65" t="s">
        <v>138</v>
      </c>
    </row>
    <row r="33891" spans="1:2" x14ac:dyDescent="0.25">
      <c r="A33891" s="64" t="str">
        <f>HYPERLINK("http://www.twitter.com/allyd70", "allyd70")</f>
        <v>allyd70</v>
      </c>
      <c r="B33891" s="65" t="s">
        <v>13169</v>
      </c>
    </row>
    <row r="33892" spans="1:2" x14ac:dyDescent="0.25">
      <c r="A33892" s="64" t="str">
        <f>HYPERLINK("http://www.twitter.com/stuart1986", "stuart1986")</f>
        <v>stuart1986</v>
      </c>
      <c r="B33892" s="65" t="s">
        <v>13170</v>
      </c>
    </row>
    <row r="33893" spans="1:2" x14ac:dyDescent="0.25">
      <c r="A33893" s="64" t="str">
        <f>HYPERLINK("http://www.twitter.com/BronaghHopes", "BronaghHopes")</f>
        <v>BronaghHopes</v>
      </c>
      <c r="B33893" s="65" t="s">
        <v>318</v>
      </c>
    </row>
    <row r="33894" spans="1:2" x14ac:dyDescent="0.25">
      <c r="A33894" s="64" t="str">
        <f>HYPERLINK("http://www.twitter.com/Chris_Sinclair_", "Chris_Sinclair_")</f>
        <v>Chris_Sinclair_</v>
      </c>
      <c r="B33894" s="65"/>
    </row>
    <row r="33895" spans="1:2" x14ac:dyDescent="0.25">
      <c r="A33895" s="64" t="str">
        <f>HYPERLINK("http://www.twitter.com/GirlDelayed", "GirlDelayed")</f>
        <v>GirlDelayed</v>
      </c>
      <c r="B33895" s="65" t="s">
        <v>13171</v>
      </c>
    </row>
    <row r="33896" spans="1:2" x14ac:dyDescent="0.25">
      <c r="A33896" s="64" t="str">
        <f>HYPERLINK("http://www.twitter.com/PercyBysshe", "PercyBysshe")</f>
        <v>PercyBysshe</v>
      </c>
      <c r="B33896" s="65"/>
    </row>
    <row r="33897" spans="1:2" x14ac:dyDescent="0.25">
      <c r="A33897" s="64" t="str">
        <f>HYPERLINK("http://www.twitter.com/huwdg", "huwdg")</f>
        <v>huwdg</v>
      </c>
      <c r="B33897" s="65" t="s">
        <v>13172</v>
      </c>
    </row>
    <row r="33898" spans="1:2" x14ac:dyDescent="0.25">
      <c r="A33898" s="64" t="str">
        <f>HYPERLINK("http://www.twitter.com/LindsayWallace", "LindsayWallace")</f>
        <v>LindsayWallace</v>
      </c>
      <c r="B33898" s="65" t="s">
        <v>1135</v>
      </c>
    </row>
    <row r="33899" spans="1:2" x14ac:dyDescent="0.25">
      <c r="A33899" s="64" t="str">
        <f>HYPERLINK("http://www.twitter.com/PaulBlezard", "PaulBlezard")</f>
        <v>PaulBlezard</v>
      </c>
      <c r="B33899" s="65" t="s">
        <v>5006</v>
      </c>
    </row>
    <row r="33900" spans="1:2" x14ac:dyDescent="0.25">
      <c r="A33900" s="64" t="str">
        <f>HYPERLINK("http://www.twitter.com/wiblick", "wiblick")</f>
        <v>wiblick</v>
      </c>
      <c r="B33900" s="65" t="s">
        <v>4254</v>
      </c>
    </row>
    <row r="33901" spans="1:2" x14ac:dyDescent="0.25">
      <c r="A33901" s="64" t="str">
        <f>HYPERLINK("http://www.twitter.com/LizWalkleyHall", "LizWalkleyHall")</f>
        <v>LizWalkleyHall</v>
      </c>
      <c r="B33901" s="65" t="s">
        <v>8688</v>
      </c>
    </row>
    <row r="33902" spans="1:2" x14ac:dyDescent="0.25">
      <c r="A33902" s="64" t="str">
        <f>HYPERLINK("http://www.twitter.com/WoodsieGirl", "WoodsieGirl")</f>
        <v>WoodsieGirl</v>
      </c>
      <c r="B33902" s="65" t="s">
        <v>773</v>
      </c>
    </row>
    <row r="33903" spans="1:2" x14ac:dyDescent="0.25">
      <c r="A33903" s="64" t="str">
        <f>HYPERLINK("http://www.twitter.com/jhveldkamp", "jhveldkamp")</f>
        <v>jhveldkamp</v>
      </c>
      <c r="B33903" s="65" t="s">
        <v>13173</v>
      </c>
    </row>
    <row r="33904" spans="1:2" x14ac:dyDescent="0.25">
      <c r="A33904" s="64" t="str">
        <f>HYPERLINK("http://www.twitter.com/dejamesolito", "dejamesolito")</f>
        <v>dejamesolito</v>
      </c>
      <c r="B33904" s="65" t="s">
        <v>13174</v>
      </c>
    </row>
    <row r="33905" spans="1:2" x14ac:dyDescent="0.25">
      <c r="A33905" s="64" t="str">
        <f>HYPERLINK("http://www.twitter.com/FictUncovered", "FictUncovered")</f>
        <v>FictUncovered</v>
      </c>
      <c r="B33905" s="65" t="s">
        <v>110</v>
      </c>
    </row>
    <row r="33906" spans="1:2" x14ac:dyDescent="0.25">
      <c r="A33906" s="64" t="str">
        <f>HYPERLINK("http://www.twitter.com/Mallimak", "Mallimak")</f>
        <v>Mallimak</v>
      </c>
      <c r="B33906" s="65" t="s">
        <v>20</v>
      </c>
    </row>
    <row r="33907" spans="1:2" x14ac:dyDescent="0.25">
      <c r="A33907" s="64" t="str">
        <f>HYPERLINK("http://www.twitter.com/pat2pattern", "pat2pattern")</f>
        <v>pat2pattern</v>
      </c>
      <c r="B33907" s="65" t="s">
        <v>13175</v>
      </c>
    </row>
    <row r="33908" spans="1:2" x14ac:dyDescent="0.25">
      <c r="A33908" s="64" t="str">
        <f>HYPERLINK("http://www.twitter.com/Smartmaniak", "Smartmaniak")</f>
        <v>Smartmaniak</v>
      </c>
      <c r="B33908" s="65" t="s">
        <v>20</v>
      </c>
    </row>
    <row r="33909" spans="1:2" x14ac:dyDescent="0.25">
      <c r="A33909" s="64" t="str">
        <f>HYPERLINK("http://www.twitter.com/FrockLobsta", "FrockLobsta")</f>
        <v>FrockLobsta</v>
      </c>
      <c r="B33909" s="65" t="s">
        <v>13176</v>
      </c>
    </row>
    <row r="33910" spans="1:2" x14ac:dyDescent="0.25">
      <c r="A33910" s="64" t="str">
        <f>HYPERLINK("http://www.twitter.com/gfresh81", "gfresh81")</f>
        <v>gfresh81</v>
      </c>
      <c r="B33910" s="65" t="s">
        <v>514</v>
      </c>
    </row>
    <row r="33911" spans="1:2" x14ac:dyDescent="0.25">
      <c r="A33911" s="64" t="str">
        <f>HYPERLINK("http://www.twitter.com/andytgeezer", "andytgeezer")</f>
        <v>andytgeezer</v>
      </c>
      <c r="B33911" s="65" t="s">
        <v>13177</v>
      </c>
    </row>
    <row r="33912" spans="1:2" x14ac:dyDescent="0.25">
      <c r="A33912" s="64" t="str">
        <f>HYPERLINK("http://www.twitter.com/lifetrainee", "lifetrainee")</f>
        <v>lifetrainee</v>
      </c>
      <c r="B33912" s="65" t="s">
        <v>13178</v>
      </c>
    </row>
    <row r="33913" spans="1:2" x14ac:dyDescent="0.25">
      <c r="A33913" s="64" t="str">
        <f>HYPERLINK("http://www.twitter.com/rachelalmost", "rachelalmost")</f>
        <v>rachelalmost</v>
      </c>
      <c r="B33913" s="65" t="s">
        <v>8635</v>
      </c>
    </row>
    <row r="33914" spans="1:2" x14ac:dyDescent="0.25">
      <c r="A33914" s="64" t="str">
        <f>HYPERLINK("http://www.twitter.com/andyjameshicks", "andyjameshicks")</f>
        <v>andyjameshicks</v>
      </c>
      <c r="B33914" s="65" t="s">
        <v>13179</v>
      </c>
    </row>
    <row r="33915" spans="1:2" x14ac:dyDescent="0.25">
      <c r="A33915" s="64" t="str">
        <f>HYPERLINK("http://www.twitter.com/Haz2886", "Haz2886")</f>
        <v>Haz2886</v>
      </c>
      <c r="B33915" s="65" t="s">
        <v>4840</v>
      </c>
    </row>
    <row r="33916" spans="1:2" x14ac:dyDescent="0.25">
      <c r="A33916" s="64" t="str">
        <f>HYPERLINK("http://www.twitter.com/marshables", "marshables")</f>
        <v>marshables</v>
      </c>
      <c r="B33916" s="65" t="s">
        <v>889</v>
      </c>
    </row>
    <row r="33917" spans="1:2" x14ac:dyDescent="0.25">
      <c r="A33917" s="64" t="str">
        <f>HYPERLINK("http://www.twitter.com/7Stories", "7Stories")</f>
        <v>7Stories</v>
      </c>
      <c r="B33917" s="65" t="s">
        <v>5891</v>
      </c>
    </row>
    <row r="33918" spans="1:2" x14ac:dyDescent="0.25">
      <c r="A33918" s="64" t="str">
        <f>HYPERLINK("http://www.twitter.com/HelenDonald", "HelenDonald")</f>
        <v>HelenDonald</v>
      </c>
      <c r="B33918" s="65" t="s">
        <v>93</v>
      </c>
    </row>
    <row r="33919" spans="1:2" x14ac:dyDescent="0.25">
      <c r="A33919" s="64" t="str">
        <f>HYPERLINK("http://www.twitter.com/BCechoes", "BCechoes")</f>
        <v>BCechoes</v>
      </c>
      <c r="B33919" s="65" t="s">
        <v>12215</v>
      </c>
    </row>
    <row r="33920" spans="1:2" x14ac:dyDescent="0.25">
      <c r="A33920" s="64" t="str">
        <f>HYPERLINK("http://www.twitter.com/littlepig1", "littlepig1")</f>
        <v>littlepig1</v>
      </c>
      <c r="B33920" s="65" t="s">
        <v>13180</v>
      </c>
    </row>
    <row r="33921" spans="1:2" x14ac:dyDescent="0.25">
      <c r="A33921" s="64" t="str">
        <f>HYPERLINK("http://www.twitter.com/lancspublib", "lancspublib")</f>
        <v>lancspublib</v>
      </c>
      <c r="B33921" s="65" t="s">
        <v>147</v>
      </c>
    </row>
    <row r="33922" spans="1:2" x14ac:dyDescent="0.25">
      <c r="A33922" s="64" t="str">
        <f>HYPERLINK("http://www.twitter.com/loves_history", "loves_history")</f>
        <v>loves_history</v>
      </c>
      <c r="B33922" s="65" t="s">
        <v>296</v>
      </c>
    </row>
    <row r="33923" spans="1:2" x14ac:dyDescent="0.25">
      <c r="A33923" s="64" t="str">
        <f>HYPERLINK("http://www.twitter.com/DebraOswald", "DebraOswald")</f>
        <v>DebraOswald</v>
      </c>
      <c r="B33923" s="65"/>
    </row>
    <row r="33924" spans="1:2" x14ac:dyDescent="0.25">
      <c r="A33924" s="64" t="str">
        <f>HYPERLINK("http://www.twitter.com/daisyartichoke", "daisyartichoke")</f>
        <v>daisyartichoke</v>
      </c>
      <c r="B33924" s="65" t="s">
        <v>13181</v>
      </c>
    </row>
    <row r="33925" spans="1:2" x14ac:dyDescent="0.25">
      <c r="A33925" s="64" t="str">
        <f>HYPERLINK("http://www.twitter.com/womenslibrary", "womenslibrary")</f>
        <v>womenslibrary</v>
      </c>
      <c r="B33925" s="65" t="s">
        <v>99</v>
      </c>
    </row>
    <row r="33926" spans="1:2" x14ac:dyDescent="0.25">
      <c r="A33926" s="64" t="str">
        <f>HYPERLINK("http://www.twitter.com/PeteMidge", "PeteMidge")</f>
        <v>PeteMidge</v>
      </c>
      <c r="B33926" s="65"/>
    </row>
    <row r="33927" spans="1:2" x14ac:dyDescent="0.25">
      <c r="A33927" s="64" t="str">
        <f>HYPERLINK("http://www.twitter.com/NigelTPacker", "NigelTPacker")</f>
        <v>NigelTPacker</v>
      </c>
      <c r="B33927" s="65" t="s">
        <v>296</v>
      </c>
    </row>
    <row r="33928" spans="1:2" x14ac:dyDescent="0.25">
      <c r="A33928" s="64" t="str">
        <f>HYPERLINK("http://www.twitter.com/FionaGrahame", "FionaGrahame")</f>
        <v>FionaGrahame</v>
      </c>
      <c r="B33928" s="65" t="s">
        <v>13182</v>
      </c>
    </row>
    <row r="33929" spans="1:2" x14ac:dyDescent="0.25">
      <c r="A33929" s="64" t="str">
        <f>HYPERLINK("http://www.twitter.com/veryfarnorth", "veryfarnorth")</f>
        <v>veryfarnorth</v>
      </c>
      <c r="B33929" s="65" t="s">
        <v>20</v>
      </c>
    </row>
    <row r="33930" spans="1:2" x14ac:dyDescent="0.25">
      <c r="A33930" s="64" t="str">
        <f>HYPERLINK("http://www.twitter.com/MrsHKD", "MrsHKD")</f>
        <v>MrsHKD</v>
      </c>
      <c r="B33930" s="65"/>
    </row>
    <row r="33931" spans="1:2" x14ac:dyDescent="0.25">
      <c r="A33931" s="64" t="str">
        <f>HYPERLINK("http://www.twitter.com/leithopenspace", "leithopenspace")</f>
        <v>leithopenspace</v>
      </c>
      <c r="B33931" s="65" t="s">
        <v>1105</v>
      </c>
    </row>
    <row r="33932" spans="1:2" x14ac:dyDescent="0.25">
      <c r="A33932" s="64" t="str">
        <f>HYPERLINK("http://www.twitter.com/The_Angry_0ne", "The_Angry_0ne")</f>
        <v>The_Angry_0ne</v>
      </c>
      <c r="B33932" s="65"/>
    </row>
    <row r="33933" spans="1:2" x14ac:dyDescent="0.25">
      <c r="A33933" s="64" t="str">
        <f>HYPERLINK("http://www.twitter.com/campbellinho", "campbellinho")</f>
        <v>campbellinho</v>
      </c>
      <c r="B33933" s="65" t="s">
        <v>13183</v>
      </c>
    </row>
    <row r="33934" spans="1:2" x14ac:dyDescent="0.25">
      <c r="A33934" s="64" t="str">
        <f>HYPERLINK("http://www.twitter.com/beyongolia", "beyongolia")</f>
        <v>beyongolia</v>
      </c>
      <c r="B33934" s="65" t="s">
        <v>24</v>
      </c>
    </row>
    <row r="33935" spans="1:2" x14ac:dyDescent="0.25">
      <c r="A33935" s="64" t="str">
        <f>HYPERLINK("http://www.twitter.com/againstlogic", "againstlogic")</f>
        <v>againstlogic</v>
      </c>
      <c r="B33935" s="65"/>
    </row>
    <row r="33936" spans="1:2" x14ac:dyDescent="0.25">
      <c r="A33936" s="64" t="str">
        <f>HYPERLINK("http://www.twitter.com/evarol", "evarol")</f>
        <v>evarol</v>
      </c>
      <c r="B33936" s="65" t="s">
        <v>296</v>
      </c>
    </row>
    <row r="33937" spans="1:2" x14ac:dyDescent="0.25">
      <c r="A33937" s="64" t="str">
        <f>HYPERLINK("http://www.twitter.com/mrsgardner", "mrsgardner")</f>
        <v>mrsgardner</v>
      </c>
      <c r="B33937" s="65"/>
    </row>
    <row r="33938" spans="1:2" x14ac:dyDescent="0.25">
      <c r="A33938" s="64" t="str">
        <f>HYPERLINK("http://www.twitter.com/dave_bainbridge", "dave_bainbridge")</f>
        <v>dave_bainbridge</v>
      </c>
      <c r="B33938" s="65" t="s">
        <v>5591</v>
      </c>
    </row>
    <row r="33939" spans="1:2" x14ac:dyDescent="0.25">
      <c r="A33939" s="64" t="str">
        <f>HYPERLINK("http://www.twitter.com/JennyForeman", "JennyForeman")</f>
        <v>JennyForeman</v>
      </c>
      <c r="B33939" s="65" t="s">
        <v>24</v>
      </c>
    </row>
    <row r="33940" spans="1:2" x14ac:dyDescent="0.25">
      <c r="A33940" s="64" t="str">
        <f>HYPERLINK("http://www.twitter.com/JezzaTrev", "JezzaTrev")</f>
        <v>JezzaTrev</v>
      </c>
      <c r="B33940" s="65" t="s">
        <v>5930</v>
      </c>
    </row>
    <row r="33941" spans="1:2" x14ac:dyDescent="0.25">
      <c r="A33941" s="64" t="str">
        <f>HYPERLINK("http://www.twitter.com/Dawadderman", "Dawadderman")</f>
        <v>Dawadderman</v>
      </c>
      <c r="B33941" s="65" t="s">
        <v>13184</v>
      </c>
    </row>
    <row r="33942" spans="1:2" x14ac:dyDescent="0.25">
      <c r="A33942" s="64" t="str">
        <f>HYPERLINK("http://www.twitter.com/TheDIYLibrarian", "TheDIYLibrarian")</f>
        <v>TheDIYLibrarian</v>
      </c>
      <c r="B33942" s="65" t="s">
        <v>13185</v>
      </c>
    </row>
    <row r="33943" spans="1:2" x14ac:dyDescent="0.25">
      <c r="A33943" s="64" t="str">
        <f>HYPERLINK("http://www.twitter.com/OU_Library", "OU_Library")</f>
        <v>OU_Library</v>
      </c>
      <c r="B33943" s="65" t="s">
        <v>64</v>
      </c>
    </row>
    <row r="33944" spans="1:2" x14ac:dyDescent="0.25">
      <c r="A33944" s="64" t="str">
        <f>HYPERLINK("http://www.twitter.com/sam_d", "sam_d")</f>
        <v>sam_d</v>
      </c>
      <c r="B33944" s="65" t="s">
        <v>296</v>
      </c>
    </row>
    <row r="33945" spans="1:2" x14ac:dyDescent="0.25">
      <c r="A33945" s="64" t="str">
        <f>HYPERLINK("http://www.twitter.com/carcajou900993", "carcajou900993")</f>
        <v>carcajou900993</v>
      </c>
      <c r="B33945" s="65"/>
    </row>
    <row r="33946" spans="1:2" x14ac:dyDescent="0.25">
      <c r="A33946" s="64" t="str">
        <f>HYPERLINK("http://www.twitter.com/dulib", "dulib")</f>
        <v>dulib</v>
      </c>
      <c r="B33946" s="65" t="s">
        <v>195</v>
      </c>
    </row>
    <row r="33947" spans="1:2" x14ac:dyDescent="0.25">
      <c r="A33947" s="64" t="str">
        <f>HYPERLINK("http://www.twitter.com/JaneBB", "JaneBB")</f>
        <v>JaneBB</v>
      </c>
      <c r="B33947" s="65"/>
    </row>
    <row r="33948" spans="1:2" x14ac:dyDescent="0.25">
      <c r="A33948" s="64" t="str">
        <f>HYPERLINK("http://www.twitter.com/pprg", "pprg")</f>
        <v>pprg</v>
      </c>
      <c r="B33948" s="65" t="s">
        <v>296</v>
      </c>
    </row>
    <row r="33949" spans="1:2" x14ac:dyDescent="0.25">
      <c r="A33949" s="64" t="str">
        <f>HYPERLINK("http://www.twitter.com/niknaknoonaa", "niknaknoonaa")</f>
        <v>niknaknoonaa</v>
      </c>
      <c r="B33949" s="65"/>
    </row>
    <row r="33950" spans="1:2" x14ac:dyDescent="0.25">
      <c r="A33950" s="64" t="str">
        <f>HYPERLINK("http://www.twitter.com/LitWorks", "LitWorks")</f>
        <v>LitWorks</v>
      </c>
      <c r="B33950" s="65" t="s">
        <v>186</v>
      </c>
    </row>
    <row r="33951" spans="1:2" x14ac:dyDescent="0.25">
      <c r="A33951" s="64" t="str">
        <f>HYPERLINK("http://www.twitter.com/SocAustGen", "SocAustGen")</f>
        <v>SocAustGen</v>
      </c>
      <c r="B33951" s="65" t="s">
        <v>3817</v>
      </c>
    </row>
    <row r="33952" spans="1:2" x14ac:dyDescent="0.25">
      <c r="A33952" s="64" t="str">
        <f>HYPERLINK("http://www.twitter.com/CaroleRiley", "CaroleRiley")</f>
        <v>CaroleRiley</v>
      </c>
      <c r="B33952" s="65" t="s">
        <v>3817</v>
      </c>
    </row>
    <row r="33953" spans="1:2" x14ac:dyDescent="0.25">
      <c r="A33953" s="64" t="str">
        <f>HYPERLINK("http://www.twitter.com/cmcg_eac", "cmcg_eac")</f>
        <v>cmcg_eac</v>
      </c>
      <c r="B33953" s="65" t="s">
        <v>24</v>
      </c>
    </row>
    <row r="33954" spans="1:2" x14ac:dyDescent="0.25">
      <c r="A33954" s="64" t="str">
        <f>HYPERLINK("http://www.twitter.com/crankcaller", "crankcaller")</f>
        <v>crankcaller</v>
      </c>
      <c r="B33954" s="65" t="s">
        <v>13186</v>
      </c>
    </row>
    <row r="33955" spans="1:2" x14ac:dyDescent="0.25">
      <c r="A33955" s="64" t="str">
        <f>HYPERLINK("http://www.twitter.com/richbassinder", "richbassinder")</f>
        <v>richbassinder</v>
      </c>
      <c r="B33955" s="65" t="s">
        <v>2369</v>
      </c>
    </row>
    <row r="33956" spans="1:2" x14ac:dyDescent="0.25">
      <c r="A33956" s="64" t="str">
        <f>HYPERLINK("http://www.twitter.com/SABCRadioArc", "SABCRadioArc")</f>
        <v>SABCRadioArc</v>
      </c>
      <c r="B33956" s="65" t="s">
        <v>7267</v>
      </c>
    </row>
    <row r="33957" spans="1:2" x14ac:dyDescent="0.25">
      <c r="A33957" s="64" t="str">
        <f>HYPERLINK("http://www.twitter.com/Tasglann", "Tasglann")</f>
        <v>Tasglann</v>
      </c>
      <c r="B33957" s="65" t="s">
        <v>9123</v>
      </c>
    </row>
    <row r="33958" spans="1:2" x14ac:dyDescent="0.25">
      <c r="A33958" s="64" t="str">
        <f>HYPERLINK("http://www.twitter.com/sonyatedesco", "sonyatedesco")</f>
        <v>sonyatedesco</v>
      </c>
      <c r="B33958" s="65" t="s">
        <v>13187</v>
      </c>
    </row>
    <row r="33959" spans="1:2" x14ac:dyDescent="0.25">
      <c r="A33959" s="64" t="str">
        <f>HYPERLINK("http://www.twitter.com/OrkneyInfinity", "OrkneyInfinity")</f>
        <v>OrkneyInfinity</v>
      </c>
      <c r="B33959" s="65" t="s">
        <v>13188</v>
      </c>
    </row>
    <row r="33960" spans="1:2" x14ac:dyDescent="0.25">
      <c r="A33960" s="64" t="str">
        <f>HYPERLINK("http://www.twitter.com/Samanfur", "Samanfur")</f>
        <v>Samanfur</v>
      </c>
      <c r="B33960" s="65" t="s">
        <v>4524</v>
      </c>
    </row>
    <row r="33961" spans="1:2" x14ac:dyDescent="0.25">
      <c r="A33961" s="64" t="str">
        <f>HYPERLINK("http://www.twitter.com/lallylives", "lallylives")</f>
        <v>lallylives</v>
      </c>
      <c r="B33961" s="65" t="s">
        <v>4147</v>
      </c>
    </row>
    <row r="33962" spans="1:2" x14ac:dyDescent="0.25">
      <c r="A33962" s="64" t="str">
        <f>HYPERLINK("http://www.twitter.com/clubrapcat", "clubrapcat")</f>
        <v>clubrapcat</v>
      </c>
      <c r="B33962" s="65" t="s">
        <v>13189</v>
      </c>
    </row>
    <row r="33963" spans="1:2" x14ac:dyDescent="0.25">
      <c r="A33963" s="64" t="str">
        <f>HYPERLINK("http://www.twitter.com/cseatter", "cseatter")</f>
        <v>cseatter</v>
      </c>
      <c r="B33963" s="65"/>
    </row>
    <row r="33964" spans="1:2" x14ac:dyDescent="0.25">
      <c r="A33964" s="64" t="str">
        <f>HYPERLINK("http://www.twitter.com/TLCUK", "TLCUK")</f>
        <v>TLCUK</v>
      </c>
      <c r="B33964" s="65" t="s">
        <v>13190</v>
      </c>
    </row>
    <row r="33965" spans="1:2" x14ac:dyDescent="0.25">
      <c r="A33965" s="64" t="str">
        <f>HYPERLINK("http://www.twitter.com/matthwrites", "matthwrites")</f>
        <v>matthwrites</v>
      </c>
      <c r="B33965" s="65" t="s">
        <v>2805</v>
      </c>
    </row>
    <row r="33966" spans="1:2" x14ac:dyDescent="0.25">
      <c r="A33966" s="64" t="str">
        <f>HYPERLINK("http://www.twitter.com/museumsetc", "museumsetc")</f>
        <v>museumsetc</v>
      </c>
      <c r="B33966" s="65" t="s">
        <v>13191</v>
      </c>
    </row>
    <row r="33967" spans="1:2" x14ac:dyDescent="0.25">
      <c r="A33967" s="64" t="str">
        <f>HYPERLINK("http://www.twitter.com/followanarchive", "followanarchive")</f>
        <v>followanarchive</v>
      </c>
      <c r="B33967" s="65" t="s">
        <v>10402</v>
      </c>
    </row>
    <row r="33968" spans="1:2" x14ac:dyDescent="0.25">
      <c r="A33968" s="64" t="str">
        <f>HYPERLINK("http://www.twitter.com/LivUniPress", "LivUniPress")</f>
        <v>LivUniPress</v>
      </c>
      <c r="B33968" s="65" t="s">
        <v>642</v>
      </c>
    </row>
    <row r="33969" spans="1:2" x14ac:dyDescent="0.25">
      <c r="A33969" s="64" t="str">
        <f>HYPERLINK("http://www.twitter.com/12345busra6789", "12345busra6789")</f>
        <v>12345busra6789</v>
      </c>
      <c r="B33969" s="65"/>
    </row>
    <row r="33970" spans="1:2" x14ac:dyDescent="0.25">
      <c r="A33970" s="64" t="str">
        <f>HYPERLINK("http://www.twitter.com/dotelliott", "dotelliott")</f>
        <v>dotelliott</v>
      </c>
      <c r="B33970" s="65" t="s">
        <v>517</v>
      </c>
    </row>
    <row r="33971" spans="1:2" x14ac:dyDescent="0.25">
      <c r="A33971" s="64" t="str">
        <f>HYPERLINK("http://www.twitter.com/Garnetpub", "Garnetpub")</f>
        <v>Garnetpub</v>
      </c>
      <c r="B33971" s="65" t="s">
        <v>624</v>
      </c>
    </row>
    <row r="33972" spans="1:2" x14ac:dyDescent="0.25">
      <c r="A33972" s="64" t="str">
        <f>HYPERLINK("http://www.twitter.com/jennifuchs", "jennifuchs")</f>
        <v>jennifuchs</v>
      </c>
      <c r="B33972" s="65" t="s">
        <v>487</v>
      </c>
    </row>
    <row r="33973" spans="1:2" x14ac:dyDescent="0.25">
      <c r="A33973" s="64" t="str">
        <f>HYPERLINK("http://www.twitter.com/ThomasRushton", "ThomasRushton")</f>
        <v>ThomasRushton</v>
      </c>
      <c r="B33973" s="65" t="s">
        <v>2774</v>
      </c>
    </row>
    <row r="33974" spans="1:2" x14ac:dyDescent="0.25">
      <c r="A33974" s="64" t="str">
        <f>HYPERLINK("http://www.twitter.com/nuhadlacarte", "nuhadlacarte")</f>
        <v>nuhadlacarte</v>
      </c>
      <c r="B33974" s="65" t="s">
        <v>13192</v>
      </c>
    </row>
    <row r="33975" spans="1:2" x14ac:dyDescent="0.25">
      <c r="A33975" s="64" t="str">
        <f>HYPERLINK("http://www.twitter.com/RealMikePearson", "RealMikePearson")</f>
        <v>RealMikePearson</v>
      </c>
      <c r="B33975" s="65" t="s">
        <v>13193</v>
      </c>
    </row>
    <row r="33976" spans="1:2" x14ac:dyDescent="0.25">
      <c r="A33976" s="64" t="str">
        <f>HYPERLINK("http://www.twitter.com/ayup_", "ayup_")</f>
        <v>ayup_</v>
      </c>
      <c r="B33976" s="65" t="s">
        <v>13194</v>
      </c>
    </row>
    <row r="33977" spans="1:2" x14ac:dyDescent="0.25">
      <c r="A33977" s="64" t="str">
        <f>HYPERLINK("http://www.twitter.com/PhilipJEMiller", "PhilipJEMiller")</f>
        <v>PhilipJEMiller</v>
      </c>
      <c r="B33977" s="65" t="s">
        <v>13195</v>
      </c>
    </row>
    <row r="33978" spans="1:2" x14ac:dyDescent="0.25">
      <c r="A33978" s="64" t="str">
        <f>HYPERLINK("http://www.twitter.com/TooMuchCulture", "TooMuchCulture")</f>
        <v>TooMuchCulture</v>
      </c>
      <c r="B33978" s="65" t="s">
        <v>13196</v>
      </c>
    </row>
    <row r="33979" spans="1:2" x14ac:dyDescent="0.25">
      <c r="A33979" s="64" t="str">
        <f>HYPERLINK("http://www.twitter.com/breac_an_tsil", "breac_an_tsil")</f>
        <v>breac_an_tsil</v>
      </c>
      <c r="B33979" s="65" t="s">
        <v>13197</v>
      </c>
    </row>
    <row r="33980" spans="1:2" x14ac:dyDescent="0.25">
      <c r="A33980" s="64" t="str">
        <f>HYPERLINK("http://www.twitter.com/educationarena", "educationarena")</f>
        <v>educationarena</v>
      </c>
      <c r="B33980" s="65" t="s">
        <v>10432</v>
      </c>
    </row>
    <row r="33981" spans="1:2" x14ac:dyDescent="0.25">
      <c r="A33981" s="64" t="str">
        <f>HYPERLINK("http://www.twitter.com/binreminded", "binreminded")</f>
        <v>binreminded</v>
      </c>
      <c r="B33981" s="65" t="s">
        <v>1841</v>
      </c>
    </row>
    <row r="33982" spans="1:2" x14ac:dyDescent="0.25">
      <c r="A33982" s="64" t="str">
        <f>HYPERLINK("http://www.twitter.com/ManifestoBooks", "ManifestoBooks")</f>
        <v>ManifestoBooks</v>
      </c>
      <c r="B33982" s="65" t="s">
        <v>296</v>
      </c>
    </row>
    <row r="33983" spans="1:2" x14ac:dyDescent="0.25">
      <c r="A33983" s="64" t="str">
        <f>HYPERLINK("http://www.twitter.com/willmill82", "willmill82")</f>
        <v>willmill82</v>
      </c>
      <c r="B33983" s="65" t="s">
        <v>13198</v>
      </c>
    </row>
    <row r="33984" spans="1:2" x14ac:dyDescent="0.25">
      <c r="A33984" s="64" t="str">
        <f>HYPERLINK("http://www.twitter.com/pinknantucket", "pinknantucket")</f>
        <v>pinknantucket</v>
      </c>
      <c r="B33984" s="65" t="s">
        <v>3988</v>
      </c>
    </row>
    <row r="33985" spans="1:2" x14ac:dyDescent="0.25">
      <c r="A33985" s="64" t="str">
        <f>HYPERLINK("http://www.twitter.com/beancurdled", "beancurdled")</f>
        <v>beancurdled</v>
      </c>
      <c r="B33985" s="65" t="s">
        <v>13199</v>
      </c>
    </row>
    <row r="33986" spans="1:2" x14ac:dyDescent="0.25">
      <c r="A33986" s="64" t="str">
        <f>HYPERLINK("http://www.twitter.com/robinjuste", "robinjuste")</f>
        <v>robinjuste</v>
      </c>
      <c r="B33986" s="65" t="s">
        <v>9803</v>
      </c>
    </row>
    <row r="33987" spans="1:2" x14ac:dyDescent="0.25">
      <c r="A33987" s="64" t="str">
        <f>HYPERLINK("http://www.twitter.com/SarahTregear", "SarahTregear")</f>
        <v>SarahTregear</v>
      </c>
      <c r="B33987" s="65" t="s">
        <v>13200</v>
      </c>
    </row>
    <row r="33988" spans="1:2" x14ac:dyDescent="0.25">
      <c r="A33988" s="64" t="str">
        <f>HYPERLINK("http://www.twitter.com/tamoraworms", "tamoraworms")</f>
        <v>tamoraworms</v>
      </c>
      <c r="B33988" s="65"/>
    </row>
    <row r="33989" spans="1:2" x14ac:dyDescent="0.25">
      <c r="A33989" s="64" t="str">
        <f>HYPERLINK("http://www.twitter.com/SaraSchillemore", "SaraSchillemore")</f>
        <v>SaraSchillemore</v>
      </c>
      <c r="B33989" s="65" t="s">
        <v>13201</v>
      </c>
    </row>
    <row r="33990" spans="1:2" x14ac:dyDescent="0.25">
      <c r="A33990" s="64" t="str">
        <f>HYPERLINK("http://www.twitter.com/BoogieBearTweet", "BoogieBearTweet")</f>
        <v>BoogieBearTweet</v>
      </c>
      <c r="B33990" s="65" t="s">
        <v>517</v>
      </c>
    </row>
    <row r="33991" spans="1:2" x14ac:dyDescent="0.25">
      <c r="A33991" s="64" t="str">
        <f>HYPERLINK("http://www.twitter.com/evelynhood", "evelynhood")</f>
        <v>evelynhood</v>
      </c>
      <c r="B33991" s="65"/>
    </row>
    <row r="33992" spans="1:2" x14ac:dyDescent="0.25">
      <c r="A33992" s="64" t="str">
        <f>HYPERLINK("http://www.twitter.com/brucedobson", "brucedobson")</f>
        <v>brucedobson</v>
      </c>
      <c r="B33992" s="65" t="s">
        <v>13202</v>
      </c>
    </row>
    <row r="33993" spans="1:2" x14ac:dyDescent="0.25">
      <c r="A33993" s="64" t="str">
        <f>HYPERLINK("http://www.twitter.com/LadyofValhalla", "LadyofValhalla")</f>
        <v>LadyofValhalla</v>
      </c>
      <c r="B33993" s="65" t="s">
        <v>5529</v>
      </c>
    </row>
    <row r="33994" spans="1:2" x14ac:dyDescent="0.25">
      <c r="A33994" s="64" t="str">
        <f>HYPERLINK("http://www.twitter.com/dortheabooks", "dortheabooks")</f>
        <v>dortheabooks</v>
      </c>
      <c r="B33994" s="65" t="s">
        <v>13203</v>
      </c>
    </row>
    <row r="33995" spans="1:2" x14ac:dyDescent="0.25">
      <c r="A33995" s="64" t="str">
        <f>HYPERLINK("http://www.twitter.com/MacKoolio", "MacKoolio")</f>
        <v>MacKoolio</v>
      </c>
      <c r="B33995" s="65" t="s">
        <v>13204</v>
      </c>
    </row>
    <row r="33996" spans="1:2" x14ac:dyDescent="0.25">
      <c r="A33996" s="64" t="str">
        <f>HYPERLINK("http://www.twitter.com/TheKnitterBook", "TheKnitterBook")</f>
        <v>TheKnitterBook</v>
      </c>
      <c r="B33996" s="65" t="s">
        <v>13205</v>
      </c>
    </row>
    <row r="33997" spans="1:2" x14ac:dyDescent="0.25">
      <c r="A33997" s="64" t="str">
        <f>HYPERLINK("http://www.twitter.com/ireenie2001", "ireenie2001")</f>
        <v>ireenie2001</v>
      </c>
      <c r="B33997" s="65"/>
    </row>
    <row r="33998" spans="1:2" x14ac:dyDescent="0.25">
      <c r="A33998" s="64" t="str">
        <f>HYPERLINK("http://www.twitter.com/ask0lsvs", "ask0lsvs")</f>
        <v>ask0lsvs</v>
      </c>
      <c r="B33998" s="65"/>
    </row>
    <row r="33999" spans="1:2" x14ac:dyDescent="0.25">
      <c r="A33999" s="64" t="str">
        <f>HYPERLINK("http://www.twitter.com/claireontoast", "claireontoast")</f>
        <v>claireontoast</v>
      </c>
      <c r="B33999" s="65" t="s">
        <v>5646</v>
      </c>
    </row>
    <row r="34000" spans="1:2" x14ac:dyDescent="0.25">
      <c r="A34000" s="64" t="str">
        <f>HYPERLINK("http://www.twitter.com/www_NN_bb", "www_NN_bb")</f>
        <v>www_NN_bb</v>
      </c>
      <c r="B34000" s="65"/>
    </row>
    <row r="34001" spans="1:2" x14ac:dyDescent="0.25">
      <c r="A34001" s="64" t="str">
        <f>HYPERLINK("http://www.twitter.com/AcuteEnigma", "AcuteEnigma")</f>
        <v>AcuteEnigma</v>
      </c>
      <c r="B34001" s="65" t="s">
        <v>4383</v>
      </c>
    </row>
    <row r="34002" spans="1:2" x14ac:dyDescent="0.25">
      <c r="A34002" s="64" t="str">
        <f>HYPERLINK("http://www.twitter.com/grakki", "grakki")</f>
        <v>grakki</v>
      </c>
      <c r="B34002" s="65" t="s">
        <v>5694</v>
      </c>
    </row>
    <row r="34003" spans="1:2" x14ac:dyDescent="0.25">
      <c r="A34003" s="64" t="str">
        <f>HYPERLINK("http://www.twitter.com/ModernScottish", "ModernScottish")</f>
        <v>ModernScottish</v>
      </c>
      <c r="B34003" s="65" t="s">
        <v>24</v>
      </c>
    </row>
    <row r="34004" spans="1:2" x14ac:dyDescent="0.25">
      <c r="A34004" s="64" t="str">
        <f>HYPERLINK("http://www.twitter.com/beccisharkey", "beccisharkey")</f>
        <v>beccisharkey</v>
      </c>
      <c r="B34004" s="65" t="s">
        <v>296</v>
      </c>
    </row>
    <row r="34005" spans="1:2" x14ac:dyDescent="0.25">
      <c r="A34005" s="64" t="str">
        <f>HYPERLINK("http://www.twitter.com/is_tim", "is_tim")</f>
        <v>is_tim</v>
      </c>
      <c r="B34005" s="65" t="s">
        <v>13206</v>
      </c>
    </row>
    <row r="34006" spans="1:2" x14ac:dyDescent="0.25">
      <c r="A34006" s="64" t="str">
        <f>HYPERLINK("http://www.twitter.com/GreyLynnLibrary", "GreyLynnLibrary")</f>
        <v>GreyLynnLibrary</v>
      </c>
      <c r="B34006" s="65" t="s">
        <v>3816</v>
      </c>
    </row>
    <row r="34007" spans="1:2" x14ac:dyDescent="0.25">
      <c r="A34007" s="64" t="str">
        <f>HYPERLINK("http://www.twitter.com/erichindle", "erichindle")</f>
        <v>erichindle</v>
      </c>
      <c r="B34007" s="65"/>
    </row>
    <row r="34008" spans="1:2" x14ac:dyDescent="0.25">
      <c r="A34008" s="64" t="str">
        <f>HYPERLINK("http://www.twitter.com/janewilkinson59", "janewilkinson59")</f>
        <v>janewilkinson59</v>
      </c>
      <c r="B34008" s="65" t="s">
        <v>13207</v>
      </c>
    </row>
    <row r="34009" spans="1:2" x14ac:dyDescent="0.25">
      <c r="A34009" s="64" t="str">
        <f>HYPERLINK("http://www.twitter.com/JillHorbay", "JillHorbay")</f>
        <v>JillHorbay</v>
      </c>
      <c r="B34009" s="65" t="s">
        <v>13208</v>
      </c>
    </row>
    <row r="34010" spans="1:2" x14ac:dyDescent="0.25">
      <c r="A34010" s="64" t="str">
        <f>HYPERLINK("http://www.twitter.com/Endemoniada", "Endemoniada")</f>
        <v>Endemoniada</v>
      </c>
      <c r="B34010" s="65"/>
    </row>
    <row r="34011" spans="1:2" x14ac:dyDescent="0.25">
      <c r="A34011" s="64" t="str">
        <f>HYPERLINK("http://www.twitter.com/DigitalStrider", "DigitalStrider")</f>
        <v>DigitalStrider</v>
      </c>
      <c r="B34011" s="65" t="s">
        <v>2864</v>
      </c>
    </row>
    <row r="34012" spans="1:2" x14ac:dyDescent="0.25">
      <c r="A34012" s="64" t="str">
        <f>HYPERLINK("http://www.twitter.com/forfrithssake", "forfrithssake")</f>
        <v>forfrithssake</v>
      </c>
      <c r="B34012" s="65" t="s">
        <v>296</v>
      </c>
    </row>
    <row r="34013" spans="1:2" x14ac:dyDescent="0.25">
      <c r="A34013" s="64" t="str">
        <f>HYPERLINK("http://www.twitter.com/MindInFlux", "MindInFlux")</f>
        <v>MindInFlux</v>
      </c>
      <c r="B34013" s="65" t="s">
        <v>296</v>
      </c>
    </row>
    <row r="34014" spans="1:2" x14ac:dyDescent="0.25">
      <c r="A34014" s="64" t="str">
        <f>HYPERLINK("http://www.twitter.com/MartinBeeson", "MartinBeeson")</f>
        <v>MartinBeeson</v>
      </c>
      <c r="B34014" s="65" t="s">
        <v>36</v>
      </c>
    </row>
    <row r="34015" spans="1:2" x14ac:dyDescent="0.25">
      <c r="A34015" s="64" t="str">
        <f>HYPERLINK("http://www.twitter.com/alisonhendo", "alisonhendo")</f>
        <v>alisonhendo</v>
      </c>
      <c r="B34015" s="65" t="s">
        <v>1482</v>
      </c>
    </row>
    <row r="34016" spans="1:2" x14ac:dyDescent="0.25">
      <c r="A34016" s="64" t="str">
        <f>HYPERLINK("http://www.twitter.com/SarahHarries", "SarahHarries")</f>
        <v>SarahHarries</v>
      </c>
      <c r="B34016" s="65" t="s">
        <v>883</v>
      </c>
    </row>
    <row r="34017" spans="1:2" x14ac:dyDescent="0.25">
      <c r="A34017" s="64" t="str">
        <f>HYPERLINK("http://www.twitter.com/chillikebabs", "chillikebabs")</f>
        <v>chillikebabs</v>
      </c>
      <c r="B34017" s="65" t="s">
        <v>13209</v>
      </c>
    </row>
    <row r="34018" spans="1:2" x14ac:dyDescent="0.25">
      <c r="A34018" s="64" t="str">
        <f>HYPERLINK("http://www.twitter.com/SCBWI_BI", "SCBWI_BI")</f>
        <v>SCBWI_BI</v>
      </c>
      <c r="B34018" s="65" t="s">
        <v>296</v>
      </c>
    </row>
    <row r="34019" spans="1:2" x14ac:dyDescent="0.25">
      <c r="A34019" s="64" t="str">
        <f>HYPERLINK("http://www.twitter.com/Clareenough", "Clareenough")</f>
        <v>Clareenough</v>
      </c>
      <c r="B34019" s="65" t="s">
        <v>138</v>
      </c>
    </row>
    <row r="34020" spans="1:2" x14ac:dyDescent="0.25">
      <c r="A34020" s="64" t="str">
        <f>HYPERLINK("http://www.twitter.com/jesswithahat", "jesswithahat")</f>
        <v>jesswithahat</v>
      </c>
      <c r="B34020" s="65" t="s">
        <v>13210</v>
      </c>
    </row>
    <row r="34021" spans="1:2" x14ac:dyDescent="0.25">
      <c r="A34021" s="64" t="str">
        <f>HYPERLINK("http://www.twitter.com/chasenoatcakes", "chasenoatcakes")</f>
        <v>chasenoatcakes</v>
      </c>
      <c r="B34021" s="65"/>
    </row>
    <row r="34022" spans="1:2" x14ac:dyDescent="0.25">
      <c r="A34022" s="64" t="str">
        <f>HYPERLINK("http://www.twitter.com/wsuslisaa", "wsuslisaa")</f>
        <v>wsuslisaa</v>
      </c>
      <c r="B34022" s="65" t="s">
        <v>8441</v>
      </c>
    </row>
    <row r="34023" spans="1:2" x14ac:dyDescent="0.25">
      <c r="A34023" s="64" t="str">
        <f>HYPERLINK("http://www.twitter.com/thomasconnelly", "thomasconnelly")</f>
        <v>thomasconnelly</v>
      </c>
      <c r="B34023" s="65" t="s">
        <v>13211</v>
      </c>
    </row>
    <row r="34024" spans="1:2" x14ac:dyDescent="0.25">
      <c r="A34024" s="64" t="str">
        <f>HYPERLINK("http://www.twitter.com/samanthaclare", "samanthaclare")</f>
        <v>samanthaclare</v>
      </c>
      <c r="B34024" s="65" t="s">
        <v>1765</v>
      </c>
    </row>
    <row r="34025" spans="1:2" x14ac:dyDescent="0.25">
      <c r="A34025" s="64" t="str">
        <f>HYPERLINK("http://www.twitter.com/bykimbo", "bykimbo")</f>
        <v>bykimbo</v>
      </c>
      <c r="B34025" s="65" t="s">
        <v>5694</v>
      </c>
    </row>
    <row r="34026" spans="1:2" x14ac:dyDescent="0.25">
      <c r="A34026" s="64" t="str">
        <f>HYPERLINK("http://www.twitter.com/jabsystems", "jabsystems")</f>
        <v>jabsystems</v>
      </c>
      <c r="B34026" s="65" t="s">
        <v>1567</v>
      </c>
    </row>
    <row r="34027" spans="1:2" x14ac:dyDescent="0.25">
      <c r="A34027" s="64" t="str">
        <f>HYPERLINK("http://www.twitter.com/earthfast", "earthfast")</f>
        <v>earthfast</v>
      </c>
      <c r="B34027" s="65" t="s">
        <v>219</v>
      </c>
    </row>
    <row r="34028" spans="1:2" x14ac:dyDescent="0.25">
      <c r="A34028" s="64" t="str">
        <f>HYPERLINK("http://www.twitter.com/anniemauger", "anniemauger")</f>
        <v>anniemauger</v>
      </c>
      <c r="B34028" s="65" t="s">
        <v>24</v>
      </c>
    </row>
    <row r="34029" spans="1:2" x14ac:dyDescent="0.25">
      <c r="A34029" s="64" t="str">
        <f>HYPERLINK("http://www.twitter.com/johnparkinson", "johnparkinson")</f>
        <v>johnparkinson</v>
      </c>
      <c r="B34029" s="65" t="s">
        <v>5208</v>
      </c>
    </row>
    <row r="34030" spans="1:2" x14ac:dyDescent="0.25">
      <c r="A34030" s="64" t="str">
        <f>HYPERLINK("http://www.twitter.com/RylandsImaging", "RylandsImaging")</f>
        <v>RylandsImaging</v>
      </c>
      <c r="B34030" s="65" t="s">
        <v>33</v>
      </c>
    </row>
    <row r="34031" spans="1:2" x14ac:dyDescent="0.25">
      <c r="A34031" s="64" t="str">
        <f>HYPERLINK("http://www.twitter.com/MrsMandible", "MrsMandible")</f>
        <v>MrsMandible</v>
      </c>
      <c r="B34031" s="65" t="s">
        <v>24</v>
      </c>
    </row>
    <row r="34032" spans="1:2" x14ac:dyDescent="0.25">
      <c r="A34032" s="64" t="str">
        <f>HYPERLINK("http://www.twitter.com/MarcJaffrey", "MarcJaffrey")</f>
        <v>MarcJaffrey</v>
      </c>
      <c r="B34032" s="65" t="s">
        <v>36</v>
      </c>
    </row>
    <row r="34033" spans="1:2" x14ac:dyDescent="0.25">
      <c r="A34033" s="64" t="str">
        <f>HYPERLINK("http://www.twitter.com/MadLou1972", "MadLou1972")</f>
        <v>MadLou1972</v>
      </c>
      <c r="B34033" s="65" t="s">
        <v>13212</v>
      </c>
    </row>
    <row r="34034" spans="1:2" x14ac:dyDescent="0.25">
      <c r="A34034" s="64" t="str">
        <f>HYPERLINK("http://www.twitter.com/chuntuk", "chuntuk")</f>
        <v>chuntuk</v>
      </c>
      <c r="B34034" s="65" t="s">
        <v>7304</v>
      </c>
    </row>
    <row r="34035" spans="1:2" x14ac:dyDescent="0.25">
      <c r="A34035" s="64" t="str">
        <f>HYPERLINK("http://www.twitter.com/40knows", "40knows")</f>
        <v>40knows</v>
      </c>
      <c r="B34035" s="65" t="s">
        <v>5156</v>
      </c>
    </row>
    <row r="34036" spans="1:2" x14ac:dyDescent="0.25">
      <c r="A34036" s="64" t="str">
        <f>HYPERLINK("http://www.twitter.com/islaveevee", "islaveevee")</f>
        <v>islaveevee</v>
      </c>
      <c r="B34036" s="65" t="s">
        <v>2185</v>
      </c>
    </row>
    <row r="34037" spans="1:2" x14ac:dyDescent="0.25">
      <c r="A34037" s="64" t="str">
        <f>HYPERLINK("http://www.twitter.com/NikkiiHa", "NikkiiHa")</f>
        <v>NikkiiHa</v>
      </c>
      <c r="B34037" s="65" t="s">
        <v>517</v>
      </c>
    </row>
    <row r="34038" spans="1:2" x14ac:dyDescent="0.25">
      <c r="A34038" s="64" t="str">
        <f>HYPERLINK("http://www.twitter.com/veronicafrance", "veronicafrance")</f>
        <v>veronicafrance</v>
      </c>
      <c r="B34038" s="65" t="s">
        <v>7413</v>
      </c>
    </row>
    <row r="34039" spans="1:2" x14ac:dyDescent="0.25">
      <c r="A34039" s="64" t="str">
        <f>HYPERLINK("http://www.twitter.com/Chenshaw", "Chenshaw")</f>
        <v>Chenshaw</v>
      </c>
      <c r="B34039" s="65" t="s">
        <v>36</v>
      </c>
    </row>
    <row r="34040" spans="1:2" x14ac:dyDescent="0.25">
      <c r="A34040" s="64" t="str">
        <f>HYPERLINK("http://www.twitter.com/IronPyrites", "IronPyrites")</f>
        <v>IronPyrites</v>
      </c>
      <c r="B34040" s="65"/>
    </row>
    <row r="34041" spans="1:2" x14ac:dyDescent="0.25">
      <c r="A34041" s="64" t="str">
        <f>HYPERLINK("http://www.twitter.com/homecoming09qmu", "homecoming09qmu")</f>
        <v>homecoming09qmu</v>
      </c>
      <c r="B34041" s="65" t="s">
        <v>13213</v>
      </c>
    </row>
    <row r="34042" spans="1:2" x14ac:dyDescent="0.25">
      <c r="A34042" s="64" t="str">
        <f>HYPERLINK("http://www.twitter.com/learning_emall", "learning_emall")</f>
        <v>learning_emall</v>
      </c>
      <c r="B34042" s="65" t="s">
        <v>6639</v>
      </c>
    </row>
    <row r="34043" spans="1:2" x14ac:dyDescent="0.25">
      <c r="A34043" s="64" t="str">
        <f>HYPERLINK("http://www.twitter.com/RioLib", "RioLib")</f>
        <v>RioLib</v>
      </c>
      <c r="B34043" s="65" t="s">
        <v>13214</v>
      </c>
    </row>
    <row r="34044" spans="1:2" x14ac:dyDescent="0.25">
      <c r="A34044" s="64" t="str">
        <f>HYPERLINK("http://www.twitter.com/katiepops27", "katiepops27")</f>
        <v>katiepops27</v>
      </c>
      <c r="B34044" s="65"/>
    </row>
    <row r="34045" spans="1:2" x14ac:dyDescent="0.25">
      <c r="A34045" s="64" t="str">
        <f>HYPERLINK("http://www.twitter.com/lunamoonhare", "lunamoonhare")</f>
        <v>lunamoonhare</v>
      </c>
      <c r="B34045" s="65" t="s">
        <v>13215</v>
      </c>
    </row>
    <row r="34046" spans="1:2" x14ac:dyDescent="0.25">
      <c r="A34046" s="64" t="str">
        <f>HYPERLINK("http://www.twitter.com/aislinnv", "aislinnv")</f>
        <v>aislinnv</v>
      </c>
      <c r="B34046" s="65" t="s">
        <v>517</v>
      </c>
    </row>
    <row r="34047" spans="1:2" x14ac:dyDescent="0.25">
      <c r="A34047" s="64" t="str">
        <f>HYPERLINK("http://www.twitter.com/ros_clarke", "ros_clarke")</f>
        <v>ros_clarke</v>
      </c>
      <c r="B34047" s="65" t="s">
        <v>2608</v>
      </c>
    </row>
    <row r="34048" spans="1:2" x14ac:dyDescent="0.25">
      <c r="A34048" s="64" t="str">
        <f>HYPERLINK("http://www.twitter.com/chubbybannister", "chubbybannister")</f>
        <v>chubbybannister</v>
      </c>
      <c r="B34048" s="65" t="s">
        <v>13216</v>
      </c>
    </row>
    <row r="34049" spans="1:2" x14ac:dyDescent="0.25">
      <c r="A34049" s="64" t="str">
        <f>HYPERLINK("http://www.twitter.com/Kate_Millin", "Kate_Millin")</f>
        <v>Kate_Millin</v>
      </c>
      <c r="B34049" s="65" t="s">
        <v>13217</v>
      </c>
    </row>
    <row r="34050" spans="1:2" x14ac:dyDescent="0.25">
      <c r="A34050" s="64" t="str">
        <f>HYPERLINK("http://www.twitter.com/clelie", "clelie")</f>
        <v>clelie</v>
      </c>
      <c r="B34050" s="65" t="s">
        <v>4317</v>
      </c>
    </row>
    <row r="34051" spans="1:2" x14ac:dyDescent="0.25">
      <c r="A34051" s="64" t="str">
        <f>HYPERLINK("http://www.twitter.com/chioru", "chioru")</f>
        <v>chioru</v>
      </c>
      <c r="B34051" s="65" t="s">
        <v>13218</v>
      </c>
    </row>
    <row r="34052" spans="1:2" x14ac:dyDescent="0.25">
      <c r="A34052" s="64" t="str">
        <f>HYPERLINK("http://www.twitter.com/Temptedtoskip", "Temptedtoskip")</f>
        <v>Temptedtoskip</v>
      </c>
      <c r="B34052" s="65" t="s">
        <v>788</v>
      </c>
    </row>
    <row r="34053" spans="1:2" x14ac:dyDescent="0.25">
      <c r="A34053" s="64" t="str">
        <f>HYPERLINK("http://www.twitter.com/lillabrunaelk", "lillabrunaelk")</f>
        <v>lillabrunaelk</v>
      </c>
      <c r="B34053" s="65" t="s">
        <v>13219</v>
      </c>
    </row>
    <row r="34054" spans="1:2" x14ac:dyDescent="0.25">
      <c r="A34054" s="64" t="str">
        <f>HYPERLINK("http://www.twitter.com/wren8", "wren8")</f>
        <v>wren8</v>
      </c>
      <c r="B34054" s="65"/>
    </row>
    <row r="34055" spans="1:2" x14ac:dyDescent="0.25">
      <c r="A34055" s="64" t="str">
        <f>HYPERLINK("http://www.twitter.com/ARLGLondonandSE", "ARLGLondonandSE")</f>
        <v>ARLGLondonandSE</v>
      </c>
      <c r="B34055" s="65" t="s">
        <v>13220</v>
      </c>
    </row>
    <row r="34056" spans="1:2" x14ac:dyDescent="0.25">
      <c r="A34056" s="64" t="str">
        <f>HYPERLINK("http://www.twitter.com/mollytheboffin", "mollytheboffin")</f>
        <v>mollytheboffin</v>
      </c>
      <c r="B34056" s="65" t="s">
        <v>110</v>
      </c>
    </row>
    <row r="34057" spans="1:2" x14ac:dyDescent="0.25">
      <c r="A34057" s="64" t="str">
        <f>HYPERLINK("http://www.twitter.com/readingsight", "readingsight")</f>
        <v>readingsight</v>
      </c>
      <c r="B34057" s="65"/>
    </row>
    <row r="34058" spans="1:2" x14ac:dyDescent="0.25">
      <c r="A34058" s="64" t="str">
        <f>HYPERLINK("http://www.twitter.com/hannahcweb", "hannahcweb")</f>
        <v>hannahcweb</v>
      </c>
      <c r="B34058" s="65" t="s">
        <v>13221</v>
      </c>
    </row>
    <row r="34059" spans="1:2" x14ac:dyDescent="0.25">
      <c r="A34059" s="64" t="str">
        <f>HYPERLINK("http://www.twitter.com/mansonio", "mansonio")</f>
        <v>mansonio</v>
      </c>
      <c r="B34059" s="65"/>
    </row>
    <row r="34060" spans="1:2" x14ac:dyDescent="0.25">
      <c r="A34060" s="64" t="str">
        <f>HYPERLINK("http://www.twitter.com/MrsJooliePoolie", "MrsJooliePoolie")</f>
        <v>MrsJooliePoolie</v>
      </c>
      <c r="B34060" s="65"/>
    </row>
    <row r="34061" spans="1:2" x14ac:dyDescent="0.25">
      <c r="A34061" s="64" t="str">
        <f>HYPERLINK("http://www.twitter.com/davewatford", "davewatford")</f>
        <v>davewatford</v>
      </c>
      <c r="B34061" s="65" t="s">
        <v>13222</v>
      </c>
    </row>
    <row r="34062" spans="1:2" x14ac:dyDescent="0.25">
      <c r="A34062" s="64" t="str">
        <f>HYPERLINK("http://www.twitter.com/SigrunGudna", "SigrunGudna")</f>
        <v>SigrunGudna</v>
      </c>
      <c r="B34062" s="65"/>
    </row>
    <row r="34063" spans="1:2" x14ac:dyDescent="0.25">
      <c r="A34063" s="64" t="str">
        <f>HYPERLINK("http://www.twitter.com/smokingpun", "smokingpun")</f>
        <v>smokingpun</v>
      </c>
      <c r="B34063" s="65" t="s">
        <v>36</v>
      </c>
    </row>
    <row r="34064" spans="1:2" x14ac:dyDescent="0.25">
      <c r="A34064" s="64" t="str">
        <f>HYPERLINK("http://www.twitter.com/catrionaSBT", "catrionaSBT")</f>
        <v>catrionaSBT</v>
      </c>
      <c r="B34064" s="65" t="s">
        <v>24</v>
      </c>
    </row>
    <row r="34065" spans="1:2" x14ac:dyDescent="0.25">
      <c r="A34065" s="64" t="str">
        <f>HYPERLINK("http://www.twitter.com/annemnolan", "annemnolan")</f>
        <v>annemnolan</v>
      </c>
      <c r="B34065" s="65" t="s">
        <v>13223</v>
      </c>
    </row>
    <row r="34066" spans="1:2" x14ac:dyDescent="0.25">
      <c r="A34066" s="64" t="str">
        <f>HYPERLINK("http://www.twitter.com/Loumat33", "Loumat33")</f>
        <v>Loumat33</v>
      </c>
      <c r="B34066" s="65" t="s">
        <v>3816</v>
      </c>
    </row>
    <row r="34067" spans="1:2" x14ac:dyDescent="0.25">
      <c r="A34067" s="64" t="str">
        <f>HYPERLINK("http://www.twitter.com/TrespassersW", "TrespassersW")</f>
        <v>TrespassersW</v>
      </c>
      <c r="B34067" s="65"/>
    </row>
    <row r="34068" spans="1:2" x14ac:dyDescent="0.25">
      <c r="A34068" s="64" t="str">
        <f>HYPERLINK("http://www.twitter.com/alexandernews55", "alexandernews55")</f>
        <v>alexandernews55</v>
      </c>
      <c r="B34068" s="65" t="s">
        <v>13224</v>
      </c>
    </row>
    <row r="34069" spans="1:2" x14ac:dyDescent="0.25">
      <c r="A34069" s="64" t="str">
        <f>HYPERLINK("http://www.twitter.com/Quick_Reads", "Quick_Reads")</f>
        <v>Quick_Reads</v>
      </c>
      <c r="B34069" s="65" t="s">
        <v>477</v>
      </c>
    </row>
    <row r="34070" spans="1:2" x14ac:dyDescent="0.25">
      <c r="A34070" s="64" t="str">
        <f>HYPERLINK("http://www.twitter.com/SeanBattySTV", "SeanBattySTV")</f>
        <v>SeanBattySTV</v>
      </c>
      <c r="B34070" s="65" t="s">
        <v>138</v>
      </c>
    </row>
    <row r="34071" spans="1:2" x14ac:dyDescent="0.25">
      <c r="A34071" s="64" t="str">
        <f>HYPERLINK("http://www.twitter.com/BL_Ref_Services", "BL_Ref_Services")</f>
        <v>BL_Ref_Services</v>
      </c>
      <c r="B34071" s="65" t="s">
        <v>110</v>
      </c>
    </row>
    <row r="34072" spans="1:2" x14ac:dyDescent="0.25">
      <c r="A34072" s="64" t="str">
        <f>HYPERLINK("http://www.twitter.com/pipmck", "pipmck")</f>
        <v>pipmck</v>
      </c>
      <c r="B34072" s="65" t="s">
        <v>310</v>
      </c>
    </row>
    <row r="34073" spans="1:2" x14ac:dyDescent="0.25">
      <c r="A34073" s="64" t="str">
        <f>HYPERLINK("http://www.twitter.com/kate_librarian", "kate_librarian")</f>
        <v>kate_librarian</v>
      </c>
      <c r="B34073" s="65" t="s">
        <v>13225</v>
      </c>
    </row>
    <row r="34074" spans="1:2" x14ac:dyDescent="0.25">
      <c r="A34074" s="64" t="str">
        <f>HYPERLINK("http://www.twitter.com/butterfly1981", "butterfly1981")</f>
        <v>butterfly1981</v>
      </c>
      <c r="B34074" s="65" t="s">
        <v>13226</v>
      </c>
    </row>
    <row r="34075" spans="1:2" x14ac:dyDescent="0.25">
      <c r="A34075" s="64" t="str">
        <f>HYPERLINK("http://www.twitter.com/Minimorticia", "Minimorticia")</f>
        <v>Minimorticia</v>
      </c>
      <c r="B34075" s="65" t="s">
        <v>13227</v>
      </c>
    </row>
    <row r="34076" spans="1:2" x14ac:dyDescent="0.25">
      <c r="A34076" s="64" t="str">
        <f>HYPERLINK("http://www.twitter.com/These_Boots", "These_Boots")</f>
        <v>These_Boots</v>
      </c>
      <c r="B34076" s="65" t="s">
        <v>13228</v>
      </c>
    </row>
    <row r="34077" spans="1:2" x14ac:dyDescent="0.25">
      <c r="A34077" s="64" t="str">
        <f>HYPERLINK("http://www.twitter.com/rosieclarke", "rosieclarke")</f>
        <v>rosieclarke</v>
      </c>
      <c r="B34077" s="65" t="s">
        <v>5522</v>
      </c>
    </row>
    <row r="34078" spans="1:2" x14ac:dyDescent="0.25">
      <c r="A34078" s="64" t="str">
        <f>HYPERLINK("http://www.twitter.com/aptronym", "aptronym")</f>
        <v>aptronym</v>
      </c>
      <c r="B34078" s="65" t="s">
        <v>4237</v>
      </c>
    </row>
    <row r="34079" spans="1:2" x14ac:dyDescent="0.25">
      <c r="A34079" s="64" t="str">
        <f>HYPERLINK("http://www.twitter.com/L_Horloger", "L_Horloger")</f>
        <v>L_Horloger</v>
      </c>
      <c r="B34079" s="65" t="s">
        <v>4147</v>
      </c>
    </row>
    <row r="34080" spans="1:2" x14ac:dyDescent="0.25">
      <c r="A34080" s="64" t="str">
        <f>HYPERLINK("http://www.twitter.com/simonstone23", "simonstone23")</f>
        <v>simonstone23</v>
      </c>
      <c r="B34080" s="65" t="s">
        <v>13229</v>
      </c>
    </row>
    <row r="34081" spans="1:2" x14ac:dyDescent="0.25">
      <c r="A34081" s="64" t="str">
        <f>HYPERLINK("http://www.twitter.com/phibblet", "phibblet")</f>
        <v>phibblet</v>
      </c>
      <c r="B34081" s="65" t="s">
        <v>1490</v>
      </c>
    </row>
    <row r="34082" spans="1:2" x14ac:dyDescent="0.25">
      <c r="A34082" s="64" t="str">
        <f>HYPERLINK("http://www.twitter.com/PeteMunford", "PeteMunford")</f>
        <v>PeteMunford</v>
      </c>
      <c r="B34082" s="65" t="s">
        <v>13230</v>
      </c>
    </row>
    <row r="34083" spans="1:2" x14ac:dyDescent="0.25">
      <c r="A34083" s="64" t="str">
        <f>HYPERLINK("http://www.twitter.com/DeborahLoudon", "DeborahLoudon")</f>
        <v>DeborahLoudon</v>
      </c>
      <c r="B34083" s="65" t="s">
        <v>36</v>
      </c>
    </row>
    <row r="34084" spans="1:2" x14ac:dyDescent="0.25">
      <c r="A34084" s="64" t="str">
        <f>HYPERLINK("http://www.twitter.com/rvgosset", "rvgosset")</f>
        <v>rvgosset</v>
      </c>
      <c r="B34084" s="65" t="s">
        <v>13231</v>
      </c>
    </row>
    <row r="34085" spans="1:2" x14ac:dyDescent="0.25">
      <c r="A34085" s="64" t="str">
        <f>HYPERLINK("http://www.twitter.com/DodoLibrarian", "DodoLibrarian")</f>
        <v>DodoLibrarian</v>
      </c>
      <c r="B34085" s="65" t="s">
        <v>10762</v>
      </c>
    </row>
    <row r="34086" spans="1:2" x14ac:dyDescent="0.25">
      <c r="A34086" s="64" t="str">
        <f>HYPERLINK("http://www.twitter.com/katiemjy", "katiemjy")</f>
        <v>katiemjy</v>
      </c>
      <c r="B34086" s="65" t="s">
        <v>3948</v>
      </c>
    </row>
    <row r="34087" spans="1:2" x14ac:dyDescent="0.25">
      <c r="A34087" s="64" t="str">
        <f>HYPERLINK("http://www.twitter.com/Gert", "Gert")</f>
        <v>Gert</v>
      </c>
      <c r="B34087" s="65" t="s">
        <v>8640</v>
      </c>
    </row>
    <row r="34088" spans="1:2" x14ac:dyDescent="0.25">
      <c r="A34088" s="64" t="str">
        <f>HYPERLINK("http://www.twitter.com/JennieMarshall", "JennieMarshall")</f>
        <v>JennieMarshall</v>
      </c>
      <c r="B34088" s="65" t="s">
        <v>24</v>
      </c>
    </row>
    <row r="34089" spans="1:2" x14ac:dyDescent="0.25">
      <c r="A34089" s="64" t="str">
        <f>HYPERLINK("http://www.twitter.com/thebearfacedboy", "thebearfacedboy")</f>
        <v>thebearfacedboy</v>
      </c>
      <c r="B34089" s="65" t="s">
        <v>24</v>
      </c>
    </row>
    <row r="34090" spans="1:2" x14ac:dyDescent="0.25">
      <c r="A34090" s="64" t="str">
        <f>HYPERLINK("http://www.twitter.com/geekmoose", "geekmoose")</f>
        <v>geekmoose</v>
      </c>
      <c r="B34090" s="65"/>
    </row>
    <row r="34091" spans="1:2" x14ac:dyDescent="0.25">
      <c r="A34091" s="64" t="str">
        <f>HYPERLINK("http://www.twitter.com/fmbl", "fmbl")</f>
        <v>fmbl</v>
      </c>
      <c r="B34091" s="65" t="s">
        <v>13232</v>
      </c>
    </row>
    <row r="34092" spans="1:2" x14ac:dyDescent="0.25">
      <c r="A34092" s="64" t="str">
        <f>HYPERLINK("http://www.twitter.com/JustCarolAnne", "JustCarolAnne")</f>
        <v>JustCarolAnne</v>
      </c>
      <c r="B34092" s="65" t="s">
        <v>318</v>
      </c>
    </row>
    <row r="34093" spans="1:2" x14ac:dyDescent="0.25">
      <c r="A34093" s="64" t="str">
        <f>HYPERLINK("http://www.twitter.com/sandymacd", "sandymacd")</f>
        <v>sandymacd</v>
      </c>
      <c r="B34093" s="65" t="s">
        <v>24</v>
      </c>
    </row>
    <row r="34094" spans="1:2" x14ac:dyDescent="0.25">
      <c r="A34094" s="64" t="str">
        <f>HYPERLINK("http://www.twitter.com/JoBrodie", "JoBrodie")</f>
        <v>JoBrodie</v>
      </c>
      <c r="B34094" s="65" t="s">
        <v>110</v>
      </c>
    </row>
    <row r="34095" spans="1:2" x14ac:dyDescent="0.25">
      <c r="A34095" s="64" t="str">
        <f>HYPERLINK("http://www.twitter.com/betsymartian", "betsymartian")</f>
        <v>betsymartian</v>
      </c>
      <c r="B34095" s="65" t="s">
        <v>8053</v>
      </c>
    </row>
    <row r="34096" spans="1:2" x14ac:dyDescent="0.25">
      <c r="A34096" s="64" t="str">
        <f>HYPERLINK("http://www.twitter.com/hprw", "hprw")</f>
        <v>hprw</v>
      </c>
      <c r="B34096" s="65" t="s">
        <v>219</v>
      </c>
    </row>
    <row r="34097" spans="1:2" x14ac:dyDescent="0.25">
      <c r="A34097" s="64" t="str">
        <f>HYPERLINK("http://www.twitter.com/DNAtkinson", "DNAtkinson")</f>
        <v>DNAtkinson</v>
      </c>
      <c r="B34097" s="65" t="s">
        <v>13233</v>
      </c>
    </row>
    <row r="34098" spans="1:2" x14ac:dyDescent="0.25">
      <c r="A34098" s="64" t="str">
        <f>HYPERLINK("http://www.twitter.com/drjohnsonshouse", "drjohnsonshouse")</f>
        <v>drjohnsonshouse</v>
      </c>
      <c r="B34098" s="65" t="s">
        <v>13234</v>
      </c>
    </row>
    <row r="34099" spans="1:2" x14ac:dyDescent="0.25">
      <c r="A34099" s="64" t="str">
        <f>HYPERLINK("http://www.twitter.com/EvidenceMatters", "EvidenceMatters")</f>
        <v>EvidenceMatters</v>
      </c>
      <c r="B34099" s="65" t="s">
        <v>13235</v>
      </c>
    </row>
    <row r="34100" spans="1:2" x14ac:dyDescent="0.25">
      <c r="A34100" s="64" t="str">
        <f>HYPERLINK("http://www.twitter.com/Chiddle84", "Chiddle84")</f>
        <v>Chiddle84</v>
      </c>
      <c r="B34100" s="65"/>
    </row>
    <row r="34101" spans="1:2" x14ac:dyDescent="0.25">
      <c r="A34101" s="64" t="str">
        <f>HYPERLINK("http://www.twitter.com/missdaisyfrost", "missdaisyfrost")</f>
        <v>missdaisyfrost</v>
      </c>
      <c r="B34101" s="65" t="s">
        <v>13236</v>
      </c>
    </row>
    <row r="34102" spans="1:2" x14ac:dyDescent="0.25">
      <c r="A34102" s="64" t="str">
        <f>HYPERLINK("http://www.twitter.com/wcs53", "wcs53")</f>
        <v>wcs53</v>
      </c>
      <c r="B34102" s="65" t="s">
        <v>13237</v>
      </c>
    </row>
    <row r="34103" spans="1:2" x14ac:dyDescent="0.25">
      <c r="A34103" s="64" t="str">
        <f>HYPERLINK("http://www.twitter.com/Librarian", "Librarian")</f>
        <v>Librarian</v>
      </c>
      <c r="B34103" s="65" t="s">
        <v>13238</v>
      </c>
    </row>
    <row r="34104" spans="1:2" x14ac:dyDescent="0.25">
      <c r="A34104" s="64" t="str">
        <f>HYPERLINK("http://www.twitter.com/shailandwamble", "shailandwamble")</f>
        <v>shailandwamble</v>
      </c>
      <c r="B34104" s="65"/>
    </row>
    <row r="34105" spans="1:2" x14ac:dyDescent="0.25">
      <c r="A34105" s="64" t="str">
        <f>HYPERLINK("http://www.twitter.com/Nation1digital", "Nation1digital")</f>
        <v>Nation1digital</v>
      </c>
      <c r="B34105" s="65" t="s">
        <v>36</v>
      </c>
    </row>
    <row r="34106" spans="1:2" x14ac:dyDescent="0.25">
      <c r="A34106" s="64" t="str">
        <f>HYPERLINK("http://www.twitter.com/nordicqueen2", "nordicqueen2")</f>
        <v>nordicqueen2</v>
      </c>
      <c r="B34106" s="65" t="s">
        <v>13239</v>
      </c>
    </row>
    <row r="34107" spans="1:2" x14ac:dyDescent="0.25">
      <c r="A34107" s="64" t="str">
        <f>HYPERLINK("http://www.twitter.com/Iain_Munro", "Iain_Munro")</f>
        <v>Iain_Munro</v>
      </c>
      <c r="B34107" s="65" t="s">
        <v>487</v>
      </c>
    </row>
    <row r="34108" spans="1:2" x14ac:dyDescent="0.25">
      <c r="A34108" s="64" t="str">
        <f>HYPERLINK("http://www.twitter.com/TheBioChemWars", "TheBioChemWars")</f>
        <v>TheBioChemWars</v>
      </c>
      <c r="B34108" s="65" t="s">
        <v>13240</v>
      </c>
    </row>
    <row r="34109" spans="1:2" x14ac:dyDescent="0.25">
      <c r="A34109" s="64" t="str">
        <f>HYPERLINK("http://www.twitter.com/lib_outsourcing", "lib_outsourcing")</f>
        <v>lib_outsourcing</v>
      </c>
      <c r="B34109" s="65" t="s">
        <v>296</v>
      </c>
    </row>
    <row r="34110" spans="1:2" x14ac:dyDescent="0.25">
      <c r="A34110" s="64" t="str">
        <f>HYPERLINK("http://www.twitter.com/direcleit", "direcleit")</f>
        <v>direcleit</v>
      </c>
      <c r="B34110" s="65" t="s">
        <v>13241</v>
      </c>
    </row>
    <row r="34111" spans="1:2" x14ac:dyDescent="0.25">
      <c r="A34111" s="64" t="str">
        <f>HYPERLINK("http://www.twitter.com/book_signings", "book_signings")</f>
        <v>book_signings</v>
      </c>
      <c r="B34111" s="65" t="s">
        <v>4867</v>
      </c>
    </row>
    <row r="34112" spans="1:2" x14ac:dyDescent="0.25">
      <c r="A34112" s="64" t="str">
        <f>HYPERLINK("http://www.twitter.com/nemesisbooks", "nemesisbooks")</f>
        <v>nemesisbooks</v>
      </c>
      <c r="B34112" s="65" t="s">
        <v>5366</v>
      </c>
    </row>
    <row r="34113" spans="1:2" x14ac:dyDescent="0.25">
      <c r="A34113" s="64" t="str">
        <f>HYPERLINK("http://www.twitter.com/Sportinglesbian", "Sportinglesbian")</f>
        <v>Sportinglesbian</v>
      </c>
      <c r="B34113" s="65" t="s">
        <v>13242</v>
      </c>
    </row>
    <row r="34114" spans="1:2" x14ac:dyDescent="0.25">
      <c r="A34114" s="64" t="str">
        <f>HYPERLINK("http://www.twitter.com/DasiFriend", "DasiFriend")</f>
        <v>DasiFriend</v>
      </c>
      <c r="B34114" s="65" t="s">
        <v>13243</v>
      </c>
    </row>
    <row r="34115" spans="1:2" x14ac:dyDescent="0.25">
      <c r="A34115" s="64" t="str">
        <f>HYPERLINK("http://www.twitter.com/RachieWyatt", "RachieWyatt")</f>
        <v>RachieWyatt</v>
      </c>
      <c r="B34115" s="65" t="s">
        <v>296</v>
      </c>
    </row>
    <row r="34116" spans="1:2" x14ac:dyDescent="0.25">
      <c r="A34116" s="64" t="str">
        <f>HYPERLINK("http://www.twitter.com/Harc54", "Harc54")</f>
        <v>Harc54</v>
      </c>
      <c r="B34116" s="65"/>
    </row>
    <row r="34117" spans="1:2" x14ac:dyDescent="0.25">
      <c r="A34117" s="64" t="str">
        <f>HYPERLINK("http://www.twitter.com/owls_owls", "owls_owls")</f>
        <v>owls_owls</v>
      </c>
      <c r="B34117" s="65" t="s">
        <v>24</v>
      </c>
    </row>
    <row r="34118" spans="1:2" x14ac:dyDescent="0.25">
      <c r="A34118" s="64" t="str">
        <f>HYPERLINK("http://www.twitter.com/PARENTNYC", "PARENTNYC")</f>
        <v>PARENTNYC</v>
      </c>
      <c r="B34118" s="65" t="s">
        <v>5819</v>
      </c>
    </row>
    <row r="34119" spans="1:2" x14ac:dyDescent="0.25">
      <c r="A34119" s="64" t="str">
        <f>HYPERLINK("http://www.twitter.com/ParentBestRead", "ParentBestRead")</f>
        <v>ParentBestRead</v>
      </c>
      <c r="B34119" s="65" t="s">
        <v>5819</v>
      </c>
    </row>
    <row r="34120" spans="1:2" x14ac:dyDescent="0.25">
      <c r="A34120" s="64" t="str">
        <f>HYPERLINK("http://www.twitter.com/jamestoon", "jamestoon")</f>
        <v>jamestoon</v>
      </c>
      <c r="B34120" s="65" t="s">
        <v>13244</v>
      </c>
    </row>
    <row r="34121" spans="1:2" x14ac:dyDescent="0.25">
      <c r="A34121" s="64" t="str">
        <f>HYPERLINK("http://www.twitter.com/songsaround", "songsaround")</f>
        <v>songsaround</v>
      </c>
      <c r="B34121" s="65" t="s">
        <v>13245</v>
      </c>
    </row>
    <row r="34122" spans="1:2" x14ac:dyDescent="0.25">
      <c r="A34122" s="64" t="str">
        <f>HYPERLINK("http://www.twitter.com/orkneywd", "orkneywd")</f>
        <v>orkneywd</v>
      </c>
      <c r="B34122" s="65" t="s">
        <v>5824</v>
      </c>
    </row>
    <row r="34123" spans="1:2" x14ac:dyDescent="0.25">
      <c r="A34123" s="64" t="str">
        <f>HYPERLINK("http://www.twitter.com/ebooklette", "ebooklette")</f>
        <v>ebooklette</v>
      </c>
      <c r="B34123" s="65" t="s">
        <v>36</v>
      </c>
    </row>
    <row r="34124" spans="1:2" x14ac:dyDescent="0.25">
      <c r="A34124" s="64" t="str">
        <f>HYPERLINK("http://www.twitter.com/RBKClibraries", "RBKClibraries")</f>
        <v>RBKClibraries</v>
      </c>
      <c r="B34124" s="65" t="s">
        <v>110</v>
      </c>
    </row>
    <row r="34125" spans="1:2" x14ac:dyDescent="0.25">
      <c r="A34125" s="64" t="str">
        <f>HYPERLINK("http://www.twitter.com/InfernalRegions", "InfernalRegions")</f>
        <v>InfernalRegions</v>
      </c>
      <c r="B34125" s="65" t="s">
        <v>96</v>
      </c>
    </row>
    <row r="34126" spans="1:2" x14ac:dyDescent="0.25">
      <c r="A34126" s="64" t="str">
        <f>HYPERLINK("http://www.twitter.com/PriddyBooks", "PriddyBooks")</f>
        <v>PriddyBooks</v>
      </c>
      <c r="B34126" s="65"/>
    </row>
    <row r="34127" spans="1:2" x14ac:dyDescent="0.25">
      <c r="A34127" s="64" t="str">
        <f>HYPERLINK("http://www.twitter.com/jaynedavidson", "jaynedavidson")</f>
        <v>jaynedavidson</v>
      </c>
      <c r="B34127" s="65" t="s">
        <v>13246</v>
      </c>
    </row>
    <row r="34128" spans="1:2" x14ac:dyDescent="0.25">
      <c r="A34128" s="64" t="str">
        <f>HYPERLINK("http://www.twitter.com/ahniwa", "ahniwa")</f>
        <v>ahniwa</v>
      </c>
      <c r="B34128" s="65" t="s">
        <v>8699</v>
      </c>
    </row>
    <row r="34129" spans="1:2" x14ac:dyDescent="0.25">
      <c r="A34129" s="64" t="str">
        <f>HYPERLINK("http://www.twitter.com/Used2BNewBooks", "Used2BNewBooks")</f>
        <v>Used2BNewBooks</v>
      </c>
      <c r="B34129" s="65" t="s">
        <v>13247</v>
      </c>
    </row>
    <row r="34130" spans="1:2" x14ac:dyDescent="0.25">
      <c r="A34130" s="64" t="str">
        <f>HYPERLINK("http://www.twitter.com/voxmotus", "voxmotus")</f>
        <v>voxmotus</v>
      </c>
      <c r="B34130" s="65" t="s">
        <v>318</v>
      </c>
    </row>
    <row r="34131" spans="1:2" x14ac:dyDescent="0.25">
      <c r="A34131" s="64" t="str">
        <f>HYPERLINK("http://www.twitter.com/spentrails", "spentrails")</f>
        <v>spentrails</v>
      </c>
      <c r="B34131" s="65" t="s">
        <v>13248</v>
      </c>
    </row>
    <row r="34132" spans="1:2" x14ac:dyDescent="0.25">
      <c r="A34132" s="64" t="str">
        <f>HYPERLINK("http://www.twitter.com/aroundscotland", "aroundscotland")</f>
        <v>aroundscotland</v>
      </c>
      <c r="B34132" s="65" t="s">
        <v>517</v>
      </c>
    </row>
    <row r="34133" spans="1:2" x14ac:dyDescent="0.25">
      <c r="A34133" s="64" t="str">
        <f>HYPERLINK("http://www.twitter.com/PeemtheSteam", "PeemtheSteam")</f>
        <v>PeemtheSteam</v>
      </c>
      <c r="B34133" s="65"/>
    </row>
    <row r="34134" spans="1:2" x14ac:dyDescent="0.25">
      <c r="A34134" s="64" t="str">
        <f>HYPERLINK("http://www.twitter.com/slartibaartfast", "slartibaartfast")</f>
        <v>slartibaartfast</v>
      </c>
      <c r="B34134" s="65"/>
    </row>
    <row r="34135" spans="1:2" x14ac:dyDescent="0.25">
      <c r="A34135" s="64" t="str">
        <f>HYPERLINK("http://www.twitter.com/libbil", "libbil")</f>
        <v>libbil</v>
      </c>
      <c r="B34135" s="65" t="s">
        <v>138</v>
      </c>
    </row>
    <row r="34136" spans="1:2" x14ac:dyDescent="0.25">
      <c r="A34136" s="64" t="str">
        <f>HYPERLINK("http://www.twitter.com/elenaVKW", "elenaVKW")</f>
        <v>elenaVKW</v>
      </c>
      <c r="B34136" s="65" t="s">
        <v>7659</v>
      </c>
    </row>
    <row r="34137" spans="1:2" x14ac:dyDescent="0.25">
      <c r="A34137" s="64" t="str">
        <f>HYPERLINK("http://www.twitter.com/PeirenePress", "PeirenePress")</f>
        <v>PeirenePress</v>
      </c>
      <c r="B34137" s="65" t="s">
        <v>36</v>
      </c>
    </row>
    <row r="34138" spans="1:2" x14ac:dyDescent="0.25">
      <c r="A34138" s="64" t="str">
        <f>HYPERLINK("http://www.twitter.com/JaneHogg", "JaneHogg")</f>
        <v>JaneHogg</v>
      </c>
      <c r="B34138" s="65"/>
    </row>
    <row r="34139" spans="1:2" x14ac:dyDescent="0.25">
      <c r="A34139" s="64" t="str">
        <f>HYPERLINK("http://www.twitter.com/missalison", "missalison")</f>
        <v>missalison</v>
      </c>
      <c r="B34139" s="65" t="s">
        <v>13249</v>
      </c>
    </row>
    <row r="34140" spans="1:2" x14ac:dyDescent="0.25">
      <c r="A34140" s="64" t="str">
        <f>HYPERLINK("http://www.twitter.com/Janfleming", "Janfleming")</f>
        <v>Janfleming</v>
      </c>
      <c r="B34140" s="65" t="s">
        <v>102</v>
      </c>
    </row>
    <row r="34141" spans="1:2" x14ac:dyDescent="0.25">
      <c r="A34141" s="64" t="str">
        <f>HYPERLINK("http://www.twitter.com/fletchta", "fletchta")</f>
        <v>fletchta</v>
      </c>
      <c r="B34141" s="65"/>
    </row>
    <row r="34142" spans="1:2" x14ac:dyDescent="0.25">
      <c r="A34142" s="64" t="str">
        <f>HYPERLINK("http://www.twitter.com/traceymadden", "traceymadden")</f>
        <v>traceymadden</v>
      </c>
      <c r="B34142" s="65" t="s">
        <v>1098</v>
      </c>
    </row>
    <row r="34143" spans="1:2" x14ac:dyDescent="0.25">
      <c r="A34143" s="64" t="str">
        <f>HYPERLINK("http://www.twitter.com/maryakem", "maryakem")</f>
        <v>maryakem</v>
      </c>
      <c r="B34143" s="65" t="s">
        <v>4317</v>
      </c>
    </row>
    <row r="34144" spans="1:2" x14ac:dyDescent="0.25">
      <c r="A34144" s="64" t="str">
        <f>HYPERLINK("http://www.twitter.com/ChristchurchLib", "ChristchurchLib")</f>
        <v>ChristchurchLib</v>
      </c>
      <c r="B34144" s="65" t="s">
        <v>13250</v>
      </c>
    </row>
    <row r="34145" spans="1:2" x14ac:dyDescent="0.25">
      <c r="A34145" s="64" t="str">
        <f>HYPERLINK("http://www.twitter.com/wiilassie", "wiilassie")</f>
        <v>wiilassie</v>
      </c>
      <c r="B34145" s="65" t="s">
        <v>387</v>
      </c>
    </row>
    <row r="34146" spans="1:2" x14ac:dyDescent="0.25">
      <c r="A34146" s="64" t="str">
        <f>HYPERLINK("http://www.twitter.com/MomentumC", "MomentumC")</f>
        <v>MomentumC</v>
      </c>
      <c r="B34146" s="65" t="s">
        <v>36</v>
      </c>
    </row>
    <row r="34147" spans="1:2" x14ac:dyDescent="0.25">
      <c r="A34147" s="64" t="str">
        <f>HYPERLINK("http://www.twitter.com/HoraceOflaherty", "HoraceOflaherty")</f>
        <v>HoraceOflaherty</v>
      </c>
      <c r="B34147" s="65" t="s">
        <v>13251</v>
      </c>
    </row>
    <row r="34148" spans="1:2" x14ac:dyDescent="0.25">
      <c r="A34148" s="64" t="str">
        <f>HYPERLINK("http://www.twitter.com/SimplyPaul", "SimplyPaul")</f>
        <v>SimplyPaul</v>
      </c>
      <c r="B34148" s="65" t="s">
        <v>13252</v>
      </c>
    </row>
    <row r="34149" spans="1:2" x14ac:dyDescent="0.25">
      <c r="A34149" s="64" t="str">
        <f>HYPERLINK("http://www.twitter.com/Jamesxide", "Jamesxide")</f>
        <v>Jamesxide</v>
      </c>
      <c r="B34149" s="65" t="s">
        <v>5807</v>
      </c>
    </row>
    <row r="34150" spans="1:2" x14ac:dyDescent="0.25">
      <c r="A34150" s="64" t="str">
        <f>HYPERLINK("http://www.twitter.com/Julia_Dean", "Julia_Dean")</f>
        <v>Julia_Dean</v>
      </c>
      <c r="B34150" s="65" t="s">
        <v>36</v>
      </c>
    </row>
    <row r="34151" spans="1:2" x14ac:dyDescent="0.25">
      <c r="A34151" s="64" t="str">
        <f>HYPERLINK("http://www.twitter.com/supeep", "supeep")</f>
        <v>supeep</v>
      </c>
      <c r="B34151" s="65" t="s">
        <v>5930</v>
      </c>
    </row>
    <row r="34152" spans="1:2" x14ac:dyDescent="0.25">
      <c r="A34152" s="64" t="str">
        <f>HYPERLINK("http://www.twitter.com/carronvalebind", "carronvalebind")</f>
        <v>carronvalebind</v>
      </c>
      <c r="B34152" s="65" t="s">
        <v>355</v>
      </c>
    </row>
    <row r="34153" spans="1:2" x14ac:dyDescent="0.25">
      <c r="A34153" s="64" t="str">
        <f>HYPERLINK("http://www.twitter.com/lucasRadders", "lucasRadders")</f>
        <v>lucasRadders</v>
      </c>
      <c r="B34153" s="65" t="s">
        <v>36</v>
      </c>
    </row>
    <row r="34154" spans="1:2" x14ac:dyDescent="0.25">
      <c r="A34154" s="64" t="str">
        <f>HYPERLINK("http://www.twitter.com/DoctorWarmflash", "DoctorWarmflash")</f>
        <v>DoctorWarmflash</v>
      </c>
      <c r="B34154" s="65" t="s">
        <v>13253</v>
      </c>
    </row>
    <row r="34155" spans="1:2" x14ac:dyDescent="0.25">
      <c r="A34155" s="64" t="str">
        <f>HYPERLINK("http://www.twitter.com/Knowledge_World", "Knowledge_World")</f>
        <v>Knowledge_World</v>
      </c>
      <c r="B34155" s="65" t="s">
        <v>13105</v>
      </c>
    </row>
    <row r="34156" spans="1:2" x14ac:dyDescent="0.25">
      <c r="A34156" s="64" t="str">
        <f>HYPERLINK("http://www.twitter.com/allaboutstarr", "allaboutstarr")</f>
        <v>allaboutstarr</v>
      </c>
      <c r="B34156" s="65" t="s">
        <v>13254</v>
      </c>
    </row>
    <row r="34157" spans="1:2" x14ac:dyDescent="0.25">
      <c r="A34157" s="64" t="str">
        <f>HYPERLINK("http://www.twitter.com/Lynnp7", "Lynnp7")</f>
        <v>Lynnp7</v>
      </c>
      <c r="B34157" s="65" t="s">
        <v>4305</v>
      </c>
    </row>
    <row r="34158" spans="1:2" x14ac:dyDescent="0.25">
      <c r="A34158" s="64" t="str">
        <f>HYPERLINK("http://www.twitter.com/Cny_Islnd_Snd", "Cny_Islnd_Snd")</f>
        <v>Cny_Islnd_Snd</v>
      </c>
      <c r="B34158" s="65" t="s">
        <v>13255</v>
      </c>
    </row>
    <row r="34159" spans="1:2" x14ac:dyDescent="0.25">
      <c r="A34159" s="64" t="str">
        <f>HYPERLINK("http://www.twitter.com/mylibraryfriend", "mylibraryfriend")</f>
        <v>mylibraryfriend</v>
      </c>
      <c r="B34159" s="65" t="s">
        <v>5567</v>
      </c>
    </row>
    <row r="34160" spans="1:2" x14ac:dyDescent="0.25">
      <c r="A34160" s="64" t="str">
        <f>HYPERLINK("http://www.twitter.com/trotil123", "trotil123")</f>
        <v>trotil123</v>
      </c>
      <c r="B34160" s="65"/>
    </row>
    <row r="34161" spans="1:2" x14ac:dyDescent="0.25">
      <c r="A34161" s="64" t="str">
        <f>HYPERLINK("http://www.twitter.com/northernsky_", "northernsky_")</f>
        <v>northernsky_</v>
      </c>
      <c r="B34161" s="65" t="s">
        <v>3797</v>
      </c>
    </row>
    <row r="34162" spans="1:2" x14ac:dyDescent="0.25">
      <c r="A34162" s="64" t="str">
        <f>HYPERLINK("http://www.twitter.com/Hamster1207", "Hamster1207")</f>
        <v>Hamster1207</v>
      </c>
      <c r="B34162" s="65" t="s">
        <v>569</v>
      </c>
    </row>
    <row r="34163" spans="1:2" x14ac:dyDescent="0.25">
      <c r="A34163" s="64" t="str">
        <f>HYPERLINK("http://www.twitter.com/PopPea", "PopPea")</f>
        <v>PopPea</v>
      </c>
      <c r="B34163" s="65" t="s">
        <v>4501</v>
      </c>
    </row>
    <row r="34164" spans="1:2" x14ac:dyDescent="0.25">
      <c r="A34164" s="64" t="str">
        <f>HYPERLINK("http://www.twitter.com/DWBBCBooks", "DWBBCBooks")</f>
        <v>DWBBCBooks</v>
      </c>
      <c r="B34164" s="65" t="s">
        <v>13256</v>
      </c>
    </row>
    <row r="34165" spans="1:2" x14ac:dyDescent="0.25">
      <c r="A34165" s="64" t="str">
        <f>HYPERLINK("http://www.twitter.com/Innerpeffray", "Innerpeffray")</f>
        <v>Innerpeffray</v>
      </c>
      <c r="B34165" s="65" t="s">
        <v>470</v>
      </c>
    </row>
    <row r="34166" spans="1:2" x14ac:dyDescent="0.25">
      <c r="A34166" s="64" t="str">
        <f>HYPERLINK("http://www.twitter.com/ladygeeke", "ladygeeke")</f>
        <v>ladygeeke</v>
      </c>
      <c r="B34166" s="65" t="s">
        <v>13257</v>
      </c>
    </row>
    <row r="34167" spans="1:2" x14ac:dyDescent="0.25">
      <c r="A34167" s="64" t="str">
        <f>HYPERLINK("http://www.twitter.com/knitaholicTracy", "knitaholicTracy")</f>
        <v>knitaholicTracy</v>
      </c>
      <c r="B34167" s="65" t="s">
        <v>24</v>
      </c>
    </row>
    <row r="34168" spans="1:2" x14ac:dyDescent="0.25">
      <c r="A34168" s="64" t="str">
        <f>HYPERLINK("http://www.twitter.com/jenn1k", "jenn1k")</f>
        <v>jenn1k</v>
      </c>
      <c r="B34168" s="65" t="s">
        <v>13258</v>
      </c>
    </row>
    <row r="34169" spans="1:2" x14ac:dyDescent="0.25">
      <c r="A34169" s="64" t="str">
        <f>HYPERLINK("http://www.twitter.com/almadsfeika", "almadsfeika")</f>
        <v>almadsfeika</v>
      </c>
      <c r="B34169" s="65" t="s">
        <v>13259</v>
      </c>
    </row>
    <row r="34170" spans="1:2" x14ac:dyDescent="0.25">
      <c r="A34170" s="64" t="str">
        <f>HYPERLINK("http://www.twitter.com/ElspethMurray", "ElspethMurray")</f>
        <v>ElspethMurray</v>
      </c>
      <c r="B34170" s="65" t="s">
        <v>6263</v>
      </c>
    </row>
    <row r="34171" spans="1:2" x14ac:dyDescent="0.25">
      <c r="A34171" s="64" t="str">
        <f>HYPERLINK("http://www.twitter.com/CPDScotsman", "CPDScotsman")</f>
        <v>CPDScotsman</v>
      </c>
      <c r="B34171" s="65" t="s">
        <v>517</v>
      </c>
    </row>
    <row r="34172" spans="1:2" x14ac:dyDescent="0.25">
      <c r="A34172" s="64" t="str">
        <f>HYPERLINK("http://www.twitter.com/sampad_arts", "sampad_arts")</f>
        <v>sampad_arts</v>
      </c>
      <c r="B34172" s="65" t="s">
        <v>310</v>
      </c>
    </row>
    <row r="34173" spans="1:2" x14ac:dyDescent="0.25">
      <c r="A34173" s="64" t="str">
        <f>HYPERLINK("http://www.twitter.com/sujatin", "sujatin")</f>
        <v>sujatin</v>
      </c>
      <c r="B34173" s="65" t="s">
        <v>3773</v>
      </c>
    </row>
    <row r="34174" spans="1:2" x14ac:dyDescent="0.25">
      <c r="A34174" s="64" t="str">
        <f>HYPERLINK("http://www.twitter.com/myleejoseph", "myleejoseph")</f>
        <v>myleejoseph</v>
      </c>
      <c r="B34174" s="65" t="s">
        <v>3817</v>
      </c>
    </row>
    <row r="34175" spans="1:2" x14ac:dyDescent="0.25">
      <c r="A34175" s="64" t="str">
        <f>HYPERLINK("http://www.twitter.com/pamjakeman", "pamjakeman")</f>
        <v>pamjakeman</v>
      </c>
      <c r="B34175" s="65"/>
    </row>
    <row r="34176" spans="1:2" x14ac:dyDescent="0.25">
      <c r="A34176" s="64" t="str">
        <f>HYPERLINK("http://www.twitter.com/MartyDev", "MartyDev")</f>
        <v>MartyDev</v>
      </c>
      <c r="B34176" s="65" t="s">
        <v>11386</v>
      </c>
    </row>
    <row r="34177" spans="1:2" x14ac:dyDescent="0.25">
      <c r="A34177" s="64" t="str">
        <f>HYPERLINK("http://www.twitter.com/Felixosaurus", "Felixosaurus")</f>
        <v>Felixosaurus</v>
      </c>
      <c r="B34177" s="65" t="s">
        <v>3779</v>
      </c>
    </row>
    <row r="34178" spans="1:2" x14ac:dyDescent="0.25">
      <c r="A34178" s="64" t="str">
        <f>HYPERLINK("http://www.twitter.com/CamLibGroup", "CamLibGroup")</f>
        <v>CamLibGroup</v>
      </c>
      <c r="B34178" s="65" t="s">
        <v>61</v>
      </c>
    </row>
    <row r="34179" spans="1:2" x14ac:dyDescent="0.25">
      <c r="A34179" s="64" t="str">
        <f>HYPERLINK("http://www.twitter.com/LynnLoudon", "LynnLoudon")</f>
        <v>LynnLoudon</v>
      </c>
      <c r="B34179" s="65" t="s">
        <v>517</v>
      </c>
    </row>
    <row r="34180" spans="1:2" x14ac:dyDescent="0.25">
      <c r="A34180" s="64" t="str">
        <f>HYPERLINK("http://www.twitter.com/Leakiemum", "Leakiemum")</f>
        <v>Leakiemum</v>
      </c>
      <c r="B34180" s="65" t="s">
        <v>2041</v>
      </c>
    </row>
    <row r="34181" spans="1:2" x14ac:dyDescent="0.25">
      <c r="A34181" s="64" t="str">
        <f>HYPERLINK("http://www.twitter.com/angefitzpatrick", "angefitzpatrick")</f>
        <v>angefitzpatrick</v>
      </c>
      <c r="B34181" s="65" t="s">
        <v>9298</v>
      </c>
    </row>
    <row r="34182" spans="1:2" x14ac:dyDescent="0.25">
      <c r="A34182" s="64" t="str">
        <f>HYPERLINK("http://www.twitter.com/Shulabird", "Shulabird")</f>
        <v>Shulabird</v>
      </c>
      <c r="B34182" s="65" t="s">
        <v>5412</v>
      </c>
    </row>
    <row r="34183" spans="1:2" x14ac:dyDescent="0.25">
      <c r="A34183" s="64" t="str">
        <f>HYPERLINK("http://www.twitter.com/bkauthor", "bkauthor")</f>
        <v>bkauthor</v>
      </c>
      <c r="B34183" s="65" t="s">
        <v>4147</v>
      </c>
    </row>
    <row r="34184" spans="1:2" x14ac:dyDescent="0.25">
      <c r="A34184" s="64" t="str">
        <f>HYPERLINK("http://www.twitter.com/DiscoveryDundee", "DiscoveryDundee")</f>
        <v>DiscoveryDundee</v>
      </c>
      <c r="B34184" s="65" t="s">
        <v>13260</v>
      </c>
    </row>
    <row r="34185" spans="1:2" x14ac:dyDescent="0.25">
      <c r="A34185" s="64" t="str">
        <f>HYPERLINK("http://www.twitter.com/michlan", "michlan")</f>
        <v>michlan</v>
      </c>
      <c r="B34185" s="65" t="s">
        <v>13261</v>
      </c>
    </row>
    <row r="34186" spans="1:2" x14ac:dyDescent="0.25">
      <c r="A34186" s="64" t="str">
        <f>HYPERLINK("http://www.twitter.com/michellemt6668", "michellemt6668")</f>
        <v>michellemt6668</v>
      </c>
      <c r="B34186" s="65"/>
    </row>
    <row r="34187" spans="1:2" x14ac:dyDescent="0.25">
      <c r="A34187" s="64" t="str">
        <f>HYPERLINK("http://www.twitter.com/psweetman", "psweetman")</f>
        <v>psweetman</v>
      </c>
      <c r="B34187" s="65" t="s">
        <v>296</v>
      </c>
    </row>
    <row r="34188" spans="1:2" x14ac:dyDescent="0.25">
      <c r="A34188" s="64" t="str">
        <f>HYPERLINK("http://www.twitter.com/chriswilson32", "chriswilson32")</f>
        <v>chriswilson32</v>
      </c>
      <c r="B34188" s="65" t="s">
        <v>2830</v>
      </c>
    </row>
    <row r="34189" spans="1:2" x14ac:dyDescent="0.25">
      <c r="A34189" s="64" t="str">
        <f>HYPERLINK("http://www.twitter.com/whatsdnews", "whatsdnews")</f>
        <v>whatsdnews</v>
      </c>
      <c r="B34189" s="65" t="s">
        <v>13262</v>
      </c>
    </row>
    <row r="34190" spans="1:2" x14ac:dyDescent="0.25">
      <c r="A34190" s="64" t="str">
        <f>HYPERLINK("http://www.twitter.com/Annie_Bob", "Annie_Bob")</f>
        <v>Annie_Bob</v>
      </c>
      <c r="B34190" s="65" t="s">
        <v>788</v>
      </c>
    </row>
    <row r="34191" spans="1:2" x14ac:dyDescent="0.25">
      <c r="A34191" s="64" t="str">
        <f>HYPERLINK("http://www.twitter.com/gina_l_t", "gina_l_t")</f>
        <v>gina_l_t</v>
      </c>
      <c r="B34191" s="65"/>
    </row>
    <row r="34192" spans="1:2" x14ac:dyDescent="0.25">
      <c r="A34192" s="64" t="str">
        <f>HYPERLINK("http://www.twitter.com/rothycat", "rothycat")</f>
        <v>rothycat</v>
      </c>
      <c r="B34192" s="65" t="s">
        <v>4157</v>
      </c>
    </row>
    <row r="34193" spans="1:2" x14ac:dyDescent="0.25">
      <c r="A34193" s="64" t="str">
        <f>HYPERLINK("http://www.twitter.com/Saz_m", "Saz_m")</f>
        <v>Saz_m</v>
      </c>
      <c r="B34193" s="65" t="s">
        <v>13263</v>
      </c>
    </row>
    <row r="34194" spans="1:2" x14ac:dyDescent="0.25">
      <c r="A34194" s="64" t="str">
        <f>HYPERLINK("http://www.twitter.com/stevenmurrayWHU", "stevenmurrayWHU")</f>
        <v>stevenmurrayWHU</v>
      </c>
      <c r="B34194" s="65" t="s">
        <v>13264</v>
      </c>
    </row>
    <row r="34195" spans="1:2" x14ac:dyDescent="0.25">
      <c r="A34195" s="64" t="str">
        <f>HYPERLINK("http://www.twitter.com/JenBeardsmore", "JenBeardsmore")</f>
        <v>JenBeardsmore</v>
      </c>
      <c r="B34195" s="65" t="s">
        <v>6939</v>
      </c>
    </row>
    <row r="34196" spans="1:2" x14ac:dyDescent="0.25">
      <c r="A34196" s="64" t="str">
        <f>HYPERLINK("http://www.twitter.com/youthlibraries", "youthlibraries")</f>
        <v>youthlibraries</v>
      </c>
      <c r="B34196" s="65" t="s">
        <v>296</v>
      </c>
    </row>
    <row r="34197" spans="1:2" x14ac:dyDescent="0.25">
      <c r="A34197" s="64" t="str">
        <f>HYPERLINK("http://www.twitter.com/phildr", "phildr")</f>
        <v>phildr</v>
      </c>
      <c r="B34197" s="65" t="s">
        <v>13265</v>
      </c>
    </row>
    <row r="34198" spans="1:2" x14ac:dyDescent="0.25">
      <c r="A34198" s="64" t="str">
        <f>HYPERLINK("http://www.twitter.com/LibraryFaery", "LibraryFaery")</f>
        <v>LibraryFaery</v>
      </c>
      <c r="B34198" s="65" t="s">
        <v>13266</v>
      </c>
    </row>
    <row r="34199" spans="1:2" x14ac:dyDescent="0.25">
      <c r="A34199" s="64" t="str">
        <f>HYPERLINK("http://www.twitter.com/hev0410", "hev0410")</f>
        <v>hev0410</v>
      </c>
      <c r="B34199" s="65" t="s">
        <v>122</v>
      </c>
    </row>
    <row r="34200" spans="1:2" x14ac:dyDescent="0.25">
      <c r="A34200" s="64" t="str">
        <f>HYPERLINK("http://www.twitter.com/LibraryEmma", "LibraryEmma")</f>
        <v>LibraryEmma</v>
      </c>
      <c r="B34200" s="65" t="s">
        <v>642</v>
      </c>
    </row>
    <row r="34201" spans="1:2" x14ac:dyDescent="0.25">
      <c r="A34201" s="64" t="str">
        <f>HYPERLINK("http://www.twitter.com/jerwoodlibrary", "jerwoodlibrary")</f>
        <v>jerwoodlibrary</v>
      </c>
      <c r="B34201" s="65" t="s">
        <v>788</v>
      </c>
    </row>
    <row r="34202" spans="1:2" x14ac:dyDescent="0.25">
      <c r="A34202" s="64" t="str">
        <f>HYPERLINK("http://www.twitter.com/CCJPL", "CCJPL")</f>
        <v>CCJPL</v>
      </c>
      <c r="B34202" s="65" t="s">
        <v>13267</v>
      </c>
    </row>
    <row r="34203" spans="1:2" x14ac:dyDescent="0.25">
      <c r="A34203" s="64" t="str">
        <f>HYPERLINK("http://www.twitter.com/helenalex", "helenalex")</f>
        <v>helenalex</v>
      </c>
      <c r="B34203" s="65" t="s">
        <v>64</v>
      </c>
    </row>
    <row r="34204" spans="1:2" x14ac:dyDescent="0.25">
      <c r="A34204" s="64" t="str">
        <f>HYPERLINK("http://www.twitter.com/helen__os", "helen__os")</f>
        <v>helen__os</v>
      </c>
      <c r="B34204" s="65" t="s">
        <v>102</v>
      </c>
    </row>
    <row r="34205" spans="1:2" x14ac:dyDescent="0.25">
      <c r="A34205" s="64" t="str">
        <f>HYPERLINK("http://www.twitter.com/jeorge48", "jeorge48")</f>
        <v>jeorge48</v>
      </c>
      <c r="B34205" s="65"/>
    </row>
    <row r="34206" spans="1:2" x14ac:dyDescent="0.25">
      <c r="A34206" s="64" t="str">
        <f>HYPERLINK("http://www.twitter.com/Orkneycrofts", "Orkneycrofts")</f>
        <v>Orkneycrofts</v>
      </c>
      <c r="B34206" s="65" t="s">
        <v>20</v>
      </c>
    </row>
    <row r="34207" spans="1:2" x14ac:dyDescent="0.25">
      <c r="A34207" s="64" t="str">
        <f>HYPERLINK("http://www.twitter.com/Ariettee", "Ariettee")</f>
        <v>Ariettee</v>
      </c>
      <c r="B34207" s="65" t="s">
        <v>36</v>
      </c>
    </row>
    <row r="34208" spans="1:2" x14ac:dyDescent="0.25">
      <c r="A34208" s="64" t="str">
        <f>HYPERLINK("http://www.twitter.com/FifiWales", "FifiWales")</f>
        <v>FifiWales</v>
      </c>
      <c r="B34208" s="65" t="s">
        <v>20</v>
      </c>
    </row>
    <row r="34209" spans="1:2" x14ac:dyDescent="0.25">
      <c r="A34209" s="64" t="str">
        <f>HYPERLINK("http://www.twitter.com/UoSliboffcampus", "UoSliboffcampus")</f>
        <v>UoSliboffcampus</v>
      </c>
      <c r="B34209" s="65" t="s">
        <v>11985</v>
      </c>
    </row>
    <row r="34210" spans="1:2" x14ac:dyDescent="0.25">
      <c r="A34210" s="64" t="str">
        <f>HYPERLINK("http://www.twitter.com/RizkiDaenk", "RizkiDaenk")</f>
        <v>RizkiDaenk</v>
      </c>
      <c r="B34210" s="65" t="s">
        <v>13268</v>
      </c>
    </row>
    <row r="34211" spans="1:2" x14ac:dyDescent="0.25">
      <c r="A34211" s="64" t="str">
        <f>HYPERLINK("http://www.twitter.com/Runefox", "Runefox")</f>
        <v>Runefox</v>
      </c>
      <c r="B34211" s="65" t="s">
        <v>487</v>
      </c>
    </row>
    <row r="34212" spans="1:2" x14ac:dyDescent="0.25">
      <c r="A34212" s="64" t="str">
        <f>HYPERLINK("http://www.twitter.com/annabel0605", "annabel0605")</f>
        <v>annabel0605</v>
      </c>
      <c r="B34212" s="65"/>
    </row>
    <row r="34213" spans="1:2" x14ac:dyDescent="0.25">
      <c r="A34213" s="64" t="str">
        <f>HYPERLINK("http://www.twitter.com/HaltonLibraries", "HaltonLibraries")</f>
        <v>HaltonLibraries</v>
      </c>
      <c r="B34213" s="65" t="s">
        <v>456</v>
      </c>
    </row>
    <row r="34214" spans="1:2" x14ac:dyDescent="0.25">
      <c r="A34214" s="64" t="str">
        <f>HYPERLINK("http://www.twitter.com/anesfhs", "anesfhs")</f>
        <v>anesfhs</v>
      </c>
      <c r="B34214" s="65" t="s">
        <v>569</v>
      </c>
    </row>
    <row r="34215" spans="1:2" x14ac:dyDescent="0.25">
      <c r="A34215" s="64" t="str">
        <f>HYPERLINK("http://www.twitter.com/thecockburn", "thecockburn")</f>
        <v>thecockburn</v>
      </c>
      <c r="B34215" s="65" t="s">
        <v>487</v>
      </c>
    </row>
    <row r="34216" spans="1:2" x14ac:dyDescent="0.25">
      <c r="A34216" s="64" t="str">
        <f>HYPERLINK("http://www.twitter.com/Sphenisciforme", "Sphenisciforme")</f>
        <v>Sphenisciforme</v>
      </c>
      <c r="B34216" s="65" t="s">
        <v>1790</v>
      </c>
    </row>
    <row r="34217" spans="1:2" x14ac:dyDescent="0.25">
      <c r="A34217" s="64" t="str">
        <f>HYPERLINK("http://www.twitter.com/idg10", "idg10")</f>
        <v>idg10</v>
      </c>
      <c r="B34217" s="65" t="s">
        <v>36</v>
      </c>
    </row>
    <row r="34218" spans="1:2" x14ac:dyDescent="0.25">
      <c r="A34218" s="64" t="str">
        <f>HYPERLINK("http://www.twitter.com/Widneschappy", "Widneschappy")</f>
        <v>Widneschappy</v>
      </c>
      <c r="B34218" s="65" t="s">
        <v>12039</v>
      </c>
    </row>
    <row r="34219" spans="1:2" x14ac:dyDescent="0.25">
      <c r="A34219" s="64" t="str">
        <f>HYPERLINK("http://www.twitter.com/James_Fleet", "James_Fleet")</f>
        <v>James_Fleet</v>
      </c>
      <c r="B34219" s="65" t="s">
        <v>13269</v>
      </c>
    </row>
    <row r="34220" spans="1:2" x14ac:dyDescent="0.25">
      <c r="A34220" s="64" t="str">
        <f>HYPERLINK("http://www.twitter.com/DittonsLibrary", "DittonsLibrary")</f>
        <v>DittonsLibrary</v>
      </c>
      <c r="B34220" s="65" t="s">
        <v>1638</v>
      </c>
    </row>
    <row r="34221" spans="1:2" x14ac:dyDescent="0.25">
      <c r="A34221" s="64" t="str">
        <f>HYPERLINK("http://www.twitter.com/ForPub", "ForPub")</f>
        <v>ForPub</v>
      </c>
      <c r="B34221" s="65" t="s">
        <v>487</v>
      </c>
    </row>
    <row r="34222" spans="1:2" x14ac:dyDescent="0.25">
      <c r="A34222" s="64" t="str">
        <f>HYPERLINK("http://www.twitter.com/HeccyBen", "HeccyBen")</f>
        <v>HeccyBen</v>
      </c>
      <c r="B34222" s="65" t="s">
        <v>427</v>
      </c>
    </row>
    <row r="34223" spans="1:2" x14ac:dyDescent="0.25">
      <c r="A34223" s="64" t="str">
        <f>HYPERLINK("http://www.twitter.com/liamgh", "liamgh")</f>
        <v>liamgh</v>
      </c>
      <c r="B34223" s="65" t="s">
        <v>13270</v>
      </c>
    </row>
    <row r="34224" spans="1:2" x14ac:dyDescent="0.25">
      <c r="A34224" s="64" t="str">
        <f>HYPERLINK("http://www.twitter.com/ephemera07", "ephemera07")</f>
        <v>ephemera07</v>
      </c>
      <c r="B34224" s="65"/>
    </row>
    <row r="34225" spans="1:2" x14ac:dyDescent="0.25">
      <c r="A34225" s="64" t="str">
        <f>HYPERLINK("http://www.twitter.com/Suldermcully", "Suldermcully")</f>
        <v>Suldermcully</v>
      </c>
      <c r="B34225" s="65" t="s">
        <v>517</v>
      </c>
    </row>
    <row r="34226" spans="1:2" x14ac:dyDescent="0.25">
      <c r="A34226" s="64" t="str">
        <f>HYPERLINK("http://www.twitter.com/SaveLambthLibs", "SaveLambthLibs")</f>
        <v>SaveLambthLibs</v>
      </c>
      <c r="B34226" s="65" t="s">
        <v>13271</v>
      </c>
    </row>
    <row r="34227" spans="1:2" x14ac:dyDescent="0.25">
      <c r="A34227" s="64" t="str">
        <f>HYPERLINK("http://www.twitter.com/timpaa", "timpaa")</f>
        <v>timpaa</v>
      </c>
      <c r="B34227" s="65"/>
    </row>
    <row r="34228" spans="1:2" x14ac:dyDescent="0.25">
      <c r="A34228" s="64" t="str">
        <f>HYPERLINK("http://www.twitter.com/sbracegirdle", "sbracegirdle")</f>
        <v>sbracegirdle</v>
      </c>
      <c r="B34228" s="65" t="s">
        <v>33</v>
      </c>
    </row>
    <row r="34229" spans="1:2" x14ac:dyDescent="0.25">
      <c r="A34229" s="64" t="str">
        <f>HYPERLINK("http://www.twitter.com/LearningCC", "LearningCC")</f>
        <v>LearningCC</v>
      </c>
      <c r="B34229" s="65" t="s">
        <v>36</v>
      </c>
    </row>
    <row r="34230" spans="1:2" x14ac:dyDescent="0.25">
      <c r="A34230" s="64" t="str">
        <f>HYPERLINK("http://www.twitter.com/LottieMSmith", "LottieMSmith")</f>
        <v>LottieMSmith</v>
      </c>
      <c r="B34230" s="65" t="s">
        <v>296</v>
      </c>
    </row>
    <row r="34231" spans="1:2" x14ac:dyDescent="0.25">
      <c r="A34231" s="64" t="str">
        <f>HYPERLINK("http://www.twitter.com/Inthestyx", "Inthestyx")</f>
        <v>Inthestyx</v>
      </c>
      <c r="B34231" s="65" t="s">
        <v>3662</v>
      </c>
    </row>
    <row r="34232" spans="1:2" x14ac:dyDescent="0.25">
      <c r="A34232" s="64" t="str">
        <f>HYPERLINK("http://www.twitter.com/MichaelGemar", "MichaelGemar")</f>
        <v>MichaelGemar</v>
      </c>
      <c r="B34232" s="65"/>
    </row>
    <row r="34233" spans="1:2" x14ac:dyDescent="0.25">
      <c r="A34233" s="64" t="str">
        <f>HYPERLINK("http://www.twitter.com/desperatereader", "desperatereader")</f>
        <v>desperatereader</v>
      </c>
      <c r="B34233" s="65"/>
    </row>
    <row r="34234" spans="1:2" x14ac:dyDescent="0.25">
      <c r="A34234" s="64" t="str">
        <f>HYPERLINK("http://www.twitter.com/plastoic", "plastoic")</f>
        <v>plastoic</v>
      </c>
      <c r="B34234" s="65" t="s">
        <v>13272</v>
      </c>
    </row>
    <row r="34235" spans="1:2" x14ac:dyDescent="0.25">
      <c r="A34235" s="64" t="str">
        <f>HYPERLINK("http://www.twitter.com/dewey027", "dewey027")</f>
        <v>dewey027</v>
      </c>
      <c r="B34235" s="65" t="s">
        <v>9298</v>
      </c>
    </row>
    <row r="34236" spans="1:2" x14ac:dyDescent="0.25">
      <c r="A34236" s="64" t="str">
        <f>HYPERLINK("http://www.twitter.com/gjlutz", "gjlutz")</f>
        <v>gjlutz</v>
      </c>
      <c r="B34236" s="65"/>
    </row>
    <row r="34237" spans="1:2" x14ac:dyDescent="0.25">
      <c r="A34237" s="64" t="str">
        <f>HYPERLINK("http://www.twitter.com/bookburner09", "bookburner09")</f>
        <v>bookburner09</v>
      </c>
      <c r="B34237" s="65" t="s">
        <v>11861</v>
      </c>
    </row>
    <row r="34238" spans="1:2" x14ac:dyDescent="0.25">
      <c r="A34238" s="64" t="str">
        <f>HYPERLINK("http://www.twitter.com/LibClare", "LibClare")</f>
        <v>LibClare</v>
      </c>
      <c r="B34238" s="65" t="s">
        <v>61</v>
      </c>
    </row>
    <row r="34239" spans="1:2" x14ac:dyDescent="0.25">
      <c r="A34239" s="64" t="str">
        <f>HYPERLINK("http://www.twitter.com/ShortStoryWeek", "ShortStoryWeek")</f>
        <v>ShortStoryWeek</v>
      </c>
      <c r="B34239" s="65"/>
    </row>
    <row r="34240" spans="1:2" x14ac:dyDescent="0.25">
      <c r="A34240" s="64" t="str">
        <f>HYPERLINK("http://www.twitter.com/FutureUrban", "FutureUrban")</f>
        <v>FutureUrban</v>
      </c>
      <c r="B34240" s="65" t="s">
        <v>110</v>
      </c>
    </row>
    <row r="34241" spans="1:2" x14ac:dyDescent="0.25">
      <c r="A34241" s="64" t="str">
        <f>HYPERLINK("http://www.twitter.com/mookichis", "mookichis")</f>
        <v>mookichis</v>
      </c>
      <c r="B34241" s="65" t="s">
        <v>67</v>
      </c>
    </row>
    <row r="34242" spans="1:2" x14ac:dyDescent="0.25">
      <c r="A34242" s="64" t="str">
        <f>HYPERLINK("http://www.twitter.com/WildlyDiff", "WildlyDiff")</f>
        <v>WildlyDiff</v>
      </c>
      <c r="B34242" s="65" t="s">
        <v>13273</v>
      </c>
    </row>
    <row r="34243" spans="1:2" x14ac:dyDescent="0.25">
      <c r="A34243" s="64" t="str">
        <f>HYPERLINK("http://www.twitter.com/jencrate", "jencrate")</f>
        <v>jencrate</v>
      </c>
      <c r="B34243" s="65" t="s">
        <v>4394</v>
      </c>
    </row>
    <row r="34244" spans="1:2" x14ac:dyDescent="0.25">
      <c r="A34244" s="64" t="str">
        <f>HYPERLINK("http://www.twitter.com/LauraJArmstrong", "LauraJArmstrong")</f>
        <v>LauraJArmstrong</v>
      </c>
      <c r="B34244" s="65" t="s">
        <v>1511</v>
      </c>
    </row>
    <row r="34245" spans="1:2" x14ac:dyDescent="0.25">
      <c r="A34245" s="64" t="str">
        <f>HYPERLINK("http://www.twitter.com/AidanBaker", "AidanBaker")</f>
        <v>AidanBaker</v>
      </c>
      <c r="B34245" s="65" t="s">
        <v>61</v>
      </c>
    </row>
    <row r="34246" spans="1:2" x14ac:dyDescent="0.25">
      <c r="A34246" s="64" t="str">
        <f>HYPERLINK("http://www.twitter.com/sophsaproblem_", "sophsaproblem_")</f>
        <v>sophsaproblem_</v>
      </c>
      <c r="B34246" s="65"/>
    </row>
    <row r="34247" spans="1:2" x14ac:dyDescent="0.25">
      <c r="A34247" s="64" t="str">
        <f>HYPERLINK("http://www.twitter.com/BiblioWorks", "BiblioWorks")</f>
        <v>BiblioWorks</v>
      </c>
      <c r="B34247" s="65" t="s">
        <v>13274</v>
      </c>
    </row>
    <row r="34248" spans="1:2" x14ac:dyDescent="0.25">
      <c r="A34248" s="64" t="str">
        <f>HYPERLINK("http://www.twitter.com/happyschopper", "happyschopper")</f>
        <v>happyschopper</v>
      </c>
      <c r="B34248" s="65" t="s">
        <v>5839</v>
      </c>
    </row>
    <row r="34249" spans="1:2" x14ac:dyDescent="0.25">
      <c r="A34249" s="64" t="str">
        <f>HYPERLINK("http://www.twitter.com/RobertsDJ", "RobertsDJ")</f>
        <v>RobertsDJ</v>
      </c>
      <c r="B34249" s="65" t="s">
        <v>13275</v>
      </c>
    </row>
    <row r="34250" spans="1:2" x14ac:dyDescent="0.25">
      <c r="A34250" s="64" t="str">
        <f>HYPERLINK("http://www.twitter.com/sarahcowie", "sarahcowie")</f>
        <v>sarahcowie</v>
      </c>
      <c r="B34250" s="65" t="s">
        <v>24</v>
      </c>
    </row>
    <row r="34251" spans="1:2" x14ac:dyDescent="0.25">
      <c r="A34251" s="64" t="str">
        <f>HYPERLINK("http://www.twitter.com/benmason", "benmason")</f>
        <v>benmason</v>
      </c>
      <c r="B34251" s="65" t="s">
        <v>13276</v>
      </c>
    </row>
    <row r="34252" spans="1:2" x14ac:dyDescent="0.25">
      <c r="A34252" s="64" t="str">
        <f>HYPERLINK("http://www.twitter.com/deafcomedy", "deafcomedy")</f>
        <v>deafcomedy</v>
      </c>
      <c r="B34252" s="65" t="s">
        <v>296</v>
      </c>
    </row>
    <row r="34253" spans="1:2" x14ac:dyDescent="0.25">
      <c r="A34253" s="64" t="str">
        <f>HYPERLINK("http://www.twitter.com/imrazm", "imrazm")</f>
        <v>imrazm</v>
      </c>
      <c r="B34253" s="65" t="s">
        <v>2030</v>
      </c>
    </row>
    <row r="34254" spans="1:2" x14ac:dyDescent="0.25">
      <c r="A34254" s="64" t="str">
        <f>HYPERLINK("http://www.twitter.com/davyddsmith", "davyddsmith")</f>
        <v>davyddsmith</v>
      </c>
      <c r="B34254" s="65"/>
    </row>
    <row r="34255" spans="1:2" x14ac:dyDescent="0.25">
      <c r="A34255" s="64" t="str">
        <f>HYPERLINK("http://www.twitter.com/WhiteOwlBooks", "WhiteOwlBooks")</f>
        <v>WhiteOwlBooks</v>
      </c>
      <c r="B34255" s="65" t="s">
        <v>538</v>
      </c>
    </row>
    <row r="34256" spans="1:2" x14ac:dyDescent="0.25">
      <c r="A34256" s="64" t="str">
        <f>HYPERLINK("http://www.twitter.com/nwinton", "nwinton")</f>
        <v>nwinton</v>
      </c>
      <c r="B34256" s="65" t="s">
        <v>3773</v>
      </c>
    </row>
    <row r="34257" spans="1:2" x14ac:dyDescent="0.25">
      <c r="A34257" s="64" t="str">
        <f>HYPERLINK("http://www.twitter.com/jodieglad", "jodieglad")</f>
        <v>jodieglad</v>
      </c>
      <c r="B34257" s="65"/>
    </row>
    <row r="34258" spans="1:2" x14ac:dyDescent="0.25">
      <c r="A34258" s="64" t="str">
        <f>HYPERLINK("http://www.twitter.com/garydunion", "garydunion")</f>
        <v>garydunion</v>
      </c>
      <c r="B34258" s="65" t="s">
        <v>487</v>
      </c>
    </row>
    <row r="34259" spans="1:2" x14ac:dyDescent="0.25">
      <c r="A34259" s="64" t="str">
        <f>HYPERLINK("http://www.twitter.com/johnmquirk", "johnmquirk")</f>
        <v>johnmquirk</v>
      </c>
      <c r="B34259" s="65" t="s">
        <v>5366</v>
      </c>
    </row>
    <row r="34260" spans="1:2" x14ac:dyDescent="0.25">
      <c r="A34260" s="64" t="str">
        <f>HYPERLINK("http://www.twitter.com/metaingrid", "metaingrid")</f>
        <v>metaingrid</v>
      </c>
      <c r="B34260" s="65" t="s">
        <v>13277</v>
      </c>
    </row>
    <row r="34261" spans="1:2" x14ac:dyDescent="0.25">
      <c r="A34261" s="64" t="str">
        <f>HYPERLINK("http://www.twitter.com/grenville89", "grenville89")</f>
        <v>grenville89</v>
      </c>
      <c r="B34261" s="65" t="s">
        <v>13278</v>
      </c>
    </row>
    <row r="34262" spans="1:2" x14ac:dyDescent="0.25">
      <c r="A34262" s="64" t="str">
        <f>HYPERLINK("http://www.twitter.com/moviebirthday", "moviebirthday")</f>
        <v>moviebirthday</v>
      </c>
      <c r="B34262" s="65" t="s">
        <v>517</v>
      </c>
    </row>
    <row r="34263" spans="1:2" x14ac:dyDescent="0.25">
      <c r="A34263" s="64" t="str">
        <f>HYPERLINK("http://www.twitter.com/chrishall62", "chrishall62")</f>
        <v>chrishall62</v>
      </c>
      <c r="B34263" s="65" t="s">
        <v>757</v>
      </c>
    </row>
    <row r="34264" spans="1:2" x14ac:dyDescent="0.25">
      <c r="A34264" s="64" t="str">
        <f>HYPERLINK("http://www.twitter.com/Juliano_Olive", "Juliano_Olive")</f>
        <v>Juliano_Olive</v>
      </c>
      <c r="B34264" s="65"/>
    </row>
    <row r="34265" spans="1:2" x14ac:dyDescent="0.25">
      <c r="A34265" s="64" t="str">
        <f>HYPERLINK("http://www.twitter.com/hangbitch", "hangbitch")</f>
        <v>hangbitch</v>
      </c>
      <c r="B34265" s="65" t="s">
        <v>13279</v>
      </c>
    </row>
    <row r="34266" spans="1:2" x14ac:dyDescent="0.25">
      <c r="A34266" s="64" t="str">
        <f>HYPERLINK("http://www.twitter.com/Robophobia", "Robophobia")</f>
        <v>Robophobia</v>
      </c>
      <c r="B34266" s="65"/>
    </row>
    <row r="34267" spans="1:2" x14ac:dyDescent="0.25">
      <c r="A34267" s="64" t="str">
        <f>HYPERLINK("http://www.twitter.com/exeteranna", "exeteranna")</f>
        <v>exeteranna</v>
      </c>
      <c r="B34267" s="65" t="s">
        <v>9002</v>
      </c>
    </row>
    <row r="34268" spans="1:2" x14ac:dyDescent="0.25">
      <c r="A34268" s="64" t="str">
        <f>HYPERLINK("http://www.twitter.com/jeffreysnj", "jeffreysnj")</f>
        <v>jeffreysnj</v>
      </c>
      <c r="B34268" s="65"/>
    </row>
    <row r="34269" spans="1:2" x14ac:dyDescent="0.25">
      <c r="A34269" s="64" t="str">
        <f>HYPERLINK("http://www.twitter.com/syriatravels", "syriatravels")</f>
        <v>syriatravels</v>
      </c>
      <c r="B34269" s="65" t="s">
        <v>296</v>
      </c>
    </row>
    <row r="34270" spans="1:2" x14ac:dyDescent="0.25">
      <c r="A34270" s="64" t="str">
        <f>HYPERLINK("http://www.twitter.com/ScottishPoetry", "ScottishPoetry")</f>
        <v>ScottishPoetry</v>
      </c>
      <c r="B34270" s="65" t="s">
        <v>517</v>
      </c>
    </row>
    <row r="34271" spans="1:2" x14ac:dyDescent="0.25">
      <c r="A34271" s="64" t="str">
        <f>HYPERLINK("http://www.twitter.com/scottkeir", "scottkeir")</f>
        <v>scottkeir</v>
      </c>
      <c r="B34271" s="65" t="s">
        <v>36</v>
      </c>
    </row>
    <row r="34272" spans="1:2" x14ac:dyDescent="0.25">
      <c r="A34272" s="64" t="str">
        <f>HYPERLINK("http://www.twitter.com/HantsPants", "HantsPants")</f>
        <v>HantsPants</v>
      </c>
      <c r="B34272" s="65"/>
    </row>
    <row r="34273" spans="1:2" x14ac:dyDescent="0.25">
      <c r="A34273" s="64" t="str">
        <f>HYPERLINK("http://www.twitter.com/erlendwatson", "erlendwatson")</f>
        <v>erlendwatson</v>
      </c>
      <c r="B34273" s="65" t="s">
        <v>5930</v>
      </c>
    </row>
    <row r="34274" spans="1:2" x14ac:dyDescent="0.25">
      <c r="A34274" s="64" t="str">
        <f>HYPERLINK("http://www.twitter.com/twit_2_who", "twit_2_who")</f>
        <v>twit_2_who</v>
      </c>
      <c r="B34274" s="65"/>
    </row>
    <row r="34275" spans="1:2" x14ac:dyDescent="0.25">
      <c r="A34275" s="64" t="str">
        <f>HYPERLINK("http://www.twitter.com/Lightkeeper", "Lightkeeper")</f>
        <v>Lightkeeper</v>
      </c>
      <c r="B34275" s="65" t="s">
        <v>24</v>
      </c>
    </row>
    <row r="34276" spans="1:2" x14ac:dyDescent="0.25">
      <c r="A34276" s="64" t="str">
        <f>HYPERLINK("http://www.twitter.com/bexybla", "bexybla")</f>
        <v>bexybla</v>
      </c>
      <c r="B34276" s="65" t="s">
        <v>13280</v>
      </c>
    </row>
    <row r="34277" spans="1:2" x14ac:dyDescent="0.25">
      <c r="A34277" s="64" t="str">
        <f>HYPERLINK("http://www.twitter.com/notejuste", "notejuste")</f>
        <v>notejuste</v>
      </c>
      <c r="B34277" s="65" t="s">
        <v>13281</v>
      </c>
    </row>
    <row r="34278" spans="1:2" x14ac:dyDescent="0.25">
      <c r="A34278" s="64" t="str">
        <f>HYPERLINK("http://www.twitter.com/Quoytwatt", "Quoytwatt")</f>
        <v>Quoytwatt</v>
      </c>
      <c r="B34278" s="65"/>
    </row>
    <row r="34279" spans="1:2" x14ac:dyDescent="0.25">
      <c r="A34279" s="64" t="str">
        <f>HYPERLINK("http://www.twitter.com/kgbaston", "kgbaston")</f>
        <v>kgbaston</v>
      </c>
      <c r="B34279" s="65" t="s">
        <v>24</v>
      </c>
    </row>
    <row r="34280" spans="1:2" x14ac:dyDescent="0.25">
      <c r="A34280" s="64" t="str">
        <f>HYPERLINK("http://www.twitter.com/mandyfloss1", "mandyfloss1")</f>
        <v>mandyfloss1</v>
      </c>
      <c r="B34280" s="65" t="s">
        <v>13282</v>
      </c>
    </row>
    <row r="34281" spans="1:2" x14ac:dyDescent="0.25">
      <c r="A34281" s="64" t="str">
        <f>HYPERLINK("http://www.twitter.com/orudge", "orudge")</f>
        <v>orudge</v>
      </c>
      <c r="B34281" s="65" t="s">
        <v>4180</v>
      </c>
    </row>
    <row r="34282" spans="1:2" x14ac:dyDescent="0.25">
      <c r="A34282" s="64" t="str">
        <f>HYPERLINK("http://www.twitter.com/TrudyD75", "TrudyD75")</f>
        <v>TrudyD75</v>
      </c>
      <c r="B34282" s="65" t="s">
        <v>13283</v>
      </c>
    </row>
    <row r="34283" spans="1:2" x14ac:dyDescent="0.25">
      <c r="A34283" s="64" t="str">
        <f>HYPERLINK("http://www.twitter.com/IOMAdvertising", "IOMAdvertising")</f>
        <v>IOMAdvertising</v>
      </c>
      <c r="B34283" s="65" t="s">
        <v>5366</v>
      </c>
    </row>
    <row r="34284" spans="1:2" x14ac:dyDescent="0.25">
      <c r="A34284" s="64" t="str">
        <f>HYPERLINK("http://www.twitter.com/mackenziecolin", "mackenziecolin")</f>
        <v>mackenziecolin</v>
      </c>
      <c r="B34284" s="65" t="s">
        <v>138</v>
      </c>
    </row>
    <row r="34285" spans="1:2" x14ac:dyDescent="0.25">
      <c r="A34285" s="64" t="str">
        <f>HYPERLINK("http://www.twitter.com/peregryn", "peregryn")</f>
        <v>peregryn</v>
      </c>
      <c r="B34285" s="65" t="s">
        <v>2997</v>
      </c>
    </row>
    <row r="34286" spans="1:2" x14ac:dyDescent="0.25">
      <c r="A34286" s="64" t="str">
        <f>HYPERLINK("http://www.twitter.com/Jwknock", "Jwknock")</f>
        <v>Jwknock</v>
      </c>
      <c r="B34286" s="65" t="s">
        <v>11357</v>
      </c>
    </row>
    <row r="34287" spans="1:2" x14ac:dyDescent="0.25">
      <c r="A34287" s="64" t="str">
        <f>HYPERLINK("http://www.twitter.com/ajpeacock", "ajpeacock")</f>
        <v>ajpeacock</v>
      </c>
      <c r="B34287" s="65" t="s">
        <v>13284</v>
      </c>
    </row>
    <row r="34288" spans="1:2" x14ac:dyDescent="0.25">
      <c r="A34288" s="64" t="str">
        <f>HYPERLINK("http://www.twitter.com/davidmacdougall", "davidmacdougall")</f>
        <v>davidmacdougall</v>
      </c>
      <c r="B34288" s="65" t="s">
        <v>4152</v>
      </c>
    </row>
    <row r="34289" spans="1:2" x14ac:dyDescent="0.25">
      <c r="A34289" s="64" t="str">
        <f>HYPERLINK("http://www.twitter.com/0xfce2", "0xfce2")</f>
        <v>0xfce2</v>
      </c>
      <c r="B34289" s="65" t="s">
        <v>13285</v>
      </c>
    </row>
    <row r="34290" spans="1:2" x14ac:dyDescent="0.25">
      <c r="A34290" s="64" t="str">
        <f>HYPERLINK("http://www.twitter.com/The_Clement", "The_Clement")</f>
        <v>The_Clement</v>
      </c>
      <c r="B34290" s="65" t="s">
        <v>3890</v>
      </c>
    </row>
    <row r="34291" spans="1:2" x14ac:dyDescent="0.25">
      <c r="A34291" s="64" t="str">
        <f>HYPERLINK("http://www.twitter.com/danielparsonage", "danielparsonage")</f>
        <v>danielparsonage</v>
      </c>
      <c r="B34291" s="65" t="s">
        <v>13286</v>
      </c>
    </row>
    <row r="34292" spans="1:2" x14ac:dyDescent="0.25">
      <c r="A34292" s="64" t="str">
        <f>HYPERLINK("http://www.twitter.com/amynics", "amynics")</f>
        <v>amynics</v>
      </c>
      <c r="B34292" s="65" t="s">
        <v>36</v>
      </c>
    </row>
    <row r="34293" spans="1:2" x14ac:dyDescent="0.25">
      <c r="A34293" s="64" t="str">
        <f>HYPERLINK("http://www.twitter.com/lorelei_", "lorelei_")</f>
        <v>lorelei_</v>
      </c>
      <c r="B34293" s="65" t="s">
        <v>2774</v>
      </c>
    </row>
    <row r="34294" spans="1:2" x14ac:dyDescent="0.25">
      <c r="A34294" s="64" t="str">
        <f>HYPERLINK("http://www.twitter.com/austenonly", "austenonly")</f>
        <v>austenonly</v>
      </c>
      <c r="B34294" s="65" t="s">
        <v>1490</v>
      </c>
    </row>
    <row r="34295" spans="1:2" x14ac:dyDescent="0.25">
      <c r="A34295" s="64" t="str">
        <f>HYPERLINK("http://www.twitter.com/BootsJustBoots", "BootsJustBoots")</f>
        <v>BootsJustBoots</v>
      </c>
      <c r="B34295" s="65" t="s">
        <v>517</v>
      </c>
    </row>
    <row r="34296" spans="1:2" x14ac:dyDescent="0.25">
      <c r="A34296" s="64" t="str">
        <f>HYPERLINK("http://www.twitter.com/rscsam", "rscsam")</f>
        <v>rscsam</v>
      </c>
      <c r="B34296" s="65" t="s">
        <v>284</v>
      </c>
    </row>
    <row r="34297" spans="1:2" x14ac:dyDescent="0.25">
      <c r="A34297" s="64" t="str">
        <f>HYPERLINK("http://www.twitter.com/hannahswiv", "hannahswiv")</f>
        <v>hannahswiv</v>
      </c>
      <c r="B34297" s="65" t="s">
        <v>36</v>
      </c>
    </row>
    <row r="34298" spans="1:2" x14ac:dyDescent="0.25">
      <c r="A34298" s="64" t="str">
        <f>HYPERLINK("http://www.twitter.com/StrategicCities", "StrategicCities")</f>
        <v>StrategicCities</v>
      </c>
      <c r="B34298" s="65" t="s">
        <v>13287</v>
      </c>
    </row>
    <row r="34299" spans="1:2" x14ac:dyDescent="0.25">
      <c r="A34299" s="64" t="str">
        <f>HYPERLINK("http://www.twitter.com/gram63", "gram63")</f>
        <v>gram63</v>
      </c>
      <c r="B34299" s="65" t="s">
        <v>13288</v>
      </c>
    </row>
    <row r="34300" spans="1:2" x14ac:dyDescent="0.25">
      <c r="A34300" s="64" t="str">
        <f>HYPERLINK("http://www.twitter.com/Jamie_Makin", "Jamie_Makin")</f>
        <v>Jamie_Makin</v>
      </c>
      <c r="B34300" s="65" t="s">
        <v>4500</v>
      </c>
    </row>
    <row r="34301" spans="1:2" x14ac:dyDescent="0.25">
      <c r="A34301" s="64" t="str">
        <f>HYPERLINK("http://www.twitter.com/RobertBurnsNTS", "RobertBurnsNTS")</f>
        <v>RobertBurnsNTS</v>
      </c>
      <c r="B34301" s="65" t="s">
        <v>13289</v>
      </c>
    </row>
    <row r="34302" spans="1:2" x14ac:dyDescent="0.25">
      <c r="A34302" s="64" t="str">
        <f>HYPERLINK("http://www.twitter.com/KTHall1", "KTHall1")</f>
        <v>KTHall1</v>
      </c>
      <c r="B34302" s="65" t="s">
        <v>3262</v>
      </c>
    </row>
    <row r="34303" spans="1:2" x14ac:dyDescent="0.25">
      <c r="A34303" s="64" t="str">
        <f>HYPERLINK("http://www.twitter.com/engelsue", "engelsue")</f>
        <v>engelsue</v>
      </c>
      <c r="B34303" s="65" t="s">
        <v>4254</v>
      </c>
    </row>
    <row r="34304" spans="1:2" x14ac:dyDescent="0.25">
      <c r="A34304" s="64" t="str">
        <f>HYPERLINK("http://www.twitter.com/MuseumCrush", "MuseumCrush")</f>
        <v>MuseumCrush</v>
      </c>
      <c r="B34304" s="65" t="s">
        <v>5522</v>
      </c>
    </row>
    <row r="34305" spans="1:2" x14ac:dyDescent="0.25">
      <c r="A34305" s="64" t="str">
        <f>HYPERLINK("http://www.twitter.com/Igmeister", "Igmeister")</f>
        <v>Igmeister</v>
      </c>
      <c r="B34305" s="65" t="s">
        <v>2030</v>
      </c>
    </row>
    <row r="34306" spans="1:2" x14ac:dyDescent="0.25">
      <c r="A34306" s="64" t="str">
        <f>HYPERLINK("http://www.twitter.com/chaletfan", "chaletfan")</f>
        <v>chaletfan</v>
      </c>
      <c r="B34306" s="65" t="s">
        <v>1537</v>
      </c>
    </row>
    <row r="34307" spans="1:2" x14ac:dyDescent="0.25">
      <c r="A34307" s="64" t="str">
        <f>HYPERLINK("http://www.twitter.com/tomslovely", "tomslovely")</f>
        <v>tomslovely</v>
      </c>
      <c r="B34307" s="65" t="s">
        <v>13290</v>
      </c>
    </row>
    <row r="34308" spans="1:2" x14ac:dyDescent="0.25">
      <c r="A34308" s="64" t="str">
        <f>HYPERLINK("http://www.twitter.com/OrkneyStoF", "OrkneyStoF")</f>
        <v>OrkneyStoF</v>
      </c>
      <c r="B34308" s="65" t="s">
        <v>20</v>
      </c>
    </row>
    <row r="34309" spans="1:2" x14ac:dyDescent="0.25">
      <c r="A34309" s="64" t="str">
        <f>HYPERLINK("http://www.twitter.com/KathR", "KathR")</f>
        <v>KathR</v>
      </c>
      <c r="B34309" s="65" t="s">
        <v>64</v>
      </c>
    </row>
    <row r="34310" spans="1:2" x14ac:dyDescent="0.25">
      <c r="A34310" s="64" t="str">
        <f>HYPERLINK("http://www.twitter.com/missfionabird", "missfionabird")</f>
        <v>missfionabird</v>
      </c>
      <c r="B34310" s="65" t="s">
        <v>110</v>
      </c>
    </row>
    <row r="34311" spans="1:2" x14ac:dyDescent="0.25">
      <c r="A34311" s="64" t="str">
        <f>HYPERLINK("http://www.twitter.com/Coliboo", "Coliboo")</f>
        <v>Coliboo</v>
      </c>
      <c r="B34311" s="65" t="s">
        <v>2289</v>
      </c>
    </row>
    <row r="34312" spans="1:2" x14ac:dyDescent="0.25">
      <c r="A34312" s="64" t="str">
        <f>HYPERLINK("http://www.twitter.com/Barrythebanana", "Barrythebanana")</f>
        <v>Barrythebanana</v>
      </c>
      <c r="B34312" s="65"/>
    </row>
    <row r="34313" spans="1:2" x14ac:dyDescent="0.25">
      <c r="A34313" s="64" t="str">
        <f>HYPERLINK("http://www.twitter.com/FSZEK2002", "FSZEK2002")</f>
        <v>FSZEK2002</v>
      </c>
      <c r="B34313" s="65" t="s">
        <v>13291</v>
      </c>
    </row>
    <row r="34314" spans="1:2" x14ac:dyDescent="0.25">
      <c r="A34314" s="64" t="str">
        <f>HYPERLINK("http://www.twitter.com/librarian_1", "librarian_1")</f>
        <v>librarian_1</v>
      </c>
      <c r="B34314" s="65" t="s">
        <v>1078</v>
      </c>
    </row>
    <row r="34315" spans="1:2" x14ac:dyDescent="0.25">
      <c r="A34315" s="64" t="str">
        <f>HYPERLINK("http://www.twitter.com/gladlib", "gladlib")</f>
        <v>gladlib</v>
      </c>
      <c r="B34315" s="65" t="s">
        <v>155</v>
      </c>
    </row>
    <row r="34316" spans="1:2" x14ac:dyDescent="0.25">
      <c r="A34316" s="64" t="str">
        <f>HYPERLINK("http://www.twitter.com/HooklineBooks", "HooklineBooks")</f>
        <v>HooklineBooks</v>
      </c>
      <c r="B34316" s="65" t="s">
        <v>36</v>
      </c>
    </row>
    <row r="34317" spans="1:2" x14ac:dyDescent="0.25">
      <c r="A34317" s="64" t="str">
        <f>HYPERLINK("http://www.twitter.com/marcgalexander", "marcgalexander")</f>
        <v>marcgalexander</v>
      </c>
      <c r="B34317" s="65" t="s">
        <v>138</v>
      </c>
    </row>
    <row r="34318" spans="1:2" x14ac:dyDescent="0.25">
      <c r="A34318" s="64" t="str">
        <f>HYPERLINK("http://www.twitter.com/bbcdmacmillan", "bbcdmacmillan")</f>
        <v>bbcdmacmillan</v>
      </c>
      <c r="B34318" s="65" t="s">
        <v>6313</v>
      </c>
    </row>
    <row r="34319" spans="1:2" x14ac:dyDescent="0.25">
      <c r="A34319" s="64" t="str">
        <f>HYPERLINK("http://www.twitter.com/lxinspc", "lxinspc")</f>
        <v>lxinspc</v>
      </c>
      <c r="B34319" s="65" t="s">
        <v>36</v>
      </c>
    </row>
    <row r="34320" spans="1:2" x14ac:dyDescent="0.25">
      <c r="A34320" s="64" t="str">
        <f>HYPERLINK("http://www.twitter.com/librarydeborah", "librarydeborah")</f>
        <v>librarydeborah</v>
      </c>
      <c r="B34320" s="65" t="s">
        <v>863</v>
      </c>
    </row>
    <row r="34321" spans="1:2" x14ac:dyDescent="0.25">
      <c r="A34321" s="64" t="str">
        <f>HYPERLINK("http://www.twitter.com/LibraryLine", "LibraryLine")</f>
        <v>LibraryLine</v>
      </c>
      <c r="B34321" s="65" t="s">
        <v>284</v>
      </c>
    </row>
    <row r="34322" spans="1:2" x14ac:dyDescent="0.25">
      <c r="A34322" s="64" t="str">
        <f>HYPERLINK("http://www.twitter.com/EnrollerProject", "EnrollerProject")</f>
        <v>EnrollerProject</v>
      </c>
      <c r="B34322" s="65" t="s">
        <v>138</v>
      </c>
    </row>
    <row r="34323" spans="1:2" x14ac:dyDescent="0.25">
      <c r="A34323" s="64" t="str">
        <f>HYPERLINK("http://www.twitter.com/BLpressoffice", "BLpressoffice")</f>
        <v>BLpressoffice</v>
      </c>
      <c r="B34323" s="65" t="s">
        <v>13292</v>
      </c>
    </row>
    <row r="34324" spans="1:2" x14ac:dyDescent="0.25">
      <c r="A34324" s="64" t="str">
        <f>HYPERLINK("http://www.twitter.com/Helen_E_MC", "Helen_E_MC")</f>
        <v>Helen_E_MC</v>
      </c>
      <c r="B34324" s="65" t="s">
        <v>4237</v>
      </c>
    </row>
    <row r="34325" spans="1:2" x14ac:dyDescent="0.25">
      <c r="A34325" s="64" t="str">
        <f>HYPERLINK("http://www.twitter.com/KarrieLouise", "KarrieLouise")</f>
        <v>KarrieLouise</v>
      </c>
      <c r="B34325" s="65"/>
    </row>
    <row r="34326" spans="1:2" x14ac:dyDescent="0.25">
      <c r="A34326" s="64" t="str">
        <f>HYPERLINK("http://www.twitter.com/themepluginnews", "themepluginnews")</f>
        <v>themepluginnews</v>
      </c>
      <c r="B34326" s="65" t="s">
        <v>4149</v>
      </c>
    </row>
    <row r="34327" spans="1:2" x14ac:dyDescent="0.25">
      <c r="A34327" s="64" t="str">
        <f>HYPERLINK("http://www.twitter.com/hybridcollector", "hybridcollector")</f>
        <v>hybridcollector</v>
      </c>
      <c r="B34327" s="65"/>
    </row>
    <row r="34328" spans="1:2" x14ac:dyDescent="0.25">
      <c r="A34328" s="64" t="str">
        <f>HYPERLINK("http://www.twitter.com/j_davies_66", "j_davies_66")</f>
        <v>j_davies_66</v>
      </c>
      <c r="B34328" s="65"/>
    </row>
    <row r="34329" spans="1:2" x14ac:dyDescent="0.25">
      <c r="A34329" s="64" t="str">
        <f>HYPERLINK("http://www.twitter.com/voiceinthetent", "voiceinthetent")</f>
        <v>voiceinthetent</v>
      </c>
      <c r="B34329" s="65" t="s">
        <v>13293</v>
      </c>
    </row>
    <row r="34330" spans="1:2" x14ac:dyDescent="0.25">
      <c r="A34330" s="64" t="str">
        <f>HYPERLINK("http://www.twitter.com/praymurray", "praymurray")</f>
        <v>praymurray</v>
      </c>
      <c r="B34330" s="65" t="s">
        <v>6698</v>
      </c>
    </row>
    <row r="34331" spans="1:2" x14ac:dyDescent="0.25">
      <c r="A34331" s="64" t="str">
        <f>HYPERLINK("http://www.twitter.com/seatorspeaks", "seatorspeaks")</f>
        <v>seatorspeaks</v>
      </c>
      <c r="B34331" s="65" t="s">
        <v>517</v>
      </c>
    </row>
    <row r="34332" spans="1:2" x14ac:dyDescent="0.25">
      <c r="A34332" s="64" t="str">
        <f>HYPERLINK("http://www.twitter.com/triflingoffence", "triflingoffence")</f>
        <v>triflingoffence</v>
      </c>
      <c r="B34332" s="65" t="s">
        <v>13294</v>
      </c>
    </row>
    <row r="34333" spans="1:2" x14ac:dyDescent="0.25">
      <c r="A34333" s="64" t="str">
        <f>HYPERLINK("http://www.twitter.com/Glitterati3_C", "Glitterati3_C")</f>
        <v>Glitterati3_C</v>
      </c>
      <c r="B34333" s="65" t="s">
        <v>13295</v>
      </c>
    </row>
    <row r="34334" spans="1:2" x14ac:dyDescent="0.25">
      <c r="A34334" s="64" t="str">
        <f>HYPERLINK("http://www.twitter.com/IOMweb_monkey", "IOMweb_monkey")</f>
        <v>IOMweb_monkey</v>
      </c>
      <c r="B34334" s="65" t="s">
        <v>5366</v>
      </c>
    </row>
    <row r="34335" spans="1:2" x14ac:dyDescent="0.25">
      <c r="A34335" s="64" t="str">
        <f>HYPERLINK("http://www.twitter.com/seantizz", "seantizz")</f>
        <v>seantizz</v>
      </c>
      <c r="B34335" s="65" t="s">
        <v>7304</v>
      </c>
    </row>
    <row r="34336" spans="1:2" x14ac:dyDescent="0.25">
      <c r="A34336" s="64" t="str">
        <f>HYPERLINK("http://www.twitter.com/thetearooms", "thetearooms")</f>
        <v>thetearooms</v>
      </c>
      <c r="B34336" s="65" t="s">
        <v>13296</v>
      </c>
    </row>
    <row r="34337" spans="1:2" x14ac:dyDescent="0.25">
      <c r="A34337" s="64" t="str">
        <f>HYPERLINK("http://www.twitter.com/tritiam", "tritiam")</f>
        <v>tritiam</v>
      </c>
      <c r="B34337" s="65" t="s">
        <v>4681</v>
      </c>
    </row>
    <row r="34338" spans="1:2" x14ac:dyDescent="0.25">
      <c r="A34338" s="64" t="str">
        <f>HYPERLINK("http://www.twitter.com/VickyVixen", "VickyVixen")</f>
        <v>VickyVixen</v>
      </c>
      <c r="B34338" s="65"/>
    </row>
    <row r="34339" spans="1:2" x14ac:dyDescent="0.25">
      <c r="A34339" s="64" t="str">
        <f>HYPERLINK("http://www.twitter.com/ProgramX", "ProgramX")</f>
        <v>ProgramX</v>
      </c>
      <c r="B34339" s="65" t="s">
        <v>5366</v>
      </c>
    </row>
    <row r="34340" spans="1:2" x14ac:dyDescent="0.25">
      <c r="A34340" s="64" t="str">
        <f>HYPERLINK("http://www.twitter.com/KoreanSuperfrog", "KoreanSuperfrog")</f>
        <v>KoreanSuperfrog</v>
      </c>
      <c r="B34340" s="65" t="s">
        <v>13297</v>
      </c>
    </row>
    <row r="34341" spans="1:2" x14ac:dyDescent="0.25">
      <c r="A34341" s="64" t="str">
        <f>HYPERLINK("http://www.twitter.com/jorowleywt4", "jorowleywt4")</f>
        <v>jorowleywt4</v>
      </c>
      <c r="B34341" s="65" t="s">
        <v>517</v>
      </c>
    </row>
    <row r="34342" spans="1:2" x14ac:dyDescent="0.25">
      <c r="A34342" s="64" t="str">
        <f>HYPERLINK("http://www.twitter.com/CatCranston", "CatCranston")</f>
        <v>CatCranston</v>
      </c>
      <c r="B34342" s="65" t="s">
        <v>3817</v>
      </c>
    </row>
    <row r="34343" spans="1:2" x14ac:dyDescent="0.25">
      <c r="A34343" s="64" t="str">
        <f>HYPERLINK("http://www.twitter.com/RomanceLibn", "RomanceLibn")</f>
        <v>RomanceLibn</v>
      </c>
      <c r="B34343" s="65" t="s">
        <v>61</v>
      </c>
    </row>
    <row r="34344" spans="1:2" x14ac:dyDescent="0.25">
      <c r="A34344" s="64" t="str">
        <f>HYPERLINK("http://www.twitter.com/SCourt", "SCourt")</f>
        <v>SCourt</v>
      </c>
      <c r="B34344" s="65" t="s">
        <v>13298</v>
      </c>
    </row>
    <row r="34345" spans="1:2" x14ac:dyDescent="0.25">
      <c r="A34345" s="64" t="str">
        <f>HYPERLINK("http://www.twitter.com/trialia", "trialia")</f>
        <v>trialia</v>
      </c>
      <c r="B34345" s="65" t="s">
        <v>2289</v>
      </c>
    </row>
    <row r="34346" spans="1:2" x14ac:dyDescent="0.25">
      <c r="A34346" s="64" t="str">
        <f>HYPERLINK("http://www.twitter.com/shortstoryday", "shortstoryday")</f>
        <v>shortstoryday</v>
      </c>
      <c r="B34346" s="65"/>
    </row>
    <row r="34347" spans="1:2" x14ac:dyDescent="0.25">
      <c r="A34347" s="64" t="str">
        <f>HYPERLINK("http://www.twitter.com/madgeriver", "madgeriver")</f>
        <v>madgeriver</v>
      </c>
      <c r="B34347" s="65" t="s">
        <v>3919</v>
      </c>
    </row>
    <row r="34348" spans="1:2" x14ac:dyDescent="0.25">
      <c r="A34348" s="64" t="str">
        <f>HYPERLINK("http://www.twitter.com/Angelica2727", "Angelica2727")</f>
        <v>Angelica2727</v>
      </c>
      <c r="B34348" s="65" t="s">
        <v>1490</v>
      </c>
    </row>
    <row r="34349" spans="1:2" x14ac:dyDescent="0.25">
      <c r="A34349" s="64" t="str">
        <f>HYPERLINK("http://www.twitter.com/coolpiercing", "coolpiercing")</f>
        <v>coolpiercing</v>
      </c>
      <c r="B34349" s="65"/>
    </row>
    <row r="34350" spans="1:2" x14ac:dyDescent="0.25">
      <c r="A34350" s="64" t="str">
        <f>HYPERLINK("http://www.twitter.com/BluebellKent", "BluebellKent")</f>
        <v>BluebellKent</v>
      </c>
      <c r="B34350" s="65" t="s">
        <v>13299</v>
      </c>
    </row>
    <row r="34351" spans="1:2" x14ac:dyDescent="0.25">
      <c r="A34351" s="64" t="str">
        <f>HYPERLINK("http://www.twitter.com/iamemmas", "iamemmas")</f>
        <v>iamemmas</v>
      </c>
      <c r="B34351" s="65" t="s">
        <v>2951</v>
      </c>
    </row>
    <row r="34352" spans="1:2" x14ac:dyDescent="0.25">
      <c r="A34352" s="64" t="str">
        <f>HYPERLINK("http://www.twitter.com/EburyPublishing", "EburyPublishing")</f>
        <v>EburyPublishing</v>
      </c>
      <c r="B34352" s="65" t="s">
        <v>36</v>
      </c>
    </row>
    <row r="34353" spans="1:2" x14ac:dyDescent="0.25">
      <c r="A34353" s="64" t="str">
        <f>HYPERLINK("http://www.twitter.com/VftL_UK", "VftL_UK")</f>
        <v>VftL_UK</v>
      </c>
      <c r="B34353" s="65" t="s">
        <v>296</v>
      </c>
    </row>
    <row r="34354" spans="1:2" x14ac:dyDescent="0.25">
      <c r="A34354" s="64" t="str">
        <f>HYPERLINK("http://www.twitter.com/joycerendall", "joycerendall")</f>
        <v>joycerendall</v>
      </c>
      <c r="B34354" s="65"/>
    </row>
    <row r="34355" spans="1:2" x14ac:dyDescent="0.25">
      <c r="A34355" s="64" t="str">
        <f>HYPERLINK("http://www.twitter.com/TM_Malaria", "TM_Malaria")</f>
        <v>TM_Malaria</v>
      </c>
      <c r="B34355" s="65" t="s">
        <v>4149</v>
      </c>
    </row>
    <row r="34356" spans="1:2" x14ac:dyDescent="0.25">
      <c r="A34356" s="64" t="str">
        <f>HYPERLINK("http://www.twitter.com/auntyrubbish", "auntyrubbish")</f>
        <v>auntyrubbish</v>
      </c>
      <c r="B34356" s="65" t="s">
        <v>4854</v>
      </c>
    </row>
    <row r="34357" spans="1:2" x14ac:dyDescent="0.25">
      <c r="A34357" s="64" t="str">
        <f>HYPERLINK("http://www.twitter.com/suzy_a_kelly", "suzy_a_kelly")</f>
        <v>suzy_a_kelly</v>
      </c>
      <c r="B34357" s="65" t="s">
        <v>7762</v>
      </c>
    </row>
    <row r="34358" spans="1:2" x14ac:dyDescent="0.25">
      <c r="A34358" s="64" t="str">
        <f>HYPERLINK("http://www.twitter.com/Golden_vision", "Golden_vision")</f>
        <v>Golden_vision</v>
      </c>
      <c r="B34358" s="65" t="s">
        <v>13300</v>
      </c>
    </row>
    <row r="34359" spans="1:2" x14ac:dyDescent="0.25">
      <c r="A34359" s="64" t="str">
        <f>HYPERLINK("http://www.twitter.com/Prossian", "Prossian")</f>
        <v>Prossian</v>
      </c>
      <c r="B34359" s="65" t="s">
        <v>36</v>
      </c>
    </row>
    <row r="34360" spans="1:2" x14ac:dyDescent="0.25">
      <c r="A34360" s="64" t="str">
        <f>HYPERLINK("http://www.twitter.com/IsabelInfo", "IsabelInfo")</f>
        <v>IsabelInfo</v>
      </c>
      <c r="B34360" s="65" t="s">
        <v>5942</v>
      </c>
    </row>
    <row r="34361" spans="1:2" x14ac:dyDescent="0.25">
      <c r="A34361" s="64" t="str">
        <f>HYPERLINK("http://www.twitter.com/SheilaFleetSFJ", "SheilaFleetSFJ")</f>
        <v>SheilaFleetSFJ</v>
      </c>
      <c r="B34361" s="65" t="s">
        <v>20</v>
      </c>
    </row>
    <row r="34362" spans="1:2" x14ac:dyDescent="0.25">
      <c r="A34362" s="64" t="str">
        <f>HYPERLINK("http://www.twitter.com/prepressperth", "prepressperth")</f>
        <v>prepressperth</v>
      </c>
      <c r="B34362" s="65" t="s">
        <v>13301</v>
      </c>
    </row>
    <row r="34363" spans="1:2" x14ac:dyDescent="0.25">
      <c r="A34363" s="64" t="str">
        <f>HYPERLINK("http://www.twitter.com/seth_denbo", "seth_denbo")</f>
        <v>seth_denbo</v>
      </c>
      <c r="B34363" s="65" t="s">
        <v>3785</v>
      </c>
    </row>
    <row r="34364" spans="1:2" x14ac:dyDescent="0.25">
      <c r="A34364" s="64" t="str">
        <f>HYPERLINK("http://www.twitter.com/Tallheath", "Tallheath")</f>
        <v>Tallheath</v>
      </c>
      <c r="B34364" s="65" t="s">
        <v>296</v>
      </c>
    </row>
    <row r="34365" spans="1:2" x14ac:dyDescent="0.25">
      <c r="A34365" s="64" t="str">
        <f>HYPERLINK("http://www.twitter.com/greatbigbadger", "greatbigbadger")</f>
        <v>greatbigbadger</v>
      </c>
      <c r="B34365" s="65" t="s">
        <v>9002</v>
      </c>
    </row>
    <row r="34366" spans="1:2" x14ac:dyDescent="0.25">
      <c r="A34366" s="64" t="str">
        <f>HYPERLINK("http://www.twitter.com/bckmph", "bckmph")</f>
        <v>bckmph</v>
      </c>
      <c r="B34366" s="65" t="s">
        <v>13302</v>
      </c>
    </row>
    <row r="34367" spans="1:2" x14ac:dyDescent="0.25">
      <c r="A34367" s="64" t="str">
        <f>HYPERLINK("http://www.twitter.com/JamesASinclair", "JamesASinclair")</f>
        <v>JamesASinclair</v>
      </c>
      <c r="B34367" s="65" t="s">
        <v>13303</v>
      </c>
    </row>
    <row r="34368" spans="1:2" x14ac:dyDescent="0.25">
      <c r="A34368" s="64" t="str">
        <f>HYPERLINK("http://www.twitter.com/Bohemiangirl", "Bohemiangirl")</f>
        <v>Bohemiangirl</v>
      </c>
      <c r="B34368" s="65" t="s">
        <v>13304</v>
      </c>
    </row>
    <row r="34369" spans="1:2" x14ac:dyDescent="0.25">
      <c r="A34369" s="64" t="str">
        <f>HYPERLINK("http://www.twitter.com/greendrawers", "greendrawers")</f>
        <v>greendrawers</v>
      </c>
      <c r="B34369" s="65" t="s">
        <v>3262</v>
      </c>
    </row>
    <row r="34370" spans="1:2" x14ac:dyDescent="0.25">
      <c r="A34370" s="64" t="str">
        <f>HYPERLINK("http://www.twitter.com/ntheowl", "ntheowl")</f>
        <v>ntheowl</v>
      </c>
      <c r="B34370" s="65" t="s">
        <v>13305</v>
      </c>
    </row>
    <row r="34371" spans="1:2" x14ac:dyDescent="0.25">
      <c r="A34371" s="64" t="str">
        <f>HYPERLINK("http://www.twitter.com/phuplate", "phuplate")</f>
        <v>phuplate</v>
      </c>
      <c r="B34371" s="65" t="s">
        <v>10567</v>
      </c>
    </row>
    <row r="34372" spans="1:2" x14ac:dyDescent="0.25">
      <c r="A34372" s="64" t="str">
        <f>HYPERLINK("http://www.twitter.com/Christopher_R", "Christopher_R")</f>
        <v>Christopher_R</v>
      </c>
      <c r="B34372" s="65" t="s">
        <v>102</v>
      </c>
    </row>
    <row r="34373" spans="1:2" x14ac:dyDescent="0.25">
      <c r="A34373" s="64" t="str">
        <f>HYPERLINK("http://www.twitter.com/Ali_Holder", "Ali_Holder")</f>
        <v>Ali_Holder</v>
      </c>
      <c r="B34373" s="65" t="s">
        <v>296</v>
      </c>
    </row>
    <row r="34374" spans="1:2" x14ac:dyDescent="0.25">
      <c r="A34374" s="64" t="str">
        <f>HYPERLINK("http://www.twitter.com/thackary", "thackary")</f>
        <v>thackary</v>
      </c>
      <c r="B34374" s="65" t="s">
        <v>4049</v>
      </c>
    </row>
    <row r="34375" spans="1:2" x14ac:dyDescent="0.25">
      <c r="A34375" s="64" t="str">
        <f>HYPERLINK("http://www.twitter.com/somevaguetweet", "somevaguetweet")</f>
        <v>somevaguetweet</v>
      </c>
      <c r="B34375" s="65" t="s">
        <v>517</v>
      </c>
    </row>
    <row r="34376" spans="1:2" x14ac:dyDescent="0.25">
      <c r="A34376" s="64" t="str">
        <f>HYPERLINK("http://www.twitter.com/QuotablesHQ", "QuotablesHQ")</f>
        <v>QuotablesHQ</v>
      </c>
      <c r="B34376" s="65" t="s">
        <v>318</v>
      </c>
    </row>
    <row r="34377" spans="1:2" x14ac:dyDescent="0.25">
      <c r="A34377" s="64" t="str">
        <f>HYPERLINK("http://www.twitter.com/ideala2", "ideala2")</f>
        <v>ideala2</v>
      </c>
      <c r="B34377" s="65" t="s">
        <v>642</v>
      </c>
    </row>
    <row r="34378" spans="1:2" x14ac:dyDescent="0.25">
      <c r="A34378" s="64" t="str">
        <f>HYPERLINK("http://www.twitter.com/Hypnogoria", "Hypnogoria")</f>
        <v>Hypnogoria</v>
      </c>
      <c r="B34378" s="65" t="s">
        <v>12500</v>
      </c>
    </row>
    <row r="34379" spans="1:2" x14ac:dyDescent="0.25">
      <c r="A34379" s="64" t="str">
        <f>HYPERLINK("http://www.twitter.com/engagefored", "engagefored")</f>
        <v>engagefored</v>
      </c>
      <c r="B34379" s="65" t="s">
        <v>517</v>
      </c>
    </row>
    <row r="34380" spans="1:2" x14ac:dyDescent="0.25">
      <c r="A34380" s="64" t="str">
        <f>HYPERLINK("http://www.twitter.com/ScotsMagazine", "ScotsMagazine")</f>
        <v>ScotsMagazine</v>
      </c>
      <c r="B34380" s="65" t="s">
        <v>517</v>
      </c>
    </row>
    <row r="34381" spans="1:2" x14ac:dyDescent="0.25">
      <c r="A34381" s="64" t="str">
        <f>HYPERLINK("http://www.twitter.com/mlamle", "mlamle")</f>
        <v>mlamle</v>
      </c>
      <c r="B34381" s="65"/>
    </row>
    <row r="34382" spans="1:2" x14ac:dyDescent="0.25">
      <c r="A34382" s="64" t="str">
        <f>HYPERLINK("http://www.twitter.com/albasteve", "albasteve")</f>
        <v>albasteve</v>
      </c>
      <c r="B34382" s="65" t="s">
        <v>1447</v>
      </c>
    </row>
    <row r="34383" spans="1:2" x14ac:dyDescent="0.25">
      <c r="A34383" s="64" t="str">
        <f>HYPERLINK("http://www.twitter.com/astridestella", "astridestella")</f>
        <v>astridestella</v>
      </c>
      <c r="B34383" s="65" t="s">
        <v>296</v>
      </c>
    </row>
    <row r="34384" spans="1:2" x14ac:dyDescent="0.25">
      <c r="A34384" s="64" t="str">
        <f>HYPERLINK("http://www.twitter.com/OrkSciFest", "OrkSciFest")</f>
        <v>OrkSciFest</v>
      </c>
      <c r="B34384" s="65" t="s">
        <v>517</v>
      </c>
    </row>
    <row r="34385" spans="1:2" x14ac:dyDescent="0.25">
      <c r="A34385" s="64" t="str">
        <f>HYPERLINK("http://www.twitter.com/KtLedger", "KtLedger")</f>
        <v>KtLedger</v>
      </c>
      <c r="B34385" s="65" t="s">
        <v>13306</v>
      </c>
    </row>
    <row r="34386" spans="1:2" x14ac:dyDescent="0.25">
      <c r="A34386" s="64" t="str">
        <f>HYPERLINK("http://www.twitter.com/sean_o_flynn", "sean_o_flynn")</f>
        <v>sean_o_flynn</v>
      </c>
      <c r="B34386" s="65" t="s">
        <v>36</v>
      </c>
    </row>
    <row r="34387" spans="1:2" x14ac:dyDescent="0.25">
      <c r="A34387" s="64" t="str">
        <f>HYPERLINK("http://www.twitter.com/jcorvil", "jcorvil")</f>
        <v>jcorvil</v>
      </c>
      <c r="B34387" s="65" t="s">
        <v>5591</v>
      </c>
    </row>
    <row r="34388" spans="1:2" x14ac:dyDescent="0.25">
      <c r="A34388" s="64" t="str">
        <f>HYPERLINK("http://www.twitter.com/DustToDustBook", "DustToDustBook")</f>
        <v>DustToDustBook</v>
      </c>
      <c r="B34388" s="65" t="s">
        <v>24</v>
      </c>
    </row>
    <row r="34389" spans="1:2" x14ac:dyDescent="0.25">
      <c r="A34389" s="64" t="str">
        <f>HYPERLINK("http://www.twitter.com/antoniaward", "antoniaward")</f>
        <v>antoniaward</v>
      </c>
      <c r="B34389" s="65" t="s">
        <v>36</v>
      </c>
    </row>
    <row r="34390" spans="1:2" x14ac:dyDescent="0.25">
      <c r="A34390" s="64" t="str">
        <f>HYPERLINK("http://www.twitter.com/FalkirkCultural", "FalkirkCultural")</f>
        <v>FalkirkCultural</v>
      </c>
      <c r="B34390" s="65" t="s">
        <v>355</v>
      </c>
    </row>
    <row r="34391" spans="1:2" x14ac:dyDescent="0.25">
      <c r="A34391" s="64" t="str">
        <f>HYPERLINK("http://www.twitter.com/loftliterary", "loftliterary")</f>
        <v>loftliterary</v>
      </c>
      <c r="B34391" s="65" t="s">
        <v>13307</v>
      </c>
    </row>
    <row r="34392" spans="1:2" x14ac:dyDescent="0.25">
      <c r="A34392" s="64" t="str">
        <f>HYPERLINK("http://www.twitter.com/ThameLibrary", "ThameLibrary")</f>
        <v>ThameLibrary</v>
      </c>
      <c r="B34392" s="65" t="s">
        <v>296</v>
      </c>
    </row>
    <row r="34393" spans="1:2" x14ac:dyDescent="0.25">
      <c r="A34393" s="64" t="str">
        <f>HYPERLINK("http://www.twitter.com/vivrussell", "vivrussell")</f>
        <v>vivrussell</v>
      </c>
      <c r="B34393" s="65" t="s">
        <v>36</v>
      </c>
    </row>
    <row r="34394" spans="1:2" x14ac:dyDescent="0.25">
      <c r="A34394" s="64" t="str">
        <f>HYPERLINK("http://www.twitter.com/OxfordEdMFL", "OxfordEdMFL")</f>
        <v>OxfordEdMFL</v>
      </c>
      <c r="B34394" s="65" t="s">
        <v>505</v>
      </c>
    </row>
    <row r="34395" spans="1:2" x14ac:dyDescent="0.25">
      <c r="A34395" s="64" t="str">
        <f>HYPERLINK("http://www.twitter.com/bluepoppycat", "bluepoppycat")</f>
        <v>bluepoppycat</v>
      </c>
      <c r="B34395" s="65"/>
    </row>
    <row r="34396" spans="1:2" x14ac:dyDescent="0.25">
      <c r="A34396" s="64" t="str">
        <f>HYPERLINK("http://www.twitter.com/BradMoschetti", "BradMoschetti")</f>
        <v>BradMoschetti</v>
      </c>
      <c r="B34396" s="65"/>
    </row>
    <row r="34397" spans="1:2" x14ac:dyDescent="0.25">
      <c r="A34397" s="64" t="str">
        <f>HYPERLINK("http://www.twitter.com/KnowlesCollect", "KnowlesCollect")</f>
        <v>KnowlesCollect</v>
      </c>
      <c r="B34397" s="65" t="s">
        <v>13308</v>
      </c>
    </row>
    <row r="34398" spans="1:2" x14ac:dyDescent="0.25">
      <c r="A34398" s="64" t="str">
        <f>HYPERLINK("http://www.twitter.com/AlbaResearch", "AlbaResearch")</f>
        <v>AlbaResearch</v>
      </c>
      <c r="B34398" s="65"/>
    </row>
    <row r="34399" spans="1:2" x14ac:dyDescent="0.25">
      <c r="A34399" s="64" t="str">
        <f>HYPERLINK("http://www.twitter.com/bluekit15", "bluekit15")</f>
        <v>bluekit15</v>
      </c>
      <c r="B34399" s="65" t="s">
        <v>296</v>
      </c>
    </row>
    <row r="34400" spans="1:2" x14ac:dyDescent="0.25">
      <c r="A34400" s="64" t="str">
        <f>HYPERLINK("http://www.twitter.com/ashgate", "ashgate")</f>
        <v>ashgate</v>
      </c>
      <c r="B34400" s="65" t="s">
        <v>13309</v>
      </c>
    </row>
    <row r="34401" spans="1:2" x14ac:dyDescent="0.25">
      <c r="A34401" s="64" t="str">
        <f>HYPERLINK("http://www.twitter.com/erinehm", "erinehm")</f>
        <v>erinehm</v>
      </c>
      <c r="B34401" s="65" t="s">
        <v>13310</v>
      </c>
    </row>
    <row r="34402" spans="1:2" x14ac:dyDescent="0.25">
      <c r="A34402" s="64" t="str">
        <f>HYPERLINK("http://www.twitter.com/insidebooks", "insidebooks")</f>
        <v>insidebooks</v>
      </c>
      <c r="B34402" s="65" t="s">
        <v>36</v>
      </c>
    </row>
    <row r="34403" spans="1:2" x14ac:dyDescent="0.25">
      <c r="A34403" s="64" t="str">
        <f>HYPERLINK("http://www.twitter.com/missielizzieb", "missielizzieb")</f>
        <v>missielizzieb</v>
      </c>
      <c r="B34403" s="65" t="s">
        <v>13311</v>
      </c>
    </row>
    <row r="34404" spans="1:2" x14ac:dyDescent="0.25">
      <c r="A34404" s="64" t="str">
        <f>HYPERLINK("http://www.twitter.com/DragonRisingPub", "DragonRisingPub")</f>
        <v>DragonRisingPub</v>
      </c>
      <c r="B34404" s="65"/>
    </row>
    <row r="34405" spans="1:2" x14ac:dyDescent="0.25">
      <c r="A34405" s="64" t="str">
        <f>HYPERLINK("http://www.twitter.com/Skallagrimson", "Skallagrimson")</f>
        <v>Skallagrimson</v>
      </c>
      <c r="B34405" s="65" t="s">
        <v>477</v>
      </c>
    </row>
    <row r="34406" spans="1:2" x14ac:dyDescent="0.25">
      <c r="A34406" s="64" t="str">
        <f>HYPERLINK("http://www.twitter.com/aedward125", "aedward125")</f>
        <v>aedward125</v>
      </c>
      <c r="B34406" s="65" t="s">
        <v>13312</v>
      </c>
    </row>
    <row r="34407" spans="1:2" x14ac:dyDescent="0.25">
      <c r="A34407" s="64" t="str">
        <f>HYPERLINK("http://www.twitter.com/LoLoPants", "LoLoPants")</f>
        <v>LoLoPants</v>
      </c>
      <c r="B34407" s="65" t="s">
        <v>7781</v>
      </c>
    </row>
    <row r="34408" spans="1:2" x14ac:dyDescent="0.25">
      <c r="A34408" s="64" t="str">
        <f>HYPERLINK("http://www.twitter.com/Boolbar", "Boolbar")</f>
        <v>Boolbar</v>
      </c>
      <c r="B34408" s="65" t="s">
        <v>13313</v>
      </c>
    </row>
    <row r="34409" spans="1:2" x14ac:dyDescent="0.25">
      <c r="A34409" s="64" t="str">
        <f>HYPERLINK("http://www.twitter.com/musesings13", "musesings13")</f>
        <v>musesings13</v>
      </c>
      <c r="B34409" s="65" t="s">
        <v>11768</v>
      </c>
    </row>
    <row r="34410" spans="1:2" x14ac:dyDescent="0.25">
      <c r="A34410" s="64" t="str">
        <f>HYPERLINK("http://www.twitter.com/andreapearson", "andreapearson")</f>
        <v>andreapearson</v>
      </c>
      <c r="B34410" s="65"/>
    </row>
    <row r="34411" spans="1:2" x14ac:dyDescent="0.25">
      <c r="A34411" s="64" t="str">
        <f>HYPERLINK("http://www.twitter.com/carolinebreyley", "carolinebreyley")</f>
        <v>carolinebreyley</v>
      </c>
      <c r="B34411" s="65" t="s">
        <v>115</v>
      </c>
    </row>
    <row r="34412" spans="1:2" x14ac:dyDescent="0.25">
      <c r="A34412" s="64" t="str">
        <f>HYPERLINK("http://www.twitter.com/WallingfordLib", "WallingfordLib")</f>
        <v>WallingfordLib</v>
      </c>
      <c r="B34412" s="65" t="s">
        <v>982</v>
      </c>
    </row>
    <row r="34413" spans="1:2" x14ac:dyDescent="0.25">
      <c r="A34413" s="64" t="str">
        <f>HYPERLINK("http://www.twitter.com/NoWALnews", "NoWALnews")</f>
        <v>NoWALnews</v>
      </c>
      <c r="B34413" s="65" t="s">
        <v>13314</v>
      </c>
    </row>
    <row r="34414" spans="1:2" x14ac:dyDescent="0.25">
      <c r="A34414" s="64" t="str">
        <f>HYPERLINK("http://www.twitter.com/BrodartPulse", "BrodartPulse")</f>
        <v>BrodartPulse</v>
      </c>
      <c r="B34414" s="65" t="s">
        <v>13315</v>
      </c>
    </row>
    <row r="34415" spans="1:2" x14ac:dyDescent="0.25">
      <c r="A34415" s="64" t="str">
        <f>HYPERLINK("http://www.twitter.com/LILAC_conf", "LILAC_conf")</f>
        <v>LILAC_conf</v>
      </c>
      <c r="B34415" s="65" t="s">
        <v>70</v>
      </c>
    </row>
    <row r="34416" spans="1:2" x14ac:dyDescent="0.25">
      <c r="A34416" s="64" t="str">
        <f>HYPERLINK("http://www.twitter.com/alisonmbarlow", "alisonmbarlow")</f>
        <v>alisonmbarlow</v>
      </c>
      <c r="B34416" s="65" t="s">
        <v>526</v>
      </c>
    </row>
    <row r="34417" spans="1:2" x14ac:dyDescent="0.25">
      <c r="A34417" s="64" t="str">
        <f>HYPERLINK("http://www.twitter.com/Aussiereader", "Aussiereader")</f>
        <v>Aussiereader</v>
      </c>
      <c r="B34417" s="65" t="s">
        <v>13316</v>
      </c>
    </row>
    <row r="34418" spans="1:2" x14ac:dyDescent="0.25">
      <c r="A34418" s="64" t="str">
        <f>HYPERLINK("http://www.twitter.com/JoParkery", "JoParkery")</f>
        <v>JoParkery</v>
      </c>
      <c r="B34418" s="65" t="s">
        <v>64</v>
      </c>
    </row>
    <row r="34419" spans="1:2" x14ac:dyDescent="0.25">
      <c r="A34419" s="64" t="str">
        <f>HYPERLINK("http://www.twitter.com/londonlibraries", "londonlibraries")</f>
        <v>londonlibraries</v>
      </c>
      <c r="B34419" s="65" t="s">
        <v>36</v>
      </c>
    </row>
    <row r="34420" spans="1:2" x14ac:dyDescent="0.25">
      <c r="A34420" s="64" t="str">
        <f>HYPERLINK("http://www.twitter.com/DHartleyWriter", "DHartleyWriter")</f>
        <v>DHartleyWriter</v>
      </c>
      <c r="B34420" s="65" t="s">
        <v>4040</v>
      </c>
    </row>
    <row r="34421" spans="1:2" x14ac:dyDescent="0.25">
      <c r="A34421" s="64" t="str">
        <f>HYPERLINK("http://www.twitter.com/Copac", "Copac")</f>
        <v>Copac</v>
      </c>
      <c r="B34421" s="65" t="s">
        <v>4040</v>
      </c>
    </row>
    <row r="34422" spans="1:2" x14ac:dyDescent="0.25">
      <c r="A34422" s="64" t="str">
        <f>HYPERLINK("http://www.twitter.com/Math_Llyfrgell", "Math_Llyfrgell")</f>
        <v>Math_Llyfrgell</v>
      </c>
      <c r="B34422" s="65" t="s">
        <v>1425</v>
      </c>
    </row>
    <row r="34423" spans="1:2" x14ac:dyDescent="0.25">
      <c r="A34423" s="64" t="str">
        <f>HYPERLINK("http://www.twitter.com/RELUCTANTmrmum", "RELUCTANTmrmum")</f>
        <v>RELUCTANTmrmum</v>
      </c>
      <c r="B34423" s="65" t="s">
        <v>36</v>
      </c>
    </row>
    <row r="34424" spans="1:2" x14ac:dyDescent="0.25">
      <c r="A34424" s="64" t="str">
        <f>HYPERLINK("http://www.twitter.com/raybrarian", "raybrarian")</f>
        <v>raybrarian</v>
      </c>
      <c r="B34424" s="65"/>
    </row>
    <row r="34425" spans="1:2" x14ac:dyDescent="0.25">
      <c r="A34425" s="64" t="str">
        <f>HYPERLINK("http://www.twitter.com/AbingtonLibrary", "AbingtonLibrary")</f>
        <v>AbingtonLibrary</v>
      </c>
      <c r="B34425" s="65" t="s">
        <v>13317</v>
      </c>
    </row>
    <row r="34426" spans="1:2" x14ac:dyDescent="0.25">
      <c r="A34426" s="64" t="str">
        <f>HYPERLINK("http://www.twitter.com/SuffolkGael", "SuffolkGael")</f>
        <v>SuffolkGael</v>
      </c>
      <c r="B34426" s="65"/>
    </row>
    <row r="34427" spans="1:2" x14ac:dyDescent="0.25">
      <c r="A34427" s="64" t="str">
        <f>HYPERLINK("http://www.twitter.com/KatMelvin", "KatMelvin")</f>
        <v>KatMelvin</v>
      </c>
      <c r="B34427" s="65" t="s">
        <v>13318</v>
      </c>
    </row>
    <row r="34428" spans="1:2" x14ac:dyDescent="0.25">
      <c r="A34428" s="64" t="str">
        <f>HYPERLINK("http://www.twitter.com/teapickles", "teapickles")</f>
        <v>teapickles</v>
      </c>
      <c r="B34428" s="65" t="s">
        <v>24</v>
      </c>
    </row>
    <row r="34429" spans="1:2" x14ac:dyDescent="0.25">
      <c r="A34429" s="64" t="str">
        <f>HYPERLINK("http://www.twitter.com/DawsonBooks", "DawsonBooks")</f>
        <v>DawsonBooks</v>
      </c>
      <c r="B34429" s="65" t="s">
        <v>4826</v>
      </c>
    </row>
    <row r="34430" spans="1:2" x14ac:dyDescent="0.25">
      <c r="A34430" s="64" t="str">
        <f>HYPERLINK("http://www.twitter.com/AddressHistory", "AddressHistory")</f>
        <v>AddressHistory</v>
      </c>
      <c r="B34430" s="65" t="s">
        <v>67</v>
      </c>
    </row>
    <row r="34431" spans="1:2" x14ac:dyDescent="0.25">
      <c r="A34431" s="64" t="str">
        <f>HYPERLINK("http://www.twitter.com/AuspiciousJinx", "AuspiciousJinx")</f>
        <v>AuspiciousJinx</v>
      </c>
      <c r="B34431" s="65" t="s">
        <v>13319</v>
      </c>
    </row>
    <row r="34432" spans="1:2" x14ac:dyDescent="0.25">
      <c r="A34432" s="64" t="str">
        <f>HYPERLINK("http://www.twitter.com/airlie3", "airlie3")</f>
        <v>airlie3</v>
      </c>
      <c r="B34432" s="65"/>
    </row>
    <row r="34433" spans="1:2" x14ac:dyDescent="0.25">
      <c r="A34433" s="64" t="str">
        <f>HYPERLINK("http://www.twitter.com/alightheart", "alightheart")</f>
        <v>alightheart</v>
      </c>
      <c r="B34433" s="65" t="s">
        <v>13320</v>
      </c>
    </row>
    <row r="34434" spans="1:2" x14ac:dyDescent="0.25">
      <c r="A34434" s="64" t="str">
        <f>HYPERLINK("http://www.twitter.com/RKECole", "RKECole")</f>
        <v>RKECole</v>
      </c>
      <c r="B34434" s="65" t="s">
        <v>4355</v>
      </c>
    </row>
    <row r="34435" spans="1:2" x14ac:dyDescent="0.25">
      <c r="A34435" s="64" t="str">
        <f>HYPERLINK("http://www.twitter.com/AudioGO_UK", "AudioGO_UK")</f>
        <v>AudioGO_UK</v>
      </c>
      <c r="B34435" s="65" t="s">
        <v>1098</v>
      </c>
    </row>
    <row r="34436" spans="1:2" x14ac:dyDescent="0.25">
      <c r="A34436" s="64" t="str">
        <f>HYPERLINK("http://www.twitter.com/WallpapersTheme", "WallpapersTheme")</f>
        <v>WallpapersTheme</v>
      </c>
      <c r="B34436" s="65"/>
    </row>
    <row r="34437" spans="1:2" x14ac:dyDescent="0.25">
      <c r="A34437" s="64" t="str">
        <f>HYPERLINK("http://www.twitter.com/Cath_Marlowe", "Cath_Marlowe")</f>
        <v>Cath_Marlowe</v>
      </c>
      <c r="B34437" s="65" t="s">
        <v>642</v>
      </c>
    </row>
    <row r="34438" spans="1:2" x14ac:dyDescent="0.25">
      <c r="A34438" s="64" t="str">
        <f>HYPERLINK("http://www.twitter.com/timhodson", "timhodson")</f>
        <v>timhodson</v>
      </c>
      <c r="B34438" s="65" t="s">
        <v>5135</v>
      </c>
    </row>
    <row r="34439" spans="1:2" x14ac:dyDescent="0.25">
      <c r="A34439" s="64" t="str">
        <f>HYPERLINK("http://www.twitter.com/skillsie", "skillsie")</f>
        <v>skillsie</v>
      </c>
      <c r="B34439" s="65" t="s">
        <v>3779</v>
      </c>
    </row>
    <row r="34440" spans="1:2" x14ac:dyDescent="0.25">
      <c r="A34440" s="64" t="str">
        <f>HYPERLINK("http://www.twitter.com/shedsue", "shedsue")</f>
        <v>shedsue</v>
      </c>
      <c r="B34440" s="65" t="s">
        <v>13321</v>
      </c>
    </row>
    <row r="34441" spans="1:2" x14ac:dyDescent="0.25">
      <c r="A34441" s="64" t="str">
        <f>HYPERLINK("http://www.twitter.com/AuntiePeachBake", "AuntiePeachBake")</f>
        <v>AuntiePeachBake</v>
      </c>
      <c r="B34441" s="65"/>
    </row>
    <row r="34442" spans="1:2" x14ac:dyDescent="0.25">
      <c r="A34442" s="64" t="str">
        <f>HYPERLINK("http://www.twitter.com/bagbooks", "bagbooks")</f>
        <v>bagbooks</v>
      </c>
      <c r="B34442" s="65" t="s">
        <v>36</v>
      </c>
    </row>
    <row r="34443" spans="1:2" x14ac:dyDescent="0.25">
      <c r="A34443" s="64" t="str">
        <f>HYPERLINK("http://www.twitter.com/STVellen", "STVellen")</f>
        <v>STVellen</v>
      </c>
      <c r="B34443" s="65" t="s">
        <v>517</v>
      </c>
    </row>
    <row r="34444" spans="1:2" x14ac:dyDescent="0.25">
      <c r="A34444" s="64" t="str">
        <f>HYPERLINK("http://www.twitter.com/pollyvgrice", "pollyvgrice")</f>
        <v>pollyvgrice</v>
      </c>
      <c r="B34444" s="65" t="s">
        <v>36</v>
      </c>
    </row>
    <row r="34445" spans="1:2" x14ac:dyDescent="0.25">
      <c r="A34445" s="64" t="str">
        <f>HYPERLINK("http://www.twitter.com/orkneysteph", "orkneysteph")</f>
        <v>orkneysteph</v>
      </c>
      <c r="B34445" s="65" t="s">
        <v>4519</v>
      </c>
    </row>
    <row r="34446" spans="1:2" x14ac:dyDescent="0.25">
      <c r="A34446" s="64" t="str">
        <f>HYPERLINK("http://www.twitter.com/MileStyle", "MileStyle")</f>
        <v>MileStyle</v>
      </c>
      <c r="B34446" s="65" t="s">
        <v>74</v>
      </c>
    </row>
    <row r="34447" spans="1:2" x14ac:dyDescent="0.25">
      <c r="A34447" s="64" t="str">
        <f>HYPERLINK("http://www.twitter.com/PreachyPreach", "PreachyPreach")</f>
        <v>PreachyPreach</v>
      </c>
      <c r="B34447" s="65" t="s">
        <v>36</v>
      </c>
    </row>
    <row r="34448" spans="1:2" x14ac:dyDescent="0.25">
      <c r="A34448" s="64" t="str">
        <f>HYPERLINK("http://www.twitter.com/DaintyBallerina", "DaintyBallerina")</f>
        <v>DaintyBallerina</v>
      </c>
      <c r="B34448" s="65" t="s">
        <v>13322</v>
      </c>
    </row>
    <row r="34449" spans="1:2" x14ac:dyDescent="0.25">
      <c r="A34449" s="64" t="str">
        <f>HYPERLINK("http://www.twitter.com/libalyson", "libalyson")</f>
        <v>libalyson</v>
      </c>
      <c r="B34449" s="65" t="s">
        <v>5727</v>
      </c>
    </row>
    <row r="34450" spans="1:2" x14ac:dyDescent="0.25">
      <c r="A34450" s="64" t="str">
        <f>HYPERLINK("http://www.twitter.com/redrichie", "redrichie")</f>
        <v>redrichie</v>
      </c>
      <c r="B34450" s="65"/>
    </row>
    <row r="34451" spans="1:2" x14ac:dyDescent="0.25">
      <c r="A34451" s="64" t="str">
        <f>HYPERLINK("http://www.twitter.com/CompassRichard", "CompassRichard")</f>
        <v>CompassRichard</v>
      </c>
      <c r="B34451" s="65" t="s">
        <v>788</v>
      </c>
    </row>
    <row r="34452" spans="1:2" x14ac:dyDescent="0.25">
      <c r="A34452" s="64" t="str">
        <f>HYPERLINK("http://www.twitter.com/FrankH_LJMU", "FrankH_LJMU")</f>
        <v>FrankH_LJMU</v>
      </c>
      <c r="B34452" s="65" t="s">
        <v>642</v>
      </c>
    </row>
    <row r="34453" spans="1:2" x14ac:dyDescent="0.25">
      <c r="A34453" s="64" t="str">
        <f>HYPERLINK("http://www.twitter.com/LisaJeskins", "LisaJeskins")</f>
        <v>LisaJeskins</v>
      </c>
      <c r="B34453" s="65" t="s">
        <v>4040</v>
      </c>
    </row>
    <row r="34454" spans="1:2" x14ac:dyDescent="0.25">
      <c r="A34454" s="64" t="str">
        <f>HYPERLINK("http://www.twitter.com/RosieJHJones", "RosieJHJones")</f>
        <v>RosieJHJones</v>
      </c>
      <c r="B34454" s="65" t="s">
        <v>33</v>
      </c>
    </row>
    <row r="34455" spans="1:2" x14ac:dyDescent="0.25">
      <c r="A34455" s="64" t="str">
        <f>HYPERLINK("http://www.twitter.com/MsPMeyer", "MsPMeyer")</f>
        <v>MsPMeyer</v>
      </c>
      <c r="B34455" s="65" t="s">
        <v>61</v>
      </c>
    </row>
    <row r="34456" spans="1:2" x14ac:dyDescent="0.25">
      <c r="A34456" s="64" t="str">
        <f>HYPERLINK("http://www.twitter.com/JRushbrooke", "JRushbrooke")</f>
        <v>JRushbrooke</v>
      </c>
      <c r="B34456" s="65" t="s">
        <v>4040</v>
      </c>
    </row>
    <row r="34457" spans="1:2" x14ac:dyDescent="0.25">
      <c r="A34457" s="64" t="str">
        <f>HYPERLINK("http://www.twitter.com/jaw3ston", "jaw3ston")</f>
        <v>jaw3ston</v>
      </c>
      <c r="B34457" s="65" t="s">
        <v>5270</v>
      </c>
    </row>
    <row r="34458" spans="1:2" x14ac:dyDescent="0.25">
      <c r="A34458" s="64" t="str">
        <f>HYPERLINK("http://www.twitter.com/lucytgraham", "lucytgraham")</f>
        <v>lucytgraham</v>
      </c>
      <c r="B34458" s="65"/>
    </row>
    <row r="34459" spans="1:2" x14ac:dyDescent="0.25">
      <c r="A34459" s="64" t="str">
        <f>HYPERLINK("http://www.twitter.com/stuartjgraham", "stuartjgraham")</f>
        <v>stuartjgraham</v>
      </c>
      <c r="B34459" s="65" t="s">
        <v>4094</v>
      </c>
    </row>
    <row r="34460" spans="1:2" x14ac:dyDescent="0.25">
      <c r="A34460" s="64" t="str">
        <f>HYPERLINK("http://www.twitter.com/abdoujaparov", "abdoujaparov")</f>
        <v>abdoujaparov</v>
      </c>
      <c r="B34460" s="65"/>
    </row>
    <row r="34461" spans="1:2" x14ac:dyDescent="0.25">
      <c r="A34461" s="64" t="str">
        <f>HYPERLINK("http://www.twitter.com/VicMcMartin", "VicMcMartin")</f>
        <v>VicMcMartin</v>
      </c>
      <c r="B34461" s="65" t="s">
        <v>13323</v>
      </c>
    </row>
    <row r="34462" spans="1:2" x14ac:dyDescent="0.25">
      <c r="A34462" s="64" t="str">
        <f>HYPERLINK("http://www.twitter.com/annawilde", "annawilde")</f>
        <v>annawilde</v>
      </c>
      <c r="B34462" s="65" t="s">
        <v>860</v>
      </c>
    </row>
    <row r="34463" spans="1:2" x14ac:dyDescent="0.25">
      <c r="A34463" s="64" t="str">
        <f>HYPERLINK("http://www.twitter.com/spudballoo", "spudballoo")</f>
        <v>spudballoo</v>
      </c>
      <c r="B34463" s="65" t="s">
        <v>13324</v>
      </c>
    </row>
    <row r="34464" spans="1:2" x14ac:dyDescent="0.25">
      <c r="A34464" s="64" t="str">
        <f>HYPERLINK("http://www.twitter.com/swaldman", "swaldman")</f>
        <v>swaldman</v>
      </c>
      <c r="B34464" s="65" t="s">
        <v>487</v>
      </c>
    </row>
    <row r="34465" spans="1:2" x14ac:dyDescent="0.25">
      <c r="A34465" s="64" t="str">
        <f>HYPERLINK("http://www.twitter.com/SCTurner73", "SCTurner73")</f>
        <v>SCTurner73</v>
      </c>
      <c r="B34465" s="65" t="s">
        <v>13325</v>
      </c>
    </row>
    <row r="34466" spans="1:2" x14ac:dyDescent="0.25">
      <c r="A34466" s="64" t="str">
        <f>HYPERLINK("http://www.twitter.com/TheeFaction", "TheeFaction")</f>
        <v>TheeFaction</v>
      </c>
      <c r="B34466" s="65" t="s">
        <v>13326</v>
      </c>
    </row>
    <row r="34467" spans="1:2" x14ac:dyDescent="0.25">
      <c r="A34467" s="64" t="str">
        <f>HYPERLINK("http://www.twitter.com/PTCBookHouse", "PTCBookHouse")</f>
        <v>PTCBookHouse</v>
      </c>
      <c r="B34467" s="65" t="s">
        <v>477</v>
      </c>
    </row>
    <row r="34468" spans="1:2" x14ac:dyDescent="0.25">
      <c r="A34468" s="64" t="str">
        <f>HYPERLINK("http://www.twitter.com/SurreyLibraries", "SurreyLibraries")</f>
        <v>SurreyLibraries</v>
      </c>
      <c r="B34468" s="65" t="s">
        <v>3680</v>
      </c>
    </row>
    <row r="34469" spans="1:2" x14ac:dyDescent="0.25">
      <c r="A34469" s="64" t="str">
        <f>HYPERLINK("http://www.twitter.com/zillaling", "zillaling")</f>
        <v>zillaling</v>
      </c>
      <c r="B34469" s="65" t="s">
        <v>10661</v>
      </c>
    </row>
    <row r="34470" spans="1:2" x14ac:dyDescent="0.25">
      <c r="A34470" s="64" t="str">
        <f>HYPERLINK("http://www.twitter.com/ABC_CLIO", "ABC_CLIO")</f>
        <v>ABC_CLIO</v>
      </c>
      <c r="B34470" s="65"/>
    </row>
    <row r="34471" spans="1:2" x14ac:dyDescent="0.25">
      <c r="A34471" s="64" t="str">
        <f>HYPERLINK("http://www.twitter.com/missusjoj", "missusjoj")</f>
        <v>missusjoj</v>
      </c>
      <c r="B34471" s="65" t="s">
        <v>1221</v>
      </c>
    </row>
    <row r="34472" spans="1:2" x14ac:dyDescent="0.25">
      <c r="A34472" s="64" t="str">
        <f>HYPERLINK("http://www.twitter.com/melodimen", "melodimen")</f>
        <v>melodimen</v>
      </c>
      <c r="B34472" s="65" t="s">
        <v>13327</v>
      </c>
    </row>
    <row r="34473" spans="1:2" x14ac:dyDescent="0.25">
      <c r="A34473" s="64" t="str">
        <f>HYPERLINK("http://www.twitter.com/Hohojanna", "Hohojanna")</f>
        <v>Hohojanna</v>
      </c>
      <c r="B34473" s="65" t="s">
        <v>296</v>
      </c>
    </row>
    <row r="34474" spans="1:2" x14ac:dyDescent="0.25">
      <c r="A34474" s="64" t="str">
        <f>HYPERLINK("http://www.twitter.com/ClareEMaclean", "ClareEMaclean")</f>
        <v>ClareEMaclean</v>
      </c>
      <c r="B34474" s="65" t="s">
        <v>4447</v>
      </c>
    </row>
    <row r="34475" spans="1:2" x14ac:dyDescent="0.25">
      <c r="A34475" s="64" t="str">
        <f>HYPERLINK("http://www.twitter.com/shutupcaf", "shutupcaf")</f>
        <v>shutupcaf</v>
      </c>
      <c r="B34475" s="65" t="s">
        <v>4040</v>
      </c>
    </row>
    <row r="34476" spans="1:2" x14ac:dyDescent="0.25">
      <c r="A34476" s="64" t="str">
        <f>HYPERLINK("http://www.twitter.com/PRVix", "PRVix")</f>
        <v>PRVix</v>
      </c>
      <c r="B34476" s="65" t="s">
        <v>36</v>
      </c>
    </row>
    <row r="34477" spans="1:2" x14ac:dyDescent="0.25">
      <c r="A34477" s="64" t="str">
        <f>HYPERLINK("http://www.twitter.com/JamesDL20", "JamesDL20")</f>
        <v>JamesDL20</v>
      </c>
      <c r="B34477" s="65" t="s">
        <v>36</v>
      </c>
    </row>
    <row r="34478" spans="1:2" x14ac:dyDescent="0.25">
      <c r="A34478" s="64" t="str">
        <f>HYPERLINK("http://www.twitter.com/lukebbz", "lukebbz")</f>
        <v>lukebbz</v>
      </c>
      <c r="B34478" s="65" t="s">
        <v>13328</v>
      </c>
    </row>
    <row r="34479" spans="1:2" x14ac:dyDescent="0.25">
      <c r="A34479" s="64" t="str">
        <f>HYPERLINK("http://www.twitter.com/chris_allen", "chris_allen")</f>
        <v>chris_allen</v>
      </c>
      <c r="B34479" s="65" t="s">
        <v>36</v>
      </c>
    </row>
    <row r="34480" spans="1:2" x14ac:dyDescent="0.25">
      <c r="A34480" s="64" t="str">
        <f>HYPERLINK("http://www.twitter.com/GMWWemyss", "GMWWemyss")</f>
        <v>GMWWemyss</v>
      </c>
      <c r="B34480" s="65" t="s">
        <v>13329</v>
      </c>
    </row>
    <row r="34481" spans="1:2" x14ac:dyDescent="0.25">
      <c r="A34481" s="64" t="str">
        <f>HYPERLINK("http://www.twitter.com/healthpressna", "healthpressna")</f>
        <v>healthpressna</v>
      </c>
      <c r="B34481" s="65" t="s">
        <v>13330</v>
      </c>
    </row>
    <row r="34482" spans="1:2" x14ac:dyDescent="0.25">
      <c r="A34482" s="64" t="str">
        <f>HYPERLINK("http://www.twitter.com/catnipbooks", "catnipbooks")</f>
        <v>catnipbooks</v>
      </c>
      <c r="B34482" s="65" t="s">
        <v>36</v>
      </c>
    </row>
    <row r="34483" spans="1:2" x14ac:dyDescent="0.25">
      <c r="A34483" s="64" t="str">
        <f>HYPERLINK("http://www.twitter.com/NosyCrow", "NosyCrow")</f>
        <v>NosyCrow</v>
      </c>
      <c r="B34483" s="65" t="s">
        <v>13331</v>
      </c>
    </row>
    <row r="34484" spans="1:2" x14ac:dyDescent="0.25">
      <c r="A34484" s="64" t="str">
        <f>HYPERLINK("http://www.twitter.com/homemakebe", "homemakebe")</f>
        <v>homemakebe</v>
      </c>
      <c r="B34484" s="65" t="s">
        <v>5187</v>
      </c>
    </row>
    <row r="34485" spans="1:2" x14ac:dyDescent="0.25">
      <c r="A34485" s="64" t="str">
        <f>HYPERLINK("http://www.twitter.com/Maryrose_Wood", "Maryrose_Wood")</f>
        <v>Maryrose_Wood</v>
      </c>
      <c r="B34485" s="65" t="s">
        <v>4193</v>
      </c>
    </row>
    <row r="34486" spans="1:2" x14ac:dyDescent="0.25">
      <c r="A34486" s="64" t="str">
        <f>HYPERLINK("http://www.twitter.com/NortonAnthology", "NortonAnthology")</f>
        <v>NortonAnthology</v>
      </c>
      <c r="B34486" s="65" t="s">
        <v>4145</v>
      </c>
    </row>
    <row r="34487" spans="1:2" x14ac:dyDescent="0.25">
      <c r="A34487" s="64" t="str">
        <f>HYPERLINK("http://www.twitter.com/touringnetwork", "touringnetwork")</f>
        <v>touringnetwork</v>
      </c>
      <c r="B34487" s="65" t="s">
        <v>13332</v>
      </c>
    </row>
    <row r="34488" spans="1:2" x14ac:dyDescent="0.25">
      <c r="A34488" s="64" t="str">
        <f>HYPERLINK("http://www.twitter.com/LHSteel", "LHSteel")</f>
        <v>LHSteel</v>
      </c>
      <c r="B34488" s="65" t="s">
        <v>6171</v>
      </c>
    </row>
    <row r="34489" spans="1:2" x14ac:dyDescent="0.25">
      <c r="A34489" s="64" t="str">
        <f>HYPERLINK("http://www.twitter.com/movingturtle", "movingturtle")</f>
        <v>movingturtle</v>
      </c>
      <c r="B34489" s="65" t="s">
        <v>135</v>
      </c>
    </row>
    <row r="34490" spans="1:2" x14ac:dyDescent="0.25">
      <c r="A34490" s="64" t="str">
        <f>HYPERLINK("http://www.twitter.com/Girlinthe", "Girlinthe")</f>
        <v>Girlinthe</v>
      </c>
      <c r="B34490" s="65" t="s">
        <v>61</v>
      </c>
    </row>
    <row r="34491" spans="1:2" x14ac:dyDescent="0.25">
      <c r="A34491" s="64" t="str">
        <f>HYPERLINK("http://www.twitter.com/ispy7", "ispy7")</f>
        <v>ispy7</v>
      </c>
      <c r="B34491" s="65"/>
    </row>
    <row r="34492" spans="1:2" x14ac:dyDescent="0.25">
      <c r="A34492" s="64" t="str">
        <f>HYPERLINK("http://www.twitter.com/Manda_Bird", "Manda_Bird")</f>
        <v>Manda_Bird</v>
      </c>
      <c r="B34492" s="65" t="s">
        <v>8688</v>
      </c>
    </row>
    <row r="34493" spans="1:2" x14ac:dyDescent="0.25">
      <c r="A34493" s="64" t="str">
        <f>HYPERLINK("http://www.twitter.com/SpunkyWiggler", "SpunkyWiggler")</f>
        <v>SpunkyWiggler</v>
      </c>
      <c r="B34493" s="65" t="s">
        <v>13333</v>
      </c>
    </row>
    <row r="34494" spans="1:2" x14ac:dyDescent="0.25">
      <c r="A34494" s="64" t="str">
        <f>HYPERLINK("http://www.twitter.com/Dxblit", "Dxblit")</f>
        <v>Dxblit</v>
      </c>
      <c r="B34494" s="65" t="s">
        <v>13334</v>
      </c>
    </row>
    <row r="34495" spans="1:2" x14ac:dyDescent="0.25">
      <c r="A34495" s="64" t="str">
        <f>HYPERLINK("http://www.twitter.com/NatW5", "NatW5")</f>
        <v>NatW5</v>
      </c>
      <c r="B34495" s="65" t="s">
        <v>2725</v>
      </c>
    </row>
    <row r="34496" spans="1:2" x14ac:dyDescent="0.25">
      <c r="A34496" s="64" t="str">
        <f>HYPERLINK("http://www.twitter.com/DebsL72", "DebsL72")</f>
        <v>DebsL72</v>
      </c>
      <c r="B34496" s="65" t="s">
        <v>13335</v>
      </c>
    </row>
    <row r="34497" spans="1:2" x14ac:dyDescent="0.25">
      <c r="A34497" s="64" t="str">
        <f>HYPERLINK("http://www.twitter.com/suemhamer", "suemhamer")</f>
        <v>suemhamer</v>
      </c>
      <c r="B34497" s="65"/>
    </row>
    <row r="34498" spans="1:2" x14ac:dyDescent="0.25">
      <c r="A34498" s="64" t="str">
        <f>HYPERLINK("http://www.twitter.com/JoyfulUniverse", "JoyfulUniverse")</f>
        <v>JoyfulUniverse</v>
      </c>
      <c r="B34498" s="65" t="s">
        <v>310</v>
      </c>
    </row>
    <row r="34499" spans="1:2" x14ac:dyDescent="0.25">
      <c r="A34499" s="64" t="str">
        <f>HYPERLINK("http://www.twitter.com/gingerjedi", "gingerjedi")</f>
        <v>gingerjedi</v>
      </c>
      <c r="B34499" s="65"/>
    </row>
    <row r="34500" spans="1:2" x14ac:dyDescent="0.25">
      <c r="A34500" s="64" t="str">
        <f>HYPERLINK("http://www.twitter.com/Mark_H_Cymru", "Mark_H_Cymru")</f>
        <v>Mark_H_Cymru</v>
      </c>
      <c r="B34500" s="65" t="s">
        <v>13336</v>
      </c>
    </row>
    <row r="34501" spans="1:2" x14ac:dyDescent="0.25">
      <c r="A34501" s="64" t="str">
        <f>HYPERLINK("http://www.twitter.com/Thegatesgifts", "Thegatesgifts")</f>
        <v>Thegatesgifts</v>
      </c>
      <c r="B34501" s="65" t="s">
        <v>2981</v>
      </c>
    </row>
    <row r="34502" spans="1:2" x14ac:dyDescent="0.25">
      <c r="A34502" s="64" t="str">
        <f>HYPERLINK("http://www.twitter.com/Ness_Of_Brodgar", "Ness_Of_Brodgar")</f>
        <v>Ness_Of_Brodgar</v>
      </c>
      <c r="B34502" s="65" t="s">
        <v>20</v>
      </c>
    </row>
    <row r="34503" spans="1:2" x14ac:dyDescent="0.25">
      <c r="A34503" s="64" t="str">
        <f>HYPERLINK("http://www.twitter.com/PeedieLoneWolf", "PeedieLoneWolf")</f>
        <v>PeedieLoneWolf</v>
      </c>
      <c r="B34503" s="65" t="s">
        <v>13337</v>
      </c>
    </row>
    <row r="34504" spans="1:2" x14ac:dyDescent="0.25">
      <c r="A34504" s="64" t="str">
        <f>HYPERLINK("http://www.twitter.com/podi62", "podi62")</f>
        <v>podi62</v>
      </c>
      <c r="B34504" s="65" t="s">
        <v>13338</v>
      </c>
    </row>
    <row r="34505" spans="1:2" x14ac:dyDescent="0.25">
      <c r="A34505" s="64" t="str">
        <f>HYPERLINK("http://www.twitter.com/stephthorpeuk", "stephthorpeuk")</f>
        <v>stephthorpeuk</v>
      </c>
      <c r="B34505" s="65" t="s">
        <v>310</v>
      </c>
    </row>
    <row r="34506" spans="1:2" x14ac:dyDescent="0.25">
      <c r="A34506" s="64" t="str">
        <f>HYPERLINK("http://www.twitter.com/M_I_Ross", "M_I_Ross")</f>
        <v>M_I_Ross</v>
      </c>
      <c r="B34506" s="65" t="s">
        <v>24</v>
      </c>
    </row>
    <row r="34507" spans="1:2" x14ac:dyDescent="0.25">
      <c r="A34507" s="64" t="str">
        <f>HYPERLINK("http://www.twitter.com/heloise2", "heloise2")</f>
        <v>heloise2</v>
      </c>
      <c r="B34507" s="65" t="s">
        <v>6933</v>
      </c>
    </row>
    <row r="34508" spans="1:2" x14ac:dyDescent="0.25">
      <c r="A34508" s="64" t="str">
        <f>HYPERLINK("http://www.twitter.com/globolibro", "globolibro")</f>
        <v>globolibro</v>
      </c>
      <c r="B34508" s="65" t="s">
        <v>4153</v>
      </c>
    </row>
    <row r="34509" spans="1:2" x14ac:dyDescent="0.25">
      <c r="A34509" s="64" t="str">
        <f>HYPERLINK("http://www.twitter.com/mariecurieuk", "mariecurieuk")</f>
        <v>mariecurieuk</v>
      </c>
      <c r="B34509" s="65" t="s">
        <v>70</v>
      </c>
    </row>
    <row r="34510" spans="1:2" x14ac:dyDescent="0.25">
      <c r="A34510" s="64" t="str">
        <f>HYPERLINK("http://www.twitter.com/Ajprescott", "Ajprescott")</f>
        <v>Ajprescott</v>
      </c>
      <c r="B34510" s="65" t="s">
        <v>13339</v>
      </c>
    </row>
    <row r="34511" spans="1:2" x14ac:dyDescent="0.25">
      <c r="A34511" s="64" t="str">
        <f>HYPERLINK("http://www.twitter.com/PopCulLibrn", "PopCulLibrn")</f>
        <v>PopCulLibrn</v>
      </c>
      <c r="B34511" s="65" t="s">
        <v>5110</v>
      </c>
    </row>
    <row r="34512" spans="1:2" x14ac:dyDescent="0.25">
      <c r="A34512" s="64" t="str">
        <f>HYPERLINK("http://www.twitter.com/BookDecanter", "BookDecanter")</f>
        <v>BookDecanter</v>
      </c>
      <c r="B34512" s="65"/>
    </row>
    <row r="34513" spans="1:2" x14ac:dyDescent="0.25">
      <c r="A34513" s="64" t="str">
        <f>HYPERLINK("http://www.twitter.com/byshieldmaiden", "byshieldmaiden")</f>
        <v>byshieldmaiden</v>
      </c>
      <c r="B34513" s="65" t="s">
        <v>13340</v>
      </c>
    </row>
    <row r="34514" spans="1:2" x14ac:dyDescent="0.25">
      <c r="A34514" s="64" t="str">
        <f>HYPERLINK("http://www.twitter.com/wsstephens", "wsstephens")</f>
        <v>wsstephens</v>
      </c>
      <c r="B34514" s="65" t="s">
        <v>13341</v>
      </c>
    </row>
    <row r="34515" spans="1:2" x14ac:dyDescent="0.25">
      <c r="A34515" s="64" t="str">
        <f>HYPERLINK("http://www.twitter.com/z_rose", "z_rose")</f>
        <v>z_rose</v>
      </c>
      <c r="B34515" s="65" t="s">
        <v>4147</v>
      </c>
    </row>
    <row r="34516" spans="1:2" x14ac:dyDescent="0.25">
      <c r="A34516" s="64" t="str">
        <f>HYPERLINK("http://www.twitter.com/carwash", "carwash")</f>
        <v>carwash</v>
      </c>
      <c r="B34516" s="65" t="s">
        <v>13342</v>
      </c>
    </row>
    <row r="34517" spans="1:2" x14ac:dyDescent="0.25">
      <c r="A34517" s="64" t="str">
        <f>HYPERLINK("http://www.twitter.com/FMcMAssociates", "FMcMAssociates")</f>
        <v>FMcMAssociates</v>
      </c>
      <c r="B34517" s="65" t="s">
        <v>36</v>
      </c>
    </row>
    <row r="34518" spans="1:2" x14ac:dyDescent="0.25">
      <c r="A34518" s="64" t="str">
        <f>HYPERLINK("http://www.twitter.com/misspotsitt", "misspotsitt")</f>
        <v>misspotsitt</v>
      </c>
      <c r="B34518" s="65" t="s">
        <v>845</v>
      </c>
    </row>
    <row r="34519" spans="1:2" x14ac:dyDescent="0.25">
      <c r="A34519" s="64" t="str">
        <f>HYPERLINK("http://www.twitter.com/glasses_direct", "glasses_direct")</f>
        <v>glasses_direct</v>
      </c>
      <c r="B34519" s="65" t="s">
        <v>110</v>
      </c>
    </row>
    <row r="34520" spans="1:2" x14ac:dyDescent="0.25">
      <c r="A34520" s="64" t="str">
        <f>HYPERLINK("http://www.twitter.com/fnackapan", "fnackapan")</f>
        <v>fnackapan</v>
      </c>
      <c r="B34520" s="65" t="s">
        <v>13343</v>
      </c>
    </row>
    <row r="34521" spans="1:2" x14ac:dyDescent="0.25">
      <c r="A34521" s="64" t="str">
        <f>HYPERLINK("http://www.twitter.com/kvtcwren", "kvtcwren")</f>
        <v>kvtcwren</v>
      </c>
      <c r="B34521" s="65" t="s">
        <v>13344</v>
      </c>
    </row>
    <row r="34522" spans="1:2" x14ac:dyDescent="0.25">
      <c r="A34522" s="64" t="str">
        <f>HYPERLINK("http://www.twitter.com/cgknowles", "cgknowles")</f>
        <v>cgknowles</v>
      </c>
      <c r="B34522" s="65" t="s">
        <v>13345</v>
      </c>
    </row>
    <row r="34523" spans="1:2" x14ac:dyDescent="0.25">
      <c r="A34523" s="64" t="str">
        <f>HYPERLINK("http://www.twitter.com/jtocci2", "jtocci2")</f>
        <v>jtocci2</v>
      </c>
      <c r="B34523" s="65"/>
    </row>
    <row r="34524" spans="1:2" x14ac:dyDescent="0.25">
      <c r="A34524" s="64" t="str">
        <f>HYPERLINK("http://www.twitter.com/JhonCooper", "JhonCooper")</f>
        <v>JhonCooper</v>
      </c>
      <c r="B34524" s="65"/>
    </row>
    <row r="34525" spans="1:2" x14ac:dyDescent="0.25">
      <c r="A34525" s="64" t="str">
        <f>HYPERLINK("http://www.twitter.com/nios_vob", "nios_vob")</f>
        <v>nios_vob</v>
      </c>
      <c r="B34525" s="65" t="s">
        <v>788</v>
      </c>
    </row>
    <row r="34526" spans="1:2" x14ac:dyDescent="0.25">
      <c r="A34526" s="64" t="str">
        <f>HYPERLINK("http://www.twitter.com/sarahbartlett1", "sarahbartlett1")</f>
        <v>sarahbartlett1</v>
      </c>
      <c r="B34526" s="65" t="s">
        <v>310</v>
      </c>
    </row>
    <row r="34527" spans="1:2" x14ac:dyDescent="0.25">
      <c r="A34527" s="64" t="str">
        <f>HYPERLINK("http://www.twitter.com/squeezinjayess", "squeezinjayess")</f>
        <v>squeezinjayess</v>
      </c>
      <c r="B34527" s="65" t="s">
        <v>13346</v>
      </c>
    </row>
    <row r="34528" spans="1:2" x14ac:dyDescent="0.25">
      <c r="A34528" s="64" t="str">
        <f>HYPERLINK("http://www.twitter.com/susiebraham", "susiebraham")</f>
        <v>susiebraham</v>
      </c>
      <c r="B34528" s="65" t="s">
        <v>24</v>
      </c>
    </row>
    <row r="34529" spans="1:2" x14ac:dyDescent="0.25">
      <c r="A34529" s="64" t="str">
        <f>HYPERLINK("http://www.twitter.com/WilliamJMackie", "WilliamJMackie")</f>
        <v>WilliamJMackie</v>
      </c>
      <c r="B34529" s="65" t="s">
        <v>5942</v>
      </c>
    </row>
    <row r="34530" spans="1:2" x14ac:dyDescent="0.25">
      <c r="A34530" s="64" t="str">
        <f>HYPERLINK("http://www.twitter.com/islovesimple", "islovesimple")</f>
        <v>islovesimple</v>
      </c>
      <c r="B34530" s="65" t="s">
        <v>4111</v>
      </c>
    </row>
    <row r="34531" spans="1:2" x14ac:dyDescent="0.25">
      <c r="A34531" s="64" t="str">
        <f>HYPERLINK("http://www.twitter.com/LynneRickards", "LynneRickards")</f>
        <v>LynneRickards</v>
      </c>
      <c r="B34531" s="65" t="s">
        <v>517</v>
      </c>
    </row>
    <row r="34532" spans="1:2" x14ac:dyDescent="0.25">
      <c r="A34532" s="64" t="str">
        <f>HYPERLINK("http://www.twitter.com/schammond", "schammond")</f>
        <v>schammond</v>
      </c>
      <c r="B34532" s="65" t="s">
        <v>296</v>
      </c>
    </row>
    <row r="34533" spans="1:2" x14ac:dyDescent="0.25">
      <c r="A34533" s="64" t="str">
        <f>HYPERLINK("http://www.twitter.com/Graham_Stone", "Graham_Stone")</f>
        <v>Graham_Stone</v>
      </c>
      <c r="B34533" s="65" t="s">
        <v>4040</v>
      </c>
    </row>
    <row r="34534" spans="1:2" x14ac:dyDescent="0.25">
      <c r="A34534" s="64" t="str">
        <f>HYPERLINK("http://www.twitter.com/TelfordWrekin", "TelfordWrekin")</f>
        <v>TelfordWrekin</v>
      </c>
      <c r="B34534" s="65" t="s">
        <v>13347</v>
      </c>
    </row>
    <row r="34535" spans="1:2" x14ac:dyDescent="0.25">
      <c r="A34535" s="64" t="str">
        <f>HYPERLINK("http://www.twitter.com/astandred", "astandred")</f>
        <v>astandred</v>
      </c>
      <c r="B34535" s="65" t="s">
        <v>13348</v>
      </c>
    </row>
    <row r="34536" spans="1:2" x14ac:dyDescent="0.25">
      <c r="A34536" s="64" t="str">
        <f>HYPERLINK("http://www.twitter.com/fromtheden", "fromtheden")</f>
        <v>fromtheden</v>
      </c>
      <c r="B34536" s="65" t="s">
        <v>24</v>
      </c>
    </row>
    <row r="34537" spans="1:2" x14ac:dyDescent="0.25">
      <c r="A34537" s="64" t="str">
        <f>HYPERLINK("http://www.twitter.com/tallscientist", "tallscientist")</f>
        <v>tallscientist</v>
      </c>
      <c r="B34537" s="65" t="s">
        <v>36</v>
      </c>
    </row>
    <row r="34538" spans="1:2" x14ac:dyDescent="0.25">
      <c r="A34538" s="64" t="str">
        <f>HYPERLINK("http://www.twitter.com/mulberrybush", "mulberrybush")</f>
        <v>mulberrybush</v>
      </c>
      <c r="B34538" s="65" t="s">
        <v>13349</v>
      </c>
    </row>
    <row r="34539" spans="1:2" x14ac:dyDescent="0.25">
      <c r="A34539" s="64" t="str">
        <f>HYPERLINK("http://www.twitter.com/gylphi", "gylphi")</f>
        <v>gylphi</v>
      </c>
      <c r="B34539" s="65" t="s">
        <v>757</v>
      </c>
    </row>
    <row r="34540" spans="1:2" x14ac:dyDescent="0.25">
      <c r="A34540" s="64" t="str">
        <f>HYPERLINK("http://www.twitter.com/andybodders", "andybodders")</f>
        <v>andybodders</v>
      </c>
      <c r="B34540" s="65" t="s">
        <v>10308</v>
      </c>
    </row>
    <row r="34541" spans="1:2" x14ac:dyDescent="0.25">
      <c r="A34541" s="64" t="str">
        <f>HYPERLINK("http://www.twitter.com/thetallulah", "thetallulah")</f>
        <v>thetallulah</v>
      </c>
      <c r="B34541" s="65" t="s">
        <v>296</v>
      </c>
    </row>
    <row r="34542" spans="1:2" x14ac:dyDescent="0.25">
      <c r="A34542" s="64" t="str">
        <f>HYPERLINK("http://www.twitter.com/1story2go", "1story2go")</f>
        <v>1story2go</v>
      </c>
      <c r="B34542" s="65" t="s">
        <v>36</v>
      </c>
    </row>
    <row r="34543" spans="1:2" x14ac:dyDescent="0.25">
      <c r="A34543" s="64" t="str">
        <f>HYPERLINK("http://www.twitter.com/ecalpemosgreen", "ecalpemosgreen")</f>
        <v>ecalpemosgreen</v>
      </c>
      <c r="B34543" s="65" t="s">
        <v>1765</v>
      </c>
    </row>
    <row r="34544" spans="1:2" x14ac:dyDescent="0.25">
      <c r="A34544" s="64" t="str">
        <f>HYPERLINK("http://www.twitter.com/clanwilliam", "clanwilliam")</f>
        <v>clanwilliam</v>
      </c>
      <c r="B34544" s="65"/>
    </row>
    <row r="34545" spans="1:2" x14ac:dyDescent="0.25">
      <c r="A34545" s="64" t="str">
        <f>HYPERLINK("http://www.twitter.com/LakesSingleMum", "LakesSingleMum")</f>
        <v>LakesSingleMum</v>
      </c>
      <c r="B34545" s="65" t="s">
        <v>13350</v>
      </c>
    </row>
    <row r="34546" spans="1:2" x14ac:dyDescent="0.25">
      <c r="A34546" s="64" t="str">
        <f>HYPERLINK("http://www.twitter.com/jenthoms", "jenthoms")</f>
        <v>jenthoms</v>
      </c>
      <c r="B34546" s="65" t="s">
        <v>24</v>
      </c>
    </row>
    <row r="34547" spans="1:2" x14ac:dyDescent="0.25">
      <c r="A34547" s="64" t="str">
        <f>HYPERLINK("http://www.twitter.com/tillk", "tillk")</f>
        <v>tillk</v>
      </c>
      <c r="B34547" s="65" t="s">
        <v>13351</v>
      </c>
    </row>
    <row r="34548" spans="1:2" x14ac:dyDescent="0.25">
      <c r="A34548" s="64" t="str">
        <f>HYPERLINK("http://www.twitter.com/schambers3", "schambers3")</f>
        <v>schambers3</v>
      </c>
      <c r="B34548" s="65" t="s">
        <v>4829</v>
      </c>
    </row>
    <row r="34549" spans="1:2" x14ac:dyDescent="0.25">
      <c r="A34549" s="64" t="str">
        <f>HYPERLINK("http://www.twitter.com/unamccormack", "unamccormack")</f>
        <v>unamccormack</v>
      </c>
      <c r="B34549" s="65" t="s">
        <v>9298</v>
      </c>
    </row>
    <row r="34550" spans="1:2" x14ac:dyDescent="0.25">
      <c r="A34550" s="64" t="str">
        <f>HYPERLINK("http://www.twitter.com/MTTUK", "MTTUK")</f>
        <v>MTTUK</v>
      </c>
      <c r="B34550" s="65" t="s">
        <v>13352</v>
      </c>
    </row>
    <row r="34551" spans="1:2" x14ac:dyDescent="0.25">
      <c r="A34551" s="64" t="str">
        <f>HYPERLINK("http://www.twitter.com/elaineamsmith", "elaineamsmith")</f>
        <v>elaineamsmith</v>
      </c>
      <c r="B34551" s="65" t="s">
        <v>13353</v>
      </c>
    </row>
    <row r="34552" spans="1:2" x14ac:dyDescent="0.25">
      <c r="A34552" s="64" t="str">
        <f>HYPERLINK("http://www.twitter.com/LillyLyle", "LillyLyle")</f>
        <v>LillyLyle</v>
      </c>
      <c r="B34552" s="65" t="s">
        <v>13354</v>
      </c>
    </row>
    <row r="34553" spans="1:2" x14ac:dyDescent="0.25">
      <c r="A34553" s="64" t="str">
        <f>HYPERLINK("http://www.twitter.com/saxjam", "saxjam")</f>
        <v>saxjam</v>
      </c>
      <c r="B34553" s="65" t="s">
        <v>13355</v>
      </c>
    </row>
    <row r="34554" spans="1:2" x14ac:dyDescent="0.25">
      <c r="A34554" s="64" t="str">
        <f>HYPERLINK("http://www.twitter.com/ClockworkJest", "ClockworkJest")</f>
        <v>ClockworkJest</v>
      </c>
      <c r="B34554" s="65" t="s">
        <v>4234</v>
      </c>
    </row>
    <row r="34555" spans="1:2" x14ac:dyDescent="0.25">
      <c r="A34555" s="64" t="str">
        <f>HYPERLINK("http://www.twitter.com/agnieszkasshoes", "agnieszkasshoes")</f>
        <v>agnieszkasshoes</v>
      </c>
      <c r="B34555" s="65" t="s">
        <v>13356</v>
      </c>
    </row>
    <row r="34556" spans="1:2" x14ac:dyDescent="0.25">
      <c r="A34556" s="64" t="str">
        <f>HYPERLINK("http://www.twitter.com/Feemmac", "Feemmac")</f>
        <v>Feemmac</v>
      </c>
      <c r="B34556" s="65" t="s">
        <v>5127</v>
      </c>
    </row>
    <row r="34557" spans="1:2" x14ac:dyDescent="0.25">
      <c r="A34557" s="64" t="str">
        <f>HYPERLINK("http://www.twitter.com/MarianneBamkin", "MarianneBamkin")</f>
        <v>MarianneBamkin</v>
      </c>
      <c r="B34557" s="65" t="s">
        <v>12386</v>
      </c>
    </row>
    <row r="34558" spans="1:2" x14ac:dyDescent="0.25">
      <c r="A34558" s="64" t="str">
        <f>HYPERLINK("http://www.twitter.com/carlshwrth", "carlshwrth")</f>
        <v>carlshwrth</v>
      </c>
      <c r="B34558" s="65" t="s">
        <v>13357</v>
      </c>
    </row>
    <row r="34559" spans="1:2" x14ac:dyDescent="0.25">
      <c r="A34559" s="64" t="str">
        <f>HYPERLINK("http://www.twitter.com/brightideasblog", "brightideasblog")</f>
        <v>brightideasblog</v>
      </c>
      <c r="B34559" s="65" t="s">
        <v>4147</v>
      </c>
    </row>
    <row r="34560" spans="1:2" x14ac:dyDescent="0.25">
      <c r="A34560" s="64" t="str">
        <f>HYPERLINK("http://www.twitter.com/SimonXIX", "SimonXIX")</f>
        <v>SimonXIX</v>
      </c>
      <c r="B34560" s="65"/>
    </row>
    <row r="34561" spans="1:2" x14ac:dyDescent="0.25">
      <c r="A34561" s="64" t="str">
        <f>HYPERLINK("http://www.twitter.com/Oh_Roger", "Oh_Roger")</f>
        <v>Oh_Roger</v>
      </c>
      <c r="B34561" s="65" t="s">
        <v>13358</v>
      </c>
    </row>
    <row r="34562" spans="1:2" x14ac:dyDescent="0.25">
      <c r="A34562" s="64" t="str">
        <f>HYPERLINK("http://www.twitter.com/wadingboid", "wadingboid")</f>
        <v>wadingboid</v>
      </c>
      <c r="B34562" s="65" t="s">
        <v>122</v>
      </c>
    </row>
    <row r="34563" spans="1:2" x14ac:dyDescent="0.25">
      <c r="A34563" s="64" t="str">
        <f>HYPERLINK("http://www.twitter.com/Chainsaw_McGinn", "Chainsaw_McGinn")</f>
        <v>Chainsaw_McGinn</v>
      </c>
      <c r="B34563" s="65"/>
    </row>
    <row r="34564" spans="1:2" x14ac:dyDescent="0.25">
      <c r="A34564" s="64" t="str">
        <f>HYPERLINK("http://www.twitter.com/Janeli19", "Janeli19")</f>
        <v>Janeli19</v>
      </c>
      <c r="B34564" s="65"/>
    </row>
    <row r="34565" spans="1:2" x14ac:dyDescent="0.25">
      <c r="A34565" s="64" t="str">
        <f>HYPERLINK("http://www.twitter.com/ruthi", "ruthi")</f>
        <v>ruthi</v>
      </c>
      <c r="B34565" s="65" t="s">
        <v>110</v>
      </c>
    </row>
    <row r="34566" spans="1:2" x14ac:dyDescent="0.25">
      <c r="A34566" s="64" t="str">
        <f>HYPERLINK("http://www.twitter.com/twonkeys", "twonkeys")</f>
        <v>twonkeys</v>
      </c>
      <c r="B34566" s="65" t="s">
        <v>5777</v>
      </c>
    </row>
    <row r="34567" spans="1:2" x14ac:dyDescent="0.25">
      <c r="A34567" s="64" t="str">
        <f>HYPERLINK("http://www.twitter.com/anthonyqkiernan", "anthonyqkiernan")</f>
        <v>anthonyqkiernan</v>
      </c>
      <c r="B34567" s="65" t="s">
        <v>13279</v>
      </c>
    </row>
    <row r="34568" spans="1:2" x14ac:dyDescent="0.25">
      <c r="A34568" s="64" t="str">
        <f>HYPERLINK("http://www.twitter.com/Avril_says", "Avril_says")</f>
        <v>Avril_says</v>
      </c>
      <c r="B34568" s="65" t="s">
        <v>4238</v>
      </c>
    </row>
    <row r="34569" spans="1:2" x14ac:dyDescent="0.25">
      <c r="A34569" s="64" t="str">
        <f>HYPERLINK("http://www.twitter.com/jamesmoar", "jamesmoar")</f>
        <v>jamesmoar</v>
      </c>
      <c r="B34569" s="65"/>
    </row>
    <row r="34570" spans="1:2" x14ac:dyDescent="0.25">
      <c r="A34570" s="64" t="str">
        <f>HYPERLINK("http://www.twitter.com/Dunringle", "Dunringle")</f>
        <v>Dunringle</v>
      </c>
      <c r="B34570" s="65" t="s">
        <v>13359</v>
      </c>
    </row>
    <row r="34571" spans="1:2" x14ac:dyDescent="0.25">
      <c r="A34571" s="64" t="str">
        <f>HYPERLINK("http://www.twitter.com/colebagski", "colebagski")</f>
        <v>colebagski</v>
      </c>
      <c r="B34571" s="65" t="s">
        <v>725</v>
      </c>
    </row>
    <row r="34572" spans="1:2" x14ac:dyDescent="0.25">
      <c r="A34572" s="64" t="str">
        <f>HYPERLINK("http://www.twitter.com/Gr8governance", "Gr8governance")</f>
        <v>Gr8governance</v>
      </c>
      <c r="B34572" s="65" t="s">
        <v>13360</v>
      </c>
    </row>
    <row r="34573" spans="1:2" x14ac:dyDescent="0.25">
      <c r="A34573" s="64" t="str">
        <f>HYPERLINK("http://www.twitter.com/himissjulie", "himissjulie")</f>
        <v>himissjulie</v>
      </c>
      <c r="B34573" s="65" t="s">
        <v>4329</v>
      </c>
    </row>
    <row r="34574" spans="1:2" x14ac:dyDescent="0.25">
      <c r="A34574" s="64" t="str">
        <f>HYPERLINK("http://www.twitter.com/Noust", "Noust")</f>
        <v>Noust</v>
      </c>
      <c r="B34574" s="65" t="s">
        <v>20</v>
      </c>
    </row>
    <row r="34575" spans="1:2" x14ac:dyDescent="0.25">
      <c r="A34575" s="64" t="str">
        <f>HYPERLINK("http://www.twitter.com/stevejbaker", "stevejbaker")</f>
        <v>stevejbaker</v>
      </c>
      <c r="B34575" s="65" t="s">
        <v>2107</v>
      </c>
    </row>
    <row r="34576" spans="1:2" x14ac:dyDescent="0.25">
      <c r="A34576" s="64" t="str">
        <f>HYPERLINK("http://www.twitter.com/TheVickyMD", "TheVickyMD")</f>
        <v>TheVickyMD</v>
      </c>
      <c r="B34576" s="65" t="s">
        <v>13361</v>
      </c>
    </row>
    <row r="34577" spans="1:2" x14ac:dyDescent="0.25">
      <c r="A34577" s="64" t="str">
        <f>HYPERLINK("http://www.twitter.com/Filmhouse", "Filmhouse")</f>
        <v>Filmhouse</v>
      </c>
      <c r="B34577" s="65" t="s">
        <v>13362</v>
      </c>
    </row>
    <row r="34578" spans="1:2" x14ac:dyDescent="0.25">
      <c r="A34578" s="64" t="str">
        <f>HYPERLINK("http://www.twitter.com/IanJTyrer", "IanJTyrer")</f>
        <v>IanJTyrer</v>
      </c>
      <c r="B34578" s="65" t="s">
        <v>13363</v>
      </c>
    </row>
    <row r="34579" spans="1:2" x14ac:dyDescent="0.25">
      <c r="A34579" s="64" t="str">
        <f>HYPERLINK("http://www.twitter.com/leicslibraries", "leicslibraries")</f>
        <v>leicslibraries</v>
      </c>
      <c r="B34579" s="65" t="s">
        <v>222</v>
      </c>
    </row>
    <row r="34580" spans="1:2" x14ac:dyDescent="0.25">
      <c r="A34580" s="64" t="str">
        <f>HYPERLINK("http://www.twitter.com/LeicsMuseums", "LeicsMuseums")</f>
        <v>LeicsMuseums</v>
      </c>
      <c r="B34580" s="65" t="s">
        <v>222</v>
      </c>
    </row>
    <row r="34581" spans="1:2" x14ac:dyDescent="0.25">
      <c r="A34581" s="64" t="str">
        <f>HYPERLINK("http://www.twitter.com/manytypesoftea", "manytypesoftea")</f>
        <v>manytypesoftea</v>
      </c>
      <c r="B34581" s="65" t="s">
        <v>13364</v>
      </c>
    </row>
    <row r="34582" spans="1:2" x14ac:dyDescent="0.25">
      <c r="A34582" s="64" t="str">
        <f>HYPERLINK("http://www.twitter.com/DrBattyTowers", "DrBattyTowers")</f>
        <v>DrBattyTowers</v>
      </c>
      <c r="B34582" s="65" t="s">
        <v>6935</v>
      </c>
    </row>
    <row r="34583" spans="1:2" x14ac:dyDescent="0.25">
      <c r="A34583" s="64" t="str">
        <f>HYPERLINK("http://www.twitter.com/fatbarry2000", "fatbarry2000")</f>
        <v>fatbarry2000</v>
      </c>
      <c r="B34583" s="65" t="s">
        <v>13365</v>
      </c>
    </row>
    <row r="34584" spans="1:2" x14ac:dyDescent="0.25">
      <c r="A34584" s="64" t="str">
        <f>HYPERLINK("http://www.twitter.com/TadaramLives", "TadaramLives")</f>
        <v>TadaramLives</v>
      </c>
      <c r="B34584" s="65" t="s">
        <v>13366</v>
      </c>
    </row>
    <row r="34585" spans="1:2" x14ac:dyDescent="0.25">
      <c r="A34585" s="64" t="str">
        <f>HYPERLINK("http://www.twitter.com/Chironne", "Chironne")</f>
        <v>Chironne</v>
      </c>
      <c r="B34585" s="65"/>
    </row>
    <row r="34586" spans="1:2" x14ac:dyDescent="0.25">
      <c r="A34586" s="64" t="str">
        <f>HYPERLINK("http://www.twitter.com/mrmackenzie", "mrmackenzie")</f>
        <v>mrmackenzie</v>
      </c>
      <c r="B34586" s="65" t="s">
        <v>4959</v>
      </c>
    </row>
    <row r="34587" spans="1:2" x14ac:dyDescent="0.25">
      <c r="A34587" s="64" t="str">
        <f>HYPERLINK("http://www.twitter.com/janwinning", "janwinning")</f>
        <v>janwinning</v>
      </c>
      <c r="B34587" s="65"/>
    </row>
    <row r="34588" spans="1:2" x14ac:dyDescent="0.25">
      <c r="A34588" s="64" t="str">
        <f>HYPERLINK("http://www.twitter.com/fifiifif", "fifiifif")</f>
        <v>fifiifif</v>
      </c>
      <c r="B34588" s="65" t="s">
        <v>1295</v>
      </c>
    </row>
    <row r="34589" spans="1:2" x14ac:dyDescent="0.25">
      <c r="A34589" s="64" t="str">
        <f>HYPERLINK("http://www.twitter.com/edin_chooselife", "edin_chooselife")</f>
        <v>edin_chooselife</v>
      </c>
      <c r="B34589" s="65" t="s">
        <v>4842</v>
      </c>
    </row>
    <row r="34590" spans="1:2" x14ac:dyDescent="0.25">
      <c r="A34590" s="64" t="str">
        <f>HYPERLINK("http://www.twitter.com/digitalleicaman", "digitalleicaman")</f>
        <v>digitalleicaman</v>
      </c>
      <c r="B34590" s="65" t="s">
        <v>13367</v>
      </c>
    </row>
    <row r="34591" spans="1:2" x14ac:dyDescent="0.25">
      <c r="A34591" s="64" t="str">
        <f>HYPERLINK("http://www.twitter.com/Solaflair", "Solaflair")</f>
        <v>Solaflair</v>
      </c>
      <c r="B34591" s="65" t="s">
        <v>12</v>
      </c>
    </row>
    <row r="34592" spans="1:2" x14ac:dyDescent="0.25">
      <c r="A34592" s="64" t="str">
        <f>HYPERLINK("http://www.twitter.com/oneminutetosix", "oneminutetosix")</f>
        <v>oneminutetosix</v>
      </c>
      <c r="B34592" s="65" t="s">
        <v>36</v>
      </c>
    </row>
    <row r="34593" spans="1:2" x14ac:dyDescent="0.25">
      <c r="A34593" s="64" t="str">
        <f>HYPERLINK("http://www.twitter.com/secret__s0ciety", "secret__s0ciety")</f>
        <v>secret__s0ciety</v>
      </c>
      <c r="B34593" s="65" t="s">
        <v>5034</v>
      </c>
    </row>
    <row r="34594" spans="1:2" x14ac:dyDescent="0.25">
      <c r="A34594" s="64" t="str">
        <f>HYPERLINK("http://www.twitter.com/Isabella_1991", "Isabella_1991")</f>
        <v>Isabella_1991</v>
      </c>
      <c r="B34594" s="65" t="s">
        <v>4834</v>
      </c>
    </row>
    <row r="34595" spans="1:2" x14ac:dyDescent="0.25">
      <c r="A34595" s="64" t="str">
        <f>HYPERLINK("http://www.twitter.com/robertscarth", "robertscarth")</f>
        <v>robertscarth</v>
      </c>
      <c r="B34595" s="65"/>
    </row>
    <row r="34596" spans="1:2" x14ac:dyDescent="0.25">
      <c r="A34596" s="64" t="str">
        <f>HYPERLINK("http://www.twitter.com/starfavorite", "starfavorite")</f>
        <v>starfavorite</v>
      </c>
      <c r="B34596" s="65" t="s">
        <v>5078</v>
      </c>
    </row>
    <row r="34597" spans="1:2" x14ac:dyDescent="0.25">
      <c r="A34597" s="64" t="str">
        <f>HYPERLINK("http://www.twitter.com/lizzlou12", "lizzlou12")</f>
        <v>lizzlou12</v>
      </c>
      <c r="B34597" s="65"/>
    </row>
    <row r="34598" spans="1:2" x14ac:dyDescent="0.25">
      <c r="A34598" s="64" t="str">
        <f>HYPERLINK("http://www.twitter.com/thenetmender", "thenetmender")</f>
        <v>thenetmender</v>
      </c>
      <c r="B34598" s="65" t="s">
        <v>13368</v>
      </c>
    </row>
    <row r="34599" spans="1:2" x14ac:dyDescent="0.25">
      <c r="A34599" s="64" t="str">
        <f>HYPERLINK("http://www.twitter.com/elizwrite", "elizwrite")</f>
        <v>elizwrite</v>
      </c>
      <c r="B34599" s="65" t="s">
        <v>13369</v>
      </c>
    </row>
    <row r="34600" spans="1:2" x14ac:dyDescent="0.25">
      <c r="A34600" s="64" t="str">
        <f>HYPERLINK("http://www.twitter.com/Carriebrarian", "Carriebrarian")</f>
        <v>Carriebrarian</v>
      </c>
      <c r="B34600" s="65" t="s">
        <v>13370</v>
      </c>
    </row>
    <row r="34601" spans="1:2" x14ac:dyDescent="0.25">
      <c r="A34601" s="64" t="str">
        <f>HYPERLINK("http://www.twitter.com/jnmaclean", "jnmaclean")</f>
        <v>jnmaclean</v>
      </c>
      <c r="B34601" s="65"/>
    </row>
    <row r="34602" spans="1:2" x14ac:dyDescent="0.25">
      <c r="A34602" s="64" t="str">
        <f>HYPERLINK("http://www.twitter.com/horndogbrass", "horndogbrass")</f>
        <v>horndogbrass</v>
      </c>
      <c r="B34602" s="65" t="s">
        <v>24</v>
      </c>
    </row>
    <row r="34603" spans="1:2" x14ac:dyDescent="0.25">
      <c r="A34603" s="64" t="str">
        <f>HYPERLINK("http://www.twitter.com/ellenscollins", "ellenscollins")</f>
        <v>ellenscollins</v>
      </c>
      <c r="B34603" s="65" t="s">
        <v>36</v>
      </c>
    </row>
    <row r="34604" spans="1:2" x14ac:dyDescent="0.25">
      <c r="A34604" s="64" t="str">
        <f>HYPERLINK("http://www.twitter.com/ned_potter", "ned_potter")</f>
        <v>ned_potter</v>
      </c>
      <c r="B34604" s="65" t="s">
        <v>1537</v>
      </c>
    </row>
    <row r="34605" spans="1:2" x14ac:dyDescent="0.25">
      <c r="A34605" s="64" t="str">
        <f>HYPERLINK("http://www.twitter.com/allieblogging", "allieblogging")</f>
        <v>allieblogging</v>
      </c>
      <c r="B34605" s="65" t="s">
        <v>1862</v>
      </c>
    </row>
    <row r="34606" spans="1:2" x14ac:dyDescent="0.25">
      <c r="A34606" s="64" t="str">
        <f>HYPERLINK("http://www.twitter.com/gladleynet", "gladleynet")</f>
        <v>gladleynet</v>
      </c>
      <c r="B34606" s="65" t="s">
        <v>13371</v>
      </c>
    </row>
    <row r="34607" spans="1:2" x14ac:dyDescent="0.25">
      <c r="A34607" s="64" t="str">
        <f>HYPERLINK("http://www.twitter.com/darkskiez", "darkskiez")</f>
        <v>darkskiez</v>
      </c>
      <c r="B34607" s="65" t="s">
        <v>318</v>
      </c>
    </row>
    <row r="34608" spans="1:2" x14ac:dyDescent="0.25">
      <c r="A34608" s="64" t="str">
        <f>HYPERLINK("http://www.twitter.com/girlindustries", "girlindustries")</f>
        <v>girlindustries</v>
      </c>
      <c r="B34608" s="65" t="s">
        <v>318</v>
      </c>
    </row>
    <row r="34609" spans="1:2" x14ac:dyDescent="0.25">
      <c r="A34609" s="64" t="str">
        <f>HYPERLINK("http://www.twitter.com/groupthing", "groupthing")</f>
        <v>groupthing</v>
      </c>
      <c r="B34609" s="65" t="s">
        <v>36</v>
      </c>
    </row>
    <row r="34610" spans="1:2" x14ac:dyDescent="0.25">
      <c r="A34610" s="64" t="str">
        <f>HYPERLINK("http://www.twitter.com/bainofmylife", "bainofmylife")</f>
        <v>bainofmylife</v>
      </c>
      <c r="B34610" s="65" t="s">
        <v>296</v>
      </c>
    </row>
    <row r="34611" spans="1:2" x14ac:dyDescent="0.25">
      <c r="A34611" s="64" t="str">
        <f>HYPERLINK("http://www.twitter.com/ExcerptReader", "ExcerptReader")</f>
        <v>ExcerptReader</v>
      </c>
      <c r="B34611" s="65"/>
    </row>
    <row r="34612" spans="1:2" x14ac:dyDescent="0.25">
      <c r="A34612" s="64" t="str">
        <f>HYPERLINK("http://www.twitter.com/SadieOHades", "SadieOHades")</f>
        <v>SadieOHades</v>
      </c>
      <c r="B34612" s="65" t="s">
        <v>4092</v>
      </c>
    </row>
    <row r="34613" spans="1:2" x14ac:dyDescent="0.25">
      <c r="A34613" s="64" t="str">
        <f>HYPERLINK("http://www.twitter.com/tmspinks", "tmspinks")</f>
        <v>tmspinks</v>
      </c>
      <c r="B34613" s="65" t="s">
        <v>36</v>
      </c>
    </row>
    <row r="34614" spans="1:2" x14ac:dyDescent="0.25">
      <c r="A34614" s="64" t="str">
        <f>HYPERLINK("http://www.twitter.com/the5oclockhero", "the5oclockhero")</f>
        <v>the5oclockhero</v>
      </c>
      <c r="B34614" s="65" t="s">
        <v>13372</v>
      </c>
    </row>
    <row r="34615" spans="1:2" x14ac:dyDescent="0.25">
      <c r="A34615" s="64" t="str">
        <f>HYPERLINK("http://www.twitter.com/lrcpln", "lrcpln")</f>
        <v>lrcpln</v>
      </c>
      <c r="B34615" s="65" t="s">
        <v>12919</v>
      </c>
    </row>
    <row r="34616" spans="1:2" x14ac:dyDescent="0.25">
      <c r="A34616" s="64" t="str">
        <f>HYPERLINK("http://www.twitter.com/PoetryBookSoc", "PoetryBookSoc")</f>
        <v>PoetryBookSoc</v>
      </c>
      <c r="B34616" s="65" t="s">
        <v>5942</v>
      </c>
    </row>
    <row r="34617" spans="1:2" x14ac:dyDescent="0.25">
      <c r="A34617" s="64" t="str">
        <f>HYPERLINK("http://www.twitter.com/illicitstill", "illicitstill")</f>
        <v>illicitstill</v>
      </c>
      <c r="B34617" s="65" t="s">
        <v>24</v>
      </c>
    </row>
    <row r="34618" spans="1:2" x14ac:dyDescent="0.25">
      <c r="A34618" s="64" t="str">
        <f>HYPERLINK("http://www.twitter.com/HAHarding", "HAHarding")</f>
        <v>HAHarding</v>
      </c>
      <c r="B34618" s="65" t="s">
        <v>4501</v>
      </c>
    </row>
    <row r="34619" spans="1:2" x14ac:dyDescent="0.25">
      <c r="A34619" s="64" t="str">
        <f>HYPERLINK("http://www.twitter.com/SoniaRothwell", "SoniaRothwell")</f>
        <v>SoniaRothwell</v>
      </c>
      <c r="B34619" s="65" t="s">
        <v>70</v>
      </c>
    </row>
    <row r="34620" spans="1:2" x14ac:dyDescent="0.25">
      <c r="A34620" s="64" t="str">
        <f>HYPERLINK("http://www.twitter.com/bananasessions", "bananasessions")</f>
        <v>bananasessions</v>
      </c>
      <c r="B34620" s="65" t="s">
        <v>487</v>
      </c>
    </row>
    <row r="34621" spans="1:2" x14ac:dyDescent="0.25">
      <c r="A34621" s="64" t="str">
        <f>HYPERLINK("http://www.twitter.com/kirstininnes", "kirstininnes")</f>
        <v>kirstininnes</v>
      </c>
      <c r="B34621" s="65" t="s">
        <v>318</v>
      </c>
    </row>
    <row r="34622" spans="1:2" x14ac:dyDescent="0.25">
      <c r="A34622" s="64" t="str">
        <f>HYPERLINK("http://www.twitter.com/notstevemcqueen", "notstevemcqueen")</f>
        <v>notstevemcqueen</v>
      </c>
      <c r="B34622" s="65" t="s">
        <v>13373</v>
      </c>
    </row>
    <row r="34623" spans="1:2" x14ac:dyDescent="0.25">
      <c r="A34623" s="64" t="str">
        <f>HYPERLINK("http://www.twitter.com/PennyAFox", "PennyAFox")</f>
        <v>PennyAFox</v>
      </c>
      <c r="B34623" s="65" t="s">
        <v>477</v>
      </c>
    </row>
    <row r="34624" spans="1:2" x14ac:dyDescent="0.25">
      <c r="A34624" s="64" t="str">
        <f>HYPERLINK("http://www.twitter.com/softestbullet", "softestbullet")</f>
        <v>softestbullet</v>
      </c>
      <c r="B34624" s="65"/>
    </row>
    <row r="34625" spans="1:2" x14ac:dyDescent="0.25">
      <c r="A34625" s="64" t="str">
        <f>HYPERLINK("http://www.twitter.com/misssophiecooke", "misssophiecooke")</f>
        <v>misssophiecooke</v>
      </c>
      <c r="B34625" s="65" t="s">
        <v>24</v>
      </c>
    </row>
    <row r="34626" spans="1:2" x14ac:dyDescent="0.25">
      <c r="A34626" s="64" t="str">
        <f>HYPERLINK("http://www.twitter.com/GMasterton", "GMasterton")</f>
        <v>GMasterton</v>
      </c>
      <c r="B34626" s="65" t="s">
        <v>138</v>
      </c>
    </row>
    <row r="34627" spans="1:2" x14ac:dyDescent="0.25">
      <c r="A34627" s="64" t="str">
        <f>HYPERLINK("http://www.twitter.com/LibrarySherpa", "LibrarySherpa")</f>
        <v>LibrarySherpa</v>
      </c>
      <c r="B34627" s="65" t="s">
        <v>13374</v>
      </c>
    </row>
    <row r="34628" spans="1:2" x14ac:dyDescent="0.25">
      <c r="A34628" s="64" t="str">
        <f>HYPERLINK("http://www.twitter.com/Sue792028", "Sue792028")</f>
        <v>Sue792028</v>
      </c>
      <c r="B34628" s="65" t="s">
        <v>3890</v>
      </c>
    </row>
    <row r="34629" spans="1:2" x14ac:dyDescent="0.25">
      <c r="A34629" s="64" t="str">
        <f>HYPERLINK("http://www.twitter.com/djwilliams", "djwilliams")</f>
        <v>djwilliams</v>
      </c>
      <c r="B34629" s="65" t="s">
        <v>13375</v>
      </c>
    </row>
    <row r="34630" spans="1:2" x14ac:dyDescent="0.25">
      <c r="A34630" s="64" t="str">
        <f>HYPERLINK("http://www.twitter.com/RachelD27", "RachelD27")</f>
        <v>RachelD27</v>
      </c>
      <c r="B34630" s="65" t="s">
        <v>3643</v>
      </c>
    </row>
    <row r="34631" spans="1:2" x14ac:dyDescent="0.25">
      <c r="A34631" s="64" t="str">
        <f>HYPERLINK("http://www.twitter.com/QMULRC", "QMULRC")</f>
        <v>QMULRC</v>
      </c>
      <c r="B34631" s="65" t="s">
        <v>24</v>
      </c>
    </row>
    <row r="34632" spans="1:2" x14ac:dyDescent="0.25">
      <c r="A34632" s="64" t="str">
        <f>HYPERLINK("http://www.twitter.com/NuffieldLibrary", "NuffieldLibrary")</f>
        <v>NuffieldLibrary</v>
      </c>
      <c r="B34632" s="65" t="s">
        <v>845</v>
      </c>
    </row>
    <row r="34633" spans="1:2" x14ac:dyDescent="0.25">
      <c r="A34633" s="64" t="str">
        <f>HYPERLINK("http://www.twitter.com/michaelfake", "michaelfake")</f>
        <v>michaelfake</v>
      </c>
      <c r="B34633" s="65" t="s">
        <v>13376</v>
      </c>
    </row>
    <row r="34634" spans="1:2" x14ac:dyDescent="0.25">
      <c r="A34634" s="64" t="str">
        <f>HYPERLINK("http://www.twitter.com/playbrarian", "playbrarian")</f>
        <v>playbrarian</v>
      </c>
      <c r="B34634" s="65" t="s">
        <v>4501</v>
      </c>
    </row>
    <row r="34635" spans="1:2" x14ac:dyDescent="0.25">
      <c r="A34635" s="64" t="str">
        <f>HYPERLINK("http://www.twitter.com/hudlib", "hudlib")</f>
        <v>hudlib</v>
      </c>
      <c r="B34635" s="65" t="s">
        <v>660</v>
      </c>
    </row>
    <row r="34636" spans="1:2" x14ac:dyDescent="0.25">
      <c r="A34636" s="64" t="str">
        <f>HYPERLINK("http://www.twitter.com/samanthahalf", "samanthahalf")</f>
        <v>samanthahalf</v>
      </c>
      <c r="B34636" s="65" t="s">
        <v>36</v>
      </c>
    </row>
    <row r="34637" spans="1:2" x14ac:dyDescent="0.25">
      <c r="A34637" s="64" t="str">
        <f>HYPERLINK("http://www.twitter.com/philippaprice", "philippaprice")</f>
        <v>philippaprice</v>
      </c>
      <c r="B34637" s="65" t="s">
        <v>3890</v>
      </c>
    </row>
    <row r="34638" spans="1:2" x14ac:dyDescent="0.25">
      <c r="A34638" s="64" t="str">
        <f>HYPERLINK("http://www.twitter.com/MichaelStead", "MichaelStead")</f>
        <v>MichaelStead</v>
      </c>
      <c r="B34638" s="65" t="s">
        <v>13377</v>
      </c>
    </row>
    <row r="34639" spans="1:2" x14ac:dyDescent="0.25">
      <c r="A34639" s="64" t="str">
        <f>HYPERLINK("http://www.twitter.com/switkowski", "switkowski")</f>
        <v>switkowski</v>
      </c>
      <c r="B34639" s="65" t="s">
        <v>4040</v>
      </c>
    </row>
    <row r="34640" spans="1:2" x14ac:dyDescent="0.25">
      <c r="A34640" s="64" t="str">
        <f>HYPERLINK("http://www.twitter.com/AnnelouGL", "AnnelouGL")</f>
        <v>AnnelouGL</v>
      </c>
      <c r="B34640" s="65" t="s">
        <v>138</v>
      </c>
    </row>
    <row r="34641" spans="1:2" x14ac:dyDescent="0.25">
      <c r="A34641" s="64" t="str">
        <f>HYPERLINK("http://www.twitter.com/lelil", "lelil")</f>
        <v>lelil</v>
      </c>
      <c r="B34641" s="65" t="s">
        <v>13378</v>
      </c>
    </row>
    <row r="34642" spans="1:2" x14ac:dyDescent="0.25">
      <c r="A34642" s="64" t="str">
        <f>HYPERLINK("http://www.twitter.com/iscout4life", "iscout4life")</f>
        <v>iscout4life</v>
      </c>
      <c r="B34642" s="65" t="s">
        <v>13379</v>
      </c>
    </row>
    <row r="34643" spans="1:2" x14ac:dyDescent="0.25">
      <c r="A34643" s="64" t="str">
        <f>HYPERLINK("http://www.twitter.com/SuzanGriffiths", "SuzanGriffiths")</f>
        <v>SuzanGriffiths</v>
      </c>
      <c r="B34643" s="65" t="s">
        <v>296</v>
      </c>
    </row>
    <row r="34644" spans="1:2" x14ac:dyDescent="0.25">
      <c r="A34644" s="64" t="str">
        <f>HYPERLINK("http://www.twitter.com/FroggyTaylor", "FroggyTaylor")</f>
        <v>FroggyTaylor</v>
      </c>
      <c r="B34644" s="65"/>
    </row>
    <row r="34645" spans="1:2" x14ac:dyDescent="0.25">
      <c r="A34645" s="64" t="str">
        <f>HYPERLINK("http://www.twitter.com/Arresta", "Arresta")</f>
        <v>Arresta</v>
      </c>
      <c r="B34645" s="65" t="s">
        <v>180</v>
      </c>
    </row>
    <row r="34646" spans="1:2" x14ac:dyDescent="0.25">
      <c r="A34646" s="64" t="str">
        <f>HYPERLINK("http://www.twitter.com/lemon_squeezy", "lemon_squeezy")</f>
        <v>lemon_squeezy</v>
      </c>
      <c r="B34646" s="65" t="s">
        <v>24</v>
      </c>
    </row>
    <row r="34647" spans="1:2" x14ac:dyDescent="0.25">
      <c r="A34647" s="64" t="str">
        <f>HYPERLINK("http://www.twitter.com/PenguinUKBooks", "PenguinUKBooks")</f>
        <v>PenguinUKBooks</v>
      </c>
      <c r="B34647" s="65" t="s">
        <v>36</v>
      </c>
    </row>
    <row r="34648" spans="1:2" x14ac:dyDescent="0.25">
      <c r="A34648" s="64" t="str">
        <f>HYPERLINK("http://www.twitter.com/kapiti_lib", "kapiti_lib")</f>
        <v>kapiti_lib</v>
      </c>
      <c r="B34648" s="65" t="s">
        <v>13380</v>
      </c>
    </row>
    <row r="34649" spans="1:2" x14ac:dyDescent="0.25">
      <c r="A34649" s="64" t="str">
        <f>HYPERLINK("http://www.twitter.com/genebrarian", "genebrarian")</f>
        <v>genebrarian</v>
      </c>
      <c r="B34649" s="65" t="s">
        <v>3816</v>
      </c>
    </row>
    <row r="34650" spans="1:2" x14ac:dyDescent="0.25">
      <c r="A34650" s="64" t="str">
        <f>HYPERLINK("http://www.twitter.com/lisaoldham", "lisaoldham")</f>
        <v>lisaoldham</v>
      </c>
      <c r="B34650" s="65" t="s">
        <v>4039</v>
      </c>
    </row>
    <row r="34651" spans="1:2" x14ac:dyDescent="0.25">
      <c r="A34651" s="64" t="str">
        <f>HYPERLINK("http://www.twitter.com/kronos1126", "kronos1126")</f>
        <v>kronos1126</v>
      </c>
      <c r="B34651" s="65" t="s">
        <v>487</v>
      </c>
    </row>
    <row r="34652" spans="1:2" x14ac:dyDescent="0.25">
      <c r="A34652" s="64" t="str">
        <f>HYPERLINK("http://www.twitter.com/gabasempre", "gabasempre")</f>
        <v>gabasempre</v>
      </c>
      <c r="B34652" s="65"/>
    </row>
    <row r="34653" spans="1:2" x14ac:dyDescent="0.25">
      <c r="A34653" s="64" t="str">
        <f>HYPERLINK("http://www.twitter.com/UKSCL", "UKSCL")</f>
        <v>UKSCL</v>
      </c>
      <c r="B34653" s="65" t="s">
        <v>70</v>
      </c>
    </row>
    <row r="34654" spans="1:2" x14ac:dyDescent="0.25">
      <c r="A34654" s="64" t="str">
        <f>HYPERLINK("http://www.twitter.com/five_element", "five_element")</f>
        <v>five_element</v>
      </c>
      <c r="B34654" s="65" t="s">
        <v>1098</v>
      </c>
    </row>
    <row r="34655" spans="1:2" x14ac:dyDescent="0.25">
      <c r="A34655" s="64" t="str">
        <f>HYPERLINK("http://www.twitter.com/ScarletGlitter", "ScarletGlitter")</f>
        <v>ScarletGlitter</v>
      </c>
      <c r="B34655" s="65" t="s">
        <v>296</v>
      </c>
    </row>
    <row r="34656" spans="1:2" x14ac:dyDescent="0.25">
      <c r="A34656" s="64" t="str">
        <f>HYPERLINK("http://www.twitter.com/Perednia", "Perednia")</f>
        <v>Perednia</v>
      </c>
      <c r="B34656" s="65" t="s">
        <v>5357</v>
      </c>
    </row>
    <row r="34657" spans="1:2" x14ac:dyDescent="0.25">
      <c r="A34657" s="64" t="str">
        <f>HYPERLINK("http://www.twitter.com/KatieFforde", "KatieFforde")</f>
        <v>KatieFforde</v>
      </c>
      <c r="B34657" s="65" t="s">
        <v>13381</v>
      </c>
    </row>
    <row r="34658" spans="1:2" x14ac:dyDescent="0.25">
      <c r="A34658" s="64" t="str">
        <f>HYPERLINK("http://www.twitter.com/DeniseSprrwhwk", "DeniseSprrwhwk")</f>
        <v>DeniseSprrwhwk</v>
      </c>
      <c r="B34658" s="65" t="s">
        <v>13382</v>
      </c>
    </row>
    <row r="34659" spans="1:2" x14ac:dyDescent="0.25">
      <c r="A34659" s="64" t="str">
        <f>HYPERLINK("http://www.twitter.com/wordweave", "wordweave")</f>
        <v>wordweave</v>
      </c>
      <c r="B34659" s="65" t="s">
        <v>180</v>
      </c>
    </row>
    <row r="34660" spans="1:2" x14ac:dyDescent="0.25">
      <c r="A34660" s="64" t="str">
        <f>HYPERLINK("http://www.twitter.com/eccentrici", "eccentrici")</f>
        <v>eccentrici</v>
      </c>
      <c r="B34660" s="65" t="s">
        <v>3798</v>
      </c>
    </row>
    <row r="34661" spans="1:2" x14ac:dyDescent="0.25">
      <c r="A34661" s="64" t="str">
        <f>HYPERLINK("http://www.twitter.com/Sundayteatime", "Sundayteatime")</f>
        <v>Sundayteatime</v>
      </c>
      <c r="B34661" s="65" t="s">
        <v>13383</v>
      </c>
    </row>
    <row r="34662" spans="1:2" x14ac:dyDescent="0.25">
      <c r="A34662" s="64" t="str">
        <f>HYPERLINK("http://www.twitter.com/iggynig", "iggynig")</f>
        <v>iggynig</v>
      </c>
      <c r="B34662" s="65" t="s">
        <v>487</v>
      </c>
    </row>
    <row r="34663" spans="1:2" x14ac:dyDescent="0.25">
      <c r="A34663" s="64" t="str">
        <f>HYPERLINK("http://www.twitter.com/Bearlio", "Bearlio")</f>
        <v>Bearlio</v>
      </c>
      <c r="B34663" s="65" t="s">
        <v>13384</v>
      </c>
    </row>
    <row r="34664" spans="1:2" x14ac:dyDescent="0.25">
      <c r="A34664" s="64" t="str">
        <f>HYPERLINK("http://www.twitter.com/peterwrites", "peterwrites")</f>
        <v>peterwrites</v>
      </c>
      <c r="B34664" s="65" t="s">
        <v>5891</v>
      </c>
    </row>
    <row r="34665" spans="1:2" x14ac:dyDescent="0.25">
      <c r="A34665" s="64" t="str">
        <f>HYPERLINK("http://www.twitter.com/MiseNico", "MiseNico")</f>
        <v>MiseNico</v>
      </c>
      <c r="B34665" s="65" t="s">
        <v>4062</v>
      </c>
    </row>
    <row r="34666" spans="1:2" x14ac:dyDescent="0.25">
      <c r="A34666" s="64" t="str">
        <f>HYPERLINK("http://www.twitter.com/jenc79", "jenc79")</f>
        <v>jenc79</v>
      </c>
      <c r="B34666" s="65" t="s">
        <v>296</v>
      </c>
    </row>
    <row r="34667" spans="1:2" x14ac:dyDescent="0.25">
      <c r="A34667" s="64" t="str">
        <f>HYPERLINK("http://www.twitter.com/Danepoes", "Danepoes")</f>
        <v>Danepoes</v>
      </c>
      <c r="B34667" s="65" t="s">
        <v>6728</v>
      </c>
    </row>
    <row r="34668" spans="1:2" x14ac:dyDescent="0.25">
      <c r="A34668" s="64" t="str">
        <f>HYPERLINK("http://www.twitter.com/iainh", "iainh")</f>
        <v>iainh</v>
      </c>
      <c r="B34668" s="65" t="s">
        <v>327</v>
      </c>
    </row>
    <row r="34669" spans="1:2" x14ac:dyDescent="0.25">
      <c r="A34669" s="64" t="str">
        <f>HYPERLINK("http://www.twitter.com/spencro", "spencro")</f>
        <v>spencro</v>
      </c>
      <c r="B34669" s="65" t="s">
        <v>33</v>
      </c>
    </row>
    <row r="34670" spans="1:2" x14ac:dyDescent="0.25">
      <c r="A34670" s="64" t="str">
        <f>HYPERLINK("http://www.twitter.com/niccommawoo", "niccommawoo")</f>
        <v>niccommawoo</v>
      </c>
      <c r="B34670" s="65" t="s">
        <v>13385</v>
      </c>
    </row>
    <row r="34671" spans="1:2" x14ac:dyDescent="0.25">
      <c r="A34671" s="64" t="str">
        <f>HYPERLINK("http://www.twitter.com/londonbookgirl", "londonbookgirl")</f>
        <v>londonbookgirl</v>
      </c>
      <c r="B34671" s="65" t="s">
        <v>36</v>
      </c>
    </row>
    <row r="34672" spans="1:2" x14ac:dyDescent="0.25">
      <c r="A34672" s="64" t="str">
        <f>HYPERLINK("http://www.twitter.com/Dominic_Vaughan", "Dominic_Vaughan")</f>
        <v>Dominic_Vaughan</v>
      </c>
      <c r="B34672" s="65"/>
    </row>
    <row r="34673" spans="1:2" x14ac:dyDescent="0.25">
      <c r="A34673" s="64" t="str">
        <f>HYPERLINK("http://www.twitter.com/fleming77", "fleming77")</f>
        <v>fleming77</v>
      </c>
      <c r="B34673" s="65" t="s">
        <v>13386</v>
      </c>
    </row>
    <row r="34674" spans="1:2" x14ac:dyDescent="0.25">
      <c r="A34674" s="64" t="str">
        <f>HYPERLINK("http://www.twitter.com/vintagebooks", "vintagebooks")</f>
        <v>vintagebooks</v>
      </c>
      <c r="B34674" s="65" t="s">
        <v>36</v>
      </c>
    </row>
    <row r="34675" spans="1:2" x14ac:dyDescent="0.25">
      <c r="A34675" s="64" t="str">
        <f>HYPERLINK("http://www.twitter.com/lindarella", "lindarella")</f>
        <v>lindarella</v>
      </c>
      <c r="B34675" s="65" t="s">
        <v>4409</v>
      </c>
    </row>
    <row r="34676" spans="1:2" x14ac:dyDescent="0.25">
      <c r="A34676" s="64" t="str">
        <f>HYPERLINK("http://www.twitter.com/tfb62", "tfb62")</f>
        <v>tfb62</v>
      </c>
      <c r="B34676" s="65" t="s">
        <v>4171</v>
      </c>
    </row>
    <row r="34677" spans="1:2" x14ac:dyDescent="0.25">
      <c r="A34677" s="64" t="str">
        <f>HYPERLINK("http://www.twitter.com/JimCarmin", "JimCarmin")</f>
        <v>JimCarmin</v>
      </c>
      <c r="B34677" s="65" t="s">
        <v>4710</v>
      </c>
    </row>
    <row r="34678" spans="1:2" x14ac:dyDescent="0.25">
      <c r="A34678" s="64" t="str">
        <f>HYPERLINK("http://www.twitter.com/strangejkp", "strangejkp")</f>
        <v>strangejkp</v>
      </c>
      <c r="B34678" s="65"/>
    </row>
    <row r="34679" spans="1:2" x14ac:dyDescent="0.25">
      <c r="A34679" s="64" t="str">
        <f>HYPERLINK("http://www.twitter.com/Hilary_W", "Hilary_W")</f>
        <v>Hilary_W</v>
      </c>
      <c r="B34679" s="65" t="s">
        <v>487</v>
      </c>
    </row>
    <row r="34680" spans="1:2" x14ac:dyDescent="0.25">
      <c r="A34680" s="64" t="str">
        <f>HYPERLINK("http://www.twitter.com/micropoetry_", "micropoetry_")</f>
        <v>micropoetry_</v>
      </c>
      <c r="B34680" s="65"/>
    </row>
    <row r="34681" spans="1:2" x14ac:dyDescent="0.25">
      <c r="A34681" s="64" t="str">
        <f>HYPERLINK("http://www.twitter.com/sia_ky", "sia_ky")</f>
        <v>sia_ky</v>
      </c>
      <c r="B34681" s="65" t="s">
        <v>13387</v>
      </c>
    </row>
    <row r="34682" spans="1:2" x14ac:dyDescent="0.25">
      <c r="A34682" s="64" t="str">
        <f>HYPERLINK("http://www.twitter.com/farnhammaltings", "farnhammaltings")</f>
        <v>farnhammaltings</v>
      </c>
      <c r="B34682" s="65" t="s">
        <v>4307</v>
      </c>
    </row>
    <row r="34683" spans="1:2" x14ac:dyDescent="0.25">
      <c r="A34683" s="64" t="str">
        <f>HYPERLINK("http://www.twitter.com/julie_cohen", "julie_cohen")</f>
        <v>julie_cohen</v>
      </c>
      <c r="B34683" s="65" t="s">
        <v>13388</v>
      </c>
    </row>
    <row r="34684" spans="1:2" x14ac:dyDescent="0.25">
      <c r="A34684" s="64" t="str">
        <f>HYPERLINK("http://www.twitter.com/martinmargins", "martinmargins")</f>
        <v>martinmargins</v>
      </c>
      <c r="B34684" s="65" t="s">
        <v>1377</v>
      </c>
    </row>
    <row r="34685" spans="1:2" x14ac:dyDescent="0.25">
      <c r="A34685" s="64" t="str">
        <f>HYPERLINK("http://www.twitter.com/jegilman", "jegilman")</f>
        <v>jegilman</v>
      </c>
      <c r="B34685" s="65" t="s">
        <v>517</v>
      </c>
    </row>
    <row r="34686" spans="1:2" x14ac:dyDescent="0.25">
      <c r="A34686" s="64" t="str">
        <f>HYPERLINK("http://www.twitter.com/francescamain", "francescamain")</f>
        <v>francescamain</v>
      </c>
      <c r="B34686" s="65" t="s">
        <v>36</v>
      </c>
    </row>
    <row r="34687" spans="1:2" x14ac:dyDescent="0.25">
      <c r="A34687" s="64" t="str">
        <f>HYPERLINK("http://www.twitter.com/MrEastcoasting", "MrEastcoasting")</f>
        <v>MrEastcoasting</v>
      </c>
      <c r="B34687" s="65"/>
    </row>
    <row r="34688" spans="1:2" x14ac:dyDescent="0.25">
      <c r="A34688" s="64" t="str">
        <f>HYPERLINK("http://www.twitter.com/cassandra2020", "cassandra2020")</f>
        <v>cassandra2020</v>
      </c>
      <c r="B34688" s="65" t="s">
        <v>13389</v>
      </c>
    </row>
    <row r="34689" spans="1:2" x14ac:dyDescent="0.25">
      <c r="A34689" s="64" t="str">
        <f>HYPERLINK("http://www.twitter.com/read_rhyme_run", "read_rhyme_run")</f>
        <v>read_rhyme_run</v>
      </c>
      <c r="B34689" s="65" t="s">
        <v>13390</v>
      </c>
    </row>
    <row r="34690" spans="1:2" x14ac:dyDescent="0.25">
      <c r="A34690" s="64" t="str">
        <f>HYPERLINK("http://www.twitter.com/ClutagPress", "ClutagPress")</f>
        <v>ClutagPress</v>
      </c>
      <c r="B34690" s="65"/>
    </row>
    <row r="34691" spans="1:2" x14ac:dyDescent="0.25">
      <c r="A34691" s="64" t="str">
        <f>HYPERLINK("http://www.twitter.com/BlondieDington", "BlondieDington")</f>
        <v>BlondieDington</v>
      </c>
      <c r="B34691" s="65" t="s">
        <v>12</v>
      </c>
    </row>
    <row r="34692" spans="1:2" x14ac:dyDescent="0.25">
      <c r="A34692" s="64" t="str">
        <f>HYPERLINK("http://www.twitter.com/LynneOakvik", "LynneOakvik")</f>
        <v>LynneOakvik</v>
      </c>
      <c r="B34692" s="65" t="s">
        <v>13391</v>
      </c>
    </row>
    <row r="34693" spans="1:2" x14ac:dyDescent="0.25">
      <c r="A34693" s="64" t="str">
        <f>HYPERLINK("http://www.twitter.com/ruggtomcat", "ruggtomcat")</f>
        <v>ruggtomcat</v>
      </c>
      <c r="B34693" s="65" t="s">
        <v>24</v>
      </c>
    </row>
    <row r="34694" spans="1:2" x14ac:dyDescent="0.25">
      <c r="A34694" s="64" t="str">
        <f>HYPERLINK("http://www.twitter.com/ifbook", "ifbook")</f>
        <v>ifbook</v>
      </c>
      <c r="B34694" s="65" t="s">
        <v>36</v>
      </c>
    </row>
    <row r="34695" spans="1:2" x14ac:dyDescent="0.25">
      <c r="A34695" s="64" t="str">
        <f>HYPERLINK("http://www.twitter.com/farmlanebooks", "farmlanebooks")</f>
        <v>farmlanebooks</v>
      </c>
      <c r="B34695" s="65" t="s">
        <v>13392</v>
      </c>
    </row>
    <row r="34696" spans="1:2" x14ac:dyDescent="0.25">
      <c r="A34696" s="64" t="str">
        <f>HYPERLINK("http://www.twitter.com/NottmPlayhouse", "NottmPlayhouse")</f>
        <v>NottmPlayhouse</v>
      </c>
      <c r="B34696" s="65" t="s">
        <v>5864</v>
      </c>
    </row>
    <row r="34697" spans="1:2" x14ac:dyDescent="0.25">
      <c r="A34697" s="64" t="str">
        <f>HYPERLINK("http://www.twitter.com/Emma_Jayne", "Emma_Jayne")</f>
        <v>Emma_Jayne</v>
      </c>
      <c r="B34697" s="65" t="s">
        <v>526</v>
      </c>
    </row>
    <row r="34698" spans="1:2" x14ac:dyDescent="0.25">
      <c r="A34698" s="64" t="str">
        <f>HYPERLINK("http://www.twitter.com/ibtauris", "ibtauris")</f>
        <v>ibtauris</v>
      </c>
      <c r="B34698" s="65" t="s">
        <v>13393</v>
      </c>
    </row>
    <row r="34699" spans="1:2" x14ac:dyDescent="0.25">
      <c r="A34699" s="64" t="str">
        <f>HYPERLINK("http://www.twitter.com/ClaireWingfield", "ClaireWingfield")</f>
        <v>ClaireWingfield</v>
      </c>
      <c r="B34699" s="65" t="s">
        <v>67</v>
      </c>
    </row>
    <row r="34700" spans="1:2" x14ac:dyDescent="0.25">
      <c r="A34700" s="64" t="str">
        <f>HYPERLINK("http://www.twitter.com/asweetunrest", "asweetunrest")</f>
        <v>asweetunrest</v>
      </c>
      <c r="B34700" s="65"/>
    </row>
    <row r="34701" spans="1:2" x14ac:dyDescent="0.25">
      <c r="A34701" s="64" t="str">
        <f>HYPERLINK("http://www.twitter.com/ElaineBuckley", "ElaineBuckley")</f>
        <v>ElaineBuckley</v>
      </c>
      <c r="B34701" s="65" t="s">
        <v>4655</v>
      </c>
    </row>
    <row r="34702" spans="1:2" x14ac:dyDescent="0.25">
      <c r="A34702" s="64" t="str">
        <f>HYPERLINK("http://www.twitter.com/DollhouseCafe", "DollhouseCafe")</f>
        <v>DollhouseCafe</v>
      </c>
      <c r="B34702" s="65" t="s">
        <v>13394</v>
      </c>
    </row>
    <row r="34703" spans="1:2" x14ac:dyDescent="0.25">
      <c r="A34703" s="64" t="str">
        <f>HYPERLINK("http://www.twitter.com/brixtonian", "brixtonian")</f>
        <v>brixtonian</v>
      </c>
      <c r="B34703" s="65"/>
    </row>
    <row r="34704" spans="1:2" x14ac:dyDescent="0.25">
      <c r="A34704" s="64" t="str">
        <f>HYPERLINK("http://www.twitter.com/2420east23", "2420east23")</f>
        <v>2420east23</v>
      </c>
      <c r="B34704" s="65"/>
    </row>
    <row r="34705" spans="1:2" x14ac:dyDescent="0.25">
      <c r="A34705" s="64" t="str">
        <f>HYPERLINK("http://www.twitter.com/vonprice", "vonprice")</f>
        <v>vonprice</v>
      </c>
      <c r="B34705" s="65" t="s">
        <v>1810</v>
      </c>
    </row>
    <row r="34706" spans="1:2" x14ac:dyDescent="0.25">
      <c r="A34706" s="64" t="str">
        <f>HYPERLINK("http://www.twitter.com/monkeyboyzmum", "monkeyboyzmum")</f>
        <v>monkeyboyzmum</v>
      </c>
      <c r="B34706" s="65" t="s">
        <v>13395</v>
      </c>
    </row>
    <row r="34707" spans="1:2" x14ac:dyDescent="0.25">
      <c r="A34707" s="64" t="str">
        <f>HYPERLINK("http://www.twitter.com/Hatston", "Hatston")</f>
        <v>Hatston</v>
      </c>
      <c r="B34707" s="65" t="s">
        <v>4227</v>
      </c>
    </row>
    <row r="34708" spans="1:2" x14ac:dyDescent="0.25">
      <c r="A34708" s="64" t="str">
        <f>HYPERLINK("http://www.twitter.com/TabulaaRasa", "TabulaaRasa")</f>
        <v>TabulaaRasa</v>
      </c>
      <c r="B34708" s="65"/>
    </row>
    <row r="34709" spans="1:2" x14ac:dyDescent="0.25">
      <c r="A34709" s="64" t="str">
        <f>HYPERLINK("http://www.twitter.com/LizziePoulton", "LizziePoulton")</f>
        <v>LizziePoulton</v>
      </c>
      <c r="B34709" s="65"/>
    </row>
    <row r="34710" spans="1:2" x14ac:dyDescent="0.25">
      <c r="A34710" s="64" t="str">
        <f>HYPERLINK("http://www.twitter.com/drop_and_roll", "drop_and_roll")</f>
        <v>drop_and_roll</v>
      </c>
      <c r="B34710" s="65"/>
    </row>
    <row r="34711" spans="1:2" x14ac:dyDescent="0.25">
      <c r="A34711" s="64" t="str">
        <f>HYPERLINK("http://www.twitter.com/MaryMug", "MaryMug")</f>
        <v>MaryMug</v>
      </c>
      <c r="B34711" s="65" t="s">
        <v>3828</v>
      </c>
    </row>
    <row r="34712" spans="1:2" x14ac:dyDescent="0.25">
      <c r="A34712" s="64" t="str">
        <f>HYPERLINK("http://www.twitter.com/Lin_Anderson", "Lin_Anderson")</f>
        <v>Lin_Anderson</v>
      </c>
      <c r="B34712" s="65" t="s">
        <v>487</v>
      </c>
    </row>
    <row r="34713" spans="1:2" x14ac:dyDescent="0.25">
      <c r="A34713" s="64" t="str">
        <f>HYPERLINK("http://www.twitter.com/Muskadobbit", "Muskadobbit")</f>
        <v>Muskadobbit</v>
      </c>
      <c r="B34713" s="65" t="s">
        <v>13396</v>
      </c>
    </row>
    <row r="34714" spans="1:2" x14ac:dyDescent="0.25">
      <c r="A34714" s="64" t="str">
        <f>HYPERLINK("http://www.twitter.com/JaneaDobson", "JaneaDobson")</f>
        <v>JaneaDobson</v>
      </c>
      <c r="B34714" s="65" t="s">
        <v>13397</v>
      </c>
    </row>
    <row r="34715" spans="1:2" x14ac:dyDescent="0.25">
      <c r="A34715" s="64" t="str">
        <f>HYPERLINK("http://www.twitter.com/digitalkatie", "digitalkatie")</f>
        <v>digitalkatie</v>
      </c>
      <c r="B34715" s="65" t="s">
        <v>24</v>
      </c>
    </row>
    <row r="34716" spans="1:2" x14ac:dyDescent="0.25">
      <c r="A34716" s="64" t="str">
        <f>HYPERLINK("http://www.twitter.com/Kalshassan", "Kalshassan")</f>
        <v>Kalshassan</v>
      </c>
      <c r="B34716" s="65" t="s">
        <v>24</v>
      </c>
    </row>
    <row r="34717" spans="1:2" x14ac:dyDescent="0.25">
      <c r="A34717" s="64" t="str">
        <f>HYPERLINK("http://www.twitter.com/jane_heir", "jane_heir")</f>
        <v>jane_heir</v>
      </c>
      <c r="B34717" s="65" t="s">
        <v>13398</v>
      </c>
    </row>
    <row r="34718" spans="1:2" x14ac:dyDescent="0.25">
      <c r="A34718" s="64" t="str">
        <f>HYPERLINK("http://www.twitter.com/kirst2211", "kirst2211")</f>
        <v>kirst2211</v>
      </c>
      <c r="B34718" s="65" t="s">
        <v>5691</v>
      </c>
    </row>
    <row r="34719" spans="1:2" x14ac:dyDescent="0.25">
      <c r="A34719" s="64" t="str">
        <f>HYPERLINK("http://www.twitter.com/helebram", "helebram")</f>
        <v>helebram</v>
      </c>
      <c r="B34719" s="65" t="s">
        <v>13399</v>
      </c>
    </row>
    <row r="34720" spans="1:2" x14ac:dyDescent="0.25">
      <c r="A34720" s="64" t="str">
        <f>HYPERLINK("http://www.twitter.com/Lors2911", "Lors2911")</f>
        <v>Lors2911</v>
      </c>
      <c r="B34720" s="65" t="s">
        <v>13400</v>
      </c>
    </row>
    <row r="34721" spans="1:2" x14ac:dyDescent="0.25">
      <c r="A34721" s="64" t="str">
        <f>HYPERLINK("http://www.twitter.com/purlpoet", "purlpoet")</f>
        <v>purlpoet</v>
      </c>
      <c r="B34721" s="65" t="s">
        <v>3778</v>
      </c>
    </row>
    <row r="34722" spans="1:2" x14ac:dyDescent="0.25">
      <c r="A34722" s="64" t="str">
        <f>HYPERLINK("http://www.twitter.com/mairi_claire_k", "mairi_claire_k")</f>
        <v>mairi_claire_k</v>
      </c>
      <c r="B34722" s="65"/>
    </row>
    <row r="34723" spans="1:2" x14ac:dyDescent="0.25">
      <c r="A34723" s="64" t="str">
        <f>HYPERLINK("http://www.twitter.com/Martina_BWC", "Martina_BWC")</f>
        <v>Martina_BWC</v>
      </c>
      <c r="B34723" s="65"/>
    </row>
    <row r="34724" spans="1:2" x14ac:dyDescent="0.25">
      <c r="A34724" s="64" t="str">
        <f>HYPERLINK("http://www.twitter.com/GeeeBeee", "GeeeBeee")</f>
        <v>GeeeBeee</v>
      </c>
      <c r="B34724" s="65" t="s">
        <v>9809</v>
      </c>
    </row>
    <row r="34725" spans="1:2" x14ac:dyDescent="0.25">
      <c r="A34725" s="64" t="str">
        <f>HYPERLINK("http://www.twitter.com/repaper", "repaper")</f>
        <v>repaper</v>
      </c>
      <c r="B34725" s="65" t="s">
        <v>4329</v>
      </c>
    </row>
    <row r="34726" spans="1:2" x14ac:dyDescent="0.25">
      <c r="A34726" s="64" t="str">
        <f>HYPERLINK("http://www.twitter.com/fionakclark", "fionakclark")</f>
        <v>fionakclark</v>
      </c>
      <c r="B34726" s="65" t="s">
        <v>36</v>
      </c>
    </row>
    <row r="34727" spans="1:2" x14ac:dyDescent="0.25">
      <c r="A34727" s="64" t="str">
        <f>HYPERLINK("http://www.twitter.com/davedevereux", "davedevereux")</f>
        <v>davedevereux</v>
      </c>
      <c r="B34727" s="65" t="s">
        <v>13401</v>
      </c>
    </row>
    <row r="34728" spans="1:2" x14ac:dyDescent="0.25">
      <c r="A34728" s="64" t="str">
        <f>HYPERLINK("http://www.twitter.com/theslylibrarian", "theslylibrarian")</f>
        <v>theslylibrarian</v>
      </c>
      <c r="B34728" s="65" t="s">
        <v>4707</v>
      </c>
    </row>
    <row r="34729" spans="1:2" x14ac:dyDescent="0.25">
      <c r="A34729" s="64" t="str">
        <f>HYPERLINK("http://www.twitter.com/anotherkate", "anotherkate")</f>
        <v>anotherkate</v>
      </c>
      <c r="B34729" s="65" t="s">
        <v>13402</v>
      </c>
    </row>
    <row r="34730" spans="1:2" x14ac:dyDescent="0.25">
      <c r="A34730" s="64" t="str">
        <f>HYPERLINK("http://www.twitter.com/Sarb719", "Sarb719")</f>
        <v>Sarb719</v>
      </c>
      <c r="B34730" s="65"/>
    </row>
    <row r="34731" spans="1:2" x14ac:dyDescent="0.25">
      <c r="A34731" s="64" t="str">
        <f>HYPERLINK("http://www.twitter.com/londyjamel", "londyjamel")</f>
        <v>londyjamel</v>
      </c>
      <c r="B34731" s="65" t="s">
        <v>9352</v>
      </c>
    </row>
    <row r="34732" spans="1:2" x14ac:dyDescent="0.25">
      <c r="A34732" s="64" t="str">
        <f>HYPERLINK("http://www.twitter.com/merylE11", "merylE11")</f>
        <v>merylE11</v>
      </c>
      <c r="B34732" s="65" t="s">
        <v>36</v>
      </c>
    </row>
    <row r="34733" spans="1:2" x14ac:dyDescent="0.25">
      <c r="A34733" s="64" t="str">
        <f>HYPERLINK("http://www.twitter.com/pandorabox82", "pandorabox82")</f>
        <v>pandorabox82</v>
      </c>
      <c r="B34733" s="65" t="s">
        <v>13403</v>
      </c>
    </row>
    <row r="34734" spans="1:2" x14ac:dyDescent="0.25">
      <c r="A34734" s="64" t="str">
        <f>HYPERLINK("http://www.twitter.com/Lionnesss", "Lionnesss")</f>
        <v>Lionnesss</v>
      </c>
      <c r="B34734" s="65" t="s">
        <v>3778</v>
      </c>
    </row>
    <row r="34735" spans="1:2" x14ac:dyDescent="0.25">
      <c r="A34735" s="64" t="str">
        <f>HYPERLINK("http://www.twitter.com/RodmellPress", "RodmellPress")</f>
        <v>RodmellPress</v>
      </c>
      <c r="B34735" s="65" t="s">
        <v>6457</v>
      </c>
    </row>
    <row r="34736" spans="1:2" x14ac:dyDescent="0.25">
      <c r="A34736" s="64" t="str">
        <f>HYPERLINK("http://www.twitter.com/BioScienceMum", "BioScienceMum")</f>
        <v>BioScienceMum</v>
      </c>
      <c r="B34736" s="65"/>
    </row>
    <row r="34737" spans="1:2" x14ac:dyDescent="0.25">
      <c r="A34737" s="64" t="str">
        <f>HYPERLINK("http://www.twitter.com/evagro", "evagro")</f>
        <v>evagro</v>
      </c>
      <c r="B34737" s="65" t="s">
        <v>10758</v>
      </c>
    </row>
    <row r="34738" spans="1:2" x14ac:dyDescent="0.25">
      <c r="A34738" s="64" t="str">
        <f>HYPERLINK("http://www.twitter.com/NtlMuseumsScot", "NtlMuseumsScot")</f>
        <v>NtlMuseumsScot</v>
      </c>
      <c r="B34738" s="65" t="s">
        <v>487</v>
      </c>
    </row>
    <row r="34739" spans="1:2" x14ac:dyDescent="0.25">
      <c r="A34739" s="64" t="str">
        <f>HYPERLINK("http://www.twitter.com/BeckShorter", "BeckShorter")</f>
        <v>BeckShorter</v>
      </c>
      <c r="B34739" s="65" t="s">
        <v>13404</v>
      </c>
    </row>
    <row r="34740" spans="1:2" x14ac:dyDescent="0.25">
      <c r="A34740" s="64" t="str">
        <f>HYPERLINK("http://www.twitter.com/polyolbion", "polyolbion")</f>
        <v>polyolbion</v>
      </c>
      <c r="B34740" s="65" t="s">
        <v>13405</v>
      </c>
    </row>
    <row r="34741" spans="1:2" x14ac:dyDescent="0.25">
      <c r="A34741" s="64" t="str">
        <f>HYPERLINK("http://www.twitter.com/millieshoes", "millieshoes")</f>
        <v>millieshoes</v>
      </c>
      <c r="B34741" s="65" t="s">
        <v>4501</v>
      </c>
    </row>
    <row r="34742" spans="1:2" x14ac:dyDescent="0.25">
      <c r="A34742" s="64" t="str">
        <f>HYPERLINK("http://www.twitter.com/jtedwards72", "jtedwards72")</f>
        <v>jtedwards72</v>
      </c>
      <c r="B34742" s="65" t="s">
        <v>4227</v>
      </c>
    </row>
    <row r="34743" spans="1:2" x14ac:dyDescent="0.25">
      <c r="A34743" s="64" t="str">
        <f>HYPERLINK("http://www.twitter.com/WalsallLibrary", "WalsallLibrary")</f>
        <v>WalsallLibrary</v>
      </c>
      <c r="B34743" s="65" t="s">
        <v>358</v>
      </c>
    </row>
    <row r="34744" spans="1:2" x14ac:dyDescent="0.25">
      <c r="A34744" s="64" t="str">
        <f>HYPERLINK("http://www.twitter.com/MrCarapace", "MrCarapace")</f>
        <v>MrCarapace</v>
      </c>
      <c r="B34744" s="65"/>
    </row>
    <row r="34745" spans="1:2" x14ac:dyDescent="0.25">
      <c r="A34745" s="64" t="str">
        <f>HYPERLINK("http://www.twitter.com/kearneycath", "kearneycath")</f>
        <v>kearneycath</v>
      </c>
      <c r="B34745" s="65" t="s">
        <v>318</v>
      </c>
    </row>
    <row r="34746" spans="1:2" x14ac:dyDescent="0.25">
      <c r="A34746" s="64" t="str">
        <f>HYPERLINK("http://www.twitter.com/AliEvans10", "AliEvans10")</f>
        <v>AliEvans10</v>
      </c>
      <c r="B34746" s="65" t="s">
        <v>3890</v>
      </c>
    </row>
    <row r="34747" spans="1:2" x14ac:dyDescent="0.25">
      <c r="A34747" s="64" t="str">
        <f>HYPERLINK("http://www.twitter.com/brucester74", "brucester74")</f>
        <v>brucester74</v>
      </c>
      <c r="B34747" s="65" t="s">
        <v>487</v>
      </c>
    </row>
    <row r="34748" spans="1:2" x14ac:dyDescent="0.25">
      <c r="A34748" s="64" t="str">
        <f>HYPERLINK("http://www.twitter.com/burnyourbones", "burnyourbones")</f>
        <v>burnyourbones</v>
      </c>
      <c r="B34748" s="65" t="s">
        <v>33</v>
      </c>
    </row>
    <row r="34749" spans="1:2" x14ac:dyDescent="0.25">
      <c r="A34749" s="64" t="str">
        <f>HYPERLINK("http://www.twitter.com/laportsia", "laportsia")</f>
        <v>laportsia</v>
      </c>
      <c r="B34749" s="65" t="s">
        <v>11043</v>
      </c>
    </row>
    <row r="34750" spans="1:2" x14ac:dyDescent="0.25">
      <c r="A34750" s="64" t="str">
        <f>HYPERLINK("http://www.twitter.com/Orkney_Defence", "Orkney_Defence")</f>
        <v>Orkney_Defence</v>
      </c>
      <c r="B34750" s="65" t="s">
        <v>20</v>
      </c>
    </row>
    <row r="34751" spans="1:2" x14ac:dyDescent="0.25">
      <c r="A34751" s="64" t="str">
        <f>HYPERLINK("http://www.twitter.com/emmalouisenicol", "emmalouisenicol")</f>
        <v>emmalouisenicol</v>
      </c>
      <c r="B34751" s="65" t="s">
        <v>4404</v>
      </c>
    </row>
    <row r="34752" spans="1:2" x14ac:dyDescent="0.25">
      <c r="A34752" s="64" t="str">
        <f>HYPERLINK("http://www.twitter.com/Leapbks", "Leapbks")</f>
        <v>Leapbks</v>
      </c>
      <c r="B34752" s="65"/>
    </row>
    <row r="34753" spans="1:2" x14ac:dyDescent="0.25">
      <c r="A34753" s="64" t="str">
        <f>HYPERLINK("http://www.twitter.com/Viche", "Viche")</f>
        <v>Viche</v>
      </c>
      <c r="B34753" s="65" t="s">
        <v>13406</v>
      </c>
    </row>
    <row r="34754" spans="1:2" x14ac:dyDescent="0.25">
      <c r="A34754" s="64" t="str">
        <f>HYPERLINK("http://www.twitter.com/chrisverstraete", "chrisverstraete")</f>
        <v>chrisverstraete</v>
      </c>
      <c r="B34754" s="65" t="s">
        <v>13407</v>
      </c>
    </row>
    <row r="34755" spans="1:2" x14ac:dyDescent="0.25">
      <c r="A34755" s="64" t="str">
        <f>HYPERLINK("http://www.twitter.com/trinahall101", "trinahall101")</f>
        <v>trinahall101</v>
      </c>
      <c r="B34755" s="65" t="s">
        <v>3890</v>
      </c>
    </row>
    <row r="34756" spans="1:2" x14ac:dyDescent="0.25">
      <c r="A34756" s="64" t="str">
        <f>HYPERLINK("http://www.twitter.com/sturobe", "sturobe")</f>
        <v>sturobe</v>
      </c>
      <c r="B34756" s="65" t="s">
        <v>5145</v>
      </c>
    </row>
    <row r="34757" spans="1:2" x14ac:dyDescent="0.25">
      <c r="A34757" s="64" t="str">
        <f>HYPERLINK("http://www.twitter.com/WillowTreeBooks", "WillowTreeBooks")</f>
        <v>WillowTreeBooks</v>
      </c>
      <c r="B34757" s="65" t="s">
        <v>13408</v>
      </c>
    </row>
    <row r="34758" spans="1:2" x14ac:dyDescent="0.25">
      <c r="A34758" s="64" t="str">
        <f>HYPERLINK("http://www.twitter.com/CUPBookshop", "CUPBookshop")</f>
        <v>CUPBookshop</v>
      </c>
      <c r="B34758" s="65" t="s">
        <v>61</v>
      </c>
    </row>
    <row r="34759" spans="1:2" x14ac:dyDescent="0.25">
      <c r="A34759" s="64" t="str">
        <f>HYPERLINK("http://www.twitter.com/claregeeorkney", "claregeeorkney")</f>
        <v>claregeeorkney</v>
      </c>
      <c r="B34759" s="65"/>
    </row>
    <row r="34760" spans="1:2" x14ac:dyDescent="0.25">
      <c r="A34760" s="64" t="str">
        <f>HYPERLINK("http://www.twitter.com/fbgillison", "fbgillison")</f>
        <v>fbgillison</v>
      </c>
      <c r="B34760" s="65"/>
    </row>
    <row r="34761" spans="1:2" x14ac:dyDescent="0.25">
      <c r="A34761" s="64" t="str">
        <f>HYPERLINK("http://www.twitter.com/WhittlesBooks", "WhittlesBooks")</f>
        <v>WhittlesBooks</v>
      </c>
      <c r="B34761" s="65" t="s">
        <v>13409</v>
      </c>
    </row>
    <row r="34762" spans="1:2" x14ac:dyDescent="0.25">
      <c r="A34762" s="64" t="str">
        <f>HYPERLINK("http://www.twitter.com/TheHoursBrecon", "TheHoursBrecon")</f>
        <v>TheHoursBrecon</v>
      </c>
      <c r="B34762" s="65" t="s">
        <v>13410</v>
      </c>
    </row>
    <row r="34763" spans="1:2" x14ac:dyDescent="0.25">
      <c r="A34763" s="64" t="str">
        <f>HYPERLINK("http://www.twitter.com/MLA_gov", "MLA_gov")</f>
        <v>MLA_gov</v>
      </c>
      <c r="B34763" s="65" t="s">
        <v>13411</v>
      </c>
    </row>
    <row r="34764" spans="1:2" x14ac:dyDescent="0.25">
      <c r="A34764" s="64" t="str">
        <f>HYPERLINK("http://www.twitter.com/artsjobsonline", "artsjobsonline")</f>
        <v>artsjobsonline</v>
      </c>
      <c r="B34764" s="65"/>
    </row>
    <row r="34765" spans="1:2" x14ac:dyDescent="0.25">
      <c r="A34765" s="64" t="str">
        <f>HYPERLINK("http://www.twitter.com/donalsheridan", "donalsheridan")</f>
        <v>donalsheridan</v>
      </c>
      <c r="B34765" s="65" t="s">
        <v>12991</v>
      </c>
    </row>
    <row r="34766" spans="1:2" x14ac:dyDescent="0.25">
      <c r="A34766" s="64" t="str">
        <f>HYPERLINK("http://www.twitter.com/iolantherosa", "iolantherosa")</f>
        <v>iolantherosa</v>
      </c>
      <c r="B34766" s="65"/>
    </row>
    <row r="34767" spans="1:2" x14ac:dyDescent="0.25">
      <c r="A34767" s="64" t="str">
        <f>HYPERLINK("http://www.twitter.com/dudleylibraries", "dudleylibraries")</f>
        <v>dudleylibraries</v>
      </c>
      <c r="B34767" s="65" t="s">
        <v>433</v>
      </c>
    </row>
    <row r="34768" spans="1:2" x14ac:dyDescent="0.25">
      <c r="A34768" s="64" t="str">
        <f>HYPERLINK("http://www.twitter.com/denverdcbook", "denverdcbook")</f>
        <v>denverdcbook</v>
      </c>
      <c r="B34768" s="65" t="s">
        <v>7574</v>
      </c>
    </row>
    <row r="34769" spans="1:2" x14ac:dyDescent="0.25">
      <c r="A34769" s="64" t="str">
        <f>HYPERLINK("http://www.twitter.com/MBOTweets", "MBOTweets")</f>
        <v>MBOTweets</v>
      </c>
      <c r="B34769" s="65" t="s">
        <v>5748</v>
      </c>
    </row>
    <row r="34770" spans="1:2" x14ac:dyDescent="0.25">
      <c r="A34770" s="64" t="str">
        <f>HYPERLINK("http://www.twitter.com/FAB_HOT_MERMAID", "FAB_HOT_MERMAID")</f>
        <v>FAB_HOT_MERMAID</v>
      </c>
      <c r="B34770" s="65" t="s">
        <v>13412</v>
      </c>
    </row>
    <row r="34771" spans="1:2" x14ac:dyDescent="0.25">
      <c r="A34771" s="64" t="str">
        <f>HYPERLINK("http://www.twitter.com/BelleBaxter", "BelleBaxter")</f>
        <v>BelleBaxter</v>
      </c>
      <c r="B34771" s="65"/>
    </row>
    <row r="34772" spans="1:2" x14ac:dyDescent="0.25">
      <c r="A34772" s="64" t="str">
        <f>HYPERLINK("http://www.twitter.com/nonprofitorgs", "nonprofitorgs")</f>
        <v>nonprofitorgs</v>
      </c>
      <c r="B34772" s="65" t="s">
        <v>4149</v>
      </c>
    </row>
    <row r="34773" spans="1:2" x14ac:dyDescent="0.25">
      <c r="A34773" s="64" t="str">
        <f>HYPERLINK("http://www.twitter.com/SciFiAdventure", "SciFiAdventure")</f>
        <v>SciFiAdventure</v>
      </c>
      <c r="B34773" s="65" t="s">
        <v>13413</v>
      </c>
    </row>
    <row r="34774" spans="1:2" x14ac:dyDescent="0.25">
      <c r="A34774" s="64" t="str">
        <f>HYPERLINK("http://www.twitter.com/IsMalkyDead", "IsMalkyDead")</f>
        <v>IsMalkyDead</v>
      </c>
      <c r="B34774" s="65" t="s">
        <v>13414</v>
      </c>
    </row>
    <row r="34775" spans="1:2" x14ac:dyDescent="0.25">
      <c r="A34775" s="64" t="str">
        <f>HYPERLINK("http://www.twitter.com/readwithsandy", "readwithsandy")</f>
        <v>readwithsandy</v>
      </c>
      <c r="B34775" s="65" t="s">
        <v>13415</v>
      </c>
    </row>
    <row r="34776" spans="1:2" x14ac:dyDescent="0.25">
      <c r="A34776" s="64" t="str">
        <f>HYPERLINK("http://www.twitter.com/jeff_schroeder6", "jeff_schroeder6")</f>
        <v>jeff_schroeder6</v>
      </c>
      <c r="B34776" s="65" t="s">
        <v>13416</v>
      </c>
    </row>
    <row r="34777" spans="1:2" x14ac:dyDescent="0.25">
      <c r="A34777" s="64" t="str">
        <f>HYPERLINK("http://www.twitter.com/NickTHeadhunter", "NickTHeadhunter")</f>
        <v>NickTHeadhunter</v>
      </c>
      <c r="B34777" s="65" t="s">
        <v>9991</v>
      </c>
    </row>
    <row r="34778" spans="1:2" x14ac:dyDescent="0.25">
      <c r="A34778" s="64" t="str">
        <f>HYPERLINK("http://www.twitter.com/lmossinfo", "lmossinfo")</f>
        <v>lmossinfo</v>
      </c>
      <c r="B34778" s="65" t="s">
        <v>788</v>
      </c>
    </row>
    <row r="34779" spans="1:2" x14ac:dyDescent="0.25">
      <c r="A34779" s="64" t="str">
        <f>HYPERLINK("http://www.twitter.com/John_Moar", "John_Moar")</f>
        <v>John_Moar</v>
      </c>
      <c r="B34779" s="65" t="s">
        <v>20</v>
      </c>
    </row>
    <row r="34780" spans="1:2" x14ac:dyDescent="0.25">
      <c r="A34780" s="64" t="str">
        <f>HYPERLINK("http://www.twitter.com/tobyleaf", "tobyleaf")</f>
        <v>tobyleaf</v>
      </c>
      <c r="B34780" s="65" t="s">
        <v>180</v>
      </c>
    </row>
    <row r="34781" spans="1:2" x14ac:dyDescent="0.25">
      <c r="A34781" s="64" t="str">
        <f>HYPERLINK("http://www.twitter.com/kathietouin", "kathietouin")</f>
        <v>kathietouin</v>
      </c>
      <c r="B34781" s="65" t="s">
        <v>20</v>
      </c>
    </row>
    <row r="34782" spans="1:2" x14ac:dyDescent="0.25">
      <c r="A34782" s="64" t="str">
        <f>HYPERLINK("http://www.twitter.com/lutrinae", "lutrinae")</f>
        <v>lutrinae</v>
      </c>
      <c r="B34782" s="65" t="s">
        <v>9339</v>
      </c>
    </row>
    <row r="34783" spans="1:2" x14ac:dyDescent="0.25">
      <c r="A34783" s="64" t="str">
        <f>HYPERLINK("http://www.twitter.com/AminaTShah", "AminaTShah")</f>
        <v>AminaTShah</v>
      </c>
      <c r="B34783" s="65"/>
    </row>
    <row r="34784" spans="1:2" x14ac:dyDescent="0.25">
      <c r="A34784" s="64" t="str">
        <f>HYPERLINK("http://www.twitter.com/SophiaDeboick", "SophiaDeboick")</f>
        <v>SophiaDeboick</v>
      </c>
      <c r="B34784" s="65" t="s">
        <v>13417</v>
      </c>
    </row>
    <row r="34785" spans="1:2" x14ac:dyDescent="0.25">
      <c r="A34785" s="64" t="str">
        <f>HYPERLINK("http://www.twitter.com/MyIndiaToday", "MyIndiaToday")</f>
        <v>MyIndiaToday</v>
      </c>
      <c r="B34785" s="65" t="s">
        <v>13105</v>
      </c>
    </row>
    <row r="34786" spans="1:2" x14ac:dyDescent="0.25">
      <c r="A34786" s="64" t="str">
        <f>HYPERLINK("http://www.twitter.com/dipper17", "dipper17")</f>
        <v>dipper17</v>
      </c>
      <c r="B34786" s="65"/>
    </row>
    <row r="34787" spans="1:2" x14ac:dyDescent="0.25">
      <c r="A34787" s="64" t="str">
        <f>HYPERLINK("http://www.twitter.com/tipichris", "tipichris")</f>
        <v>tipichris</v>
      </c>
      <c r="B34787" s="65" t="s">
        <v>5260</v>
      </c>
    </row>
    <row r="34788" spans="1:2" x14ac:dyDescent="0.25">
      <c r="A34788" s="64" t="str">
        <f>HYPERLINK("http://www.twitter.com/magic_treehouse", "magic_treehouse")</f>
        <v>magic_treehouse</v>
      </c>
      <c r="B34788" s="65" t="s">
        <v>180</v>
      </c>
    </row>
    <row r="34789" spans="1:2" x14ac:dyDescent="0.25">
      <c r="A34789" s="64" t="str">
        <f>HYPERLINK("http://www.twitter.com/3rdImage", "3rdImage")</f>
        <v>3rdImage</v>
      </c>
      <c r="B34789" s="65" t="s">
        <v>13418</v>
      </c>
    </row>
    <row r="34790" spans="1:2" x14ac:dyDescent="0.25">
      <c r="A34790" s="64" t="str">
        <f>HYPERLINK("http://www.twitter.com/nistasan", "nistasan")</f>
        <v>nistasan</v>
      </c>
      <c r="B34790" s="65" t="s">
        <v>13419</v>
      </c>
    </row>
    <row r="34791" spans="1:2" x14ac:dyDescent="0.25">
      <c r="A34791" s="64" t="str">
        <f>HYPERLINK("http://www.twitter.com/panmacmillan", "panmacmillan")</f>
        <v>panmacmillan</v>
      </c>
      <c r="B34791" s="65" t="s">
        <v>36</v>
      </c>
    </row>
    <row r="34792" spans="1:2" x14ac:dyDescent="0.25">
      <c r="A34792" s="64" t="str">
        <f>HYPERLINK("http://www.twitter.com/Mrs_LHT", "Mrs_LHT")</f>
        <v>Mrs_LHT</v>
      </c>
      <c r="B34792" s="65" t="s">
        <v>13420</v>
      </c>
    </row>
    <row r="34793" spans="1:2" x14ac:dyDescent="0.25">
      <c r="A34793" s="64" t="str">
        <f>HYPERLINK("http://www.twitter.com/lottelydia", "lottelydia")</f>
        <v>lottelydia</v>
      </c>
      <c r="B34793" s="65" t="s">
        <v>13421</v>
      </c>
    </row>
    <row r="34794" spans="1:2" x14ac:dyDescent="0.25">
      <c r="A34794" s="64" t="str">
        <f>HYPERLINK("http://www.twitter.com/marzillk", "marzillk")</f>
        <v>marzillk</v>
      </c>
      <c r="B34794" s="65" t="s">
        <v>1189</v>
      </c>
    </row>
    <row r="34795" spans="1:2" x14ac:dyDescent="0.25">
      <c r="A34795" s="64" t="str">
        <f>HYPERLINK("http://www.twitter.com/EmmaKennedy", "EmmaKennedy")</f>
        <v>EmmaKennedy</v>
      </c>
      <c r="B34795" s="65" t="s">
        <v>4716</v>
      </c>
    </row>
    <row r="34796" spans="1:2" x14ac:dyDescent="0.25">
      <c r="A34796" s="64" t="str">
        <f>HYPERLINK("http://www.twitter.com/robhall", "robhall")</f>
        <v>robhall</v>
      </c>
      <c r="B34796" s="65" t="s">
        <v>13422</v>
      </c>
    </row>
    <row r="34797" spans="1:2" x14ac:dyDescent="0.25">
      <c r="A34797" s="64" t="str">
        <f>HYPERLINK("http://www.twitter.com/funkyconcepts", "funkyconcepts")</f>
        <v>funkyconcepts</v>
      </c>
      <c r="B34797" s="65" t="s">
        <v>13423</v>
      </c>
    </row>
    <row r="34798" spans="1:2" x14ac:dyDescent="0.25">
      <c r="A34798" s="64" t="str">
        <f>HYPERLINK("http://www.twitter.com/andyetc", "andyetc")</f>
        <v>andyetc</v>
      </c>
      <c r="B34798" s="65" t="s">
        <v>2951</v>
      </c>
    </row>
    <row r="34799" spans="1:2" x14ac:dyDescent="0.25">
      <c r="A34799" s="64" t="str">
        <f>HYPERLINK("http://www.twitter.com/nia08", "nia08")</f>
        <v>nia08</v>
      </c>
      <c r="B34799" s="65" t="s">
        <v>6735</v>
      </c>
    </row>
    <row r="34800" spans="1:2" x14ac:dyDescent="0.25">
      <c r="A34800" s="64" t="str">
        <f>HYPERLINK("http://www.twitter.com/CoppernobJen", "CoppernobJen")</f>
        <v>CoppernobJen</v>
      </c>
      <c r="B34800" s="65" t="s">
        <v>1221</v>
      </c>
    </row>
    <row r="34801" spans="1:2" x14ac:dyDescent="0.25">
      <c r="A34801" s="64" t="str">
        <f>HYPERLINK("http://www.twitter.com/slathamb", "slathamb")</f>
        <v>slathamb</v>
      </c>
      <c r="B34801" s="65" t="s">
        <v>1008</v>
      </c>
    </row>
    <row r="34802" spans="1:2" x14ac:dyDescent="0.25">
      <c r="A34802" s="64" t="str">
        <f>HYPERLINK("http://www.twitter.com/ZekoIsland", "ZekoIsland")</f>
        <v>ZekoIsland</v>
      </c>
      <c r="B34802" s="65" t="s">
        <v>13424</v>
      </c>
    </row>
    <row r="34803" spans="1:2" x14ac:dyDescent="0.25">
      <c r="A34803" s="64" t="str">
        <f>HYPERLINK("http://www.twitter.com/ALCatLovers", "ALCatLovers")</f>
        <v>ALCatLovers</v>
      </c>
      <c r="B34803" s="65"/>
    </row>
    <row r="34804" spans="1:2" x14ac:dyDescent="0.25">
      <c r="A34804" s="64" t="str">
        <f>HYPERLINK("http://www.twitter.com/findricheehere", "findricheehere")</f>
        <v>findricheehere</v>
      </c>
      <c r="B34804" s="65" t="s">
        <v>2102</v>
      </c>
    </row>
    <row r="34805" spans="1:2" x14ac:dyDescent="0.25">
      <c r="A34805" s="64" t="str">
        <f>HYPERLINK("http://www.twitter.com/Hazel_EQ", "Hazel_EQ")</f>
        <v>Hazel_EQ</v>
      </c>
      <c r="B34805" s="65" t="s">
        <v>4231</v>
      </c>
    </row>
    <row r="34806" spans="1:2" x14ac:dyDescent="0.25">
      <c r="A34806" s="64" t="str">
        <f>HYPERLINK("http://www.twitter.com/GeeMarks", "GeeMarks")</f>
        <v>GeeMarks</v>
      </c>
      <c r="B34806" s="65" t="s">
        <v>3872</v>
      </c>
    </row>
    <row r="34807" spans="1:2" x14ac:dyDescent="0.25">
      <c r="A34807" s="64" t="str">
        <f>HYPERLINK("http://www.twitter.com/thingsinjars", "thingsinjars")</f>
        <v>thingsinjars</v>
      </c>
      <c r="B34807" s="65" t="s">
        <v>5089</v>
      </c>
    </row>
    <row r="34808" spans="1:2" x14ac:dyDescent="0.25">
      <c r="A34808" s="64" t="str">
        <f>HYPERLINK("http://www.twitter.com/Flickthecat", "Flickthecat")</f>
        <v>Flickthecat</v>
      </c>
      <c r="B34808" s="65" t="s">
        <v>13425</v>
      </c>
    </row>
    <row r="34809" spans="1:2" x14ac:dyDescent="0.25">
      <c r="A34809" s="64" t="str">
        <f>HYPERLINK("http://www.twitter.com/jpjohnson", "jpjohnson")</f>
        <v>jpjohnson</v>
      </c>
      <c r="B34809" s="65" t="s">
        <v>13426</v>
      </c>
    </row>
    <row r="34810" spans="1:2" x14ac:dyDescent="0.25">
      <c r="A34810" s="64" t="str">
        <f>HYPERLINK("http://www.twitter.com/mrnick", "mrnick")</f>
        <v>mrnick</v>
      </c>
      <c r="B34810" s="65" t="s">
        <v>2774</v>
      </c>
    </row>
    <row r="34811" spans="1:2" x14ac:dyDescent="0.25">
      <c r="A34811" s="64" t="str">
        <f>HYPERLINK("http://www.twitter.com/jmkd", "jmkd")</f>
        <v>jmkd</v>
      </c>
      <c r="B34811" s="65" t="s">
        <v>36</v>
      </c>
    </row>
    <row r="34812" spans="1:2" x14ac:dyDescent="0.25">
      <c r="A34812" s="64" t="str">
        <f>HYPERLINK("http://www.twitter.com/JennieMacfie", "JennieMacfie")</f>
        <v>JennieMacfie</v>
      </c>
      <c r="B34812" s="65" t="s">
        <v>13427</v>
      </c>
    </row>
    <row r="34813" spans="1:2" x14ac:dyDescent="0.25">
      <c r="A34813" s="64" t="str">
        <f>HYPERLINK("http://www.twitter.com/Ellen_Renner", "Ellen_Renner")</f>
        <v>Ellen_Renner</v>
      </c>
      <c r="B34813" s="65" t="s">
        <v>13428</v>
      </c>
    </row>
    <row r="34814" spans="1:2" x14ac:dyDescent="0.25">
      <c r="A34814" s="64" t="str">
        <f>HYPERLINK("http://www.twitter.com/minicat79", "minicat79")</f>
        <v>minicat79</v>
      </c>
      <c r="B34814" s="65" t="s">
        <v>180</v>
      </c>
    </row>
    <row r="34815" spans="1:2" x14ac:dyDescent="0.25">
      <c r="A34815" s="64" t="str">
        <f>HYPERLINK("http://www.twitter.com/L1nds", "L1nds")</f>
        <v>L1nds</v>
      </c>
      <c r="B34815" s="65" t="s">
        <v>180</v>
      </c>
    </row>
    <row r="34816" spans="1:2" x14ac:dyDescent="0.25">
      <c r="A34816" s="64" t="str">
        <f>HYPERLINK("http://www.twitter.com/SamScoulding", "SamScoulding")</f>
        <v>SamScoulding</v>
      </c>
      <c r="B34816" s="65" t="s">
        <v>13429</v>
      </c>
    </row>
    <row r="34817" spans="1:2" x14ac:dyDescent="0.25">
      <c r="A34817" s="64" t="str">
        <f>HYPERLINK("http://www.twitter.com/BenWillisUK", "BenWillisUK")</f>
        <v>BenWillisUK</v>
      </c>
      <c r="B34817" s="65" t="s">
        <v>4479</v>
      </c>
    </row>
    <row r="34818" spans="1:2" x14ac:dyDescent="0.25">
      <c r="A34818" s="64" t="str">
        <f>HYPERLINK("http://www.twitter.com/Weirdmage", "Weirdmage")</f>
        <v>Weirdmage</v>
      </c>
      <c r="B34818" s="65" t="s">
        <v>5736</v>
      </c>
    </row>
    <row r="34819" spans="1:2" x14ac:dyDescent="0.25">
      <c r="A34819" s="64" t="str">
        <f>HYPERLINK("http://www.twitter.com/TheDaleyReport", "TheDaleyReport")</f>
        <v>TheDaleyReport</v>
      </c>
      <c r="B34819" s="65" t="s">
        <v>13430</v>
      </c>
    </row>
    <row r="34820" spans="1:2" x14ac:dyDescent="0.25">
      <c r="A34820" s="64" t="str">
        <f>HYPERLINK("http://www.twitter.com/Miamew", "Miamew")</f>
        <v>Miamew</v>
      </c>
      <c r="B34820" s="65"/>
    </row>
    <row r="34821" spans="1:2" x14ac:dyDescent="0.25">
      <c r="A34821" s="64" t="str">
        <f>HYPERLINK("http://www.twitter.com/thestephmerritt", "thestephmerritt")</f>
        <v>thestephmerritt</v>
      </c>
      <c r="B34821" s="65" t="s">
        <v>4862</v>
      </c>
    </row>
    <row r="34822" spans="1:2" x14ac:dyDescent="0.25">
      <c r="A34822" s="64" t="str">
        <f>HYPERLINK("http://www.twitter.com/BoerneLibrary", "BoerneLibrary")</f>
        <v>BoerneLibrary</v>
      </c>
      <c r="B34822" s="65" t="s">
        <v>13431</v>
      </c>
    </row>
    <row r="34823" spans="1:2" x14ac:dyDescent="0.25">
      <c r="A34823" s="64" t="str">
        <f>HYPERLINK("http://www.twitter.com/HighlandHistory", "HighlandHistory")</f>
        <v>HighlandHistory</v>
      </c>
      <c r="B34823" s="65" t="s">
        <v>10415</v>
      </c>
    </row>
    <row r="34824" spans="1:2" x14ac:dyDescent="0.25">
      <c r="A34824" s="64" t="str">
        <f>HYPERLINK("http://www.twitter.com/potstill", "potstill")</f>
        <v>potstill</v>
      </c>
      <c r="B34824" s="65" t="s">
        <v>5617</v>
      </c>
    </row>
    <row r="34825" spans="1:2" x14ac:dyDescent="0.25">
      <c r="A34825" s="64" t="str">
        <f>HYPERLINK("http://www.twitter.com/karenblakeman", "karenblakeman")</f>
        <v>karenblakeman</v>
      </c>
      <c r="B34825" s="65" t="s">
        <v>13432</v>
      </c>
    </row>
    <row r="34826" spans="1:2" x14ac:dyDescent="0.25">
      <c r="A34826" s="64" t="str">
        <f>HYPERLINK("http://www.twitter.com/deirdteach56", "deirdteach56")</f>
        <v>deirdteach56</v>
      </c>
      <c r="B34826" s="65" t="s">
        <v>3863</v>
      </c>
    </row>
    <row r="34827" spans="1:2" x14ac:dyDescent="0.25">
      <c r="A34827" s="64" t="str">
        <f>HYPERLINK("http://www.twitter.com/andylatham", "andylatham")</f>
        <v>andylatham</v>
      </c>
      <c r="B34827" s="65" t="s">
        <v>4243</v>
      </c>
    </row>
    <row r="34828" spans="1:2" x14ac:dyDescent="0.25">
      <c r="A34828" s="64" t="str">
        <f>HYPERLINK("http://www.twitter.com/EllaBullen", "EllaBullen")</f>
        <v>EllaBullen</v>
      </c>
      <c r="B34828" s="65"/>
    </row>
    <row r="34829" spans="1:2" x14ac:dyDescent="0.25">
      <c r="A34829" s="64" t="str">
        <f>HYPERLINK("http://www.twitter.com/a6ruled", "a6ruled")</f>
        <v>a6ruled</v>
      </c>
      <c r="B34829" s="65" t="s">
        <v>13433</v>
      </c>
    </row>
    <row r="34830" spans="1:2" x14ac:dyDescent="0.25">
      <c r="A34830" s="64" t="str">
        <f>HYPERLINK("http://www.twitter.com/struantheruin", "struantheruin")</f>
        <v>struantheruin</v>
      </c>
      <c r="B34830" s="65" t="s">
        <v>13434</v>
      </c>
    </row>
    <row r="34831" spans="1:2" x14ac:dyDescent="0.25">
      <c r="A34831" s="64" t="str">
        <f>HYPERLINK("http://www.twitter.com/armchairbooks", "armchairbooks")</f>
        <v>armchairbooks</v>
      </c>
      <c r="B34831" s="65" t="s">
        <v>487</v>
      </c>
    </row>
    <row r="34832" spans="1:2" x14ac:dyDescent="0.25">
      <c r="A34832" s="64" t="str">
        <f>HYPERLINK("http://www.twitter.com/StDeiniols", "StDeiniols")</f>
        <v>StDeiniols</v>
      </c>
      <c r="B34832" s="65" t="s">
        <v>13435</v>
      </c>
    </row>
    <row r="34833" spans="1:2" x14ac:dyDescent="0.25">
      <c r="A34833" s="64" t="str">
        <f>HYPERLINK("http://www.twitter.com/CPKArchives", "CPKArchives")</f>
        <v>CPKArchives</v>
      </c>
      <c r="B34833" s="65" t="s">
        <v>3773</v>
      </c>
    </row>
    <row r="34834" spans="1:2" x14ac:dyDescent="0.25">
      <c r="A34834" s="64" t="str">
        <f>HYPERLINK("http://www.twitter.com/archelina", "archelina")</f>
        <v>archelina</v>
      </c>
      <c r="B34834" s="65" t="s">
        <v>12637</v>
      </c>
    </row>
    <row r="34835" spans="1:2" x14ac:dyDescent="0.25">
      <c r="A34835" s="64" t="str">
        <f>HYPERLINK("http://www.twitter.com/anthonynhull", "anthonynhull")</f>
        <v>anthonynhull</v>
      </c>
      <c r="B34835" s="65" t="s">
        <v>13436</v>
      </c>
    </row>
    <row r="34836" spans="1:2" x14ac:dyDescent="0.25">
      <c r="A34836" s="64" t="str">
        <f>HYPERLINK("http://www.twitter.com/The_Cobby_Shop", "The_Cobby_Shop")</f>
        <v>The_Cobby_Shop</v>
      </c>
      <c r="B34836" s="65" t="s">
        <v>13437</v>
      </c>
    </row>
    <row r="34837" spans="1:2" x14ac:dyDescent="0.25">
      <c r="A34837" s="64" t="str">
        <f>HYPERLINK("http://www.twitter.com/OWC_Oxford", "OWC_Oxford")</f>
        <v>OWC_Oxford</v>
      </c>
      <c r="B34837" s="65" t="s">
        <v>13438</v>
      </c>
    </row>
    <row r="34838" spans="1:2" x14ac:dyDescent="0.25">
      <c r="A34838" s="64" t="str">
        <f>HYPERLINK("http://www.twitter.com/ttocoaching", "ttocoaching")</f>
        <v>ttocoaching</v>
      </c>
      <c r="B34838" s="65" t="s">
        <v>3894</v>
      </c>
    </row>
    <row r="34839" spans="1:2" x14ac:dyDescent="0.25">
      <c r="A34839" s="64" t="str">
        <f>HYPERLINK("http://www.twitter.com/Cornflowerbooks", "Cornflowerbooks")</f>
        <v>Cornflowerbooks</v>
      </c>
      <c r="B34839" s="65" t="s">
        <v>24</v>
      </c>
    </row>
    <row r="34840" spans="1:2" x14ac:dyDescent="0.25">
      <c r="A34840" s="64" t="str">
        <f>HYPERLINK("http://www.twitter.com/MarDixon", "MarDixon")</f>
        <v>MarDixon</v>
      </c>
      <c r="B34840" s="65" t="s">
        <v>13439</v>
      </c>
    </row>
    <row r="34841" spans="1:2" x14ac:dyDescent="0.25">
      <c r="A34841" s="64" t="str">
        <f>HYPERLINK("http://www.twitter.com/PiccadillyPress", "PiccadillyPress")</f>
        <v>PiccadillyPress</v>
      </c>
      <c r="B34841" s="65" t="s">
        <v>110</v>
      </c>
    </row>
    <row r="34842" spans="1:2" x14ac:dyDescent="0.25">
      <c r="A34842" s="64" t="str">
        <f>HYPERLINK("http://www.twitter.com/SandroBechelli", "SandroBechelli")</f>
        <v>SandroBechelli</v>
      </c>
      <c r="B34842" s="65" t="s">
        <v>13440</v>
      </c>
    </row>
    <row r="34843" spans="1:2" x14ac:dyDescent="0.25">
      <c r="A34843" s="64" t="str">
        <f>HYPERLINK("http://www.twitter.com/archiveshub", "archiveshub")</f>
        <v>archiveshub</v>
      </c>
      <c r="B34843" s="65" t="s">
        <v>4040</v>
      </c>
    </row>
    <row r="34844" spans="1:2" x14ac:dyDescent="0.25">
      <c r="A34844" s="64" t="str">
        <f>HYPERLINK("http://www.twitter.com/seren9", "seren9")</f>
        <v>seren9</v>
      </c>
      <c r="B34844" s="65" t="s">
        <v>13441</v>
      </c>
    </row>
    <row r="34845" spans="1:2" x14ac:dyDescent="0.25">
      <c r="A34845" s="64" t="str">
        <f>HYPERLINK("http://www.twitter.com/LibFalkirk", "LibFalkirk")</f>
        <v>LibFalkirk</v>
      </c>
      <c r="B34845" s="65" t="s">
        <v>355</v>
      </c>
    </row>
    <row r="34846" spans="1:2" x14ac:dyDescent="0.25">
      <c r="A34846" s="64" t="str">
        <f>HYPERLINK("http://www.twitter.com/ShepForeverFait", "ShepForeverFait")</f>
        <v>ShepForeverFait</v>
      </c>
      <c r="B34846" s="65" t="s">
        <v>13442</v>
      </c>
    </row>
    <row r="34847" spans="1:2" x14ac:dyDescent="0.25">
      <c r="A34847" s="64" t="str">
        <f>HYPERLINK("http://www.twitter.com/NACLibraries", "NACLibraries")</f>
        <v>NACLibraries</v>
      </c>
      <c r="B34847" s="65" t="s">
        <v>714</v>
      </c>
    </row>
    <row r="34848" spans="1:2" x14ac:dyDescent="0.25">
      <c r="A34848" s="64" t="str">
        <f>HYPERLINK("http://www.twitter.com/crmdgn", "crmdgn")</f>
        <v>crmdgn</v>
      </c>
      <c r="B34848" s="65"/>
    </row>
    <row r="34849" spans="1:2" x14ac:dyDescent="0.25">
      <c r="A34849" s="64" t="str">
        <f>HYPERLINK("http://www.twitter.com/Wantz_Library", "Wantz_Library")</f>
        <v>Wantz_Library</v>
      </c>
      <c r="B34849" s="65" t="s">
        <v>3413</v>
      </c>
    </row>
    <row r="34850" spans="1:2" x14ac:dyDescent="0.25">
      <c r="A34850" s="64" t="str">
        <f>HYPERLINK("http://www.twitter.com/sbachbooks", "sbachbooks")</f>
        <v>sbachbooks</v>
      </c>
      <c r="B34850" s="65"/>
    </row>
    <row r="34851" spans="1:2" x14ac:dyDescent="0.25">
      <c r="A34851" s="64" t="str">
        <f>HYPERLINK("http://www.twitter.com/thisbadmouse", "thisbadmouse")</f>
        <v>thisbadmouse</v>
      </c>
      <c r="B34851" s="65" t="s">
        <v>13443</v>
      </c>
    </row>
    <row r="34852" spans="1:2" x14ac:dyDescent="0.25">
      <c r="A34852" s="64" t="str">
        <f>HYPERLINK("http://www.twitter.com/NikkiiH", "NikkiiH")</f>
        <v>NikkiiH</v>
      </c>
      <c r="B34852" s="65" t="s">
        <v>3773</v>
      </c>
    </row>
    <row r="34853" spans="1:2" x14ac:dyDescent="0.25">
      <c r="A34853" s="64" t="str">
        <f>HYPERLINK("http://www.twitter.com/SirDuckulous", "SirDuckulous")</f>
        <v>SirDuckulous</v>
      </c>
      <c r="B34853" s="65"/>
    </row>
    <row r="34854" spans="1:2" x14ac:dyDescent="0.25">
      <c r="A34854" s="64" t="str">
        <f>HYPERLINK("http://www.twitter.com/1JackieB", "1JackieB")</f>
        <v>1JackieB</v>
      </c>
      <c r="B34854" s="65" t="s">
        <v>857</v>
      </c>
    </row>
    <row r="34855" spans="1:2" x14ac:dyDescent="0.25">
      <c r="A34855" s="64" t="str">
        <f>HYPERLINK("http://www.twitter.com/EmylouMax", "EmylouMax")</f>
        <v>EmylouMax</v>
      </c>
      <c r="B34855" s="65" t="s">
        <v>5412</v>
      </c>
    </row>
    <row r="34856" spans="1:2" x14ac:dyDescent="0.25">
      <c r="A34856" s="64" t="str">
        <f>HYPERLINK("http://www.twitter.com/leonietancred", "leonietancred")</f>
        <v>leonietancred</v>
      </c>
      <c r="B34856" s="65" t="s">
        <v>36</v>
      </c>
    </row>
    <row r="34857" spans="1:2" x14ac:dyDescent="0.25">
      <c r="A34857" s="64" t="str">
        <f>HYPERLINK("http://www.twitter.com/IrishWattle", "IrishWattle")</f>
        <v>IrishWattle</v>
      </c>
      <c r="B34857" s="65" t="s">
        <v>3817</v>
      </c>
    </row>
    <row r="34858" spans="1:2" x14ac:dyDescent="0.25">
      <c r="A34858" s="64" t="str">
        <f>HYPERLINK("http://www.twitter.com/BeccaDavies", "BeccaDavies")</f>
        <v>BeccaDavies</v>
      </c>
      <c r="B34858" s="65" t="s">
        <v>5727</v>
      </c>
    </row>
    <row r="34859" spans="1:2" x14ac:dyDescent="0.25">
      <c r="A34859" s="64" t="str">
        <f>HYPERLINK("http://www.twitter.com/elainemacintyre", "elainemacintyre")</f>
        <v>elainemacintyre</v>
      </c>
      <c r="B34859" s="65" t="s">
        <v>24</v>
      </c>
    </row>
    <row r="34860" spans="1:2" x14ac:dyDescent="0.25">
      <c r="A34860" s="64" t="str">
        <f>HYPERLINK("http://www.twitter.com/SallyLou", "SallyLou")</f>
        <v>SallyLou</v>
      </c>
      <c r="B34860" s="65"/>
    </row>
    <row r="34861" spans="1:2" x14ac:dyDescent="0.25">
      <c r="A34861" s="64" t="str">
        <f>HYPERLINK("http://www.twitter.com/STVNews", "STVNews")</f>
        <v>STVNews</v>
      </c>
      <c r="B34861" s="65" t="s">
        <v>517</v>
      </c>
    </row>
    <row r="34862" spans="1:2" x14ac:dyDescent="0.25">
      <c r="A34862" s="64" t="str">
        <f>HYPERLINK("http://www.twitter.com/brenda2of4", "brenda2of4")</f>
        <v>brenda2of4</v>
      </c>
      <c r="B34862" s="65" t="s">
        <v>456</v>
      </c>
    </row>
    <row r="34863" spans="1:2" x14ac:dyDescent="0.25">
      <c r="A34863" s="64" t="str">
        <f>HYPERLINK("http://www.twitter.com/PiaCCourtenay", "PiaCCourtenay")</f>
        <v>PiaCCourtenay</v>
      </c>
      <c r="B34863" s="65" t="s">
        <v>110</v>
      </c>
    </row>
    <row r="34864" spans="1:2" x14ac:dyDescent="0.25">
      <c r="A34864" s="64" t="str">
        <f>HYPERLINK("http://www.twitter.com/Bethazon", "Bethazon")</f>
        <v>Bethazon</v>
      </c>
      <c r="B34864" s="65"/>
    </row>
    <row r="34865" spans="1:2" x14ac:dyDescent="0.25">
      <c r="A34865" s="64" t="str">
        <f>HYPERLINK("http://www.twitter.com/tiffanymurray", "tiffanymurray")</f>
        <v>tiffanymurray</v>
      </c>
      <c r="B34865" s="65" t="s">
        <v>13444</v>
      </c>
    </row>
    <row r="34866" spans="1:2" x14ac:dyDescent="0.25">
      <c r="A34866" s="64" t="str">
        <f>HYPERLINK("http://www.twitter.com/klarusu", "klarusu")</f>
        <v>klarusu</v>
      </c>
      <c r="B34866" s="65"/>
    </row>
    <row r="34867" spans="1:2" x14ac:dyDescent="0.25">
      <c r="A34867" s="64" t="str">
        <f>HYPERLINK("http://www.twitter.com/EdinCityofLit", "EdinCityofLit")</f>
        <v>EdinCityofLit</v>
      </c>
      <c r="B34867" s="65" t="s">
        <v>24</v>
      </c>
    </row>
    <row r="34868" spans="1:2" x14ac:dyDescent="0.25">
      <c r="A34868" s="64" t="str">
        <f>HYPERLINK("http://www.twitter.com/Chicklish", "Chicklish")</f>
        <v>Chicklish</v>
      </c>
      <c r="B34868" s="65" t="s">
        <v>296</v>
      </c>
    </row>
    <row r="34869" spans="1:2" x14ac:dyDescent="0.25">
      <c r="A34869" s="64" t="str">
        <f>HYPERLINK("http://www.twitter.com/michellepauli", "michellepauli")</f>
        <v>michellepauli</v>
      </c>
      <c r="B34869" s="65" t="s">
        <v>13445</v>
      </c>
    </row>
    <row r="34870" spans="1:2" x14ac:dyDescent="0.25">
      <c r="A34870" s="64" t="str">
        <f>HYPERLINK("http://www.twitter.com/LegalBizzle", "LegalBizzle")</f>
        <v>LegalBizzle</v>
      </c>
      <c r="B34870" s="65" t="s">
        <v>13446</v>
      </c>
    </row>
    <row r="34871" spans="1:2" x14ac:dyDescent="0.25">
      <c r="A34871" s="64" t="str">
        <f>HYPERLINK("http://www.twitter.com/BBCJFCulture", "BBCJFCulture")</f>
        <v>BBCJFCulture</v>
      </c>
      <c r="B34871" s="65" t="s">
        <v>12582</v>
      </c>
    </row>
    <row r="34872" spans="1:2" x14ac:dyDescent="0.25">
      <c r="A34872" s="64" t="str">
        <f>HYPERLINK("http://www.twitter.com/Vanessa_Hill", "Vanessa_Hill")</f>
        <v>Vanessa_Hill</v>
      </c>
      <c r="B34872" s="65" t="s">
        <v>1490</v>
      </c>
    </row>
    <row r="34873" spans="1:2" x14ac:dyDescent="0.25">
      <c r="A34873" s="64" t="str">
        <f>HYPERLINK("http://www.twitter.com/facetpublishing", "facetpublishing")</f>
        <v>facetpublishing</v>
      </c>
      <c r="B34873" s="65" t="s">
        <v>4500</v>
      </c>
    </row>
    <row r="34874" spans="1:2" x14ac:dyDescent="0.25">
      <c r="A34874" s="64" t="str">
        <f>HYPERLINK("http://www.twitter.com/uswbuslib", "uswbuslib")</f>
        <v>uswbuslib</v>
      </c>
      <c r="B34874" s="65" t="s">
        <v>13447</v>
      </c>
    </row>
    <row r="34875" spans="1:2" x14ac:dyDescent="0.25">
      <c r="A34875" s="64" t="str">
        <f>HYPERLINK("http://www.twitter.com/thecoastguard", "thecoastguard")</f>
        <v>thecoastguard</v>
      </c>
      <c r="B34875" s="65" t="s">
        <v>13448</v>
      </c>
    </row>
    <row r="34876" spans="1:2" x14ac:dyDescent="0.25">
      <c r="A34876" s="64" t="str">
        <f>HYPERLINK("http://www.twitter.com/Love_For_Books", "Love_For_Books")</f>
        <v>Love_For_Books</v>
      </c>
      <c r="B34876" s="65" t="s">
        <v>13105</v>
      </c>
    </row>
    <row r="34877" spans="1:2" x14ac:dyDescent="0.25">
      <c r="A34877" s="64" t="str">
        <f>HYPERLINK("http://www.twitter.com/AuthorSLREYES", "AuthorSLREYES")</f>
        <v>AuthorSLREYES</v>
      </c>
      <c r="B34877" s="65" t="s">
        <v>10154</v>
      </c>
    </row>
    <row r="34878" spans="1:2" x14ac:dyDescent="0.25">
      <c r="A34878" s="64" t="str">
        <f>HYPERLINK("http://www.twitter.com/collectivenouns", "collectivenouns")</f>
        <v>collectivenouns</v>
      </c>
      <c r="B34878" s="65" t="s">
        <v>24</v>
      </c>
    </row>
    <row r="34879" spans="1:2" x14ac:dyDescent="0.25">
      <c r="A34879" s="64" t="str">
        <f>HYPERLINK("http://www.twitter.com/salwilkinson", "salwilkinson")</f>
        <v>salwilkinson</v>
      </c>
      <c r="B34879" s="65"/>
    </row>
    <row r="34880" spans="1:2" x14ac:dyDescent="0.25">
      <c r="A34880" s="64" t="str">
        <f>HYPERLINK("http://www.twitter.com/Darris", "Darris")</f>
        <v>Darris</v>
      </c>
      <c r="B34880" s="65" t="s">
        <v>13449</v>
      </c>
    </row>
    <row r="34881" spans="1:2" x14ac:dyDescent="0.25">
      <c r="A34881" s="64" t="str">
        <f>HYPERLINK("http://www.twitter.com/edenbooksknits", "edenbooksknits")</f>
        <v>edenbooksknits</v>
      </c>
      <c r="B34881" s="65" t="s">
        <v>13450</v>
      </c>
    </row>
    <row r="34882" spans="1:2" x14ac:dyDescent="0.25">
      <c r="A34882" s="64" t="str">
        <f>HYPERLINK("http://www.twitter.com/lotus5673", "lotus5673")</f>
        <v>lotus5673</v>
      </c>
      <c r="B34882" s="65" t="s">
        <v>13451</v>
      </c>
    </row>
    <row r="34883" spans="1:2" x14ac:dyDescent="0.25">
      <c r="A34883" s="64" t="str">
        <f>HYPERLINK("http://www.twitter.com/KarenReece", "KarenReece")</f>
        <v>KarenReece</v>
      </c>
      <c r="B34883" s="65" t="s">
        <v>4040</v>
      </c>
    </row>
    <row r="34884" spans="1:2" x14ac:dyDescent="0.25">
      <c r="A34884" s="64" t="str">
        <f>HYPERLINK("http://www.twitter.com/rhonatweets", "rhonatweets")</f>
        <v>rhonatweets</v>
      </c>
      <c r="B34884" s="65" t="s">
        <v>24</v>
      </c>
    </row>
    <row r="34885" spans="1:2" x14ac:dyDescent="0.25">
      <c r="A34885" s="64" t="str">
        <f>HYPERLINK("http://www.twitter.com/liliasf", "liliasf")</f>
        <v>liliasf</v>
      </c>
      <c r="B34885" s="65"/>
    </row>
    <row r="34886" spans="1:2" x14ac:dyDescent="0.25">
      <c r="A34886" s="64" t="str">
        <f>HYPERLINK("http://www.twitter.com/NLWales", "NLWales")</f>
        <v>NLWales</v>
      </c>
      <c r="B34886" s="65" t="s">
        <v>4562</v>
      </c>
    </row>
    <row r="34887" spans="1:2" x14ac:dyDescent="0.25">
      <c r="A34887" s="64" t="str">
        <f>HYPERLINK("http://www.twitter.com/LLGCymru", "LLGCymru")</f>
        <v>LLGCymru</v>
      </c>
      <c r="B34887" s="65" t="s">
        <v>4562</v>
      </c>
    </row>
    <row r="34888" spans="1:2" x14ac:dyDescent="0.25">
      <c r="A34888" s="64" t="str">
        <f>HYPERLINK("http://www.twitter.com/caritchie", "caritchie")</f>
        <v>caritchie</v>
      </c>
      <c r="B34888" s="65"/>
    </row>
    <row r="34889" spans="1:2" x14ac:dyDescent="0.25">
      <c r="A34889" s="64" t="str">
        <f>HYPERLINK("http://www.twitter.com/gavindeas", "gavindeas")</f>
        <v>gavindeas</v>
      </c>
      <c r="B34889" s="65" t="s">
        <v>13452</v>
      </c>
    </row>
    <row r="34890" spans="1:2" x14ac:dyDescent="0.25">
      <c r="A34890" s="64" t="str">
        <f>HYPERLINK("http://www.twitter.com/Anne_Kail", "Anne_Kail")</f>
        <v>Anne_Kail</v>
      </c>
      <c r="B34890" s="65" t="s">
        <v>13453</v>
      </c>
    </row>
    <row r="34891" spans="1:2" x14ac:dyDescent="0.25">
      <c r="A34891" s="64" t="str">
        <f>HYPERLINK("http://www.twitter.com/MaureenFirth", "MaureenFirth")</f>
        <v>MaureenFirth</v>
      </c>
      <c r="B34891" s="65" t="s">
        <v>5824</v>
      </c>
    </row>
    <row r="34892" spans="1:2" x14ac:dyDescent="0.25">
      <c r="A34892" s="64" t="str">
        <f>HYPERLINK("http://www.twitter.com/4e4_Network", "4e4_Network")</f>
        <v>4e4_Network</v>
      </c>
      <c r="B34892" s="65" t="s">
        <v>13454</v>
      </c>
    </row>
    <row r="34893" spans="1:2" x14ac:dyDescent="0.25">
      <c r="A34893" s="64" t="str">
        <f>HYPERLINK("http://www.twitter.com/FaberBooks", "FaberBooks")</f>
        <v>FaberBooks</v>
      </c>
      <c r="B34893" s="65" t="s">
        <v>36</v>
      </c>
    </row>
    <row r="34894" spans="1:2" x14ac:dyDescent="0.25">
      <c r="A34894" s="64" t="str">
        <f>HYPERLINK("http://www.twitter.com/M0RT75", "M0RT75")</f>
        <v>M0RT75</v>
      </c>
      <c r="B34894" s="65" t="s">
        <v>13455</v>
      </c>
    </row>
    <row r="34895" spans="1:2" x14ac:dyDescent="0.25">
      <c r="A34895" s="64" t="str">
        <f>HYPERLINK("http://www.twitter.com/GavinWarnock", "GavinWarnock")</f>
        <v>GavinWarnock</v>
      </c>
      <c r="B34895" s="65" t="s">
        <v>20</v>
      </c>
    </row>
    <row r="34896" spans="1:2" x14ac:dyDescent="0.25">
      <c r="A34896" s="64" t="str">
        <f>HYPERLINK("http://www.twitter.com/MerryDancer", "MerryDancer")</f>
        <v>MerryDancer</v>
      </c>
      <c r="B34896" s="65" t="s">
        <v>13456</v>
      </c>
    </row>
    <row r="34897" spans="1:2" x14ac:dyDescent="0.25">
      <c r="A34897" s="64" t="str">
        <f>HYPERLINK("http://www.twitter.com/BookElfLeeds", "BookElfLeeds")</f>
        <v>BookElfLeeds</v>
      </c>
      <c r="B34897" s="65" t="s">
        <v>13457</v>
      </c>
    </row>
    <row r="34898" spans="1:2" x14ac:dyDescent="0.25">
      <c r="A34898" s="64" t="str">
        <f>HYPERLINK("http://www.twitter.com/ORKitNEY", "ORKitNEY")</f>
        <v>ORKitNEY</v>
      </c>
      <c r="B34898" s="65" t="s">
        <v>20</v>
      </c>
    </row>
    <row r="34899" spans="1:2" x14ac:dyDescent="0.25">
      <c r="A34899" s="64" t="str">
        <f>HYPERLINK("http://www.twitter.com/Ceona", "Ceona")</f>
        <v>Ceona</v>
      </c>
      <c r="B34899" s="65" t="s">
        <v>36</v>
      </c>
    </row>
    <row r="34900" spans="1:2" x14ac:dyDescent="0.25">
      <c r="A34900" s="64" t="str">
        <f>HYPERLINK("http://www.twitter.com/MrMoth", "MrMoth")</f>
        <v>MrMoth</v>
      </c>
      <c r="B34900" s="65" t="s">
        <v>6667</v>
      </c>
    </row>
    <row r="34901" spans="1:2" x14ac:dyDescent="0.25">
      <c r="A34901" s="64" t="str">
        <f>HYPERLINK("http://www.twitter.com/mobeenakhan", "mobeenakhan")</f>
        <v>mobeenakhan</v>
      </c>
      <c r="B34901" s="65" t="s">
        <v>2580</v>
      </c>
    </row>
    <row r="34902" spans="1:2" x14ac:dyDescent="0.25">
      <c r="A34902" s="64" t="str">
        <f>HYPERLINK("http://www.twitter.com/WaterfordLibs", "WaterfordLibs")</f>
        <v>WaterfordLibs</v>
      </c>
      <c r="B34902" s="65" t="s">
        <v>8845</v>
      </c>
    </row>
    <row r="34903" spans="1:2" x14ac:dyDescent="0.25">
      <c r="A34903" s="64" t="str">
        <f>HYPERLINK("http://www.twitter.com/eurocrime", "eurocrime")</f>
        <v>eurocrime</v>
      </c>
      <c r="B34903" s="65" t="s">
        <v>4721</v>
      </c>
    </row>
    <row r="34904" spans="1:2" x14ac:dyDescent="0.25">
      <c r="A34904" s="64" t="str">
        <f>HYPERLINK("http://www.twitter.com/colingalbraith", "colingalbraith")</f>
        <v>colingalbraith</v>
      </c>
      <c r="B34904" s="65" t="s">
        <v>13458</v>
      </c>
    </row>
    <row r="34905" spans="1:2" x14ac:dyDescent="0.25">
      <c r="A34905" s="64" t="str">
        <f>HYPERLINK("http://www.twitter.com/ByLeavesWeLive", "ByLeavesWeLive")</f>
        <v>ByLeavesWeLive</v>
      </c>
      <c r="B34905" s="65" t="s">
        <v>24</v>
      </c>
    </row>
    <row r="34906" spans="1:2" x14ac:dyDescent="0.25">
      <c r="A34906" s="64" t="str">
        <f>HYPERLINK("http://www.twitter.com/north59", "north59")</f>
        <v>north59</v>
      </c>
      <c r="B34906" s="65" t="s">
        <v>20</v>
      </c>
    </row>
    <row r="34907" spans="1:2" x14ac:dyDescent="0.25">
      <c r="A34907" s="64" t="str">
        <f>HYPERLINK("http://www.twitter.com/LeedsBookClub", "LeedsBookClub")</f>
        <v>LeedsBookClub</v>
      </c>
      <c r="B34907" s="65" t="s">
        <v>180</v>
      </c>
    </row>
    <row r="34908" spans="1:2" x14ac:dyDescent="0.25">
      <c r="A34908" s="64" t="str">
        <f>HYPERLINK("http://www.twitter.com/ClosedLibrary", "ClosedLibrary")</f>
        <v>ClosedLibrary</v>
      </c>
      <c r="B34908" s="65" t="s">
        <v>13459</v>
      </c>
    </row>
    <row r="34909" spans="1:2" x14ac:dyDescent="0.25">
      <c r="A34909" s="64" t="str">
        <f>HYPERLINK("http://www.twitter.com/wcl_library", "wcl_library")</f>
        <v>wcl_library</v>
      </c>
      <c r="B34909" s="65" t="s">
        <v>4247</v>
      </c>
    </row>
    <row r="34910" spans="1:2" x14ac:dyDescent="0.25">
      <c r="A34910" s="64" t="str">
        <f>HYPERLINK("http://www.twitter.com/scottishballet", "scottishballet")</f>
        <v>scottishballet</v>
      </c>
      <c r="B34910" s="65" t="s">
        <v>138</v>
      </c>
    </row>
    <row r="34911" spans="1:2" x14ac:dyDescent="0.25">
      <c r="A34911" s="64" t="str">
        <f>HYPERLINK("http://www.twitter.com/williamjnixon", "williamjnixon")</f>
        <v>williamjnixon</v>
      </c>
      <c r="B34911" s="65" t="s">
        <v>318</v>
      </c>
    </row>
    <row r="34912" spans="1:2" x14ac:dyDescent="0.25">
      <c r="A34912" s="64" t="str">
        <f>HYPERLINK("http://www.twitter.com/ElaineBorland", "ElaineBorland")</f>
        <v>ElaineBorland</v>
      </c>
      <c r="B34912" s="65" t="s">
        <v>138</v>
      </c>
    </row>
    <row r="34913" spans="1:2" x14ac:dyDescent="0.25">
      <c r="A34913" s="64" t="str">
        <f>HYPERLINK("http://www.twitter.com/lynnejmarshall", "lynnejmarshall")</f>
        <v>lynnejmarshall</v>
      </c>
      <c r="B34913" s="65"/>
    </row>
    <row r="34914" spans="1:2" x14ac:dyDescent="0.25">
      <c r="A34914" s="64" t="str">
        <f>HYPERLINK("http://www.twitter.com/StrathArchives", "StrathArchives")</f>
        <v>StrathArchives</v>
      </c>
      <c r="B34914" s="65" t="s">
        <v>318</v>
      </c>
    </row>
    <row r="34915" spans="1:2" x14ac:dyDescent="0.25">
      <c r="A34915" s="64" t="str">
        <f>HYPERLINK("http://www.twitter.com/crimeculture", "crimeculture")</f>
        <v>crimeculture</v>
      </c>
      <c r="B34915" s="65" t="s">
        <v>4040</v>
      </c>
    </row>
    <row r="34916" spans="1:2" x14ac:dyDescent="0.25">
      <c r="A34916" s="64" t="str">
        <f>HYPERLINK("http://www.twitter.com/Leah_AsdaPR", "Leah_AsdaPR")</f>
        <v>Leah_AsdaPR</v>
      </c>
      <c r="B34916" s="65" t="s">
        <v>13460</v>
      </c>
    </row>
    <row r="34917" spans="1:2" x14ac:dyDescent="0.25">
      <c r="A34917" s="64" t="str">
        <f>HYPERLINK("http://www.twitter.com/MHP_LibraryTeam", "MHP_LibraryTeam")</f>
        <v>MHP_LibraryTeam</v>
      </c>
      <c r="B34917" s="65" t="s">
        <v>5819</v>
      </c>
    </row>
    <row r="34918" spans="1:2" x14ac:dyDescent="0.25">
      <c r="A34918" s="64" t="str">
        <f>HYPERLINK("http://www.twitter.com/DannyBlahBlah", "DannyBlahBlah")</f>
        <v>DannyBlahBlah</v>
      </c>
      <c r="B34918" s="65" t="s">
        <v>13461</v>
      </c>
    </row>
    <row r="34919" spans="1:2" x14ac:dyDescent="0.25">
      <c r="A34919" s="64" t="str">
        <f>HYPERLINK("http://www.twitter.com/j2theck", "j2theck")</f>
        <v>j2theck</v>
      </c>
      <c r="B34919" s="65"/>
    </row>
    <row r="34920" spans="1:2" x14ac:dyDescent="0.25">
      <c r="A34920" s="64" t="str">
        <f>HYPERLINK("http://www.twitter.com/tararualibrary", "tararualibrary")</f>
        <v>tararualibrary</v>
      </c>
      <c r="B34920" s="65" t="s">
        <v>4436</v>
      </c>
    </row>
    <row r="34921" spans="1:2" x14ac:dyDescent="0.25">
      <c r="A34921" s="64" t="str">
        <f>HYPERLINK("http://www.twitter.com/MagLib", "MagLib")</f>
        <v>MagLib</v>
      </c>
      <c r="B34921" s="65" t="s">
        <v>13462</v>
      </c>
    </row>
    <row r="34922" spans="1:2" x14ac:dyDescent="0.25">
      <c r="A34922" s="64" t="str">
        <f>HYPERLINK("http://www.twitter.com/unisontweets", "unisontweets")</f>
        <v>unisontweets</v>
      </c>
      <c r="B34922" s="65" t="s">
        <v>296</v>
      </c>
    </row>
    <row r="34923" spans="1:2" x14ac:dyDescent="0.25">
      <c r="A34923" s="64" t="str">
        <f>HYPERLINK("http://www.twitter.com/how2enjoyBOOKS", "how2enjoyBOOKS")</f>
        <v>how2enjoyBOOKS</v>
      </c>
      <c r="B34923" s="65" t="s">
        <v>12428</v>
      </c>
    </row>
    <row r="34924" spans="1:2" x14ac:dyDescent="0.25">
      <c r="A34924" s="64" t="str">
        <f>HYPERLINK("http://www.twitter.com/Impedimented", "Impedimented")</f>
        <v>Impedimented</v>
      </c>
      <c r="B34924" s="65" t="s">
        <v>13463</v>
      </c>
    </row>
    <row r="34925" spans="1:2" x14ac:dyDescent="0.25">
      <c r="A34925" s="64" t="str">
        <f>HYPERLINK("http://www.twitter.com/StromnessHotel", "StromnessHotel")</f>
        <v>StromnessHotel</v>
      </c>
      <c r="B34925" s="65" t="s">
        <v>4668</v>
      </c>
    </row>
    <row r="34926" spans="1:2" x14ac:dyDescent="0.25">
      <c r="A34926" s="64" t="str">
        <f>HYPERLINK("http://www.twitter.com/ConciergeMktg", "ConciergeMktg")</f>
        <v>ConciergeMktg</v>
      </c>
      <c r="B34926" s="65" t="s">
        <v>11216</v>
      </c>
    </row>
    <row r="34927" spans="1:2" x14ac:dyDescent="0.25">
      <c r="A34927" s="64" t="str">
        <f>HYPERLINK("http://www.twitter.com/beckeweinheimer", "beckeweinheimer")</f>
        <v>beckeweinheimer</v>
      </c>
      <c r="B34927" s="65" t="s">
        <v>13464</v>
      </c>
    </row>
    <row r="34928" spans="1:2" x14ac:dyDescent="0.25">
      <c r="A34928" s="64" t="str">
        <f>HYPERLINK("http://www.twitter.com/jonskol", "jonskol")</f>
        <v>jonskol</v>
      </c>
      <c r="B34928" s="65" t="s">
        <v>5104</v>
      </c>
    </row>
    <row r="34929" spans="1:2" x14ac:dyDescent="0.25">
      <c r="A34929" s="64" t="str">
        <f>HYPERLINK("http://www.twitter.com/BlackwellEdin", "BlackwellEdin")</f>
        <v>BlackwellEdin</v>
      </c>
      <c r="B34929" s="65" t="s">
        <v>13465</v>
      </c>
    </row>
    <row r="34930" spans="1:2" x14ac:dyDescent="0.25">
      <c r="A34930" s="64" t="str">
        <f>HYPERLINK("http://www.twitter.com/JeanetteCastle", "JeanetteCastle")</f>
        <v>JeanetteCastle</v>
      </c>
      <c r="B34930" s="65"/>
    </row>
    <row r="34931" spans="1:2" x14ac:dyDescent="0.25">
      <c r="A34931" s="64" t="str">
        <f>HYPERLINK("http://www.twitter.com/LutonLibraries", "LutonLibraries")</f>
        <v>LutonLibraries</v>
      </c>
      <c r="B34931" s="65" t="s">
        <v>490</v>
      </c>
    </row>
    <row r="34932" spans="1:2" x14ac:dyDescent="0.25">
      <c r="A34932" s="64" t="str">
        <f>HYPERLINK("http://www.twitter.com/literarycitizen", "literarycitizen")</f>
        <v>literarycitizen</v>
      </c>
      <c r="B34932" s="65" t="s">
        <v>36</v>
      </c>
    </row>
    <row r="34933" spans="1:2" x14ac:dyDescent="0.25">
      <c r="A34933" s="64" t="str">
        <f>HYPERLINK("http://www.twitter.com/Sigelus", "Sigelus")</f>
        <v>Sigelus</v>
      </c>
      <c r="B34933" s="65"/>
    </row>
    <row r="34934" spans="1:2" x14ac:dyDescent="0.25">
      <c r="A34934" s="64" t="str">
        <f>HYPERLINK("http://www.twitter.com/kkingaling", "kkingaling")</f>
        <v>kkingaling</v>
      </c>
      <c r="B34934" s="65" t="s">
        <v>138</v>
      </c>
    </row>
    <row r="34935" spans="1:2" x14ac:dyDescent="0.25">
      <c r="A34935" s="64" t="str">
        <f>HYPERLINK("http://www.twitter.com/eileen_s", "eileen_s")</f>
        <v>eileen_s</v>
      </c>
      <c r="B34935" s="65" t="s">
        <v>13466</v>
      </c>
    </row>
    <row r="34936" spans="1:2" x14ac:dyDescent="0.25">
      <c r="A34936" s="64" t="str">
        <f>HYPERLINK("http://www.twitter.com/eatanddust", "eatanddust")</f>
        <v>eatanddust</v>
      </c>
      <c r="B34936" s="65" t="s">
        <v>13467</v>
      </c>
    </row>
    <row r="34937" spans="1:2" x14ac:dyDescent="0.25">
      <c r="A34937" s="64" t="str">
        <f>HYPERLINK("http://www.twitter.com/DevonLibraries", "DevonLibraries")</f>
        <v>DevonLibraries</v>
      </c>
      <c r="B34937" s="65" t="s">
        <v>203</v>
      </c>
    </row>
    <row r="34938" spans="1:2" x14ac:dyDescent="0.25">
      <c r="A34938" s="64" t="str">
        <f>HYPERLINK("http://www.twitter.com/call_me_mitzi", "call_me_mitzi")</f>
        <v>call_me_mitzi</v>
      </c>
      <c r="B34938" s="65"/>
    </row>
    <row r="34939" spans="1:2" x14ac:dyDescent="0.25">
      <c r="A34939" s="64" t="str">
        <f>HYPERLINK("http://www.twitter.com/midi2304", "midi2304")</f>
        <v>midi2304</v>
      </c>
      <c r="B34939" s="65" t="s">
        <v>7117</v>
      </c>
    </row>
    <row r="34940" spans="1:2" x14ac:dyDescent="0.25">
      <c r="A34940" s="64" t="str">
        <f>HYPERLINK("http://www.twitter.com/leagueofrobbie", "leagueofrobbie")</f>
        <v>leagueofrobbie</v>
      </c>
      <c r="B34940" s="65" t="s">
        <v>318</v>
      </c>
    </row>
    <row r="34941" spans="1:2" x14ac:dyDescent="0.25">
      <c r="A34941" s="64" t="str">
        <f>HYPERLINK("http://www.twitter.com/SLIS_NZ", "SLIS_NZ")</f>
        <v>SLIS_NZ</v>
      </c>
      <c r="B34941" s="65" t="s">
        <v>13468</v>
      </c>
    </row>
    <row r="34942" spans="1:2" x14ac:dyDescent="0.25">
      <c r="A34942" s="64" t="str">
        <f>HYPERLINK("http://www.twitter.com/olivemagazine", "olivemagazine")</f>
        <v>olivemagazine</v>
      </c>
      <c r="B34942" s="65" t="s">
        <v>13469</v>
      </c>
    </row>
    <row r="34943" spans="1:2" x14ac:dyDescent="0.25">
      <c r="A34943" s="64" t="str">
        <f>HYPERLINK("http://www.twitter.com/Daphne_Moon", "Daphne_Moon")</f>
        <v>Daphne_Moon</v>
      </c>
      <c r="B34943" s="65" t="s">
        <v>13470</v>
      </c>
    </row>
    <row r="34944" spans="1:2" x14ac:dyDescent="0.25">
      <c r="A34944" s="64" t="str">
        <f>HYPERLINK("http://www.twitter.com/theunitlist", "theunitlist")</f>
        <v>theunitlist</v>
      </c>
      <c r="B34944" s="65" t="s">
        <v>110</v>
      </c>
    </row>
    <row r="34945" spans="1:2" x14ac:dyDescent="0.25">
      <c r="A34945" s="64" t="str">
        <f>HYPERLINK("http://www.twitter.com/Cat_999Design", "Cat_999Design")</f>
        <v>Cat_999Design</v>
      </c>
      <c r="B34945" s="65" t="s">
        <v>138</v>
      </c>
    </row>
    <row r="34946" spans="1:2" x14ac:dyDescent="0.25">
      <c r="A34946" s="64" t="str">
        <f>HYPERLINK("http://www.twitter.com/spiggie", "spiggie")</f>
        <v>spiggie</v>
      </c>
      <c r="B34946" s="65" t="s">
        <v>1980</v>
      </c>
    </row>
    <row r="34947" spans="1:2" x14ac:dyDescent="0.25">
      <c r="A34947" s="64" t="str">
        <f>HYPERLINK("http://www.twitter.com/daneetsteffens", "daneetsteffens")</f>
        <v>daneetsteffens</v>
      </c>
      <c r="B34947" s="65"/>
    </row>
    <row r="34948" spans="1:2" x14ac:dyDescent="0.25">
      <c r="A34948" s="64" t="str">
        <f>HYPERLINK("http://www.twitter.com/Fotwordsmiths", "Fotwordsmiths")</f>
        <v>Fotwordsmiths</v>
      </c>
      <c r="B34948" s="65" t="s">
        <v>517</v>
      </c>
    </row>
    <row r="34949" spans="1:2" x14ac:dyDescent="0.25">
      <c r="A34949" s="64" t="str">
        <f>HYPERLINK("http://www.twitter.com/sb4eva", "sb4eva")</f>
        <v>sb4eva</v>
      </c>
      <c r="B34949" s="65"/>
    </row>
    <row r="34950" spans="1:2" x14ac:dyDescent="0.25">
      <c r="A34950" s="64" t="str">
        <f>HYPERLINK("http://www.twitter.com/BestYearsLtd", "BestYearsLtd")</f>
        <v>BestYearsLtd</v>
      </c>
      <c r="B34950" s="65" t="s">
        <v>13471</v>
      </c>
    </row>
    <row r="34951" spans="1:2" x14ac:dyDescent="0.25">
      <c r="A34951" s="64" t="str">
        <f>HYPERLINK("http://www.twitter.com/MickyLachmann", "MickyLachmann")</f>
        <v>MickyLachmann</v>
      </c>
      <c r="B34951" s="65"/>
    </row>
    <row r="34952" spans="1:2" x14ac:dyDescent="0.25">
      <c r="A34952" s="64" t="str">
        <f>HYPERLINK("http://www.twitter.com/GeraldineCS", "GeraldineCS")</f>
        <v>GeraldineCS</v>
      </c>
      <c r="B34952" s="65" t="s">
        <v>110</v>
      </c>
    </row>
    <row r="34953" spans="1:2" x14ac:dyDescent="0.25">
      <c r="A34953" s="64" t="str">
        <f>HYPERLINK("http://www.twitter.com/AndyB590", "AndyB590")</f>
        <v>AndyB590</v>
      </c>
      <c r="B34953" s="65" t="s">
        <v>20</v>
      </c>
    </row>
    <row r="34954" spans="1:2" x14ac:dyDescent="0.25">
      <c r="A34954" s="64" t="str">
        <f>HYPERLINK("http://www.twitter.com/DamonLord", "DamonLord")</f>
        <v>DamonLord</v>
      </c>
      <c r="B34954" s="65" t="s">
        <v>1592</v>
      </c>
    </row>
    <row r="34955" spans="1:2" x14ac:dyDescent="0.25">
      <c r="A34955" s="64" t="str">
        <f>HYPERLINK("http://www.twitter.com/Lamb_Fan", "Lamb_Fan")</f>
        <v>Lamb_Fan</v>
      </c>
      <c r="B34955" s="65"/>
    </row>
    <row r="34956" spans="1:2" x14ac:dyDescent="0.25">
      <c r="A34956" s="64" t="str">
        <f>HYPERLINK("http://www.twitter.com/hahacatzbird", "hahacatzbird")</f>
        <v>hahacatzbird</v>
      </c>
      <c r="B34956" s="65" t="s">
        <v>296</v>
      </c>
    </row>
    <row r="34957" spans="1:2" x14ac:dyDescent="0.25">
      <c r="A34957" s="64" t="str">
        <f>HYPERLINK("http://www.twitter.com/peterbjordan", "peterbjordan")</f>
        <v>peterbjordan</v>
      </c>
      <c r="B34957" s="65" t="s">
        <v>13472</v>
      </c>
    </row>
    <row r="34958" spans="1:2" x14ac:dyDescent="0.25">
      <c r="A34958" s="64" t="str">
        <f>HYPERLINK("http://www.twitter.com/daviskho", "daviskho")</f>
        <v>daviskho</v>
      </c>
      <c r="B34958" s="65" t="s">
        <v>13473</v>
      </c>
    </row>
    <row r="34959" spans="1:2" x14ac:dyDescent="0.25">
      <c r="A34959" s="64" t="str">
        <f>HYPERLINK("http://www.twitter.com/MKChris", "MKChris")</f>
        <v>MKChris</v>
      </c>
      <c r="B34959" s="65" t="s">
        <v>3781</v>
      </c>
    </row>
    <row r="34960" spans="1:2" x14ac:dyDescent="0.25">
      <c r="A34960" s="64" t="str">
        <f>HYPERLINK("http://www.twitter.com/bethanar", "bethanar")</f>
        <v>bethanar</v>
      </c>
      <c r="B34960" s="65" t="s">
        <v>296</v>
      </c>
    </row>
    <row r="34961" spans="1:2" x14ac:dyDescent="0.25">
      <c r="A34961" s="64" t="str">
        <f>HYPERLINK("http://www.twitter.com/JuJuJulesJules", "JuJuJulesJules")</f>
        <v>JuJuJulesJules</v>
      </c>
      <c r="B34961" s="65" t="s">
        <v>5939</v>
      </c>
    </row>
    <row r="34962" spans="1:2" x14ac:dyDescent="0.25">
      <c r="A34962" s="64" t="str">
        <f>HYPERLINK("http://www.twitter.com/johncoefield", "johncoefield")</f>
        <v>johncoefield</v>
      </c>
      <c r="B34962" s="65" t="s">
        <v>219</v>
      </c>
    </row>
    <row r="34963" spans="1:2" x14ac:dyDescent="0.25">
      <c r="A34963" s="64" t="str">
        <f>HYPERLINK("http://www.twitter.com/jennifersmith", "jennifersmith")</f>
        <v>jennifersmith</v>
      </c>
      <c r="B34963" s="65" t="s">
        <v>36</v>
      </c>
    </row>
    <row r="34964" spans="1:2" x14ac:dyDescent="0.25">
      <c r="A34964" s="64" t="str">
        <f>HYPERLINK("http://www.twitter.com/County_Marquees", "County_Marquees")</f>
        <v>County_Marquees</v>
      </c>
      <c r="B34964" s="65" t="s">
        <v>110</v>
      </c>
    </row>
    <row r="34965" spans="1:2" x14ac:dyDescent="0.25">
      <c r="A34965" s="64" t="str">
        <f>HYPERLINK("http://www.twitter.com/CasmiUK", "CasmiUK")</f>
        <v>CasmiUK</v>
      </c>
      <c r="B34965" s="65" t="s">
        <v>456</v>
      </c>
    </row>
    <row r="34966" spans="1:2" x14ac:dyDescent="0.25">
      <c r="A34966" s="64" t="str">
        <f>HYPERLINK("http://www.twitter.com/recorderist", "recorderist")</f>
        <v>recorderist</v>
      </c>
      <c r="B34966" s="65" t="s">
        <v>232</v>
      </c>
    </row>
    <row r="34967" spans="1:2" x14ac:dyDescent="0.25">
      <c r="A34967" s="64" t="str">
        <f>HYPERLINK("http://www.twitter.com/highwaylass", "highwaylass")</f>
        <v>highwaylass</v>
      </c>
      <c r="B34967" s="65" t="s">
        <v>296</v>
      </c>
    </row>
    <row r="34968" spans="1:2" x14ac:dyDescent="0.25">
      <c r="A34968" s="64" t="str">
        <f>HYPERLINK("http://www.twitter.com/PalmerAlan", "PalmerAlan")</f>
        <v>PalmerAlan</v>
      </c>
      <c r="B34968" s="65" t="s">
        <v>13474</v>
      </c>
    </row>
    <row r="34969" spans="1:2" x14ac:dyDescent="0.25">
      <c r="A34969" s="64" t="str">
        <f>HYPERLINK("http://www.twitter.com/emhowie", "emhowie")</f>
        <v>emhowie</v>
      </c>
      <c r="B34969" s="65"/>
    </row>
    <row r="34970" spans="1:2" x14ac:dyDescent="0.25">
      <c r="A34970" s="64" t="str">
        <f>HYPERLINK("http://www.twitter.com/BenRHardy", "BenRHardy")</f>
        <v>BenRHardy</v>
      </c>
      <c r="B34970" s="65" t="s">
        <v>13475</v>
      </c>
    </row>
    <row r="34971" spans="1:2" x14ac:dyDescent="0.25">
      <c r="A34971" s="64" t="str">
        <f>HYPERLINK("http://www.twitter.com/mrjamesmack", "mrjamesmack")</f>
        <v>mrjamesmack</v>
      </c>
      <c r="B34971" s="65" t="s">
        <v>24</v>
      </c>
    </row>
    <row r="34972" spans="1:2" x14ac:dyDescent="0.25">
      <c r="A34972" s="64" t="str">
        <f>HYPERLINK("http://www.twitter.com/rofhalstead", "rofhalstead")</f>
        <v>rofhalstead</v>
      </c>
      <c r="B34972" s="65" t="s">
        <v>36</v>
      </c>
    </row>
    <row r="34973" spans="1:2" x14ac:dyDescent="0.25">
      <c r="A34973" s="64" t="str">
        <f>HYPERLINK("http://www.twitter.com/SimonKoppel", "SimonKoppel")</f>
        <v>SimonKoppel</v>
      </c>
      <c r="B34973" s="65" t="s">
        <v>36</v>
      </c>
    </row>
    <row r="34974" spans="1:2" x14ac:dyDescent="0.25">
      <c r="A34974" s="64" t="str">
        <f>HYPERLINK("http://www.twitter.com/chrisgraham59", "chrisgraham59")</f>
        <v>chrisgraham59</v>
      </c>
      <c r="B34974" s="65" t="s">
        <v>13476</v>
      </c>
    </row>
    <row r="34975" spans="1:2" x14ac:dyDescent="0.25">
      <c r="A34975" s="64" t="str">
        <f>HYPERLINK("http://www.twitter.com/BobOHara", "BobOHara")</f>
        <v>BobOHara</v>
      </c>
      <c r="B34975" s="65" t="s">
        <v>5877</v>
      </c>
    </row>
    <row r="34976" spans="1:2" x14ac:dyDescent="0.25">
      <c r="A34976" s="64" t="str">
        <f>HYPERLINK("http://www.twitter.com/ruththetruth", "ruththetruth")</f>
        <v>ruththetruth</v>
      </c>
      <c r="B34976" s="65" t="s">
        <v>7165</v>
      </c>
    </row>
    <row r="34977" spans="1:2" x14ac:dyDescent="0.25">
      <c r="A34977" s="64" t="str">
        <f>HYPERLINK("http://www.twitter.com/queenoficeni", "queenoficeni")</f>
        <v>queenoficeni</v>
      </c>
      <c r="B34977" s="65" t="s">
        <v>13477</v>
      </c>
    </row>
    <row r="34978" spans="1:2" x14ac:dyDescent="0.25">
      <c r="A34978" s="64" t="str">
        <f>HYPERLINK("http://www.twitter.com/JDS_BHAFC", "JDS_BHAFC")</f>
        <v>JDS_BHAFC</v>
      </c>
      <c r="B34978" s="65" t="s">
        <v>4234</v>
      </c>
    </row>
    <row r="34979" spans="1:2" x14ac:dyDescent="0.25">
      <c r="A34979" s="64" t="str">
        <f>HYPERLINK("http://www.twitter.com/boodledug", "boodledug")</f>
        <v>boodledug</v>
      </c>
      <c r="B34979" s="65"/>
    </row>
    <row r="34980" spans="1:2" x14ac:dyDescent="0.25">
      <c r="A34980" s="64" t="str">
        <f>HYPERLINK("http://www.twitter.com/incendiarymag", "incendiarymag")</f>
        <v>incendiarymag</v>
      </c>
      <c r="B34980" s="65" t="s">
        <v>13478</v>
      </c>
    </row>
    <row r="34981" spans="1:2" x14ac:dyDescent="0.25">
      <c r="A34981" s="64" t="str">
        <f>HYPERLINK("http://www.twitter.com/soyflower", "soyflower")</f>
        <v>soyflower</v>
      </c>
      <c r="B34981" s="65" t="s">
        <v>24</v>
      </c>
    </row>
    <row r="34982" spans="1:2" x14ac:dyDescent="0.25">
      <c r="A34982" s="64" t="str">
        <f>HYPERLINK("http://www.twitter.com/katiekendesign", "katiekendesign")</f>
        <v>katiekendesign</v>
      </c>
      <c r="B34982" s="65"/>
    </row>
    <row r="34983" spans="1:2" x14ac:dyDescent="0.25">
      <c r="A34983" s="64" t="str">
        <f>HYPERLINK("http://www.twitter.com/lhorlock", "lhorlock")</f>
        <v>lhorlock</v>
      </c>
      <c r="B34983" s="65" t="s">
        <v>13479</v>
      </c>
    </row>
    <row r="34984" spans="1:2" x14ac:dyDescent="0.25">
      <c r="A34984" s="64" t="str">
        <f>HYPERLINK("http://www.twitter.com/Jothegiraffe", "Jothegiraffe")</f>
        <v>Jothegiraffe</v>
      </c>
      <c r="B34984" s="65" t="s">
        <v>13480</v>
      </c>
    </row>
    <row r="34985" spans="1:2" x14ac:dyDescent="0.25">
      <c r="A34985" s="64" t="str">
        <f>HYPERLINK("http://www.twitter.com/MilngavieFest", "MilngavieFest")</f>
        <v>MilngavieFest</v>
      </c>
      <c r="B34985" s="65" t="s">
        <v>8007</v>
      </c>
    </row>
    <row r="34986" spans="1:2" x14ac:dyDescent="0.25">
      <c r="A34986" s="64" t="str">
        <f>HYPERLINK("http://www.twitter.com/stuartgarlick", "stuartgarlick")</f>
        <v>stuartgarlick</v>
      </c>
      <c r="B34986" s="65" t="s">
        <v>13481</v>
      </c>
    </row>
    <row r="34987" spans="1:2" x14ac:dyDescent="0.25">
      <c r="A34987" s="64" t="str">
        <f>HYPERLINK("http://www.twitter.com/chrisbabbs", "chrisbabbs")</f>
        <v>chrisbabbs</v>
      </c>
      <c r="B34987" s="65"/>
    </row>
    <row r="34988" spans="1:2" x14ac:dyDescent="0.25">
      <c r="A34988" s="64" t="str">
        <f>HYPERLINK("http://www.twitter.com/edwebb", "edwebb")</f>
        <v>edwebb</v>
      </c>
      <c r="B34988" s="65" t="s">
        <v>13482</v>
      </c>
    </row>
    <row r="34989" spans="1:2" x14ac:dyDescent="0.25">
      <c r="A34989" s="64" t="str">
        <f>HYPERLINK("http://www.twitter.com/chatters79", "chatters79")</f>
        <v>chatters79</v>
      </c>
      <c r="B34989" s="65" t="s">
        <v>9398</v>
      </c>
    </row>
    <row r="34990" spans="1:2" x14ac:dyDescent="0.25">
      <c r="A34990" s="64" t="str">
        <f>HYPERLINK("http://www.twitter.com/lisarajan", "lisarajan")</f>
        <v>lisarajan</v>
      </c>
      <c r="B34990" s="65" t="s">
        <v>13483</v>
      </c>
    </row>
    <row r="34991" spans="1:2" x14ac:dyDescent="0.25">
      <c r="A34991" s="64" t="str">
        <f>HYPERLINK("http://www.twitter.com/hollylinklater", "hollylinklater")</f>
        <v>hollylinklater</v>
      </c>
      <c r="B34991" s="65"/>
    </row>
    <row r="34992" spans="1:2" x14ac:dyDescent="0.25">
      <c r="A34992" s="64" t="str">
        <f>HYPERLINK("http://www.twitter.com/guineagibbs", "guineagibbs")</f>
        <v>guineagibbs</v>
      </c>
      <c r="B34992" s="65" t="s">
        <v>36</v>
      </c>
    </row>
    <row r="34993" spans="1:2" x14ac:dyDescent="0.25">
      <c r="A34993" s="64" t="str">
        <f>HYPERLINK("http://www.twitter.com/J5K", "J5K")</f>
        <v>J5K</v>
      </c>
      <c r="B34993" s="65" t="s">
        <v>138</v>
      </c>
    </row>
    <row r="34994" spans="1:2" x14ac:dyDescent="0.25">
      <c r="A34994" s="64" t="str">
        <f>HYPERLINK("http://www.twitter.com/TheRealHarb", "TheRealHarb")</f>
        <v>TheRealHarb</v>
      </c>
      <c r="B34994" s="65" t="s">
        <v>36</v>
      </c>
    </row>
    <row r="34995" spans="1:2" x14ac:dyDescent="0.25">
      <c r="A34995" s="64" t="str">
        <f>HYPERLINK("http://www.twitter.com/derekhumphries", "derekhumphries")</f>
        <v>derekhumphries</v>
      </c>
      <c r="B34995" s="65" t="s">
        <v>36</v>
      </c>
    </row>
    <row r="34996" spans="1:2" x14ac:dyDescent="0.25">
      <c r="A34996" s="64" t="str">
        <f>HYPERLINK("http://www.twitter.com/uswsuehouse", "uswsuehouse")</f>
        <v>uswsuehouse</v>
      </c>
      <c r="B34996" s="65" t="s">
        <v>13484</v>
      </c>
    </row>
    <row r="34997" spans="1:2" x14ac:dyDescent="0.25">
      <c r="A34997" s="64" t="str">
        <f>HYPERLINK("http://www.twitter.com/selkiesong", "selkiesong")</f>
        <v>selkiesong</v>
      </c>
      <c r="B34997" s="65" t="s">
        <v>808</v>
      </c>
    </row>
    <row r="34998" spans="1:2" x14ac:dyDescent="0.25">
      <c r="A34998" s="64" t="str">
        <f>HYPERLINK("http://www.twitter.com/JAD73", "JAD73")</f>
        <v>JAD73</v>
      </c>
      <c r="B34998" s="65" t="s">
        <v>180</v>
      </c>
    </row>
    <row r="34999" spans="1:2" x14ac:dyDescent="0.25">
      <c r="A34999" s="64" t="str">
        <f>HYPERLINK("http://www.twitter.com/LisainEdinburgh", "LisainEdinburgh")</f>
        <v>LisainEdinburgh</v>
      </c>
      <c r="B34999" s="65" t="s">
        <v>13485</v>
      </c>
    </row>
    <row r="35000" spans="1:2" x14ac:dyDescent="0.25">
      <c r="A35000" s="64" t="str">
        <f>HYPERLINK("http://www.twitter.com/flatpack", "flatpack")</f>
        <v>flatpack</v>
      </c>
      <c r="B35000" s="65" t="s">
        <v>310</v>
      </c>
    </row>
    <row r="35001" spans="1:2" x14ac:dyDescent="0.25">
      <c r="A35001" s="64" t="str">
        <f>HYPERLINK("http://www.twitter.com/Melissa_Bliss_", "Melissa_Bliss_")</f>
        <v>Melissa_Bliss_</v>
      </c>
      <c r="B35001" s="65" t="s">
        <v>36</v>
      </c>
    </row>
    <row r="35002" spans="1:2" x14ac:dyDescent="0.25">
      <c r="A35002" s="64" t="str">
        <f>HYPERLINK("http://www.twitter.com/grahamgardiner", "grahamgardiner")</f>
        <v>grahamgardiner</v>
      </c>
      <c r="B35002" s="65" t="s">
        <v>110</v>
      </c>
    </row>
    <row r="35003" spans="1:2" x14ac:dyDescent="0.25">
      <c r="A35003" s="64" t="str">
        <f>HYPERLINK("http://www.twitter.com/Quicksot", "Quicksot")</f>
        <v>Quicksot</v>
      </c>
      <c r="B35003" s="65"/>
    </row>
    <row r="35004" spans="1:2" x14ac:dyDescent="0.25">
      <c r="A35004" s="64" t="str">
        <f>HYPERLINK("http://www.twitter.com/callummay", "callummay")</f>
        <v>callummay</v>
      </c>
      <c r="B35004" s="65" t="s">
        <v>13486</v>
      </c>
    </row>
    <row r="35005" spans="1:2" x14ac:dyDescent="0.25">
      <c r="A35005" s="64" t="str">
        <f>HYPERLINK("http://www.twitter.com/GarrowsD", "GarrowsD")</f>
        <v>GarrowsD</v>
      </c>
      <c r="B35005" s="65" t="s">
        <v>13487</v>
      </c>
    </row>
    <row r="35006" spans="1:2" x14ac:dyDescent="0.25">
      <c r="A35006" s="64" t="str">
        <f>HYPERLINK("http://www.twitter.com/pergunnar", "pergunnar")</f>
        <v>pergunnar</v>
      </c>
      <c r="B35006" s="65" t="s">
        <v>12120</v>
      </c>
    </row>
    <row r="35007" spans="1:2" x14ac:dyDescent="0.25">
      <c r="A35007" s="64" t="str">
        <f>HYPERLINK("http://www.twitter.com/Marsvinpatrulje", "Marsvinpatrulje")</f>
        <v>Marsvinpatrulje</v>
      </c>
      <c r="B35007" s="65" t="s">
        <v>4274</v>
      </c>
    </row>
    <row r="35008" spans="1:2" x14ac:dyDescent="0.25">
      <c r="A35008" s="64" t="str">
        <f>HYPERLINK("http://www.twitter.com/buntyhoven", "buntyhoven")</f>
        <v>buntyhoven</v>
      </c>
      <c r="B35008" s="65" t="s">
        <v>2213</v>
      </c>
    </row>
    <row r="35009" spans="1:2" x14ac:dyDescent="0.25">
      <c r="A35009" s="64" t="str">
        <f>HYPERLINK("http://www.twitter.com/DebbieMN", "DebbieMN")</f>
        <v>DebbieMN</v>
      </c>
      <c r="B35009" s="65" t="s">
        <v>4501</v>
      </c>
    </row>
    <row r="35010" spans="1:2" x14ac:dyDescent="0.25">
      <c r="A35010" s="64" t="str">
        <f>HYPERLINK("http://www.twitter.com/Janegoth", "Janegoth")</f>
        <v>Janegoth</v>
      </c>
      <c r="B35010" s="65" t="s">
        <v>3852</v>
      </c>
    </row>
    <row r="35011" spans="1:2" x14ac:dyDescent="0.25">
      <c r="A35011" s="64" t="str">
        <f>HYPERLINK("http://www.twitter.com/JemStone", "JemStone")</f>
        <v>JemStone</v>
      </c>
      <c r="B35011" s="65" t="s">
        <v>13488</v>
      </c>
    </row>
    <row r="35012" spans="1:2" x14ac:dyDescent="0.25">
      <c r="A35012" s="64" t="str">
        <f>HYPERLINK("http://www.twitter.com/srs11", "srs11")</f>
        <v>srs11</v>
      </c>
      <c r="B35012" s="65" t="s">
        <v>13489</v>
      </c>
    </row>
    <row r="35013" spans="1:2" x14ac:dyDescent="0.25">
      <c r="A35013" s="64" t="str">
        <f>HYPERLINK("http://www.twitter.com/PeteUnderhill", "PeteUnderhill")</f>
        <v>PeteUnderhill</v>
      </c>
      <c r="B35013" s="65" t="s">
        <v>222</v>
      </c>
    </row>
    <row r="35014" spans="1:2" x14ac:dyDescent="0.25">
      <c r="A35014" s="64" t="str">
        <f>HYPERLINK("http://www.twitter.com/JessGreenwood", "JessGreenwood")</f>
        <v>JessGreenwood</v>
      </c>
      <c r="B35014" s="65" t="s">
        <v>13490</v>
      </c>
    </row>
    <row r="35015" spans="1:2" x14ac:dyDescent="0.25">
      <c r="A35015" s="64" t="str">
        <f>HYPERLINK("http://www.twitter.com/thingsbehindsun", "thingsbehindsun")</f>
        <v>thingsbehindsun</v>
      </c>
      <c r="B35015" s="65" t="s">
        <v>3919</v>
      </c>
    </row>
    <row r="35016" spans="1:2" x14ac:dyDescent="0.25">
      <c r="A35016" s="64" t="str">
        <f>HYPERLINK("http://www.twitter.com/morageyrie", "morageyrie")</f>
        <v>morageyrie</v>
      </c>
      <c r="B35016" s="65" t="s">
        <v>138</v>
      </c>
    </row>
    <row r="35017" spans="1:2" x14ac:dyDescent="0.25">
      <c r="A35017" s="64" t="str">
        <f>HYPERLINK("http://www.twitter.com/iesamina", "iesamina")</f>
        <v>iesamina</v>
      </c>
      <c r="B35017" s="65" t="s">
        <v>11440</v>
      </c>
    </row>
    <row r="35018" spans="1:2" x14ac:dyDescent="0.25">
      <c r="A35018" s="64" t="str">
        <f>HYPERLINK("http://www.twitter.com/elizabethbatt", "elizabethbatt")</f>
        <v>elizabethbatt</v>
      </c>
      <c r="B35018" s="65"/>
    </row>
    <row r="35019" spans="1:2" x14ac:dyDescent="0.25">
      <c r="A35019" s="64" t="str">
        <f>HYPERLINK("http://www.twitter.com/scholasticuk", "scholasticuk")</f>
        <v>scholasticuk</v>
      </c>
      <c r="B35019" s="65" t="s">
        <v>70</v>
      </c>
    </row>
    <row r="35020" spans="1:2" x14ac:dyDescent="0.25">
      <c r="A35020" s="64" t="str">
        <f>HYPERLINK("http://www.twitter.com/Samskitchen", "Samskitchen")</f>
        <v>Samskitchen</v>
      </c>
      <c r="B35020" s="65" t="s">
        <v>5325</v>
      </c>
    </row>
    <row r="35021" spans="1:2" x14ac:dyDescent="0.25">
      <c r="A35021" s="64" t="str">
        <f>HYPERLINK("http://www.twitter.com/jennycolgan", "jennycolgan")</f>
        <v>jennycolgan</v>
      </c>
      <c r="B35021" s="65" t="s">
        <v>9738</v>
      </c>
    </row>
    <row r="35022" spans="1:2" x14ac:dyDescent="0.25">
      <c r="A35022" s="64" t="str">
        <f>HYPERLINK("http://www.twitter.com/roisinmcauley", "roisinmcauley")</f>
        <v>roisinmcauley</v>
      </c>
      <c r="B35022" s="65" t="s">
        <v>2595</v>
      </c>
    </row>
    <row r="35023" spans="1:2" x14ac:dyDescent="0.25">
      <c r="A35023" s="64" t="str">
        <f>HYPERLINK("http://www.twitter.com/neiljcarruthers", "neiljcarruthers")</f>
        <v>neiljcarruthers</v>
      </c>
      <c r="B35023" s="65" t="s">
        <v>13491</v>
      </c>
    </row>
    <row r="35024" spans="1:2" x14ac:dyDescent="0.25">
      <c r="A35024" s="64" t="str">
        <f>HYPERLINK("http://www.twitter.com/CSbungo", "CSbungo")</f>
        <v>CSbungo</v>
      </c>
      <c r="B35024" s="65" t="s">
        <v>318</v>
      </c>
    </row>
    <row r="35025" spans="1:2" x14ac:dyDescent="0.25">
      <c r="A35025" s="64" t="str">
        <f>HYPERLINK("http://www.twitter.com/rupertg", "rupertg")</f>
        <v>rupertg</v>
      </c>
      <c r="B35025" s="65" t="s">
        <v>24</v>
      </c>
    </row>
    <row r="35026" spans="1:2" x14ac:dyDescent="0.25">
      <c r="A35026" s="64" t="str">
        <f>HYPERLINK("http://www.twitter.com/graftpoetry", "graftpoetry")</f>
        <v>graftpoetry</v>
      </c>
      <c r="B35026" s="65" t="s">
        <v>296</v>
      </c>
    </row>
    <row r="35027" spans="1:2" x14ac:dyDescent="0.25">
      <c r="A35027" s="64" t="str">
        <f>HYPERLINK("http://www.twitter.com/PublishScotland", "PublishScotland")</f>
        <v>PublishScotland</v>
      </c>
      <c r="B35027" s="65" t="s">
        <v>601</v>
      </c>
    </row>
    <row r="35028" spans="1:2" x14ac:dyDescent="0.25">
      <c r="A35028" s="64" t="str">
        <f>HYPERLINK("http://www.twitter.com/plymheadspace", "plymheadspace")</f>
        <v>plymheadspace</v>
      </c>
      <c r="B35028" s="65" t="s">
        <v>767</v>
      </c>
    </row>
    <row r="35029" spans="1:2" x14ac:dyDescent="0.25">
      <c r="A35029" s="64" t="str">
        <f>HYPERLINK("http://www.twitter.com/dundeelibraries", "dundeelibraries")</f>
        <v>dundeelibraries</v>
      </c>
      <c r="B35029" s="65" t="s">
        <v>232</v>
      </c>
    </row>
    <row r="35030" spans="1:2" x14ac:dyDescent="0.25">
      <c r="A35030" s="64" t="str">
        <f>HYPERLINK("http://www.twitter.com/poochiesan24", "poochiesan24")</f>
        <v>poochiesan24</v>
      </c>
      <c r="B35030" s="65" t="s">
        <v>6278</v>
      </c>
    </row>
    <row r="35031" spans="1:2" x14ac:dyDescent="0.25">
      <c r="A35031" s="64" t="str">
        <f>HYPERLINK("http://www.twitter.com/MrsGroundwater", "MrsGroundwater")</f>
        <v>MrsGroundwater</v>
      </c>
      <c r="B35031" s="65" t="s">
        <v>20</v>
      </c>
    </row>
    <row r="35032" spans="1:2" x14ac:dyDescent="0.25">
      <c r="A35032" s="64" t="str">
        <f>HYPERLINK("http://www.twitter.com/HEB_Ensemble", "HEB_Ensemble")</f>
        <v>HEB_Ensemble</v>
      </c>
      <c r="B35032" s="65" t="s">
        <v>24</v>
      </c>
    </row>
    <row r="35033" spans="1:2" x14ac:dyDescent="0.25">
      <c r="A35033" s="64" t="str">
        <f>HYPERLINK("http://www.twitter.com/plymlibraries", "plymlibraries")</f>
        <v>plymlibraries</v>
      </c>
      <c r="B35033" s="65" t="s">
        <v>186</v>
      </c>
    </row>
    <row r="35034" spans="1:2" x14ac:dyDescent="0.25">
      <c r="A35034" s="64" t="str">
        <f>HYPERLINK("http://www.twitter.com/research_inform", "research_inform")</f>
        <v>research_inform</v>
      </c>
      <c r="B35034" s="65" t="s">
        <v>36</v>
      </c>
    </row>
    <row r="35035" spans="1:2" x14ac:dyDescent="0.25">
      <c r="A35035" s="64" t="str">
        <f>HYPERLINK("http://www.twitter.com/forrestad", "forrestad")</f>
        <v>forrestad</v>
      </c>
      <c r="B35035" s="65"/>
    </row>
    <row r="35036" spans="1:2" x14ac:dyDescent="0.25">
      <c r="A35036" s="64" t="str">
        <f>HYPERLINK("http://www.twitter.com/laurs_78", "laurs_78")</f>
        <v>laurs_78</v>
      </c>
      <c r="B35036" s="65" t="s">
        <v>3821</v>
      </c>
    </row>
    <row r="35037" spans="1:2" x14ac:dyDescent="0.25">
      <c r="A35037" s="64" t="str">
        <f>HYPERLINK("http://www.twitter.com/PortalPolemi", "PortalPolemi")</f>
        <v>PortalPolemi</v>
      </c>
      <c r="B35037" s="65" t="s">
        <v>13492</v>
      </c>
    </row>
    <row r="35038" spans="1:2" x14ac:dyDescent="0.25">
      <c r="A35038" s="64" t="str">
        <f>HYPERLINK("http://www.twitter.com/LibraryInfoNews", "LibraryInfoNews")</f>
        <v>LibraryInfoNews</v>
      </c>
      <c r="B35038" s="65" t="s">
        <v>13493</v>
      </c>
    </row>
    <row r="35039" spans="1:2" x14ac:dyDescent="0.25">
      <c r="A35039" s="64" t="str">
        <f>HYPERLINK("http://www.twitter.com/janenharris", "janenharris")</f>
        <v>janenharris</v>
      </c>
      <c r="B35039" s="65" t="s">
        <v>3875</v>
      </c>
    </row>
    <row r="35040" spans="1:2" x14ac:dyDescent="0.25">
      <c r="A35040" s="64" t="str">
        <f>HYPERLINK("http://www.twitter.com/bradfordlibs247", "bradfordlibs247")</f>
        <v>bradfordlibs247</v>
      </c>
      <c r="B35040" s="65" t="s">
        <v>336</v>
      </c>
    </row>
    <row r="35041" spans="1:2" x14ac:dyDescent="0.25">
      <c r="A35041" s="64" t="str">
        <f>HYPERLINK("http://www.twitter.com/The_Orcadian", "The_Orcadian")</f>
        <v>The_Orcadian</v>
      </c>
      <c r="B35041" s="65" t="s">
        <v>13494</v>
      </c>
    </row>
    <row r="35042" spans="1:2" x14ac:dyDescent="0.25">
      <c r="A35042" s="64" t="str">
        <f>HYPERLINK("http://www.twitter.com/CILIPinfo", "CILIPinfo")</f>
        <v>CILIPinfo</v>
      </c>
      <c r="B35042" s="65" t="s">
        <v>5732</v>
      </c>
    </row>
    <row r="35043" spans="1:2" x14ac:dyDescent="0.25">
      <c r="A35043" s="64" t="str">
        <f>HYPERLINK("http://www.twitter.com/AnabelMarsh", "AnabelMarsh")</f>
        <v>AnabelMarsh</v>
      </c>
      <c r="B35043" s="65" t="s">
        <v>138</v>
      </c>
    </row>
    <row r="35044" spans="1:2" x14ac:dyDescent="0.25">
      <c r="A35044" s="64" t="str">
        <f>HYPERLINK("http://www.twitter.com/2edinburgh", "2edinburgh")</f>
        <v>2edinburgh</v>
      </c>
      <c r="B35044" s="65" t="s">
        <v>13495</v>
      </c>
    </row>
    <row r="35045" spans="1:2" x14ac:dyDescent="0.25">
      <c r="A35045" s="64" t="str">
        <f>HYPERLINK("http://www.twitter.com/kingston_libs", "kingston_libs")</f>
        <v>kingston_libs</v>
      </c>
      <c r="B35045" s="65" t="s">
        <v>666</v>
      </c>
    </row>
    <row r="35046" spans="1:2" x14ac:dyDescent="0.25">
      <c r="A35046" s="64" t="str">
        <f>HYPERLINK("http://www.twitter.com/thelibrarynews", "thelibrarynews")</f>
        <v>thelibrarynews</v>
      </c>
      <c r="B35046" s="65" t="s">
        <v>13496</v>
      </c>
    </row>
    <row r="35047" spans="1:2" x14ac:dyDescent="0.25">
      <c r="A35047" s="64" t="str">
        <f>HYPERLINK("http://www.twitter.com/salidatious", "salidatious")</f>
        <v>salidatious</v>
      </c>
      <c r="B35047" s="65" t="s">
        <v>24</v>
      </c>
    </row>
    <row r="35048" spans="1:2" x14ac:dyDescent="0.25">
      <c r="A35048" s="64" t="str">
        <f>HYPERLINK("http://www.twitter.com/Michael27369", "Michael27369")</f>
        <v>Michael27369</v>
      </c>
      <c r="B35048" s="65"/>
    </row>
    <row r="35049" spans="1:2" x14ac:dyDescent="0.25">
      <c r="A35049" s="64" t="str">
        <f>HYPERLINK("http://www.twitter.com/thereaderorg", "thereaderorg")</f>
        <v>thereaderorg</v>
      </c>
      <c r="B35049" s="65" t="s">
        <v>296</v>
      </c>
    </row>
    <row r="35050" spans="1:2" x14ac:dyDescent="0.25">
      <c r="A35050" s="64" t="str">
        <f>HYPERLINK("http://www.twitter.com/switchfoot", "switchfoot")</f>
        <v>switchfoot</v>
      </c>
      <c r="B35050" s="65" t="s">
        <v>3804</v>
      </c>
    </row>
    <row r="35051" spans="1:2" x14ac:dyDescent="0.25">
      <c r="A35051" s="64" t="str">
        <f>HYPERLINK("http://www.twitter.com/Secret_Orkney", "Secret_Orkney")</f>
        <v>Secret_Orkney</v>
      </c>
      <c r="B35051" s="65" t="s">
        <v>13497</v>
      </c>
    </row>
    <row r="35052" spans="1:2" x14ac:dyDescent="0.25">
      <c r="A35052" s="64" t="str">
        <f>HYPERLINK("http://www.twitter.com/utmostar", "utmostar")</f>
        <v>utmostar</v>
      </c>
      <c r="B35052" s="65" t="s">
        <v>13498</v>
      </c>
    </row>
    <row r="35053" spans="1:2" x14ac:dyDescent="0.25">
      <c r="A35053" s="64" t="str">
        <f>HYPERLINK("http://www.twitter.com/2CQR", "2CQR")</f>
        <v>2CQR</v>
      </c>
      <c r="B35053" s="65" t="s">
        <v>13499</v>
      </c>
    </row>
    <row r="35054" spans="1:2" x14ac:dyDescent="0.25">
      <c r="A35054" s="64" t="str">
        <f>HYPERLINK("http://www.twitter.com/StAnzaPoetry", "StAnzaPoetry")</f>
        <v>StAnzaPoetry</v>
      </c>
      <c r="B35054" s="65" t="s">
        <v>4782</v>
      </c>
    </row>
    <row r="35055" spans="1:2" x14ac:dyDescent="0.25">
      <c r="A35055" s="64" t="str">
        <f>HYPERLINK("http://www.twitter.com/selkiesave", "selkiesave")</f>
        <v>selkiesave</v>
      </c>
      <c r="B35055" s="65" t="s">
        <v>20</v>
      </c>
    </row>
    <row r="35056" spans="1:2" x14ac:dyDescent="0.25">
      <c r="A35056" s="64" t="str">
        <f>HYPERLINK("http://www.twitter.com/NielsenBook", "NielsenBook")</f>
        <v>NielsenBook</v>
      </c>
      <c r="B35056" s="65" t="s">
        <v>13500</v>
      </c>
    </row>
    <row r="35057" spans="1:2" x14ac:dyDescent="0.25">
      <c r="A35057" s="64" t="str">
        <f>HYPERLINK("http://www.twitter.com/EdinburghUP", "EdinburghUP")</f>
        <v>EdinburghUP</v>
      </c>
      <c r="B35057" s="65" t="s">
        <v>487</v>
      </c>
    </row>
    <row r="35058" spans="1:2" x14ac:dyDescent="0.25">
      <c r="A35058" s="64" t="str">
        <f>HYPERLINK("http://www.twitter.com/Two4OneOnline", "Two4OneOnline")</f>
        <v>Two4OneOnline</v>
      </c>
      <c r="B35058" s="65" t="s">
        <v>8204</v>
      </c>
    </row>
    <row r="35059" spans="1:2" x14ac:dyDescent="0.25">
      <c r="A35059" s="64" t="str">
        <f>HYPERLINK("http://www.twitter.com/sussexlibrary", "sussexlibrary")</f>
        <v>sussexlibrary</v>
      </c>
      <c r="B35059" s="65" t="s">
        <v>166</v>
      </c>
    </row>
    <row r="35060" spans="1:2" x14ac:dyDescent="0.25">
      <c r="A35060" s="64" t="str">
        <f>HYPERLINK("http://www.twitter.com/allaboutorkney", "allaboutorkney")</f>
        <v>allaboutorkney</v>
      </c>
      <c r="B35060" s="65" t="s">
        <v>20</v>
      </c>
    </row>
    <row r="35061" spans="1:2" x14ac:dyDescent="0.25">
      <c r="A35061" s="64" t="str">
        <f>HYPERLINK("http://www.twitter.com/GYlibrary", "GYlibrary")</f>
        <v>GYlibrary</v>
      </c>
      <c r="B35061" s="65" t="s">
        <v>857</v>
      </c>
    </row>
    <row r="35062" spans="1:2" x14ac:dyDescent="0.25">
      <c r="A35062" s="64" t="str">
        <f>HYPERLINK("http://www.twitter.com/barbmilne", "barbmilne")</f>
        <v>barbmilne</v>
      </c>
      <c r="B35062" s="65"/>
    </row>
    <row r="35063" spans="1:2" x14ac:dyDescent="0.25">
      <c r="A35063" s="64" t="str">
        <f>HYPERLINK("http://www.twitter.com/thebookrabbit", "thebookrabbit")</f>
        <v>thebookrabbit</v>
      </c>
      <c r="B35063" s="65" t="s">
        <v>11973</v>
      </c>
    </row>
    <row r="35064" spans="1:2" x14ac:dyDescent="0.25">
      <c r="A35064" s="64" t="str">
        <f>HYPERLINK("http://www.twitter.com/MissCelineK", "MissCelineK")</f>
        <v>MissCelineK</v>
      </c>
      <c r="B35064" s="65" t="s">
        <v>4062</v>
      </c>
    </row>
    <row r="35065" spans="1:2" x14ac:dyDescent="0.25">
      <c r="A35065" s="64" t="str">
        <f>HYPERLINK("http://www.twitter.com/touchwoodproj", "touchwoodproj")</f>
        <v>touchwoodproj</v>
      </c>
      <c r="B35065" s="65" t="s">
        <v>5434</v>
      </c>
    </row>
    <row r="35066" spans="1:2" x14ac:dyDescent="0.25">
      <c r="A35066" s="64" t="str">
        <f>HYPERLINK("http://www.twitter.com/Binnock", "Binnock")</f>
        <v>Binnock</v>
      </c>
      <c r="B35066" s="65"/>
    </row>
    <row r="35067" spans="1:2" x14ac:dyDescent="0.25">
      <c r="A35067" s="64" t="str">
        <f>HYPERLINK("http://www.twitter.com/JollysofOrkney", "JollysofOrkney")</f>
        <v>JollysofOrkney</v>
      </c>
      <c r="B35067" s="65" t="s">
        <v>20</v>
      </c>
    </row>
    <row r="35068" spans="1:2" x14ac:dyDescent="0.25">
      <c r="A35068" s="64" t="str">
        <f>HYPERLINK("http://www.twitter.com/BBCWitness", "BBCWitness")</f>
        <v>BBCWitness</v>
      </c>
      <c r="B35068" s="65" t="s">
        <v>13501</v>
      </c>
    </row>
    <row r="35069" spans="1:2" x14ac:dyDescent="0.25">
      <c r="A35069" s="64" t="str">
        <f>HYPERLINK("http://www.twitter.com/Usborne", "Usborne")</f>
        <v>Usborne</v>
      </c>
      <c r="B35069" s="65" t="s">
        <v>36</v>
      </c>
    </row>
    <row r="35070" spans="1:2" x14ac:dyDescent="0.25">
      <c r="A35070" s="64" t="str">
        <f>HYPERLINK("http://www.twitter.com/scotslanguage", "scotslanguage")</f>
        <v>scotslanguage</v>
      </c>
      <c r="B35070" s="65" t="s">
        <v>3821</v>
      </c>
    </row>
    <row r="35071" spans="1:2" x14ac:dyDescent="0.25">
      <c r="A35071" s="64" t="str">
        <f>HYPERLINK("http://www.twitter.com/HighlandPark", "HighlandPark")</f>
        <v>HighlandPark</v>
      </c>
      <c r="B35071" s="65" t="s">
        <v>13502</v>
      </c>
    </row>
    <row r="35072" spans="1:2" x14ac:dyDescent="0.25">
      <c r="A35072" s="64" t="str">
        <f>HYPERLINK("http://www.twitter.com/_catyo", "_catyo")</f>
        <v>_catyo</v>
      </c>
      <c r="B35072" s="65"/>
    </row>
    <row r="35073" spans="1:2" x14ac:dyDescent="0.25">
      <c r="A35073" s="64" t="str">
        <f>HYPERLINK("http://www.twitter.com/nottslibraries", "nottslibraries")</f>
        <v>nottslibraries</v>
      </c>
      <c r="B35073" s="65" t="s">
        <v>273</v>
      </c>
    </row>
    <row r="35074" spans="1:2" x14ac:dyDescent="0.25">
      <c r="A35074" s="64" t="str">
        <f>HYPERLINK("http://www.twitter.com/salleegal", "salleegal")</f>
        <v>salleegal</v>
      </c>
      <c r="B35074" s="65" t="s">
        <v>13503</v>
      </c>
    </row>
    <row r="35075" spans="1:2" x14ac:dyDescent="0.25">
      <c r="A35075" s="64" t="str">
        <f>HYPERLINK("http://www.twitter.com/Aguyon", "Aguyon")</f>
        <v>Aguyon</v>
      </c>
      <c r="B35075" s="65"/>
    </row>
    <row r="35076" spans="1:2" x14ac:dyDescent="0.25">
      <c r="A35076" s="64" t="str">
        <f>HYPERLINK("http://www.twitter.com/Orkcrafts", "Orkcrafts")</f>
        <v>Orkcrafts</v>
      </c>
      <c r="B35076" s="65"/>
    </row>
    <row r="35077" spans="1:2" x14ac:dyDescent="0.25">
      <c r="A35077" s="64" t="str">
        <f>HYPERLINK("http://www.twitter.com/champliby", "champliby")</f>
        <v>champliby</v>
      </c>
      <c r="B35077" s="65"/>
    </row>
    <row r="35078" spans="1:2" x14ac:dyDescent="0.25">
      <c r="A35078" s="64" t="str">
        <f>HYPERLINK("http://www.twitter.com/Mike4QL", "Mike4QL")</f>
        <v>Mike4QL</v>
      </c>
      <c r="B35078" s="65" t="s">
        <v>4459</v>
      </c>
    </row>
    <row r="35079" spans="1:2" x14ac:dyDescent="0.25">
      <c r="A35079" s="64" t="str">
        <f>HYPERLINK("http://www.twitter.com/BooksOnTour", "BooksOnTour")</f>
        <v>BooksOnTour</v>
      </c>
      <c r="B35079" s="65" t="s">
        <v>296</v>
      </c>
    </row>
    <row r="35080" spans="1:2" x14ac:dyDescent="0.25">
      <c r="A35080" s="64" t="str">
        <f>HYPERLINK("http://www.twitter.com/elsie_em", "elsie_em")</f>
        <v>elsie_em</v>
      </c>
      <c r="B35080" s="65" t="s">
        <v>13504</v>
      </c>
    </row>
    <row r="35081" spans="1:2" x14ac:dyDescent="0.25">
      <c r="A35081" s="64" t="str">
        <f>HYPERLINK("http://www.twitter.com/scottishbktrust", "scottishbktrust")</f>
        <v>scottishbktrust</v>
      </c>
      <c r="B35081" s="65" t="s">
        <v>2007</v>
      </c>
    </row>
    <row r="35082" spans="1:2" x14ac:dyDescent="0.25">
      <c r="A35082" s="64" t="str">
        <f>HYPERLINK("http://www.twitter.com/woolgathered", "woolgathered")</f>
        <v>woolgathered</v>
      </c>
      <c r="B35082" s="65" t="s">
        <v>13505</v>
      </c>
    </row>
    <row r="35083" spans="1:2" x14ac:dyDescent="0.25">
      <c r="A35083" s="64" t="str">
        <f>HYPERLINK("http://www.twitter.com/lynnenic", "lynnenic")</f>
        <v>lynnenic</v>
      </c>
      <c r="B35083" s="65"/>
    </row>
    <row r="35084" spans="1:2" x14ac:dyDescent="0.25">
      <c r="A35084" s="64" t="str">
        <f>HYPERLINK("http://www.twitter.com/AlisonPardoe", "AlisonPardoe")</f>
        <v>AlisonPardoe</v>
      </c>
      <c r="B35084" s="65" t="s">
        <v>296</v>
      </c>
    </row>
    <row r="35085" spans="1:2" x14ac:dyDescent="0.25">
      <c r="A35085" s="64" t="str">
        <f>HYPERLINK("http://www.twitter.com/1PeterCairns", "1PeterCairns")</f>
        <v>1PeterCairns</v>
      </c>
      <c r="B35085" s="65" t="s">
        <v>6963</v>
      </c>
    </row>
    <row r="35086" spans="1:2" x14ac:dyDescent="0.25">
      <c r="A35086" s="64" t="str">
        <f>HYPERLINK("http://www.twitter.com/kazrendall", "kazrendall")</f>
        <v>kazrendall</v>
      </c>
      <c r="B35086" s="65" t="s">
        <v>5667</v>
      </c>
    </row>
    <row r="35087" spans="1:2" x14ac:dyDescent="0.25">
      <c r="A35087" s="64" t="str">
        <f>HYPERLINK("http://www.twitter.com/orkneycompost", "orkneycompost")</f>
        <v>orkneycompost</v>
      </c>
      <c r="B35087" s="65" t="s">
        <v>20</v>
      </c>
    </row>
    <row r="35088" spans="1:2" x14ac:dyDescent="0.25">
      <c r="A35088" s="64" t="str">
        <f>HYPERLINK("http://www.twitter.com/orkneycampers", "orkneycampers")</f>
        <v>orkneycampers</v>
      </c>
      <c r="B35088" s="65" t="s">
        <v>5824</v>
      </c>
    </row>
    <row r="35089" spans="1:2" x14ac:dyDescent="0.25">
      <c r="A35089" s="64" t="str">
        <f>HYPERLINK("http://www.twitter.com/elismatthews", "elismatthews")</f>
        <v>elismatthews</v>
      </c>
      <c r="B35089" s="65" t="s">
        <v>13506</v>
      </c>
    </row>
    <row r="35090" spans="1:2" x14ac:dyDescent="0.25">
      <c r="A35090" s="64" t="str">
        <f>HYPERLINK("http://www.twitter.com/ShetlandFiona", "ShetlandFiona")</f>
        <v>ShetlandFiona</v>
      </c>
      <c r="B35090" s="65"/>
    </row>
    <row r="35091" spans="1:2" x14ac:dyDescent="0.25">
      <c r="A35091" s="64" t="str">
        <f>HYPERLINK("http://www.twitter.com/linda_garrould", "linda_garrould")</f>
        <v>linda_garrould</v>
      </c>
      <c r="B35091" s="65" t="s">
        <v>2792</v>
      </c>
    </row>
    <row r="35092" spans="1:2" x14ac:dyDescent="0.25">
      <c r="A35092" s="64" t="str">
        <f>HYPERLINK("http://www.twitter.com/carotwit", "carotwit")</f>
        <v>carotwit</v>
      </c>
      <c r="B35092" s="65" t="s">
        <v>13507</v>
      </c>
    </row>
    <row r="35093" spans="1:2" x14ac:dyDescent="0.25">
      <c r="A35093" s="64" t="str">
        <f>HYPERLINK("http://www.twitter.com/VeryShortStory", "VeryShortStory")</f>
        <v>VeryShortStory</v>
      </c>
      <c r="B35093" s="65" t="s">
        <v>8332</v>
      </c>
    </row>
    <row r="35094" spans="1:2" x14ac:dyDescent="0.25">
      <c r="A35094" s="64" t="str">
        <f>HYPERLINK("http://www.twitter.com/glenmcl", "glenmcl")</f>
        <v>glenmcl</v>
      </c>
      <c r="B35094" s="65" t="s">
        <v>4668</v>
      </c>
    </row>
    <row r="35095" spans="1:2" x14ac:dyDescent="0.25">
      <c r="A35095" s="64" t="str">
        <f>HYPERLINK("http://www.twitter.com/orkneysports", "orkneysports")</f>
        <v>orkneysports</v>
      </c>
      <c r="B35095" s="65" t="s">
        <v>5824</v>
      </c>
    </row>
    <row r="35096" spans="1:2" x14ac:dyDescent="0.25">
      <c r="A35096" s="64" t="str">
        <f>HYPERLINK("http://www.twitter.com/ClarenceBear", "ClarenceBear")</f>
        <v>ClarenceBear</v>
      </c>
      <c r="B35096" s="65" t="s">
        <v>4519</v>
      </c>
    </row>
    <row r="35097" spans="1:2" x14ac:dyDescent="0.25">
      <c r="A35097" s="64" t="str">
        <f>HYPERLINK("http://www.twitter.com/sandstonepress", "sandstonepress")</f>
        <v>sandstonepress</v>
      </c>
      <c r="B35097" s="65" t="s">
        <v>10415</v>
      </c>
    </row>
    <row r="35098" spans="1:2" x14ac:dyDescent="0.25">
      <c r="A35098" s="64" t="str">
        <f>HYPERLINK("http://www.twitter.com/MaddockCarol", "MaddockCarol")</f>
        <v>MaddockCarol</v>
      </c>
      <c r="B35098" s="65" t="s">
        <v>4254</v>
      </c>
    </row>
    <row r="35099" spans="1:2" x14ac:dyDescent="0.25">
      <c r="A35099" s="64" t="str">
        <f>HYPERLINK("http://www.twitter.com/lisforlilith", "lisforlilith")</f>
        <v>lisforlilith</v>
      </c>
      <c r="B35099" s="65" t="s">
        <v>13508</v>
      </c>
    </row>
    <row r="35100" spans="1:2" x14ac:dyDescent="0.25">
      <c r="A35100" s="64" t="str">
        <f>HYPERLINK("http://www.twitter.com/OrkneyFolkFest", "OrkneyFolkFest")</f>
        <v>OrkneyFolkFest</v>
      </c>
      <c r="B35100" s="65" t="s">
        <v>20</v>
      </c>
    </row>
    <row r="35101" spans="1:2" x14ac:dyDescent="0.25">
      <c r="A35101" s="64" t="str">
        <f>HYPERLINK("http://www.twitter.com/weeclimber", "weeclimber")</f>
        <v>weeclimber</v>
      </c>
      <c r="B35101" s="65"/>
    </row>
    <row r="35102" spans="1:2" x14ac:dyDescent="0.25">
      <c r="A35102" s="64" t="str">
        <f>HYPERLINK("http://www.twitter.com/ThinkUHI", "ThinkUHI")</f>
        <v>ThinkUHI</v>
      </c>
      <c r="B35102" s="65" t="s">
        <v>13509</v>
      </c>
    </row>
    <row r="35103" spans="1:2" x14ac:dyDescent="0.25">
      <c r="A35103" s="64" t="str">
        <f>HYPERLINK("http://www.twitter.com/mlepenn", "mlepenn")</f>
        <v>mlepenn</v>
      </c>
      <c r="B35103" s="65" t="s">
        <v>11654</v>
      </c>
    </row>
    <row r="35104" spans="1:2" x14ac:dyDescent="0.25">
      <c r="A35104" s="64" t="str">
        <f>HYPERLINK("http://www.twitter.com/DiedofEnnui", "DiedofEnnui")</f>
        <v>DiedofEnnui</v>
      </c>
      <c r="B35104" s="65" t="s">
        <v>13510</v>
      </c>
    </row>
    <row r="35105" spans="1:2" x14ac:dyDescent="0.25">
      <c r="A35105" s="64" t="str">
        <f>HYPERLINK("http://www.twitter.com/m0_m0", "m0_m0")</f>
        <v>m0_m0</v>
      </c>
      <c r="B35105" s="65" t="s">
        <v>517</v>
      </c>
    </row>
    <row r="35106" spans="1:2" x14ac:dyDescent="0.25">
      <c r="A35106" s="64" t="str">
        <f>HYPERLINK("http://www.twitter.com/metaphrog", "metaphrog")</f>
        <v>metaphrog</v>
      </c>
      <c r="B35106" s="65" t="s">
        <v>13511</v>
      </c>
    </row>
    <row r="35107" spans="1:2" x14ac:dyDescent="0.25">
      <c r="A35107" s="64" t="str">
        <f>HYPERLINK("http://www.twitter.com/ScottishOil", "ScottishOil")</f>
        <v>ScottishOil</v>
      </c>
      <c r="B35107" s="65" t="s">
        <v>138</v>
      </c>
    </row>
    <row r="35108" spans="1:2" x14ac:dyDescent="0.25">
      <c r="A35108" s="64" t="str">
        <f>HYPERLINK("http://www.twitter.com/scholesca", "scholesca")</f>
        <v>scholesca</v>
      </c>
      <c r="B35108" s="65" t="s">
        <v>4519</v>
      </c>
    </row>
    <row r="35109" spans="1:2" x14ac:dyDescent="0.25">
      <c r="A35109" s="64" t="str">
        <f>HYPERLINK("http://www.twitter.com/enhance_me", "enhance_me")</f>
        <v>enhance_me</v>
      </c>
      <c r="B35109" s="65" t="s">
        <v>13512</v>
      </c>
    </row>
    <row r="35110" spans="1:2" x14ac:dyDescent="0.25">
      <c r="A35110" s="64" t="str">
        <f>HYPERLINK("http://www.twitter.com/GlobalBlkInvtr", "GlobalBlkInvtr")</f>
        <v>GlobalBlkInvtr</v>
      </c>
      <c r="B35110" s="65" t="s">
        <v>13513</v>
      </c>
    </row>
    <row r="35111" spans="1:2" x14ac:dyDescent="0.25">
      <c r="A35111" s="64" t="str">
        <f>HYPERLINK("http://www.twitter.com/MacLeodTrotter", "MacLeodTrotter")</f>
        <v>MacLeodTrotter</v>
      </c>
      <c r="B35111" s="65" t="s">
        <v>296</v>
      </c>
    </row>
    <row r="35112" spans="1:2" x14ac:dyDescent="0.25">
      <c r="A35112" s="64" t="str">
        <f>HYPERLINK("http://www.twitter.com/VIGorkney", "VIGorkney")</f>
        <v>VIGorkney</v>
      </c>
      <c r="B35112" s="65" t="s">
        <v>13514</v>
      </c>
    </row>
    <row r="35113" spans="1:2" x14ac:dyDescent="0.25">
      <c r="A35113" s="64" t="str">
        <f>HYPERLINK("http://www.twitter.com/gumaure", "gumaure")</f>
        <v>gumaure</v>
      </c>
      <c r="B35113" s="65"/>
    </row>
    <row r="35114" spans="1:2" x14ac:dyDescent="0.25">
      <c r="A35114" s="64" t="str">
        <f>HYPERLINK("http://www.twitter.com/peterurpeth", "peterurpeth")</f>
        <v>peterurpeth</v>
      </c>
      <c r="B35114" s="65" t="s">
        <v>13515</v>
      </c>
    </row>
    <row r="35115" spans="1:2" x14ac:dyDescent="0.25">
      <c r="A35115" s="64" t="str">
        <f>HYPERLINK("http://www.twitter.com/FamilyGross", "FamilyGross")</f>
        <v>FamilyGross</v>
      </c>
      <c r="B35115" s="65" t="s">
        <v>13516</v>
      </c>
    </row>
    <row r="35116" spans="1:2" x14ac:dyDescent="0.25">
      <c r="A35116" s="64" t="str">
        <f>HYPERLINK("http://www.twitter.com/acarmichael4mp", "acarmichael4mp")</f>
        <v>acarmichael4mp</v>
      </c>
      <c r="B35116" s="65" t="s">
        <v>296</v>
      </c>
    </row>
    <row r="35117" spans="1:2" x14ac:dyDescent="0.25">
      <c r="A35117" s="64" t="str">
        <f>HYPERLINK("http://www.twitter.com/lorensbergs", "lorensbergs")</f>
        <v>lorensbergs</v>
      </c>
      <c r="B35117" s="65" t="s">
        <v>13517</v>
      </c>
    </row>
    <row r="35118" spans="1:2" x14ac:dyDescent="0.25">
      <c r="A35118" s="64" t="str">
        <f>HYPERLINK("http://www.twitter.com/TalesOfOneCity", "TalesOfOneCity")</f>
        <v>TalesOfOneCity</v>
      </c>
      <c r="B35118" s="65" t="s">
        <v>67</v>
      </c>
    </row>
    <row r="35119" spans="1:2" x14ac:dyDescent="0.25">
      <c r="A35119" s="64" t="str">
        <f>HYPERLINK("http://www.twitter.com/AyeWrite", "AyeWrite")</f>
        <v>AyeWrite</v>
      </c>
      <c r="B35119" s="65" t="s">
        <v>318</v>
      </c>
    </row>
    <row r="35120" spans="1:2" x14ac:dyDescent="0.25">
      <c r="A35120" s="64" t="str">
        <f>HYPERLINK("http://www.twitter.com/gillhdaly", "gillhdaly")</f>
        <v>gillhdaly</v>
      </c>
      <c r="B35120" s="65" t="s">
        <v>138</v>
      </c>
    </row>
    <row r="35121" spans="1:2" x14ac:dyDescent="0.25">
      <c r="A35121" s="64" t="str">
        <f>HYPERLINK("http://www.twitter.com/WHusseyAuthor", "WHusseyAuthor")</f>
        <v>WHusseyAuthor</v>
      </c>
      <c r="B35121" s="65" t="s">
        <v>296</v>
      </c>
    </row>
    <row r="35122" spans="1:2" x14ac:dyDescent="0.25">
      <c r="A35122" s="64" t="str">
        <f>HYPERLINK("http://www.twitter.com/NatR1991", "NatR1991")</f>
        <v>NatR1991</v>
      </c>
      <c r="B35122" s="65"/>
    </row>
    <row r="35123" spans="1:2" x14ac:dyDescent="0.25">
      <c r="A35123" s="64" t="str">
        <f>HYPERLINK("http://www.twitter.com/WCCLibraries", "WCCLibraries")</f>
        <v>WCCLibraries</v>
      </c>
      <c r="B35123" s="65" t="s">
        <v>445</v>
      </c>
    </row>
    <row r="35124" spans="1:2" x14ac:dyDescent="0.25">
      <c r="A35124" s="64" t="str">
        <f>HYPERLINK("http://www.twitter.com/scarlattiblack", "scarlattiblack")</f>
        <v>scarlattiblack</v>
      </c>
      <c r="B35124" s="65"/>
    </row>
    <row r="35125" spans="1:2" x14ac:dyDescent="0.25">
      <c r="A35125" s="64" t="str">
        <f>HYPERLINK("http://www.twitter.com/Storm19611", "Storm19611")</f>
        <v>Storm19611</v>
      </c>
      <c r="B35125" s="65" t="s">
        <v>4580</v>
      </c>
    </row>
    <row r="35126" spans="1:2" x14ac:dyDescent="0.25">
      <c r="A35126" s="64" t="str">
        <f>HYPERLINK("http://www.twitter.com/siennarose8", "siennarose8")</f>
        <v>siennarose8</v>
      </c>
      <c r="B35126" s="65"/>
    </row>
    <row r="35127" spans="1:2" x14ac:dyDescent="0.25">
      <c r="A35127" s="64" t="str">
        <f>HYPERLINK("http://www.twitter.com/harristweed777", "harristweed777")</f>
        <v>harristweed777</v>
      </c>
      <c r="B35127" s="65" t="s">
        <v>7448</v>
      </c>
    </row>
    <row r="35128" spans="1:2" x14ac:dyDescent="0.25">
      <c r="A35128" s="64" t="str">
        <f>HYPERLINK("http://www.twitter.com/AudioEditions", "AudioEditions")</f>
        <v>AudioEditions</v>
      </c>
      <c r="B35128" s="65" t="s">
        <v>9867</v>
      </c>
    </row>
    <row r="35129" spans="1:2" x14ac:dyDescent="0.25">
      <c r="A35129" s="64" t="str">
        <f>HYPERLINK("http://www.twitter.com/LibraryWeb", "LibraryWeb")</f>
        <v>LibraryWeb</v>
      </c>
      <c r="B35129" s="65" t="s">
        <v>296</v>
      </c>
    </row>
    <row r="35130" spans="1:2" x14ac:dyDescent="0.25">
      <c r="A35130" s="64" t="str">
        <f>HYPERLINK("http://www.twitter.com/TLPAccountants", "TLPAccountants")</f>
        <v>TLPAccountants</v>
      </c>
      <c r="B35130" s="65" t="s">
        <v>517</v>
      </c>
    </row>
    <row r="35131" spans="1:2" x14ac:dyDescent="0.25">
      <c r="A35131" s="64" t="str">
        <f>HYPERLINK("http://www.twitter.com/racheldubois", "racheldubois")</f>
        <v>racheldubois</v>
      </c>
      <c r="B35131" s="65" t="s">
        <v>5295</v>
      </c>
    </row>
    <row r="35132" spans="1:2" x14ac:dyDescent="0.25">
      <c r="A35132" s="64" t="str">
        <f>HYPERLINK("http://www.twitter.com/SwindonLibrary", "SwindonLibrary")</f>
        <v>SwindonLibrary</v>
      </c>
      <c r="B35132" s="65" t="s">
        <v>267</v>
      </c>
    </row>
    <row r="35133" spans="1:2" x14ac:dyDescent="0.25">
      <c r="A35133" s="64" t="str">
        <f>HYPERLINK("http://www.twitter.com/Hq_Historical", "Hq_Historical")</f>
        <v>Hq_Historical</v>
      </c>
      <c r="B35133" s="65"/>
    </row>
    <row r="35134" spans="1:2" x14ac:dyDescent="0.25">
      <c r="A35134" s="64" t="str">
        <f>HYPERLINK("http://www.twitter.com/kid1150", "kid1150")</f>
        <v>kid1150</v>
      </c>
      <c r="B35134" s="65" t="s">
        <v>8162</v>
      </c>
    </row>
    <row r="35135" spans="1:2" x14ac:dyDescent="0.25">
      <c r="A35135" s="64" t="str">
        <f>HYPERLINK("http://www.twitter.com/januspublishing", "januspublishing")</f>
        <v>januspublishing</v>
      </c>
      <c r="B35135" s="65" t="s">
        <v>6750</v>
      </c>
    </row>
    <row r="35136" spans="1:2" x14ac:dyDescent="0.25">
      <c r="A35136" s="64" t="str">
        <f>HYPERLINK("http://www.twitter.com/eastlothianlibs", "eastlothianlibs")</f>
        <v>eastlothianlibs</v>
      </c>
      <c r="B35136" s="65" t="s">
        <v>700</v>
      </c>
    </row>
    <row r="35137" spans="1:2" x14ac:dyDescent="0.25">
      <c r="A35137" s="64" t="str">
        <f>HYPERLINK("http://www.twitter.com/Whisky4Movember", "Whisky4Movember")</f>
        <v>Whisky4Movember</v>
      </c>
      <c r="B35137" s="65" t="s">
        <v>13518</v>
      </c>
    </row>
    <row r="35138" spans="1:2" x14ac:dyDescent="0.25">
      <c r="A35138" s="64" t="str">
        <f>HYPERLINK("http://www.twitter.com/BBCArchive", "BBCArchive")</f>
        <v>BBCArchive</v>
      </c>
      <c r="B35138" s="65" t="s">
        <v>36</v>
      </c>
    </row>
    <row r="35139" spans="1:2" x14ac:dyDescent="0.25">
      <c r="A35139" s="64" t="str">
        <f>HYPERLINK("http://www.twitter.com/mimx6", "mimx6")</f>
        <v>mimx6</v>
      </c>
      <c r="B35139" s="65"/>
    </row>
    <row r="35140" spans="1:2" x14ac:dyDescent="0.25">
      <c r="A35140" s="64" t="str">
        <f>HYPERLINK("http://www.twitter.com/mistramike", "mistramike")</f>
        <v>mistramike</v>
      </c>
      <c r="B35140" s="65" t="s">
        <v>5412</v>
      </c>
    </row>
    <row r="35141" spans="1:2" x14ac:dyDescent="0.25">
      <c r="A35141" s="64" t="str">
        <f>HYPERLINK("http://www.twitter.com/madvanmusings", "madvanmusings")</f>
        <v>madvanmusings</v>
      </c>
      <c r="B35141" s="65" t="s">
        <v>20</v>
      </c>
    </row>
    <row r="35142" spans="1:2" x14ac:dyDescent="0.25">
      <c r="A35142" s="64" t="str">
        <f>HYPERLINK("http://www.twitter.com/natlibscot", "natlibscot")</f>
        <v>natlibscot</v>
      </c>
      <c r="B35142" s="65" t="s">
        <v>487</v>
      </c>
    </row>
    <row r="35143" spans="1:2" x14ac:dyDescent="0.25">
      <c r="A35143" s="64" t="str">
        <f>HYPERLINK("http://www.twitter.com/webmodelstrain", "webmodelstrain")</f>
        <v>webmodelstrain</v>
      </c>
      <c r="B35143" s="65" t="s">
        <v>13519</v>
      </c>
    </row>
    <row r="35144" spans="1:2" x14ac:dyDescent="0.25">
      <c r="A35144" s="64" t="str">
        <f>HYPERLINK("http://www.twitter.com/CanIBeBlunt", "CanIBeBlunt")</f>
        <v>CanIBeBlunt</v>
      </c>
      <c r="B35144" s="65" t="s">
        <v>517</v>
      </c>
    </row>
    <row r="35145" spans="1:2" x14ac:dyDescent="0.25">
      <c r="A35145" s="64" t="str">
        <f>HYPERLINK("http://www.twitter.com/Chirsty340", "Chirsty340")</f>
        <v>Chirsty340</v>
      </c>
      <c r="B35145" s="65"/>
    </row>
    <row r="35146" spans="1:2" x14ac:dyDescent="0.25">
      <c r="A35146" s="64" t="str">
        <f>HYPERLINK("http://www.twitter.com/StirlingLibs", "StirlingLibs")</f>
        <v>StirlingLibs</v>
      </c>
      <c r="B35146" s="65" t="s">
        <v>517</v>
      </c>
    </row>
    <row r="35147" spans="1:2" x14ac:dyDescent="0.25">
      <c r="A35147" s="64" t="str">
        <f>HYPERLINK("http://www.twitter.com/4twizzle55", "4twizzle55")</f>
        <v>4twizzle55</v>
      </c>
      <c r="B35147" s="65"/>
    </row>
    <row r="35148" spans="1:2" x14ac:dyDescent="0.25">
      <c r="A35148" s="64" t="str">
        <f>HYPERLINK("http://www.twitter.com/Beccalite", "Beccalite")</f>
        <v>Beccalite</v>
      </c>
      <c r="B35148" s="65" t="s">
        <v>20</v>
      </c>
    </row>
    <row r="35149" spans="1:2" x14ac:dyDescent="0.25">
      <c r="A35149" s="64" t="str">
        <f>HYPERLINK("http://www.twitter.com/orcadian1968", "orcadian1968")</f>
        <v>orcadian1968</v>
      </c>
      <c r="B35149" s="65" t="s">
        <v>11976</v>
      </c>
    </row>
    <row r="35150" spans="1:2" x14ac:dyDescent="0.25">
      <c r="A35150" s="64" t="str">
        <f>HYPERLINK("http://www.twitter.com/lorraine2021", "lorraine2021")</f>
        <v>lorraine2021</v>
      </c>
      <c r="B35150" s="65" t="s">
        <v>3893</v>
      </c>
    </row>
    <row r="35151" spans="1:2" x14ac:dyDescent="0.25">
      <c r="A35151" s="64" t="str">
        <f>HYPERLINK("http://www.twitter.com/outpost54books", "outpost54books")</f>
        <v>outpost54books</v>
      </c>
      <c r="B35151" s="65" t="s">
        <v>13520</v>
      </c>
    </row>
    <row r="35152" spans="1:2" x14ac:dyDescent="0.25">
      <c r="A35152" s="64" t="str">
        <f>HYPERLINK("http://www.twitter.com/LucyMurray25", "LucyMurray25")</f>
        <v>LucyMurray25</v>
      </c>
      <c r="B35152" s="65" t="s">
        <v>296</v>
      </c>
    </row>
    <row r="35153" spans="1:2" x14ac:dyDescent="0.25">
      <c r="A35153" s="64" t="str">
        <f>HYPERLINK("http://www.twitter.com/orkneyrfc", "orkneyrfc")</f>
        <v>orkneyrfc</v>
      </c>
      <c r="B35153" s="65" t="s">
        <v>20</v>
      </c>
    </row>
    <row r="35154" spans="1:2" x14ac:dyDescent="0.25">
      <c r="A35154" s="64" t="str">
        <f>HYPERLINK("http://www.twitter.com/coca_cola_poca", "coca_cola_poca")</f>
        <v>coca_cola_poca</v>
      </c>
      <c r="B35154" s="65"/>
    </row>
    <row r="35155" spans="1:2" x14ac:dyDescent="0.25">
      <c r="A35155" s="64" t="str">
        <f>HYPERLINK("http://www.twitter.com/SpinningGill", "SpinningGill")</f>
        <v>SpinningGill</v>
      </c>
      <c r="B35155" s="65" t="s">
        <v>20</v>
      </c>
    </row>
    <row r="35156" spans="1:2" x14ac:dyDescent="0.25">
      <c r="A35156" s="64" t="str">
        <f>HYPERLINK("http://www.twitter.com/HelenaTowers", "HelenaTowers")</f>
        <v>HelenaTowers</v>
      </c>
      <c r="B35156" s="65" t="s">
        <v>110</v>
      </c>
    </row>
    <row r="35157" spans="1:2" x14ac:dyDescent="0.25">
      <c r="A35157" s="64" t="str">
        <f>HYPERLINK("http://www.twitter.com/Highlandman01", "Highlandman01")</f>
        <v>Highlandman01</v>
      </c>
      <c r="B35157" s="65" t="s">
        <v>5149</v>
      </c>
    </row>
    <row r="35158" spans="1:2" x14ac:dyDescent="0.25">
      <c r="A35158" s="64" t="str">
        <f>HYPERLINK("http://www.twitter.com/MillsandBoon", "MillsandBoon")</f>
        <v>MillsandBoon</v>
      </c>
      <c r="B35158" s="65" t="s">
        <v>13521</v>
      </c>
    </row>
    <row r="35159" spans="1:2" x14ac:dyDescent="0.25">
      <c r="A35159" s="64" t="str">
        <f>HYPERLINK("http://www.twitter.com/peediepanda", "peediepanda")</f>
        <v>peediepanda</v>
      </c>
      <c r="B35159" s="65" t="s">
        <v>4227</v>
      </c>
    </row>
    <row r="35160" spans="1:2" x14ac:dyDescent="0.25">
      <c r="A35160" s="64" t="str">
        <f>HYPERLINK("http://www.twitter.com/theblogofthebob", "theblogofthebob")</f>
        <v>theblogofthebob</v>
      </c>
      <c r="B35160" s="65" t="s">
        <v>13522</v>
      </c>
    </row>
    <row r="35161" spans="1:2" x14ac:dyDescent="0.25">
      <c r="A35161" s="64" t="str">
        <f>HYPERLINK("http://www.twitter.com/dragonhistory", "dragonhistory")</f>
        <v>dragonhistory</v>
      </c>
      <c r="B35161" s="65" t="s">
        <v>20</v>
      </c>
    </row>
    <row r="35162" spans="1:2" x14ac:dyDescent="0.25">
      <c r="A35162" s="64" t="str">
        <f>HYPERLINK("http://www.twitter.com/spiritoforkney", "spiritoforkney")</f>
        <v>spiritoforkney</v>
      </c>
      <c r="B35162" s="65" t="s">
        <v>13512</v>
      </c>
    </row>
    <row r="35163" spans="1:2" x14ac:dyDescent="0.25">
      <c r="A35163" s="64" t="str">
        <f>HYPERLINK("http://www.twitter.com/baikiejnr", "baikiejnr")</f>
        <v>baikiejnr</v>
      </c>
      <c r="B35163" s="65" t="s">
        <v>13523</v>
      </c>
    </row>
    <row r="35164" spans="1:2" x14ac:dyDescent="0.25">
      <c r="A35164" s="64" t="str">
        <f>HYPERLINK("http://www.twitter.com/chibbie", "chibbie")</f>
        <v>chibbie</v>
      </c>
      <c r="B35164" s="65" t="s">
        <v>13524</v>
      </c>
    </row>
    <row r="35165" spans="1:2" x14ac:dyDescent="0.25">
      <c r="A35165" s="64" t="str">
        <f>HYPERLINK("http://www.twitter.com/OrbitSell", "OrbitSell")</f>
        <v>OrbitSell</v>
      </c>
      <c r="B35165" s="65" t="s">
        <v>13525</v>
      </c>
    </row>
    <row r="35166" spans="1:2" x14ac:dyDescent="0.25">
      <c r="A35166" s="64" t="str">
        <f>HYPERLINK("http://www.twitter.com/theinfo", "theinfo")</f>
        <v>theinfo</v>
      </c>
      <c r="B35166" s="65" t="s">
        <v>36</v>
      </c>
    </row>
    <row r="35167" spans="1:2" x14ac:dyDescent="0.25">
      <c r="A35167" s="64" t="str">
        <f>HYPERLINK("http://www.twitter.com/scottishbooks", "scottishbooks")</f>
        <v>scottishbooks</v>
      </c>
      <c r="B35167" s="65" t="s">
        <v>67</v>
      </c>
    </row>
    <row r="35168" spans="1:2" x14ac:dyDescent="0.25">
      <c r="A35168" s="64" t="str">
        <f>HYPERLINK("http://www.twitter.com/leither52", "leither52")</f>
        <v>leither52</v>
      </c>
      <c r="B35168" s="65" t="s">
        <v>517</v>
      </c>
    </row>
    <row r="35169" spans="1:2" x14ac:dyDescent="0.25">
      <c r="A35169" s="64" t="str">
        <f>HYPERLINK("http://www.twitter.com/kitkat_53", "kitkat_53")</f>
        <v>kitkat_53</v>
      </c>
      <c r="B35169" s="65"/>
    </row>
    <row r="35170" spans="1:2" x14ac:dyDescent="0.25">
      <c r="A35170" s="64" t="str">
        <f>HYPERLINK("http://www.twitter.com/audbod112", "audbod112")</f>
        <v>audbod112</v>
      </c>
      <c r="B35170" s="65" t="s">
        <v>138</v>
      </c>
    </row>
    <row r="35171" spans="1:2" x14ac:dyDescent="0.25">
      <c r="A35171" s="64" t="str">
        <f>HYPERLINK("http://www.twitter.com/twittbraries", "twittbraries")</f>
        <v>twittbraries</v>
      </c>
      <c r="B35171" s="65" t="s">
        <v>3948</v>
      </c>
    </row>
    <row r="35172" spans="1:2" x14ac:dyDescent="0.25">
      <c r="A35172" s="64" t="str">
        <f>HYPERLINK("http://www.twitter.com/readinglibrary", "readinglibrary")</f>
        <v>readinglibrary</v>
      </c>
      <c r="B35172" s="65" t="s">
        <v>560</v>
      </c>
    </row>
    <row r="35173" spans="1:2" x14ac:dyDescent="0.25">
      <c r="A35173" s="64" t="str">
        <f>HYPERLINK("http://www.twitter.com/ehcarlie", "ehcarlie")</f>
        <v>ehcarlie</v>
      </c>
      <c r="B35173" s="65" t="s">
        <v>24</v>
      </c>
    </row>
    <row r="35174" spans="1:2" x14ac:dyDescent="0.25">
      <c r="A35174" s="64" t="str">
        <f>HYPERLINK("http://www.twitter.com/FiveSensesWalks", "FiveSensesWalks")</f>
        <v>FiveSensesWalks</v>
      </c>
      <c r="B35174" s="65" t="s">
        <v>13526</v>
      </c>
    </row>
    <row r="35175" spans="1:2" x14ac:dyDescent="0.25">
      <c r="A35175" s="64" t="str">
        <f>HYPERLINK("http://www.twitter.com/InverclydeLibs", "InverclydeLibs")</f>
        <v>InverclydeLibs</v>
      </c>
      <c r="B35175" s="65" t="s">
        <v>613</v>
      </c>
    </row>
    <row r="35176" spans="1:2" x14ac:dyDescent="0.25">
      <c r="A35176" s="64" t="str">
        <f>HYPERLINK("http://www.twitter.com/icepinkcube", "icepinkcube")</f>
        <v>icepinkcube</v>
      </c>
      <c r="B35176" s="65" t="s">
        <v>4519</v>
      </c>
    </row>
    <row r="35177" spans="1:2" x14ac:dyDescent="0.25">
      <c r="A35177" s="64" t="str">
        <f>HYPERLINK("http://www.twitter.com/SamLibrarian", "SamLibrarian")</f>
        <v>SamLibrarian</v>
      </c>
      <c r="B35177" s="65"/>
    </row>
    <row r="35178" spans="1:2" x14ac:dyDescent="0.25">
      <c r="A35178" s="64" t="str">
        <f>HYPERLINK("http://www.twitter.com/elecres", "elecres")</f>
        <v>elecres</v>
      </c>
      <c r="B35178" s="65" t="s">
        <v>138</v>
      </c>
    </row>
    <row r="35179" spans="1:2" x14ac:dyDescent="0.25">
      <c r="A35179" s="64" t="str">
        <f>HYPERLINK("http://www.twitter.com/_Polinard", "_Polinard")</f>
        <v>_Polinard</v>
      </c>
      <c r="B35179" s="65" t="s">
        <v>5933</v>
      </c>
    </row>
    <row r="35180" spans="1:2" x14ac:dyDescent="0.25">
      <c r="A35180" s="64" t="str">
        <f>HYPERLINK("http://www.twitter.com/libraryliz22", "libraryliz22")</f>
        <v>libraryliz22</v>
      </c>
      <c r="B35180" s="65"/>
    </row>
    <row r="35181" spans="1:2" x14ac:dyDescent="0.25">
      <c r="A35181" s="64" t="str">
        <f>HYPERLINK("http://www.twitter.com/dawngrieve", "dawngrieve")</f>
        <v>dawngrieve</v>
      </c>
      <c r="B35181" s="65" t="s">
        <v>20</v>
      </c>
    </row>
    <row r="35182" spans="1:2" x14ac:dyDescent="0.25">
      <c r="A35182" s="64" t="str">
        <f>HYPERLINK("http://www.twitter.com/anneick", "anneick")</f>
        <v>anneick</v>
      </c>
      <c r="B35182" s="65" t="s">
        <v>13527</v>
      </c>
    </row>
    <row r="35183" spans="1:2" x14ac:dyDescent="0.25">
      <c r="A35183" s="64" t="str">
        <f>HYPERLINK("http://www.twitter.com/randomhousekids", "randomhousekids")</f>
        <v>randomhousekids</v>
      </c>
      <c r="B35183" s="65" t="s">
        <v>4145</v>
      </c>
    </row>
    <row r="35184" spans="1:2" x14ac:dyDescent="0.25">
      <c r="A35184" s="64" t="str">
        <f>HYPERLINK("http://www.twitter.com/lynnjohnson10bt", "lynnjohnson10bt")</f>
        <v>lynnjohnson10bt</v>
      </c>
      <c r="B35184" s="65" t="s">
        <v>13528</v>
      </c>
    </row>
    <row r="35185" spans="1:2" x14ac:dyDescent="0.25">
      <c r="A35185" s="64" t="str">
        <f>HYPERLINK("http://www.twitter.com/EdwinaCornish", "EdwinaCornish")</f>
        <v>EdwinaCornish</v>
      </c>
      <c r="B35185" s="65"/>
    </row>
    <row r="35186" spans="1:2" x14ac:dyDescent="0.25">
      <c r="A35186" s="64" t="str">
        <f>HYPERLINK("http://www.twitter.com/kirstenmckenzie", "kirstenmckenzie")</f>
        <v>kirstenmckenzie</v>
      </c>
      <c r="B35186" s="65" t="s">
        <v>421</v>
      </c>
    </row>
    <row r="35187" spans="1:2" x14ac:dyDescent="0.25">
      <c r="A35187" s="64" t="str">
        <f>HYPERLINK("http://www.twitter.com/MrJoJoJoJo", "MrJoJoJoJo")</f>
        <v>MrJoJoJoJo</v>
      </c>
      <c r="B35187" s="65" t="s">
        <v>13529</v>
      </c>
    </row>
    <row r="35188" spans="1:2" x14ac:dyDescent="0.25">
      <c r="A35188" s="64" t="str">
        <f>HYPERLINK("http://www.twitter.com/SimonHolcroft", "SimonHolcroft")</f>
        <v>SimonHolcroft</v>
      </c>
      <c r="B35188" s="65" t="s">
        <v>5555</v>
      </c>
    </row>
    <row r="35189" spans="1:2" x14ac:dyDescent="0.25">
      <c r="A35189" s="64" t="str">
        <f>HYPERLINK("http://www.twitter.com/readingagency", "readingagency")</f>
        <v>readingagency</v>
      </c>
      <c r="B35189" s="65" t="s">
        <v>296</v>
      </c>
    </row>
    <row r="35190" spans="1:2" x14ac:dyDescent="0.25">
      <c r="A35190" s="64" t="str">
        <f>HYPERLINK("http://www.twitter.com/sweynh", "sweynh")</f>
        <v>sweynh</v>
      </c>
      <c r="B35190" s="65" t="s">
        <v>4519</v>
      </c>
    </row>
    <row r="35191" spans="1:2" x14ac:dyDescent="0.25">
      <c r="A35191" s="64" t="str">
        <f>HYPERLINK("http://www.twitter.com/CarolaHuttmann", "CarolaHuttmann")</f>
        <v>CarolaHuttmann</v>
      </c>
      <c r="B35191" s="65" t="s">
        <v>5412</v>
      </c>
    </row>
    <row r="35192" spans="1:2" x14ac:dyDescent="0.25">
      <c r="A35192" s="64" t="str">
        <f>HYPERLINK("http://www.twitter.com/louiseg67", "louiseg67")</f>
        <v>louiseg67</v>
      </c>
      <c r="B35192" s="65"/>
    </row>
    <row r="35193" spans="1:2" x14ac:dyDescent="0.25">
      <c r="A35193" s="64" t="str">
        <f>HYPERLINK("http://www.twitter.com/beckmcauliffe", "beckmcauliffe")</f>
        <v>beckmcauliffe</v>
      </c>
      <c r="B35193" s="65" t="s">
        <v>4519</v>
      </c>
    </row>
    <row r="35194" spans="1:2" x14ac:dyDescent="0.25">
      <c r="A35194" s="64" t="str">
        <f>HYPERLINK("http://www.twitter.com/wdclibraries", "wdclibraries")</f>
        <v>wdclibraries</v>
      </c>
      <c r="B35194" s="65" t="s">
        <v>616</v>
      </c>
    </row>
    <row r="35195" spans="1:2" x14ac:dyDescent="0.25">
      <c r="A35195" s="64" t="str">
        <f>HYPERLINK("http://www.twitter.com/BWBUK", "BWBUK")</f>
        <v>BWBUK</v>
      </c>
      <c r="B35195" s="65" t="s">
        <v>70</v>
      </c>
    </row>
    <row r="35196" spans="1:2" x14ac:dyDescent="0.25">
      <c r="A35196" s="64" t="str">
        <f>HYPERLINK("http://www.twitter.com/alisonbruce", "alisonbruce")</f>
        <v>alisonbruce</v>
      </c>
      <c r="B35196" s="65" t="s">
        <v>5807</v>
      </c>
    </row>
    <row r="35197" spans="1:2" x14ac:dyDescent="0.25">
      <c r="A35197" s="64" t="str">
        <f>HYPERLINK("http://www.twitter.com/davidrendall", "davidrendall")</f>
        <v>davidrendall</v>
      </c>
      <c r="B35197" s="65" t="s">
        <v>20</v>
      </c>
    </row>
    <row r="35198" spans="1:2" x14ac:dyDescent="0.25">
      <c r="A35198" s="64" t="str">
        <f>HYPERLINK("http://www.twitter.com/leedslibraries", "leedslibraries")</f>
        <v>leedslibraries</v>
      </c>
      <c r="B35198" s="65" t="s">
        <v>93</v>
      </c>
    </row>
    <row r="35199" spans="1:2" x14ac:dyDescent="0.25">
      <c r="A35199" s="64" t="str">
        <f>HYPERLINK("http://www.twitter.com/scotlibraries", "scotlibraries")</f>
        <v>scotlibraries</v>
      </c>
      <c r="B35199" s="65" t="s">
        <v>517</v>
      </c>
    </row>
    <row r="35200" spans="1:2" x14ac:dyDescent="0.25">
      <c r="A35200" s="64" t="str">
        <f>HYPERLINK("http://www.twitter.com/librarydesign", "librarydesign")</f>
        <v>librarydesign</v>
      </c>
      <c r="B35200" s="65" t="s">
        <v>296</v>
      </c>
    </row>
    <row r="35201" spans="1:2" x14ac:dyDescent="0.25">
      <c r="A35201" s="64" t="str">
        <f>HYPERLINK("http://www.twitter.com/orknip", "orknip")</f>
        <v>orknip</v>
      </c>
      <c r="B35201" s="65" t="s">
        <v>20</v>
      </c>
    </row>
    <row r="35202" spans="1:2" x14ac:dyDescent="0.25">
      <c r="A35202" s="64" t="str">
        <f>HYPERLINK("http://www.twitter.com/sparganium", "sparganium")</f>
        <v>sparganium</v>
      </c>
      <c r="B35202" s="65" t="s">
        <v>4519</v>
      </c>
    </row>
    <row r="35203" spans="1:2" x14ac:dyDescent="0.25">
      <c r="A35203" s="64" t="str">
        <f>HYPERLINK("http://www.twitter.com/RhonaEA", "RhonaEA")</f>
        <v>RhonaEA</v>
      </c>
      <c r="B35203" s="65" t="s">
        <v>4124</v>
      </c>
    </row>
    <row r="35204" spans="1:2" x14ac:dyDescent="0.25">
      <c r="A35204" s="64" t="str">
        <f>HYPERLINK("http://www.twitter.com/etherley", "etherley")</f>
        <v>etherley</v>
      </c>
      <c r="B35204" s="65" t="s">
        <v>4519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UKLib_12_06_17</vt:lpstr>
      <vt:lpstr>UKLib_24_07_17</vt:lpstr>
      <vt:lpstr>Outliers</vt:lpstr>
      <vt:lpstr>Anomalies</vt:lpstr>
      <vt:lpstr>Orkney_18_08_17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</dc:creator>
  <cp:lastModifiedBy>Sarah Humphreys</cp:lastModifiedBy>
  <dcterms:created xsi:type="dcterms:W3CDTF">2017-07-25T12:58:14Z</dcterms:created>
  <dcterms:modified xsi:type="dcterms:W3CDTF">2019-04-06T22:21:30Z</dcterms:modified>
</cp:coreProperties>
</file>